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hemdyn-my.sharepoint.com/personal/alexh_chemicaldynamics_com/Documents/"/>
    </mc:Choice>
  </mc:AlternateContent>
  <xr:revisionPtr revIDLastSave="0" documentId="8_{E582BC7D-1041-499A-B440-295CC4EEEE40}" xr6:coauthVersionLast="47" xr6:coauthVersionMax="47" xr10:uidLastSave="{00000000-0000-0000-0000-000000000000}"/>
  <bookViews>
    <workbookView xWindow="28680" yWindow="-120" windowWidth="29040" windowHeight="15840" activeTab="3" xr2:uid="{474AF7F1-7DE9-4191-B631-D4F92053BADB}"/>
  </bookViews>
  <sheets>
    <sheet name="Sheet4" sheetId="4" r:id="rId1"/>
    <sheet name="Sheet1" sheetId="1" r:id="rId2"/>
    <sheet name="Sheet3" sheetId="3" r:id="rId3"/>
    <sheet name="Sheet5" sheetId="5" r:id="rId4"/>
    <sheet name="Sheet2" sheetId="2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1" i="5" l="1"/>
  <c r="F81" i="5"/>
  <c r="G81" i="5"/>
  <c r="H81" i="5"/>
  <c r="I81" i="5"/>
  <c r="J81" i="5"/>
  <c r="K81" i="5"/>
  <c r="L81" i="5"/>
  <c r="M81" i="5"/>
  <c r="N81" i="5"/>
  <c r="O81" i="5"/>
  <c r="D81" i="5"/>
  <c r="O130" i="5"/>
  <c r="N130" i="5"/>
  <c r="M130" i="5"/>
  <c r="L130" i="5"/>
  <c r="K130" i="5"/>
  <c r="J130" i="5"/>
  <c r="I130" i="5"/>
  <c r="H130" i="5"/>
  <c r="G130" i="5"/>
  <c r="F130" i="5"/>
  <c r="O31" i="5"/>
  <c r="N31" i="5"/>
  <c r="M31" i="5"/>
  <c r="L31" i="5"/>
  <c r="K31" i="5"/>
  <c r="J31" i="5"/>
  <c r="I31" i="5"/>
  <c r="H31" i="5"/>
  <c r="G31" i="5"/>
  <c r="F31" i="5"/>
  <c r="E31" i="5"/>
  <c r="D31" i="5"/>
  <c r="E30" i="3"/>
  <c r="F30" i="3"/>
  <c r="G30" i="3"/>
  <c r="H30" i="3"/>
  <c r="I30" i="3"/>
  <c r="J30" i="3"/>
  <c r="K30" i="3"/>
  <c r="L30" i="3"/>
  <c r="M30" i="3"/>
  <c r="N30" i="3"/>
  <c r="O30" i="3"/>
  <c r="D30" i="3"/>
  <c r="D36" i="3"/>
  <c r="E36" i="3"/>
  <c r="F36" i="3"/>
  <c r="G36" i="3"/>
  <c r="D37" i="3"/>
  <c r="E37" i="3"/>
  <c r="F37" i="3"/>
  <c r="F38" i="3" s="1"/>
  <c r="G37" i="3"/>
  <c r="D6" i="3"/>
  <c r="E143" i="3"/>
  <c r="F143" i="3"/>
  <c r="G143" i="3"/>
  <c r="E144" i="3"/>
  <c r="F144" i="3"/>
  <c r="G144" i="3"/>
  <c r="E145" i="3"/>
  <c r="F145" i="3"/>
  <c r="G145" i="3"/>
  <c r="E146" i="3"/>
  <c r="F146" i="3"/>
  <c r="G146" i="3"/>
  <c r="E147" i="3"/>
  <c r="F147" i="3"/>
  <c r="G147" i="3"/>
  <c r="E148" i="3"/>
  <c r="F148" i="3"/>
  <c r="G148" i="3"/>
  <c r="E149" i="3"/>
  <c r="F149" i="3"/>
  <c r="G149" i="3"/>
  <c r="E150" i="3"/>
  <c r="F150" i="3"/>
  <c r="G150" i="3"/>
  <c r="E151" i="3"/>
  <c r="F151" i="3"/>
  <c r="G151" i="3"/>
  <c r="E152" i="3"/>
  <c r="F152" i="3"/>
  <c r="G152" i="3"/>
  <c r="E153" i="3"/>
  <c r="F153" i="3"/>
  <c r="G153" i="3"/>
  <c r="D144" i="3"/>
  <c r="D145" i="3"/>
  <c r="D146" i="3"/>
  <c r="D147" i="3"/>
  <c r="D148" i="3"/>
  <c r="D149" i="3"/>
  <c r="D150" i="3"/>
  <c r="D151" i="3"/>
  <c r="D152" i="3"/>
  <c r="D153" i="3"/>
  <c r="E126" i="3"/>
  <c r="F126" i="3"/>
  <c r="G126" i="3"/>
  <c r="E128" i="3"/>
  <c r="F128" i="3"/>
  <c r="G128" i="3"/>
  <c r="E129" i="3"/>
  <c r="F129" i="3"/>
  <c r="G129" i="3"/>
  <c r="E131" i="3"/>
  <c r="F131" i="3"/>
  <c r="G131" i="3"/>
  <c r="E132" i="3"/>
  <c r="F132" i="3"/>
  <c r="G132" i="3"/>
  <c r="E134" i="3"/>
  <c r="F134" i="3"/>
  <c r="G134" i="3"/>
  <c r="E136" i="3"/>
  <c r="F136" i="3"/>
  <c r="G136" i="3"/>
  <c r="E137" i="3"/>
  <c r="F137" i="3"/>
  <c r="G137" i="3"/>
  <c r="E139" i="3"/>
  <c r="F139" i="3"/>
  <c r="G139" i="3"/>
  <c r="E140" i="3"/>
  <c r="F140" i="3"/>
  <c r="G140" i="3"/>
  <c r="E142" i="3"/>
  <c r="F142" i="3"/>
  <c r="G142" i="3"/>
  <c r="D128" i="3"/>
  <c r="D129" i="3"/>
  <c r="D131" i="3"/>
  <c r="D132" i="3"/>
  <c r="D134" i="3"/>
  <c r="D136" i="3"/>
  <c r="D137" i="3"/>
  <c r="D139" i="3"/>
  <c r="D140" i="3"/>
  <c r="D142" i="3"/>
  <c r="D143" i="3"/>
  <c r="D126" i="3"/>
  <c r="G124" i="3"/>
  <c r="F124" i="3"/>
  <c r="E124" i="3"/>
  <c r="D124" i="3"/>
  <c r="G123" i="3"/>
  <c r="F123" i="3"/>
  <c r="E123" i="3"/>
  <c r="D123" i="3"/>
  <c r="G121" i="3"/>
  <c r="F121" i="3"/>
  <c r="E121" i="3"/>
  <c r="D121" i="3"/>
  <c r="G120" i="3"/>
  <c r="F120" i="3"/>
  <c r="E120" i="3"/>
  <c r="D120" i="3"/>
  <c r="G118" i="3"/>
  <c r="F118" i="3"/>
  <c r="E118" i="3"/>
  <c r="D118" i="3"/>
  <c r="G117" i="3"/>
  <c r="F117" i="3"/>
  <c r="E117" i="3"/>
  <c r="D117" i="3"/>
  <c r="G115" i="3"/>
  <c r="F115" i="3"/>
  <c r="E115" i="3"/>
  <c r="D115" i="3"/>
  <c r="G114" i="3"/>
  <c r="F114" i="3"/>
  <c r="E114" i="3"/>
  <c r="D114" i="3"/>
  <c r="G112" i="3"/>
  <c r="F112" i="3"/>
  <c r="E112" i="3"/>
  <c r="D112" i="3"/>
  <c r="G110" i="3"/>
  <c r="F110" i="3"/>
  <c r="E110" i="3"/>
  <c r="D110" i="3"/>
  <c r="G109" i="3"/>
  <c r="F109" i="3"/>
  <c r="E109" i="3"/>
  <c r="D109" i="3"/>
  <c r="G107" i="3"/>
  <c r="F107" i="3"/>
  <c r="E107" i="3"/>
  <c r="D107" i="3"/>
  <c r="G106" i="3"/>
  <c r="F106" i="3"/>
  <c r="E106" i="3"/>
  <c r="D106" i="3"/>
  <c r="G104" i="3"/>
  <c r="F104" i="3"/>
  <c r="E104" i="3"/>
  <c r="D104" i="3"/>
  <c r="G103" i="3"/>
  <c r="F103" i="3"/>
  <c r="E103" i="3"/>
  <c r="D103" i="3"/>
  <c r="G101" i="3"/>
  <c r="F101" i="3"/>
  <c r="E101" i="3"/>
  <c r="D101" i="3"/>
  <c r="G100" i="3"/>
  <c r="F100" i="3"/>
  <c r="E100" i="3"/>
  <c r="D100" i="3"/>
  <c r="G98" i="3"/>
  <c r="F98" i="3"/>
  <c r="E98" i="3"/>
  <c r="D98" i="3"/>
  <c r="G97" i="3"/>
  <c r="F97" i="3"/>
  <c r="E97" i="3"/>
  <c r="D97" i="3"/>
  <c r="G95" i="3"/>
  <c r="F95" i="3"/>
  <c r="E95" i="3"/>
  <c r="D95" i="3"/>
  <c r="G94" i="3"/>
  <c r="F94" i="3"/>
  <c r="E94" i="3"/>
  <c r="D94" i="3"/>
  <c r="G92" i="3"/>
  <c r="F92" i="3"/>
  <c r="E92" i="3"/>
  <c r="D92" i="3"/>
  <c r="G91" i="3"/>
  <c r="F91" i="3"/>
  <c r="E91" i="3"/>
  <c r="D91" i="3"/>
  <c r="G89" i="3"/>
  <c r="F89" i="3"/>
  <c r="E89" i="3"/>
  <c r="D89" i="3"/>
  <c r="G88" i="3"/>
  <c r="F88" i="3"/>
  <c r="E88" i="3"/>
  <c r="D88" i="3"/>
  <c r="G86" i="3"/>
  <c r="F86" i="3"/>
  <c r="E86" i="3"/>
  <c r="D86" i="3"/>
  <c r="G85" i="3"/>
  <c r="F85" i="3"/>
  <c r="E85" i="3"/>
  <c r="D85" i="3"/>
  <c r="G83" i="3"/>
  <c r="F83" i="3"/>
  <c r="E83" i="3"/>
  <c r="E6" i="3"/>
  <c r="D5" i="3"/>
  <c r="H3" i="3"/>
  <c r="H48" i="3" s="1"/>
  <c r="E52" i="3"/>
  <c r="D83" i="3"/>
  <c r="G82" i="3"/>
  <c r="F82" i="3"/>
  <c r="E82" i="3"/>
  <c r="D82" i="3"/>
  <c r="G80" i="3"/>
  <c r="F80" i="3"/>
  <c r="E80" i="3"/>
  <c r="D80" i="3"/>
  <c r="G79" i="3"/>
  <c r="F79" i="3"/>
  <c r="E79" i="3"/>
  <c r="D79" i="3"/>
  <c r="G77" i="3"/>
  <c r="F77" i="3"/>
  <c r="E77" i="3"/>
  <c r="D77" i="3"/>
  <c r="G75" i="3"/>
  <c r="F75" i="3"/>
  <c r="E75" i="3"/>
  <c r="D75" i="3"/>
  <c r="G73" i="3"/>
  <c r="F73" i="3"/>
  <c r="E73" i="3"/>
  <c r="D73" i="3"/>
  <c r="G72" i="3"/>
  <c r="F72" i="3"/>
  <c r="E72" i="3"/>
  <c r="D72" i="3"/>
  <c r="G70" i="3"/>
  <c r="F70" i="3"/>
  <c r="E70" i="3"/>
  <c r="D70" i="3"/>
  <c r="G68" i="3"/>
  <c r="F68" i="3"/>
  <c r="E68" i="3"/>
  <c r="D68" i="3"/>
  <c r="G67" i="3"/>
  <c r="F67" i="3"/>
  <c r="E67" i="3"/>
  <c r="D67" i="3"/>
  <c r="G65" i="3"/>
  <c r="F65" i="3"/>
  <c r="E65" i="3"/>
  <c r="D65" i="3"/>
  <c r="G63" i="3"/>
  <c r="F63" i="3"/>
  <c r="E63" i="3"/>
  <c r="D63" i="3"/>
  <c r="G62" i="3"/>
  <c r="F62" i="3"/>
  <c r="E62" i="3"/>
  <c r="D62" i="3"/>
  <c r="G60" i="3"/>
  <c r="F60" i="3"/>
  <c r="E60" i="3"/>
  <c r="D60" i="3"/>
  <c r="G58" i="3"/>
  <c r="F58" i="3"/>
  <c r="E58" i="3"/>
  <c r="D58" i="3"/>
  <c r="G57" i="3"/>
  <c r="F57" i="3"/>
  <c r="E57" i="3"/>
  <c r="D57" i="3"/>
  <c r="G55" i="3"/>
  <c r="F55" i="3"/>
  <c r="E55" i="3"/>
  <c r="D55" i="3"/>
  <c r="G54" i="3"/>
  <c r="F54" i="3"/>
  <c r="E54" i="3"/>
  <c r="D54" i="3"/>
  <c r="G52" i="3"/>
  <c r="F52" i="3"/>
  <c r="D52" i="3"/>
  <c r="G51" i="3"/>
  <c r="F51" i="3"/>
  <c r="E51" i="3"/>
  <c r="D51" i="3"/>
  <c r="G49" i="3"/>
  <c r="F49" i="3"/>
  <c r="E49" i="3"/>
  <c r="D49" i="3"/>
  <c r="G48" i="3"/>
  <c r="F48" i="3"/>
  <c r="E48" i="3"/>
  <c r="D48" i="3"/>
  <c r="G46" i="3"/>
  <c r="F46" i="3"/>
  <c r="E46" i="3"/>
  <c r="D46" i="3"/>
  <c r="G45" i="3"/>
  <c r="F45" i="3"/>
  <c r="E45" i="3"/>
  <c r="D45" i="3"/>
  <c r="G43" i="3"/>
  <c r="F43" i="3"/>
  <c r="E43" i="3"/>
  <c r="D43" i="3"/>
  <c r="G42" i="3"/>
  <c r="F42" i="3"/>
  <c r="E42" i="3"/>
  <c r="D42" i="3"/>
  <c r="G40" i="3"/>
  <c r="F40" i="3"/>
  <c r="E40" i="3"/>
  <c r="D40" i="3"/>
  <c r="G33" i="3"/>
  <c r="G34" i="3" s="1"/>
  <c r="F33" i="3"/>
  <c r="F34" i="3" s="1"/>
  <c r="E33" i="3"/>
  <c r="E34" i="3" s="1"/>
  <c r="D33" i="3"/>
  <c r="D34" i="3" s="1"/>
  <c r="G32" i="3"/>
  <c r="F32" i="3"/>
  <c r="E32" i="3"/>
  <c r="D32" i="3"/>
  <c r="H29" i="3"/>
  <c r="G29" i="3"/>
  <c r="F29" i="3"/>
  <c r="E29" i="3"/>
  <c r="D29" i="3"/>
  <c r="H28" i="3"/>
  <c r="G28" i="3"/>
  <c r="F28" i="3"/>
  <c r="E28" i="3"/>
  <c r="D28" i="3"/>
  <c r="G26" i="3"/>
  <c r="F26" i="3"/>
  <c r="E26" i="3"/>
  <c r="D26" i="3"/>
  <c r="G24" i="3"/>
  <c r="F24" i="3"/>
  <c r="E24" i="3"/>
  <c r="D24" i="3"/>
  <c r="G23" i="3"/>
  <c r="F23" i="3"/>
  <c r="E23" i="3"/>
  <c r="D23" i="3"/>
  <c r="G21" i="3"/>
  <c r="F21" i="3"/>
  <c r="E21" i="3"/>
  <c r="D21" i="3"/>
  <c r="G20" i="3"/>
  <c r="F20" i="3"/>
  <c r="E20" i="3"/>
  <c r="D20" i="3"/>
  <c r="G18" i="3"/>
  <c r="F18" i="3"/>
  <c r="E18" i="3"/>
  <c r="D18" i="3"/>
  <c r="G17" i="3"/>
  <c r="F17" i="3"/>
  <c r="E17" i="3"/>
  <c r="D17" i="3"/>
  <c r="G15" i="3"/>
  <c r="F15" i="3"/>
  <c r="E15" i="3"/>
  <c r="D15" i="3"/>
  <c r="G14" i="3"/>
  <c r="F14" i="3"/>
  <c r="E14" i="3"/>
  <c r="D14" i="3"/>
  <c r="H12" i="3"/>
  <c r="G12" i="3"/>
  <c r="F12" i="3"/>
  <c r="E12" i="3"/>
  <c r="D12" i="3"/>
  <c r="H11" i="3"/>
  <c r="G11" i="3"/>
  <c r="F11" i="3"/>
  <c r="E11" i="3"/>
  <c r="D11" i="3"/>
  <c r="G9" i="3"/>
  <c r="F9" i="3"/>
  <c r="E9" i="3"/>
  <c r="D9" i="3"/>
  <c r="G8" i="3"/>
  <c r="F8" i="3"/>
  <c r="E8" i="3"/>
  <c r="D8" i="3"/>
  <c r="G6" i="3"/>
  <c r="F6" i="3"/>
  <c r="H5" i="3"/>
  <c r="G5" i="3"/>
  <c r="F5" i="3"/>
  <c r="E5" i="3"/>
  <c r="H52" i="3" l="1"/>
  <c r="G38" i="3"/>
  <c r="E38" i="3"/>
  <c r="D38" i="3"/>
  <c r="H36" i="3"/>
  <c r="H37" i="3"/>
  <c r="D129" i="5"/>
  <c r="H21" i="3"/>
  <c r="H42" i="3"/>
  <c r="H62" i="3"/>
  <c r="H131" i="3"/>
  <c r="H153" i="3"/>
  <c r="H146" i="3"/>
  <c r="H70" i="3"/>
  <c r="H132" i="3"/>
  <c r="H147" i="3"/>
  <c r="H58" i="3"/>
  <c r="H77" i="3"/>
  <c r="H134" i="3"/>
  <c r="H18" i="3"/>
  <c r="H67" i="3"/>
  <c r="H136" i="3"/>
  <c r="H148" i="3"/>
  <c r="H8" i="3"/>
  <c r="H15" i="3"/>
  <c r="H33" i="3"/>
  <c r="H55" i="3"/>
  <c r="H73" i="3"/>
  <c r="H137" i="3"/>
  <c r="H149" i="3"/>
  <c r="H23" i="3"/>
  <c r="H43" i="3"/>
  <c r="H63" i="3"/>
  <c r="H139" i="3"/>
  <c r="H20" i="3"/>
  <c r="H40" i="3"/>
  <c r="H60" i="3"/>
  <c r="H79" i="3"/>
  <c r="H142" i="3"/>
  <c r="H150" i="3"/>
  <c r="H9" i="3"/>
  <c r="H26" i="3"/>
  <c r="H68" i="3"/>
  <c r="H151" i="3"/>
  <c r="H143" i="3"/>
  <c r="H140" i="3"/>
  <c r="H17" i="3"/>
  <c r="H57" i="3"/>
  <c r="H75" i="3"/>
  <c r="H126" i="3"/>
  <c r="H144" i="3"/>
  <c r="H6" i="3"/>
  <c r="H24" i="3"/>
  <c r="H45" i="3"/>
  <c r="H65" i="3"/>
  <c r="H128" i="3"/>
  <c r="H14" i="3"/>
  <c r="H32" i="3"/>
  <c r="H54" i="3"/>
  <c r="H72" i="3"/>
  <c r="H129" i="3"/>
  <c r="H152" i="3"/>
  <c r="H145" i="3"/>
  <c r="H80" i="3"/>
  <c r="H83" i="3"/>
  <c r="H85" i="3"/>
  <c r="H86" i="3"/>
  <c r="H88" i="3"/>
  <c r="H89" i="3"/>
  <c r="H91" i="3"/>
  <c r="H92" i="3"/>
  <c r="H94" i="3"/>
  <c r="H95" i="3"/>
  <c r="H97" i="3"/>
  <c r="H98" i="3"/>
  <c r="H100" i="3"/>
  <c r="H101" i="3"/>
  <c r="H103" i="3"/>
  <c r="H104" i="3"/>
  <c r="H106" i="3"/>
  <c r="H107" i="3"/>
  <c r="H109" i="3"/>
  <c r="H110" i="3"/>
  <c r="H112" i="3"/>
  <c r="H114" i="3"/>
  <c r="H115" i="3"/>
  <c r="H117" i="3"/>
  <c r="H118" i="3"/>
  <c r="H120" i="3"/>
  <c r="H121" i="3"/>
  <c r="H123" i="3"/>
  <c r="H124" i="3"/>
  <c r="I3" i="3"/>
  <c r="H82" i="3"/>
  <c r="H49" i="3"/>
  <c r="H51" i="3"/>
  <c r="H46" i="3"/>
  <c r="N8885" i="1"/>
  <c r="H8885" i="1"/>
  <c r="G8885" i="1"/>
  <c r="F8885" i="1"/>
  <c r="N8884" i="1"/>
  <c r="H8884" i="1"/>
  <c r="G8884" i="1"/>
  <c r="F8884" i="1"/>
  <c r="N8883" i="1"/>
  <c r="H8883" i="1"/>
  <c r="G8883" i="1"/>
  <c r="F8883" i="1"/>
  <c r="N8882" i="1"/>
  <c r="H8882" i="1"/>
  <c r="G8882" i="1"/>
  <c r="F8882" i="1"/>
  <c r="N8881" i="1"/>
  <c r="H8881" i="1"/>
  <c r="G8881" i="1"/>
  <c r="F8881" i="1"/>
  <c r="N8880" i="1"/>
  <c r="H8880" i="1"/>
  <c r="G8880" i="1"/>
  <c r="F8880" i="1"/>
  <c r="N8879" i="1"/>
  <c r="H8879" i="1"/>
  <c r="G8879" i="1"/>
  <c r="F8879" i="1"/>
  <c r="N8878" i="1"/>
  <c r="H8878" i="1"/>
  <c r="G8878" i="1"/>
  <c r="F8878" i="1"/>
  <c r="N8877" i="1"/>
  <c r="H8877" i="1"/>
  <c r="G8877" i="1"/>
  <c r="F8877" i="1"/>
  <c r="N8876" i="1"/>
  <c r="H8876" i="1"/>
  <c r="G8876" i="1"/>
  <c r="F8876" i="1"/>
  <c r="N8875" i="1"/>
  <c r="H8875" i="1"/>
  <c r="G8875" i="1"/>
  <c r="F8875" i="1"/>
  <c r="N8874" i="1"/>
  <c r="H8874" i="1"/>
  <c r="G8874" i="1"/>
  <c r="F8874" i="1"/>
  <c r="N8873" i="1"/>
  <c r="H8873" i="1"/>
  <c r="G8873" i="1"/>
  <c r="F8873" i="1"/>
  <c r="N8872" i="1"/>
  <c r="H8872" i="1"/>
  <c r="G8872" i="1"/>
  <c r="F8872" i="1"/>
  <c r="N8871" i="1"/>
  <c r="H8871" i="1"/>
  <c r="G8871" i="1"/>
  <c r="F8871" i="1"/>
  <c r="N8870" i="1"/>
  <c r="H8870" i="1"/>
  <c r="G8870" i="1"/>
  <c r="F8870" i="1"/>
  <c r="N8869" i="1"/>
  <c r="H8869" i="1"/>
  <c r="G8869" i="1"/>
  <c r="F8869" i="1"/>
  <c r="N8868" i="1"/>
  <c r="H8868" i="1"/>
  <c r="G8868" i="1"/>
  <c r="F8868" i="1"/>
  <c r="N8867" i="1"/>
  <c r="H8867" i="1"/>
  <c r="G8867" i="1"/>
  <c r="F8867" i="1"/>
  <c r="N8866" i="1"/>
  <c r="H8866" i="1"/>
  <c r="G8866" i="1"/>
  <c r="F8866" i="1"/>
  <c r="N8865" i="1"/>
  <c r="H8865" i="1"/>
  <c r="G8865" i="1"/>
  <c r="F8865" i="1"/>
  <c r="N8864" i="1"/>
  <c r="H8864" i="1"/>
  <c r="G8864" i="1"/>
  <c r="F8864" i="1"/>
  <c r="N8863" i="1"/>
  <c r="H8863" i="1"/>
  <c r="G8863" i="1"/>
  <c r="F8863" i="1"/>
  <c r="N8862" i="1"/>
  <c r="H8862" i="1"/>
  <c r="G8862" i="1"/>
  <c r="F8862" i="1"/>
  <c r="N8861" i="1"/>
  <c r="H8861" i="1"/>
  <c r="G8861" i="1"/>
  <c r="F8861" i="1"/>
  <c r="N8860" i="1"/>
  <c r="H8860" i="1"/>
  <c r="G8860" i="1"/>
  <c r="F8860" i="1"/>
  <c r="N8859" i="1"/>
  <c r="H8859" i="1"/>
  <c r="G8859" i="1"/>
  <c r="F8859" i="1"/>
  <c r="N8858" i="1"/>
  <c r="H8858" i="1"/>
  <c r="G8858" i="1"/>
  <c r="F8858" i="1"/>
  <c r="N8857" i="1"/>
  <c r="H8857" i="1"/>
  <c r="G8857" i="1"/>
  <c r="F8857" i="1"/>
  <c r="N8856" i="1"/>
  <c r="H8856" i="1"/>
  <c r="G8856" i="1"/>
  <c r="F8856" i="1"/>
  <c r="N8855" i="1"/>
  <c r="H8855" i="1"/>
  <c r="G8855" i="1"/>
  <c r="F8855" i="1"/>
  <c r="N8854" i="1"/>
  <c r="H8854" i="1"/>
  <c r="G8854" i="1"/>
  <c r="F8854" i="1"/>
  <c r="N8853" i="1"/>
  <c r="H8853" i="1"/>
  <c r="G8853" i="1"/>
  <c r="F8853" i="1"/>
  <c r="N8852" i="1"/>
  <c r="H8852" i="1"/>
  <c r="G8852" i="1"/>
  <c r="F8852" i="1"/>
  <c r="N8851" i="1"/>
  <c r="H8851" i="1"/>
  <c r="G8851" i="1"/>
  <c r="F8851" i="1"/>
  <c r="N8850" i="1"/>
  <c r="H8850" i="1"/>
  <c r="G8850" i="1"/>
  <c r="F8850" i="1"/>
  <c r="N8849" i="1"/>
  <c r="H8849" i="1"/>
  <c r="G8849" i="1"/>
  <c r="F8849" i="1"/>
  <c r="N8848" i="1"/>
  <c r="H8848" i="1"/>
  <c r="G8848" i="1"/>
  <c r="F8848" i="1"/>
  <c r="N8847" i="1"/>
  <c r="H8847" i="1"/>
  <c r="G8847" i="1"/>
  <c r="F8847" i="1"/>
  <c r="N8846" i="1"/>
  <c r="H8846" i="1"/>
  <c r="G8846" i="1"/>
  <c r="F8846" i="1"/>
  <c r="N8845" i="1"/>
  <c r="H8845" i="1"/>
  <c r="G8845" i="1"/>
  <c r="F8845" i="1"/>
  <c r="N8844" i="1"/>
  <c r="H8844" i="1"/>
  <c r="G8844" i="1"/>
  <c r="F8844" i="1"/>
  <c r="N8843" i="1"/>
  <c r="H8843" i="1"/>
  <c r="G8843" i="1"/>
  <c r="F8843" i="1"/>
  <c r="N8842" i="1"/>
  <c r="H8842" i="1"/>
  <c r="G8842" i="1"/>
  <c r="F8842" i="1"/>
  <c r="N8841" i="1"/>
  <c r="H8841" i="1"/>
  <c r="G8841" i="1"/>
  <c r="F8841" i="1"/>
  <c r="N8840" i="1"/>
  <c r="H8840" i="1"/>
  <c r="G8840" i="1"/>
  <c r="F8840" i="1"/>
  <c r="N8839" i="1"/>
  <c r="H8839" i="1"/>
  <c r="G8839" i="1"/>
  <c r="F8839" i="1"/>
  <c r="N8838" i="1"/>
  <c r="H8838" i="1"/>
  <c r="G8838" i="1"/>
  <c r="F8838" i="1"/>
  <c r="N8837" i="1"/>
  <c r="H8837" i="1"/>
  <c r="G8837" i="1"/>
  <c r="F8837" i="1"/>
  <c r="N8836" i="1"/>
  <c r="H8836" i="1"/>
  <c r="G8836" i="1"/>
  <c r="F8836" i="1"/>
  <c r="N8835" i="1"/>
  <c r="H8835" i="1"/>
  <c r="G8835" i="1"/>
  <c r="F8835" i="1"/>
  <c r="N8834" i="1"/>
  <c r="H8834" i="1"/>
  <c r="G8834" i="1"/>
  <c r="F8834" i="1"/>
  <c r="N8833" i="1"/>
  <c r="H8833" i="1"/>
  <c r="G8833" i="1"/>
  <c r="F8833" i="1"/>
  <c r="N8832" i="1"/>
  <c r="H8832" i="1"/>
  <c r="G8832" i="1"/>
  <c r="F8832" i="1"/>
  <c r="N8831" i="1"/>
  <c r="H8831" i="1"/>
  <c r="G8831" i="1"/>
  <c r="F8831" i="1"/>
  <c r="N8830" i="1"/>
  <c r="H8830" i="1"/>
  <c r="G8830" i="1"/>
  <c r="F8830" i="1"/>
  <c r="N8829" i="1"/>
  <c r="H8829" i="1"/>
  <c r="G8829" i="1"/>
  <c r="F8829" i="1"/>
  <c r="N8828" i="1"/>
  <c r="H8828" i="1"/>
  <c r="G8828" i="1"/>
  <c r="F8828" i="1"/>
  <c r="N8827" i="1"/>
  <c r="H8827" i="1"/>
  <c r="G8827" i="1"/>
  <c r="F8827" i="1"/>
  <c r="N8826" i="1"/>
  <c r="H8826" i="1"/>
  <c r="G8826" i="1"/>
  <c r="F8826" i="1"/>
  <c r="N8825" i="1"/>
  <c r="H8825" i="1"/>
  <c r="G8825" i="1"/>
  <c r="F8825" i="1"/>
  <c r="N8824" i="1"/>
  <c r="H8824" i="1"/>
  <c r="G8824" i="1"/>
  <c r="F8824" i="1"/>
  <c r="N8823" i="1"/>
  <c r="H8823" i="1"/>
  <c r="G8823" i="1"/>
  <c r="F8823" i="1"/>
  <c r="N8822" i="1"/>
  <c r="H8822" i="1"/>
  <c r="G8822" i="1"/>
  <c r="F8822" i="1"/>
  <c r="N8821" i="1"/>
  <c r="H8821" i="1"/>
  <c r="G8821" i="1"/>
  <c r="F8821" i="1"/>
  <c r="N8820" i="1"/>
  <c r="H8820" i="1"/>
  <c r="G8820" i="1"/>
  <c r="F8820" i="1"/>
  <c r="N8819" i="1"/>
  <c r="H8819" i="1"/>
  <c r="G8819" i="1"/>
  <c r="F8819" i="1"/>
  <c r="N8818" i="1"/>
  <c r="H8818" i="1"/>
  <c r="G8818" i="1"/>
  <c r="F8818" i="1"/>
  <c r="N8817" i="1"/>
  <c r="H8817" i="1"/>
  <c r="G8817" i="1"/>
  <c r="F8817" i="1"/>
  <c r="N8816" i="1"/>
  <c r="H8816" i="1"/>
  <c r="G8816" i="1"/>
  <c r="F8816" i="1"/>
  <c r="N8815" i="1"/>
  <c r="H8815" i="1"/>
  <c r="G8815" i="1"/>
  <c r="F8815" i="1"/>
  <c r="N8814" i="1"/>
  <c r="H8814" i="1"/>
  <c r="G8814" i="1"/>
  <c r="F8814" i="1"/>
  <c r="N8813" i="1"/>
  <c r="H8813" i="1"/>
  <c r="G8813" i="1"/>
  <c r="F8813" i="1"/>
  <c r="N8812" i="1"/>
  <c r="H8812" i="1"/>
  <c r="G8812" i="1"/>
  <c r="F8812" i="1"/>
  <c r="N8811" i="1"/>
  <c r="H8811" i="1"/>
  <c r="G8811" i="1"/>
  <c r="F8811" i="1"/>
  <c r="N8810" i="1"/>
  <c r="H8810" i="1"/>
  <c r="G8810" i="1"/>
  <c r="F8810" i="1"/>
  <c r="N8809" i="1"/>
  <c r="H8809" i="1"/>
  <c r="G8809" i="1"/>
  <c r="F8809" i="1"/>
  <c r="N8808" i="1"/>
  <c r="H8808" i="1"/>
  <c r="G8808" i="1"/>
  <c r="F8808" i="1"/>
  <c r="N8807" i="1"/>
  <c r="H8807" i="1"/>
  <c r="G8807" i="1"/>
  <c r="F8807" i="1"/>
  <c r="N8806" i="1"/>
  <c r="H8806" i="1"/>
  <c r="G8806" i="1"/>
  <c r="F8806" i="1"/>
  <c r="N8805" i="1"/>
  <c r="H8805" i="1"/>
  <c r="G8805" i="1"/>
  <c r="F8805" i="1"/>
  <c r="N8804" i="1"/>
  <c r="H8804" i="1"/>
  <c r="G8804" i="1"/>
  <c r="F8804" i="1"/>
  <c r="N8803" i="1"/>
  <c r="H8803" i="1"/>
  <c r="G8803" i="1"/>
  <c r="F8803" i="1"/>
  <c r="N8802" i="1"/>
  <c r="H8802" i="1"/>
  <c r="G8802" i="1"/>
  <c r="F8802" i="1"/>
  <c r="N8801" i="1"/>
  <c r="H8801" i="1"/>
  <c r="G8801" i="1"/>
  <c r="F8801" i="1"/>
  <c r="N8800" i="1"/>
  <c r="H8800" i="1"/>
  <c r="G8800" i="1"/>
  <c r="F8800" i="1"/>
  <c r="N8799" i="1"/>
  <c r="H8799" i="1"/>
  <c r="G8799" i="1"/>
  <c r="F8799" i="1"/>
  <c r="N8798" i="1"/>
  <c r="H8798" i="1"/>
  <c r="G8798" i="1"/>
  <c r="F8798" i="1"/>
  <c r="N8797" i="1"/>
  <c r="H8797" i="1"/>
  <c r="G8797" i="1"/>
  <c r="F8797" i="1"/>
  <c r="N8796" i="1"/>
  <c r="H8796" i="1"/>
  <c r="G8796" i="1"/>
  <c r="F8796" i="1"/>
  <c r="N8795" i="1"/>
  <c r="H8795" i="1"/>
  <c r="G8795" i="1"/>
  <c r="F8795" i="1"/>
  <c r="N8794" i="1"/>
  <c r="H8794" i="1"/>
  <c r="G8794" i="1"/>
  <c r="F8794" i="1"/>
  <c r="N8793" i="1"/>
  <c r="H8793" i="1"/>
  <c r="G8793" i="1"/>
  <c r="F8793" i="1"/>
  <c r="N8792" i="1"/>
  <c r="H8792" i="1"/>
  <c r="G8792" i="1"/>
  <c r="F8792" i="1"/>
  <c r="N8791" i="1"/>
  <c r="H8791" i="1"/>
  <c r="G8791" i="1"/>
  <c r="F8791" i="1"/>
  <c r="N8790" i="1"/>
  <c r="H8790" i="1"/>
  <c r="G8790" i="1"/>
  <c r="F8790" i="1"/>
  <c r="N8789" i="1"/>
  <c r="H8789" i="1"/>
  <c r="G8789" i="1"/>
  <c r="F8789" i="1"/>
  <c r="N8788" i="1"/>
  <c r="H8788" i="1"/>
  <c r="G8788" i="1"/>
  <c r="F8788" i="1"/>
  <c r="N8787" i="1"/>
  <c r="H8787" i="1"/>
  <c r="G8787" i="1"/>
  <c r="F8787" i="1"/>
  <c r="N8786" i="1"/>
  <c r="H8786" i="1"/>
  <c r="G8786" i="1"/>
  <c r="F8786" i="1"/>
  <c r="N8785" i="1"/>
  <c r="H8785" i="1"/>
  <c r="G8785" i="1"/>
  <c r="F8785" i="1"/>
  <c r="N8784" i="1"/>
  <c r="H8784" i="1"/>
  <c r="G8784" i="1"/>
  <c r="F8784" i="1"/>
  <c r="N8783" i="1"/>
  <c r="H8783" i="1"/>
  <c r="G8783" i="1"/>
  <c r="F8783" i="1"/>
  <c r="N8782" i="1"/>
  <c r="H8782" i="1"/>
  <c r="G8782" i="1"/>
  <c r="F8782" i="1"/>
  <c r="N8781" i="1"/>
  <c r="H8781" i="1"/>
  <c r="G8781" i="1"/>
  <c r="F8781" i="1"/>
  <c r="N8780" i="1"/>
  <c r="H8780" i="1"/>
  <c r="G8780" i="1"/>
  <c r="F8780" i="1"/>
  <c r="N8779" i="1"/>
  <c r="H8779" i="1"/>
  <c r="G8779" i="1"/>
  <c r="F8779" i="1"/>
  <c r="N8778" i="1"/>
  <c r="H8778" i="1"/>
  <c r="G8778" i="1"/>
  <c r="F8778" i="1"/>
  <c r="N8777" i="1"/>
  <c r="H8777" i="1"/>
  <c r="G8777" i="1"/>
  <c r="F8777" i="1"/>
  <c r="N8776" i="1"/>
  <c r="H8776" i="1"/>
  <c r="G8776" i="1"/>
  <c r="F8776" i="1"/>
  <c r="N8775" i="1"/>
  <c r="H8775" i="1"/>
  <c r="G8775" i="1"/>
  <c r="F8775" i="1"/>
  <c r="N8774" i="1"/>
  <c r="H8774" i="1"/>
  <c r="G8774" i="1"/>
  <c r="F8774" i="1"/>
  <c r="N8773" i="1"/>
  <c r="H8773" i="1"/>
  <c r="G8773" i="1"/>
  <c r="F8773" i="1"/>
  <c r="N8772" i="1"/>
  <c r="H8772" i="1"/>
  <c r="G8772" i="1"/>
  <c r="F8772" i="1"/>
  <c r="N8771" i="1"/>
  <c r="H8771" i="1"/>
  <c r="G8771" i="1"/>
  <c r="F8771" i="1"/>
  <c r="N8770" i="1"/>
  <c r="H8770" i="1"/>
  <c r="G8770" i="1"/>
  <c r="F8770" i="1"/>
  <c r="N8769" i="1"/>
  <c r="H8769" i="1"/>
  <c r="G8769" i="1"/>
  <c r="F8769" i="1"/>
  <c r="N8768" i="1"/>
  <c r="H8768" i="1"/>
  <c r="G8768" i="1"/>
  <c r="F8768" i="1"/>
  <c r="N8767" i="1"/>
  <c r="H8767" i="1"/>
  <c r="G8767" i="1"/>
  <c r="F8767" i="1"/>
  <c r="N8766" i="1"/>
  <c r="H8766" i="1"/>
  <c r="G8766" i="1"/>
  <c r="F8766" i="1"/>
  <c r="N8765" i="1"/>
  <c r="H8765" i="1"/>
  <c r="G8765" i="1"/>
  <c r="F8765" i="1"/>
  <c r="N8764" i="1"/>
  <c r="H8764" i="1"/>
  <c r="G8764" i="1"/>
  <c r="F8764" i="1"/>
  <c r="N8763" i="1"/>
  <c r="H8763" i="1"/>
  <c r="G8763" i="1"/>
  <c r="F8763" i="1"/>
  <c r="N8762" i="1"/>
  <c r="H8762" i="1"/>
  <c r="G8762" i="1"/>
  <c r="F8762" i="1"/>
  <c r="N8761" i="1"/>
  <c r="H8761" i="1"/>
  <c r="G8761" i="1"/>
  <c r="F8761" i="1"/>
  <c r="N8760" i="1"/>
  <c r="H8760" i="1"/>
  <c r="G8760" i="1"/>
  <c r="F8760" i="1"/>
  <c r="N8759" i="1"/>
  <c r="H8759" i="1"/>
  <c r="G8759" i="1"/>
  <c r="F8759" i="1"/>
  <c r="N8758" i="1"/>
  <c r="H8758" i="1"/>
  <c r="G8758" i="1"/>
  <c r="F8758" i="1"/>
  <c r="N8757" i="1"/>
  <c r="H8757" i="1"/>
  <c r="G8757" i="1"/>
  <c r="F8757" i="1"/>
  <c r="N8756" i="1"/>
  <c r="H8756" i="1"/>
  <c r="G8756" i="1"/>
  <c r="F8756" i="1"/>
  <c r="N8755" i="1"/>
  <c r="H8755" i="1"/>
  <c r="G8755" i="1"/>
  <c r="F8755" i="1"/>
  <c r="N8754" i="1"/>
  <c r="H8754" i="1"/>
  <c r="G8754" i="1"/>
  <c r="F8754" i="1"/>
  <c r="N8753" i="1"/>
  <c r="H8753" i="1"/>
  <c r="G8753" i="1"/>
  <c r="F8753" i="1"/>
  <c r="N8752" i="1"/>
  <c r="H8752" i="1"/>
  <c r="G8752" i="1"/>
  <c r="F8752" i="1"/>
  <c r="N8751" i="1"/>
  <c r="H8751" i="1"/>
  <c r="G8751" i="1"/>
  <c r="F8751" i="1"/>
  <c r="N8750" i="1"/>
  <c r="H8750" i="1"/>
  <c r="G8750" i="1"/>
  <c r="F8750" i="1"/>
  <c r="N8749" i="1"/>
  <c r="H8749" i="1"/>
  <c r="G8749" i="1"/>
  <c r="F8749" i="1"/>
  <c r="N8748" i="1"/>
  <c r="H8748" i="1"/>
  <c r="G8748" i="1"/>
  <c r="F8748" i="1"/>
  <c r="N8747" i="1"/>
  <c r="H8747" i="1"/>
  <c r="G8747" i="1"/>
  <c r="F8747" i="1"/>
  <c r="N8746" i="1"/>
  <c r="H8746" i="1"/>
  <c r="G8746" i="1"/>
  <c r="F8746" i="1"/>
  <c r="N8745" i="1"/>
  <c r="H8745" i="1"/>
  <c r="G8745" i="1"/>
  <c r="F8745" i="1"/>
  <c r="N8744" i="1"/>
  <c r="H8744" i="1"/>
  <c r="G8744" i="1"/>
  <c r="F8744" i="1"/>
  <c r="N8743" i="1"/>
  <c r="H8743" i="1"/>
  <c r="G8743" i="1"/>
  <c r="F8743" i="1"/>
  <c r="N8742" i="1"/>
  <c r="H8742" i="1"/>
  <c r="G8742" i="1"/>
  <c r="F8742" i="1"/>
  <c r="N8741" i="1"/>
  <c r="H8741" i="1"/>
  <c r="G8741" i="1"/>
  <c r="F8741" i="1"/>
  <c r="N8740" i="1"/>
  <c r="H8740" i="1"/>
  <c r="G8740" i="1"/>
  <c r="F8740" i="1"/>
  <c r="N8739" i="1"/>
  <c r="H8739" i="1"/>
  <c r="G8739" i="1"/>
  <c r="F8739" i="1"/>
  <c r="N8738" i="1"/>
  <c r="H8738" i="1"/>
  <c r="G8738" i="1"/>
  <c r="F8738" i="1"/>
  <c r="N8737" i="1"/>
  <c r="H8737" i="1"/>
  <c r="G8737" i="1"/>
  <c r="F8737" i="1"/>
  <c r="N8736" i="1"/>
  <c r="H8736" i="1"/>
  <c r="G8736" i="1"/>
  <c r="F8736" i="1"/>
  <c r="N8735" i="1"/>
  <c r="H8735" i="1"/>
  <c r="G8735" i="1"/>
  <c r="F8735" i="1"/>
  <c r="N8734" i="1"/>
  <c r="H8734" i="1"/>
  <c r="G8734" i="1"/>
  <c r="F8734" i="1"/>
  <c r="N8733" i="1"/>
  <c r="H8733" i="1"/>
  <c r="G8733" i="1"/>
  <c r="F8733" i="1"/>
  <c r="N8732" i="1"/>
  <c r="H8732" i="1"/>
  <c r="G8732" i="1"/>
  <c r="F8732" i="1"/>
  <c r="N8731" i="1"/>
  <c r="H8731" i="1"/>
  <c r="G8731" i="1"/>
  <c r="F8731" i="1"/>
  <c r="N8730" i="1"/>
  <c r="H8730" i="1"/>
  <c r="G8730" i="1"/>
  <c r="F8730" i="1"/>
  <c r="N8729" i="1"/>
  <c r="H8729" i="1"/>
  <c r="G8729" i="1"/>
  <c r="F8729" i="1"/>
  <c r="N8728" i="1"/>
  <c r="H8728" i="1"/>
  <c r="G8728" i="1"/>
  <c r="F8728" i="1"/>
  <c r="N8727" i="1"/>
  <c r="H8727" i="1"/>
  <c r="G8727" i="1"/>
  <c r="F8727" i="1"/>
  <c r="N8726" i="1"/>
  <c r="H8726" i="1"/>
  <c r="G8726" i="1"/>
  <c r="F8726" i="1"/>
  <c r="N8725" i="1"/>
  <c r="H8725" i="1"/>
  <c r="G8725" i="1"/>
  <c r="F8725" i="1"/>
  <c r="N8724" i="1"/>
  <c r="H8724" i="1"/>
  <c r="G8724" i="1"/>
  <c r="F8724" i="1"/>
  <c r="N8723" i="1"/>
  <c r="H8723" i="1"/>
  <c r="G8723" i="1"/>
  <c r="F8723" i="1"/>
  <c r="N8722" i="1"/>
  <c r="H8722" i="1"/>
  <c r="G8722" i="1"/>
  <c r="F8722" i="1"/>
  <c r="N8721" i="1"/>
  <c r="H8721" i="1"/>
  <c r="G8721" i="1"/>
  <c r="F8721" i="1"/>
  <c r="N8720" i="1"/>
  <c r="H8720" i="1"/>
  <c r="G8720" i="1"/>
  <c r="F8720" i="1"/>
  <c r="N8719" i="1"/>
  <c r="H8719" i="1"/>
  <c r="G8719" i="1"/>
  <c r="F8719" i="1"/>
  <c r="N8718" i="1"/>
  <c r="H8718" i="1"/>
  <c r="G8718" i="1"/>
  <c r="F8718" i="1"/>
  <c r="N8717" i="1"/>
  <c r="H8717" i="1"/>
  <c r="G8717" i="1"/>
  <c r="F8717" i="1"/>
  <c r="N8716" i="1"/>
  <c r="H8716" i="1"/>
  <c r="G8716" i="1"/>
  <c r="F8716" i="1"/>
  <c r="N8715" i="1"/>
  <c r="H8715" i="1"/>
  <c r="G8715" i="1"/>
  <c r="F8715" i="1"/>
  <c r="N8714" i="1"/>
  <c r="H8714" i="1"/>
  <c r="G8714" i="1"/>
  <c r="F8714" i="1"/>
  <c r="N8713" i="1"/>
  <c r="H8713" i="1"/>
  <c r="G8713" i="1"/>
  <c r="F8713" i="1"/>
  <c r="N8712" i="1"/>
  <c r="H8712" i="1"/>
  <c r="G8712" i="1"/>
  <c r="F8712" i="1"/>
  <c r="N8711" i="1"/>
  <c r="H8711" i="1"/>
  <c r="G8711" i="1"/>
  <c r="F8711" i="1"/>
  <c r="N8710" i="1"/>
  <c r="H8710" i="1"/>
  <c r="G8710" i="1"/>
  <c r="F8710" i="1"/>
  <c r="N8709" i="1"/>
  <c r="H8709" i="1"/>
  <c r="G8709" i="1"/>
  <c r="F8709" i="1"/>
  <c r="N8708" i="1"/>
  <c r="H8708" i="1"/>
  <c r="G8708" i="1"/>
  <c r="F8708" i="1"/>
  <c r="N8707" i="1"/>
  <c r="H8707" i="1"/>
  <c r="G8707" i="1"/>
  <c r="F8707" i="1"/>
  <c r="N8706" i="1"/>
  <c r="H8706" i="1"/>
  <c r="G8706" i="1"/>
  <c r="F8706" i="1"/>
  <c r="N8705" i="1"/>
  <c r="H8705" i="1"/>
  <c r="G8705" i="1"/>
  <c r="F8705" i="1"/>
  <c r="N8704" i="1"/>
  <c r="H8704" i="1"/>
  <c r="G8704" i="1"/>
  <c r="F8704" i="1"/>
  <c r="N8703" i="1"/>
  <c r="H8703" i="1"/>
  <c r="G8703" i="1"/>
  <c r="F8703" i="1"/>
  <c r="N8702" i="1"/>
  <c r="H8702" i="1"/>
  <c r="G8702" i="1"/>
  <c r="F8702" i="1"/>
  <c r="N8701" i="1"/>
  <c r="H8701" i="1"/>
  <c r="G8701" i="1"/>
  <c r="F8701" i="1"/>
  <c r="N8700" i="1"/>
  <c r="H8700" i="1"/>
  <c r="G8700" i="1"/>
  <c r="F8700" i="1"/>
  <c r="N8699" i="1"/>
  <c r="H8699" i="1"/>
  <c r="G8699" i="1"/>
  <c r="F8699" i="1"/>
  <c r="N8698" i="1"/>
  <c r="H8698" i="1"/>
  <c r="G8698" i="1"/>
  <c r="F8698" i="1"/>
  <c r="N8697" i="1"/>
  <c r="H8697" i="1"/>
  <c r="G8697" i="1"/>
  <c r="F8697" i="1"/>
  <c r="N8696" i="1"/>
  <c r="H8696" i="1"/>
  <c r="G8696" i="1"/>
  <c r="F8696" i="1"/>
  <c r="N8695" i="1"/>
  <c r="H8695" i="1"/>
  <c r="G8695" i="1"/>
  <c r="F8695" i="1"/>
  <c r="N8694" i="1"/>
  <c r="H8694" i="1"/>
  <c r="G8694" i="1"/>
  <c r="F8694" i="1"/>
  <c r="N8693" i="1"/>
  <c r="H8693" i="1"/>
  <c r="G8693" i="1"/>
  <c r="F8693" i="1"/>
  <c r="N8692" i="1"/>
  <c r="H8692" i="1"/>
  <c r="G8692" i="1"/>
  <c r="F8692" i="1"/>
  <c r="N8691" i="1"/>
  <c r="H8691" i="1"/>
  <c r="G8691" i="1"/>
  <c r="F8691" i="1"/>
  <c r="N8690" i="1"/>
  <c r="H8690" i="1"/>
  <c r="G8690" i="1"/>
  <c r="F8690" i="1"/>
  <c r="N8689" i="1"/>
  <c r="H8689" i="1"/>
  <c r="G8689" i="1"/>
  <c r="F8689" i="1"/>
  <c r="N8688" i="1"/>
  <c r="H8688" i="1"/>
  <c r="G8688" i="1"/>
  <c r="F8688" i="1"/>
  <c r="N8687" i="1"/>
  <c r="H8687" i="1"/>
  <c r="G8687" i="1"/>
  <c r="F8687" i="1"/>
  <c r="N8686" i="1"/>
  <c r="H8686" i="1"/>
  <c r="G8686" i="1"/>
  <c r="F8686" i="1"/>
  <c r="N8685" i="1"/>
  <c r="H8685" i="1"/>
  <c r="G8685" i="1"/>
  <c r="F8685" i="1"/>
  <c r="N8684" i="1"/>
  <c r="H8684" i="1"/>
  <c r="G8684" i="1"/>
  <c r="F8684" i="1"/>
  <c r="N8683" i="1"/>
  <c r="H8683" i="1"/>
  <c r="G8683" i="1"/>
  <c r="F8683" i="1"/>
  <c r="N8682" i="1"/>
  <c r="H8682" i="1"/>
  <c r="G8682" i="1"/>
  <c r="F8682" i="1"/>
  <c r="N8681" i="1"/>
  <c r="H8681" i="1"/>
  <c r="G8681" i="1"/>
  <c r="F8681" i="1"/>
  <c r="N8680" i="1"/>
  <c r="H8680" i="1"/>
  <c r="G8680" i="1"/>
  <c r="F8680" i="1"/>
  <c r="N8679" i="1"/>
  <c r="H8679" i="1"/>
  <c r="G8679" i="1"/>
  <c r="F8679" i="1"/>
  <c r="N8678" i="1"/>
  <c r="H8678" i="1"/>
  <c r="G8678" i="1"/>
  <c r="F8678" i="1"/>
  <c r="N8677" i="1"/>
  <c r="H8677" i="1"/>
  <c r="G8677" i="1"/>
  <c r="F8677" i="1"/>
  <c r="N8676" i="1"/>
  <c r="H8676" i="1"/>
  <c r="G8676" i="1"/>
  <c r="F8676" i="1"/>
  <c r="N8675" i="1"/>
  <c r="H8675" i="1"/>
  <c r="G8675" i="1"/>
  <c r="F8675" i="1"/>
  <c r="N8674" i="1"/>
  <c r="H8674" i="1"/>
  <c r="G8674" i="1"/>
  <c r="F8674" i="1"/>
  <c r="N8673" i="1"/>
  <c r="H8673" i="1"/>
  <c r="G8673" i="1"/>
  <c r="F8673" i="1"/>
  <c r="N8672" i="1"/>
  <c r="H8672" i="1"/>
  <c r="G8672" i="1"/>
  <c r="F8672" i="1"/>
  <c r="N8671" i="1"/>
  <c r="H8671" i="1"/>
  <c r="G8671" i="1"/>
  <c r="F8671" i="1"/>
  <c r="N8670" i="1"/>
  <c r="H8670" i="1"/>
  <c r="G8670" i="1"/>
  <c r="F8670" i="1"/>
  <c r="N8669" i="1"/>
  <c r="H8669" i="1"/>
  <c r="G8669" i="1"/>
  <c r="F8669" i="1"/>
  <c r="N8668" i="1"/>
  <c r="H8668" i="1"/>
  <c r="G8668" i="1"/>
  <c r="F8668" i="1"/>
  <c r="N8667" i="1"/>
  <c r="H8667" i="1"/>
  <c r="G8667" i="1"/>
  <c r="F8667" i="1"/>
  <c r="N8666" i="1"/>
  <c r="H8666" i="1"/>
  <c r="G8666" i="1"/>
  <c r="F8666" i="1"/>
  <c r="N8665" i="1"/>
  <c r="H8665" i="1"/>
  <c r="G8665" i="1"/>
  <c r="F8665" i="1"/>
  <c r="N8664" i="1"/>
  <c r="H8664" i="1"/>
  <c r="G8664" i="1"/>
  <c r="F8664" i="1"/>
  <c r="N8663" i="1"/>
  <c r="H8663" i="1"/>
  <c r="G8663" i="1"/>
  <c r="F8663" i="1"/>
  <c r="N8662" i="1"/>
  <c r="H8662" i="1"/>
  <c r="G8662" i="1"/>
  <c r="F8662" i="1"/>
  <c r="N8661" i="1"/>
  <c r="H8661" i="1"/>
  <c r="G8661" i="1"/>
  <c r="F8661" i="1"/>
  <c r="N8660" i="1"/>
  <c r="H8660" i="1"/>
  <c r="G8660" i="1"/>
  <c r="F8660" i="1"/>
  <c r="N8659" i="1"/>
  <c r="H8659" i="1"/>
  <c r="G8659" i="1"/>
  <c r="F8659" i="1"/>
  <c r="N8658" i="1"/>
  <c r="H8658" i="1"/>
  <c r="G8658" i="1"/>
  <c r="F8658" i="1"/>
  <c r="N8657" i="1"/>
  <c r="H8657" i="1"/>
  <c r="G8657" i="1"/>
  <c r="F8657" i="1"/>
  <c r="N8656" i="1"/>
  <c r="H8656" i="1"/>
  <c r="G8656" i="1"/>
  <c r="F8656" i="1"/>
  <c r="N8655" i="1"/>
  <c r="H8655" i="1"/>
  <c r="G8655" i="1"/>
  <c r="F8655" i="1"/>
  <c r="N8654" i="1"/>
  <c r="H8654" i="1"/>
  <c r="G8654" i="1"/>
  <c r="F8654" i="1"/>
  <c r="N8653" i="1"/>
  <c r="H8653" i="1"/>
  <c r="G8653" i="1"/>
  <c r="F8653" i="1"/>
  <c r="N8652" i="1"/>
  <c r="H8652" i="1"/>
  <c r="G8652" i="1"/>
  <c r="F8652" i="1"/>
  <c r="N8651" i="1"/>
  <c r="H8651" i="1"/>
  <c r="G8651" i="1"/>
  <c r="F8651" i="1"/>
  <c r="N8650" i="1"/>
  <c r="H8650" i="1"/>
  <c r="G8650" i="1"/>
  <c r="F8650" i="1"/>
  <c r="N8649" i="1"/>
  <c r="H8649" i="1"/>
  <c r="G8649" i="1"/>
  <c r="F8649" i="1"/>
  <c r="N8648" i="1"/>
  <c r="H8648" i="1"/>
  <c r="G8648" i="1"/>
  <c r="F8648" i="1"/>
  <c r="N8647" i="1"/>
  <c r="H8647" i="1"/>
  <c r="G8647" i="1"/>
  <c r="F8647" i="1"/>
  <c r="N8646" i="1"/>
  <c r="H8646" i="1"/>
  <c r="G8646" i="1"/>
  <c r="F8646" i="1"/>
  <c r="N8645" i="1"/>
  <c r="H8645" i="1"/>
  <c r="G8645" i="1"/>
  <c r="F8645" i="1"/>
  <c r="N8644" i="1"/>
  <c r="H8644" i="1"/>
  <c r="G8644" i="1"/>
  <c r="F8644" i="1"/>
  <c r="N8643" i="1"/>
  <c r="H8643" i="1"/>
  <c r="G8643" i="1"/>
  <c r="F8643" i="1"/>
  <c r="N8642" i="1"/>
  <c r="H8642" i="1"/>
  <c r="G8642" i="1"/>
  <c r="F8642" i="1"/>
  <c r="N8641" i="1"/>
  <c r="H8641" i="1"/>
  <c r="G8641" i="1"/>
  <c r="F8641" i="1"/>
  <c r="N8640" i="1"/>
  <c r="H8640" i="1"/>
  <c r="G8640" i="1"/>
  <c r="F8640" i="1"/>
  <c r="N8639" i="1"/>
  <c r="H8639" i="1"/>
  <c r="G8639" i="1"/>
  <c r="F8639" i="1"/>
  <c r="N8638" i="1"/>
  <c r="H8638" i="1"/>
  <c r="G8638" i="1"/>
  <c r="F8638" i="1"/>
  <c r="N8637" i="1"/>
  <c r="H8637" i="1"/>
  <c r="G8637" i="1"/>
  <c r="F8637" i="1"/>
  <c r="N8636" i="1"/>
  <c r="H8636" i="1"/>
  <c r="G8636" i="1"/>
  <c r="F8636" i="1"/>
  <c r="N8635" i="1"/>
  <c r="H8635" i="1"/>
  <c r="G8635" i="1"/>
  <c r="F8635" i="1"/>
  <c r="N8634" i="1"/>
  <c r="H8634" i="1"/>
  <c r="G8634" i="1"/>
  <c r="F8634" i="1"/>
  <c r="N8633" i="1"/>
  <c r="H8633" i="1"/>
  <c r="G8633" i="1"/>
  <c r="F8633" i="1"/>
  <c r="N8632" i="1"/>
  <c r="H8632" i="1"/>
  <c r="G8632" i="1"/>
  <c r="F8632" i="1"/>
  <c r="N8631" i="1"/>
  <c r="H8631" i="1"/>
  <c r="G8631" i="1"/>
  <c r="F8631" i="1"/>
  <c r="N8630" i="1"/>
  <c r="H8630" i="1"/>
  <c r="G8630" i="1"/>
  <c r="F8630" i="1"/>
  <c r="N8629" i="1"/>
  <c r="H8629" i="1"/>
  <c r="G8629" i="1"/>
  <c r="F8629" i="1"/>
  <c r="N8628" i="1"/>
  <c r="H8628" i="1"/>
  <c r="G8628" i="1"/>
  <c r="F8628" i="1"/>
  <c r="N8627" i="1"/>
  <c r="H8627" i="1"/>
  <c r="G8627" i="1"/>
  <c r="F8627" i="1"/>
  <c r="N8626" i="1"/>
  <c r="H8626" i="1"/>
  <c r="G8626" i="1"/>
  <c r="F8626" i="1"/>
  <c r="N8625" i="1"/>
  <c r="H8625" i="1"/>
  <c r="G8625" i="1"/>
  <c r="F8625" i="1"/>
  <c r="N8624" i="1"/>
  <c r="H8624" i="1"/>
  <c r="G8624" i="1"/>
  <c r="F8624" i="1"/>
  <c r="N8623" i="1"/>
  <c r="H8623" i="1"/>
  <c r="G8623" i="1"/>
  <c r="F8623" i="1"/>
  <c r="N8622" i="1"/>
  <c r="H8622" i="1"/>
  <c r="G8622" i="1"/>
  <c r="F8622" i="1"/>
  <c r="N8621" i="1"/>
  <c r="H8621" i="1"/>
  <c r="G8621" i="1"/>
  <c r="F8621" i="1"/>
  <c r="N8620" i="1"/>
  <c r="H8620" i="1"/>
  <c r="G8620" i="1"/>
  <c r="F8620" i="1"/>
  <c r="N8619" i="1"/>
  <c r="H8619" i="1"/>
  <c r="G8619" i="1"/>
  <c r="F8619" i="1"/>
  <c r="N8618" i="1"/>
  <c r="H8618" i="1"/>
  <c r="G8618" i="1"/>
  <c r="F8618" i="1"/>
  <c r="N8617" i="1"/>
  <c r="H8617" i="1"/>
  <c r="G8617" i="1"/>
  <c r="F8617" i="1"/>
  <c r="N8616" i="1"/>
  <c r="H8616" i="1"/>
  <c r="G8616" i="1"/>
  <c r="F8616" i="1"/>
  <c r="N8615" i="1"/>
  <c r="H8615" i="1"/>
  <c r="G8615" i="1"/>
  <c r="F8615" i="1"/>
  <c r="N8614" i="1"/>
  <c r="H8614" i="1"/>
  <c r="G8614" i="1"/>
  <c r="F8614" i="1"/>
  <c r="N8613" i="1"/>
  <c r="H8613" i="1"/>
  <c r="G8613" i="1"/>
  <c r="F8613" i="1"/>
  <c r="N8612" i="1"/>
  <c r="H8612" i="1"/>
  <c r="G8612" i="1"/>
  <c r="F8612" i="1"/>
  <c r="N8611" i="1"/>
  <c r="H8611" i="1"/>
  <c r="G8611" i="1"/>
  <c r="F8611" i="1"/>
  <c r="N8610" i="1"/>
  <c r="H8610" i="1"/>
  <c r="G8610" i="1"/>
  <c r="F8610" i="1"/>
  <c r="N8609" i="1"/>
  <c r="H8609" i="1"/>
  <c r="G8609" i="1"/>
  <c r="F8609" i="1"/>
  <c r="N8608" i="1"/>
  <c r="H8608" i="1"/>
  <c r="G8608" i="1"/>
  <c r="F8608" i="1"/>
  <c r="N8607" i="1"/>
  <c r="H8607" i="1"/>
  <c r="G8607" i="1"/>
  <c r="F8607" i="1"/>
  <c r="N8606" i="1"/>
  <c r="H8606" i="1"/>
  <c r="G8606" i="1"/>
  <c r="F8606" i="1"/>
  <c r="N8605" i="1"/>
  <c r="H8605" i="1"/>
  <c r="G8605" i="1"/>
  <c r="F8605" i="1"/>
  <c r="N8604" i="1"/>
  <c r="H8604" i="1"/>
  <c r="G8604" i="1"/>
  <c r="F8604" i="1"/>
  <c r="N8603" i="1"/>
  <c r="H8603" i="1"/>
  <c r="G8603" i="1"/>
  <c r="F8603" i="1"/>
  <c r="N8602" i="1"/>
  <c r="H8602" i="1"/>
  <c r="G8602" i="1"/>
  <c r="F8602" i="1"/>
  <c r="N8601" i="1"/>
  <c r="H8601" i="1"/>
  <c r="G8601" i="1"/>
  <c r="F8601" i="1"/>
  <c r="N8600" i="1"/>
  <c r="H8600" i="1"/>
  <c r="G8600" i="1"/>
  <c r="F8600" i="1"/>
  <c r="N8599" i="1"/>
  <c r="H8599" i="1"/>
  <c r="G8599" i="1"/>
  <c r="F8599" i="1"/>
  <c r="N8598" i="1"/>
  <c r="H8598" i="1"/>
  <c r="G8598" i="1"/>
  <c r="F8598" i="1"/>
  <c r="N8597" i="1"/>
  <c r="H8597" i="1"/>
  <c r="G8597" i="1"/>
  <c r="F8597" i="1"/>
  <c r="N8596" i="1"/>
  <c r="H8596" i="1"/>
  <c r="G8596" i="1"/>
  <c r="F8596" i="1"/>
  <c r="N8595" i="1"/>
  <c r="H8595" i="1"/>
  <c r="G8595" i="1"/>
  <c r="F8595" i="1"/>
  <c r="N8594" i="1"/>
  <c r="H8594" i="1"/>
  <c r="G8594" i="1"/>
  <c r="F8594" i="1"/>
  <c r="N8593" i="1"/>
  <c r="H8593" i="1"/>
  <c r="G8593" i="1"/>
  <c r="F8593" i="1"/>
  <c r="N8592" i="1"/>
  <c r="H8592" i="1"/>
  <c r="G8592" i="1"/>
  <c r="F8592" i="1"/>
  <c r="N8591" i="1"/>
  <c r="H8591" i="1"/>
  <c r="G8591" i="1"/>
  <c r="F8591" i="1"/>
  <c r="N8590" i="1"/>
  <c r="H8590" i="1"/>
  <c r="G8590" i="1"/>
  <c r="F8590" i="1"/>
  <c r="N8589" i="1"/>
  <c r="H8589" i="1"/>
  <c r="G8589" i="1"/>
  <c r="F8589" i="1"/>
  <c r="N8588" i="1"/>
  <c r="H8588" i="1"/>
  <c r="G8588" i="1"/>
  <c r="F8588" i="1"/>
  <c r="N8587" i="1"/>
  <c r="H8587" i="1"/>
  <c r="G8587" i="1"/>
  <c r="F8587" i="1"/>
  <c r="N8586" i="1"/>
  <c r="H8586" i="1"/>
  <c r="G8586" i="1"/>
  <c r="F8586" i="1"/>
  <c r="N8585" i="1"/>
  <c r="H8585" i="1"/>
  <c r="G8585" i="1"/>
  <c r="F8585" i="1"/>
  <c r="N8584" i="1"/>
  <c r="H8584" i="1"/>
  <c r="G8584" i="1"/>
  <c r="F8584" i="1"/>
  <c r="N8583" i="1"/>
  <c r="H8583" i="1"/>
  <c r="G8583" i="1"/>
  <c r="F8583" i="1"/>
  <c r="N8582" i="1"/>
  <c r="H8582" i="1"/>
  <c r="G8582" i="1"/>
  <c r="F8582" i="1"/>
  <c r="N8581" i="1"/>
  <c r="H8581" i="1"/>
  <c r="G8581" i="1"/>
  <c r="F8581" i="1"/>
  <c r="N8580" i="1"/>
  <c r="H8580" i="1"/>
  <c r="G8580" i="1"/>
  <c r="F8580" i="1"/>
  <c r="N8579" i="1"/>
  <c r="H8579" i="1"/>
  <c r="G8579" i="1"/>
  <c r="F8579" i="1"/>
  <c r="N8578" i="1"/>
  <c r="H8578" i="1"/>
  <c r="G8578" i="1"/>
  <c r="F8578" i="1"/>
  <c r="N8577" i="1"/>
  <c r="H8577" i="1"/>
  <c r="G8577" i="1"/>
  <c r="F8577" i="1"/>
  <c r="N8576" i="1"/>
  <c r="H8576" i="1"/>
  <c r="G8576" i="1"/>
  <c r="F8576" i="1"/>
  <c r="N8575" i="1"/>
  <c r="H8575" i="1"/>
  <c r="G8575" i="1"/>
  <c r="F8575" i="1"/>
  <c r="N8574" i="1"/>
  <c r="H8574" i="1"/>
  <c r="G8574" i="1"/>
  <c r="F8574" i="1"/>
  <c r="N8573" i="1"/>
  <c r="H8573" i="1"/>
  <c r="G8573" i="1"/>
  <c r="F8573" i="1"/>
  <c r="N8572" i="1"/>
  <c r="H8572" i="1"/>
  <c r="G8572" i="1"/>
  <c r="F8572" i="1"/>
  <c r="N8571" i="1"/>
  <c r="H8571" i="1"/>
  <c r="G8571" i="1"/>
  <c r="F8571" i="1"/>
  <c r="N8570" i="1"/>
  <c r="H8570" i="1"/>
  <c r="G8570" i="1"/>
  <c r="F8570" i="1"/>
  <c r="N8569" i="1"/>
  <c r="H8569" i="1"/>
  <c r="G8569" i="1"/>
  <c r="F8569" i="1"/>
  <c r="N8568" i="1"/>
  <c r="H8568" i="1"/>
  <c r="G8568" i="1"/>
  <c r="F8568" i="1"/>
  <c r="N8567" i="1"/>
  <c r="H8567" i="1"/>
  <c r="G8567" i="1"/>
  <c r="F8567" i="1"/>
  <c r="N8566" i="1"/>
  <c r="H8566" i="1"/>
  <c r="G8566" i="1"/>
  <c r="F8566" i="1"/>
  <c r="N8565" i="1"/>
  <c r="H8565" i="1"/>
  <c r="G8565" i="1"/>
  <c r="F8565" i="1"/>
  <c r="N8564" i="1"/>
  <c r="H8564" i="1"/>
  <c r="G8564" i="1"/>
  <c r="F8564" i="1"/>
  <c r="N8563" i="1"/>
  <c r="H8563" i="1"/>
  <c r="G8563" i="1"/>
  <c r="F8563" i="1"/>
  <c r="N8562" i="1"/>
  <c r="H8562" i="1"/>
  <c r="G8562" i="1"/>
  <c r="F8562" i="1"/>
  <c r="N8561" i="1"/>
  <c r="H8561" i="1"/>
  <c r="G8561" i="1"/>
  <c r="F8561" i="1"/>
  <c r="N8560" i="1"/>
  <c r="H8560" i="1"/>
  <c r="G8560" i="1"/>
  <c r="F8560" i="1"/>
  <c r="N8559" i="1"/>
  <c r="H8559" i="1"/>
  <c r="G8559" i="1"/>
  <c r="F8559" i="1"/>
  <c r="N8558" i="1"/>
  <c r="H8558" i="1"/>
  <c r="G8558" i="1"/>
  <c r="F8558" i="1"/>
  <c r="N8557" i="1"/>
  <c r="H8557" i="1"/>
  <c r="G8557" i="1"/>
  <c r="F8557" i="1"/>
  <c r="N8556" i="1"/>
  <c r="H8556" i="1"/>
  <c r="G8556" i="1"/>
  <c r="F8556" i="1"/>
  <c r="N8555" i="1"/>
  <c r="H8555" i="1"/>
  <c r="G8555" i="1"/>
  <c r="F8555" i="1"/>
  <c r="N8554" i="1"/>
  <c r="H8554" i="1"/>
  <c r="G8554" i="1"/>
  <c r="F8554" i="1"/>
  <c r="N8553" i="1"/>
  <c r="H8553" i="1"/>
  <c r="G8553" i="1"/>
  <c r="F8553" i="1"/>
  <c r="N8552" i="1"/>
  <c r="H8552" i="1"/>
  <c r="G8552" i="1"/>
  <c r="F8552" i="1"/>
  <c r="N8551" i="1"/>
  <c r="H8551" i="1"/>
  <c r="G8551" i="1"/>
  <c r="F8551" i="1"/>
  <c r="N8550" i="1"/>
  <c r="H8550" i="1"/>
  <c r="G8550" i="1"/>
  <c r="F8550" i="1"/>
  <c r="N8549" i="1"/>
  <c r="H8549" i="1"/>
  <c r="G8549" i="1"/>
  <c r="F8549" i="1"/>
  <c r="N8548" i="1"/>
  <c r="H8548" i="1"/>
  <c r="G8548" i="1"/>
  <c r="F8548" i="1"/>
  <c r="N8547" i="1"/>
  <c r="H8547" i="1"/>
  <c r="G8547" i="1"/>
  <c r="F8547" i="1"/>
  <c r="N8546" i="1"/>
  <c r="H8546" i="1"/>
  <c r="G8546" i="1"/>
  <c r="F8546" i="1"/>
  <c r="N8545" i="1"/>
  <c r="H8545" i="1"/>
  <c r="G8545" i="1"/>
  <c r="F8545" i="1"/>
  <c r="N8544" i="1"/>
  <c r="H8544" i="1"/>
  <c r="G8544" i="1"/>
  <c r="F8544" i="1"/>
  <c r="N8543" i="1"/>
  <c r="H8543" i="1"/>
  <c r="G8543" i="1"/>
  <c r="F8543" i="1"/>
  <c r="N8542" i="1"/>
  <c r="H8542" i="1"/>
  <c r="G8542" i="1"/>
  <c r="F8542" i="1"/>
  <c r="N8541" i="1"/>
  <c r="H8541" i="1"/>
  <c r="G8541" i="1"/>
  <c r="F8541" i="1"/>
  <c r="N8540" i="1"/>
  <c r="H8540" i="1"/>
  <c r="G8540" i="1"/>
  <c r="F8540" i="1"/>
  <c r="N8539" i="1"/>
  <c r="H8539" i="1"/>
  <c r="G8539" i="1"/>
  <c r="F8539" i="1"/>
  <c r="N8538" i="1"/>
  <c r="H8538" i="1"/>
  <c r="G8538" i="1"/>
  <c r="F8538" i="1"/>
  <c r="N8537" i="1"/>
  <c r="H8537" i="1"/>
  <c r="G8537" i="1"/>
  <c r="F8537" i="1"/>
  <c r="N8536" i="1"/>
  <c r="H8536" i="1"/>
  <c r="G8536" i="1"/>
  <c r="F8536" i="1"/>
  <c r="N8535" i="1"/>
  <c r="H8535" i="1"/>
  <c r="G8535" i="1"/>
  <c r="F8535" i="1"/>
  <c r="N8534" i="1"/>
  <c r="H8534" i="1"/>
  <c r="G8534" i="1"/>
  <c r="F8534" i="1"/>
  <c r="N8533" i="1"/>
  <c r="H8533" i="1"/>
  <c r="G8533" i="1"/>
  <c r="F8533" i="1"/>
  <c r="N8532" i="1"/>
  <c r="H8532" i="1"/>
  <c r="G8532" i="1"/>
  <c r="F8532" i="1"/>
  <c r="N8531" i="1"/>
  <c r="H8531" i="1"/>
  <c r="G8531" i="1"/>
  <c r="F8531" i="1"/>
  <c r="N8530" i="1"/>
  <c r="H8530" i="1"/>
  <c r="G8530" i="1"/>
  <c r="F8530" i="1"/>
  <c r="N8529" i="1"/>
  <c r="H8529" i="1"/>
  <c r="G8529" i="1"/>
  <c r="F8529" i="1"/>
  <c r="N8528" i="1"/>
  <c r="H8528" i="1"/>
  <c r="G8528" i="1"/>
  <c r="F8528" i="1"/>
  <c r="N8527" i="1"/>
  <c r="H8527" i="1"/>
  <c r="G8527" i="1"/>
  <c r="F8527" i="1"/>
  <c r="N8526" i="1"/>
  <c r="H8526" i="1"/>
  <c r="G8526" i="1"/>
  <c r="F8526" i="1"/>
  <c r="N8525" i="1"/>
  <c r="H8525" i="1"/>
  <c r="G8525" i="1"/>
  <c r="F8525" i="1"/>
  <c r="N8524" i="1"/>
  <c r="H8524" i="1"/>
  <c r="G8524" i="1"/>
  <c r="F8524" i="1"/>
  <c r="N8523" i="1"/>
  <c r="H8523" i="1"/>
  <c r="G8523" i="1"/>
  <c r="F8523" i="1"/>
  <c r="N8522" i="1"/>
  <c r="H8522" i="1"/>
  <c r="G8522" i="1"/>
  <c r="F8522" i="1"/>
  <c r="N8521" i="1"/>
  <c r="H8521" i="1"/>
  <c r="G8521" i="1"/>
  <c r="F8521" i="1"/>
  <c r="N8520" i="1"/>
  <c r="H8520" i="1"/>
  <c r="G8520" i="1"/>
  <c r="F8520" i="1"/>
  <c r="N8519" i="1"/>
  <c r="H8519" i="1"/>
  <c r="G8519" i="1"/>
  <c r="F8519" i="1"/>
  <c r="N8518" i="1"/>
  <c r="H8518" i="1"/>
  <c r="G8518" i="1"/>
  <c r="F8518" i="1"/>
  <c r="N8517" i="1"/>
  <c r="H8517" i="1"/>
  <c r="G8517" i="1"/>
  <c r="F8517" i="1"/>
  <c r="N8516" i="1"/>
  <c r="H8516" i="1"/>
  <c r="G8516" i="1"/>
  <c r="F8516" i="1"/>
  <c r="N8515" i="1"/>
  <c r="H8515" i="1"/>
  <c r="G8515" i="1"/>
  <c r="F8515" i="1"/>
  <c r="N8514" i="1"/>
  <c r="H8514" i="1"/>
  <c r="G8514" i="1"/>
  <c r="F8514" i="1"/>
  <c r="N8513" i="1"/>
  <c r="H8513" i="1"/>
  <c r="G8513" i="1"/>
  <c r="F8513" i="1"/>
  <c r="N8512" i="1"/>
  <c r="H8512" i="1"/>
  <c r="G8512" i="1"/>
  <c r="F8512" i="1"/>
  <c r="N8511" i="1"/>
  <c r="H8511" i="1"/>
  <c r="G8511" i="1"/>
  <c r="F8511" i="1"/>
  <c r="N8510" i="1"/>
  <c r="H8510" i="1"/>
  <c r="G8510" i="1"/>
  <c r="F8510" i="1"/>
  <c r="N8509" i="1"/>
  <c r="H8509" i="1"/>
  <c r="G8509" i="1"/>
  <c r="F8509" i="1"/>
  <c r="N8508" i="1"/>
  <c r="H8508" i="1"/>
  <c r="G8508" i="1"/>
  <c r="F8508" i="1"/>
  <c r="N8507" i="1"/>
  <c r="H8507" i="1"/>
  <c r="G8507" i="1"/>
  <c r="F8507" i="1"/>
  <c r="N8506" i="1"/>
  <c r="H8506" i="1"/>
  <c r="G8506" i="1"/>
  <c r="F8506" i="1"/>
  <c r="N8505" i="1"/>
  <c r="H8505" i="1"/>
  <c r="G8505" i="1"/>
  <c r="F8505" i="1"/>
  <c r="N8504" i="1"/>
  <c r="H8504" i="1"/>
  <c r="G8504" i="1"/>
  <c r="F8504" i="1"/>
  <c r="N8503" i="1"/>
  <c r="H8503" i="1"/>
  <c r="G8503" i="1"/>
  <c r="F8503" i="1"/>
  <c r="N8502" i="1"/>
  <c r="H8502" i="1"/>
  <c r="G8502" i="1"/>
  <c r="F8502" i="1"/>
  <c r="N8501" i="1"/>
  <c r="H8501" i="1"/>
  <c r="G8501" i="1"/>
  <c r="F8501" i="1"/>
  <c r="N8500" i="1"/>
  <c r="H8500" i="1"/>
  <c r="G8500" i="1"/>
  <c r="F8500" i="1"/>
  <c r="N8499" i="1"/>
  <c r="H8499" i="1"/>
  <c r="G8499" i="1"/>
  <c r="F8499" i="1"/>
  <c r="N8498" i="1"/>
  <c r="H8498" i="1"/>
  <c r="G8498" i="1"/>
  <c r="F8498" i="1"/>
  <c r="N8497" i="1"/>
  <c r="H8497" i="1"/>
  <c r="G8497" i="1"/>
  <c r="F8497" i="1"/>
  <c r="N8496" i="1"/>
  <c r="H8496" i="1"/>
  <c r="G8496" i="1"/>
  <c r="F8496" i="1"/>
  <c r="N8495" i="1"/>
  <c r="H8495" i="1"/>
  <c r="G8495" i="1"/>
  <c r="F8495" i="1"/>
  <c r="N8494" i="1"/>
  <c r="H8494" i="1"/>
  <c r="G8494" i="1"/>
  <c r="F8494" i="1"/>
  <c r="N8493" i="1"/>
  <c r="H8493" i="1"/>
  <c r="G8493" i="1"/>
  <c r="F8493" i="1"/>
  <c r="N8492" i="1"/>
  <c r="H8492" i="1"/>
  <c r="G8492" i="1"/>
  <c r="F8492" i="1"/>
  <c r="N8491" i="1"/>
  <c r="H8491" i="1"/>
  <c r="G8491" i="1"/>
  <c r="F8491" i="1"/>
  <c r="N8490" i="1"/>
  <c r="H8490" i="1"/>
  <c r="G8490" i="1"/>
  <c r="F8490" i="1"/>
  <c r="N8489" i="1"/>
  <c r="H8489" i="1"/>
  <c r="G8489" i="1"/>
  <c r="F8489" i="1"/>
  <c r="N8488" i="1"/>
  <c r="H8488" i="1"/>
  <c r="G8488" i="1"/>
  <c r="F8488" i="1"/>
  <c r="N8487" i="1"/>
  <c r="H8487" i="1"/>
  <c r="G8487" i="1"/>
  <c r="F8487" i="1"/>
  <c r="N8486" i="1"/>
  <c r="H8486" i="1"/>
  <c r="G8486" i="1"/>
  <c r="F8486" i="1"/>
  <c r="N8485" i="1"/>
  <c r="H8485" i="1"/>
  <c r="G8485" i="1"/>
  <c r="F8485" i="1"/>
  <c r="N8484" i="1"/>
  <c r="H8484" i="1"/>
  <c r="G8484" i="1"/>
  <c r="F8484" i="1"/>
  <c r="N8483" i="1"/>
  <c r="H8483" i="1"/>
  <c r="G8483" i="1"/>
  <c r="F8483" i="1"/>
  <c r="N8482" i="1"/>
  <c r="H8482" i="1"/>
  <c r="G8482" i="1"/>
  <c r="F8482" i="1"/>
  <c r="N8481" i="1"/>
  <c r="H8481" i="1"/>
  <c r="G8481" i="1"/>
  <c r="F8481" i="1"/>
  <c r="N8480" i="1"/>
  <c r="H8480" i="1"/>
  <c r="G8480" i="1"/>
  <c r="F8480" i="1"/>
  <c r="N8479" i="1"/>
  <c r="H8479" i="1"/>
  <c r="G8479" i="1"/>
  <c r="F8479" i="1"/>
  <c r="N8478" i="1"/>
  <c r="H8478" i="1"/>
  <c r="G8478" i="1"/>
  <c r="F8478" i="1"/>
  <c r="N8477" i="1"/>
  <c r="H8477" i="1"/>
  <c r="G8477" i="1"/>
  <c r="F8477" i="1"/>
  <c r="N8476" i="1"/>
  <c r="H8476" i="1"/>
  <c r="G8476" i="1"/>
  <c r="F8476" i="1"/>
  <c r="N8475" i="1"/>
  <c r="H8475" i="1"/>
  <c r="G8475" i="1"/>
  <c r="F8475" i="1"/>
  <c r="N8474" i="1"/>
  <c r="H8474" i="1"/>
  <c r="G8474" i="1"/>
  <c r="F8474" i="1"/>
  <c r="N8473" i="1"/>
  <c r="H8473" i="1"/>
  <c r="G8473" i="1"/>
  <c r="F8473" i="1"/>
  <c r="N8472" i="1"/>
  <c r="H8472" i="1"/>
  <c r="G8472" i="1"/>
  <c r="F8472" i="1"/>
  <c r="N8471" i="1"/>
  <c r="H8471" i="1"/>
  <c r="G8471" i="1"/>
  <c r="F8471" i="1"/>
  <c r="N8470" i="1"/>
  <c r="H8470" i="1"/>
  <c r="G8470" i="1"/>
  <c r="F8470" i="1"/>
  <c r="N8469" i="1"/>
  <c r="H8469" i="1"/>
  <c r="G8469" i="1"/>
  <c r="F8469" i="1"/>
  <c r="N8468" i="1"/>
  <c r="H8468" i="1"/>
  <c r="G8468" i="1"/>
  <c r="F8468" i="1"/>
  <c r="N8467" i="1"/>
  <c r="H8467" i="1"/>
  <c r="G8467" i="1"/>
  <c r="F8467" i="1"/>
  <c r="N8466" i="1"/>
  <c r="H8466" i="1"/>
  <c r="G8466" i="1"/>
  <c r="F8466" i="1"/>
  <c r="N8465" i="1"/>
  <c r="H8465" i="1"/>
  <c r="G8465" i="1"/>
  <c r="F8465" i="1"/>
  <c r="N8464" i="1"/>
  <c r="H8464" i="1"/>
  <c r="G8464" i="1"/>
  <c r="F8464" i="1"/>
  <c r="N8463" i="1"/>
  <c r="H8463" i="1"/>
  <c r="G8463" i="1"/>
  <c r="F8463" i="1"/>
  <c r="N8462" i="1"/>
  <c r="H8462" i="1"/>
  <c r="G8462" i="1"/>
  <c r="F8462" i="1"/>
  <c r="N8461" i="1"/>
  <c r="H8461" i="1"/>
  <c r="G8461" i="1"/>
  <c r="F8461" i="1"/>
  <c r="N8460" i="1"/>
  <c r="H8460" i="1"/>
  <c r="G8460" i="1"/>
  <c r="F8460" i="1"/>
  <c r="N8459" i="1"/>
  <c r="H8459" i="1"/>
  <c r="G8459" i="1"/>
  <c r="F8459" i="1"/>
  <c r="N8458" i="1"/>
  <c r="H8458" i="1"/>
  <c r="G8458" i="1"/>
  <c r="F8458" i="1"/>
  <c r="N8457" i="1"/>
  <c r="H8457" i="1"/>
  <c r="G8457" i="1"/>
  <c r="F8457" i="1"/>
  <c r="N8456" i="1"/>
  <c r="H8456" i="1"/>
  <c r="G8456" i="1"/>
  <c r="F8456" i="1"/>
  <c r="N8455" i="1"/>
  <c r="H8455" i="1"/>
  <c r="G8455" i="1"/>
  <c r="F8455" i="1"/>
  <c r="N8454" i="1"/>
  <c r="H8454" i="1"/>
  <c r="G8454" i="1"/>
  <c r="F8454" i="1"/>
  <c r="N8453" i="1"/>
  <c r="H8453" i="1"/>
  <c r="G8453" i="1"/>
  <c r="F8453" i="1"/>
  <c r="N8452" i="1"/>
  <c r="H8452" i="1"/>
  <c r="G8452" i="1"/>
  <c r="F8452" i="1"/>
  <c r="N8451" i="1"/>
  <c r="H8451" i="1"/>
  <c r="G8451" i="1"/>
  <c r="F8451" i="1"/>
  <c r="N8450" i="1"/>
  <c r="H8450" i="1"/>
  <c r="G8450" i="1"/>
  <c r="F8450" i="1"/>
  <c r="N8449" i="1"/>
  <c r="H8449" i="1"/>
  <c r="G8449" i="1"/>
  <c r="F8449" i="1"/>
  <c r="N8448" i="1"/>
  <c r="H8448" i="1"/>
  <c r="G8448" i="1"/>
  <c r="F8448" i="1"/>
  <c r="N8447" i="1"/>
  <c r="H8447" i="1"/>
  <c r="G8447" i="1"/>
  <c r="F8447" i="1"/>
  <c r="N8446" i="1"/>
  <c r="H8446" i="1"/>
  <c r="G8446" i="1"/>
  <c r="F8446" i="1"/>
  <c r="N8445" i="1"/>
  <c r="H8445" i="1"/>
  <c r="G8445" i="1"/>
  <c r="F8445" i="1"/>
  <c r="N8444" i="1"/>
  <c r="H8444" i="1"/>
  <c r="G8444" i="1"/>
  <c r="F8444" i="1"/>
  <c r="N8443" i="1"/>
  <c r="H8443" i="1"/>
  <c r="G8443" i="1"/>
  <c r="F8443" i="1"/>
  <c r="N8442" i="1"/>
  <c r="H8442" i="1"/>
  <c r="G8442" i="1"/>
  <c r="F8442" i="1"/>
  <c r="N8441" i="1"/>
  <c r="H8441" i="1"/>
  <c r="G8441" i="1"/>
  <c r="F8441" i="1"/>
  <c r="N8440" i="1"/>
  <c r="H8440" i="1"/>
  <c r="G8440" i="1"/>
  <c r="F8440" i="1"/>
  <c r="N8439" i="1"/>
  <c r="H8439" i="1"/>
  <c r="G8439" i="1"/>
  <c r="F8439" i="1"/>
  <c r="N8438" i="1"/>
  <c r="H8438" i="1"/>
  <c r="G8438" i="1"/>
  <c r="F8438" i="1"/>
  <c r="N8437" i="1"/>
  <c r="H8437" i="1"/>
  <c r="G8437" i="1"/>
  <c r="F8437" i="1"/>
  <c r="N8436" i="1"/>
  <c r="H8436" i="1"/>
  <c r="G8436" i="1"/>
  <c r="F8436" i="1"/>
  <c r="N8435" i="1"/>
  <c r="H8435" i="1"/>
  <c r="G8435" i="1"/>
  <c r="F8435" i="1"/>
  <c r="N8434" i="1"/>
  <c r="H8434" i="1"/>
  <c r="G8434" i="1"/>
  <c r="F8434" i="1"/>
  <c r="N8433" i="1"/>
  <c r="H8433" i="1"/>
  <c r="G8433" i="1"/>
  <c r="F8433" i="1"/>
  <c r="N8432" i="1"/>
  <c r="H8432" i="1"/>
  <c r="G8432" i="1"/>
  <c r="F8432" i="1"/>
  <c r="N8431" i="1"/>
  <c r="H8431" i="1"/>
  <c r="G8431" i="1"/>
  <c r="F8431" i="1"/>
  <c r="N8430" i="1"/>
  <c r="H8430" i="1"/>
  <c r="G8430" i="1"/>
  <c r="F8430" i="1"/>
  <c r="N8429" i="1"/>
  <c r="H8429" i="1"/>
  <c r="G8429" i="1"/>
  <c r="F8429" i="1"/>
  <c r="N8428" i="1"/>
  <c r="H8428" i="1"/>
  <c r="G8428" i="1"/>
  <c r="F8428" i="1"/>
  <c r="N8427" i="1"/>
  <c r="H8427" i="1"/>
  <c r="G8427" i="1"/>
  <c r="F8427" i="1"/>
  <c r="N8426" i="1"/>
  <c r="H8426" i="1"/>
  <c r="G8426" i="1"/>
  <c r="F8426" i="1"/>
  <c r="N8425" i="1"/>
  <c r="H8425" i="1"/>
  <c r="G8425" i="1"/>
  <c r="F8425" i="1"/>
  <c r="N8424" i="1"/>
  <c r="H8424" i="1"/>
  <c r="G8424" i="1"/>
  <c r="F8424" i="1"/>
  <c r="N8423" i="1"/>
  <c r="H8423" i="1"/>
  <c r="G8423" i="1"/>
  <c r="F8423" i="1"/>
  <c r="N8422" i="1"/>
  <c r="H8422" i="1"/>
  <c r="G8422" i="1"/>
  <c r="F8422" i="1"/>
  <c r="N8421" i="1"/>
  <c r="H8421" i="1"/>
  <c r="G8421" i="1"/>
  <c r="F8421" i="1"/>
  <c r="N8420" i="1"/>
  <c r="H8420" i="1"/>
  <c r="G8420" i="1"/>
  <c r="F8420" i="1"/>
  <c r="N8419" i="1"/>
  <c r="H8419" i="1"/>
  <c r="G8419" i="1"/>
  <c r="F8419" i="1"/>
  <c r="N8418" i="1"/>
  <c r="H8418" i="1"/>
  <c r="G8418" i="1"/>
  <c r="F8418" i="1"/>
  <c r="N8417" i="1"/>
  <c r="H8417" i="1"/>
  <c r="G8417" i="1"/>
  <c r="F8417" i="1"/>
  <c r="N8416" i="1"/>
  <c r="H8416" i="1"/>
  <c r="G8416" i="1"/>
  <c r="F8416" i="1"/>
  <c r="N8415" i="1"/>
  <c r="H8415" i="1"/>
  <c r="G8415" i="1"/>
  <c r="F8415" i="1"/>
  <c r="N8414" i="1"/>
  <c r="H8414" i="1"/>
  <c r="G8414" i="1"/>
  <c r="F8414" i="1"/>
  <c r="N8413" i="1"/>
  <c r="H8413" i="1"/>
  <c r="G8413" i="1"/>
  <c r="F8413" i="1"/>
  <c r="N8412" i="1"/>
  <c r="H8412" i="1"/>
  <c r="G8412" i="1"/>
  <c r="F8412" i="1"/>
  <c r="N8411" i="1"/>
  <c r="H8411" i="1"/>
  <c r="G8411" i="1"/>
  <c r="F8411" i="1"/>
  <c r="N8410" i="1"/>
  <c r="H8410" i="1"/>
  <c r="G8410" i="1"/>
  <c r="F8410" i="1"/>
  <c r="N8409" i="1"/>
  <c r="H8409" i="1"/>
  <c r="G8409" i="1"/>
  <c r="F8409" i="1"/>
  <c r="N8408" i="1"/>
  <c r="H8408" i="1"/>
  <c r="G8408" i="1"/>
  <c r="F8408" i="1"/>
  <c r="N8407" i="1"/>
  <c r="H8407" i="1"/>
  <c r="G8407" i="1"/>
  <c r="F8407" i="1"/>
  <c r="N8406" i="1"/>
  <c r="H8406" i="1"/>
  <c r="G8406" i="1"/>
  <c r="F8406" i="1"/>
  <c r="N8405" i="1"/>
  <c r="H8405" i="1"/>
  <c r="G8405" i="1"/>
  <c r="F8405" i="1"/>
  <c r="N8404" i="1"/>
  <c r="H8404" i="1"/>
  <c r="G8404" i="1"/>
  <c r="F8404" i="1"/>
  <c r="N8403" i="1"/>
  <c r="H8403" i="1"/>
  <c r="G8403" i="1"/>
  <c r="F8403" i="1"/>
  <c r="N8402" i="1"/>
  <c r="H8402" i="1"/>
  <c r="G8402" i="1"/>
  <c r="F8402" i="1"/>
  <c r="N8401" i="1"/>
  <c r="H8401" i="1"/>
  <c r="G8401" i="1"/>
  <c r="F8401" i="1"/>
  <c r="N8400" i="1"/>
  <c r="H8400" i="1"/>
  <c r="G8400" i="1"/>
  <c r="F8400" i="1"/>
  <c r="N8399" i="1"/>
  <c r="H8399" i="1"/>
  <c r="G8399" i="1"/>
  <c r="F8399" i="1"/>
  <c r="N8398" i="1"/>
  <c r="H8398" i="1"/>
  <c r="G8398" i="1"/>
  <c r="F8398" i="1"/>
  <c r="N8397" i="1"/>
  <c r="H8397" i="1"/>
  <c r="G8397" i="1"/>
  <c r="F8397" i="1"/>
  <c r="N8396" i="1"/>
  <c r="H8396" i="1"/>
  <c r="G8396" i="1"/>
  <c r="F8396" i="1"/>
  <c r="N8395" i="1"/>
  <c r="H8395" i="1"/>
  <c r="G8395" i="1"/>
  <c r="F8395" i="1"/>
  <c r="N8394" i="1"/>
  <c r="H8394" i="1"/>
  <c r="G8394" i="1"/>
  <c r="F8394" i="1"/>
  <c r="N8393" i="1"/>
  <c r="H8393" i="1"/>
  <c r="G8393" i="1"/>
  <c r="F8393" i="1"/>
  <c r="N8392" i="1"/>
  <c r="H8392" i="1"/>
  <c r="G8392" i="1"/>
  <c r="F8392" i="1"/>
  <c r="N8391" i="1"/>
  <c r="H8391" i="1"/>
  <c r="G8391" i="1"/>
  <c r="F8391" i="1"/>
  <c r="N8390" i="1"/>
  <c r="H8390" i="1"/>
  <c r="G8390" i="1"/>
  <c r="F8390" i="1"/>
  <c r="N8389" i="1"/>
  <c r="H8389" i="1"/>
  <c r="G8389" i="1"/>
  <c r="F8389" i="1"/>
  <c r="N8388" i="1"/>
  <c r="H8388" i="1"/>
  <c r="G8388" i="1"/>
  <c r="F8388" i="1"/>
  <c r="N8387" i="1"/>
  <c r="H8387" i="1"/>
  <c r="G8387" i="1"/>
  <c r="F8387" i="1"/>
  <c r="N8386" i="1"/>
  <c r="H8386" i="1"/>
  <c r="G8386" i="1"/>
  <c r="F8386" i="1"/>
  <c r="N8385" i="1"/>
  <c r="H8385" i="1"/>
  <c r="G8385" i="1"/>
  <c r="F8385" i="1"/>
  <c r="N8384" i="1"/>
  <c r="H8384" i="1"/>
  <c r="G8384" i="1"/>
  <c r="F8384" i="1"/>
  <c r="N8383" i="1"/>
  <c r="H8383" i="1"/>
  <c r="G8383" i="1"/>
  <c r="F8383" i="1"/>
  <c r="N8382" i="1"/>
  <c r="H8382" i="1"/>
  <c r="G8382" i="1"/>
  <c r="F8382" i="1"/>
  <c r="N8381" i="1"/>
  <c r="H8381" i="1"/>
  <c r="G8381" i="1"/>
  <c r="F8381" i="1"/>
  <c r="N8380" i="1"/>
  <c r="H8380" i="1"/>
  <c r="G8380" i="1"/>
  <c r="F8380" i="1"/>
  <c r="N8379" i="1"/>
  <c r="H8379" i="1"/>
  <c r="G8379" i="1"/>
  <c r="F8379" i="1"/>
  <c r="N8378" i="1"/>
  <c r="H8378" i="1"/>
  <c r="G8378" i="1"/>
  <c r="F8378" i="1"/>
  <c r="N8377" i="1"/>
  <c r="H8377" i="1"/>
  <c r="G8377" i="1"/>
  <c r="F8377" i="1"/>
  <c r="N8376" i="1"/>
  <c r="H8376" i="1"/>
  <c r="G8376" i="1"/>
  <c r="F8376" i="1"/>
  <c r="N8375" i="1"/>
  <c r="H8375" i="1"/>
  <c r="G8375" i="1"/>
  <c r="F8375" i="1"/>
  <c r="N8374" i="1"/>
  <c r="H8374" i="1"/>
  <c r="G8374" i="1"/>
  <c r="F8374" i="1"/>
  <c r="N8373" i="1"/>
  <c r="H8373" i="1"/>
  <c r="G8373" i="1"/>
  <c r="F8373" i="1"/>
  <c r="N8372" i="1"/>
  <c r="H8372" i="1"/>
  <c r="G8372" i="1"/>
  <c r="F8372" i="1"/>
  <c r="N8371" i="1"/>
  <c r="H8371" i="1"/>
  <c r="G8371" i="1"/>
  <c r="F8371" i="1"/>
  <c r="N8370" i="1"/>
  <c r="H8370" i="1"/>
  <c r="G8370" i="1"/>
  <c r="F8370" i="1"/>
  <c r="N8369" i="1"/>
  <c r="H8369" i="1"/>
  <c r="G8369" i="1"/>
  <c r="F8369" i="1"/>
  <c r="N8368" i="1"/>
  <c r="H8368" i="1"/>
  <c r="G8368" i="1"/>
  <c r="F8368" i="1"/>
  <c r="N8367" i="1"/>
  <c r="H8367" i="1"/>
  <c r="G8367" i="1"/>
  <c r="F8367" i="1"/>
  <c r="N8366" i="1"/>
  <c r="H8366" i="1"/>
  <c r="G8366" i="1"/>
  <c r="F8366" i="1"/>
  <c r="N8365" i="1"/>
  <c r="H8365" i="1"/>
  <c r="G8365" i="1"/>
  <c r="F8365" i="1"/>
  <c r="N8364" i="1"/>
  <c r="H8364" i="1"/>
  <c r="G8364" i="1"/>
  <c r="F8364" i="1"/>
  <c r="N8363" i="1"/>
  <c r="H8363" i="1"/>
  <c r="G8363" i="1"/>
  <c r="F8363" i="1"/>
  <c r="N8362" i="1"/>
  <c r="H8362" i="1"/>
  <c r="G8362" i="1"/>
  <c r="F8362" i="1"/>
  <c r="N8361" i="1"/>
  <c r="H8361" i="1"/>
  <c r="G8361" i="1"/>
  <c r="F8361" i="1"/>
  <c r="N8360" i="1"/>
  <c r="H8360" i="1"/>
  <c r="G8360" i="1"/>
  <c r="F8360" i="1"/>
  <c r="N8359" i="1"/>
  <c r="H8359" i="1"/>
  <c r="G8359" i="1"/>
  <c r="F8359" i="1"/>
  <c r="N8358" i="1"/>
  <c r="H8358" i="1"/>
  <c r="G8358" i="1"/>
  <c r="F8358" i="1"/>
  <c r="N8357" i="1"/>
  <c r="H8357" i="1"/>
  <c r="G8357" i="1"/>
  <c r="F8357" i="1"/>
  <c r="N8356" i="1"/>
  <c r="H8356" i="1"/>
  <c r="G8356" i="1"/>
  <c r="F8356" i="1"/>
  <c r="N8355" i="1"/>
  <c r="H8355" i="1"/>
  <c r="G8355" i="1"/>
  <c r="F8355" i="1"/>
  <c r="N8354" i="1"/>
  <c r="H8354" i="1"/>
  <c r="G8354" i="1"/>
  <c r="F8354" i="1"/>
  <c r="N8353" i="1"/>
  <c r="H8353" i="1"/>
  <c r="G8353" i="1"/>
  <c r="F8353" i="1"/>
  <c r="N8352" i="1"/>
  <c r="H8352" i="1"/>
  <c r="G8352" i="1"/>
  <c r="F8352" i="1"/>
  <c r="N8351" i="1"/>
  <c r="H8351" i="1"/>
  <c r="G8351" i="1"/>
  <c r="F8351" i="1"/>
  <c r="N8350" i="1"/>
  <c r="H8350" i="1"/>
  <c r="G8350" i="1"/>
  <c r="F8350" i="1"/>
  <c r="N8349" i="1"/>
  <c r="H8349" i="1"/>
  <c r="G8349" i="1"/>
  <c r="F8349" i="1"/>
  <c r="N8348" i="1"/>
  <c r="H8348" i="1"/>
  <c r="G8348" i="1"/>
  <c r="F8348" i="1"/>
  <c r="N8347" i="1"/>
  <c r="H8347" i="1"/>
  <c r="G8347" i="1"/>
  <c r="F8347" i="1"/>
  <c r="N8346" i="1"/>
  <c r="H8346" i="1"/>
  <c r="G8346" i="1"/>
  <c r="F8346" i="1"/>
  <c r="N8345" i="1"/>
  <c r="H8345" i="1"/>
  <c r="G8345" i="1"/>
  <c r="F8345" i="1"/>
  <c r="N8344" i="1"/>
  <c r="H8344" i="1"/>
  <c r="G8344" i="1"/>
  <c r="F8344" i="1"/>
  <c r="N8343" i="1"/>
  <c r="H8343" i="1"/>
  <c r="G8343" i="1"/>
  <c r="F8343" i="1"/>
  <c r="N8342" i="1"/>
  <c r="H8342" i="1"/>
  <c r="G8342" i="1"/>
  <c r="F8342" i="1"/>
  <c r="N8341" i="1"/>
  <c r="H8341" i="1"/>
  <c r="G8341" i="1"/>
  <c r="F8341" i="1"/>
  <c r="N8340" i="1"/>
  <c r="H8340" i="1"/>
  <c r="G8340" i="1"/>
  <c r="F8340" i="1"/>
  <c r="N8339" i="1"/>
  <c r="H8339" i="1"/>
  <c r="G8339" i="1"/>
  <c r="F8339" i="1"/>
  <c r="N8338" i="1"/>
  <c r="H8338" i="1"/>
  <c r="G8338" i="1"/>
  <c r="F8338" i="1"/>
  <c r="N8337" i="1"/>
  <c r="H8337" i="1"/>
  <c r="G8337" i="1"/>
  <c r="F8337" i="1"/>
  <c r="N8336" i="1"/>
  <c r="H8336" i="1"/>
  <c r="G8336" i="1"/>
  <c r="F8336" i="1"/>
  <c r="N8335" i="1"/>
  <c r="H8335" i="1"/>
  <c r="G8335" i="1"/>
  <c r="F8335" i="1"/>
  <c r="N8334" i="1"/>
  <c r="H8334" i="1"/>
  <c r="G8334" i="1"/>
  <c r="F8334" i="1"/>
  <c r="N8333" i="1"/>
  <c r="H8333" i="1"/>
  <c r="G8333" i="1"/>
  <c r="F8333" i="1"/>
  <c r="N8332" i="1"/>
  <c r="H8332" i="1"/>
  <c r="G8332" i="1"/>
  <c r="F8332" i="1"/>
  <c r="N8331" i="1"/>
  <c r="H8331" i="1"/>
  <c r="G8331" i="1"/>
  <c r="F8331" i="1"/>
  <c r="N8330" i="1"/>
  <c r="H8330" i="1"/>
  <c r="G8330" i="1"/>
  <c r="F8330" i="1"/>
  <c r="N8329" i="1"/>
  <c r="H8329" i="1"/>
  <c r="G8329" i="1"/>
  <c r="F8329" i="1"/>
  <c r="N8328" i="1"/>
  <c r="H8328" i="1"/>
  <c r="G8328" i="1"/>
  <c r="F8328" i="1"/>
  <c r="N8327" i="1"/>
  <c r="H8327" i="1"/>
  <c r="G8327" i="1"/>
  <c r="F8327" i="1"/>
  <c r="N8326" i="1"/>
  <c r="H8326" i="1"/>
  <c r="G8326" i="1"/>
  <c r="F8326" i="1"/>
  <c r="N8325" i="1"/>
  <c r="H8325" i="1"/>
  <c r="G8325" i="1"/>
  <c r="F8325" i="1"/>
  <c r="N8324" i="1"/>
  <c r="H8324" i="1"/>
  <c r="G8324" i="1"/>
  <c r="F8324" i="1"/>
  <c r="N8323" i="1"/>
  <c r="H8323" i="1"/>
  <c r="G8323" i="1"/>
  <c r="F8323" i="1"/>
  <c r="N8322" i="1"/>
  <c r="H8322" i="1"/>
  <c r="G8322" i="1"/>
  <c r="F8322" i="1"/>
  <c r="N8321" i="1"/>
  <c r="H8321" i="1"/>
  <c r="G8321" i="1"/>
  <c r="F8321" i="1"/>
  <c r="N8320" i="1"/>
  <c r="H8320" i="1"/>
  <c r="G8320" i="1"/>
  <c r="F8320" i="1"/>
  <c r="N8319" i="1"/>
  <c r="H8319" i="1"/>
  <c r="G8319" i="1"/>
  <c r="F8319" i="1"/>
  <c r="N8318" i="1"/>
  <c r="H8318" i="1"/>
  <c r="G8318" i="1"/>
  <c r="F8318" i="1"/>
  <c r="N8317" i="1"/>
  <c r="H8317" i="1"/>
  <c r="G8317" i="1"/>
  <c r="F8317" i="1"/>
  <c r="N8316" i="1"/>
  <c r="H8316" i="1"/>
  <c r="G8316" i="1"/>
  <c r="F8316" i="1"/>
  <c r="N8315" i="1"/>
  <c r="H8315" i="1"/>
  <c r="G8315" i="1"/>
  <c r="F8315" i="1"/>
  <c r="N8314" i="1"/>
  <c r="H8314" i="1"/>
  <c r="G8314" i="1"/>
  <c r="F8314" i="1"/>
  <c r="N8313" i="1"/>
  <c r="H8313" i="1"/>
  <c r="G8313" i="1"/>
  <c r="F8313" i="1"/>
  <c r="N8312" i="1"/>
  <c r="H8312" i="1"/>
  <c r="G8312" i="1"/>
  <c r="F8312" i="1"/>
  <c r="N8311" i="1"/>
  <c r="H8311" i="1"/>
  <c r="G8311" i="1"/>
  <c r="F8311" i="1"/>
  <c r="N8310" i="1"/>
  <c r="H8310" i="1"/>
  <c r="G8310" i="1"/>
  <c r="F8310" i="1"/>
  <c r="N8309" i="1"/>
  <c r="H8309" i="1"/>
  <c r="G8309" i="1"/>
  <c r="F8309" i="1"/>
  <c r="N8308" i="1"/>
  <c r="H8308" i="1"/>
  <c r="G8308" i="1"/>
  <c r="F8308" i="1"/>
  <c r="N8307" i="1"/>
  <c r="H8307" i="1"/>
  <c r="G8307" i="1"/>
  <c r="F8307" i="1"/>
  <c r="N8306" i="1"/>
  <c r="H8306" i="1"/>
  <c r="G8306" i="1"/>
  <c r="F8306" i="1"/>
  <c r="N8305" i="1"/>
  <c r="H8305" i="1"/>
  <c r="G8305" i="1"/>
  <c r="F8305" i="1"/>
  <c r="N8304" i="1"/>
  <c r="H8304" i="1"/>
  <c r="G8304" i="1"/>
  <c r="F8304" i="1"/>
  <c r="N8303" i="1"/>
  <c r="H8303" i="1"/>
  <c r="G8303" i="1"/>
  <c r="F8303" i="1"/>
  <c r="N8302" i="1"/>
  <c r="H8302" i="1"/>
  <c r="G8302" i="1"/>
  <c r="F8302" i="1"/>
  <c r="N8301" i="1"/>
  <c r="H8301" i="1"/>
  <c r="G8301" i="1"/>
  <c r="F8301" i="1"/>
  <c r="N8300" i="1"/>
  <c r="H8300" i="1"/>
  <c r="G8300" i="1"/>
  <c r="F8300" i="1"/>
  <c r="N8299" i="1"/>
  <c r="H8299" i="1"/>
  <c r="G8299" i="1"/>
  <c r="F8299" i="1"/>
  <c r="N8298" i="1"/>
  <c r="H8298" i="1"/>
  <c r="G8298" i="1"/>
  <c r="F8298" i="1"/>
  <c r="N8297" i="1"/>
  <c r="H8297" i="1"/>
  <c r="G8297" i="1"/>
  <c r="F8297" i="1"/>
  <c r="N8296" i="1"/>
  <c r="H8296" i="1"/>
  <c r="G8296" i="1"/>
  <c r="F8296" i="1"/>
  <c r="N8295" i="1"/>
  <c r="H8295" i="1"/>
  <c r="G8295" i="1"/>
  <c r="F8295" i="1"/>
  <c r="N8294" i="1"/>
  <c r="H8294" i="1"/>
  <c r="G8294" i="1"/>
  <c r="F8294" i="1"/>
  <c r="N8293" i="1"/>
  <c r="H8293" i="1"/>
  <c r="G8293" i="1"/>
  <c r="F8293" i="1"/>
  <c r="N8292" i="1"/>
  <c r="H8292" i="1"/>
  <c r="G8292" i="1"/>
  <c r="F8292" i="1"/>
  <c r="N8291" i="1"/>
  <c r="H8291" i="1"/>
  <c r="G8291" i="1"/>
  <c r="F8291" i="1"/>
  <c r="N8290" i="1"/>
  <c r="H8290" i="1"/>
  <c r="G8290" i="1"/>
  <c r="F8290" i="1"/>
  <c r="N8289" i="1"/>
  <c r="H8289" i="1"/>
  <c r="G8289" i="1"/>
  <c r="F8289" i="1"/>
  <c r="N8288" i="1"/>
  <c r="H8288" i="1"/>
  <c r="G8288" i="1"/>
  <c r="F8288" i="1"/>
  <c r="N8287" i="1"/>
  <c r="H8287" i="1"/>
  <c r="G8287" i="1"/>
  <c r="F8287" i="1"/>
  <c r="N8286" i="1"/>
  <c r="H8286" i="1"/>
  <c r="G8286" i="1"/>
  <c r="F8286" i="1"/>
  <c r="N8285" i="1"/>
  <c r="H8285" i="1"/>
  <c r="G8285" i="1"/>
  <c r="F8285" i="1"/>
  <c r="N8284" i="1"/>
  <c r="H8284" i="1"/>
  <c r="G8284" i="1"/>
  <c r="F8284" i="1"/>
  <c r="N8283" i="1"/>
  <c r="H8283" i="1"/>
  <c r="G8283" i="1"/>
  <c r="F8283" i="1"/>
  <c r="N8282" i="1"/>
  <c r="H8282" i="1"/>
  <c r="G8282" i="1"/>
  <c r="F8282" i="1"/>
  <c r="N8281" i="1"/>
  <c r="H8281" i="1"/>
  <c r="G8281" i="1"/>
  <c r="F8281" i="1"/>
  <c r="N8280" i="1"/>
  <c r="H8280" i="1"/>
  <c r="G8280" i="1"/>
  <c r="F8280" i="1"/>
  <c r="N8279" i="1"/>
  <c r="H8279" i="1"/>
  <c r="G8279" i="1"/>
  <c r="F8279" i="1"/>
  <c r="N8278" i="1"/>
  <c r="H8278" i="1"/>
  <c r="G8278" i="1"/>
  <c r="F8278" i="1"/>
  <c r="N8277" i="1"/>
  <c r="H8277" i="1"/>
  <c r="G8277" i="1"/>
  <c r="F8277" i="1"/>
  <c r="N8276" i="1"/>
  <c r="H8276" i="1"/>
  <c r="G8276" i="1"/>
  <c r="F8276" i="1"/>
  <c r="N8275" i="1"/>
  <c r="H8275" i="1"/>
  <c r="G8275" i="1"/>
  <c r="F8275" i="1"/>
  <c r="N8274" i="1"/>
  <c r="H8274" i="1"/>
  <c r="G8274" i="1"/>
  <c r="F8274" i="1"/>
  <c r="N8273" i="1"/>
  <c r="H8273" i="1"/>
  <c r="G8273" i="1"/>
  <c r="F8273" i="1"/>
  <c r="N8272" i="1"/>
  <c r="H8272" i="1"/>
  <c r="G8272" i="1"/>
  <c r="F8272" i="1"/>
  <c r="N8271" i="1"/>
  <c r="H8271" i="1"/>
  <c r="G8271" i="1"/>
  <c r="F8271" i="1"/>
  <c r="N8270" i="1"/>
  <c r="H8270" i="1"/>
  <c r="G8270" i="1"/>
  <c r="F8270" i="1"/>
  <c r="N8269" i="1"/>
  <c r="H8269" i="1"/>
  <c r="G8269" i="1"/>
  <c r="F8269" i="1"/>
  <c r="N8268" i="1"/>
  <c r="H8268" i="1"/>
  <c r="G8268" i="1"/>
  <c r="F8268" i="1"/>
  <c r="N8267" i="1"/>
  <c r="H8267" i="1"/>
  <c r="G8267" i="1"/>
  <c r="F8267" i="1"/>
  <c r="N8266" i="1"/>
  <c r="H8266" i="1"/>
  <c r="G8266" i="1"/>
  <c r="F8266" i="1"/>
  <c r="N8265" i="1"/>
  <c r="H8265" i="1"/>
  <c r="G8265" i="1"/>
  <c r="F8265" i="1"/>
  <c r="N8264" i="1"/>
  <c r="H8264" i="1"/>
  <c r="G8264" i="1"/>
  <c r="F8264" i="1"/>
  <c r="N8263" i="1"/>
  <c r="H8263" i="1"/>
  <c r="G8263" i="1"/>
  <c r="F8263" i="1"/>
  <c r="N8262" i="1"/>
  <c r="H8262" i="1"/>
  <c r="G8262" i="1"/>
  <c r="F8262" i="1"/>
  <c r="N8261" i="1"/>
  <c r="H8261" i="1"/>
  <c r="G8261" i="1"/>
  <c r="F8261" i="1"/>
  <c r="N8260" i="1"/>
  <c r="H8260" i="1"/>
  <c r="G8260" i="1"/>
  <c r="F8260" i="1"/>
  <c r="N8259" i="1"/>
  <c r="H8259" i="1"/>
  <c r="G8259" i="1"/>
  <c r="F8259" i="1"/>
  <c r="N8258" i="1"/>
  <c r="H8258" i="1"/>
  <c r="G8258" i="1"/>
  <c r="F8258" i="1"/>
  <c r="N8257" i="1"/>
  <c r="H8257" i="1"/>
  <c r="G8257" i="1"/>
  <c r="F8257" i="1"/>
  <c r="N8256" i="1"/>
  <c r="H8256" i="1"/>
  <c r="G8256" i="1"/>
  <c r="F8256" i="1"/>
  <c r="N8255" i="1"/>
  <c r="H8255" i="1"/>
  <c r="G8255" i="1"/>
  <c r="F8255" i="1"/>
  <c r="N8254" i="1"/>
  <c r="H8254" i="1"/>
  <c r="G8254" i="1"/>
  <c r="F8254" i="1"/>
  <c r="N8253" i="1"/>
  <c r="H8253" i="1"/>
  <c r="G8253" i="1"/>
  <c r="F8253" i="1"/>
  <c r="N8252" i="1"/>
  <c r="H8252" i="1"/>
  <c r="G8252" i="1"/>
  <c r="F8252" i="1"/>
  <c r="N8251" i="1"/>
  <c r="H8251" i="1"/>
  <c r="G8251" i="1"/>
  <c r="F8251" i="1"/>
  <c r="N8250" i="1"/>
  <c r="H8250" i="1"/>
  <c r="G8250" i="1"/>
  <c r="F8250" i="1"/>
  <c r="N8249" i="1"/>
  <c r="H8249" i="1"/>
  <c r="G8249" i="1"/>
  <c r="F8249" i="1"/>
  <c r="N8248" i="1"/>
  <c r="H8248" i="1"/>
  <c r="G8248" i="1"/>
  <c r="F8248" i="1"/>
  <c r="N8247" i="1"/>
  <c r="H8247" i="1"/>
  <c r="G8247" i="1"/>
  <c r="F8247" i="1"/>
  <c r="N8246" i="1"/>
  <c r="H8246" i="1"/>
  <c r="G8246" i="1"/>
  <c r="F8246" i="1"/>
  <c r="N8245" i="1"/>
  <c r="H8245" i="1"/>
  <c r="G8245" i="1"/>
  <c r="F8245" i="1"/>
  <c r="N8244" i="1"/>
  <c r="H8244" i="1"/>
  <c r="G8244" i="1"/>
  <c r="F8244" i="1"/>
  <c r="N8243" i="1"/>
  <c r="H8243" i="1"/>
  <c r="G8243" i="1"/>
  <c r="F8243" i="1"/>
  <c r="N8242" i="1"/>
  <c r="H8242" i="1"/>
  <c r="G8242" i="1"/>
  <c r="F8242" i="1"/>
  <c r="N8241" i="1"/>
  <c r="H8241" i="1"/>
  <c r="G8241" i="1"/>
  <c r="F8241" i="1"/>
  <c r="N8240" i="1"/>
  <c r="H8240" i="1"/>
  <c r="G8240" i="1"/>
  <c r="F8240" i="1"/>
  <c r="N8239" i="1"/>
  <c r="H8239" i="1"/>
  <c r="G8239" i="1"/>
  <c r="F8239" i="1"/>
  <c r="N8238" i="1"/>
  <c r="H8238" i="1"/>
  <c r="G8238" i="1"/>
  <c r="F8238" i="1"/>
  <c r="N8237" i="1"/>
  <c r="H8237" i="1"/>
  <c r="G8237" i="1"/>
  <c r="F8237" i="1"/>
  <c r="N8236" i="1"/>
  <c r="H8236" i="1"/>
  <c r="G8236" i="1"/>
  <c r="F8236" i="1"/>
  <c r="N8235" i="1"/>
  <c r="H8235" i="1"/>
  <c r="G8235" i="1"/>
  <c r="F8235" i="1"/>
  <c r="N8234" i="1"/>
  <c r="H8234" i="1"/>
  <c r="G8234" i="1"/>
  <c r="F8234" i="1"/>
  <c r="N8233" i="1"/>
  <c r="H8233" i="1"/>
  <c r="G8233" i="1"/>
  <c r="F8233" i="1"/>
  <c r="N8232" i="1"/>
  <c r="H8232" i="1"/>
  <c r="G8232" i="1"/>
  <c r="F8232" i="1"/>
  <c r="N8231" i="1"/>
  <c r="H8231" i="1"/>
  <c r="G8231" i="1"/>
  <c r="F8231" i="1"/>
  <c r="N8230" i="1"/>
  <c r="H8230" i="1"/>
  <c r="G8230" i="1"/>
  <c r="F8230" i="1"/>
  <c r="N8229" i="1"/>
  <c r="H8229" i="1"/>
  <c r="G8229" i="1"/>
  <c r="F8229" i="1"/>
  <c r="N8228" i="1"/>
  <c r="H8228" i="1"/>
  <c r="G8228" i="1"/>
  <c r="F8228" i="1"/>
  <c r="N8227" i="1"/>
  <c r="H8227" i="1"/>
  <c r="G8227" i="1"/>
  <c r="F8227" i="1"/>
  <c r="N8226" i="1"/>
  <c r="H8226" i="1"/>
  <c r="G8226" i="1"/>
  <c r="F8226" i="1"/>
  <c r="N8225" i="1"/>
  <c r="H8225" i="1"/>
  <c r="G8225" i="1"/>
  <c r="F8225" i="1"/>
  <c r="N8224" i="1"/>
  <c r="H8224" i="1"/>
  <c r="G8224" i="1"/>
  <c r="F8224" i="1"/>
  <c r="N8223" i="1"/>
  <c r="H8223" i="1"/>
  <c r="G8223" i="1"/>
  <c r="F8223" i="1"/>
  <c r="N8222" i="1"/>
  <c r="H8222" i="1"/>
  <c r="G8222" i="1"/>
  <c r="F8222" i="1"/>
  <c r="N8221" i="1"/>
  <c r="H8221" i="1"/>
  <c r="G8221" i="1"/>
  <c r="F8221" i="1"/>
  <c r="N8220" i="1"/>
  <c r="H8220" i="1"/>
  <c r="G8220" i="1"/>
  <c r="F8220" i="1"/>
  <c r="N8219" i="1"/>
  <c r="H8219" i="1"/>
  <c r="G8219" i="1"/>
  <c r="F8219" i="1"/>
  <c r="N8218" i="1"/>
  <c r="H8218" i="1"/>
  <c r="G8218" i="1"/>
  <c r="F8218" i="1"/>
  <c r="N8217" i="1"/>
  <c r="H8217" i="1"/>
  <c r="G8217" i="1"/>
  <c r="F8217" i="1"/>
  <c r="N8216" i="1"/>
  <c r="H8216" i="1"/>
  <c r="G8216" i="1"/>
  <c r="F8216" i="1"/>
  <c r="N8215" i="1"/>
  <c r="H8215" i="1"/>
  <c r="G8215" i="1"/>
  <c r="F8215" i="1"/>
  <c r="N8214" i="1"/>
  <c r="H8214" i="1"/>
  <c r="G8214" i="1"/>
  <c r="F8214" i="1"/>
  <c r="N8213" i="1"/>
  <c r="H8213" i="1"/>
  <c r="G8213" i="1"/>
  <c r="F8213" i="1"/>
  <c r="N8212" i="1"/>
  <c r="H8212" i="1"/>
  <c r="G8212" i="1"/>
  <c r="F8212" i="1"/>
  <c r="N8211" i="1"/>
  <c r="H8211" i="1"/>
  <c r="G8211" i="1"/>
  <c r="F8211" i="1"/>
  <c r="N8210" i="1"/>
  <c r="H8210" i="1"/>
  <c r="G8210" i="1"/>
  <c r="F8210" i="1"/>
  <c r="N8209" i="1"/>
  <c r="H8209" i="1"/>
  <c r="G8209" i="1"/>
  <c r="F8209" i="1"/>
  <c r="N8208" i="1"/>
  <c r="H8208" i="1"/>
  <c r="G8208" i="1"/>
  <c r="F8208" i="1"/>
  <c r="N8207" i="1"/>
  <c r="H8207" i="1"/>
  <c r="G8207" i="1"/>
  <c r="F8207" i="1"/>
  <c r="N8206" i="1"/>
  <c r="H8206" i="1"/>
  <c r="G8206" i="1"/>
  <c r="F8206" i="1"/>
  <c r="N8205" i="1"/>
  <c r="H8205" i="1"/>
  <c r="G8205" i="1"/>
  <c r="F8205" i="1"/>
  <c r="N8204" i="1"/>
  <c r="H8204" i="1"/>
  <c r="G8204" i="1"/>
  <c r="F8204" i="1"/>
  <c r="N8203" i="1"/>
  <c r="H8203" i="1"/>
  <c r="G8203" i="1"/>
  <c r="F8203" i="1"/>
  <c r="N8202" i="1"/>
  <c r="H8202" i="1"/>
  <c r="G8202" i="1"/>
  <c r="F8202" i="1"/>
  <c r="N8201" i="1"/>
  <c r="H8201" i="1"/>
  <c r="G8201" i="1"/>
  <c r="F8201" i="1"/>
  <c r="N8200" i="1"/>
  <c r="H8200" i="1"/>
  <c r="G8200" i="1"/>
  <c r="F8200" i="1"/>
  <c r="N8199" i="1"/>
  <c r="H8199" i="1"/>
  <c r="G8199" i="1"/>
  <c r="F8199" i="1"/>
  <c r="N8198" i="1"/>
  <c r="H8198" i="1"/>
  <c r="G8198" i="1"/>
  <c r="F8198" i="1"/>
  <c r="N8197" i="1"/>
  <c r="H8197" i="1"/>
  <c r="G8197" i="1"/>
  <c r="F8197" i="1"/>
  <c r="N8196" i="1"/>
  <c r="H8196" i="1"/>
  <c r="G8196" i="1"/>
  <c r="F8196" i="1"/>
  <c r="N8195" i="1"/>
  <c r="H8195" i="1"/>
  <c r="G8195" i="1"/>
  <c r="F8195" i="1"/>
  <c r="N8194" i="1"/>
  <c r="H8194" i="1"/>
  <c r="G8194" i="1"/>
  <c r="F8194" i="1"/>
  <c r="N8193" i="1"/>
  <c r="H8193" i="1"/>
  <c r="G8193" i="1"/>
  <c r="F8193" i="1"/>
  <c r="N8192" i="1"/>
  <c r="H8192" i="1"/>
  <c r="G8192" i="1"/>
  <c r="F8192" i="1"/>
  <c r="N8191" i="1"/>
  <c r="H8191" i="1"/>
  <c r="G8191" i="1"/>
  <c r="F8191" i="1"/>
  <c r="N8190" i="1"/>
  <c r="H8190" i="1"/>
  <c r="G8190" i="1"/>
  <c r="F8190" i="1"/>
  <c r="N8189" i="1"/>
  <c r="H8189" i="1"/>
  <c r="G8189" i="1"/>
  <c r="F8189" i="1"/>
  <c r="N8188" i="1"/>
  <c r="H8188" i="1"/>
  <c r="G8188" i="1"/>
  <c r="F8188" i="1"/>
  <c r="N8187" i="1"/>
  <c r="H8187" i="1"/>
  <c r="G8187" i="1"/>
  <c r="F8187" i="1"/>
  <c r="N8186" i="1"/>
  <c r="H8186" i="1"/>
  <c r="G8186" i="1"/>
  <c r="F8186" i="1"/>
  <c r="N8185" i="1"/>
  <c r="H8185" i="1"/>
  <c r="G8185" i="1"/>
  <c r="F8185" i="1"/>
  <c r="N8184" i="1"/>
  <c r="H8184" i="1"/>
  <c r="G8184" i="1"/>
  <c r="F8184" i="1"/>
  <c r="N8183" i="1"/>
  <c r="H8183" i="1"/>
  <c r="G8183" i="1"/>
  <c r="F8183" i="1"/>
  <c r="N8182" i="1"/>
  <c r="H8182" i="1"/>
  <c r="G8182" i="1"/>
  <c r="F8182" i="1"/>
  <c r="N8181" i="1"/>
  <c r="H8181" i="1"/>
  <c r="G8181" i="1"/>
  <c r="F8181" i="1"/>
  <c r="N8180" i="1"/>
  <c r="H8180" i="1"/>
  <c r="G8180" i="1"/>
  <c r="F8180" i="1"/>
  <c r="N8179" i="1"/>
  <c r="H8179" i="1"/>
  <c r="G8179" i="1"/>
  <c r="F8179" i="1"/>
  <c r="N8178" i="1"/>
  <c r="H8178" i="1"/>
  <c r="G8178" i="1"/>
  <c r="F8178" i="1"/>
  <c r="N8177" i="1"/>
  <c r="H8177" i="1"/>
  <c r="G8177" i="1"/>
  <c r="F8177" i="1"/>
  <c r="N8176" i="1"/>
  <c r="H8176" i="1"/>
  <c r="G8176" i="1"/>
  <c r="F8176" i="1"/>
  <c r="N8175" i="1"/>
  <c r="H8175" i="1"/>
  <c r="G8175" i="1"/>
  <c r="F8175" i="1"/>
  <c r="N8174" i="1"/>
  <c r="H8174" i="1"/>
  <c r="G8174" i="1"/>
  <c r="F8174" i="1"/>
  <c r="N8173" i="1"/>
  <c r="H8173" i="1"/>
  <c r="G8173" i="1"/>
  <c r="F8173" i="1"/>
  <c r="N8172" i="1"/>
  <c r="H8172" i="1"/>
  <c r="G8172" i="1"/>
  <c r="F8172" i="1"/>
  <c r="N8171" i="1"/>
  <c r="H8171" i="1"/>
  <c r="G8171" i="1"/>
  <c r="F8171" i="1"/>
  <c r="N8170" i="1"/>
  <c r="H8170" i="1"/>
  <c r="G8170" i="1"/>
  <c r="F8170" i="1"/>
  <c r="N8169" i="1"/>
  <c r="H8169" i="1"/>
  <c r="G8169" i="1"/>
  <c r="F8169" i="1"/>
  <c r="N8168" i="1"/>
  <c r="H8168" i="1"/>
  <c r="G8168" i="1"/>
  <c r="F8168" i="1"/>
  <c r="N8167" i="1"/>
  <c r="H8167" i="1"/>
  <c r="G8167" i="1"/>
  <c r="F8167" i="1"/>
  <c r="N8166" i="1"/>
  <c r="H8166" i="1"/>
  <c r="G8166" i="1"/>
  <c r="F8166" i="1"/>
  <c r="N8165" i="1"/>
  <c r="H8165" i="1"/>
  <c r="G8165" i="1"/>
  <c r="F8165" i="1"/>
  <c r="N8164" i="1"/>
  <c r="H8164" i="1"/>
  <c r="G8164" i="1"/>
  <c r="F8164" i="1"/>
  <c r="N8163" i="1"/>
  <c r="H8163" i="1"/>
  <c r="G8163" i="1"/>
  <c r="F8163" i="1"/>
  <c r="N8162" i="1"/>
  <c r="H8162" i="1"/>
  <c r="G8162" i="1"/>
  <c r="F8162" i="1"/>
  <c r="N8161" i="1"/>
  <c r="H8161" i="1"/>
  <c r="G8161" i="1"/>
  <c r="F8161" i="1"/>
  <c r="N8160" i="1"/>
  <c r="H8160" i="1"/>
  <c r="G8160" i="1"/>
  <c r="F8160" i="1"/>
  <c r="N8159" i="1"/>
  <c r="H8159" i="1"/>
  <c r="G8159" i="1"/>
  <c r="F8159" i="1"/>
  <c r="N8158" i="1"/>
  <c r="H8158" i="1"/>
  <c r="G8158" i="1"/>
  <c r="F8158" i="1"/>
  <c r="N8157" i="1"/>
  <c r="H8157" i="1"/>
  <c r="G8157" i="1"/>
  <c r="F8157" i="1"/>
  <c r="N8156" i="1"/>
  <c r="H8156" i="1"/>
  <c r="G8156" i="1"/>
  <c r="F8156" i="1"/>
  <c r="N8155" i="1"/>
  <c r="H8155" i="1"/>
  <c r="G8155" i="1"/>
  <c r="F8155" i="1"/>
  <c r="N8154" i="1"/>
  <c r="H8154" i="1"/>
  <c r="G8154" i="1"/>
  <c r="F8154" i="1"/>
  <c r="N8153" i="1"/>
  <c r="H8153" i="1"/>
  <c r="G8153" i="1"/>
  <c r="F8153" i="1"/>
  <c r="N8152" i="1"/>
  <c r="H8152" i="1"/>
  <c r="G8152" i="1"/>
  <c r="F8152" i="1"/>
  <c r="N8151" i="1"/>
  <c r="H8151" i="1"/>
  <c r="G8151" i="1"/>
  <c r="F8151" i="1"/>
  <c r="N8150" i="1"/>
  <c r="H8150" i="1"/>
  <c r="G8150" i="1"/>
  <c r="F8150" i="1"/>
  <c r="N8149" i="1"/>
  <c r="H8149" i="1"/>
  <c r="G8149" i="1"/>
  <c r="F8149" i="1"/>
  <c r="N8148" i="1"/>
  <c r="H8148" i="1"/>
  <c r="G8148" i="1"/>
  <c r="F8148" i="1"/>
  <c r="N8147" i="1"/>
  <c r="H8147" i="1"/>
  <c r="G8147" i="1"/>
  <c r="F8147" i="1"/>
  <c r="N8146" i="1"/>
  <c r="H8146" i="1"/>
  <c r="G8146" i="1"/>
  <c r="F8146" i="1"/>
  <c r="N8145" i="1"/>
  <c r="H8145" i="1"/>
  <c r="G8145" i="1"/>
  <c r="F8145" i="1"/>
  <c r="N8144" i="1"/>
  <c r="H8144" i="1"/>
  <c r="G8144" i="1"/>
  <c r="F8144" i="1"/>
  <c r="N8143" i="1"/>
  <c r="H8143" i="1"/>
  <c r="G8143" i="1"/>
  <c r="F8143" i="1"/>
  <c r="N8142" i="1"/>
  <c r="H8142" i="1"/>
  <c r="G8142" i="1"/>
  <c r="F8142" i="1"/>
  <c r="N8141" i="1"/>
  <c r="H8141" i="1"/>
  <c r="G8141" i="1"/>
  <c r="F8141" i="1"/>
  <c r="N8140" i="1"/>
  <c r="H8140" i="1"/>
  <c r="G8140" i="1"/>
  <c r="F8140" i="1"/>
  <c r="N8139" i="1"/>
  <c r="H8139" i="1"/>
  <c r="G8139" i="1"/>
  <c r="F8139" i="1"/>
  <c r="N8138" i="1"/>
  <c r="H8138" i="1"/>
  <c r="G8138" i="1"/>
  <c r="F8138" i="1"/>
  <c r="N8137" i="1"/>
  <c r="H8137" i="1"/>
  <c r="G8137" i="1"/>
  <c r="F8137" i="1"/>
  <c r="N8136" i="1"/>
  <c r="H8136" i="1"/>
  <c r="G8136" i="1"/>
  <c r="F8136" i="1"/>
  <c r="N8135" i="1"/>
  <c r="H8135" i="1"/>
  <c r="G8135" i="1"/>
  <c r="F8135" i="1"/>
  <c r="N8134" i="1"/>
  <c r="H8134" i="1"/>
  <c r="G8134" i="1"/>
  <c r="F8134" i="1"/>
  <c r="N8133" i="1"/>
  <c r="H8133" i="1"/>
  <c r="G8133" i="1"/>
  <c r="F8133" i="1"/>
  <c r="N8132" i="1"/>
  <c r="H8132" i="1"/>
  <c r="G8132" i="1"/>
  <c r="F8132" i="1"/>
  <c r="N8131" i="1"/>
  <c r="H8131" i="1"/>
  <c r="G8131" i="1"/>
  <c r="F8131" i="1"/>
  <c r="N8130" i="1"/>
  <c r="H8130" i="1"/>
  <c r="G8130" i="1"/>
  <c r="F8130" i="1"/>
  <c r="N8129" i="1"/>
  <c r="H8129" i="1"/>
  <c r="G8129" i="1"/>
  <c r="F8129" i="1"/>
  <c r="N8128" i="1"/>
  <c r="H8128" i="1"/>
  <c r="G8128" i="1"/>
  <c r="F8128" i="1"/>
  <c r="N8127" i="1"/>
  <c r="H8127" i="1"/>
  <c r="G8127" i="1"/>
  <c r="F8127" i="1"/>
  <c r="N8126" i="1"/>
  <c r="H8126" i="1"/>
  <c r="G8126" i="1"/>
  <c r="F8126" i="1"/>
  <c r="N8125" i="1"/>
  <c r="H8125" i="1"/>
  <c r="G8125" i="1"/>
  <c r="F8125" i="1"/>
  <c r="N8124" i="1"/>
  <c r="H8124" i="1"/>
  <c r="G8124" i="1"/>
  <c r="F8124" i="1"/>
  <c r="N8123" i="1"/>
  <c r="H8123" i="1"/>
  <c r="G8123" i="1"/>
  <c r="F8123" i="1"/>
  <c r="N8122" i="1"/>
  <c r="H8122" i="1"/>
  <c r="G8122" i="1"/>
  <c r="F8122" i="1"/>
  <c r="N8121" i="1"/>
  <c r="H8121" i="1"/>
  <c r="G8121" i="1"/>
  <c r="F8121" i="1"/>
  <c r="N8120" i="1"/>
  <c r="H8120" i="1"/>
  <c r="G8120" i="1"/>
  <c r="F8120" i="1"/>
  <c r="N8119" i="1"/>
  <c r="H8119" i="1"/>
  <c r="G8119" i="1"/>
  <c r="F8119" i="1"/>
  <c r="N8118" i="1"/>
  <c r="H8118" i="1"/>
  <c r="G8118" i="1"/>
  <c r="F8118" i="1"/>
  <c r="N8117" i="1"/>
  <c r="H8117" i="1"/>
  <c r="G8117" i="1"/>
  <c r="F8117" i="1"/>
  <c r="N8116" i="1"/>
  <c r="H8116" i="1"/>
  <c r="G8116" i="1"/>
  <c r="F8116" i="1"/>
  <c r="N8115" i="1"/>
  <c r="H8115" i="1"/>
  <c r="G8115" i="1"/>
  <c r="F8115" i="1"/>
  <c r="N8114" i="1"/>
  <c r="H8114" i="1"/>
  <c r="G8114" i="1"/>
  <c r="F8114" i="1"/>
  <c r="N8113" i="1"/>
  <c r="H8113" i="1"/>
  <c r="G8113" i="1"/>
  <c r="F8113" i="1"/>
  <c r="N8112" i="1"/>
  <c r="H8112" i="1"/>
  <c r="G8112" i="1"/>
  <c r="F8112" i="1"/>
  <c r="N8111" i="1"/>
  <c r="H8111" i="1"/>
  <c r="G8111" i="1"/>
  <c r="F8111" i="1"/>
  <c r="N8110" i="1"/>
  <c r="H8110" i="1"/>
  <c r="G8110" i="1"/>
  <c r="F8110" i="1"/>
  <c r="N8109" i="1"/>
  <c r="H8109" i="1"/>
  <c r="G8109" i="1"/>
  <c r="F8109" i="1"/>
  <c r="N8108" i="1"/>
  <c r="H8108" i="1"/>
  <c r="G8108" i="1"/>
  <c r="F8108" i="1"/>
  <c r="N8107" i="1"/>
  <c r="H8107" i="1"/>
  <c r="G8107" i="1"/>
  <c r="F8107" i="1"/>
  <c r="N8106" i="1"/>
  <c r="H8106" i="1"/>
  <c r="G8106" i="1"/>
  <c r="F8106" i="1"/>
  <c r="N8105" i="1"/>
  <c r="H8105" i="1"/>
  <c r="G8105" i="1"/>
  <c r="F8105" i="1"/>
  <c r="N8104" i="1"/>
  <c r="H8104" i="1"/>
  <c r="G8104" i="1"/>
  <c r="F8104" i="1"/>
  <c r="N8103" i="1"/>
  <c r="H8103" i="1"/>
  <c r="G8103" i="1"/>
  <c r="F8103" i="1"/>
  <c r="N8102" i="1"/>
  <c r="H8102" i="1"/>
  <c r="G8102" i="1"/>
  <c r="F8102" i="1"/>
  <c r="N8101" i="1"/>
  <c r="H8101" i="1"/>
  <c r="G8101" i="1"/>
  <c r="F8101" i="1"/>
  <c r="N8100" i="1"/>
  <c r="H8100" i="1"/>
  <c r="G8100" i="1"/>
  <c r="F8100" i="1"/>
  <c r="N8099" i="1"/>
  <c r="H8099" i="1"/>
  <c r="G8099" i="1"/>
  <c r="F8099" i="1"/>
  <c r="N8098" i="1"/>
  <c r="H8098" i="1"/>
  <c r="G8098" i="1"/>
  <c r="F8098" i="1"/>
  <c r="N8097" i="1"/>
  <c r="H8097" i="1"/>
  <c r="G8097" i="1"/>
  <c r="F8097" i="1"/>
  <c r="N8096" i="1"/>
  <c r="H8096" i="1"/>
  <c r="G8096" i="1"/>
  <c r="F8096" i="1"/>
  <c r="N8095" i="1"/>
  <c r="H8095" i="1"/>
  <c r="G8095" i="1"/>
  <c r="F8095" i="1"/>
  <c r="N8094" i="1"/>
  <c r="H8094" i="1"/>
  <c r="G8094" i="1"/>
  <c r="F8094" i="1"/>
  <c r="N8093" i="1"/>
  <c r="H8093" i="1"/>
  <c r="G8093" i="1"/>
  <c r="F8093" i="1"/>
  <c r="N8092" i="1"/>
  <c r="H8092" i="1"/>
  <c r="G8092" i="1"/>
  <c r="F8092" i="1"/>
  <c r="N8091" i="1"/>
  <c r="H8091" i="1"/>
  <c r="G8091" i="1"/>
  <c r="F8091" i="1"/>
  <c r="N8090" i="1"/>
  <c r="H8090" i="1"/>
  <c r="G8090" i="1"/>
  <c r="F8090" i="1"/>
  <c r="N8089" i="1"/>
  <c r="H8089" i="1"/>
  <c r="G8089" i="1"/>
  <c r="F8089" i="1"/>
  <c r="N8088" i="1"/>
  <c r="H8088" i="1"/>
  <c r="G8088" i="1"/>
  <c r="F8088" i="1"/>
  <c r="N8087" i="1"/>
  <c r="H8087" i="1"/>
  <c r="G8087" i="1"/>
  <c r="F8087" i="1"/>
  <c r="N8086" i="1"/>
  <c r="H8086" i="1"/>
  <c r="G8086" i="1"/>
  <c r="F8086" i="1"/>
  <c r="N8085" i="1"/>
  <c r="H8085" i="1"/>
  <c r="G8085" i="1"/>
  <c r="F8085" i="1"/>
  <c r="N8084" i="1"/>
  <c r="H8084" i="1"/>
  <c r="G8084" i="1"/>
  <c r="F8084" i="1"/>
  <c r="N8083" i="1"/>
  <c r="H8083" i="1"/>
  <c r="G8083" i="1"/>
  <c r="F8083" i="1"/>
  <c r="N8082" i="1"/>
  <c r="H8082" i="1"/>
  <c r="G8082" i="1"/>
  <c r="F8082" i="1"/>
  <c r="N8081" i="1"/>
  <c r="H8081" i="1"/>
  <c r="G8081" i="1"/>
  <c r="F8081" i="1"/>
  <c r="N8080" i="1"/>
  <c r="H8080" i="1"/>
  <c r="G8080" i="1"/>
  <c r="F8080" i="1"/>
  <c r="N8079" i="1"/>
  <c r="H8079" i="1"/>
  <c r="G8079" i="1"/>
  <c r="F8079" i="1"/>
  <c r="N8078" i="1"/>
  <c r="H8078" i="1"/>
  <c r="G8078" i="1"/>
  <c r="F8078" i="1"/>
  <c r="N8077" i="1"/>
  <c r="H8077" i="1"/>
  <c r="G8077" i="1"/>
  <c r="F8077" i="1"/>
  <c r="N8076" i="1"/>
  <c r="H8076" i="1"/>
  <c r="G8076" i="1"/>
  <c r="F8076" i="1"/>
  <c r="N8075" i="1"/>
  <c r="H8075" i="1"/>
  <c r="G8075" i="1"/>
  <c r="F8075" i="1"/>
  <c r="N8074" i="1"/>
  <c r="H8074" i="1"/>
  <c r="G8074" i="1"/>
  <c r="F8074" i="1"/>
  <c r="N8073" i="1"/>
  <c r="H8073" i="1"/>
  <c r="G8073" i="1"/>
  <c r="F8073" i="1"/>
  <c r="N8072" i="1"/>
  <c r="H8072" i="1"/>
  <c r="G8072" i="1"/>
  <c r="F8072" i="1"/>
  <c r="N8071" i="1"/>
  <c r="H8071" i="1"/>
  <c r="G8071" i="1"/>
  <c r="F8071" i="1"/>
  <c r="N8070" i="1"/>
  <c r="H8070" i="1"/>
  <c r="G8070" i="1"/>
  <c r="F8070" i="1"/>
  <c r="N8069" i="1"/>
  <c r="H8069" i="1"/>
  <c r="G8069" i="1"/>
  <c r="F8069" i="1"/>
  <c r="N8068" i="1"/>
  <c r="H8068" i="1"/>
  <c r="G8068" i="1"/>
  <c r="F8068" i="1"/>
  <c r="N8067" i="1"/>
  <c r="H8067" i="1"/>
  <c r="G8067" i="1"/>
  <c r="F8067" i="1"/>
  <c r="N8066" i="1"/>
  <c r="H8066" i="1"/>
  <c r="G8066" i="1"/>
  <c r="F8066" i="1"/>
  <c r="N8065" i="1"/>
  <c r="H8065" i="1"/>
  <c r="G8065" i="1"/>
  <c r="F8065" i="1"/>
  <c r="N8064" i="1"/>
  <c r="H8064" i="1"/>
  <c r="G8064" i="1"/>
  <c r="F8064" i="1"/>
  <c r="N8063" i="1"/>
  <c r="H8063" i="1"/>
  <c r="G8063" i="1"/>
  <c r="F8063" i="1"/>
  <c r="N8062" i="1"/>
  <c r="H8062" i="1"/>
  <c r="G8062" i="1"/>
  <c r="F8062" i="1"/>
  <c r="N8061" i="1"/>
  <c r="H8061" i="1"/>
  <c r="G8061" i="1"/>
  <c r="F8061" i="1"/>
  <c r="N8060" i="1"/>
  <c r="H8060" i="1"/>
  <c r="G8060" i="1"/>
  <c r="F8060" i="1"/>
  <c r="N8059" i="1"/>
  <c r="H8059" i="1"/>
  <c r="G8059" i="1"/>
  <c r="F8059" i="1"/>
  <c r="N8058" i="1"/>
  <c r="H8058" i="1"/>
  <c r="G8058" i="1"/>
  <c r="F8058" i="1"/>
  <c r="N8057" i="1"/>
  <c r="H8057" i="1"/>
  <c r="G8057" i="1"/>
  <c r="F8057" i="1"/>
  <c r="N8056" i="1"/>
  <c r="H8056" i="1"/>
  <c r="G8056" i="1"/>
  <c r="F8056" i="1"/>
  <c r="N8055" i="1"/>
  <c r="H8055" i="1"/>
  <c r="G8055" i="1"/>
  <c r="F8055" i="1"/>
  <c r="N8054" i="1"/>
  <c r="H8054" i="1"/>
  <c r="G8054" i="1"/>
  <c r="F8054" i="1"/>
  <c r="N8053" i="1"/>
  <c r="H8053" i="1"/>
  <c r="G8053" i="1"/>
  <c r="F8053" i="1"/>
  <c r="N8052" i="1"/>
  <c r="H8052" i="1"/>
  <c r="G8052" i="1"/>
  <c r="F8052" i="1"/>
  <c r="N8051" i="1"/>
  <c r="H8051" i="1"/>
  <c r="G8051" i="1"/>
  <c r="F8051" i="1"/>
  <c r="N8050" i="1"/>
  <c r="H8050" i="1"/>
  <c r="G8050" i="1"/>
  <c r="F8050" i="1"/>
  <c r="N8049" i="1"/>
  <c r="H8049" i="1"/>
  <c r="G8049" i="1"/>
  <c r="F8049" i="1"/>
  <c r="N8048" i="1"/>
  <c r="H8048" i="1"/>
  <c r="G8048" i="1"/>
  <c r="F8048" i="1"/>
  <c r="N8047" i="1"/>
  <c r="H8047" i="1"/>
  <c r="G8047" i="1"/>
  <c r="F8047" i="1"/>
  <c r="N8046" i="1"/>
  <c r="H8046" i="1"/>
  <c r="G8046" i="1"/>
  <c r="F8046" i="1"/>
  <c r="N8045" i="1"/>
  <c r="H8045" i="1"/>
  <c r="G8045" i="1"/>
  <c r="F8045" i="1"/>
  <c r="N8044" i="1"/>
  <c r="H8044" i="1"/>
  <c r="G8044" i="1"/>
  <c r="F8044" i="1"/>
  <c r="N8043" i="1"/>
  <c r="H8043" i="1"/>
  <c r="G8043" i="1"/>
  <c r="F8043" i="1"/>
  <c r="N8042" i="1"/>
  <c r="H8042" i="1"/>
  <c r="G8042" i="1"/>
  <c r="F8042" i="1"/>
  <c r="N8041" i="1"/>
  <c r="H8041" i="1"/>
  <c r="G8041" i="1"/>
  <c r="F8041" i="1"/>
  <c r="N8040" i="1"/>
  <c r="H8040" i="1"/>
  <c r="G8040" i="1"/>
  <c r="F8040" i="1"/>
  <c r="N8039" i="1"/>
  <c r="H8039" i="1"/>
  <c r="G8039" i="1"/>
  <c r="F8039" i="1"/>
  <c r="N8038" i="1"/>
  <c r="H8038" i="1"/>
  <c r="G8038" i="1"/>
  <c r="F8038" i="1"/>
  <c r="N8037" i="1"/>
  <c r="H8037" i="1"/>
  <c r="G8037" i="1"/>
  <c r="F8037" i="1"/>
  <c r="N8036" i="1"/>
  <c r="H8036" i="1"/>
  <c r="G8036" i="1"/>
  <c r="F8036" i="1"/>
  <c r="N8035" i="1"/>
  <c r="H8035" i="1"/>
  <c r="G8035" i="1"/>
  <c r="F8035" i="1"/>
  <c r="N8034" i="1"/>
  <c r="H8034" i="1"/>
  <c r="G8034" i="1"/>
  <c r="F8034" i="1"/>
  <c r="N8033" i="1"/>
  <c r="H8033" i="1"/>
  <c r="G8033" i="1"/>
  <c r="F8033" i="1"/>
  <c r="N8032" i="1"/>
  <c r="H8032" i="1"/>
  <c r="G8032" i="1"/>
  <c r="F8032" i="1"/>
  <c r="N8031" i="1"/>
  <c r="H8031" i="1"/>
  <c r="G8031" i="1"/>
  <c r="F8031" i="1"/>
  <c r="N8030" i="1"/>
  <c r="H8030" i="1"/>
  <c r="G8030" i="1"/>
  <c r="F8030" i="1"/>
  <c r="N8029" i="1"/>
  <c r="H8029" i="1"/>
  <c r="G8029" i="1"/>
  <c r="F8029" i="1"/>
  <c r="N8028" i="1"/>
  <c r="H8028" i="1"/>
  <c r="G8028" i="1"/>
  <c r="F8028" i="1"/>
  <c r="N8027" i="1"/>
  <c r="H8027" i="1"/>
  <c r="G8027" i="1"/>
  <c r="F8027" i="1"/>
  <c r="N8026" i="1"/>
  <c r="H8026" i="1"/>
  <c r="G8026" i="1"/>
  <c r="F8026" i="1"/>
  <c r="N8025" i="1"/>
  <c r="H8025" i="1"/>
  <c r="G8025" i="1"/>
  <c r="F8025" i="1"/>
  <c r="N8024" i="1"/>
  <c r="H8024" i="1"/>
  <c r="G8024" i="1"/>
  <c r="F8024" i="1"/>
  <c r="N8023" i="1"/>
  <c r="H8023" i="1"/>
  <c r="G8023" i="1"/>
  <c r="F8023" i="1"/>
  <c r="N8022" i="1"/>
  <c r="H8022" i="1"/>
  <c r="G8022" i="1"/>
  <c r="F8022" i="1"/>
  <c r="N8021" i="1"/>
  <c r="H8021" i="1"/>
  <c r="G8021" i="1"/>
  <c r="F8021" i="1"/>
  <c r="N8020" i="1"/>
  <c r="H8020" i="1"/>
  <c r="G8020" i="1"/>
  <c r="F8020" i="1"/>
  <c r="N8019" i="1"/>
  <c r="H8019" i="1"/>
  <c r="G8019" i="1"/>
  <c r="F8019" i="1"/>
  <c r="N8018" i="1"/>
  <c r="H8018" i="1"/>
  <c r="G8018" i="1"/>
  <c r="F8018" i="1"/>
  <c r="N8017" i="1"/>
  <c r="H8017" i="1"/>
  <c r="G8017" i="1"/>
  <c r="F8017" i="1"/>
  <c r="N8016" i="1"/>
  <c r="H8016" i="1"/>
  <c r="G8016" i="1"/>
  <c r="F8016" i="1"/>
  <c r="N8015" i="1"/>
  <c r="H8015" i="1"/>
  <c r="G8015" i="1"/>
  <c r="F8015" i="1"/>
  <c r="N8014" i="1"/>
  <c r="H8014" i="1"/>
  <c r="G8014" i="1"/>
  <c r="F8014" i="1"/>
  <c r="N8013" i="1"/>
  <c r="H8013" i="1"/>
  <c r="G8013" i="1"/>
  <c r="F8013" i="1"/>
  <c r="N8012" i="1"/>
  <c r="H8012" i="1"/>
  <c r="G8012" i="1"/>
  <c r="F8012" i="1"/>
  <c r="N8011" i="1"/>
  <c r="H8011" i="1"/>
  <c r="G8011" i="1"/>
  <c r="F8011" i="1"/>
  <c r="N8010" i="1"/>
  <c r="H8010" i="1"/>
  <c r="G8010" i="1"/>
  <c r="F8010" i="1"/>
  <c r="N8009" i="1"/>
  <c r="H8009" i="1"/>
  <c r="G8009" i="1"/>
  <c r="F8009" i="1"/>
  <c r="N8008" i="1"/>
  <c r="H8008" i="1"/>
  <c r="G8008" i="1"/>
  <c r="F8008" i="1"/>
  <c r="N8007" i="1"/>
  <c r="H8007" i="1"/>
  <c r="G8007" i="1"/>
  <c r="F8007" i="1"/>
  <c r="N8006" i="1"/>
  <c r="H8006" i="1"/>
  <c r="G8006" i="1"/>
  <c r="F8006" i="1"/>
  <c r="N8005" i="1"/>
  <c r="H8005" i="1"/>
  <c r="G8005" i="1"/>
  <c r="F8005" i="1"/>
  <c r="N8004" i="1"/>
  <c r="H8004" i="1"/>
  <c r="G8004" i="1"/>
  <c r="F8004" i="1"/>
  <c r="N8003" i="1"/>
  <c r="H8003" i="1"/>
  <c r="G8003" i="1"/>
  <c r="F8003" i="1"/>
  <c r="N8002" i="1"/>
  <c r="H8002" i="1"/>
  <c r="G8002" i="1"/>
  <c r="F8002" i="1"/>
  <c r="N8001" i="1"/>
  <c r="H8001" i="1"/>
  <c r="G8001" i="1"/>
  <c r="F8001" i="1"/>
  <c r="N8000" i="1"/>
  <c r="H8000" i="1"/>
  <c r="G8000" i="1"/>
  <c r="F8000" i="1"/>
  <c r="N7999" i="1"/>
  <c r="H7999" i="1"/>
  <c r="G7999" i="1"/>
  <c r="F7999" i="1"/>
  <c r="N7998" i="1"/>
  <c r="H7998" i="1"/>
  <c r="G7998" i="1"/>
  <c r="F7998" i="1"/>
  <c r="N7997" i="1"/>
  <c r="H7997" i="1"/>
  <c r="G7997" i="1"/>
  <c r="F7997" i="1"/>
  <c r="N7996" i="1"/>
  <c r="H7996" i="1"/>
  <c r="G7996" i="1"/>
  <c r="F7996" i="1"/>
  <c r="N7995" i="1"/>
  <c r="H7995" i="1"/>
  <c r="G7995" i="1"/>
  <c r="F7995" i="1"/>
  <c r="N7994" i="1"/>
  <c r="H7994" i="1"/>
  <c r="G7994" i="1"/>
  <c r="F7994" i="1"/>
  <c r="N7993" i="1"/>
  <c r="H7993" i="1"/>
  <c r="G7993" i="1"/>
  <c r="F7993" i="1"/>
  <c r="N7992" i="1"/>
  <c r="H7992" i="1"/>
  <c r="G7992" i="1"/>
  <c r="F7992" i="1"/>
  <c r="N7991" i="1"/>
  <c r="H7991" i="1"/>
  <c r="G7991" i="1"/>
  <c r="F7991" i="1"/>
  <c r="N7990" i="1"/>
  <c r="H7990" i="1"/>
  <c r="G7990" i="1"/>
  <c r="F7990" i="1"/>
  <c r="N7989" i="1"/>
  <c r="H7989" i="1"/>
  <c r="G7989" i="1"/>
  <c r="F7989" i="1"/>
  <c r="N7988" i="1"/>
  <c r="H7988" i="1"/>
  <c r="G7988" i="1"/>
  <c r="F7988" i="1"/>
  <c r="N7987" i="1"/>
  <c r="H7987" i="1"/>
  <c r="G7987" i="1"/>
  <c r="F7987" i="1"/>
  <c r="N7986" i="1"/>
  <c r="H7986" i="1"/>
  <c r="G7986" i="1"/>
  <c r="F7986" i="1"/>
  <c r="N7985" i="1"/>
  <c r="H7985" i="1"/>
  <c r="G7985" i="1"/>
  <c r="F7985" i="1"/>
  <c r="N7984" i="1"/>
  <c r="H7984" i="1"/>
  <c r="G7984" i="1"/>
  <c r="F7984" i="1"/>
  <c r="N7983" i="1"/>
  <c r="H7983" i="1"/>
  <c r="G7983" i="1"/>
  <c r="F7983" i="1"/>
  <c r="N7982" i="1"/>
  <c r="H7982" i="1"/>
  <c r="G7982" i="1"/>
  <c r="F7982" i="1"/>
  <c r="N7981" i="1"/>
  <c r="H7981" i="1"/>
  <c r="G7981" i="1"/>
  <c r="F7981" i="1"/>
  <c r="N7980" i="1"/>
  <c r="H7980" i="1"/>
  <c r="G7980" i="1"/>
  <c r="F7980" i="1"/>
  <c r="N7979" i="1"/>
  <c r="H7979" i="1"/>
  <c r="G7979" i="1"/>
  <c r="F7979" i="1"/>
  <c r="N7978" i="1"/>
  <c r="H7978" i="1"/>
  <c r="G7978" i="1"/>
  <c r="F7978" i="1"/>
  <c r="N7977" i="1"/>
  <c r="H7977" i="1"/>
  <c r="G7977" i="1"/>
  <c r="F7977" i="1"/>
  <c r="N7976" i="1"/>
  <c r="H7976" i="1"/>
  <c r="G7976" i="1"/>
  <c r="F7976" i="1"/>
  <c r="N7975" i="1"/>
  <c r="H7975" i="1"/>
  <c r="G7975" i="1"/>
  <c r="F7975" i="1"/>
  <c r="N7974" i="1"/>
  <c r="H7974" i="1"/>
  <c r="G7974" i="1"/>
  <c r="F7974" i="1"/>
  <c r="N7973" i="1"/>
  <c r="H7973" i="1"/>
  <c r="G7973" i="1"/>
  <c r="F7973" i="1"/>
  <c r="N7972" i="1"/>
  <c r="H7972" i="1"/>
  <c r="G7972" i="1"/>
  <c r="F7972" i="1"/>
  <c r="N7971" i="1"/>
  <c r="H7971" i="1"/>
  <c r="G7971" i="1"/>
  <c r="F7971" i="1"/>
  <c r="N7970" i="1"/>
  <c r="H7970" i="1"/>
  <c r="G7970" i="1"/>
  <c r="F7970" i="1"/>
  <c r="N7969" i="1"/>
  <c r="H7969" i="1"/>
  <c r="G7969" i="1"/>
  <c r="F7969" i="1"/>
  <c r="N7968" i="1"/>
  <c r="H7968" i="1"/>
  <c r="G7968" i="1"/>
  <c r="F7968" i="1"/>
  <c r="N7967" i="1"/>
  <c r="H7967" i="1"/>
  <c r="G7967" i="1"/>
  <c r="F7967" i="1"/>
  <c r="N7966" i="1"/>
  <c r="H7966" i="1"/>
  <c r="G7966" i="1"/>
  <c r="F7966" i="1"/>
  <c r="N7965" i="1"/>
  <c r="H7965" i="1"/>
  <c r="G7965" i="1"/>
  <c r="F7965" i="1"/>
  <c r="N7964" i="1"/>
  <c r="H7964" i="1"/>
  <c r="G7964" i="1"/>
  <c r="F7964" i="1"/>
  <c r="N7963" i="1"/>
  <c r="H7963" i="1"/>
  <c r="G7963" i="1"/>
  <c r="F7963" i="1"/>
  <c r="N7962" i="1"/>
  <c r="H7962" i="1"/>
  <c r="G7962" i="1"/>
  <c r="F7962" i="1"/>
  <c r="N7961" i="1"/>
  <c r="H7961" i="1"/>
  <c r="G7961" i="1"/>
  <c r="F7961" i="1"/>
  <c r="N7960" i="1"/>
  <c r="H7960" i="1"/>
  <c r="G7960" i="1"/>
  <c r="F7960" i="1"/>
  <c r="N7959" i="1"/>
  <c r="H7959" i="1"/>
  <c r="G7959" i="1"/>
  <c r="F7959" i="1"/>
  <c r="N7958" i="1"/>
  <c r="H7958" i="1"/>
  <c r="G7958" i="1"/>
  <c r="F7958" i="1"/>
  <c r="N7957" i="1"/>
  <c r="H7957" i="1"/>
  <c r="G7957" i="1"/>
  <c r="F7957" i="1"/>
  <c r="N7956" i="1"/>
  <c r="H7956" i="1"/>
  <c r="G7956" i="1"/>
  <c r="F7956" i="1"/>
  <c r="N7955" i="1"/>
  <c r="H7955" i="1"/>
  <c r="G7955" i="1"/>
  <c r="F7955" i="1"/>
  <c r="N7954" i="1"/>
  <c r="H7954" i="1"/>
  <c r="G7954" i="1"/>
  <c r="F7954" i="1"/>
  <c r="N7953" i="1"/>
  <c r="H7953" i="1"/>
  <c r="G7953" i="1"/>
  <c r="F7953" i="1"/>
  <c r="N7952" i="1"/>
  <c r="H7952" i="1"/>
  <c r="G7952" i="1"/>
  <c r="F7952" i="1"/>
  <c r="N7951" i="1"/>
  <c r="H7951" i="1"/>
  <c r="G7951" i="1"/>
  <c r="F7951" i="1"/>
  <c r="N7950" i="1"/>
  <c r="H7950" i="1"/>
  <c r="G7950" i="1"/>
  <c r="F7950" i="1"/>
  <c r="N7949" i="1"/>
  <c r="H7949" i="1"/>
  <c r="G7949" i="1"/>
  <c r="F7949" i="1"/>
  <c r="N7948" i="1"/>
  <c r="H7948" i="1"/>
  <c r="G7948" i="1"/>
  <c r="F7948" i="1"/>
  <c r="N7947" i="1"/>
  <c r="H7947" i="1"/>
  <c r="G7947" i="1"/>
  <c r="F7947" i="1"/>
  <c r="N7946" i="1"/>
  <c r="H7946" i="1"/>
  <c r="G7946" i="1"/>
  <c r="F7946" i="1"/>
  <c r="N7945" i="1"/>
  <c r="H7945" i="1"/>
  <c r="G7945" i="1"/>
  <c r="F7945" i="1"/>
  <c r="N7944" i="1"/>
  <c r="H7944" i="1"/>
  <c r="G7944" i="1"/>
  <c r="F7944" i="1"/>
  <c r="N7943" i="1"/>
  <c r="H7943" i="1"/>
  <c r="G7943" i="1"/>
  <c r="F7943" i="1"/>
  <c r="N7942" i="1"/>
  <c r="H7942" i="1"/>
  <c r="G7942" i="1"/>
  <c r="F7942" i="1"/>
  <c r="N7941" i="1"/>
  <c r="H7941" i="1"/>
  <c r="G7941" i="1"/>
  <c r="F7941" i="1"/>
  <c r="N7940" i="1"/>
  <c r="H7940" i="1"/>
  <c r="G7940" i="1"/>
  <c r="F7940" i="1"/>
  <c r="N7939" i="1"/>
  <c r="H7939" i="1"/>
  <c r="G7939" i="1"/>
  <c r="F7939" i="1"/>
  <c r="N7938" i="1"/>
  <c r="H7938" i="1"/>
  <c r="G7938" i="1"/>
  <c r="F7938" i="1"/>
  <c r="N7937" i="1"/>
  <c r="H7937" i="1"/>
  <c r="G7937" i="1"/>
  <c r="F7937" i="1"/>
  <c r="N7936" i="1"/>
  <c r="H7936" i="1"/>
  <c r="G7936" i="1"/>
  <c r="F7936" i="1"/>
  <c r="N7935" i="1"/>
  <c r="H7935" i="1"/>
  <c r="G7935" i="1"/>
  <c r="F7935" i="1"/>
  <c r="N7934" i="1"/>
  <c r="H7934" i="1"/>
  <c r="G7934" i="1"/>
  <c r="F7934" i="1"/>
  <c r="N7933" i="1"/>
  <c r="H7933" i="1"/>
  <c r="G7933" i="1"/>
  <c r="F7933" i="1"/>
  <c r="N7932" i="1"/>
  <c r="H7932" i="1"/>
  <c r="G7932" i="1"/>
  <c r="F7932" i="1"/>
  <c r="N7931" i="1"/>
  <c r="H7931" i="1"/>
  <c r="G7931" i="1"/>
  <c r="F7931" i="1"/>
  <c r="N7930" i="1"/>
  <c r="H7930" i="1"/>
  <c r="G7930" i="1"/>
  <c r="F7930" i="1"/>
  <c r="N7929" i="1"/>
  <c r="H7929" i="1"/>
  <c r="G7929" i="1"/>
  <c r="F7929" i="1"/>
  <c r="N7928" i="1"/>
  <c r="H7928" i="1"/>
  <c r="G7928" i="1"/>
  <c r="F7928" i="1"/>
  <c r="N7927" i="1"/>
  <c r="H7927" i="1"/>
  <c r="G7927" i="1"/>
  <c r="F7927" i="1"/>
  <c r="N7926" i="1"/>
  <c r="H7926" i="1"/>
  <c r="G7926" i="1"/>
  <c r="F7926" i="1"/>
  <c r="N7925" i="1"/>
  <c r="H7925" i="1"/>
  <c r="G7925" i="1"/>
  <c r="F7925" i="1"/>
  <c r="N7924" i="1"/>
  <c r="H7924" i="1"/>
  <c r="G7924" i="1"/>
  <c r="F7924" i="1"/>
  <c r="N7923" i="1"/>
  <c r="H7923" i="1"/>
  <c r="G7923" i="1"/>
  <c r="F7923" i="1"/>
  <c r="N7922" i="1"/>
  <c r="H7922" i="1"/>
  <c r="G7922" i="1"/>
  <c r="F7922" i="1"/>
  <c r="N7921" i="1"/>
  <c r="H7921" i="1"/>
  <c r="G7921" i="1"/>
  <c r="F7921" i="1"/>
  <c r="N7920" i="1"/>
  <c r="H7920" i="1"/>
  <c r="G7920" i="1"/>
  <c r="F7920" i="1"/>
  <c r="N7919" i="1"/>
  <c r="H7919" i="1"/>
  <c r="G7919" i="1"/>
  <c r="F7919" i="1"/>
  <c r="N7918" i="1"/>
  <c r="H7918" i="1"/>
  <c r="G7918" i="1"/>
  <c r="F7918" i="1"/>
  <c r="N7917" i="1"/>
  <c r="H7917" i="1"/>
  <c r="G7917" i="1"/>
  <c r="F7917" i="1"/>
  <c r="N7916" i="1"/>
  <c r="H7916" i="1"/>
  <c r="G7916" i="1"/>
  <c r="F7916" i="1"/>
  <c r="N7915" i="1"/>
  <c r="H7915" i="1"/>
  <c r="G7915" i="1"/>
  <c r="F7915" i="1"/>
  <c r="N7914" i="1"/>
  <c r="H7914" i="1"/>
  <c r="G7914" i="1"/>
  <c r="F7914" i="1"/>
  <c r="N7913" i="1"/>
  <c r="H7913" i="1"/>
  <c r="G7913" i="1"/>
  <c r="F7913" i="1"/>
  <c r="N7912" i="1"/>
  <c r="H7912" i="1"/>
  <c r="G7912" i="1"/>
  <c r="F7912" i="1"/>
  <c r="N7911" i="1"/>
  <c r="H7911" i="1"/>
  <c r="G7911" i="1"/>
  <c r="F7911" i="1"/>
  <c r="N7910" i="1"/>
  <c r="H7910" i="1"/>
  <c r="G7910" i="1"/>
  <c r="F7910" i="1"/>
  <c r="N7909" i="1"/>
  <c r="H7909" i="1"/>
  <c r="G7909" i="1"/>
  <c r="F7909" i="1"/>
  <c r="N7908" i="1"/>
  <c r="H7908" i="1"/>
  <c r="G7908" i="1"/>
  <c r="F7908" i="1"/>
  <c r="N7907" i="1"/>
  <c r="H7907" i="1"/>
  <c r="G7907" i="1"/>
  <c r="F7907" i="1"/>
  <c r="N7906" i="1"/>
  <c r="H7906" i="1"/>
  <c r="G7906" i="1"/>
  <c r="F7906" i="1"/>
  <c r="N7905" i="1"/>
  <c r="H7905" i="1"/>
  <c r="G7905" i="1"/>
  <c r="F7905" i="1"/>
  <c r="N7904" i="1"/>
  <c r="H7904" i="1"/>
  <c r="G7904" i="1"/>
  <c r="F7904" i="1"/>
  <c r="N7903" i="1"/>
  <c r="H7903" i="1"/>
  <c r="G7903" i="1"/>
  <c r="F7903" i="1"/>
  <c r="N7902" i="1"/>
  <c r="H7902" i="1"/>
  <c r="G7902" i="1"/>
  <c r="F7902" i="1"/>
  <c r="N7901" i="1"/>
  <c r="H7901" i="1"/>
  <c r="G7901" i="1"/>
  <c r="F7901" i="1"/>
  <c r="N7900" i="1"/>
  <c r="H7900" i="1"/>
  <c r="G7900" i="1"/>
  <c r="F7900" i="1"/>
  <c r="N7899" i="1"/>
  <c r="H7899" i="1"/>
  <c r="G7899" i="1"/>
  <c r="F7899" i="1"/>
  <c r="N7898" i="1"/>
  <c r="H7898" i="1"/>
  <c r="G7898" i="1"/>
  <c r="F7898" i="1"/>
  <c r="N7897" i="1"/>
  <c r="H7897" i="1"/>
  <c r="G7897" i="1"/>
  <c r="F7897" i="1"/>
  <c r="N7896" i="1"/>
  <c r="H7896" i="1"/>
  <c r="G7896" i="1"/>
  <c r="F7896" i="1"/>
  <c r="N7895" i="1"/>
  <c r="H7895" i="1"/>
  <c r="G7895" i="1"/>
  <c r="F7895" i="1"/>
  <c r="N7894" i="1"/>
  <c r="H7894" i="1"/>
  <c r="G7894" i="1"/>
  <c r="F7894" i="1"/>
  <c r="N7893" i="1"/>
  <c r="H7893" i="1"/>
  <c r="G7893" i="1"/>
  <c r="F7893" i="1"/>
  <c r="N7892" i="1"/>
  <c r="H7892" i="1"/>
  <c r="G7892" i="1"/>
  <c r="F7892" i="1"/>
  <c r="N7891" i="1"/>
  <c r="H7891" i="1"/>
  <c r="G7891" i="1"/>
  <c r="F7891" i="1"/>
  <c r="N7890" i="1"/>
  <c r="H7890" i="1"/>
  <c r="G7890" i="1"/>
  <c r="F7890" i="1"/>
  <c r="N7889" i="1"/>
  <c r="H7889" i="1"/>
  <c r="G7889" i="1"/>
  <c r="F7889" i="1"/>
  <c r="N7888" i="1"/>
  <c r="H7888" i="1"/>
  <c r="G7888" i="1"/>
  <c r="F7888" i="1"/>
  <c r="N7887" i="1"/>
  <c r="H7887" i="1"/>
  <c r="G7887" i="1"/>
  <c r="F7887" i="1"/>
  <c r="N7886" i="1"/>
  <c r="H7886" i="1"/>
  <c r="G7886" i="1"/>
  <c r="F7886" i="1"/>
  <c r="N7885" i="1"/>
  <c r="H7885" i="1"/>
  <c r="G7885" i="1"/>
  <c r="F7885" i="1"/>
  <c r="N7884" i="1"/>
  <c r="H7884" i="1"/>
  <c r="G7884" i="1"/>
  <c r="F7884" i="1"/>
  <c r="N7883" i="1"/>
  <c r="H7883" i="1"/>
  <c r="G7883" i="1"/>
  <c r="F7883" i="1"/>
  <c r="N7882" i="1"/>
  <c r="H7882" i="1"/>
  <c r="G7882" i="1"/>
  <c r="F7882" i="1"/>
  <c r="N7881" i="1"/>
  <c r="H7881" i="1"/>
  <c r="G7881" i="1"/>
  <c r="F7881" i="1"/>
  <c r="N7880" i="1"/>
  <c r="H7880" i="1"/>
  <c r="G7880" i="1"/>
  <c r="F7880" i="1"/>
  <c r="N7879" i="1"/>
  <c r="H7879" i="1"/>
  <c r="G7879" i="1"/>
  <c r="F7879" i="1"/>
  <c r="N7878" i="1"/>
  <c r="H7878" i="1"/>
  <c r="G7878" i="1"/>
  <c r="F7878" i="1"/>
  <c r="N7877" i="1"/>
  <c r="H7877" i="1"/>
  <c r="G7877" i="1"/>
  <c r="F7877" i="1"/>
  <c r="N7876" i="1"/>
  <c r="H7876" i="1"/>
  <c r="G7876" i="1"/>
  <c r="F7876" i="1"/>
  <c r="N7875" i="1"/>
  <c r="H7875" i="1"/>
  <c r="G7875" i="1"/>
  <c r="F7875" i="1"/>
  <c r="N7874" i="1"/>
  <c r="H7874" i="1"/>
  <c r="G7874" i="1"/>
  <c r="F7874" i="1"/>
  <c r="N7873" i="1"/>
  <c r="H7873" i="1"/>
  <c r="G7873" i="1"/>
  <c r="F7873" i="1"/>
  <c r="N7872" i="1"/>
  <c r="H7872" i="1"/>
  <c r="G7872" i="1"/>
  <c r="F7872" i="1"/>
  <c r="N7871" i="1"/>
  <c r="H7871" i="1"/>
  <c r="G7871" i="1"/>
  <c r="F7871" i="1"/>
  <c r="N7870" i="1"/>
  <c r="H7870" i="1"/>
  <c r="G7870" i="1"/>
  <c r="F7870" i="1"/>
  <c r="N7869" i="1"/>
  <c r="H7869" i="1"/>
  <c r="G7869" i="1"/>
  <c r="F7869" i="1"/>
  <c r="N7868" i="1"/>
  <c r="H7868" i="1"/>
  <c r="G7868" i="1"/>
  <c r="F7868" i="1"/>
  <c r="N7867" i="1"/>
  <c r="H7867" i="1"/>
  <c r="G7867" i="1"/>
  <c r="F7867" i="1"/>
  <c r="N7866" i="1"/>
  <c r="H7866" i="1"/>
  <c r="G7866" i="1"/>
  <c r="F7866" i="1"/>
  <c r="N7865" i="1"/>
  <c r="H7865" i="1"/>
  <c r="G7865" i="1"/>
  <c r="F7865" i="1"/>
  <c r="N7864" i="1"/>
  <c r="H7864" i="1"/>
  <c r="G7864" i="1"/>
  <c r="F7864" i="1"/>
  <c r="N7863" i="1"/>
  <c r="H7863" i="1"/>
  <c r="G7863" i="1"/>
  <c r="F7863" i="1"/>
  <c r="N7862" i="1"/>
  <c r="H7862" i="1"/>
  <c r="G7862" i="1"/>
  <c r="F7862" i="1"/>
  <c r="N7861" i="1"/>
  <c r="H7861" i="1"/>
  <c r="G7861" i="1"/>
  <c r="F7861" i="1"/>
  <c r="N7860" i="1"/>
  <c r="H7860" i="1"/>
  <c r="G7860" i="1"/>
  <c r="F7860" i="1"/>
  <c r="N7859" i="1"/>
  <c r="H7859" i="1"/>
  <c r="G7859" i="1"/>
  <c r="F7859" i="1"/>
  <c r="N7858" i="1"/>
  <c r="H7858" i="1"/>
  <c r="G7858" i="1"/>
  <c r="F7858" i="1"/>
  <c r="N7857" i="1"/>
  <c r="H7857" i="1"/>
  <c r="G7857" i="1"/>
  <c r="F7857" i="1"/>
  <c r="N7856" i="1"/>
  <c r="H7856" i="1"/>
  <c r="G7856" i="1"/>
  <c r="F7856" i="1"/>
  <c r="N7855" i="1"/>
  <c r="H7855" i="1"/>
  <c r="G7855" i="1"/>
  <c r="F7855" i="1"/>
  <c r="N7854" i="1"/>
  <c r="H7854" i="1"/>
  <c r="G7854" i="1"/>
  <c r="F7854" i="1"/>
  <c r="N7853" i="1"/>
  <c r="H7853" i="1"/>
  <c r="G7853" i="1"/>
  <c r="F7853" i="1"/>
  <c r="N7852" i="1"/>
  <c r="H7852" i="1"/>
  <c r="G7852" i="1"/>
  <c r="F7852" i="1"/>
  <c r="N7851" i="1"/>
  <c r="H7851" i="1"/>
  <c r="G7851" i="1"/>
  <c r="F7851" i="1"/>
  <c r="N7850" i="1"/>
  <c r="H7850" i="1"/>
  <c r="G7850" i="1"/>
  <c r="F7850" i="1"/>
  <c r="N7849" i="1"/>
  <c r="H7849" i="1"/>
  <c r="G7849" i="1"/>
  <c r="F7849" i="1"/>
  <c r="N7848" i="1"/>
  <c r="H7848" i="1"/>
  <c r="G7848" i="1"/>
  <c r="F7848" i="1"/>
  <c r="N7847" i="1"/>
  <c r="H7847" i="1"/>
  <c r="G7847" i="1"/>
  <c r="F7847" i="1"/>
  <c r="N7846" i="1"/>
  <c r="H7846" i="1"/>
  <c r="G7846" i="1"/>
  <c r="F7846" i="1"/>
  <c r="N7845" i="1"/>
  <c r="H7845" i="1"/>
  <c r="G7845" i="1"/>
  <c r="F7845" i="1"/>
  <c r="N7844" i="1"/>
  <c r="H7844" i="1"/>
  <c r="G7844" i="1"/>
  <c r="F7844" i="1"/>
  <c r="N7843" i="1"/>
  <c r="H7843" i="1"/>
  <c r="G7843" i="1"/>
  <c r="F7843" i="1"/>
  <c r="N7842" i="1"/>
  <c r="H7842" i="1"/>
  <c r="G7842" i="1"/>
  <c r="F7842" i="1"/>
  <c r="N7841" i="1"/>
  <c r="H7841" i="1"/>
  <c r="G7841" i="1"/>
  <c r="F7841" i="1"/>
  <c r="N7840" i="1"/>
  <c r="H7840" i="1"/>
  <c r="G7840" i="1"/>
  <c r="F7840" i="1"/>
  <c r="N7839" i="1"/>
  <c r="H7839" i="1"/>
  <c r="G7839" i="1"/>
  <c r="F7839" i="1"/>
  <c r="N7838" i="1"/>
  <c r="H7838" i="1"/>
  <c r="G7838" i="1"/>
  <c r="F7838" i="1"/>
  <c r="N7837" i="1"/>
  <c r="H7837" i="1"/>
  <c r="G7837" i="1"/>
  <c r="F7837" i="1"/>
  <c r="N7836" i="1"/>
  <c r="H7836" i="1"/>
  <c r="G7836" i="1"/>
  <c r="F7836" i="1"/>
  <c r="N7835" i="1"/>
  <c r="H7835" i="1"/>
  <c r="G7835" i="1"/>
  <c r="F7835" i="1"/>
  <c r="N7834" i="1"/>
  <c r="H7834" i="1"/>
  <c r="G7834" i="1"/>
  <c r="F7834" i="1"/>
  <c r="N7833" i="1"/>
  <c r="H7833" i="1"/>
  <c r="G7833" i="1"/>
  <c r="F7833" i="1"/>
  <c r="N7832" i="1"/>
  <c r="H7832" i="1"/>
  <c r="G7832" i="1"/>
  <c r="F7832" i="1"/>
  <c r="N7831" i="1"/>
  <c r="H7831" i="1"/>
  <c r="G7831" i="1"/>
  <c r="F7831" i="1"/>
  <c r="N7830" i="1"/>
  <c r="H7830" i="1"/>
  <c r="G7830" i="1"/>
  <c r="F7830" i="1"/>
  <c r="N7829" i="1"/>
  <c r="H7829" i="1"/>
  <c r="G7829" i="1"/>
  <c r="F7829" i="1"/>
  <c r="N7828" i="1"/>
  <c r="H7828" i="1"/>
  <c r="G7828" i="1"/>
  <c r="F7828" i="1"/>
  <c r="N7827" i="1"/>
  <c r="H7827" i="1"/>
  <c r="G7827" i="1"/>
  <c r="F7827" i="1"/>
  <c r="N7826" i="1"/>
  <c r="H7826" i="1"/>
  <c r="G7826" i="1"/>
  <c r="F7826" i="1"/>
  <c r="N7825" i="1"/>
  <c r="H7825" i="1"/>
  <c r="G7825" i="1"/>
  <c r="F7825" i="1"/>
  <c r="N7824" i="1"/>
  <c r="H7824" i="1"/>
  <c r="G7824" i="1"/>
  <c r="F7824" i="1"/>
  <c r="N7823" i="1"/>
  <c r="H7823" i="1"/>
  <c r="G7823" i="1"/>
  <c r="F7823" i="1"/>
  <c r="N7822" i="1"/>
  <c r="H7822" i="1"/>
  <c r="G7822" i="1"/>
  <c r="F7822" i="1"/>
  <c r="N7821" i="1"/>
  <c r="H7821" i="1"/>
  <c r="G7821" i="1"/>
  <c r="F7821" i="1"/>
  <c r="N7820" i="1"/>
  <c r="H7820" i="1"/>
  <c r="G7820" i="1"/>
  <c r="F7820" i="1"/>
  <c r="N7819" i="1"/>
  <c r="H7819" i="1"/>
  <c r="G7819" i="1"/>
  <c r="F7819" i="1"/>
  <c r="N7818" i="1"/>
  <c r="H7818" i="1"/>
  <c r="G7818" i="1"/>
  <c r="F7818" i="1"/>
  <c r="N7817" i="1"/>
  <c r="H7817" i="1"/>
  <c r="G7817" i="1"/>
  <c r="F7817" i="1"/>
  <c r="N7816" i="1"/>
  <c r="H7816" i="1"/>
  <c r="G7816" i="1"/>
  <c r="F7816" i="1"/>
  <c r="N7815" i="1"/>
  <c r="H7815" i="1"/>
  <c r="G7815" i="1"/>
  <c r="F7815" i="1"/>
  <c r="N7814" i="1"/>
  <c r="H7814" i="1"/>
  <c r="G7814" i="1"/>
  <c r="F7814" i="1"/>
  <c r="N7813" i="1"/>
  <c r="H7813" i="1"/>
  <c r="G7813" i="1"/>
  <c r="F7813" i="1"/>
  <c r="N7812" i="1"/>
  <c r="H7812" i="1"/>
  <c r="G7812" i="1"/>
  <c r="F7812" i="1"/>
  <c r="N7811" i="1"/>
  <c r="H7811" i="1"/>
  <c r="G7811" i="1"/>
  <c r="F7811" i="1"/>
  <c r="N7810" i="1"/>
  <c r="H7810" i="1"/>
  <c r="G7810" i="1"/>
  <c r="F7810" i="1"/>
  <c r="N7809" i="1"/>
  <c r="H7809" i="1"/>
  <c r="G7809" i="1"/>
  <c r="F7809" i="1"/>
  <c r="N7808" i="1"/>
  <c r="H7808" i="1"/>
  <c r="G7808" i="1"/>
  <c r="F7808" i="1"/>
  <c r="N7807" i="1"/>
  <c r="H7807" i="1"/>
  <c r="G7807" i="1"/>
  <c r="F7807" i="1"/>
  <c r="N7806" i="1"/>
  <c r="H7806" i="1"/>
  <c r="G7806" i="1"/>
  <c r="F7806" i="1"/>
  <c r="N7805" i="1"/>
  <c r="H7805" i="1"/>
  <c r="G7805" i="1"/>
  <c r="F7805" i="1"/>
  <c r="N7804" i="1"/>
  <c r="H7804" i="1"/>
  <c r="G7804" i="1"/>
  <c r="F7804" i="1"/>
  <c r="N7803" i="1"/>
  <c r="H7803" i="1"/>
  <c r="G7803" i="1"/>
  <c r="F7803" i="1"/>
  <c r="N7802" i="1"/>
  <c r="H7802" i="1"/>
  <c r="G7802" i="1"/>
  <c r="F7802" i="1"/>
  <c r="N7801" i="1"/>
  <c r="H7801" i="1"/>
  <c r="G7801" i="1"/>
  <c r="F7801" i="1"/>
  <c r="N7800" i="1"/>
  <c r="H7800" i="1"/>
  <c r="G7800" i="1"/>
  <c r="F7800" i="1"/>
  <c r="N7799" i="1"/>
  <c r="H7799" i="1"/>
  <c r="G7799" i="1"/>
  <c r="F7799" i="1"/>
  <c r="N7798" i="1"/>
  <c r="H7798" i="1"/>
  <c r="G7798" i="1"/>
  <c r="F7798" i="1"/>
  <c r="N7797" i="1"/>
  <c r="H7797" i="1"/>
  <c r="G7797" i="1"/>
  <c r="F7797" i="1"/>
  <c r="N7796" i="1"/>
  <c r="H7796" i="1"/>
  <c r="G7796" i="1"/>
  <c r="F7796" i="1"/>
  <c r="N7795" i="1"/>
  <c r="H7795" i="1"/>
  <c r="G7795" i="1"/>
  <c r="F7795" i="1"/>
  <c r="N7794" i="1"/>
  <c r="H7794" i="1"/>
  <c r="G7794" i="1"/>
  <c r="F7794" i="1"/>
  <c r="N7793" i="1"/>
  <c r="H7793" i="1"/>
  <c r="G7793" i="1"/>
  <c r="F7793" i="1"/>
  <c r="N7792" i="1"/>
  <c r="H7792" i="1"/>
  <c r="G7792" i="1"/>
  <c r="F7792" i="1"/>
  <c r="N7791" i="1"/>
  <c r="H7791" i="1"/>
  <c r="G7791" i="1"/>
  <c r="F7791" i="1"/>
  <c r="N7790" i="1"/>
  <c r="H7790" i="1"/>
  <c r="G7790" i="1"/>
  <c r="F7790" i="1"/>
  <c r="N7789" i="1"/>
  <c r="H7789" i="1"/>
  <c r="G7789" i="1"/>
  <c r="F7789" i="1"/>
  <c r="N7788" i="1"/>
  <c r="H7788" i="1"/>
  <c r="G7788" i="1"/>
  <c r="F7788" i="1"/>
  <c r="N7787" i="1"/>
  <c r="H7787" i="1"/>
  <c r="G7787" i="1"/>
  <c r="F7787" i="1"/>
  <c r="N7786" i="1"/>
  <c r="H7786" i="1"/>
  <c r="G7786" i="1"/>
  <c r="F7786" i="1"/>
  <c r="N7785" i="1"/>
  <c r="H7785" i="1"/>
  <c r="G7785" i="1"/>
  <c r="F7785" i="1"/>
  <c r="N7784" i="1"/>
  <c r="H7784" i="1"/>
  <c r="G7784" i="1"/>
  <c r="F7784" i="1"/>
  <c r="N7783" i="1"/>
  <c r="H7783" i="1"/>
  <c r="G7783" i="1"/>
  <c r="F7783" i="1"/>
  <c r="N7782" i="1"/>
  <c r="H7782" i="1"/>
  <c r="G7782" i="1"/>
  <c r="F7782" i="1"/>
  <c r="N7781" i="1"/>
  <c r="H7781" i="1"/>
  <c r="G7781" i="1"/>
  <c r="F7781" i="1"/>
  <c r="N7780" i="1"/>
  <c r="H7780" i="1"/>
  <c r="G7780" i="1"/>
  <c r="F7780" i="1"/>
  <c r="N7779" i="1"/>
  <c r="H7779" i="1"/>
  <c r="G7779" i="1"/>
  <c r="F7779" i="1"/>
  <c r="N7778" i="1"/>
  <c r="H7778" i="1"/>
  <c r="G7778" i="1"/>
  <c r="F7778" i="1"/>
  <c r="N7777" i="1"/>
  <c r="H7777" i="1"/>
  <c r="G7777" i="1"/>
  <c r="F7777" i="1"/>
  <c r="N7776" i="1"/>
  <c r="H7776" i="1"/>
  <c r="G7776" i="1"/>
  <c r="F7776" i="1"/>
  <c r="N7775" i="1"/>
  <c r="H7775" i="1"/>
  <c r="G7775" i="1"/>
  <c r="F7775" i="1"/>
  <c r="N7774" i="1"/>
  <c r="H7774" i="1"/>
  <c r="G7774" i="1"/>
  <c r="F7774" i="1"/>
  <c r="N7773" i="1"/>
  <c r="H7773" i="1"/>
  <c r="G7773" i="1"/>
  <c r="F7773" i="1"/>
  <c r="N7772" i="1"/>
  <c r="H7772" i="1"/>
  <c r="G7772" i="1"/>
  <c r="F7772" i="1"/>
  <c r="N7771" i="1"/>
  <c r="H7771" i="1"/>
  <c r="G7771" i="1"/>
  <c r="F7771" i="1"/>
  <c r="N7770" i="1"/>
  <c r="H7770" i="1"/>
  <c r="G7770" i="1"/>
  <c r="F7770" i="1"/>
  <c r="N7769" i="1"/>
  <c r="H7769" i="1"/>
  <c r="G7769" i="1"/>
  <c r="F7769" i="1"/>
  <c r="N7768" i="1"/>
  <c r="H7768" i="1"/>
  <c r="G7768" i="1"/>
  <c r="F7768" i="1"/>
  <c r="N7767" i="1"/>
  <c r="H7767" i="1"/>
  <c r="G7767" i="1"/>
  <c r="F7767" i="1"/>
  <c r="N7766" i="1"/>
  <c r="H7766" i="1"/>
  <c r="G7766" i="1"/>
  <c r="F7766" i="1"/>
  <c r="N7765" i="1"/>
  <c r="H7765" i="1"/>
  <c r="G7765" i="1"/>
  <c r="F7765" i="1"/>
  <c r="N7764" i="1"/>
  <c r="H7764" i="1"/>
  <c r="G7764" i="1"/>
  <c r="F7764" i="1"/>
  <c r="N7763" i="1"/>
  <c r="H7763" i="1"/>
  <c r="G7763" i="1"/>
  <c r="F7763" i="1"/>
  <c r="N7762" i="1"/>
  <c r="H7762" i="1"/>
  <c r="G7762" i="1"/>
  <c r="F7762" i="1"/>
  <c r="N7761" i="1"/>
  <c r="H7761" i="1"/>
  <c r="G7761" i="1"/>
  <c r="F7761" i="1"/>
  <c r="N7760" i="1"/>
  <c r="H7760" i="1"/>
  <c r="G7760" i="1"/>
  <c r="F7760" i="1"/>
  <c r="N7759" i="1"/>
  <c r="H7759" i="1"/>
  <c r="G7759" i="1"/>
  <c r="F7759" i="1"/>
  <c r="N7758" i="1"/>
  <c r="H7758" i="1"/>
  <c r="G7758" i="1"/>
  <c r="F7758" i="1"/>
  <c r="N7757" i="1"/>
  <c r="H7757" i="1"/>
  <c r="G7757" i="1"/>
  <c r="F7757" i="1"/>
  <c r="N7756" i="1"/>
  <c r="H7756" i="1"/>
  <c r="G7756" i="1"/>
  <c r="F7756" i="1"/>
  <c r="N7755" i="1"/>
  <c r="H7755" i="1"/>
  <c r="G7755" i="1"/>
  <c r="F7755" i="1"/>
  <c r="N7754" i="1"/>
  <c r="H7754" i="1"/>
  <c r="G7754" i="1"/>
  <c r="F7754" i="1"/>
  <c r="N7753" i="1"/>
  <c r="H7753" i="1"/>
  <c r="G7753" i="1"/>
  <c r="F7753" i="1"/>
  <c r="N7752" i="1"/>
  <c r="H7752" i="1"/>
  <c r="G7752" i="1"/>
  <c r="F7752" i="1"/>
  <c r="N7751" i="1"/>
  <c r="H7751" i="1"/>
  <c r="G7751" i="1"/>
  <c r="F7751" i="1"/>
  <c r="N7750" i="1"/>
  <c r="H7750" i="1"/>
  <c r="G7750" i="1"/>
  <c r="F7750" i="1"/>
  <c r="N7749" i="1"/>
  <c r="H7749" i="1"/>
  <c r="G7749" i="1"/>
  <c r="F7749" i="1"/>
  <c r="N7748" i="1"/>
  <c r="H7748" i="1"/>
  <c r="G7748" i="1"/>
  <c r="F7748" i="1"/>
  <c r="N7747" i="1"/>
  <c r="H7747" i="1"/>
  <c r="G7747" i="1"/>
  <c r="F7747" i="1"/>
  <c r="N7746" i="1"/>
  <c r="H7746" i="1"/>
  <c r="G7746" i="1"/>
  <c r="F7746" i="1"/>
  <c r="N7745" i="1"/>
  <c r="H7745" i="1"/>
  <c r="G7745" i="1"/>
  <c r="F7745" i="1"/>
  <c r="N7744" i="1"/>
  <c r="H7744" i="1"/>
  <c r="G7744" i="1"/>
  <c r="F7744" i="1"/>
  <c r="N7743" i="1"/>
  <c r="H7743" i="1"/>
  <c r="G7743" i="1"/>
  <c r="F7743" i="1"/>
  <c r="N7742" i="1"/>
  <c r="H7742" i="1"/>
  <c r="G7742" i="1"/>
  <c r="F7742" i="1"/>
  <c r="N7741" i="1"/>
  <c r="H7741" i="1"/>
  <c r="G7741" i="1"/>
  <c r="F7741" i="1"/>
  <c r="N7740" i="1"/>
  <c r="H7740" i="1"/>
  <c r="G7740" i="1"/>
  <c r="F7740" i="1"/>
  <c r="N7739" i="1"/>
  <c r="H7739" i="1"/>
  <c r="G7739" i="1"/>
  <c r="F7739" i="1"/>
  <c r="N7738" i="1"/>
  <c r="H7738" i="1"/>
  <c r="G7738" i="1"/>
  <c r="F7738" i="1"/>
  <c r="N7737" i="1"/>
  <c r="H7737" i="1"/>
  <c r="G7737" i="1"/>
  <c r="F7737" i="1"/>
  <c r="N7736" i="1"/>
  <c r="H7736" i="1"/>
  <c r="G7736" i="1"/>
  <c r="F7736" i="1"/>
  <c r="N7735" i="1"/>
  <c r="H7735" i="1"/>
  <c r="G7735" i="1"/>
  <c r="F7735" i="1"/>
  <c r="N7734" i="1"/>
  <c r="H7734" i="1"/>
  <c r="G7734" i="1"/>
  <c r="F7734" i="1"/>
  <c r="N7733" i="1"/>
  <c r="H7733" i="1"/>
  <c r="G7733" i="1"/>
  <c r="F7733" i="1"/>
  <c r="N7732" i="1"/>
  <c r="H7732" i="1"/>
  <c r="G7732" i="1"/>
  <c r="F7732" i="1"/>
  <c r="N7731" i="1"/>
  <c r="H7731" i="1"/>
  <c r="G7731" i="1"/>
  <c r="F7731" i="1"/>
  <c r="N7730" i="1"/>
  <c r="H7730" i="1"/>
  <c r="G7730" i="1"/>
  <c r="F7730" i="1"/>
  <c r="N7729" i="1"/>
  <c r="H7729" i="1"/>
  <c r="G7729" i="1"/>
  <c r="F7729" i="1"/>
  <c r="N7728" i="1"/>
  <c r="H7728" i="1"/>
  <c r="G7728" i="1"/>
  <c r="F7728" i="1"/>
  <c r="N7727" i="1"/>
  <c r="H7727" i="1"/>
  <c r="G7727" i="1"/>
  <c r="F7727" i="1"/>
  <c r="N7726" i="1"/>
  <c r="H7726" i="1"/>
  <c r="G7726" i="1"/>
  <c r="F7726" i="1"/>
  <c r="N7725" i="1"/>
  <c r="H7725" i="1"/>
  <c r="G7725" i="1"/>
  <c r="F7725" i="1"/>
  <c r="N7724" i="1"/>
  <c r="H7724" i="1"/>
  <c r="G7724" i="1"/>
  <c r="F7724" i="1"/>
  <c r="N7723" i="1"/>
  <c r="H7723" i="1"/>
  <c r="G7723" i="1"/>
  <c r="F7723" i="1"/>
  <c r="N7722" i="1"/>
  <c r="H7722" i="1"/>
  <c r="G7722" i="1"/>
  <c r="F7722" i="1"/>
  <c r="N7721" i="1"/>
  <c r="H7721" i="1"/>
  <c r="G7721" i="1"/>
  <c r="F7721" i="1"/>
  <c r="N7720" i="1"/>
  <c r="H7720" i="1"/>
  <c r="G7720" i="1"/>
  <c r="F7720" i="1"/>
  <c r="N7719" i="1"/>
  <c r="H7719" i="1"/>
  <c r="G7719" i="1"/>
  <c r="F7719" i="1"/>
  <c r="N7718" i="1"/>
  <c r="H7718" i="1"/>
  <c r="G7718" i="1"/>
  <c r="F7718" i="1"/>
  <c r="N7717" i="1"/>
  <c r="H7717" i="1"/>
  <c r="G7717" i="1"/>
  <c r="F7717" i="1"/>
  <c r="N7716" i="1"/>
  <c r="H7716" i="1"/>
  <c r="G7716" i="1"/>
  <c r="F7716" i="1"/>
  <c r="N7715" i="1"/>
  <c r="H7715" i="1"/>
  <c r="G7715" i="1"/>
  <c r="F7715" i="1"/>
  <c r="N7714" i="1"/>
  <c r="H7714" i="1"/>
  <c r="G7714" i="1"/>
  <c r="F7714" i="1"/>
  <c r="N7713" i="1"/>
  <c r="H7713" i="1"/>
  <c r="G7713" i="1"/>
  <c r="F7713" i="1"/>
  <c r="N7712" i="1"/>
  <c r="H7712" i="1"/>
  <c r="G7712" i="1"/>
  <c r="F7712" i="1"/>
  <c r="N7711" i="1"/>
  <c r="H7711" i="1"/>
  <c r="G7711" i="1"/>
  <c r="F7711" i="1"/>
  <c r="N7710" i="1"/>
  <c r="H7710" i="1"/>
  <c r="G7710" i="1"/>
  <c r="F7710" i="1"/>
  <c r="N7709" i="1"/>
  <c r="H7709" i="1"/>
  <c r="G7709" i="1"/>
  <c r="F7709" i="1"/>
  <c r="N7708" i="1"/>
  <c r="H7708" i="1"/>
  <c r="G7708" i="1"/>
  <c r="F7708" i="1"/>
  <c r="N7707" i="1"/>
  <c r="H7707" i="1"/>
  <c r="G7707" i="1"/>
  <c r="F7707" i="1"/>
  <c r="N7706" i="1"/>
  <c r="H7706" i="1"/>
  <c r="G7706" i="1"/>
  <c r="F7706" i="1"/>
  <c r="N7705" i="1"/>
  <c r="H7705" i="1"/>
  <c r="G7705" i="1"/>
  <c r="F7705" i="1"/>
  <c r="N7704" i="1"/>
  <c r="H7704" i="1"/>
  <c r="G7704" i="1"/>
  <c r="F7704" i="1"/>
  <c r="N7703" i="1"/>
  <c r="H7703" i="1"/>
  <c r="G7703" i="1"/>
  <c r="F7703" i="1"/>
  <c r="N7702" i="1"/>
  <c r="H7702" i="1"/>
  <c r="G7702" i="1"/>
  <c r="F7702" i="1"/>
  <c r="N7701" i="1"/>
  <c r="H7701" i="1"/>
  <c r="G7701" i="1"/>
  <c r="F7701" i="1"/>
  <c r="N7700" i="1"/>
  <c r="H7700" i="1"/>
  <c r="G7700" i="1"/>
  <c r="F7700" i="1"/>
  <c r="N7699" i="1"/>
  <c r="H7699" i="1"/>
  <c r="G7699" i="1"/>
  <c r="F7699" i="1"/>
  <c r="N7698" i="1"/>
  <c r="H7698" i="1"/>
  <c r="G7698" i="1"/>
  <c r="F7698" i="1"/>
  <c r="N7697" i="1"/>
  <c r="H7697" i="1"/>
  <c r="G7697" i="1"/>
  <c r="F7697" i="1"/>
  <c r="N7696" i="1"/>
  <c r="H7696" i="1"/>
  <c r="G7696" i="1"/>
  <c r="F7696" i="1"/>
  <c r="N7695" i="1"/>
  <c r="H7695" i="1"/>
  <c r="G7695" i="1"/>
  <c r="F7695" i="1"/>
  <c r="N7694" i="1"/>
  <c r="H7694" i="1"/>
  <c r="G7694" i="1"/>
  <c r="F7694" i="1"/>
  <c r="N7693" i="1"/>
  <c r="H7693" i="1"/>
  <c r="G7693" i="1"/>
  <c r="F7693" i="1"/>
  <c r="N7692" i="1"/>
  <c r="H7692" i="1"/>
  <c r="G7692" i="1"/>
  <c r="F7692" i="1"/>
  <c r="N7691" i="1"/>
  <c r="H7691" i="1"/>
  <c r="G7691" i="1"/>
  <c r="F7691" i="1"/>
  <c r="N7690" i="1"/>
  <c r="H7690" i="1"/>
  <c r="G7690" i="1"/>
  <c r="F7690" i="1"/>
  <c r="N7689" i="1"/>
  <c r="H7689" i="1"/>
  <c r="G7689" i="1"/>
  <c r="F7689" i="1"/>
  <c r="N7688" i="1"/>
  <c r="H7688" i="1"/>
  <c r="G7688" i="1"/>
  <c r="F7688" i="1"/>
  <c r="N7687" i="1"/>
  <c r="H7687" i="1"/>
  <c r="G7687" i="1"/>
  <c r="F7687" i="1"/>
  <c r="N7686" i="1"/>
  <c r="H7686" i="1"/>
  <c r="G7686" i="1"/>
  <c r="F7686" i="1"/>
  <c r="N7685" i="1"/>
  <c r="H7685" i="1"/>
  <c r="G7685" i="1"/>
  <c r="F7685" i="1"/>
  <c r="N7684" i="1"/>
  <c r="H7684" i="1"/>
  <c r="G7684" i="1"/>
  <c r="F7684" i="1"/>
  <c r="N7683" i="1"/>
  <c r="H7683" i="1"/>
  <c r="G7683" i="1"/>
  <c r="F7683" i="1"/>
  <c r="N7682" i="1"/>
  <c r="H7682" i="1"/>
  <c r="G7682" i="1"/>
  <c r="F7682" i="1"/>
  <c r="N7681" i="1"/>
  <c r="H7681" i="1"/>
  <c r="G7681" i="1"/>
  <c r="F7681" i="1"/>
  <c r="N7680" i="1"/>
  <c r="H7680" i="1"/>
  <c r="G7680" i="1"/>
  <c r="F7680" i="1"/>
  <c r="N7679" i="1"/>
  <c r="H7679" i="1"/>
  <c r="G7679" i="1"/>
  <c r="F7679" i="1"/>
  <c r="N7678" i="1"/>
  <c r="H7678" i="1"/>
  <c r="G7678" i="1"/>
  <c r="F7678" i="1"/>
  <c r="N7677" i="1"/>
  <c r="H7677" i="1"/>
  <c r="G7677" i="1"/>
  <c r="F7677" i="1"/>
  <c r="N7676" i="1"/>
  <c r="H7676" i="1"/>
  <c r="G7676" i="1"/>
  <c r="F7676" i="1"/>
  <c r="N7675" i="1"/>
  <c r="H7675" i="1"/>
  <c r="G7675" i="1"/>
  <c r="F7675" i="1"/>
  <c r="N7674" i="1"/>
  <c r="H7674" i="1"/>
  <c r="G7674" i="1"/>
  <c r="F7674" i="1"/>
  <c r="N7673" i="1"/>
  <c r="H7673" i="1"/>
  <c r="G7673" i="1"/>
  <c r="F7673" i="1"/>
  <c r="N7672" i="1"/>
  <c r="H7672" i="1"/>
  <c r="G7672" i="1"/>
  <c r="F7672" i="1"/>
  <c r="N7671" i="1"/>
  <c r="H7671" i="1"/>
  <c r="G7671" i="1"/>
  <c r="F7671" i="1"/>
  <c r="N7670" i="1"/>
  <c r="H7670" i="1"/>
  <c r="G7670" i="1"/>
  <c r="F7670" i="1"/>
  <c r="N7669" i="1"/>
  <c r="H7669" i="1"/>
  <c r="G7669" i="1"/>
  <c r="F7669" i="1"/>
  <c r="N7668" i="1"/>
  <c r="H7668" i="1"/>
  <c r="G7668" i="1"/>
  <c r="F7668" i="1"/>
  <c r="N7667" i="1"/>
  <c r="H7667" i="1"/>
  <c r="G7667" i="1"/>
  <c r="F7667" i="1"/>
  <c r="N7666" i="1"/>
  <c r="H7666" i="1"/>
  <c r="G7666" i="1"/>
  <c r="F7666" i="1"/>
  <c r="N7665" i="1"/>
  <c r="H7665" i="1"/>
  <c r="G7665" i="1"/>
  <c r="F7665" i="1"/>
  <c r="N7664" i="1"/>
  <c r="H7664" i="1"/>
  <c r="G7664" i="1"/>
  <c r="F7664" i="1"/>
  <c r="N7663" i="1"/>
  <c r="H7663" i="1"/>
  <c r="G7663" i="1"/>
  <c r="F7663" i="1"/>
  <c r="N7662" i="1"/>
  <c r="H7662" i="1"/>
  <c r="G7662" i="1"/>
  <c r="F7662" i="1"/>
  <c r="N7661" i="1"/>
  <c r="H7661" i="1"/>
  <c r="G7661" i="1"/>
  <c r="F7661" i="1"/>
  <c r="N7660" i="1"/>
  <c r="H7660" i="1"/>
  <c r="G7660" i="1"/>
  <c r="F7660" i="1"/>
  <c r="N7659" i="1"/>
  <c r="H7659" i="1"/>
  <c r="G7659" i="1"/>
  <c r="F7659" i="1"/>
  <c r="N7658" i="1"/>
  <c r="H7658" i="1"/>
  <c r="G7658" i="1"/>
  <c r="F7658" i="1"/>
  <c r="N7657" i="1"/>
  <c r="H7657" i="1"/>
  <c r="G7657" i="1"/>
  <c r="F7657" i="1"/>
  <c r="N7656" i="1"/>
  <c r="H7656" i="1"/>
  <c r="G7656" i="1"/>
  <c r="F7656" i="1"/>
  <c r="N7655" i="1"/>
  <c r="H7655" i="1"/>
  <c r="G7655" i="1"/>
  <c r="F7655" i="1"/>
  <c r="N7654" i="1"/>
  <c r="H7654" i="1"/>
  <c r="G7654" i="1"/>
  <c r="F7654" i="1"/>
  <c r="N7653" i="1"/>
  <c r="H7653" i="1"/>
  <c r="G7653" i="1"/>
  <c r="F7653" i="1"/>
  <c r="N7652" i="1"/>
  <c r="H7652" i="1"/>
  <c r="G7652" i="1"/>
  <c r="F7652" i="1"/>
  <c r="N7651" i="1"/>
  <c r="H7651" i="1"/>
  <c r="G7651" i="1"/>
  <c r="F7651" i="1"/>
  <c r="N7650" i="1"/>
  <c r="H7650" i="1"/>
  <c r="G7650" i="1"/>
  <c r="F7650" i="1"/>
  <c r="N7649" i="1"/>
  <c r="H7649" i="1"/>
  <c r="G7649" i="1"/>
  <c r="F7649" i="1"/>
  <c r="N7648" i="1"/>
  <c r="H7648" i="1"/>
  <c r="G7648" i="1"/>
  <c r="F7648" i="1"/>
  <c r="N7647" i="1"/>
  <c r="H7647" i="1"/>
  <c r="G7647" i="1"/>
  <c r="F7647" i="1"/>
  <c r="N7646" i="1"/>
  <c r="H7646" i="1"/>
  <c r="G7646" i="1"/>
  <c r="F7646" i="1"/>
  <c r="N7645" i="1"/>
  <c r="H7645" i="1"/>
  <c r="G7645" i="1"/>
  <c r="F7645" i="1"/>
  <c r="N7644" i="1"/>
  <c r="H7644" i="1"/>
  <c r="G7644" i="1"/>
  <c r="F7644" i="1"/>
  <c r="N7643" i="1"/>
  <c r="H7643" i="1"/>
  <c r="G7643" i="1"/>
  <c r="F7643" i="1"/>
  <c r="N7642" i="1"/>
  <c r="H7642" i="1"/>
  <c r="G7642" i="1"/>
  <c r="F7642" i="1"/>
  <c r="N7641" i="1"/>
  <c r="H7641" i="1"/>
  <c r="G7641" i="1"/>
  <c r="F7641" i="1"/>
  <c r="N7640" i="1"/>
  <c r="H7640" i="1"/>
  <c r="G7640" i="1"/>
  <c r="F7640" i="1"/>
  <c r="N7639" i="1"/>
  <c r="H7639" i="1"/>
  <c r="G7639" i="1"/>
  <c r="F7639" i="1"/>
  <c r="N7638" i="1"/>
  <c r="H7638" i="1"/>
  <c r="G7638" i="1"/>
  <c r="F7638" i="1"/>
  <c r="N7637" i="1"/>
  <c r="H7637" i="1"/>
  <c r="G7637" i="1"/>
  <c r="F7637" i="1"/>
  <c r="N7636" i="1"/>
  <c r="H7636" i="1"/>
  <c r="G7636" i="1"/>
  <c r="F7636" i="1"/>
  <c r="N7635" i="1"/>
  <c r="H7635" i="1"/>
  <c r="G7635" i="1"/>
  <c r="F7635" i="1"/>
  <c r="N7634" i="1"/>
  <c r="H7634" i="1"/>
  <c r="G7634" i="1"/>
  <c r="F7634" i="1"/>
  <c r="N7633" i="1"/>
  <c r="H7633" i="1"/>
  <c r="G7633" i="1"/>
  <c r="F7633" i="1"/>
  <c r="N7632" i="1"/>
  <c r="H7632" i="1"/>
  <c r="G7632" i="1"/>
  <c r="F7632" i="1"/>
  <c r="N7631" i="1"/>
  <c r="H7631" i="1"/>
  <c r="G7631" i="1"/>
  <c r="F7631" i="1"/>
  <c r="N7630" i="1"/>
  <c r="H7630" i="1"/>
  <c r="G7630" i="1"/>
  <c r="F7630" i="1"/>
  <c r="N7629" i="1"/>
  <c r="H7629" i="1"/>
  <c r="G7629" i="1"/>
  <c r="F7629" i="1"/>
  <c r="N7628" i="1"/>
  <c r="H7628" i="1"/>
  <c r="G7628" i="1"/>
  <c r="F7628" i="1"/>
  <c r="N7627" i="1"/>
  <c r="H7627" i="1"/>
  <c r="G7627" i="1"/>
  <c r="F7627" i="1"/>
  <c r="N7626" i="1"/>
  <c r="H7626" i="1"/>
  <c r="G7626" i="1"/>
  <c r="F7626" i="1"/>
  <c r="N7625" i="1"/>
  <c r="H7625" i="1"/>
  <c r="G7625" i="1"/>
  <c r="F7625" i="1"/>
  <c r="N7624" i="1"/>
  <c r="H7624" i="1"/>
  <c r="G7624" i="1"/>
  <c r="F7624" i="1"/>
  <c r="N7623" i="1"/>
  <c r="H7623" i="1"/>
  <c r="G7623" i="1"/>
  <c r="F7623" i="1"/>
  <c r="N7622" i="1"/>
  <c r="H7622" i="1"/>
  <c r="G7622" i="1"/>
  <c r="F7622" i="1"/>
  <c r="N7621" i="1"/>
  <c r="H7621" i="1"/>
  <c r="G7621" i="1"/>
  <c r="F7621" i="1"/>
  <c r="N7620" i="1"/>
  <c r="H7620" i="1"/>
  <c r="G7620" i="1"/>
  <c r="F7620" i="1"/>
  <c r="N7619" i="1"/>
  <c r="H7619" i="1"/>
  <c r="G7619" i="1"/>
  <c r="F7619" i="1"/>
  <c r="N7618" i="1"/>
  <c r="H7618" i="1"/>
  <c r="G7618" i="1"/>
  <c r="F7618" i="1"/>
  <c r="N7617" i="1"/>
  <c r="H7617" i="1"/>
  <c r="G7617" i="1"/>
  <c r="F7617" i="1"/>
  <c r="N7616" i="1"/>
  <c r="H7616" i="1"/>
  <c r="G7616" i="1"/>
  <c r="F7616" i="1"/>
  <c r="N7615" i="1"/>
  <c r="H7615" i="1"/>
  <c r="G7615" i="1"/>
  <c r="F7615" i="1"/>
  <c r="N7614" i="1"/>
  <c r="H7614" i="1"/>
  <c r="G7614" i="1"/>
  <c r="F7614" i="1"/>
  <c r="N7613" i="1"/>
  <c r="H7613" i="1"/>
  <c r="G7613" i="1"/>
  <c r="F7613" i="1"/>
  <c r="N7612" i="1"/>
  <c r="H7612" i="1"/>
  <c r="G7612" i="1"/>
  <c r="F7612" i="1"/>
  <c r="N7611" i="1"/>
  <c r="H7611" i="1"/>
  <c r="G7611" i="1"/>
  <c r="F7611" i="1"/>
  <c r="N7610" i="1"/>
  <c r="H7610" i="1"/>
  <c r="G7610" i="1"/>
  <c r="F7610" i="1"/>
  <c r="N7609" i="1"/>
  <c r="H7609" i="1"/>
  <c r="G7609" i="1"/>
  <c r="F7609" i="1"/>
  <c r="N7608" i="1"/>
  <c r="H7608" i="1"/>
  <c r="G7608" i="1"/>
  <c r="F7608" i="1"/>
  <c r="N7607" i="1"/>
  <c r="H7607" i="1"/>
  <c r="G7607" i="1"/>
  <c r="F7607" i="1"/>
  <c r="N7606" i="1"/>
  <c r="H7606" i="1"/>
  <c r="G7606" i="1"/>
  <c r="F7606" i="1"/>
  <c r="N7605" i="1"/>
  <c r="H7605" i="1"/>
  <c r="G7605" i="1"/>
  <c r="F7605" i="1"/>
  <c r="N7604" i="1"/>
  <c r="H7604" i="1"/>
  <c r="G7604" i="1"/>
  <c r="F7604" i="1"/>
  <c r="N7603" i="1"/>
  <c r="H7603" i="1"/>
  <c r="G7603" i="1"/>
  <c r="F7603" i="1"/>
  <c r="N7602" i="1"/>
  <c r="H7602" i="1"/>
  <c r="G7602" i="1"/>
  <c r="F7602" i="1"/>
  <c r="N7601" i="1"/>
  <c r="H7601" i="1"/>
  <c r="G7601" i="1"/>
  <c r="F7601" i="1"/>
  <c r="N7600" i="1"/>
  <c r="H7600" i="1"/>
  <c r="G7600" i="1"/>
  <c r="F7600" i="1"/>
  <c r="N7599" i="1"/>
  <c r="H7599" i="1"/>
  <c r="G7599" i="1"/>
  <c r="F7599" i="1"/>
  <c r="N7598" i="1"/>
  <c r="H7598" i="1"/>
  <c r="G7598" i="1"/>
  <c r="F7598" i="1"/>
  <c r="N7597" i="1"/>
  <c r="H7597" i="1"/>
  <c r="G7597" i="1"/>
  <c r="F7597" i="1"/>
  <c r="N7596" i="1"/>
  <c r="H7596" i="1"/>
  <c r="G7596" i="1"/>
  <c r="F7596" i="1"/>
  <c r="N7595" i="1"/>
  <c r="H7595" i="1"/>
  <c r="G7595" i="1"/>
  <c r="F7595" i="1"/>
  <c r="N7594" i="1"/>
  <c r="H7594" i="1"/>
  <c r="G7594" i="1"/>
  <c r="F7594" i="1"/>
  <c r="N7593" i="1"/>
  <c r="H7593" i="1"/>
  <c r="G7593" i="1"/>
  <c r="F7593" i="1"/>
  <c r="N7592" i="1"/>
  <c r="H7592" i="1"/>
  <c r="G7592" i="1"/>
  <c r="F7592" i="1"/>
  <c r="N7591" i="1"/>
  <c r="H7591" i="1"/>
  <c r="G7591" i="1"/>
  <c r="F7591" i="1"/>
  <c r="N7590" i="1"/>
  <c r="H7590" i="1"/>
  <c r="G7590" i="1"/>
  <c r="F7590" i="1"/>
  <c r="N7589" i="1"/>
  <c r="H7589" i="1"/>
  <c r="G7589" i="1"/>
  <c r="F7589" i="1"/>
  <c r="N7588" i="1"/>
  <c r="H7588" i="1"/>
  <c r="G7588" i="1"/>
  <c r="F7588" i="1"/>
  <c r="N7587" i="1"/>
  <c r="H7587" i="1"/>
  <c r="G7587" i="1"/>
  <c r="F7587" i="1"/>
  <c r="N7586" i="1"/>
  <c r="H7586" i="1"/>
  <c r="G7586" i="1"/>
  <c r="F7586" i="1"/>
  <c r="N7585" i="1"/>
  <c r="H7585" i="1"/>
  <c r="G7585" i="1"/>
  <c r="F7585" i="1"/>
  <c r="N7584" i="1"/>
  <c r="H7584" i="1"/>
  <c r="G7584" i="1"/>
  <c r="F7584" i="1"/>
  <c r="N7583" i="1"/>
  <c r="H7583" i="1"/>
  <c r="G7583" i="1"/>
  <c r="F7583" i="1"/>
  <c r="N7582" i="1"/>
  <c r="H7582" i="1"/>
  <c r="G7582" i="1"/>
  <c r="F7582" i="1"/>
  <c r="N7581" i="1"/>
  <c r="H7581" i="1"/>
  <c r="G7581" i="1"/>
  <c r="F7581" i="1"/>
  <c r="N7580" i="1"/>
  <c r="H7580" i="1"/>
  <c r="G7580" i="1"/>
  <c r="F7580" i="1"/>
  <c r="N7579" i="1"/>
  <c r="H7579" i="1"/>
  <c r="G7579" i="1"/>
  <c r="F7579" i="1"/>
  <c r="N7578" i="1"/>
  <c r="H7578" i="1"/>
  <c r="G7578" i="1"/>
  <c r="F7578" i="1"/>
  <c r="N7577" i="1"/>
  <c r="H7577" i="1"/>
  <c r="G7577" i="1"/>
  <c r="F7577" i="1"/>
  <c r="N7576" i="1"/>
  <c r="H7576" i="1"/>
  <c r="G7576" i="1"/>
  <c r="F7576" i="1"/>
  <c r="N7575" i="1"/>
  <c r="H7575" i="1"/>
  <c r="G7575" i="1"/>
  <c r="F7575" i="1"/>
  <c r="N7574" i="1"/>
  <c r="H7574" i="1"/>
  <c r="G7574" i="1"/>
  <c r="F7574" i="1"/>
  <c r="N7573" i="1"/>
  <c r="H7573" i="1"/>
  <c r="G7573" i="1"/>
  <c r="F7573" i="1"/>
  <c r="N7572" i="1"/>
  <c r="H7572" i="1"/>
  <c r="G7572" i="1"/>
  <c r="F7572" i="1"/>
  <c r="N7571" i="1"/>
  <c r="H7571" i="1"/>
  <c r="G7571" i="1"/>
  <c r="F7571" i="1"/>
  <c r="N7570" i="1"/>
  <c r="H7570" i="1"/>
  <c r="G7570" i="1"/>
  <c r="F7570" i="1"/>
  <c r="N7569" i="1"/>
  <c r="H7569" i="1"/>
  <c r="G7569" i="1"/>
  <c r="F7569" i="1"/>
  <c r="N7568" i="1"/>
  <c r="H7568" i="1"/>
  <c r="G7568" i="1"/>
  <c r="F7568" i="1"/>
  <c r="N7567" i="1"/>
  <c r="H7567" i="1"/>
  <c r="G7567" i="1"/>
  <c r="F7567" i="1"/>
  <c r="N7566" i="1"/>
  <c r="H7566" i="1"/>
  <c r="G7566" i="1"/>
  <c r="F7566" i="1"/>
  <c r="N7565" i="1"/>
  <c r="H7565" i="1"/>
  <c r="G7565" i="1"/>
  <c r="F7565" i="1"/>
  <c r="N7564" i="1"/>
  <c r="H7564" i="1"/>
  <c r="G7564" i="1"/>
  <c r="F7564" i="1"/>
  <c r="N7563" i="1"/>
  <c r="H7563" i="1"/>
  <c r="G7563" i="1"/>
  <c r="F7563" i="1"/>
  <c r="N7562" i="1"/>
  <c r="H7562" i="1"/>
  <c r="G7562" i="1"/>
  <c r="F7562" i="1"/>
  <c r="N7561" i="1"/>
  <c r="H7561" i="1"/>
  <c r="G7561" i="1"/>
  <c r="F7561" i="1"/>
  <c r="N7560" i="1"/>
  <c r="H7560" i="1"/>
  <c r="G7560" i="1"/>
  <c r="F7560" i="1"/>
  <c r="N7559" i="1"/>
  <c r="H7559" i="1"/>
  <c r="G7559" i="1"/>
  <c r="F7559" i="1"/>
  <c r="N7558" i="1"/>
  <c r="H7558" i="1"/>
  <c r="G7558" i="1"/>
  <c r="F7558" i="1"/>
  <c r="N7557" i="1"/>
  <c r="H7557" i="1"/>
  <c r="G7557" i="1"/>
  <c r="F7557" i="1"/>
  <c r="N7556" i="1"/>
  <c r="H7556" i="1"/>
  <c r="G7556" i="1"/>
  <c r="F7556" i="1"/>
  <c r="N7555" i="1"/>
  <c r="H7555" i="1"/>
  <c r="G7555" i="1"/>
  <c r="F7555" i="1"/>
  <c r="N7554" i="1"/>
  <c r="H7554" i="1"/>
  <c r="G7554" i="1"/>
  <c r="F7554" i="1"/>
  <c r="N7553" i="1"/>
  <c r="H7553" i="1"/>
  <c r="G7553" i="1"/>
  <c r="F7553" i="1"/>
  <c r="N7552" i="1"/>
  <c r="H7552" i="1"/>
  <c r="G7552" i="1"/>
  <c r="F7552" i="1"/>
  <c r="N7551" i="1"/>
  <c r="H7551" i="1"/>
  <c r="G7551" i="1"/>
  <c r="F7551" i="1"/>
  <c r="N7550" i="1"/>
  <c r="H7550" i="1"/>
  <c r="G7550" i="1"/>
  <c r="F7550" i="1"/>
  <c r="N7549" i="1"/>
  <c r="H7549" i="1"/>
  <c r="G7549" i="1"/>
  <c r="F7549" i="1"/>
  <c r="N7548" i="1"/>
  <c r="H7548" i="1"/>
  <c r="G7548" i="1"/>
  <c r="F7548" i="1"/>
  <c r="N7547" i="1"/>
  <c r="H7547" i="1"/>
  <c r="G7547" i="1"/>
  <c r="F7547" i="1"/>
  <c r="N7546" i="1"/>
  <c r="H7546" i="1"/>
  <c r="G7546" i="1"/>
  <c r="F7546" i="1"/>
  <c r="N7545" i="1"/>
  <c r="H7545" i="1"/>
  <c r="G7545" i="1"/>
  <c r="F7545" i="1"/>
  <c r="N7544" i="1"/>
  <c r="H7544" i="1"/>
  <c r="G7544" i="1"/>
  <c r="F7544" i="1"/>
  <c r="N7543" i="1"/>
  <c r="H7543" i="1"/>
  <c r="G7543" i="1"/>
  <c r="F7543" i="1"/>
  <c r="N7542" i="1"/>
  <c r="H7542" i="1"/>
  <c r="G7542" i="1"/>
  <c r="F7542" i="1"/>
  <c r="N7541" i="1"/>
  <c r="H7541" i="1"/>
  <c r="G7541" i="1"/>
  <c r="F7541" i="1"/>
  <c r="N7540" i="1"/>
  <c r="H7540" i="1"/>
  <c r="G7540" i="1"/>
  <c r="F7540" i="1"/>
  <c r="N7539" i="1"/>
  <c r="H7539" i="1"/>
  <c r="G7539" i="1"/>
  <c r="F7539" i="1"/>
  <c r="N7538" i="1"/>
  <c r="H7538" i="1"/>
  <c r="G7538" i="1"/>
  <c r="F7538" i="1"/>
  <c r="N7537" i="1"/>
  <c r="H7537" i="1"/>
  <c r="G7537" i="1"/>
  <c r="F7537" i="1"/>
  <c r="N7536" i="1"/>
  <c r="H7536" i="1"/>
  <c r="G7536" i="1"/>
  <c r="F7536" i="1"/>
  <c r="N7535" i="1"/>
  <c r="H7535" i="1"/>
  <c r="G7535" i="1"/>
  <c r="F7535" i="1"/>
  <c r="N7534" i="1"/>
  <c r="H7534" i="1"/>
  <c r="G7534" i="1"/>
  <c r="F7534" i="1"/>
  <c r="N7533" i="1"/>
  <c r="H7533" i="1"/>
  <c r="G7533" i="1"/>
  <c r="F7533" i="1"/>
  <c r="N7532" i="1"/>
  <c r="H7532" i="1"/>
  <c r="G7532" i="1"/>
  <c r="F7532" i="1"/>
  <c r="N7531" i="1"/>
  <c r="H7531" i="1"/>
  <c r="G7531" i="1"/>
  <c r="F7531" i="1"/>
  <c r="N7530" i="1"/>
  <c r="H7530" i="1"/>
  <c r="G7530" i="1"/>
  <c r="F7530" i="1"/>
  <c r="N7529" i="1"/>
  <c r="H7529" i="1"/>
  <c r="G7529" i="1"/>
  <c r="F7529" i="1"/>
  <c r="N7528" i="1"/>
  <c r="H7528" i="1"/>
  <c r="G7528" i="1"/>
  <c r="F7528" i="1"/>
  <c r="N7527" i="1"/>
  <c r="H7527" i="1"/>
  <c r="G7527" i="1"/>
  <c r="F7527" i="1"/>
  <c r="N7526" i="1"/>
  <c r="H7526" i="1"/>
  <c r="G7526" i="1"/>
  <c r="F7526" i="1"/>
  <c r="N7525" i="1"/>
  <c r="H7525" i="1"/>
  <c r="G7525" i="1"/>
  <c r="F7525" i="1"/>
  <c r="N7524" i="1"/>
  <c r="H7524" i="1"/>
  <c r="G7524" i="1"/>
  <c r="F7524" i="1"/>
  <c r="N7523" i="1"/>
  <c r="H7523" i="1"/>
  <c r="G7523" i="1"/>
  <c r="F7523" i="1"/>
  <c r="N7522" i="1"/>
  <c r="H7522" i="1"/>
  <c r="G7522" i="1"/>
  <c r="F7522" i="1"/>
  <c r="N7521" i="1"/>
  <c r="H7521" i="1"/>
  <c r="G7521" i="1"/>
  <c r="F7521" i="1"/>
  <c r="N7520" i="1"/>
  <c r="H7520" i="1"/>
  <c r="G7520" i="1"/>
  <c r="F7520" i="1"/>
  <c r="N7519" i="1"/>
  <c r="H7519" i="1"/>
  <c r="G7519" i="1"/>
  <c r="F7519" i="1"/>
  <c r="N7518" i="1"/>
  <c r="H7518" i="1"/>
  <c r="G7518" i="1"/>
  <c r="F7518" i="1"/>
  <c r="N7517" i="1"/>
  <c r="H7517" i="1"/>
  <c r="G7517" i="1"/>
  <c r="F7517" i="1"/>
  <c r="N7516" i="1"/>
  <c r="H7516" i="1"/>
  <c r="G7516" i="1"/>
  <c r="F7516" i="1"/>
  <c r="N7515" i="1"/>
  <c r="H7515" i="1"/>
  <c r="G7515" i="1"/>
  <c r="F7515" i="1"/>
  <c r="N7514" i="1"/>
  <c r="H7514" i="1"/>
  <c r="G7514" i="1"/>
  <c r="F7514" i="1"/>
  <c r="N7513" i="1"/>
  <c r="H7513" i="1"/>
  <c r="G7513" i="1"/>
  <c r="F7513" i="1"/>
  <c r="N7512" i="1"/>
  <c r="H7512" i="1"/>
  <c r="G7512" i="1"/>
  <c r="F7512" i="1"/>
  <c r="N7511" i="1"/>
  <c r="H7511" i="1"/>
  <c r="G7511" i="1"/>
  <c r="F7511" i="1"/>
  <c r="N7510" i="1"/>
  <c r="H7510" i="1"/>
  <c r="G7510" i="1"/>
  <c r="F7510" i="1"/>
  <c r="N7509" i="1"/>
  <c r="H7509" i="1"/>
  <c r="G7509" i="1"/>
  <c r="F7509" i="1"/>
  <c r="N7508" i="1"/>
  <c r="H7508" i="1"/>
  <c r="G7508" i="1"/>
  <c r="F7508" i="1"/>
  <c r="N7507" i="1"/>
  <c r="H7507" i="1"/>
  <c r="G7507" i="1"/>
  <c r="F7507" i="1"/>
  <c r="N7506" i="1"/>
  <c r="H7506" i="1"/>
  <c r="G7506" i="1"/>
  <c r="F7506" i="1"/>
  <c r="N7505" i="1"/>
  <c r="H7505" i="1"/>
  <c r="G7505" i="1"/>
  <c r="F7505" i="1"/>
  <c r="N7504" i="1"/>
  <c r="H7504" i="1"/>
  <c r="G7504" i="1"/>
  <c r="F7504" i="1"/>
  <c r="N7503" i="1"/>
  <c r="H7503" i="1"/>
  <c r="G7503" i="1"/>
  <c r="F7503" i="1"/>
  <c r="N7502" i="1"/>
  <c r="H7502" i="1"/>
  <c r="G7502" i="1"/>
  <c r="F7502" i="1"/>
  <c r="N7501" i="1"/>
  <c r="H7501" i="1"/>
  <c r="G7501" i="1"/>
  <c r="F7501" i="1"/>
  <c r="N7500" i="1"/>
  <c r="H7500" i="1"/>
  <c r="G7500" i="1"/>
  <c r="F7500" i="1"/>
  <c r="N7499" i="1"/>
  <c r="H7499" i="1"/>
  <c r="G7499" i="1"/>
  <c r="F7499" i="1"/>
  <c r="N7498" i="1"/>
  <c r="H7498" i="1"/>
  <c r="G7498" i="1"/>
  <c r="F7498" i="1"/>
  <c r="N7497" i="1"/>
  <c r="H7497" i="1"/>
  <c r="G7497" i="1"/>
  <c r="F7497" i="1"/>
  <c r="N7496" i="1"/>
  <c r="H7496" i="1"/>
  <c r="G7496" i="1"/>
  <c r="F7496" i="1"/>
  <c r="N7495" i="1"/>
  <c r="H7495" i="1"/>
  <c r="G7495" i="1"/>
  <c r="F7495" i="1"/>
  <c r="N7494" i="1"/>
  <c r="H7494" i="1"/>
  <c r="G7494" i="1"/>
  <c r="F7494" i="1"/>
  <c r="N7493" i="1"/>
  <c r="H7493" i="1"/>
  <c r="G7493" i="1"/>
  <c r="F7493" i="1"/>
  <c r="N7492" i="1"/>
  <c r="H7492" i="1"/>
  <c r="G7492" i="1"/>
  <c r="F7492" i="1"/>
  <c r="N7491" i="1"/>
  <c r="H7491" i="1"/>
  <c r="G7491" i="1"/>
  <c r="F7491" i="1"/>
  <c r="N7490" i="1"/>
  <c r="H7490" i="1"/>
  <c r="G7490" i="1"/>
  <c r="F7490" i="1"/>
  <c r="N7489" i="1"/>
  <c r="H7489" i="1"/>
  <c r="G7489" i="1"/>
  <c r="F7489" i="1"/>
  <c r="N7488" i="1"/>
  <c r="H7488" i="1"/>
  <c r="G7488" i="1"/>
  <c r="F7488" i="1"/>
  <c r="N7487" i="1"/>
  <c r="H7487" i="1"/>
  <c r="G7487" i="1"/>
  <c r="F7487" i="1"/>
  <c r="N7486" i="1"/>
  <c r="H7486" i="1"/>
  <c r="G7486" i="1"/>
  <c r="F7486" i="1"/>
  <c r="N7485" i="1"/>
  <c r="H7485" i="1"/>
  <c r="G7485" i="1"/>
  <c r="F7485" i="1"/>
  <c r="N7484" i="1"/>
  <c r="H7484" i="1"/>
  <c r="G7484" i="1"/>
  <c r="F7484" i="1"/>
  <c r="N7483" i="1"/>
  <c r="H7483" i="1"/>
  <c r="G7483" i="1"/>
  <c r="F7483" i="1"/>
  <c r="N7482" i="1"/>
  <c r="H7482" i="1"/>
  <c r="G7482" i="1"/>
  <c r="F7482" i="1"/>
  <c r="N7481" i="1"/>
  <c r="H7481" i="1"/>
  <c r="G7481" i="1"/>
  <c r="F7481" i="1"/>
  <c r="N7480" i="1"/>
  <c r="H7480" i="1"/>
  <c r="G7480" i="1"/>
  <c r="F7480" i="1"/>
  <c r="N7479" i="1"/>
  <c r="H7479" i="1"/>
  <c r="G7479" i="1"/>
  <c r="F7479" i="1"/>
  <c r="N7478" i="1"/>
  <c r="H7478" i="1"/>
  <c r="G7478" i="1"/>
  <c r="F7478" i="1"/>
  <c r="N7477" i="1"/>
  <c r="H7477" i="1"/>
  <c r="G7477" i="1"/>
  <c r="F7477" i="1"/>
  <c r="N7476" i="1"/>
  <c r="H7476" i="1"/>
  <c r="G7476" i="1"/>
  <c r="F7476" i="1"/>
  <c r="N7475" i="1"/>
  <c r="H7475" i="1"/>
  <c r="G7475" i="1"/>
  <c r="F7475" i="1"/>
  <c r="N7474" i="1"/>
  <c r="H7474" i="1"/>
  <c r="G7474" i="1"/>
  <c r="F7474" i="1"/>
  <c r="N7473" i="1"/>
  <c r="H7473" i="1"/>
  <c r="G7473" i="1"/>
  <c r="F7473" i="1"/>
  <c r="N7472" i="1"/>
  <c r="H7472" i="1"/>
  <c r="G7472" i="1"/>
  <c r="F7472" i="1"/>
  <c r="N7471" i="1"/>
  <c r="H7471" i="1"/>
  <c r="G7471" i="1"/>
  <c r="F7471" i="1"/>
  <c r="N7470" i="1"/>
  <c r="H7470" i="1"/>
  <c r="G7470" i="1"/>
  <c r="F7470" i="1"/>
  <c r="N7469" i="1"/>
  <c r="H7469" i="1"/>
  <c r="G7469" i="1"/>
  <c r="F7469" i="1"/>
  <c r="N7468" i="1"/>
  <c r="H7468" i="1"/>
  <c r="G7468" i="1"/>
  <c r="F7468" i="1"/>
  <c r="N7467" i="1"/>
  <c r="H7467" i="1"/>
  <c r="G7467" i="1"/>
  <c r="F7467" i="1"/>
  <c r="N7466" i="1"/>
  <c r="H7466" i="1"/>
  <c r="G7466" i="1"/>
  <c r="F7466" i="1"/>
  <c r="N7465" i="1"/>
  <c r="H7465" i="1"/>
  <c r="G7465" i="1"/>
  <c r="F7465" i="1"/>
  <c r="N7464" i="1"/>
  <c r="H7464" i="1"/>
  <c r="G7464" i="1"/>
  <c r="F7464" i="1"/>
  <c r="N7463" i="1"/>
  <c r="H7463" i="1"/>
  <c r="G7463" i="1"/>
  <c r="F7463" i="1"/>
  <c r="N7462" i="1"/>
  <c r="H7462" i="1"/>
  <c r="G7462" i="1"/>
  <c r="F7462" i="1"/>
  <c r="N7461" i="1"/>
  <c r="H7461" i="1"/>
  <c r="G7461" i="1"/>
  <c r="F7461" i="1"/>
  <c r="N7460" i="1"/>
  <c r="H7460" i="1"/>
  <c r="G7460" i="1"/>
  <c r="F7460" i="1"/>
  <c r="N7459" i="1"/>
  <c r="H7459" i="1"/>
  <c r="G7459" i="1"/>
  <c r="F7459" i="1"/>
  <c r="N7458" i="1"/>
  <c r="H7458" i="1"/>
  <c r="G7458" i="1"/>
  <c r="F7458" i="1"/>
  <c r="N7457" i="1"/>
  <c r="H7457" i="1"/>
  <c r="G7457" i="1"/>
  <c r="F7457" i="1"/>
  <c r="N7456" i="1"/>
  <c r="H7456" i="1"/>
  <c r="G7456" i="1"/>
  <c r="F7456" i="1"/>
  <c r="N7455" i="1"/>
  <c r="H7455" i="1"/>
  <c r="G7455" i="1"/>
  <c r="F7455" i="1"/>
  <c r="N7454" i="1"/>
  <c r="H7454" i="1"/>
  <c r="G7454" i="1"/>
  <c r="F7454" i="1"/>
  <c r="N7453" i="1"/>
  <c r="H7453" i="1"/>
  <c r="G7453" i="1"/>
  <c r="F7453" i="1"/>
  <c r="N7452" i="1"/>
  <c r="H7452" i="1"/>
  <c r="G7452" i="1"/>
  <c r="F7452" i="1"/>
  <c r="N7451" i="1"/>
  <c r="H7451" i="1"/>
  <c r="G7451" i="1"/>
  <c r="F7451" i="1"/>
  <c r="N7450" i="1"/>
  <c r="H7450" i="1"/>
  <c r="G7450" i="1"/>
  <c r="F7450" i="1"/>
  <c r="N7449" i="1"/>
  <c r="H7449" i="1"/>
  <c r="G7449" i="1"/>
  <c r="F7449" i="1"/>
  <c r="N7448" i="1"/>
  <c r="H7448" i="1"/>
  <c r="G7448" i="1"/>
  <c r="F7448" i="1"/>
  <c r="N7447" i="1"/>
  <c r="H7447" i="1"/>
  <c r="G7447" i="1"/>
  <c r="F7447" i="1"/>
  <c r="N7446" i="1"/>
  <c r="H7446" i="1"/>
  <c r="G7446" i="1"/>
  <c r="F7446" i="1"/>
  <c r="N7445" i="1"/>
  <c r="H7445" i="1"/>
  <c r="G7445" i="1"/>
  <c r="F7445" i="1"/>
  <c r="N7444" i="1"/>
  <c r="H7444" i="1"/>
  <c r="G7444" i="1"/>
  <c r="F7444" i="1"/>
  <c r="N7443" i="1"/>
  <c r="H7443" i="1"/>
  <c r="G7443" i="1"/>
  <c r="F7443" i="1"/>
  <c r="N7442" i="1"/>
  <c r="H7442" i="1"/>
  <c r="G7442" i="1"/>
  <c r="F7442" i="1"/>
  <c r="N7441" i="1"/>
  <c r="H7441" i="1"/>
  <c r="G7441" i="1"/>
  <c r="F7441" i="1"/>
  <c r="N7440" i="1"/>
  <c r="H7440" i="1"/>
  <c r="G7440" i="1"/>
  <c r="F7440" i="1"/>
  <c r="N7439" i="1"/>
  <c r="H7439" i="1"/>
  <c r="G7439" i="1"/>
  <c r="F7439" i="1"/>
  <c r="N7438" i="1"/>
  <c r="H7438" i="1"/>
  <c r="G7438" i="1"/>
  <c r="F7438" i="1"/>
  <c r="N7437" i="1"/>
  <c r="H7437" i="1"/>
  <c r="G7437" i="1"/>
  <c r="F7437" i="1"/>
  <c r="N7436" i="1"/>
  <c r="H7436" i="1"/>
  <c r="G7436" i="1"/>
  <c r="F7436" i="1"/>
  <c r="N7435" i="1"/>
  <c r="H7435" i="1"/>
  <c r="G7435" i="1"/>
  <c r="F7435" i="1"/>
  <c r="N7434" i="1"/>
  <c r="H7434" i="1"/>
  <c r="G7434" i="1"/>
  <c r="F7434" i="1"/>
  <c r="N7433" i="1"/>
  <c r="H7433" i="1"/>
  <c r="G7433" i="1"/>
  <c r="F7433" i="1"/>
  <c r="N7432" i="1"/>
  <c r="H7432" i="1"/>
  <c r="G7432" i="1"/>
  <c r="F7432" i="1"/>
  <c r="N7431" i="1"/>
  <c r="H7431" i="1"/>
  <c r="G7431" i="1"/>
  <c r="F7431" i="1"/>
  <c r="N7430" i="1"/>
  <c r="H7430" i="1"/>
  <c r="G7430" i="1"/>
  <c r="F7430" i="1"/>
  <c r="N7429" i="1"/>
  <c r="H7429" i="1"/>
  <c r="G7429" i="1"/>
  <c r="F7429" i="1"/>
  <c r="N7428" i="1"/>
  <c r="H7428" i="1"/>
  <c r="G7428" i="1"/>
  <c r="F7428" i="1"/>
  <c r="N7427" i="1"/>
  <c r="H7427" i="1"/>
  <c r="G7427" i="1"/>
  <c r="F7427" i="1"/>
  <c r="N7426" i="1"/>
  <c r="H7426" i="1"/>
  <c r="G7426" i="1"/>
  <c r="F7426" i="1"/>
  <c r="N7425" i="1"/>
  <c r="H7425" i="1"/>
  <c r="G7425" i="1"/>
  <c r="F7425" i="1"/>
  <c r="N7424" i="1"/>
  <c r="H7424" i="1"/>
  <c r="G7424" i="1"/>
  <c r="F7424" i="1"/>
  <c r="N7423" i="1"/>
  <c r="H7423" i="1"/>
  <c r="G7423" i="1"/>
  <c r="F7423" i="1"/>
  <c r="N7422" i="1"/>
  <c r="H7422" i="1"/>
  <c r="G7422" i="1"/>
  <c r="F7422" i="1"/>
  <c r="N7421" i="1"/>
  <c r="H7421" i="1"/>
  <c r="G7421" i="1"/>
  <c r="F7421" i="1"/>
  <c r="N7420" i="1"/>
  <c r="H7420" i="1"/>
  <c r="G7420" i="1"/>
  <c r="F7420" i="1"/>
  <c r="N7419" i="1"/>
  <c r="H7419" i="1"/>
  <c r="G7419" i="1"/>
  <c r="F7419" i="1"/>
  <c r="N7418" i="1"/>
  <c r="H7418" i="1"/>
  <c r="G7418" i="1"/>
  <c r="F7418" i="1"/>
  <c r="N7417" i="1"/>
  <c r="H7417" i="1"/>
  <c r="G7417" i="1"/>
  <c r="F7417" i="1"/>
  <c r="N7416" i="1"/>
  <c r="H7416" i="1"/>
  <c r="G7416" i="1"/>
  <c r="F7416" i="1"/>
  <c r="N7415" i="1"/>
  <c r="H7415" i="1"/>
  <c r="G7415" i="1"/>
  <c r="F7415" i="1"/>
  <c r="N7414" i="1"/>
  <c r="H7414" i="1"/>
  <c r="G7414" i="1"/>
  <c r="F7414" i="1"/>
  <c r="N7413" i="1"/>
  <c r="H7413" i="1"/>
  <c r="G7413" i="1"/>
  <c r="F7413" i="1"/>
  <c r="N7412" i="1"/>
  <c r="H7412" i="1"/>
  <c r="G7412" i="1"/>
  <c r="F7412" i="1"/>
  <c r="N7411" i="1"/>
  <c r="H7411" i="1"/>
  <c r="G7411" i="1"/>
  <c r="F7411" i="1"/>
  <c r="N7410" i="1"/>
  <c r="H7410" i="1"/>
  <c r="G7410" i="1"/>
  <c r="F7410" i="1"/>
  <c r="N7409" i="1"/>
  <c r="H7409" i="1"/>
  <c r="G7409" i="1"/>
  <c r="F7409" i="1"/>
  <c r="N7408" i="1"/>
  <c r="H7408" i="1"/>
  <c r="G7408" i="1"/>
  <c r="F7408" i="1"/>
  <c r="N7407" i="1"/>
  <c r="H7407" i="1"/>
  <c r="G7407" i="1"/>
  <c r="F7407" i="1"/>
  <c r="N7406" i="1"/>
  <c r="H7406" i="1"/>
  <c r="G7406" i="1"/>
  <c r="F7406" i="1"/>
  <c r="N7405" i="1"/>
  <c r="H7405" i="1"/>
  <c r="G7405" i="1"/>
  <c r="F7405" i="1"/>
  <c r="N7404" i="1"/>
  <c r="H7404" i="1"/>
  <c r="G7404" i="1"/>
  <c r="F7404" i="1"/>
  <c r="N7403" i="1"/>
  <c r="H7403" i="1"/>
  <c r="G7403" i="1"/>
  <c r="F7403" i="1"/>
  <c r="N7402" i="1"/>
  <c r="H7402" i="1"/>
  <c r="G7402" i="1"/>
  <c r="F7402" i="1"/>
  <c r="N7401" i="1"/>
  <c r="H7401" i="1"/>
  <c r="G7401" i="1"/>
  <c r="F7401" i="1"/>
  <c r="N7400" i="1"/>
  <c r="H7400" i="1"/>
  <c r="G7400" i="1"/>
  <c r="F7400" i="1"/>
  <c r="N7399" i="1"/>
  <c r="H7399" i="1"/>
  <c r="G7399" i="1"/>
  <c r="F7399" i="1"/>
  <c r="N7398" i="1"/>
  <c r="H7398" i="1"/>
  <c r="G7398" i="1"/>
  <c r="F7398" i="1"/>
  <c r="N7397" i="1"/>
  <c r="H7397" i="1"/>
  <c r="G7397" i="1"/>
  <c r="F7397" i="1"/>
  <c r="N7396" i="1"/>
  <c r="H7396" i="1"/>
  <c r="G7396" i="1"/>
  <c r="F7396" i="1"/>
  <c r="N7395" i="1"/>
  <c r="H7395" i="1"/>
  <c r="G7395" i="1"/>
  <c r="F7395" i="1"/>
  <c r="N7394" i="1"/>
  <c r="H7394" i="1"/>
  <c r="G7394" i="1"/>
  <c r="F7394" i="1"/>
  <c r="N7393" i="1"/>
  <c r="H7393" i="1"/>
  <c r="G7393" i="1"/>
  <c r="F7393" i="1"/>
  <c r="N7392" i="1"/>
  <c r="H7392" i="1"/>
  <c r="G7392" i="1"/>
  <c r="F7392" i="1"/>
  <c r="N7391" i="1"/>
  <c r="H7391" i="1"/>
  <c r="G7391" i="1"/>
  <c r="F7391" i="1"/>
  <c r="N7390" i="1"/>
  <c r="H7390" i="1"/>
  <c r="G7390" i="1"/>
  <c r="F7390" i="1"/>
  <c r="N7389" i="1"/>
  <c r="H7389" i="1"/>
  <c r="G7389" i="1"/>
  <c r="F7389" i="1"/>
  <c r="N7388" i="1"/>
  <c r="H7388" i="1"/>
  <c r="G7388" i="1"/>
  <c r="F7388" i="1"/>
  <c r="N7387" i="1"/>
  <c r="H7387" i="1"/>
  <c r="G7387" i="1"/>
  <c r="F7387" i="1"/>
  <c r="N7386" i="1"/>
  <c r="H7386" i="1"/>
  <c r="G7386" i="1"/>
  <c r="F7386" i="1"/>
  <c r="N7385" i="1"/>
  <c r="H7385" i="1"/>
  <c r="G7385" i="1"/>
  <c r="F7385" i="1"/>
  <c r="N7384" i="1"/>
  <c r="H7384" i="1"/>
  <c r="G7384" i="1"/>
  <c r="F7384" i="1"/>
  <c r="N7383" i="1"/>
  <c r="H7383" i="1"/>
  <c r="G7383" i="1"/>
  <c r="F7383" i="1"/>
  <c r="N7382" i="1"/>
  <c r="H7382" i="1"/>
  <c r="G7382" i="1"/>
  <c r="F7382" i="1"/>
  <c r="N7381" i="1"/>
  <c r="H7381" i="1"/>
  <c r="G7381" i="1"/>
  <c r="F7381" i="1"/>
  <c r="N7380" i="1"/>
  <c r="H7380" i="1"/>
  <c r="G7380" i="1"/>
  <c r="F7380" i="1"/>
  <c r="N7379" i="1"/>
  <c r="H7379" i="1"/>
  <c r="G7379" i="1"/>
  <c r="F7379" i="1"/>
  <c r="N7378" i="1"/>
  <c r="H7378" i="1"/>
  <c r="G7378" i="1"/>
  <c r="F7378" i="1"/>
  <c r="N7377" i="1"/>
  <c r="H7377" i="1"/>
  <c r="G7377" i="1"/>
  <c r="F7377" i="1"/>
  <c r="N7376" i="1"/>
  <c r="H7376" i="1"/>
  <c r="G7376" i="1"/>
  <c r="F7376" i="1"/>
  <c r="N7375" i="1"/>
  <c r="H7375" i="1"/>
  <c r="G7375" i="1"/>
  <c r="F7375" i="1"/>
  <c r="N7374" i="1"/>
  <c r="H7374" i="1"/>
  <c r="G7374" i="1"/>
  <c r="F7374" i="1"/>
  <c r="N7373" i="1"/>
  <c r="H7373" i="1"/>
  <c r="G7373" i="1"/>
  <c r="F7373" i="1"/>
  <c r="N7372" i="1"/>
  <c r="H7372" i="1"/>
  <c r="G7372" i="1"/>
  <c r="F7372" i="1"/>
  <c r="N7371" i="1"/>
  <c r="H7371" i="1"/>
  <c r="G7371" i="1"/>
  <c r="F7371" i="1"/>
  <c r="N7370" i="1"/>
  <c r="H7370" i="1"/>
  <c r="G7370" i="1"/>
  <c r="F7370" i="1"/>
  <c r="N7369" i="1"/>
  <c r="H7369" i="1"/>
  <c r="G7369" i="1"/>
  <c r="F7369" i="1"/>
  <c r="N7368" i="1"/>
  <c r="H7368" i="1"/>
  <c r="G7368" i="1"/>
  <c r="F7368" i="1"/>
  <c r="N7367" i="1"/>
  <c r="H7367" i="1"/>
  <c r="G7367" i="1"/>
  <c r="F7367" i="1"/>
  <c r="N7366" i="1"/>
  <c r="H7366" i="1"/>
  <c r="G7366" i="1"/>
  <c r="F7366" i="1"/>
  <c r="N7365" i="1"/>
  <c r="H7365" i="1"/>
  <c r="G7365" i="1"/>
  <c r="F7365" i="1"/>
  <c r="N7364" i="1"/>
  <c r="H7364" i="1"/>
  <c r="G7364" i="1"/>
  <c r="F7364" i="1"/>
  <c r="N7363" i="1"/>
  <c r="H7363" i="1"/>
  <c r="G7363" i="1"/>
  <c r="F7363" i="1"/>
  <c r="N7362" i="1"/>
  <c r="H7362" i="1"/>
  <c r="G7362" i="1"/>
  <c r="F7362" i="1"/>
  <c r="N7361" i="1"/>
  <c r="H7361" i="1"/>
  <c r="G7361" i="1"/>
  <c r="F7361" i="1"/>
  <c r="N7360" i="1"/>
  <c r="H7360" i="1"/>
  <c r="G7360" i="1"/>
  <c r="F7360" i="1"/>
  <c r="N7359" i="1"/>
  <c r="H7359" i="1"/>
  <c r="G7359" i="1"/>
  <c r="F7359" i="1"/>
  <c r="N7358" i="1"/>
  <c r="H7358" i="1"/>
  <c r="G7358" i="1"/>
  <c r="F7358" i="1"/>
  <c r="N7357" i="1"/>
  <c r="H7357" i="1"/>
  <c r="G7357" i="1"/>
  <c r="F7357" i="1"/>
  <c r="N7356" i="1"/>
  <c r="H7356" i="1"/>
  <c r="G7356" i="1"/>
  <c r="F7356" i="1"/>
  <c r="N7355" i="1"/>
  <c r="H7355" i="1"/>
  <c r="G7355" i="1"/>
  <c r="F7355" i="1"/>
  <c r="N7354" i="1"/>
  <c r="H7354" i="1"/>
  <c r="G7354" i="1"/>
  <c r="F7354" i="1"/>
  <c r="N7353" i="1"/>
  <c r="H7353" i="1"/>
  <c r="G7353" i="1"/>
  <c r="F7353" i="1"/>
  <c r="N7352" i="1"/>
  <c r="H7352" i="1"/>
  <c r="G7352" i="1"/>
  <c r="F7352" i="1"/>
  <c r="N7351" i="1"/>
  <c r="H7351" i="1"/>
  <c r="G7351" i="1"/>
  <c r="F7351" i="1"/>
  <c r="N7350" i="1"/>
  <c r="H7350" i="1"/>
  <c r="G7350" i="1"/>
  <c r="F7350" i="1"/>
  <c r="N7349" i="1"/>
  <c r="H7349" i="1"/>
  <c r="G7349" i="1"/>
  <c r="F7349" i="1"/>
  <c r="N7348" i="1"/>
  <c r="H7348" i="1"/>
  <c r="G7348" i="1"/>
  <c r="F7348" i="1"/>
  <c r="N7347" i="1"/>
  <c r="H7347" i="1"/>
  <c r="G7347" i="1"/>
  <c r="F7347" i="1"/>
  <c r="N7346" i="1"/>
  <c r="H7346" i="1"/>
  <c r="G7346" i="1"/>
  <c r="F7346" i="1"/>
  <c r="N7345" i="1"/>
  <c r="H7345" i="1"/>
  <c r="G7345" i="1"/>
  <c r="F7345" i="1"/>
  <c r="N7344" i="1"/>
  <c r="H7344" i="1"/>
  <c r="G7344" i="1"/>
  <c r="F7344" i="1"/>
  <c r="N7343" i="1"/>
  <c r="H7343" i="1"/>
  <c r="G7343" i="1"/>
  <c r="F7343" i="1"/>
  <c r="N7342" i="1"/>
  <c r="H7342" i="1"/>
  <c r="G7342" i="1"/>
  <c r="F7342" i="1"/>
  <c r="N7341" i="1"/>
  <c r="H7341" i="1"/>
  <c r="G7341" i="1"/>
  <c r="F7341" i="1"/>
  <c r="N7340" i="1"/>
  <c r="H7340" i="1"/>
  <c r="G7340" i="1"/>
  <c r="F7340" i="1"/>
  <c r="N7339" i="1"/>
  <c r="H7339" i="1"/>
  <c r="G7339" i="1"/>
  <c r="F7339" i="1"/>
  <c r="N7338" i="1"/>
  <c r="H7338" i="1"/>
  <c r="G7338" i="1"/>
  <c r="F7338" i="1"/>
  <c r="N7337" i="1"/>
  <c r="H7337" i="1"/>
  <c r="G7337" i="1"/>
  <c r="F7337" i="1"/>
  <c r="N7336" i="1"/>
  <c r="H7336" i="1"/>
  <c r="G7336" i="1"/>
  <c r="F7336" i="1"/>
  <c r="N7335" i="1"/>
  <c r="H7335" i="1"/>
  <c r="G7335" i="1"/>
  <c r="F7335" i="1"/>
  <c r="N7334" i="1"/>
  <c r="H7334" i="1"/>
  <c r="G7334" i="1"/>
  <c r="F7334" i="1"/>
  <c r="N7333" i="1"/>
  <c r="H7333" i="1"/>
  <c r="G7333" i="1"/>
  <c r="F7333" i="1"/>
  <c r="N7332" i="1"/>
  <c r="H7332" i="1"/>
  <c r="G7332" i="1"/>
  <c r="F7332" i="1"/>
  <c r="N7331" i="1"/>
  <c r="H7331" i="1"/>
  <c r="G7331" i="1"/>
  <c r="F7331" i="1"/>
  <c r="N7330" i="1"/>
  <c r="H7330" i="1"/>
  <c r="G7330" i="1"/>
  <c r="F7330" i="1"/>
  <c r="N7329" i="1"/>
  <c r="H7329" i="1"/>
  <c r="G7329" i="1"/>
  <c r="F7329" i="1"/>
  <c r="N7328" i="1"/>
  <c r="H7328" i="1"/>
  <c r="G7328" i="1"/>
  <c r="F7328" i="1"/>
  <c r="N7327" i="1"/>
  <c r="H7327" i="1"/>
  <c r="G7327" i="1"/>
  <c r="F7327" i="1"/>
  <c r="N7326" i="1"/>
  <c r="H7326" i="1"/>
  <c r="G7326" i="1"/>
  <c r="F7326" i="1"/>
  <c r="N7325" i="1"/>
  <c r="H7325" i="1"/>
  <c r="G7325" i="1"/>
  <c r="F7325" i="1"/>
  <c r="N7324" i="1"/>
  <c r="H7324" i="1"/>
  <c r="G7324" i="1"/>
  <c r="F7324" i="1"/>
  <c r="N7323" i="1"/>
  <c r="H7323" i="1"/>
  <c r="G7323" i="1"/>
  <c r="F7323" i="1"/>
  <c r="N7322" i="1"/>
  <c r="H7322" i="1"/>
  <c r="G7322" i="1"/>
  <c r="F7322" i="1"/>
  <c r="N7321" i="1"/>
  <c r="H7321" i="1"/>
  <c r="G7321" i="1"/>
  <c r="F7321" i="1"/>
  <c r="N7320" i="1"/>
  <c r="H7320" i="1"/>
  <c r="G7320" i="1"/>
  <c r="F7320" i="1"/>
  <c r="N7319" i="1"/>
  <c r="H7319" i="1"/>
  <c r="G7319" i="1"/>
  <c r="F7319" i="1"/>
  <c r="N7318" i="1"/>
  <c r="H7318" i="1"/>
  <c r="G7318" i="1"/>
  <c r="F7318" i="1"/>
  <c r="N7317" i="1"/>
  <c r="H7317" i="1"/>
  <c r="G7317" i="1"/>
  <c r="F7317" i="1"/>
  <c r="N7316" i="1"/>
  <c r="H7316" i="1"/>
  <c r="G7316" i="1"/>
  <c r="F7316" i="1"/>
  <c r="N7315" i="1"/>
  <c r="H7315" i="1"/>
  <c r="G7315" i="1"/>
  <c r="F7315" i="1"/>
  <c r="N7314" i="1"/>
  <c r="H7314" i="1"/>
  <c r="G7314" i="1"/>
  <c r="F7314" i="1"/>
  <c r="N7313" i="1"/>
  <c r="H7313" i="1"/>
  <c r="G7313" i="1"/>
  <c r="F7313" i="1"/>
  <c r="N7312" i="1"/>
  <c r="H7312" i="1"/>
  <c r="G7312" i="1"/>
  <c r="F7312" i="1"/>
  <c r="N7311" i="1"/>
  <c r="H7311" i="1"/>
  <c r="G7311" i="1"/>
  <c r="F7311" i="1"/>
  <c r="N7310" i="1"/>
  <c r="H7310" i="1"/>
  <c r="G7310" i="1"/>
  <c r="F7310" i="1"/>
  <c r="N7309" i="1"/>
  <c r="H7309" i="1"/>
  <c r="G7309" i="1"/>
  <c r="F7309" i="1"/>
  <c r="N7308" i="1"/>
  <c r="H7308" i="1"/>
  <c r="G7308" i="1"/>
  <c r="F7308" i="1"/>
  <c r="N7307" i="1"/>
  <c r="H7307" i="1"/>
  <c r="G7307" i="1"/>
  <c r="F7307" i="1"/>
  <c r="N7306" i="1"/>
  <c r="H7306" i="1"/>
  <c r="G7306" i="1"/>
  <c r="F7306" i="1"/>
  <c r="N7305" i="1"/>
  <c r="H7305" i="1"/>
  <c r="G7305" i="1"/>
  <c r="F7305" i="1"/>
  <c r="N7304" i="1"/>
  <c r="H7304" i="1"/>
  <c r="G7304" i="1"/>
  <c r="F7304" i="1"/>
  <c r="N7303" i="1"/>
  <c r="H7303" i="1"/>
  <c r="G7303" i="1"/>
  <c r="F7303" i="1"/>
  <c r="N7302" i="1"/>
  <c r="H7302" i="1"/>
  <c r="G7302" i="1"/>
  <c r="F7302" i="1"/>
  <c r="N7301" i="1"/>
  <c r="H7301" i="1"/>
  <c r="G7301" i="1"/>
  <c r="F7301" i="1"/>
  <c r="N7300" i="1"/>
  <c r="H7300" i="1"/>
  <c r="G7300" i="1"/>
  <c r="F7300" i="1"/>
  <c r="N7299" i="1"/>
  <c r="H7299" i="1"/>
  <c r="G7299" i="1"/>
  <c r="F7299" i="1"/>
  <c r="N7298" i="1"/>
  <c r="H7298" i="1"/>
  <c r="G7298" i="1"/>
  <c r="F7298" i="1"/>
  <c r="N7297" i="1"/>
  <c r="H7297" i="1"/>
  <c r="G7297" i="1"/>
  <c r="F7297" i="1"/>
  <c r="N7296" i="1"/>
  <c r="H7296" i="1"/>
  <c r="G7296" i="1"/>
  <c r="F7296" i="1"/>
  <c r="N7295" i="1"/>
  <c r="H7295" i="1"/>
  <c r="G7295" i="1"/>
  <c r="F7295" i="1"/>
  <c r="N7294" i="1"/>
  <c r="H7294" i="1"/>
  <c r="G7294" i="1"/>
  <c r="F7294" i="1"/>
  <c r="N7293" i="1"/>
  <c r="H7293" i="1"/>
  <c r="G7293" i="1"/>
  <c r="F7293" i="1"/>
  <c r="N7292" i="1"/>
  <c r="H7292" i="1"/>
  <c r="G7292" i="1"/>
  <c r="F7292" i="1"/>
  <c r="N7291" i="1"/>
  <c r="H7291" i="1"/>
  <c r="G7291" i="1"/>
  <c r="F7291" i="1"/>
  <c r="N7290" i="1"/>
  <c r="H7290" i="1"/>
  <c r="G7290" i="1"/>
  <c r="F7290" i="1"/>
  <c r="N7289" i="1"/>
  <c r="H7289" i="1"/>
  <c r="G7289" i="1"/>
  <c r="F7289" i="1"/>
  <c r="N7288" i="1"/>
  <c r="H7288" i="1"/>
  <c r="G7288" i="1"/>
  <c r="F7288" i="1"/>
  <c r="N7287" i="1"/>
  <c r="H7287" i="1"/>
  <c r="G7287" i="1"/>
  <c r="F7287" i="1"/>
  <c r="N7286" i="1"/>
  <c r="H7286" i="1"/>
  <c r="G7286" i="1"/>
  <c r="F7286" i="1"/>
  <c r="N7285" i="1"/>
  <c r="H7285" i="1"/>
  <c r="G7285" i="1"/>
  <c r="F7285" i="1"/>
  <c r="N7284" i="1"/>
  <c r="H7284" i="1"/>
  <c r="G7284" i="1"/>
  <c r="F7284" i="1"/>
  <c r="N7283" i="1"/>
  <c r="H7283" i="1"/>
  <c r="G7283" i="1"/>
  <c r="F7283" i="1"/>
  <c r="N7282" i="1"/>
  <c r="H7282" i="1"/>
  <c r="G7282" i="1"/>
  <c r="F7282" i="1"/>
  <c r="N7281" i="1"/>
  <c r="H7281" i="1"/>
  <c r="G7281" i="1"/>
  <c r="F7281" i="1"/>
  <c r="N7280" i="1"/>
  <c r="H7280" i="1"/>
  <c r="G7280" i="1"/>
  <c r="F7280" i="1"/>
  <c r="N7279" i="1"/>
  <c r="H7279" i="1"/>
  <c r="G7279" i="1"/>
  <c r="F7279" i="1"/>
  <c r="N7278" i="1"/>
  <c r="H7278" i="1"/>
  <c r="G7278" i="1"/>
  <c r="F7278" i="1"/>
  <c r="N7277" i="1"/>
  <c r="H7277" i="1"/>
  <c r="G7277" i="1"/>
  <c r="F7277" i="1"/>
  <c r="N7276" i="1"/>
  <c r="H7276" i="1"/>
  <c r="G7276" i="1"/>
  <c r="F7276" i="1"/>
  <c r="N7275" i="1"/>
  <c r="H7275" i="1"/>
  <c r="G7275" i="1"/>
  <c r="F7275" i="1"/>
  <c r="N7274" i="1"/>
  <c r="H7274" i="1"/>
  <c r="G7274" i="1"/>
  <c r="F7274" i="1"/>
  <c r="N7273" i="1"/>
  <c r="H7273" i="1"/>
  <c r="G7273" i="1"/>
  <c r="F7273" i="1"/>
  <c r="N7272" i="1"/>
  <c r="H7272" i="1"/>
  <c r="G7272" i="1"/>
  <c r="F7272" i="1"/>
  <c r="N7271" i="1"/>
  <c r="H7271" i="1"/>
  <c r="G7271" i="1"/>
  <c r="F7271" i="1"/>
  <c r="N7270" i="1"/>
  <c r="H7270" i="1"/>
  <c r="G7270" i="1"/>
  <c r="F7270" i="1"/>
  <c r="N7269" i="1"/>
  <c r="H7269" i="1"/>
  <c r="G7269" i="1"/>
  <c r="F7269" i="1"/>
  <c r="N7268" i="1"/>
  <c r="H7268" i="1"/>
  <c r="G7268" i="1"/>
  <c r="F7268" i="1"/>
  <c r="N7267" i="1"/>
  <c r="H7267" i="1"/>
  <c r="G7267" i="1"/>
  <c r="F7267" i="1"/>
  <c r="N7266" i="1"/>
  <c r="H7266" i="1"/>
  <c r="G7266" i="1"/>
  <c r="F7266" i="1"/>
  <c r="N7265" i="1"/>
  <c r="H7265" i="1"/>
  <c r="G7265" i="1"/>
  <c r="F7265" i="1"/>
  <c r="N7264" i="1"/>
  <c r="H7264" i="1"/>
  <c r="G7264" i="1"/>
  <c r="F7264" i="1"/>
  <c r="N7263" i="1"/>
  <c r="H7263" i="1"/>
  <c r="G7263" i="1"/>
  <c r="F7263" i="1"/>
  <c r="N7262" i="1"/>
  <c r="H7262" i="1"/>
  <c r="G7262" i="1"/>
  <c r="F7262" i="1"/>
  <c r="N7261" i="1"/>
  <c r="H7261" i="1"/>
  <c r="G7261" i="1"/>
  <c r="F7261" i="1"/>
  <c r="N7260" i="1"/>
  <c r="H7260" i="1"/>
  <c r="G7260" i="1"/>
  <c r="F7260" i="1"/>
  <c r="N7259" i="1"/>
  <c r="H7259" i="1"/>
  <c r="G7259" i="1"/>
  <c r="F7259" i="1"/>
  <c r="N7258" i="1"/>
  <c r="H7258" i="1"/>
  <c r="G7258" i="1"/>
  <c r="F7258" i="1"/>
  <c r="N7257" i="1"/>
  <c r="H7257" i="1"/>
  <c r="G7257" i="1"/>
  <c r="F7257" i="1"/>
  <c r="N7256" i="1"/>
  <c r="H7256" i="1"/>
  <c r="G7256" i="1"/>
  <c r="F7256" i="1"/>
  <c r="N7255" i="1"/>
  <c r="H7255" i="1"/>
  <c r="G7255" i="1"/>
  <c r="F7255" i="1"/>
  <c r="N7254" i="1"/>
  <c r="H7254" i="1"/>
  <c r="G7254" i="1"/>
  <c r="F7254" i="1"/>
  <c r="N7253" i="1"/>
  <c r="H7253" i="1"/>
  <c r="G7253" i="1"/>
  <c r="F7253" i="1"/>
  <c r="N7252" i="1"/>
  <c r="H7252" i="1"/>
  <c r="G7252" i="1"/>
  <c r="F7252" i="1"/>
  <c r="N7251" i="1"/>
  <c r="H7251" i="1"/>
  <c r="G7251" i="1"/>
  <c r="F7251" i="1"/>
  <c r="N7250" i="1"/>
  <c r="H7250" i="1"/>
  <c r="G7250" i="1"/>
  <c r="F7250" i="1"/>
  <c r="N7249" i="1"/>
  <c r="H7249" i="1"/>
  <c r="G7249" i="1"/>
  <c r="F7249" i="1"/>
  <c r="N7248" i="1"/>
  <c r="H7248" i="1"/>
  <c r="G7248" i="1"/>
  <c r="F7248" i="1"/>
  <c r="N7247" i="1"/>
  <c r="H7247" i="1"/>
  <c r="G7247" i="1"/>
  <c r="F7247" i="1"/>
  <c r="N7246" i="1"/>
  <c r="H7246" i="1"/>
  <c r="G7246" i="1"/>
  <c r="F7246" i="1"/>
  <c r="N7245" i="1"/>
  <c r="H7245" i="1"/>
  <c r="G7245" i="1"/>
  <c r="F7245" i="1"/>
  <c r="N7244" i="1"/>
  <c r="H7244" i="1"/>
  <c r="G7244" i="1"/>
  <c r="F7244" i="1"/>
  <c r="N7243" i="1"/>
  <c r="H7243" i="1"/>
  <c r="G7243" i="1"/>
  <c r="F7243" i="1"/>
  <c r="N7242" i="1"/>
  <c r="H7242" i="1"/>
  <c r="G7242" i="1"/>
  <c r="F7242" i="1"/>
  <c r="N7241" i="1"/>
  <c r="H7241" i="1"/>
  <c r="G7241" i="1"/>
  <c r="F7241" i="1"/>
  <c r="N7240" i="1"/>
  <c r="H7240" i="1"/>
  <c r="G7240" i="1"/>
  <c r="F7240" i="1"/>
  <c r="N7239" i="1"/>
  <c r="H7239" i="1"/>
  <c r="G7239" i="1"/>
  <c r="F7239" i="1"/>
  <c r="N7238" i="1"/>
  <c r="H7238" i="1"/>
  <c r="G7238" i="1"/>
  <c r="F7238" i="1"/>
  <c r="N7237" i="1"/>
  <c r="H7237" i="1"/>
  <c r="G7237" i="1"/>
  <c r="F7237" i="1"/>
  <c r="N7236" i="1"/>
  <c r="H7236" i="1"/>
  <c r="G7236" i="1"/>
  <c r="F7236" i="1"/>
  <c r="N7235" i="1"/>
  <c r="H7235" i="1"/>
  <c r="G7235" i="1"/>
  <c r="F7235" i="1"/>
  <c r="N7234" i="1"/>
  <c r="H7234" i="1"/>
  <c r="G7234" i="1"/>
  <c r="F7234" i="1"/>
  <c r="N7233" i="1"/>
  <c r="H7233" i="1"/>
  <c r="G7233" i="1"/>
  <c r="F7233" i="1"/>
  <c r="N7232" i="1"/>
  <c r="H7232" i="1"/>
  <c r="G7232" i="1"/>
  <c r="F7232" i="1"/>
  <c r="N7231" i="1"/>
  <c r="H7231" i="1"/>
  <c r="G7231" i="1"/>
  <c r="F7231" i="1"/>
  <c r="N7230" i="1"/>
  <c r="H7230" i="1"/>
  <c r="G7230" i="1"/>
  <c r="F7230" i="1"/>
  <c r="N7229" i="1"/>
  <c r="H7229" i="1"/>
  <c r="G7229" i="1"/>
  <c r="F7229" i="1"/>
  <c r="N7228" i="1"/>
  <c r="H7228" i="1"/>
  <c r="G7228" i="1"/>
  <c r="F7228" i="1"/>
  <c r="N7227" i="1"/>
  <c r="H7227" i="1"/>
  <c r="G7227" i="1"/>
  <c r="F7227" i="1"/>
  <c r="N7226" i="1"/>
  <c r="H7226" i="1"/>
  <c r="G7226" i="1"/>
  <c r="F7226" i="1"/>
  <c r="N7225" i="1"/>
  <c r="H7225" i="1"/>
  <c r="G7225" i="1"/>
  <c r="F7225" i="1"/>
  <c r="N7224" i="1"/>
  <c r="H7224" i="1"/>
  <c r="G7224" i="1"/>
  <c r="F7224" i="1"/>
  <c r="N7223" i="1"/>
  <c r="H7223" i="1"/>
  <c r="G7223" i="1"/>
  <c r="F7223" i="1"/>
  <c r="N7222" i="1"/>
  <c r="H7222" i="1"/>
  <c r="G7222" i="1"/>
  <c r="F7222" i="1"/>
  <c r="N7221" i="1"/>
  <c r="H7221" i="1"/>
  <c r="G7221" i="1"/>
  <c r="F7221" i="1"/>
  <c r="N7220" i="1"/>
  <c r="H7220" i="1"/>
  <c r="G7220" i="1"/>
  <c r="F7220" i="1"/>
  <c r="N7219" i="1"/>
  <c r="H7219" i="1"/>
  <c r="G7219" i="1"/>
  <c r="F7219" i="1"/>
  <c r="N7218" i="1"/>
  <c r="H7218" i="1"/>
  <c r="G7218" i="1"/>
  <c r="F7218" i="1"/>
  <c r="N7217" i="1"/>
  <c r="H7217" i="1"/>
  <c r="G7217" i="1"/>
  <c r="F7217" i="1"/>
  <c r="N7216" i="1"/>
  <c r="H7216" i="1"/>
  <c r="G7216" i="1"/>
  <c r="F7216" i="1"/>
  <c r="N7215" i="1"/>
  <c r="H7215" i="1"/>
  <c r="G7215" i="1"/>
  <c r="F7215" i="1"/>
  <c r="N7214" i="1"/>
  <c r="H7214" i="1"/>
  <c r="G7214" i="1"/>
  <c r="F7214" i="1"/>
  <c r="N7213" i="1"/>
  <c r="H7213" i="1"/>
  <c r="G7213" i="1"/>
  <c r="F7213" i="1"/>
  <c r="N7212" i="1"/>
  <c r="H7212" i="1"/>
  <c r="G7212" i="1"/>
  <c r="F7212" i="1"/>
  <c r="N7211" i="1"/>
  <c r="H7211" i="1"/>
  <c r="G7211" i="1"/>
  <c r="F7211" i="1"/>
  <c r="N7210" i="1"/>
  <c r="H7210" i="1"/>
  <c r="G7210" i="1"/>
  <c r="F7210" i="1"/>
  <c r="N7209" i="1"/>
  <c r="H7209" i="1"/>
  <c r="G7209" i="1"/>
  <c r="F7209" i="1"/>
  <c r="N7208" i="1"/>
  <c r="H7208" i="1"/>
  <c r="G7208" i="1"/>
  <c r="F7208" i="1"/>
  <c r="N7207" i="1"/>
  <c r="H7207" i="1"/>
  <c r="G7207" i="1"/>
  <c r="F7207" i="1"/>
  <c r="N7206" i="1"/>
  <c r="H7206" i="1"/>
  <c r="G7206" i="1"/>
  <c r="F7206" i="1"/>
  <c r="N7205" i="1"/>
  <c r="H7205" i="1"/>
  <c r="G7205" i="1"/>
  <c r="F7205" i="1"/>
  <c r="N7204" i="1"/>
  <c r="H7204" i="1"/>
  <c r="G7204" i="1"/>
  <c r="F7204" i="1"/>
  <c r="N7203" i="1"/>
  <c r="H7203" i="1"/>
  <c r="G7203" i="1"/>
  <c r="F7203" i="1"/>
  <c r="N7202" i="1"/>
  <c r="H7202" i="1"/>
  <c r="G7202" i="1"/>
  <c r="F7202" i="1"/>
  <c r="N7201" i="1"/>
  <c r="H7201" i="1"/>
  <c r="G7201" i="1"/>
  <c r="F7201" i="1"/>
  <c r="N7200" i="1"/>
  <c r="H7200" i="1"/>
  <c r="G7200" i="1"/>
  <c r="F7200" i="1"/>
  <c r="N7199" i="1"/>
  <c r="H7199" i="1"/>
  <c r="G7199" i="1"/>
  <c r="F7199" i="1"/>
  <c r="N7198" i="1"/>
  <c r="H7198" i="1"/>
  <c r="G7198" i="1"/>
  <c r="F7198" i="1"/>
  <c r="N7197" i="1"/>
  <c r="H7197" i="1"/>
  <c r="G7197" i="1"/>
  <c r="F7197" i="1"/>
  <c r="N7196" i="1"/>
  <c r="H7196" i="1"/>
  <c r="G7196" i="1"/>
  <c r="F7196" i="1"/>
  <c r="N7195" i="1"/>
  <c r="H7195" i="1"/>
  <c r="G7195" i="1"/>
  <c r="F7195" i="1"/>
  <c r="N7194" i="1"/>
  <c r="H7194" i="1"/>
  <c r="G7194" i="1"/>
  <c r="F7194" i="1"/>
  <c r="N7193" i="1"/>
  <c r="H7193" i="1"/>
  <c r="G7193" i="1"/>
  <c r="F7193" i="1"/>
  <c r="N7192" i="1"/>
  <c r="H7192" i="1"/>
  <c r="G7192" i="1"/>
  <c r="F7192" i="1"/>
  <c r="N7191" i="1"/>
  <c r="H7191" i="1"/>
  <c r="G7191" i="1"/>
  <c r="F7191" i="1"/>
  <c r="N7190" i="1"/>
  <c r="H7190" i="1"/>
  <c r="G7190" i="1"/>
  <c r="F7190" i="1"/>
  <c r="N7189" i="1"/>
  <c r="H7189" i="1"/>
  <c r="G7189" i="1"/>
  <c r="F7189" i="1"/>
  <c r="N7188" i="1"/>
  <c r="H7188" i="1"/>
  <c r="G7188" i="1"/>
  <c r="F7188" i="1"/>
  <c r="N7187" i="1"/>
  <c r="H7187" i="1"/>
  <c r="G7187" i="1"/>
  <c r="F7187" i="1"/>
  <c r="N7186" i="1"/>
  <c r="H7186" i="1"/>
  <c r="G7186" i="1"/>
  <c r="F7186" i="1"/>
  <c r="N7185" i="1"/>
  <c r="H7185" i="1"/>
  <c r="G7185" i="1"/>
  <c r="F7185" i="1"/>
  <c r="N7184" i="1"/>
  <c r="H7184" i="1"/>
  <c r="G7184" i="1"/>
  <c r="F7184" i="1"/>
  <c r="N7183" i="1"/>
  <c r="H7183" i="1"/>
  <c r="G7183" i="1"/>
  <c r="F7183" i="1"/>
  <c r="N7182" i="1"/>
  <c r="H7182" i="1"/>
  <c r="G7182" i="1"/>
  <c r="F7182" i="1"/>
  <c r="N7181" i="1"/>
  <c r="H7181" i="1"/>
  <c r="G7181" i="1"/>
  <c r="F7181" i="1"/>
  <c r="N7180" i="1"/>
  <c r="H7180" i="1"/>
  <c r="G7180" i="1"/>
  <c r="F7180" i="1"/>
  <c r="N7179" i="1"/>
  <c r="H7179" i="1"/>
  <c r="G7179" i="1"/>
  <c r="F7179" i="1"/>
  <c r="N7178" i="1"/>
  <c r="H7178" i="1"/>
  <c r="G7178" i="1"/>
  <c r="F7178" i="1"/>
  <c r="N7177" i="1"/>
  <c r="H7177" i="1"/>
  <c r="G7177" i="1"/>
  <c r="F7177" i="1"/>
  <c r="N7176" i="1"/>
  <c r="H7176" i="1"/>
  <c r="G7176" i="1"/>
  <c r="F7176" i="1"/>
  <c r="N7175" i="1"/>
  <c r="H7175" i="1"/>
  <c r="G7175" i="1"/>
  <c r="F7175" i="1"/>
  <c r="N7174" i="1"/>
  <c r="H7174" i="1"/>
  <c r="G7174" i="1"/>
  <c r="F7174" i="1"/>
  <c r="N7173" i="1"/>
  <c r="H7173" i="1"/>
  <c r="G7173" i="1"/>
  <c r="F7173" i="1"/>
  <c r="N7172" i="1"/>
  <c r="H7172" i="1"/>
  <c r="G7172" i="1"/>
  <c r="F7172" i="1"/>
  <c r="N7171" i="1"/>
  <c r="H7171" i="1"/>
  <c r="G7171" i="1"/>
  <c r="F7171" i="1"/>
  <c r="N7170" i="1"/>
  <c r="H7170" i="1"/>
  <c r="G7170" i="1"/>
  <c r="F7170" i="1"/>
  <c r="N7169" i="1"/>
  <c r="H7169" i="1"/>
  <c r="G7169" i="1"/>
  <c r="F7169" i="1"/>
  <c r="N7168" i="1"/>
  <c r="H7168" i="1"/>
  <c r="G7168" i="1"/>
  <c r="F7168" i="1"/>
  <c r="N7167" i="1"/>
  <c r="H7167" i="1"/>
  <c r="G7167" i="1"/>
  <c r="F7167" i="1"/>
  <c r="N7166" i="1"/>
  <c r="H7166" i="1"/>
  <c r="G7166" i="1"/>
  <c r="F7166" i="1"/>
  <c r="N7165" i="1"/>
  <c r="H7165" i="1"/>
  <c r="G7165" i="1"/>
  <c r="F7165" i="1"/>
  <c r="N7164" i="1"/>
  <c r="H7164" i="1"/>
  <c r="G7164" i="1"/>
  <c r="F7164" i="1"/>
  <c r="N7163" i="1"/>
  <c r="H7163" i="1"/>
  <c r="G7163" i="1"/>
  <c r="F7163" i="1"/>
  <c r="N7162" i="1"/>
  <c r="H7162" i="1"/>
  <c r="G7162" i="1"/>
  <c r="F7162" i="1"/>
  <c r="N7161" i="1"/>
  <c r="H7161" i="1"/>
  <c r="G7161" i="1"/>
  <c r="F7161" i="1"/>
  <c r="N7160" i="1"/>
  <c r="H7160" i="1"/>
  <c r="G7160" i="1"/>
  <c r="F7160" i="1"/>
  <c r="N7159" i="1"/>
  <c r="H7159" i="1"/>
  <c r="G7159" i="1"/>
  <c r="F7159" i="1"/>
  <c r="N7158" i="1"/>
  <c r="H7158" i="1"/>
  <c r="G7158" i="1"/>
  <c r="F7158" i="1"/>
  <c r="N7157" i="1"/>
  <c r="H7157" i="1"/>
  <c r="G7157" i="1"/>
  <c r="F7157" i="1"/>
  <c r="N7156" i="1"/>
  <c r="H7156" i="1"/>
  <c r="G7156" i="1"/>
  <c r="F7156" i="1"/>
  <c r="N7155" i="1"/>
  <c r="H7155" i="1"/>
  <c r="G7155" i="1"/>
  <c r="F7155" i="1"/>
  <c r="N7154" i="1"/>
  <c r="H7154" i="1"/>
  <c r="G7154" i="1"/>
  <c r="F7154" i="1"/>
  <c r="N7153" i="1"/>
  <c r="H7153" i="1"/>
  <c r="G7153" i="1"/>
  <c r="F7153" i="1"/>
  <c r="N7152" i="1"/>
  <c r="H7152" i="1"/>
  <c r="G7152" i="1"/>
  <c r="F7152" i="1"/>
  <c r="N7151" i="1"/>
  <c r="H7151" i="1"/>
  <c r="G7151" i="1"/>
  <c r="F7151" i="1"/>
  <c r="N7150" i="1"/>
  <c r="H7150" i="1"/>
  <c r="G7150" i="1"/>
  <c r="F7150" i="1"/>
  <c r="N7149" i="1"/>
  <c r="H7149" i="1"/>
  <c r="G7149" i="1"/>
  <c r="F7149" i="1"/>
  <c r="N7148" i="1"/>
  <c r="H7148" i="1"/>
  <c r="G7148" i="1"/>
  <c r="F7148" i="1"/>
  <c r="N7147" i="1"/>
  <c r="H7147" i="1"/>
  <c r="G7147" i="1"/>
  <c r="F7147" i="1"/>
  <c r="N7146" i="1"/>
  <c r="H7146" i="1"/>
  <c r="G7146" i="1"/>
  <c r="F7146" i="1"/>
  <c r="N7145" i="1"/>
  <c r="H7145" i="1"/>
  <c r="G7145" i="1"/>
  <c r="F7145" i="1"/>
  <c r="N7144" i="1"/>
  <c r="H7144" i="1"/>
  <c r="G7144" i="1"/>
  <c r="F7144" i="1"/>
  <c r="N7143" i="1"/>
  <c r="H7143" i="1"/>
  <c r="G7143" i="1"/>
  <c r="F7143" i="1"/>
  <c r="N7142" i="1"/>
  <c r="H7142" i="1"/>
  <c r="G7142" i="1"/>
  <c r="F7142" i="1"/>
  <c r="N7141" i="1"/>
  <c r="H7141" i="1"/>
  <c r="G7141" i="1"/>
  <c r="F7141" i="1"/>
  <c r="N7140" i="1"/>
  <c r="H7140" i="1"/>
  <c r="G7140" i="1"/>
  <c r="F7140" i="1"/>
  <c r="N7139" i="1"/>
  <c r="H7139" i="1"/>
  <c r="G7139" i="1"/>
  <c r="F7139" i="1"/>
  <c r="N7138" i="1"/>
  <c r="H7138" i="1"/>
  <c r="G7138" i="1"/>
  <c r="F7138" i="1"/>
  <c r="N7137" i="1"/>
  <c r="H7137" i="1"/>
  <c r="G7137" i="1"/>
  <c r="F7137" i="1"/>
  <c r="N7136" i="1"/>
  <c r="H7136" i="1"/>
  <c r="G7136" i="1"/>
  <c r="F7136" i="1"/>
  <c r="N7135" i="1"/>
  <c r="H7135" i="1"/>
  <c r="G7135" i="1"/>
  <c r="F7135" i="1"/>
  <c r="N7134" i="1"/>
  <c r="H7134" i="1"/>
  <c r="G7134" i="1"/>
  <c r="F7134" i="1"/>
  <c r="N7133" i="1"/>
  <c r="H7133" i="1"/>
  <c r="G7133" i="1"/>
  <c r="F7133" i="1"/>
  <c r="N7132" i="1"/>
  <c r="H7132" i="1"/>
  <c r="G7132" i="1"/>
  <c r="F7132" i="1"/>
  <c r="N7131" i="1"/>
  <c r="H7131" i="1"/>
  <c r="G7131" i="1"/>
  <c r="F7131" i="1"/>
  <c r="N7130" i="1"/>
  <c r="H7130" i="1"/>
  <c r="G7130" i="1"/>
  <c r="F7130" i="1"/>
  <c r="N7129" i="1"/>
  <c r="H7129" i="1"/>
  <c r="G7129" i="1"/>
  <c r="F7129" i="1"/>
  <c r="N7128" i="1"/>
  <c r="H7128" i="1"/>
  <c r="G7128" i="1"/>
  <c r="F7128" i="1"/>
  <c r="N7127" i="1"/>
  <c r="H7127" i="1"/>
  <c r="G7127" i="1"/>
  <c r="F7127" i="1"/>
  <c r="N7126" i="1"/>
  <c r="H7126" i="1"/>
  <c r="G7126" i="1"/>
  <c r="F7126" i="1"/>
  <c r="N7125" i="1"/>
  <c r="H7125" i="1"/>
  <c r="G7125" i="1"/>
  <c r="F7125" i="1"/>
  <c r="N7124" i="1"/>
  <c r="H7124" i="1"/>
  <c r="G7124" i="1"/>
  <c r="F7124" i="1"/>
  <c r="N7123" i="1"/>
  <c r="H7123" i="1"/>
  <c r="G7123" i="1"/>
  <c r="F7123" i="1"/>
  <c r="N7122" i="1"/>
  <c r="H7122" i="1"/>
  <c r="G7122" i="1"/>
  <c r="F7122" i="1"/>
  <c r="N7121" i="1"/>
  <c r="H7121" i="1"/>
  <c r="G7121" i="1"/>
  <c r="F7121" i="1"/>
  <c r="N7120" i="1"/>
  <c r="H7120" i="1"/>
  <c r="G7120" i="1"/>
  <c r="F7120" i="1"/>
  <c r="N7119" i="1"/>
  <c r="H7119" i="1"/>
  <c r="G7119" i="1"/>
  <c r="F7119" i="1"/>
  <c r="N7118" i="1"/>
  <c r="H7118" i="1"/>
  <c r="G7118" i="1"/>
  <c r="F7118" i="1"/>
  <c r="N7117" i="1"/>
  <c r="H7117" i="1"/>
  <c r="G7117" i="1"/>
  <c r="F7117" i="1"/>
  <c r="N7116" i="1"/>
  <c r="H7116" i="1"/>
  <c r="G7116" i="1"/>
  <c r="F7116" i="1"/>
  <c r="N7115" i="1"/>
  <c r="H7115" i="1"/>
  <c r="G7115" i="1"/>
  <c r="F7115" i="1"/>
  <c r="N7114" i="1"/>
  <c r="H7114" i="1"/>
  <c r="G7114" i="1"/>
  <c r="F7114" i="1"/>
  <c r="N7113" i="1"/>
  <c r="H7113" i="1"/>
  <c r="G7113" i="1"/>
  <c r="F7113" i="1"/>
  <c r="N7112" i="1"/>
  <c r="H7112" i="1"/>
  <c r="G7112" i="1"/>
  <c r="F7112" i="1"/>
  <c r="N7111" i="1"/>
  <c r="H7111" i="1"/>
  <c r="G7111" i="1"/>
  <c r="F7111" i="1"/>
  <c r="N7110" i="1"/>
  <c r="H7110" i="1"/>
  <c r="G7110" i="1"/>
  <c r="F7110" i="1"/>
  <c r="N7109" i="1"/>
  <c r="H7109" i="1"/>
  <c r="G7109" i="1"/>
  <c r="F7109" i="1"/>
  <c r="N7108" i="1"/>
  <c r="H7108" i="1"/>
  <c r="G7108" i="1"/>
  <c r="F7108" i="1"/>
  <c r="N7107" i="1"/>
  <c r="H7107" i="1"/>
  <c r="G7107" i="1"/>
  <c r="F7107" i="1"/>
  <c r="N7106" i="1"/>
  <c r="H7106" i="1"/>
  <c r="G7106" i="1"/>
  <c r="F7106" i="1"/>
  <c r="N7105" i="1"/>
  <c r="H7105" i="1"/>
  <c r="G7105" i="1"/>
  <c r="F7105" i="1"/>
  <c r="N7104" i="1"/>
  <c r="H7104" i="1"/>
  <c r="G7104" i="1"/>
  <c r="F7104" i="1"/>
  <c r="N7103" i="1"/>
  <c r="H7103" i="1"/>
  <c r="G7103" i="1"/>
  <c r="F7103" i="1"/>
  <c r="N7102" i="1"/>
  <c r="H7102" i="1"/>
  <c r="G7102" i="1"/>
  <c r="F7102" i="1"/>
  <c r="N7101" i="1"/>
  <c r="H7101" i="1"/>
  <c r="G7101" i="1"/>
  <c r="F7101" i="1"/>
  <c r="N7100" i="1"/>
  <c r="H7100" i="1"/>
  <c r="G7100" i="1"/>
  <c r="F7100" i="1"/>
  <c r="N7099" i="1"/>
  <c r="H7099" i="1"/>
  <c r="G7099" i="1"/>
  <c r="F7099" i="1"/>
  <c r="N7098" i="1"/>
  <c r="H7098" i="1"/>
  <c r="G7098" i="1"/>
  <c r="F7098" i="1"/>
  <c r="N7097" i="1"/>
  <c r="H7097" i="1"/>
  <c r="G7097" i="1"/>
  <c r="F7097" i="1"/>
  <c r="N7096" i="1"/>
  <c r="H7096" i="1"/>
  <c r="G7096" i="1"/>
  <c r="F7096" i="1"/>
  <c r="N7095" i="1"/>
  <c r="H7095" i="1"/>
  <c r="G7095" i="1"/>
  <c r="F7095" i="1"/>
  <c r="N7094" i="1"/>
  <c r="H7094" i="1"/>
  <c r="G7094" i="1"/>
  <c r="F7094" i="1"/>
  <c r="N7093" i="1"/>
  <c r="H7093" i="1"/>
  <c r="G7093" i="1"/>
  <c r="F7093" i="1"/>
  <c r="N7092" i="1"/>
  <c r="H7092" i="1"/>
  <c r="G7092" i="1"/>
  <c r="F7092" i="1"/>
  <c r="N7091" i="1"/>
  <c r="H7091" i="1"/>
  <c r="G7091" i="1"/>
  <c r="F7091" i="1"/>
  <c r="N7090" i="1"/>
  <c r="H7090" i="1"/>
  <c r="G7090" i="1"/>
  <c r="F7090" i="1"/>
  <c r="N7089" i="1"/>
  <c r="H7089" i="1"/>
  <c r="G7089" i="1"/>
  <c r="F7089" i="1"/>
  <c r="N7088" i="1"/>
  <c r="H7088" i="1"/>
  <c r="G7088" i="1"/>
  <c r="F7088" i="1"/>
  <c r="N7087" i="1"/>
  <c r="H7087" i="1"/>
  <c r="G7087" i="1"/>
  <c r="F7087" i="1"/>
  <c r="N7086" i="1"/>
  <c r="H7086" i="1"/>
  <c r="G7086" i="1"/>
  <c r="F7086" i="1"/>
  <c r="N7085" i="1"/>
  <c r="H7085" i="1"/>
  <c r="G7085" i="1"/>
  <c r="F7085" i="1"/>
  <c r="N7084" i="1"/>
  <c r="H7084" i="1"/>
  <c r="G7084" i="1"/>
  <c r="F7084" i="1"/>
  <c r="N7083" i="1"/>
  <c r="H7083" i="1"/>
  <c r="G7083" i="1"/>
  <c r="F7083" i="1"/>
  <c r="N7082" i="1"/>
  <c r="H7082" i="1"/>
  <c r="G7082" i="1"/>
  <c r="F7082" i="1"/>
  <c r="N7081" i="1"/>
  <c r="H7081" i="1"/>
  <c r="G7081" i="1"/>
  <c r="F7081" i="1"/>
  <c r="N7080" i="1"/>
  <c r="H7080" i="1"/>
  <c r="G7080" i="1"/>
  <c r="F7080" i="1"/>
  <c r="N7079" i="1"/>
  <c r="H7079" i="1"/>
  <c r="G7079" i="1"/>
  <c r="F7079" i="1"/>
  <c r="N7078" i="1"/>
  <c r="H7078" i="1"/>
  <c r="G7078" i="1"/>
  <c r="F7078" i="1"/>
  <c r="N7077" i="1"/>
  <c r="H7077" i="1"/>
  <c r="G7077" i="1"/>
  <c r="F7077" i="1"/>
  <c r="N7076" i="1"/>
  <c r="H7076" i="1"/>
  <c r="G7076" i="1"/>
  <c r="F7076" i="1"/>
  <c r="N7075" i="1"/>
  <c r="H7075" i="1"/>
  <c r="G7075" i="1"/>
  <c r="F7075" i="1"/>
  <c r="N7074" i="1"/>
  <c r="H7074" i="1"/>
  <c r="G7074" i="1"/>
  <c r="F7074" i="1"/>
  <c r="N7073" i="1"/>
  <c r="H7073" i="1"/>
  <c r="G7073" i="1"/>
  <c r="F7073" i="1"/>
  <c r="N7072" i="1"/>
  <c r="H7072" i="1"/>
  <c r="G7072" i="1"/>
  <c r="F7072" i="1"/>
  <c r="N7071" i="1"/>
  <c r="H7071" i="1"/>
  <c r="G7071" i="1"/>
  <c r="F7071" i="1"/>
  <c r="N7070" i="1"/>
  <c r="H7070" i="1"/>
  <c r="G7070" i="1"/>
  <c r="F7070" i="1"/>
  <c r="N7069" i="1"/>
  <c r="H7069" i="1"/>
  <c r="G7069" i="1"/>
  <c r="F7069" i="1"/>
  <c r="N7068" i="1"/>
  <c r="H7068" i="1"/>
  <c r="G7068" i="1"/>
  <c r="F7068" i="1"/>
  <c r="N7067" i="1"/>
  <c r="H7067" i="1"/>
  <c r="G7067" i="1"/>
  <c r="F7067" i="1"/>
  <c r="N7066" i="1"/>
  <c r="H7066" i="1"/>
  <c r="G7066" i="1"/>
  <c r="F7066" i="1"/>
  <c r="N7065" i="1"/>
  <c r="H7065" i="1"/>
  <c r="G7065" i="1"/>
  <c r="F7065" i="1"/>
  <c r="N7064" i="1"/>
  <c r="H7064" i="1"/>
  <c r="G7064" i="1"/>
  <c r="F7064" i="1"/>
  <c r="N7063" i="1"/>
  <c r="H7063" i="1"/>
  <c r="G7063" i="1"/>
  <c r="F7063" i="1"/>
  <c r="N7062" i="1"/>
  <c r="H7062" i="1"/>
  <c r="G7062" i="1"/>
  <c r="F7062" i="1"/>
  <c r="N7061" i="1"/>
  <c r="H7061" i="1"/>
  <c r="G7061" i="1"/>
  <c r="F7061" i="1"/>
  <c r="N7060" i="1"/>
  <c r="H7060" i="1"/>
  <c r="G7060" i="1"/>
  <c r="F7060" i="1"/>
  <c r="N7059" i="1"/>
  <c r="H7059" i="1"/>
  <c r="G7059" i="1"/>
  <c r="F7059" i="1"/>
  <c r="N7058" i="1"/>
  <c r="H7058" i="1"/>
  <c r="G7058" i="1"/>
  <c r="F7058" i="1"/>
  <c r="N7057" i="1"/>
  <c r="H7057" i="1"/>
  <c r="G7057" i="1"/>
  <c r="F7057" i="1"/>
  <c r="N7056" i="1"/>
  <c r="H7056" i="1"/>
  <c r="G7056" i="1"/>
  <c r="F7056" i="1"/>
  <c r="N7055" i="1"/>
  <c r="H7055" i="1"/>
  <c r="G7055" i="1"/>
  <c r="F7055" i="1"/>
  <c r="N7054" i="1"/>
  <c r="H7054" i="1"/>
  <c r="G7054" i="1"/>
  <c r="F7054" i="1"/>
  <c r="N7053" i="1"/>
  <c r="H7053" i="1"/>
  <c r="G7053" i="1"/>
  <c r="F7053" i="1"/>
  <c r="N7052" i="1"/>
  <c r="H7052" i="1"/>
  <c r="G7052" i="1"/>
  <c r="F7052" i="1"/>
  <c r="N7051" i="1"/>
  <c r="H7051" i="1"/>
  <c r="G7051" i="1"/>
  <c r="F7051" i="1"/>
  <c r="N7050" i="1"/>
  <c r="H7050" i="1"/>
  <c r="G7050" i="1"/>
  <c r="F7050" i="1"/>
  <c r="N7049" i="1"/>
  <c r="H7049" i="1"/>
  <c r="G7049" i="1"/>
  <c r="F7049" i="1"/>
  <c r="N7048" i="1"/>
  <c r="H7048" i="1"/>
  <c r="G7048" i="1"/>
  <c r="F7048" i="1"/>
  <c r="N7047" i="1"/>
  <c r="H7047" i="1"/>
  <c r="G7047" i="1"/>
  <c r="F7047" i="1"/>
  <c r="N7046" i="1"/>
  <c r="H7046" i="1"/>
  <c r="G7046" i="1"/>
  <c r="F7046" i="1"/>
  <c r="N7045" i="1"/>
  <c r="H7045" i="1"/>
  <c r="G7045" i="1"/>
  <c r="F7045" i="1"/>
  <c r="N7044" i="1"/>
  <c r="H7044" i="1"/>
  <c r="G7044" i="1"/>
  <c r="F7044" i="1"/>
  <c r="N7043" i="1"/>
  <c r="H7043" i="1"/>
  <c r="G7043" i="1"/>
  <c r="F7043" i="1"/>
  <c r="N7042" i="1"/>
  <c r="H7042" i="1"/>
  <c r="G7042" i="1"/>
  <c r="F7042" i="1"/>
  <c r="N7041" i="1"/>
  <c r="H7041" i="1"/>
  <c r="G7041" i="1"/>
  <c r="F7041" i="1"/>
  <c r="N7040" i="1"/>
  <c r="H7040" i="1"/>
  <c r="G7040" i="1"/>
  <c r="F7040" i="1"/>
  <c r="N7039" i="1"/>
  <c r="H7039" i="1"/>
  <c r="G7039" i="1"/>
  <c r="F7039" i="1"/>
  <c r="N7038" i="1"/>
  <c r="H7038" i="1"/>
  <c r="G7038" i="1"/>
  <c r="F7038" i="1"/>
  <c r="N7037" i="1"/>
  <c r="H7037" i="1"/>
  <c r="G7037" i="1"/>
  <c r="F7037" i="1"/>
  <c r="N7036" i="1"/>
  <c r="H7036" i="1"/>
  <c r="G7036" i="1"/>
  <c r="F7036" i="1"/>
  <c r="N7035" i="1"/>
  <c r="H7035" i="1"/>
  <c r="G7035" i="1"/>
  <c r="F7035" i="1"/>
  <c r="N7034" i="1"/>
  <c r="H7034" i="1"/>
  <c r="G7034" i="1"/>
  <c r="F7034" i="1"/>
  <c r="N7033" i="1"/>
  <c r="H7033" i="1"/>
  <c r="G7033" i="1"/>
  <c r="F7033" i="1"/>
  <c r="N7032" i="1"/>
  <c r="H7032" i="1"/>
  <c r="G7032" i="1"/>
  <c r="F7032" i="1"/>
  <c r="N7031" i="1"/>
  <c r="H7031" i="1"/>
  <c r="G7031" i="1"/>
  <c r="F7031" i="1"/>
  <c r="N7030" i="1"/>
  <c r="H7030" i="1"/>
  <c r="G7030" i="1"/>
  <c r="F7030" i="1"/>
  <c r="N7029" i="1"/>
  <c r="H7029" i="1"/>
  <c r="G7029" i="1"/>
  <c r="F7029" i="1"/>
  <c r="N7028" i="1"/>
  <c r="H7028" i="1"/>
  <c r="G7028" i="1"/>
  <c r="F7028" i="1"/>
  <c r="N7027" i="1"/>
  <c r="H7027" i="1"/>
  <c r="G7027" i="1"/>
  <c r="F7027" i="1"/>
  <c r="N7026" i="1"/>
  <c r="H7026" i="1"/>
  <c r="G7026" i="1"/>
  <c r="F7026" i="1"/>
  <c r="N7025" i="1"/>
  <c r="H7025" i="1"/>
  <c r="G7025" i="1"/>
  <c r="F7025" i="1"/>
  <c r="N7024" i="1"/>
  <c r="H7024" i="1"/>
  <c r="G7024" i="1"/>
  <c r="F7024" i="1"/>
  <c r="N7023" i="1"/>
  <c r="H7023" i="1"/>
  <c r="G7023" i="1"/>
  <c r="F7023" i="1"/>
  <c r="N7022" i="1"/>
  <c r="H7022" i="1"/>
  <c r="G7022" i="1"/>
  <c r="F7022" i="1"/>
  <c r="N7021" i="1"/>
  <c r="H7021" i="1"/>
  <c r="G7021" i="1"/>
  <c r="F7021" i="1"/>
  <c r="N7020" i="1"/>
  <c r="H7020" i="1"/>
  <c r="G7020" i="1"/>
  <c r="F7020" i="1"/>
  <c r="N7019" i="1"/>
  <c r="H7019" i="1"/>
  <c r="G7019" i="1"/>
  <c r="F7019" i="1"/>
  <c r="N7018" i="1"/>
  <c r="H7018" i="1"/>
  <c r="G7018" i="1"/>
  <c r="F7018" i="1"/>
  <c r="N7017" i="1"/>
  <c r="H7017" i="1"/>
  <c r="G7017" i="1"/>
  <c r="F7017" i="1"/>
  <c r="N7016" i="1"/>
  <c r="H7016" i="1"/>
  <c r="G7016" i="1"/>
  <c r="F7016" i="1"/>
  <c r="N7015" i="1"/>
  <c r="H7015" i="1"/>
  <c r="G7015" i="1"/>
  <c r="F7015" i="1"/>
  <c r="N7014" i="1"/>
  <c r="H7014" i="1"/>
  <c r="G7014" i="1"/>
  <c r="F7014" i="1"/>
  <c r="N7013" i="1"/>
  <c r="H7013" i="1"/>
  <c r="G7013" i="1"/>
  <c r="F7013" i="1"/>
  <c r="N7012" i="1"/>
  <c r="H7012" i="1"/>
  <c r="G7012" i="1"/>
  <c r="F7012" i="1"/>
  <c r="N7011" i="1"/>
  <c r="H7011" i="1"/>
  <c r="G7011" i="1"/>
  <c r="F7011" i="1"/>
  <c r="N7010" i="1"/>
  <c r="H7010" i="1"/>
  <c r="G7010" i="1"/>
  <c r="F7010" i="1"/>
  <c r="N7009" i="1"/>
  <c r="H7009" i="1"/>
  <c r="G7009" i="1"/>
  <c r="F7009" i="1"/>
  <c r="N7008" i="1"/>
  <c r="H7008" i="1"/>
  <c r="G7008" i="1"/>
  <c r="F7008" i="1"/>
  <c r="N7007" i="1"/>
  <c r="H7007" i="1"/>
  <c r="G7007" i="1"/>
  <c r="F7007" i="1"/>
  <c r="N7006" i="1"/>
  <c r="H7006" i="1"/>
  <c r="G7006" i="1"/>
  <c r="F7006" i="1"/>
  <c r="N7005" i="1"/>
  <c r="H7005" i="1"/>
  <c r="G7005" i="1"/>
  <c r="F7005" i="1"/>
  <c r="N7004" i="1"/>
  <c r="H7004" i="1"/>
  <c r="G7004" i="1"/>
  <c r="F7004" i="1"/>
  <c r="N7003" i="1"/>
  <c r="H7003" i="1"/>
  <c r="G7003" i="1"/>
  <c r="F7003" i="1"/>
  <c r="N7002" i="1"/>
  <c r="H7002" i="1"/>
  <c r="G7002" i="1"/>
  <c r="F7002" i="1"/>
  <c r="N7001" i="1"/>
  <c r="H7001" i="1"/>
  <c r="G7001" i="1"/>
  <c r="F7001" i="1"/>
  <c r="N7000" i="1"/>
  <c r="H7000" i="1"/>
  <c r="G7000" i="1"/>
  <c r="F7000" i="1"/>
  <c r="N6999" i="1"/>
  <c r="H6999" i="1"/>
  <c r="G6999" i="1"/>
  <c r="F6999" i="1"/>
  <c r="N6998" i="1"/>
  <c r="H6998" i="1"/>
  <c r="G6998" i="1"/>
  <c r="F6998" i="1"/>
  <c r="N6997" i="1"/>
  <c r="H6997" i="1"/>
  <c r="G6997" i="1"/>
  <c r="F6997" i="1"/>
  <c r="N6996" i="1"/>
  <c r="H6996" i="1"/>
  <c r="G6996" i="1"/>
  <c r="F6996" i="1"/>
  <c r="N6995" i="1"/>
  <c r="H6995" i="1"/>
  <c r="G6995" i="1"/>
  <c r="F6995" i="1"/>
  <c r="N6994" i="1"/>
  <c r="H6994" i="1"/>
  <c r="G6994" i="1"/>
  <c r="F6994" i="1"/>
  <c r="N6993" i="1"/>
  <c r="H6993" i="1"/>
  <c r="G6993" i="1"/>
  <c r="F6993" i="1"/>
  <c r="N6992" i="1"/>
  <c r="H6992" i="1"/>
  <c r="G6992" i="1"/>
  <c r="F6992" i="1"/>
  <c r="N6991" i="1"/>
  <c r="H6991" i="1"/>
  <c r="G6991" i="1"/>
  <c r="F6991" i="1"/>
  <c r="N6990" i="1"/>
  <c r="H6990" i="1"/>
  <c r="G6990" i="1"/>
  <c r="F6990" i="1"/>
  <c r="N6989" i="1"/>
  <c r="H6989" i="1"/>
  <c r="G6989" i="1"/>
  <c r="F6989" i="1"/>
  <c r="N6988" i="1"/>
  <c r="H6988" i="1"/>
  <c r="G6988" i="1"/>
  <c r="F6988" i="1"/>
  <c r="N6987" i="1"/>
  <c r="H6987" i="1"/>
  <c r="G6987" i="1"/>
  <c r="F6987" i="1"/>
  <c r="N6986" i="1"/>
  <c r="H6986" i="1"/>
  <c r="G6986" i="1"/>
  <c r="F6986" i="1"/>
  <c r="N6985" i="1"/>
  <c r="H6985" i="1"/>
  <c r="G6985" i="1"/>
  <c r="F6985" i="1"/>
  <c r="N6984" i="1"/>
  <c r="H6984" i="1"/>
  <c r="G6984" i="1"/>
  <c r="F6984" i="1"/>
  <c r="N6983" i="1"/>
  <c r="H6983" i="1"/>
  <c r="G6983" i="1"/>
  <c r="F6983" i="1"/>
  <c r="N6982" i="1"/>
  <c r="H6982" i="1"/>
  <c r="G6982" i="1"/>
  <c r="F6982" i="1"/>
  <c r="N6981" i="1"/>
  <c r="H6981" i="1"/>
  <c r="G6981" i="1"/>
  <c r="F6981" i="1"/>
  <c r="N6980" i="1"/>
  <c r="H6980" i="1"/>
  <c r="G6980" i="1"/>
  <c r="F6980" i="1"/>
  <c r="N6979" i="1"/>
  <c r="H6979" i="1"/>
  <c r="G6979" i="1"/>
  <c r="F6979" i="1"/>
  <c r="N6978" i="1"/>
  <c r="H6978" i="1"/>
  <c r="G6978" i="1"/>
  <c r="F6978" i="1"/>
  <c r="N6977" i="1"/>
  <c r="H6977" i="1"/>
  <c r="G6977" i="1"/>
  <c r="F6977" i="1"/>
  <c r="N6976" i="1"/>
  <c r="H6976" i="1"/>
  <c r="G6976" i="1"/>
  <c r="F6976" i="1"/>
  <c r="N6975" i="1"/>
  <c r="H6975" i="1"/>
  <c r="G6975" i="1"/>
  <c r="F6975" i="1"/>
  <c r="N6974" i="1"/>
  <c r="H6974" i="1"/>
  <c r="G6974" i="1"/>
  <c r="F6974" i="1"/>
  <c r="N6973" i="1"/>
  <c r="H6973" i="1"/>
  <c r="G6973" i="1"/>
  <c r="F6973" i="1"/>
  <c r="N6972" i="1"/>
  <c r="H6972" i="1"/>
  <c r="G6972" i="1"/>
  <c r="F6972" i="1"/>
  <c r="N6971" i="1"/>
  <c r="H6971" i="1"/>
  <c r="G6971" i="1"/>
  <c r="F6971" i="1"/>
  <c r="N6970" i="1"/>
  <c r="H6970" i="1"/>
  <c r="G6970" i="1"/>
  <c r="F6970" i="1"/>
  <c r="N6969" i="1"/>
  <c r="H6969" i="1"/>
  <c r="G6969" i="1"/>
  <c r="F6969" i="1"/>
  <c r="N6968" i="1"/>
  <c r="H6968" i="1"/>
  <c r="G6968" i="1"/>
  <c r="F6968" i="1"/>
  <c r="N6967" i="1"/>
  <c r="H6967" i="1"/>
  <c r="G6967" i="1"/>
  <c r="F6967" i="1"/>
  <c r="N6966" i="1"/>
  <c r="H6966" i="1"/>
  <c r="G6966" i="1"/>
  <c r="F6966" i="1"/>
  <c r="N6965" i="1"/>
  <c r="H6965" i="1"/>
  <c r="G6965" i="1"/>
  <c r="F6965" i="1"/>
  <c r="N6964" i="1"/>
  <c r="H6964" i="1"/>
  <c r="G6964" i="1"/>
  <c r="F6964" i="1"/>
  <c r="N6963" i="1"/>
  <c r="H6963" i="1"/>
  <c r="G6963" i="1"/>
  <c r="F6963" i="1"/>
  <c r="N6962" i="1"/>
  <c r="H6962" i="1"/>
  <c r="G6962" i="1"/>
  <c r="F6962" i="1"/>
  <c r="N6961" i="1"/>
  <c r="H6961" i="1"/>
  <c r="G6961" i="1"/>
  <c r="F6961" i="1"/>
  <c r="N6960" i="1"/>
  <c r="H6960" i="1"/>
  <c r="G6960" i="1"/>
  <c r="F6960" i="1"/>
  <c r="N6959" i="1"/>
  <c r="H6959" i="1"/>
  <c r="G6959" i="1"/>
  <c r="F6959" i="1"/>
  <c r="N6958" i="1"/>
  <c r="H6958" i="1"/>
  <c r="G6958" i="1"/>
  <c r="F6958" i="1"/>
  <c r="N6957" i="1"/>
  <c r="H6957" i="1"/>
  <c r="G6957" i="1"/>
  <c r="F6957" i="1"/>
  <c r="N6956" i="1"/>
  <c r="H6956" i="1"/>
  <c r="G6956" i="1"/>
  <c r="F6956" i="1"/>
  <c r="N6955" i="1"/>
  <c r="H6955" i="1"/>
  <c r="G6955" i="1"/>
  <c r="F6955" i="1"/>
  <c r="N6954" i="1"/>
  <c r="H6954" i="1"/>
  <c r="G6954" i="1"/>
  <c r="F6954" i="1"/>
  <c r="N6953" i="1"/>
  <c r="H6953" i="1"/>
  <c r="G6953" i="1"/>
  <c r="F6953" i="1"/>
  <c r="N6952" i="1"/>
  <c r="H6952" i="1"/>
  <c r="G6952" i="1"/>
  <c r="F6952" i="1"/>
  <c r="N6951" i="1"/>
  <c r="H6951" i="1"/>
  <c r="G6951" i="1"/>
  <c r="F6951" i="1"/>
  <c r="N6950" i="1"/>
  <c r="H6950" i="1"/>
  <c r="G6950" i="1"/>
  <c r="F6950" i="1"/>
  <c r="N6949" i="1"/>
  <c r="H6949" i="1"/>
  <c r="G6949" i="1"/>
  <c r="F6949" i="1"/>
  <c r="N6948" i="1"/>
  <c r="H6948" i="1"/>
  <c r="G6948" i="1"/>
  <c r="F6948" i="1"/>
  <c r="N6947" i="1"/>
  <c r="H6947" i="1"/>
  <c r="G6947" i="1"/>
  <c r="F6947" i="1"/>
  <c r="N6946" i="1"/>
  <c r="H6946" i="1"/>
  <c r="G6946" i="1"/>
  <c r="F6946" i="1"/>
  <c r="N6945" i="1"/>
  <c r="H6945" i="1"/>
  <c r="G6945" i="1"/>
  <c r="F6945" i="1"/>
  <c r="N6944" i="1"/>
  <c r="H6944" i="1"/>
  <c r="G6944" i="1"/>
  <c r="F6944" i="1"/>
  <c r="N6943" i="1"/>
  <c r="H6943" i="1"/>
  <c r="G6943" i="1"/>
  <c r="F6943" i="1"/>
  <c r="N6942" i="1"/>
  <c r="H6942" i="1"/>
  <c r="G6942" i="1"/>
  <c r="F6942" i="1"/>
  <c r="N6941" i="1"/>
  <c r="H6941" i="1"/>
  <c r="G6941" i="1"/>
  <c r="F6941" i="1"/>
  <c r="N6940" i="1"/>
  <c r="H6940" i="1"/>
  <c r="G6940" i="1"/>
  <c r="F6940" i="1"/>
  <c r="N6939" i="1"/>
  <c r="H6939" i="1"/>
  <c r="G6939" i="1"/>
  <c r="F6939" i="1"/>
  <c r="N6938" i="1"/>
  <c r="H6938" i="1"/>
  <c r="G6938" i="1"/>
  <c r="F6938" i="1"/>
  <c r="N6937" i="1"/>
  <c r="H6937" i="1"/>
  <c r="G6937" i="1"/>
  <c r="F6937" i="1"/>
  <c r="N6936" i="1"/>
  <c r="H6936" i="1"/>
  <c r="G6936" i="1"/>
  <c r="F6936" i="1"/>
  <c r="N6935" i="1"/>
  <c r="H6935" i="1"/>
  <c r="G6935" i="1"/>
  <c r="F6935" i="1"/>
  <c r="N6934" i="1"/>
  <c r="H6934" i="1"/>
  <c r="G6934" i="1"/>
  <c r="F6934" i="1"/>
  <c r="N6933" i="1"/>
  <c r="H6933" i="1"/>
  <c r="G6933" i="1"/>
  <c r="F6933" i="1"/>
  <c r="N6932" i="1"/>
  <c r="H6932" i="1"/>
  <c r="G6932" i="1"/>
  <c r="F6932" i="1"/>
  <c r="N6931" i="1"/>
  <c r="H6931" i="1"/>
  <c r="G6931" i="1"/>
  <c r="F6931" i="1"/>
  <c r="N6930" i="1"/>
  <c r="H6930" i="1"/>
  <c r="G6930" i="1"/>
  <c r="F6930" i="1"/>
  <c r="N6929" i="1"/>
  <c r="H6929" i="1"/>
  <c r="G6929" i="1"/>
  <c r="F6929" i="1"/>
  <c r="N6928" i="1"/>
  <c r="H6928" i="1"/>
  <c r="G6928" i="1"/>
  <c r="F6928" i="1"/>
  <c r="N6927" i="1"/>
  <c r="H6927" i="1"/>
  <c r="G6927" i="1"/>
  <c r="F6927" i="1"/>
  <c r="N6926" i="1"/>
  <c r="H6926" i="1"/>
  <c r="G6926" i="1"/>
  <c r="F6926" i="1"/>
  <c r="N6925" i="1"/>
  <c r="H6925" i="1"/>
  <c r="G6925" i="1"/>
  <c r="F6925" i="1"/>
  <c r="N6924" i="1"/>
  <c r="H6924" i="1"/>
  <c r="G6924" i="1"/>
  <c r="F6924" i="1"/>
  <c r="N6923" i="1"/>
  <c r="H6923" i="1"/>
  <c r="G6923" i="1"/>
  <c r="F6923" i="1"/>
  <c r="N6922" i="1"/>
  <c r="H6922" i="1"/>
  <c r="G6922" i="1"/>
  <c r="F6922" i="1"/>
  <c r="N6921" i="1"/>
  <c r="H6921" i="1"/>
  <c r="G6921" i="1"/>
  <c r="F6921" i="1"/>
  <c r="N6920" i="1"/>
  <c r="H6920" i="1"/>
  <c r="G6920" i="1"/>
  <c r="F6920" i="1"/>
  <c r="N6919" i="1"/>
  <c r="H6919" i="1"/>
  <c r="G6919" i="1"/>
  <c r="F6919" i="1"/>
  <c r="N6918" i="1"/>
  <c r="H6918" i="1"/>
  <c r="G6918" i="1"/>
  <c r="F6918" i="1"/>
  <c r="N6917" i="1"/>
  <c r="H6917" i="1"/>
  <c r="G6917" i="1"/>
  <c r="F6917" i="1"/>
  <c r="N6916" i="1"/>
  <c r="H6916" i="1"/>
  <c r="G6916" i="1"/>
  <c r="F6916" i="1"/>
  <c r="N6915" i="1"/>
  <c r="H6915" i="1"/>
  <c r="G6915" i="1"/>
  <c r="F6915" i="1"/>
  <c r="N6914" i="1"/>
  <c r="H6914" i="1"/>
  <c r="G6914" i="1"/>
  <c r="F6914" i="1"/>
  <c r="N6913" i="1"/>
  <c r="H6913" i="1"/>
  <c r="G6913" i="1"/>
  <c r="F6913" i="1"/>
  <c r="N6912" i="1"/>
  <c r="H6912" i="1"/>
  <c r="G6912" i="1"/>
  <c r="F6912" i="1"/>
  <c r="N6911" i="1"/>
  <c r="H6911" i="1"/>
  <c r="G6911" i="1"/>
  <c r="F6911" i="1"/>
  <c r="N6910" i="1"/>
  <c r="H6910" i="1"/>
  <c r="G6910" i="1"/>
  <c r="F6910" i="1"/>
  <c r="N6909" i="1"/>
  <c r="H6909" i="1"/>
  <c r="G6909" i="1"/>
  <c r="F6909" i="1"/>
  <c r="N6908" i="1"/>
  <c r="H6908" i="1"/>
  <c r="G6908" i="1"/>
  <c r="F6908" i="1"/>
  <c r="N6907" i="1"/>
  <c r="H6907" i="1"/>
  <c r="G6907" i="1"/>
  <c r="F6907" i="1"/>
  <c r="N6906" i="1"/>
  <c r="H6906" i="1"/>
  <c r="G6906" i="1"/>
  <c r="F6906" i="1"/>
  <c r="N6905" i="1"/>
  <c r="H6905" i="1"/>
  <c r="G6905" i="1"/>
  <c r="F6905" i="1"/>
  <c r="N6904" i="1"/>
  <c r="H6904" i="1"/>
  <c r="G6904" i="1"/>
  <c r="F6904" i="1"/>
  <c r="N6903" i="1"/>
  <c r="H6903" i="1"/>
  <c r="G6903" i="1"/>
  <c r="F6903" i="1"/>
  <c r="N6902" i="1"/>
  <c r="H6902" i="1"/>
  <c r="G6902" i="1"/>
  <c r="F6902" i="1"/>
  <c r="N6901" i="1"/>
  <c r="H6901" i="1"/>
  <c r="G6901" i="1"/>
  <c r="F6901" i="1"/>
  <c r="N6900" i="1"/>
  <c r="H6900" i="1"/>
  <c r="G6900" i="1"/>
  <c r="F6900" i="1"/>
  <c r="N6899" i="1"/>
  <c r="H6899" i="1"/>
  <c r="G6899" i="1"/>
  <c r="F6899" i="1"/>
  <c r="N6898" i="1"/>
  <c r="H6898" i="1"/>
  <c r="G6898" i="1"/>
  <c r="F6898" i="1"/>
  <c r="N6897" i="1"/>
  <c r="H6897" i="1"/>
  <c r="G6897" i="1"/>
  <c r="F6897" i="1"/>
  <c r="N6896" i="1"/>
  <c r="H6896" i="1"/>
  <c r="G6896" i="1"/>
  <c r="F6896" i="1"/>
  <c r="N6895" i="1"/>
  <c r="H6895" i="1"/>
  <c r="G6895" i="1"/>
  <c r="F6895" i="1"/>
  <c r="N6894" i="1"/>
  <c r="H6894" i="1"/>
  <c r="G6894" i="1"/>
  <c r="F6894" i="1"/>
  <c r="N6893" i="1"/>
  <c r="H6893" i="1"/>
  <c r="G6893" i="1"/>
  <c r="F6893" i="1"/>
  <c r="N6892" i="1"/>
  <c r="H6892" i="1"/>
  <c r="G6892" i="1"/>
  <c r="F6892" i="1"/>
  <c r="N6891" i="1"/>
  <c r="H6891" i="1"/>
  <c r="G6891" i="1"/>
  <c r="F6891" i="1"/>
  <c r="N6890" i="1"/>
  <c r="H6890" i="1"/>
  <c r="G6890" i="1"/>
  <c r="F6890" i="1"/>
  <c r="N6889" i="1"/>
  <c r="H6889" i="1"/>
  <c r="G6889" i="1"/>
  <c r="F6889" i="1"/>
  <c r="N6888" i="1"/>
  <c r="H6888" i="1"/>
  <c r="G6888" i="1"/>
  <c r="F6888" i="1"/>
  <c r="N6887" i="1"/>
  <c r="H6887" i="1"/>
  <c r="G6887" i="1"/>
  <c r="F6887" i="1"/>
  <c r="N6886" i="1"/>
  <c r="H6886" i="1"/>
  <c r="G6886" i="1"/>
  <c r="F6886" i="1"/>
  <c r="N6885" i="1"/>
  <c r="H6885" i="1"/>
  <c r="G6885" i="1"/>
  <c r="F6885" i="1"/>
  <c r="N6884" i="1"/>
  <c r="H6884" i="1"/>
  <c r="G6884" i="1"/>
  <c r="F6884" i="1"/>
  <c r="N6883" i="1"/>
  <c r="H6883" i="1"/>
  <c r="G6883" i="1"/>
  <c r="F6883" i="1"/>
  <c r="N6882" i="1"/>
  <c r="H6882" i="1"/>
  <c r="G6882" i="1"/>
  <c r="F6882" i="1"/>
  <c r="N6881" i="1"/>
  <c r="H6881" i="1"/>
  <c r="G6881" i="1"/>
  <c r="F6881" i="1"/>
  <c r="N6880" i="1"/>
  <c r="H6880" i="1"/>
  <c r="G6880" i="1"/>
  <c r="F6880" i="1"/>
  <c r="N6879" i="1"/>
  <c r="H6879" i="1"/>
  <c r="G6879" i="1"/>
  <c r="F6879" i="1"/>
  <c r="N6878" i="1"/>
  <c r="H6878" i="1"/>
  <c r="G6878" i="1"/>
  <c r="F6878" i="1"/>
  <c r="N6877" i="1"/>
  <c r="H6877" i="1"/>
  <c r="G6877" i="1"/>
  <c r="F6877" i="1"/>
  <c r="N6876" i="1"/>
  <c r="H6876" i="1"/>
  <c r="G6876" i="1"/>
  <c r="F6876" i="1"/>
  <c r="N6875" i="1"/>
  <c r="H6875" i="1"/>
  <c r="G6875" i="1"/>
  <c r="F6875" i="1"/>
  <c r="N6874" i="1"/>
  <c r="H6874" i="1"/>
  <c r="G6874" i="1"/>
  <c r="F6874" i="1"/>
  <c r="N6873" i="1"/>
  <c r="H6873" i="1"/>
  <c r="G6873" i="1"/>
  <c r="F6873" i="1"/>
  <c r="N6872" i="1"/>
  <c r="H6872" i="1"/>
  <c r="G6872" i="1"/>
  <c r="F6872" i="1"/>
  <c r="N6871" i="1"/>
  <c r="H6871" i="1"/>
  <c r="G6871" i="1"/>
  <c r="F6871" i="1"/>
  <c r="N6870" i="1"/>
  <c r="H6870" i="1"/>
  <c r="G6870" i="1"/>
  <c r="F6870" i="1"/>
  <c r="N6869" i="1"/>
  <c r="H6869" i="1"/>
  <c r="G6869" i="1"/>
  <c r="F6869" i="1"/>
  <c r="N6868" i="1"/>
  <c r="H6868" i="1"/>
  <c r="G6868" i="1"/>
  <c r="F6868" i="1"/>
  <c r="N6867" i="1"/>
  <c r="H6867" i="1"/>
  <c r="G6867" i="1"/>
  <c r="F6867" i="1"/>
  <c r="N6866" i="1"/>
  <c r="H6866" i="1"/>
  <c r="G6866" i="1"/>
  <c r="F6866" i="1"/>
  <c r="N6865" i="1"/>
  <c r="H6865" i="1"/>
  <c r="G6865" i="1"/>
  <c r="F6865" i="1"/>
  <c r="N6864" i="1"/>
  <c r="H6864" i="1"/>
  <c r="G6864" i="1"/>
  <c r="F6864" i="1"/>
  <c r="N6863" i="1"/>
  <c r="H6863" i="1"/>
  <c r="G6863" i="1"/>
  <c r="F6863" i="1"/>
  <c r="N6862" i="1"/>
  <c r="H6862" i="1"/>
  <c r="G6862" i="1"/>
  <c r="F6862" i="1"/>
  <c r="N6861" i="1"/>
  <c r="H6861" i="1"/>
  <c r="G6861" i="1"/>
  <c r="F6861" i="1"/>
  <c r="N6860" i="1"/>
  <c r="H6860" i="1"/>
  <c r="G6860" i="1"/>
  <c r="F6860" i="1"/>
  <c r="N6859" i="1"/>
  <c r="H6859" i="1"/>
  <c r="G6859" i="1"/>
  <c r="F6859" i="1"/>
  <c r="N6858" i="1"/>
  <c r="H6858" i="1"/>
  <c r="G6858" i="1"/>
  <c r="F6858" i="1"/>
  <c r="N6857" i="1"/>
  <c r="H6857" i="1"/>
  <c r="G6857" i="1"/>
  <c r="F6857" i="1"/>
  <c r="N6856" i="1"/>
  <c r="H6856" i="1"/>
  <c r="G6856" i="1"/>
  <c r="F6856" i="1"/>
  <c r="N6855" i="1"/>
  <c r="H6855" i="1"/>
  <c r="G6855" i="1"/>
  <c r="F6855" i="1"/>
  <c r="N6854" i="1"/>
  <c r="H6854" i="1"/>
  <c r="G6854" i="1"/>
  <c r="F6854" i="1"/>
  <c r="N6853" i="1"/>
  <c r="H6853" i="1"/>
  <c r="G6853" i="1"/>
  <c r="F6853" i="1"/>
  <c r="N6852" i="1"/>
  <c r="H6852" i="1"/>
  <c r="G6852" i="1"/>
  <c r="F6852" i="1"/>
  <c r="N6851" i="1"/>
  <c r="H6851" i="1"/>
  <c r="G6851" i="1"/>
  <c r="F6851" i="1"/>
  <c r="N6850" i="1"/>
  <c r="H6850" i="1"/>
  <c r="G6850" i="1"/>
  <c r="F6850" i="1"/>
  <c r="N6849" i="1"/>
  <c r="H6849" i="1"/>
  <c r="G6849" i="1"/>
  <c r="F6849" i="1"/>
  <c r="N6848" i="1"/>
  <c r="H6848" i="1"/>
  <c r="G6848" i="1"/>
  <c r="F6848" i="1"/>
  <c r="N6847" i="1"/>
  <c r="H6847" i="1"/>
  <c r="G6847" i="1"/>
  <c r="F6847" i="1"/>
  <c r="N6846" i="1"/>
  <c r="H6846" i="1"/>
  <c r="G6846" i="1"/>
  <c r="F6846" i="1"/>
  <c r="N6845" i="1"/>
  <c r="H6845" i="1"/>
  <c r="G6845" i="1"/>
  <c r="F6845" i="1"/>
  <c r="N6844" i="1"/>
  <c r="H6844" i="1"/>
  <c r="G6844" i="1"/>
  <c r="F6844" i="1"/>
  <c r="N6843" i="1"/>
  <c r="H6843" i="1"/>
  <c r="G6843" i="1"/>
  <c r="F6843" i="1"/>
  <c r="N6842" i="1"/>
  <c r="H6842" i="1"/>
  <c r="G6842" i="1"/>
  <c r="F6842" i="1"/>
  <c r="N6841" i="1"/>
  <c r="H6841" i="1"/>
  <c r="G6841" i="1"/>
  <c r="F6841" i="1"/>
  <c r="N6840" i="1"/>
  <c r="H6840" i="1"/>
  <c r="G6840" i="1"/>
  <c r="F6840" i="1"/>
  <c r="N6839" i="1"/>
  <c r="H6839" i="1"/>
  <c r="G6839" i="1"/>
  <c r="F6839" i="1"/>
  <c r="N6838" i="1"/>
  <c r="H6838" i="1"/>
  <c r="G6838" i="1"/>
  <c r="F6838" i="1"/>
  <c r="N6837" i="1"/>
  <c r="H6837" i="1"/>
  <c r="G6837" i="1"/>
  <c r="F6837" i="1"/>
  <c r="N6836" i="1"/>
  <c r="H6836" i="1"/>
  <c r="G6836" i="1"/>
  <c r="F6836" i="1"/>
  <c r="N6835" i="1"/>
  <c r="H6835" i="1"/>
  <c r="G6835" i="1"/>
  <c r="F6835" i="1"/>
  <c r="N6834" i="1"/>
  <c r="H6834" i="1"/>
  <c r="G6834" i="1"/>
  <c r="F6834" i="1"/>
  <c r="N6833" i="1"/>
  <c r="H6833" i="1"/>
  <c r="G6833" i="1"/>
  <c r="F6833" i="1"/>
  <c r="N6832" i="1"/>
  <c r="H6832" i="1"/>
  <c r="G6832" i="1"/>
  <c r="F6832" i="1"/>
  <c r="N6831" i="1"/>
  <c r="H6831" i="1"/>
  <c r="G6831" i="1"/>
  <c r="F6831" i="1"/>
  <c r="N6830" i="1"/>
  <c r="H6830" i="1"/>
  <c r="G6830" i="1"/>
  <c r="F6830" i="1"/>
  <c r="N6829" i="1"/>
  <c r="H6829" i="1"/>
  <c r="G6829" i="1"/>
  <c r="F6829" i="1"/>
  <c r="N6828" i="1"/>
  <c r="H6828" i="1"/>
  <c r="G6828" i="1"/>
  <c r="F6828" i="1"/>
  <c r="N6827" i="1"/>
  <c r="H6827" i="1"/>
  <c r="G6827" i="1"/>
  <c r="F6827" i="1"/>
  <c r="N6826" i="1"/>
  <c r="H6826" i="1"/>
  <c r="G6826" i="1"/>
  <c r="F6826" i="1"/>
  <c r="N6825" i="1"/>
  <c r="H6825" i="1"/>
  <c r="G6825" i="1"/>
  <c r="F6825" i="1"/>
  <c r="N6824" i="1"/>
  <c r="H6824" i="1"/>
  <c r="G6824" i="1"/>
  <c r="F6824" i="1"/>
  <c r="N6823" i="1"/>
  <c r="H6823" i="1"/>
  <c r="G6823" i="1"/>
  <c r="F6823" i="1"/>
  <c r="N6822" i="1"/>
  <c r="H6822" i="1"/>
  <c r="G6822" i="1"/>
  <c r="F6822" i="1"/>
  <c r="N6821" i="1"/>
  <c r="H6821" i="1"/>
  <c r="G6821" i="1"/>
  <c r="F6821" i="1"/>
  <c r="N6820" i="1"/>
  <c r="H6820" i="1"/>
  <c r="G6820" i="1"/>
  <c r="F6820" i="1"/>
  <c r="N6819" i="1"/>
  <c r="H6819" i="1"/>
  <c r="G6819" i="1"/>
  <c r="F6819" i="1"/>
  <c r="N6818" i="1"/>
  <c r="H6818" i="1"/>
  <c r="G6818" i="1"/>
  <c r="F6818" i="1"/>
  <c r="N6817" i="1"/>
  <c r="H6817" i="1"/>
  <c r="G6817" i="1"/>
  <c r="F6817" i="1"/>
  <c r="N6816" i="1"/>
  <c r="H6816" i="1"/>
  <c r="G6816" i="1"/>
  <c r="F6816" i="1"/>
  <c r="N6815" i="1"/>
  <c r="H6815" i="1"/>
  <c r="G6815" i="1"/>
  <c r="F6815" i="1"/>
  <c r="N6814" i="1"/>
  <c r="H6814" i="1"/>
  <c r="G6814" i="1"/>
  <c r="F6814" i="1"/>
  <c r="N6813" i="1"/>
  <c r="H6813" i="1"/>
  <c r="G6813" i="1"/>
  <c r="F6813" i="1"/>
  <c r="N6812" i="1"/>
  <c r="H6812" i="1"/>
  <c r="G6812" i="1"/>
  <c r="F6812" i="1"/>
  <c r="N6811" i="1"/>
  <c r="H6811" i="1"/>
  <c r="G6811" i="1"/>
  <c r="F6811" i="1"/>
  <c r="N6810" i="1"/>
  <c r="H6810" i="1"/>
  <c r="G6810" i="1"/>
  <c r="F6810" i="1"/>
  <c r="N6809" i="1"/>
  <c r="H6809" i="1"/>
  <c r="G6809" i="1"/>
  <c r="F6809" i="1"/>
  <c r="N6808" i="1"/>
  <c r="H6808" i="1"/>
  <c r="G6808" i="1"/>
  <c r="F6808" i="1"/>
  <c r="N6807" i="1"/>
  <c r="H6807" i="1"/>
  <c r="G6807" i="1"/>
  <c r="F6807" i="1"/>
  <c r="N6806" i="1"/>
  <c r="H6806" i="1"/>
  <c r="G6806" i="1"/>
  <c r="F6806" i="1"/>
  <c r="N6805" i="1"/>
  <c r="H6805" i="1"/>
  <c r="G6805" i="1"/>
  <c r="F6805" i="1"/>
  <c r="N6804" i="1"/>
  <c r="H6804" i="1"/>
  <c r="G6804" i="1"/>
  <c r="F6804" i="1"/>
  <c r="N6803" i="1"/>
  <c r="H6803" i="1"/>
  <c r="G6803" i="1"/>
  <c r="F6803" i="1"/>
  <c r="N6802" i="1"/>
  <c r="H6802" i="1"/>
  <c r="G6802" i="1"/>
  <c r="F6802" i="1"/>
  <c r="N6801" i="1"/>
  <c r="H6801" i="1"/>
  <c r="G6801" i="1"/>
  <c r="F6801" i="1"/>
  <c r="N6800" i="1"/>
  <c r="H6800" i="1"/>
  <c r="G6800" i="1"/>
  <c r="F6800" i="1"/>
  <c r="N6799" i="1"/>
  <c r="H6799" i="1"/>
  <c r="G6799" i="1"/>
  <c r="F6799" i="1"/>
  <c r="N6798" i="1"/>
  <c r="H6798" i="1"/>
  <c r="G6798" i="1"/>
  <c r="F6798" i="1"/>
  <c r="N6797" i="1"/>
  <c r="H6797" i="1"/>
  <c r="G6797" i="1"/>
  <c r="F6797" i="1"/>
  <c r="N6796" i="1"/>
  <c r="H6796" i="1"/>
  <c r="G6796" i="1"/>
  <c r="F6796" i="1"/>
  <c r="N6795" i="1"/>
  <c r="H6795" i="1"/>
  <c r="G6795" i="1"/>
  <c r="F6795" i="1"/>
  <c r="N6794" i="1"/>
  <c r="H6794" i="1"/>
  <c r="G6794" i="1"/>
  <c r="F6794" i="1"/>
  <c r="N6793" i="1"/>
  <c r="H6793" i="1"/>
  <c r="G6793" i="1"/>
  <c r="F6793" i="1"/>
  <c r="N6792" i="1"/>
  <c r="H6792" i="1"/>
  <c r="G6792" i="1"/>
  <c r="F6792" i="1"/>
  <c r="N6791" i="1"/>
  <c r="H6791" i="1"/>
  <c r="G6791" i="1"/>
  <c r="F6791" i="1"/>
  <c r="N6790" i="1"/>
  <c r="H6790" i="1"/>
  <c r="G6790" i="1"/>
  <c r="F6790" i="1"/>
  <c r="N6789" i="1"/>
  <c r="H6789" i="1"/>
  <c r="G6789" i="1"/>
  <c r="F6789" i="1"/>
  <c r="N6788" i="1"/>
  <c r="H6788" i="1"/>
  <c r="G6788" i="1"/>
  <c r="F6788" i="1"/>
  <c r="N6787" i="1"/>
  <c r="H6787" i="1"/>
  <c r="G6787" i="1"/>
  <c r="F6787" i="1"/>
  <c r="N6786" i="1"/>
  <c r="H6786" i="1"/>
  <c r="G6786" i="1"/>
  <c r="F6786" i="1"/>
  <c r="N6785" i="1"/>
  <c r="H6785" i="1"/>
  <c r="G6785" i="1"/>
  <c r="F6785" i="1"/>
  <c r="N6784" i="1"/>
  <c r="H6784" i="1"/>
  <c r="G6784" i="1"/>
  <c r="F6784" i="1"/>
  <c r="N6783" i="1"/>
  <c r="H6783" i="1"/>
  <c r="G6783" i="1"/>
  <c r="F6783" i="1"/>
  <c r="N6782" i="1"/>
  <c r="H6782" i="1"/>
  <c r="G6782" i="1"/>
  <c r="F6782" i="1"/>
  <c r="N6781" i="1"/>
  <c r="H6781" i="1"/>
  <c r="G6781" i="1"/>
  <c r="F6781" i="1"/>
  <c r="N6780" i="1"/>
  <c r="H6780" i="1"/>
  <c r="G6780" i="1"/>
  <c r="F6780" i="1"/>
  <c r="N6779" i="1"/>
  <c r="H6779" i="1"/>
  <c r="G6779" i="1"/>
  <c r="F6779" i="1"/>
  <c r="N6778" i="1"/>
  <c r="H6778" i="1"/>
  <c r="G6778" i="1"/>
  <c r="F6778" i="1"/>
  <c r="N6777" i="1"/>
  <c r="H6777" i="1"/>
  <c r="G6777" i="1"/>
  <c r="F6777" i="1"/>
  <c r="N6776" i="1"/>
  <c r="H6776" i="1"/>
  <c r="G6776" i="1"/>
  <c r="F6776" i="1"/>
  <c r="N6775" i="1"/>
  <c r="H6775" i="1"/>
  <c r="G6775" i="1"/>
  <c r="F6775" i="1"/>
  <c r="N6774" i="1"/>
  <c r="H6774" i="1"/>
  <c r="G6774" i="1"/>
  <c r="F6774" i="1"/>
  <c r="N6773" i="1"/>
  <c r="H6773" i="1"/>
  <c r="G6773" i="1"/>
  <c r="F6773" i="1"/>
  <c r="N6772" i="1"/>
  <c r="H6772" i="1"/>
  <c r="G6772" i="1"/>
  <c r="F6772" i="1"/>
  <c r="N6771" i="1"/>
  <c r="H6771" i="1"/>
  <c r="G6771" i="1"/>
  <c r="F6771" i="1"/>
  <c r="N6770" i="1"/>
  <c r="H6770" i="1"/>
  <c r="G6770" i="1"/>
  <c r="F6770" i="1"/>
  <c r="N6769" i="1"/>
  <c r="H6769" i="1"/>
  <c r="G6769" i="1"/>
  <c r="F6769" i="1"/>
  <c r="N6768" i="1"/>
  <c r="H6768" i="1"/>
  <c r="G6768" i="1"/>
  <c r="F6768" i="1"/>
  <c r="N6767" i="1"/>
  <c r="H6767" i="1"/>
  <c r="G6767" i="1"/>
  <c r="F6767" i="1"/>
  <c r="N6766" i="1"/>
  <c r="H6766" i="1"/>
  <c r="G6766" i="1"/>
  <c r="F6766" i="1"/>
  <c r="N6765" i="1"/>
  <c r="H6765" i="1"/>
  <c r="G6765" i="1"/>
  <c r="F6765" i="1"/>
  <c r="N6764" i="1"/>
  <c r="H6764" i="1"/>
  <c r="G6764" i="1"/>
  <c r="F6764" i="1"/>
  <c r="N6763" i="1"/>
  <c r="H6763" i="1"/>
  <c r="G6763" i="1"/>
  <c r="F6763" i="1"/>
  <c r="N6762" i="1"/>
  <c r="H6762" i="1"/>
  <c r="G6762" i="1"/>
  <c r="F6762" i="1"/>
  <c r="N6761" i="1"/>
  <c r="H6761" i="1"/>
  <c r="G6761" i="1"/>
  <c r="F6761" i="1"/>
  <c r="N6760" i="1"/>
  <c r="H6760" i="1"/>
  <c r="G6760" i="1"/>
  <c r="F6760" i="1"/>
  <c r="N6759" i="1"/>
  <c r="H6759" i="1"/>
  <c r="G6759" i="1"/>
  <c r="F6759" i="1"/>
  <c r="N6758" i="1"/>
  <c r="H6758" i="1"/>
  <c r="G6758" i="1"/>
  <c r="F6758" i="1"/>
  <c r="N6757" i="1"/>
  <c r="H6757" i="1"/>
  <c r="G6757" i="1"/>
  <c r="F6757" i="1"/>
  <c r="N6756" i="1"/>
  <c r="H6756" i="1"/>
  <c r="G6756" i="1"/>
  <c r="F6756" i="1"/>
  <c r="N6755" i="1"/>
  <c r="H6755" i="1"/>
  <c r="G6755" i="1"/>
  <c r="F6755" i="1"/>
  <c r="N6754" i="1"/>
  <c r="H6754" i="1"/>
  <c r="G6754" i="1"/>
  <c r="F6754" i="1"/>
  <c r="N6753" i="1"/>
  <c r="H6753" i="1"/>
  <c r="G6753" i="1"/>
  <c r="F6753" i="1"/>
  <c r="N6752" i="1"/>
  <c r="H6752" i="1"/>
  <c r="G6752" i="1"/>
  <c r="F6752" i="1"/>
  <c r="N6751" i="1"/>
  <c r="H6751" i="1"/>
  <c r="G6751" i="1"/>
  <c r="F6751" i="1"/>
  <c r="N6750" i="1"/>
  <c r="H6750" i="1"/>
  <c r="G6750" i="1"/>
  <c r="F6750" i="1"/>
  <c r="N6749" i="1"/>
  <c r="H6749" i="1"/>
  <c r="G6749" i="1"/>
  <c r="F6749" i="1"/>
  <c r="N6748" i="1"/>
  <c r="H6748" i="1"/>
  <c r="G6748" i="1"/>
  <c r="F6748" i="1"/>
  <c r="N6747" i="1"/>
  <c r="H6747" i="1"/>
  <c r="G6747" i="1"/>
  <c r="F6747" i="1"/>
  <c r="N6746" i="1"/>
  <c r="H6746" i="1"/>
  <c r="G6746" i="1"/>
  <c r="F6746" i="1"/>
  <c r="N6745" i="1"/>
  <c r="H6745" i="1"/>
  <c r="G6745" i="1"/>
  <c r="F6745" i="1"/>
  <c r="N6744" i="1"/>
  <c r="H6744" i="1"/>
  <c r="G6744" i="1"/>
  <c r="F6744" i="1"/>
  <c r="N6743" i="1"/>
  <c r="H6743" i="1"/>
  <c r="G6743" i="1"/>
  <c r="F6743" i="1"/>
  <c r="N6742" i="1"/>
  <c r="H6742" i="1"/>
  <c r="G6742" i="1"/>
  <c r="F6742" i="1"/>
  <c r="N6741" i="1"/>
  <c r="H6741" i="1"/>
  <c r="G6741" i="1"/>
  <c r="F6741" i="1"/>
  <c r="N6740" i="1"/>
  <c r="H6740" i="1"/>
  <c r="G6740" i="1"/>
  <c r="F6740" i="1"/>
  <c r="N6739" i="1"/>
  <c r="H6739" i="1"/>
  <c r="G6739" i="1"/>
  <c r="F6739" i="1"/>
  <c r="N6738" i="1"/>
  <c r="H6738" i="1"/>
  <c r="G6738" i="1"/>
  <c r="F6738" i="1"/>
  <c r="N6737" i="1"/>
  <c r="H6737" i="1"/>
  <c r="G6737" i="1"/>
  <c r="F6737" i="1"/>
  <c r="N6736" i="1"/>
  <c r="H6736" i="1"/>
  <c r="G6736" i="1"/>
  <c r="F6736" i="1"/>
  <c r="N6735" i="1"/>
  <c r="H6735" i="1"/>
  <c r="G6735" i="1"/>
  <c r="F6735" i="1"/>
  <c r="N6734" i="1"/>
  <c r="H6734" i="1"/>
  <c r="G6734" i="1"/>
  <c r="F6734" i="1"/>
  <c r="N6733" i="1"/>
  <c r="H6733" i="1"/>
  <c r="G6733" i="1"/>
  <c r="F6733" i="1"/>
  <c r="N6732" i="1"/>
  <c r="H6732" i="1"/>
  <c r="G6732" i="1"/>
  <c r="F6732" i="1"/>
  <c r="N6731" i="1"/>
  <c r="H6731" i="1"/>
  <c r="G6731" i="1"/>
  <c r="F6731" i="1"/>
  <c r="N6730" i="1"/>
  <c r="H6730" i="1"/>
  <c r="G6730" i="1"/>
  <c r="F6730" i="1"/>
  <c r="N6729" i="1"/>
  <c r="H6729" i="1"/>
  <c r="G6729" i="1"/>
  <c r="F6729" i="1"/>
  <c r="N6728" i="1"/>
  <c r="H6728" i="1"/>
  <c r="G6728" i="1"/>
  <c r="F6728" i="1"/>
  <c r="N6727" i="1"/>
  <c r="H6727" i="1"/>
  <c r="G6727" i="1"/>
  <c r="F6727" i="1"/>
  <c r="N6726" i="1"/>
  <c r="H6726" i="1"/>
  <c r="G6726" i="1"/>
  <c r="F6726" i="1"/>
  <c r="N6725" i="1"/>
  <c r="H6725" i="1"/>
  <c r="G6725" i="1"/>
  <c r="F6725" i="1"/>
  <c r="N6724" i="1"/>
  <c r="H6724" i="1"/>
  <c r="G6724" i="1"/>
  <c r="F6724" i="1"/>
  <c r="N6723" i="1"/>
  <c r="H6723" i="1"/>
  <c r="G6723" i="1"/>
  <c r="F6723" i="1"/>
  <c r="N6722" i="1"/>
  <c r="H6722" i="1"/>
  <c r="G6722" i="1"/>
  <c r="F6722" i="1"/>
  <c r="N6721" i="1"/>
  <c r="H6721" i="1"/>
  <c r="G6721" i="1"/>
  <c r="F6721" i="1"/>
  <c r="N6720" i="1"/>
  <c r="H6720" i="1"/>
  <c r="G6720" i="1"/>
  <c r="F6720" i="1"/>
  <c r="N6719" i="1"/>
  <c r="H6719" i="1"/>
  <c r="G6719" i="1"/>
  <c r="F6719" i="1"/>
  <c r="N6718" i="1"/>
  <c r="H6718" i="1"/>
  <c r="G6718" i="1"/>
  <c r="F6718" i="1"/>
  <c r="N6717" i="1"/>
  <c r="H6717" i="1"/>
  <c r="G6717" i="1"/>
  <c r="F6717" i="1"/>
  <c r="N6716" i="1"/>
  <c r="H6716" i="1"/>
  <c r="G6716" i="1"/>
  <c r="F6716" i="1"/>
  <c r="N6715" i="1"/>
  <c r="H6715" i="1"/>
  <c r="G6715" i="1"/>
  <c r="F6715" i="1"/>
  <c r="N6714" i="1"/>
  <c r="H6714" i="1"/>
  <c r="G6714" i="1"/>
  <c r="F6714" i="1"/>
  <c r="N6713" i="1"/>
  <c r="H6713" i="1"/>
  <c r="G6713" i="1"/>
  <c r="F6713" i="1"/>
  <c r="N6712" i="1"/>
  <c r="H6712" i="1"/>
  <c r="G6712" i="1"/>
  <c r="F6712" i="1"/>
  <c r="N6711" i="1"/>
  <c r="H6711" i="1"/>
  <c r="G6711" i="1"/>
  <c r="F6711" i="1"/>
  <c r="N6710" i="1"/>
  <c r="H6710" i="1"/>
  <c r="G6710" i="1"/>
  <c r="F6710" i="1"/>
  <c r="N6709" i="1"/>
  <c r="H6709" i="1"/>
  <c r="G6709" i="1"/>
  <c r="F6709" i="1"/>
  <c r="N6708" i="1"/>
  <c r="H6708" i="1"/>
  <c r="G6708" i="1"/>
  <c r="F6708" i="1"/>
  <c r="N6707" i="1"/>
  <c r="H6707" i="1"/>
  <c r="G6707" i="1"/>
  <c r="F6707" i="1"/>
  <c r="N6706" i="1"/>
  <c r="H6706" i="1"/>
  <c r="G6706" i="1"/>
  <c r="F6706" i="1"/>
  <c r="N6705" i="1"/>
  <c r="H6705" i="1"/>
  <c r="G6705" i="1"/>
  <c r="F6705" i="1"/>
  <c r="N6704" i="1"/>
  <c r="H6704" i="1"/>
  <c r="G6704" i="1"/>
  <c r="F6704" i="1"/>
  <c r="N6703" i="1"/>
  <c r="H6703" i="1"/>
  <c r="G6703" i="1"/>
  <c r="F6703" i="1"/>
  <c r="N6702" i="1"/>
  <c r="H6702" i="1"/>
  <c r="G6702" i="1"/>
  <c r="F6702" i="1"/>
  <c r="N6701" i="1"/>
  <c r="H6701" i="1"/>
  <c r="G6701" i="1"/>
  <c r="F6701" i="1"/>
  <c r="N6700" i="1"/>
  <c r="H6700" i="1"/>
  <c r="G6700" i="1"/>
  <c r="F6700" i="1"/>
  <c r="N6699" i="1"/>
  <c r="H6699" i="1"/>
  <c r="G6699" i="1"/>
  <c r="F6699" i="1"/>
  <c r="N6698" i="1"/>
  <c r="H6698" i="1"/>
  <c r="G6698" i="1"/>
  <c r="F6698" i="1"/>
  <c r="N6697" i="1"/>
  <c r="H6697" i="1"/>
  <c r="G6697" i="1"/>
  <c r="F6697" i="1"/>
  <c r="N6696" i="1"/>
  <c r="H6696" i="1"/>
  <c r="G6696" i="1"/>
  <c r="F6696" i="1"/>
  <c r="N6695" i="1"/>
  <c r="H6695" i="1"/>
  <c r="G6695" i="1"/>
  <c r="F6695" i="1"/>
  <c r="N6694" i="1"/>
  <c r="H6694" i="1"/>
  <c r="G6694" i="1"/>
  <c r="F6694" i="1"/>
  <c r="N6693" i="1"/>
  <c r="H6693" i="1"/>
  <c r="G6693" i="1"/>
  <c r="F6693" i="1"/>
  <c r="N6692" i="1"/>
  <c r="H6692" i="1"/>
  <c r="G6692" i="1"/>
  <c r="F6692" i="1"/>
  <c r="N6691" i="1"/>
  <c r="H6691" i="1"/>
  <c r="G6691" i="1"/>
  <c r="F6691" i="1"/>
  <c r="N6690" i="1"/>
  <c r="H6690" i="1"/>
  <c r="G6690" i="1"/>
  <c r="F6690" i="1"/>
  <c r="N6689" i="1"/>
  <c r="H6689" i="1"/>
  <c r="G6689" i="1"/>
  <c r="F6689" i="1"/>
  <c r="N6688" i="1"/>
  <c r="H6688" i="1"/>
  <c r="G6688" i="1"/>
  <c r="F6688" i="1"/>
  <c r="N6687" i="1"/>
  <c r="H6687" i="1"/>
  <c r="G6687" i="1"/>
  <c r="F6687" i="1"/>
  <c r="N6686" i="1"/>
  <c r="H6686" i="1"/>
  <c r="G6686" i="1"/>
  <c r="F6686" i="1"/>
  <c r="N6685" i="1"/>
  <c r="H6685" i="1"/>
  <c r="G6685" i="1"/>
  <c r="F6685" i="1"/>
  <c r="N6684" i="1"/>
  <c r="H6684" i="1"/>
  <c r="G6684" i="1"/>
  <c r="F6684" i="1"/>
  <c r="N6683" i="1"/>
  <c r="H6683" i="1"/>
  <c r="G6683" i="1"/>
  <c r="F6683" i="1"/>
  <c r="N6682" i="1"/>
  <c r="H6682" i="1"/>
  <c r="G6682" i="1"/>
  <c r="F6682" i="1"/>
  <c r="N6681" i="1"/>
  <c r="H6681" i="1"/>
  <c r="G6681" i="1"/>
  <c r="F6681" i="1"/>
  <c r="N6680" i="1"/>
  <c r="H6680" i="1"/>
  <c r="G6680" i="1"/>
  <c r="F6680" i="1"/>
  <c r="N6679" i="1"/>
  <c r="H6679" i="1"/>
  <c r="G6679" i="1"/>
  <c r="F6679" i="1"/>
  <c r="N6678" i="1"/>
  <c r="H6678" i="1"/>
  <c r="G6678" i="1"/>
  <c r="F6678" i="1"/>
  <c r="N6677" i="1"/>
  <c r="H6677" i="1"/>
  <c r="G6677" i="1"/>
  <c r="F6677" i="1"/>
  <c r="N6676" i="1"/>
  <c r="H6676" i="1"/>
  <c r="G6676" i="1"/>
  <c r="F6676" i="1"/>
  <c r="N6675" i="1"/>
  <c r="H6675" i="1"/>
  <c r="G6675" i="1"/>
  <c r="F6675" i="1"/>
  <c r="N6674" i="1"/>
  <c r="H6674" i="1"/>
  <c r="G6674" i="1"/>
  <c r="F6674" i="1"/>
  <c r="N6673" i="1"/>
  <c r="H6673" i="1"/>
  <c r="G6673" i="1"/>
  <c r="F6673" i="1"/>
  <c r="N6672" i="1"/>
  <c r="H6672" i="1"/>
  <c r="G6672" i="1"/>
  <c r="F6672" i="1"/>
  <c r="N6671" i="1"/>
  <c r="H6671" i="1"/>
  <c r="G6671" i="1"/>
  <c r="F6671" i="1"/>
  <c r="N6670" i="1"/>
  <c r="H6670" i="1"/>
  <c r="G6670" i="1"/>
  <c r="F6670" i="1"/>
  <c r="N6669" i="1"/>
  <c r="H6669" i="1"/>
  <c r="G6669" i="1"/>
  <c r="F6669" i="1"/>
  <c r="N6668" i="1"/>
  <c r="H6668" i="1"/>
  <c r="G6668" i="1"/>
  <c r="F6668" i="1"/>
  <c r="N6667" i="1"/>
  <c r="H6667" i="1"/>
  <c r="G6667" i="1"/>
  <c r="F6667" i="1"/>
  <c r="N6666" i="1"/>
  <c r="H6666" i="1"/>
  <c r="G6666" i="1"/>
  <c r="F6666" i="1"/>
  <c r="N6665" i="1"/>
  <c r="H6665" i="1"/>
  <c r="G6665" i="1"/>
  <c r="F6665" i="1"/>
  <c r="N6664" i="1"/>
  <c r="H6664" i="1"/>
  <c r="G6664" i="1"/>
  <c r="F6664" i="1"/>
  <c r="N6663" i="1"/>
  <c r="H6663" i="1"/>
  <c r="G6663" i="1"/>
  <c r="F6663" i="1"/>
  <c r="N6662" i="1"/>
  <c r="H6662" i="1"/>
  <c r="G6662" i="1"/>
  <c r="F6662" i="1"/>
  <c r="N6661" i="1"/>
  <c r="H6661" i="1"/>
  <c r="G6661" i="1"/>
  <c r="F6661" i="1"/>
  <c r="N6660" i="1"/>
  <c r="H6660" i="1"/>
  <c r="G6660" i="1"/>
  <c r="F6660" i="1"/>
  <c r="N6659" i="1"/>
  <c r="H6659" i="1"/>
  <c r="G6659" i="1"/>
  <c r="F6659" i="1"/>
  <c r="N6658" i="1"/>
  <c r="H6658" i="1"/>
  <c r="G6658" i="1"/>
  <c r="F6658" i="1"/>
  <c r="N6657" i="1"/>
  <c r="H6657" i="1"/>
  <c r="G6657" i="1"/>
  <c r="F6657" i="1"/>
  <c r="N6656" i="1"/>
  <c r="H6656" i="1"/>
  <c r="G6656" i="1"/>
  <c r="F6656" i="1"/>
  <c r="N6655" i="1"/>
  <c r="H6655" i="1"/>
  <c r="G6655" i="1"/>
  <c r="F6655" i="1"/>
  <c r="N6654" i="1"/>
  <c r="H6654" i="1"/>
  <c r="G6654" i="1"/>
  <c r="F6654" i="1"/>
  <c r="N6653" i="1"/>
  <c r="H6653" i="1"/>
  <c r="G6653" i="1"/>
  <c r="F6653" i="1"/>
  <c r="N6652" i="1"/>
  <c r="H6652" i="1"/>
  <c r="G6652" i="1"/>
  <c r="F6652" i="1"/>
  <c r="N6651" i="1"/>
  <c r="H6651" i="1"/>
  <c r="G6651" i="1"/>
  <c r="F6651" i="1"/>
  <c r="N6650" i="1"/>
  <c r="H6650" i="1"/>
  <c r="G6650" i="1"/>
  <c r="F6650" i="1"/>
  <c r="N6649" i="1"/>
  <c r="H6649" i="1"/>
  <c r="G6649" i="1"/>
  <c r="F6649" i="1"/>
  <c r="N6648" i="1"/>
  <c r="H6648" i="1"/>
  <c r="G6648" i="1"/>
  <c r="F6648" i="1"/>
  <c r="N6647" i="1"/>
  <c r="H6647" i="1"/>
  <c r="G6647" i="1"/>
  <c r="F6647" i="1"/>
  <c r="N6646" i="1"/>
  <c r="H6646" i="1"/>
  <c r="G6646" i="1"/>
  <c r="F6646" i="1"/>
  <c r="N6645" i="1"/>
  <c r="H6645" i="1"/>
  <c r="G6645" i="1"/>
  <c r="F6645" i="1"/>
  <c r="N6644" i="1"/>
  <c r="H6644" i="1"/>
  <c r="G6644" i="1"/>
  <c r="F6644" i="1"/>
  <c r="N6643" i="1"/>
  <c r="H6643" i="1"/>
  <c r="G6643" i="1"/>
  <c r="F6643" i="1"/>
  <c r="N6642" i="1"/>
  <c r="H6642" i="1"/>
  <c r="G6642" i="1"/>
  <c r="F6642" i="1"/>
  <c r="N6641" i="1"/>
  <c r="H6641" i="1"/>
  <c r="G6641" i="1"/>
  <c r="F6641" i="1"/>
  <c r="N6640" i="1"/>
  <c r="H6640" i="1"/>
  <c r="G6640" i="1"/>
  <c r="F6640" i="1"/>
  <c r="N6639" i="1"/>
  <c r="H6639" i="1"/>
  <c r="G6639" i="1"/>
  <c r="F6639" i="1"/>
  <c r="N6638" i="1"/>
  <c r="H6638" i="1"/>
  <c r="G6638" i="1"/>
  <c r="F6638" i="1"/>
  <c r="N6637" i="1"/>
  <c r="H6637" i="1"/>
  <c r="G6637" i="1"/>
  <c r="F6637" i="1"/>
  <c r="N6636" i="1"/>
  <c r="H6636" i="1"/>
  <c r="G6636" i="1"/>
  <c r="F6636" i="1"/>
  <c r="N6635" i="1"/>
  <c r="H6635" i="1"/>
  <c r="G6635" i="1"/>
  <c r="F6635" i="1"/>
  <c r="N6634" i="1"/>
  <c r="H6634" i="1"/>
  <c r="G6634" i="1"/>
  <c r="F6634" i="1"/>
  <c r="N6633" i="1"/>
  <c r="H6633" i="1"/>
  <c r="G6633" i="1"/>
  <c r="F6633" i="1"/>
  <c r="N6632" i="1"/>
  <c r="H6632" i="1"/>
  <c r="G6632" i="1"/>
  <c r="F6632" i="1"/>
  <c r="N6631" i="1"/>
  <c r="H6631" i="1"/>
  <c r="G6631" i="1"/>
  <c r="F6631" i="1"/>
  <c r="N6630" i="1"/>
  <c r="H6630" i="1"/>
  <c r="G6630" i="1"/>
  <c r="F6630" i="1"/>
  <c r="N6629" i="1"/>
  <c r="H6629" i="1"/>
  <c r="G6629" i="1"/>
  <c r="F6629" i="1"/>
  <c r="N6628" i="1"/>
  <c r="H6628" i="1"/>
  <c r="G6628" i="1"/>
  <c r="F6628" i="1"/>
  <c r="N6627" i="1"/>
  <c r="H6627" i="1"/>
  <c r="G6627" i="1"/>
  <c r="F6627" i="1"/>
  <c r="N6626" i="1"/>
  <c r="H6626" i="1"/>
  <c r="G6626" i="1"/>
  <c r="F6626" i="1"/>
  <c r="N6625" i="1"/>
  <c r="H6625" i="1"/>
  <c r="G6625" i="1"/>
  <c r="F6625" i="1"/>
  <c r="N6624" i="1"/>
  <c r="H6624" i="1"/>
  <c r="G6624" i="1"/>
  <c r="F6624" i="1"/>
  <c r="N6623" i="1"/>
  <c r="H6623" i="1"/>
  <c r="G6623" i="1"/>
  <c r="F6623" i="1"/>
  <c r="N6622" i="1"/>
  <c r="H6622" i="1"/>
  <c r="G6622" i="1"/>
  <c r="F6622" i="1"/>
  <c r="N6621" i="1"/>
  <c r="H6621" i="1"/>
  <c r="G6621" i="1"/>
  <c r="F6621" i="1"/>
  <c r="N6620" i="1"/>
  <c r="H6620" i="1"/>
  <c r="G6620" i="1"/>
  <c r="F6620" i="1"/>
  <c r="N6619" i="1"/>
  <c r="H6619" i="1"/>
  <c r="G6619" i="1"/>
  <c r="F6619" i="1"/>
  <c r="N6618" i="1"/>
  <c r="H6618" i="1"/>
  <c r="G6618" i="1"/>
  <c r="F6618" i="1"/>
  <c r="N6617" i="1"/>
  <c r="H6617" i="1"/>
  <c r="G6617" i="1"/>
  <c r="F6617" i="1"/>
  <c r="N6616" i="1"/>
  <c r="H6616" i="1"/>
  <c r="G6616" i="1"/>
  <c r="F6616" i="1"/>
  <c r="N6615" i="1"/>
  <c r="H6615" i="1"/>
  <c r="G6615" i="1"/>
  <c r="F6615" i="1"/>
  <c r="N6614" i="1"/>
  <c r="H6614" i="1"/>
  <c r="G6614" i="1"/>
  <c r="F6614" i="1"/>
  <c r="N6613" i="1"/>
  <c r="H6613" i="1"/>
  <c r="G6613" i="1"/>
  <c r="F6613" i="1"/>
  <c r="N6612" i="1"/>
  <c r="H6612" i="1"/>
  <c r="G6612" i="1"/>
  <c r="F6612" i="1"/>
  <c r="N6611" i="1"/>
  <c r="H6611" i="1"/>
  <c r="G6611" i="1"/>
  <c r="F6611" i="1"/>
  <c r="N6610" i="1"/>
  <c r="H6610" i="1"/>
  <c r="G6610" i="1"/>
  <c r="F6610" i="1"/>
  <c r="N6609" i="1"/>
  <c r="H6609" i="1"/>
  <c r="G6609" i="1"/>
  <c r="F6609" i="1"/>
  <c r="N6608" i="1"/>
  <c r="H6608" i="1"/>
  <c r="G6608" i="1"/>
  <c r="F6608" i="1"/>
  <c r="N6607" i="1"/>
  <c r="H6607" i="1"/>
  <c r="G6607" i="1"/>
  <c r="F6607" i="1"/>
  <c r="N6606" i="1"/>
  <c r="H6606" i="1"/>
  <c r="G6606" i="1"/>
  <c r="F6606" i="1"/>
  <c r="N6605" i="1"/>
  <c r="H6605" i="1"/>
  <c r="G6605" i="1"/>
  <c r="F6605" i="1"/>
  <c r="N6604" i="1"/>
  <c r="H6604" i="1"/>
  <c r="G6604" i="1"/>
  <c r="F6604" i="1"/>
  <c r="N6603" i="1"/>
  <c r="H6603" i="1"/>
  <c r="G6603" i="1"/>
  <c r="F6603" i="1"/>
  <c r="N6602" i="1"/>
  <c r="H6602" i="1"/>
  <c r="G6602" i="1"/>
  <c r="F6602" i="1"/>
  <c r="N6601" i="1"/>
  <c r="H6601" i="1"/>
  <c r="G6601" i="1"/>
  <c r="F6601" i="1"/>
  <c r="N6600" i="1"/>
  <c r="H6600" i="1"/>
  <c r="G6600" i="1"/>
  <c r="F6600" i="1"/>
  <c r="N6599" i="1"/>
  <c r="H6599" i="1"/>
  <c r="G6599" i="1"/>
  <c r="F6599" i="1"/>
  <c r="N6598" i="1"/>
  <c r="H6598" i="1"/>
  <c r="G6598" i="1"/>
  <c r="F6598" i="1"/>
  <c r="N6597" i="1"/>
  <c r="H6597" i="1"/>
  <c r="G6597" i="1"/>
  <c r="F6597" i="1"/>
  <c r="N6596" i="1"/>
  <c r="H6596" i="1"/>
  <c r="G6596" i="1"/>
  <c r="F6596" i="1"/>
  <c r="N6595" i="1"/>
  <c r="H6595" i="1"/>
  <c r="G6595" i="1"/>
  <c r="F6595" i="1"/>
  <c r="N6594" i="1"/>
  <c r="H6594" i="1"/>
  <c r="G6594" i="1"/>
  <c r="F6594" i="1"/>
  <c r="N6593" i="1"/>
  <c r="H6593" i="1"/>
  <c r="G6593" i="1"/>
  <c r="F6593" i="1"/>
  <c r="N6592" i="1"/>
  <c r="H6592" i="1"/>
  <c r="G6592" i="1"/>
  <c r="F6592" i="1"/>
  <c r="N6591" i="1"/>
  <c r="H6591" i="1"/>
  <c r="G6591" i="1"/>
  <c r="F6591" i="1"/>
  <c r="N6590" i="1"/>
  <c r="H6590" i="1"/>
  <c r="G6590" i="1"/>
  <c r="F6590" i="1"/>
  <c r="N6589" i="1"/>
  <c r="H6589" i="1"/>
  <c r="G6589" i="1"/>
  <c r="F6589" i="1"/>
  <c r="N6588" i="1"/>
  <c r="H6588" i="1"/>
  <c r="G6588" i="1"/>
  <c r="F6588" i="1"/>
  <c r="N6587" i="1"/>
  <c r="H6587" i="1"/>
  <c r="G6587" i="1"/>
  <c r="F6587" i="1"/>
  <c r="N6586" i="1"/>
  <c r="H6586" i="1"/>
  <c r="G6586" i="1"/>
  <c r="F6586" i="1"/>
  <c r="N6585" i="1"/>
  <c r="H6585" i="1"/>
  <c r="G6585" i="1"/>
  <c r="F6585" i="1"/>
  <c r="N6584" i="1"/>
  <c r="H6584" i="1"/>
  <c r="G6584" i="1"/>
  <c r="F6584" i="1"/>
  <c r="N6583" i="1"/>
  <c r="H6583" i="1"/>
  <c r="G6583" i="1"/>
  <c r="F6583" i="1"/>
  <c r="N6582" i="1"/>
  <c r="H6582" i="1"/>
  <c r="G6582" i="1"/>
  <c r="F6582" i="1"/>
  <c r="N6581" i="1"/>
  <c r="H6581" i="1"/>
  <c r="G6581" i="1"/>
  <c r="F6581" i="1"/>
  <c r="N6580" i="1"/>
  <c r="H6580" i="1"/>
  <c r="G6580" i="1"/>
  <c r="F6580" i="1"/>
  <c r="N6579" i="1"/>
  <c r="H6579" i="1"/>
  <c r="G6579" i="1"/>
  <c r="F6579" i="1"/>
  <c r="N6578" i="1"/>
  <c r="H6578" i="1"/>
  <c r="G6578" i="1"/>
  <c r="F6578" i="1"/>
  <c r="N6577" i="1"/>
  <c r="H6577" i="1"/>
  <c r="G6577" i="1"/>
  <c r="F6577" i="1"/>
  <c r="N6576" i="1"/>
  <c r="H6576" i="1"/>
  <c r="G6576" i="1"/>
  <c r="F6576" i="1"/>
  <c r="N6575" i="1"/>
  <c r="H6575" i="1"/>
  <c r="G6575" i="1"/>
  <c r="F6575" i="1"/>
  <c r="N6574" i="1"/>
  <c r="H6574" i="1"/>
  <c r="G6574" i="1"/>
  <c r="F6574" i="1"/>
  <c r="N6573" i="1"/>
  <c r="H6573" i="1"/>
  <c r="G6573" i="1"/>
  <c r="F6573" i="1"/>
  <c r="N6572" i="1"/>
  <c r="H6572" i="1"/>
  <c r="G6572" i="1"/>
  <c r="F6572" i="1"/>
  <c r="N6571" i="1"/>
  <c r="H6571" i="1"/>
  <c r="G6571" i="1"/>
  <c r="F6571" i="1"/>
  <c r="N6570" i="1"/>
  <c r="H6570" i="1"/>
  <c r="G6570" i="1"/>
  <c r="F6570" i="1"/>
  <c r="N6569" i="1"/>
  <c r="H6569" i="1"/>
  <c r="G6569" i="1"/>
  <c r="F6569" i="1"/>
  <c r="N6568" i="1"/>
  <c r="H6568" i="1"/>
  <c r="G6568" i="1"/>
  <c r="F6568" i="1"/>
  <c r="N6567" i="1"/>
  <c r="H6567" i="1"/>
  <c r="G6567" i="1"/>
  <c r="F6567" i="1"/>
  <c r="N6566" i="1"/>
  <c r="H6566" i="1"/>
  <c r="G6566" i="1"/>
  <c r="F6566" i="1"/>
  <c r="N6565" i="1"/>
  <c r="H6565" i="1"/>
  <c r="G6565" i="1"/>
  <c r="F6565" i="1"/>
  <c r="N6564" i="1"/>
  <c r="H6564" i="1"/>
  <c r="G6564" i="1"/>
  <c r="F6564" i="1"/>
  <c r="N6563" i="1"/>
  <c r="H6563" i="1"/>
  <c r="G6563" i="1"/>
  <c r="F6563" i="1"/>
  <c r="N6562" i="1"/>
  <c r="H6562" i="1"/>
  <c r="G6562" i="1"/>
  <c r="F6562" i="1"/>
  <c r="N6561" i="1"/>
  <c r="H6561" i="1"/>
  <c r="G6561" i="1"/>
  <c r="F6561" i="1"/>
  <c r="N6560" i="1"/>
  <c r="H6560" i="1"/>
  <c r="G6560" i="1"/>
  <c r="F6560" i="1"/>
  <c r="N6559" i="1"/>
  <c r="H6559" i="1"/>
  <c r="G6559" i="1"/>
  <c r="F6559" i="1"/>
  <c r="N6558" i="1"/>
  <c r="H6558" i="1"/>
  <c r="G6558" i="1"/>
  <c r="F6558" i="1"/>
  <c r="N6557" i="1"/>
  <c r="H6557" i="1"/>
  <c r="G6557" i="1"/>
  <c r="F6557" i="1"/>
  <c r="N6556" i="1"/>
  <c r="H6556" i="1"/>
  <c r="G6556" i="1"/>
  <c r="F6556" i="1"/>
  <c r="N6555" i="1"/>
  <c r="H6555" i="1"/>
  <c r="G6555" i="1"/>
  <c r="F6555" i="1"/>
  <c r="N6554" i="1"/>
  <c r="H6554" i="1"/>
  <c r="G6554" i="1"/>
  <c r="F6554" i="1"/>
  <c r="N6553" i="1"/>
  <c r="H6553" i="1"/>
  <c r="G6553" i="1"/>
  <c r="F6553" i="1"/>
  <c r="N6552" i="1"/>
  <c r="H6552" i="1"/>
  <c r="G6552" i="1"/>
  <c r="F6552" i="1"/>
  <c r="N6551" i="1"/>
  <c r="H6551" i="1"/>
  <c r="G6551" i="1"/>
  <c r="F6551" i="1"/>
  <c r="N6550" i="1"/>
  <c r="H6550" i="1"/>
  <c r="G6550" i="1"/>
  <c r="F6550" i="1"/>
  <c r="N6549" i="1"/>
  <c r="H6549" i="1"/>
  <c r="G6549" i="1"/>
  <c r="F6549" i="1"/>
  <c r="N6548" i="1"/>
  <c r="H6548" i="1"/>
  <c r="G6548" i="1"/>
  <c r="F6548" i="1"/>
  <c r="N6547" i="1"/>
  <c r="H6547" i="1"/>
  <c r="G6547" i="1"/>
  <c r="F6547" i="1"/>
  <c r="N6546" i="1"/>
  <c r="H6546" i="1"/>
  <c r="G6546" i="1"/>
  <c r="F6546" i="1"/>
  <c r="N6545" i="1"/>
  <c r="H6545" i="1"/>
  <c r="G6545" i="1"/>
  <c r="F6545" i="1"/>
  <c r="N6544" i="1"/>
  <c r="H6544" i="1"/>
  <c r="G6544" i="1"/>
  <c r="F6544" i="1"/>
  <c r="N6543" i="1"/>
  <c r="H6543" i="1"/>
  <c r="G6543" i="1"/>
  <c r="F6543" i="1"/>
  <c r="N6542" i="1"/>
  <c r="H6542" i="1"/>
  <c r="G6542" i="1"/>
  <c r="F6542" i="1"/>
  <c r="N6541" i="1"/>
  <c r="H6541" i="1"/>
  <c r="G6541" i="1"/>
  <c r="F6541" i="1"/>
  <c r="N6540" i="1"/>
  <c r="H6540" i="1"/>
  <c r="G6540" i="1"/>
  <c r="F6540" i="1"/>
  <c r="N6539" i="1"/>
  <c r="H6539" i="1"/>
  <c r="G6539" i="1"/>
  <c r="F6539" i="1"/>
  <c r="N6538" i="1"/>
  <c r="H6538" i="1"/>
  <c r="G6538" i="1"/>
  <c r="F6538" i="1"/>
  <c r="N6537" i="1"/>
  <c r="H6537" i="1"/>
  <c r="G6537" i="1"/>
  <c r="F6537" i="1"/>
  <c r="N6536" i="1"/>
  <c r="H6536" i="1"/>
  <c r="G6536" i="1"/>
  <c r="F6536" i="1"/>
  <c r="N6535" i="1"/>
  <c r="H6535" i="1"/>
  <c r="G6535" i="1"/>
  <c r="F6535" i="1"/>
  <c r="N6534" i="1"/>
  <c r="H6534" i="1"/>
  <c r="G6534" i="1"/>
  <c r="F6534" i="1"/>
  <c r="N6533" i="1"/>
  <c r="H6533" i="1"/>
  <c r="G6533" i="1"/>
  <c r="F6533" i="1"/>
  <c r="N6532" i="1"/>
  <c r="H6532" i="1"/>
  <c r="G6532" i="1"/>
  <c r="F6532" i="1"/>
  <c r="N6531" i="1"/>
  <c r="H6531" i="1"/>
  <c r="G6531" i="1"/>
  <c r="F6531" i="1"/>
  <c r="N6530" i="1"/>
  <c r="H6530" i="1"/>
  <c r="G6530" i="1"/>
  <c r="F6530" i="1"/>
  <c r="N6529" i="1"/>
  <c r="H6529" i="1"/>
  <c r="G6529" i="1"/>
  <c r="F6529" i="1"/>
  <c r="N6528" i="1"/>
  <c r="H6528" i="1"/>
  <c r="G6528" i="1"/>
  <c r="F6528" i="1"/>
  <c r="N6527" i="1"/>
  <c r="H6527" i="1"/>
  <c r="G6527" i="1"/>
  <c r="F6527" i="1"/>
  <c r="N6526" i="1"/>
  <c r="H6526" i="1"/>
  <c r="G6526" i="1"/>
  <c r="F6526" i="1"/>
  <c r="N6525" i="1"/>
  <c r="H6525" i="1"/>
  <c r="G6525" i="1"/>
  <c r="F6525" i="1"/>
  <c r="N6524" i="1"/>
  <c r="H6524" i="1"/>
  <c r="G6524" i="1"/>
  <c r="F6524" i="1"/>
  <c r="N6523" i="1"/>
  <c r="H6523" i="1"/>
  <c r="G6523" i="1"/>
  <c r="F6523" i="1"/>
  <c r="N6522" i="1"/>
  <c r="H6522" i="1"/>
  <c r="G6522" i="1"/>
  <c r="F6522" i="1"/>
  <c r="N6521" i="1"/>
  <c r="H6521" i="1"/>
  <c r="G6521" i="1"/>
  <c r="F6521" i="1"/>
  <c r="N6520" i="1"/>
  <c r="H6520" i="1"/>
  <c r="G6520" i="1"/>
  <c r="F6520" i="1"/>
  <c r="N6519" i="1"/>
  <c r="H6519" i="1"/>
  <c r="G6519" i="1"/>
  <c r="F6519" i="1"/>
  <c r="N6518" i="1"/>
  <c r="H6518" i="1"/>
  <c r="G6518" i="1"/>
  <c r="F6518" i="1"/>
  <c r="N6517" i="1"/>
  <c r="H6517" i="1"/>
  <c r="G6517" i="1"/>
  <c r="F6517" i="1"/>
  <c r="N6516" i="1"/>
  <c r="H6516" i="1"/>
  <c r="G6516" i="1"/>
  <c r="F6516" i="1"/>
  <c r="N6515" i="1"/>
  <c r="H6515" i="1"/>
  <c r="G6515" i="1"/>
  <c r="F6515" i="1"/>
  <c r="N6514" i="1"/>
  <c r="H6514" i="1"/>
  <c r="G6514" i="1"/>
  <c r="F6514" i="1"/>
  <c r="N6513" i="1"/>
  <c r="H6513" i="1"/>
  <c r="G6513" i="1"/>
  <c r="F6513" i="1"/>
  <c r="N6512" i="1"/>
  <c r="H6512" i="1"/>
  <c r="G6512" i="1"/>
  <c r="F6512" i="1"/>
  <c r="N6511" i="1"/>
  <c r="H6511" i="1"/>
  <c r="G6511" i="1"/>
  <c r="F6511" i="1"/>
  <c r="N6510" i="1"/>
  <c r="H6510" i="1"/>
  <c r="G6510" i="1"/>
  <c r="F6510" i="1"/>
  <c r="N6509" i="1"/>
  <c r="H6509" i="1"/>
  <c r="G6509" i="1"/>
  <c r="F6509" i="1"/>
  <c r="N6508" i="1"/>
  <c r="H6508" i="1"/>
  <c r="G6508" i="1"/>
  <c r="F6508" i="1"/>
  <c r="N6507" i="1"/>
  <c r="H6507" i="1"/>
  <c r="G6507" i="1"/>
  <c r="F6507" i="1"/>
  <c r="N6506" i="1"/>
  <c r="H6506" i="1"/>
  <c r="G6506" i="1"/>
  <c r="F6506" i="1"/>
  <c r="N6505" i="1"/>
  <c r="H6505" i="1"/>
  <c r="G6505" i="1"/>
  <c r="F6505" i="1"/>
  <c r="N6504" i="1"/>
  <c r="H6504" i="1"/>
  <c r="G6504" i="1"/>
  <c r="F6504" i="1"/>
  <c r="N6503" i="1"/>
  <c r="H6503" i="1"/>
  <c r="G6503" i="1"/>
  <c r="F6503" i="1"/>
  <c r="N6502" i="1"/>
  <c r="H6502" i="1"/>
  <c r="G6502" i="1"/>
  <c r="F6502" i="1"/>
  <c r="N6501" i="1"/>
  <c r="H6501" i="1"/>
  <c r="G6501" i="1"/>
  <c r="F6501" i="1"/>
  <c r="N6500" i="1"/>
  <c r="H6500" i="1"/>
  <c r="G6500" i="1"/>
  <c r="F6500" i="1"/>
  <c r="N6499" i="1"/>
  <c r="H6499" i="1"/>
  <c r="G6499" i="1"/>
  <c r="F6499" i="1"/>
  <c r="N6498" i="1"/>
  <c r="H6498" i="1"/>
  <c r="G6498" i="1"/>
  <c r="F6498" i="1"/>
  <c r="N6497" i="1"/>
  <c r="H6497" i="1"/>
  <c r="G6497" i="1"/>
  <c r="F6497" i="1"/>
  <c r="N6496" i="1"/>
  <c r="H6496" i="1"/>
  <c r="G6496" i="1"/>
  <c r="F6496" i="1"/>
  <c r="N6495" i="1"/>
  <c r="H6495" i="1"/>
  <c r="G6495" i="1"/>
  <c r="F6495" i="1"/>
  <c r="N6494" i="1"/>
  <c r="H6494" i="1"/>
  <c r="G6494" i="1"/>
  <c r="F6494" i="1"/>
  <c r="N6493" i="1"/>
  <c r="H6493" i="1"/>
  <c r="G6493" i="1"/>
  <c r="F6493" i="1"/>
  <c r="N6492" i="1"/>
  <c r="H6492" i="1"/>
  <c r="G6492" i="1"/>
  <c r="F6492" i="1"/>
  <c r="N6491" i="1"/>
  <c r="H6491" i="1"/>
  <c r="G6491" i="1"/>
  <c r="F6491" i="1"/>
  <c r="N6490" i="1"/>
  <c r="H6490" i="1"/>
  <c r="G6490" i="1"/>
  <c r="F6490" i="1"/>
  <c r="N6489" i="1"/>
  <c r="H6489" i="1"/>
  <c r="G6489" i="1"/>
  <c r="F6489" i="1"/>
  <c r="N6488" i="1"/>
  <c r="H6488" i="1"/>
  <c r="G6488" i="1"/>
  <c r="F6488" i="1"/>
  <c r="N6487" i="1"/>
  <c r="H6487" i="1"/>
  <c r="G6487" i="1"/>
  <c r="F6487" i="1"/>
  <c r="N6486" i="1"/>
  <c r="H6486" i="1"/>
  <c r="G6486" i="1"/>
  <c r="F6486" i="1"/>
  <c r="N6485" i="1"/>
  <c r="H6485" i="1"/>
  <c r="G6485" i="1"/>
  <c r="F6485" i="1"/>
  <c r="N6484" i="1"/>
  <c r="H6484" i="1"/>
  <c r="G6484" i="1"/>
  <c r="F6484" i="1"/>
  <c r="N6483" i="1"/>
  <c r="H6483" i="1"/>
  <c r="G6483" i="1"/>
  <c r="F6483" i="1"/>
  <c r="N6482" i="1"/>
  <c r="H6482" i="1"/>
  <c r="G6482" i="1"/>
  <c r="F6482" i="1"/>
  <c r="N6481" i="1"/>
  <c r="H6481" i="1"/>
  <c r="G6481" i="1"/>
  <c r="F6481" i="1"/>
  <c r="N6480" i="1"/>
  <c r="H6480" i="1"/>
  <c r="G6480" i="1"/>
  <c r="F6480" i="1"/>
  <c r="N6479" i="1"/>
  <c r="H6479" i="1"/>
  <c r="G6479" i="1"/>
  <c r="F6479" i="1"/>
  <c r="N6478" i="1"/>
  <c r="H6478" i="1"/>
  <c r="G6478" i="1"/>
  <c r="F6478" i="1"/>
  <c r="N6477" i="1"/>
  <c r="H6477" i="1"/>
  <c r="G6477" i="1"/>
  <c r="F6477" i="1"/>
  <c r="N6476" i="1"/>
  <c r="H6476" i="1"/>
  <c r="G6476" i="1"/>
  <c r="F6476" i="1"/>
  <c r="N6475" i="1"/>
  <c r="H6475" i="1"/>
  <c r="G6475" i="1"/>
  <c r="F6475" i="1"/>
  <c r="N6474" i="1"/>
  <c r="H6474" i="1"/>
  <c r="G6474" i="1"/>
  <c r="F6474" i="1"/>
  <c r="N6473" i="1"/>
  <c r="H6473" i="1"/>
  <c r="G6473" i="1"/>
  <c r="F6473" i="1"/>
  <c r="N6472" i="1"/>
  <c r="H6472" i="1"/>
  <c r="G6472" i="1"/>
  <c r="F6472" i="1"/>
  <c r="N6471" i="1"/>
  <c r="H6471" i="1"/>
  <c r="G6471" i="1"/>
  <c r="F6471" i="1"/>
  <c r="N6470" i="1"/>
  <c r="H6470" i="1"/>
  <c r="G6470" i="1"/>
  <c r="F6470" i="1"/>
  <c r="N6469" i="1"/>
  <c r="H6469" i="1"/>
  <c r="G6469" i="1"/>
  <c r="F6469" i="1"/>
  <c r="N6468" i="1"/>
  <c r="H6468" i="1"/>
  <c r="G6468" i="1"/>
  <c r="F6468" i="1"/>
  <c r="N6467" i="1"/>
  <c r="H6467" i="1"/>
  <c r="G6467" i="1"/>
  <c r="F6467" i="1"/>
  <c r="N6466" i="1"/>
  <c r="H6466" i="1"/>
  <c r="G6466" i="1"/>
  <c r="F6466" i="1"/>
  <c r="N6465" i="1"/>
  <c r="H6465" i="1"/>
  <c r="G6465" i="1"/>
  <c r="F6465" i="1"/>
  <c r="N6464" i="1"/>
  <c r="H6464" i="1"/>
  <c r="G6464" i="1"/>
  <c r="F6464" i="1"/>
  <c r="N6463" i="1"/>
  <c r="H6463" i="1"/>
  <c r="G6463" i="1"/>
  <c r="F6463" i="1"/>
  <c r="N6462" i="1"/>
  <c r="H6462" i="1"/>
  <c r="G6462" i="1"/>
  <c r="F6462" i="1"/>
  <c r="N6461" i="1"/>
  <c r="H6461" i="1"/>
  <c r="G6461" i="1"/>
  <c r="F6461" i="1"/>
  <c r="N6460" i="1"/>
  <c r="H6460" i="1"/>
  <c r="G6460" i="1"/>
  <c r="F6460" i="1"/>
  <c r="N6459" i="1"/>
  <c r="H6459" i="1"/>
  <c r="G6459" i="1"/>
  <c r="F6459" i="1"/>
  <c r="N6458" i="1"/>
  <c r="H6458" i="1"/>
  <c r="G6458" i="1"/>
  <c r="F6458" i="1"/>
  <c r="N6457" i="1"/>
  <c r="H6457" i="1"/>
  <c r="G6457" i="1"/>
  <c r="F6457" i="1"/>
  <c r="N6456" i="1"/>
  <c r="H6456" i="1"/>
  <c r="G6456" i="1"/>
  <c r="F6456" i="1"/>
  <c r="N6455" i="1"/>
  <c r="H6455" i="1"/>
  <c r="G6455" i="1"/>
  <c r="F6455" i="1"/>
  <c r="N6454" i="1"/>
  <c r="H6454" i="1"/>
  <c r="G6454" i="1"/>
  <c r="F6454" i="1"/>
  <c r="N6453" i="1"/>
  <c r="H6453" i="1"/>
  <c r="G6453" i="1"/>
  <c r="F6453" i="1"/>
  <c r="N6452" i="1"/>
  <c r="H6452" i="1"/>
  <c r="G6452" i="1"/>
  <c r="F6452" i="1"/>
  <c r="N6451" i="1"/>
  <c r="H6451" i="1"/>
  <c r="G6451" i="1"/>
  <c r="F6451" i="1"/>
  <c r="N6450" i="1"/>
  <c r="H6450" i="1"/>
  <c r="G6450" i="1"/>
  <c r="F6450" i="1"/>
  <c r="N6449" i="1"/>
  <c r="H6449" i="1"/>
  <c r="G6449" i="1"/>
  <c r="F6449" i="1"/>
  <c r="N6448" i="1"/>
  <c r="H6448" i="1"/>
  <c r="G6448" i="1"/>
  <c r="F6448" i="1"/>
  <c r="N6447" i="1"/>
  <c r="H6447" i="1"/>
  <c r="G6447" i="1"/>
  <c r="F6447" i="1"/>
  <c r="N6446" i="1"/>
  <c r="H6446" i="1"/>
  <c r="G6446" i="1"/>
  <c r="F6446" i="1"/>
  <c r="N6445" i="1"/>
  <c r="H6445" i="1"/>
  <c r="G6445" i="1"/>
  <c r="F6445" i="1"/>
  <c r="N6444" i="1"/>
  <c r="H6444" i="1"/>
  <c r="G6444" i="1"/>
  <c r="F6444" i="1"/>
  <c r="N6443" i="1"/>
  <c r="H6443" i="1"/>
  <c r="G6443" i="1"/>
  <c r="F6443" i="1"/>
  <c r="N6442" i="1"/>
  <c r="H6442" i="1"/>
  <c r="G6442" i="1"/>
  <c r="F6442" i="1"/>
  <c r="N6441" i="1"/>
  <c r="H6441" i="1"/>
  <c r="G6441" i="1"/>
  <c r="F6441" i="1"/>
  <c r="N6440" i="1"/>
  <c r="H6440" i="1"/>
  <c r="G6440" i="1"/>
  <c r="F6440" i="1"/>
  <c r="N6439" i="1"/>
  <c r="H6439" i="1"/>
  <c r="G6439" i="1"/>
  <c r="F6439" i="1"/>
  <c r="N6438" i="1"/>
  <c r="H6438" i="1"/>
  <c r="G6438" i="1"/>
  <c r="F6438" i="1"/>
  <c r="N6437" i="1"/>
  <c r="H6437" i="1"/>
  <c r="G6437" i="1"/>
  <c r="F6437" i="1"/>
  <c r="N6436" i="1"/>
  <c r="H6436" i="1"/>
  <c r="G6436" i="1"/>
  <c r="F6436" i="1"/>
  <c r="N6435" i="1"/>
  <c r="H6435" i="1"/>
  <c r="G6435" i="1"/>
  <c r="F6435" i="1"/>
  <c r="N6434" i="1"/>
  <c r="H6434" i="1"/>
  <c r="G6434" i="1"/>
  <c r="F6434" i="1"/>
  <c r="N6433" i="1"/>
  <c r="H6433" i="1"/>
  <c r="G6433" i="1"/>
  <c r="F6433" i="1"/>
  <c r="N6432" i="1"/>
  <c r="H6432" i="1"/>
  <c r="G6432" i="1"/>
  <c r="F6432" i="1"/>
  <c r="N6431" i="1"/>
  <c r="H6431" i="1"/>
  <c r="G6431" i="1"/>
  <c r="F6431" i="1"/>
  <c r="N6430" i="1"/>
  <c r="H6430" i="1"/>
  <c r="G6430" i="1"/>
  <c r="F6430" i="1"/>
  <c r="N6429" i="1"/>
  <c r="H6429" i="1"/>
  <c r="G6429" i="1"/>
  <c r="F6429" i="1"/>
  <c r="N6428" i="1"/>
  <c r="H6428" i="1"/>
  <c r="G6428" i="1"/>
  <c r="F6428" i="1"/>
  <c r="N6427" i="1"/>
  <c r="H6427" i="1"/>
  <c r="G6427" i="1"/>
  <c r="F6427" i="1"/>
  <c r="N6426" i="1"/>
  <c r="H6426" i="1"/>
  <c r="G6426" i="1"/>
  <c r="F6426" i="1"/>
  <c r="N6425" i="1"/>
  <c r="H6425" i="1"/>
  <c r="G6425" i="1"/>
  <c r="F6425" i="1"/>
  <c r="N6424" i="1"/>
  <c r="H6424" i="1"/>
  <c r="G6424" i="1"/>
  <c r="F6424" i="1"/>
  <c r="N6423" i="1"/>
  <c r="H6423" i="1"/>
  <c r="G6423" i="1"/>
  <c r="F6423" i="1"/>
  <c r="N6422" i="1"/>
  <c r="H6422" i="1"/>
  <c r="G6422" i="1"/>
  <c r="F6422" i="1"/>
  <c r="N6421" i="1"/>
  <c r="H6421" i="1"/>
  <c r="G6421" i="1"/>
  <c r="F6421" i="1"/>
  <c r="N6420" i="1"/>
  <c r="H6420" i="1"/>
  <c r="G6420" i="1"/>
  <c r="F6420" i="1"/>
  <c r="N6419" i="1"/>
  <c r="H6419" i="1"/>
  <c r="G6419" i="1"/>
  <c r="F6419" i="1"/>
  <c r="N6418" i="1"/>
  <c r="H6418" i="1"/>
  <c r="G6418" i="1"/>
  <c r="F6418" i="1"/>
  <c r="N6417" i="1"/>
  <c r="H6417" i="1"/>
  <c r="G6417" i="1"/>
  <c r="F6417" i="1"/>
  <c r="N6416" i="1"/>
  <c r="H6416" i="1"/>
  <c r="G6416" i="1"/>
  <c r="F6416" i="1"/>
  <c r="N6415" i="1"/>
  <c r="H6415" i="1"/>
  <c r="G6415" i="1"/>
  <c r="F6415" i="1"/>
  <c r="N6414" i="1"/>
  <c r="H6414" i="1"/>
  <c r="G6414" i="1"/>
  <c r="F6414" i="1"/>
  <c r="N6413" i="1"/>
  <c r="H6413" i="1"/>
  <c r="G6413" i="1"/>
  <c r="F6413" i="1"/>
  <c r="N6412" i="1"/>
  <c r="H6412" i="1"/>
  <c r="G6412" i="1"/>
  <c r="F6412" i="1"/>
  <c r="N6411" i="1"/>
  <c r="H6411" i="1"/>
  <c r="G6411" i="1"/>
  <c r="F6411" i="1"/>
  <c r="N6410" i="1"/>
  <c r="H6410" i="1"/>
  <c r="G6410" i="1"/>
  <c r="F6410" i="1"/>
  <c r="N6409" i="1"/>
  <c r="H6409" i="1"/>
  <c r="G6409" i="1"/>
  <c r="F6409" i="1"/>
  <c r="N6408" i="1"/>
  <c r="H6408" i="1"/>
  <c r="G6408" i="1"/>
  <c r="F6408" i="1"/>
  <c r="N6407" i="1"/>
  <c r="H6407" i="1"/>
  <c r="G6407" i="1"/>
  <c r="F6407" i="1"/>
  <c r="N6406" i="1"/>
  <c r="H6406" i="1"/>
  <c r="G6406" i="1"/>
  <c r="F6406" i="1"/>
  <c r="N6405" i="1"/>
  <c r="H6405" i="1"/>
  <c r="G6405" i="1"/>
  <c r="F6405" i="1"/>
  <c r="N6404" i="1"/>
  <c r="H6404" i="1"/>
  <c r="G6404" i="1"/>
  <c r="F6404" i="1"/>
  <c r="N6403" i="1"/>
  <c r="H6403" i="1"/>
  <c r="G6403" i="1"/>
  <c r="F6403" i="1"/>
  <c r="N6402" i="1"/>
  <c r="H6402" i="1"/>
  <c r="G6402" i="1"/>
  <c r="F6402" i="1"/>
  <c r="N6401" i="1"/>
  <c r="H6401" i="1"/>
  <c r="G6401" i="1"/>
  <c r="F6401" i="1"/>
  <c r="N6400" i="1"/>
  <c r="H6400" i="1"/>
  <c r="G6400" i="1"/>
  <c r="F6400" i="1"/>
  <c r="N6399" i="1"/>
  <c r="H6399" i="1"/>
  <c r="G6399" i="1"/>
  <c r="F6399" i="1"/>
  <c r="N6398" i="1"/>
  <c r="H6398" i="1"/>
  <c r="G6398" i="1"/>
  <c r="F6398" i="1"/>
  <c r="N6397" i="1"/>
  <c r="H6397" i="1"/>
  <c r="G6397" i="1"/>
  <c r="F6397" i="1"/>
  <c r="N6396" i="1"/>
  <c r="H6396" i="1"/>
  <c r="G6396" i="1"/>
  <c r="F6396" i="1"/>
  <c r="N6395" i="1"/>
  <c r="H6395" i="1"/>
  <c r="G6395" i="1"/>
  <c r="F6395" i="1"/>
  <c r="N6394" i="1"/>
  <c r="H6394" i="1"/>
  <c r="G6394" i="1"/>
  <c r="F6394" i="1"/>
  <c r="N6393" i="1"/>
  <c r="H6393" i="1"/>
  <c r="G6393" i="1"/>
  <c r="F6393" i="1"/>
  <c r="N6392" i="1"/>
  <c r="H6392" i="1"/>
  <c r="G6392" i="1"/>
  <c r="F6392" i="1"/>
  <c r="N6391" i="1"/>
  <c r="H6391" i="1"/>
  <c r="G6391" i="1"/>
  <c r="F6391" i="1"/>
  <c r="N6390" i="1"/>
  <c r="H6390" i="1"/>
  <c r="G6390" i="1"/>
  <c r="F6390" i="1"/>
  <c r="N6389" i="1"/>
  <c r="H6389" i="1"/>
  <c r="G6389" i="1"/>
  <c r="F6389" i="1"/>
  <c r="N6388" i="1"/>
  <c r="H6388" i="1"/>
  <c r="G6388" i="1"/>
  <c r="F6388" i="1"/>
  <c r="N6387" i="1"/>
  <c r="H6387" i="1"/>
  <c r="G6387" i="1"/>
  <c r="F6387" i="1"/>
  <c r="N6386" i="1"/>
  <c r="H6386" i="1"/>
  <c r="G6386" i="1"/>
  <c r="F6386" i="1"/>
  <c r="N6385" i="1"/>
  <c r="H6385" i="1"/>
  <c r="G6385" i="1"/>
  <c r="F6385" i="1"/>
  <c r="N6384" i="1"/>
  <c r="H6384" i="1"/>
  <c r="G6384" i="1"/>
  <c r="F6384" i="1"/>
  <c r="N6383" i="1"/>
  <c r="H6383" i="1"/>
  <c r="G6383" i="1"/>
  <c r="F6383" i="1"/>
  <c r="N6382" i="1"/>
  <c r="H6382" i="1"/>
  <c r="G6382" i="1"/>
  <c r="F6382" i="1"/>
  <c r="N6381" i="1"/>
  <c r="H6381" i="1"/>
  <c r="G6381" i="1"/>
  <c r="F6381" i="1"/>
  <c r="N6380" i="1"/>
  <c r="H6380" i="1"/>
  <c r="G6380" i="1"/>
  <c r="F6380" i="1"/>
  <c r="N6379" i="1"/>
  <c r="H6379" i="1"/>
  <c r="G6379" i="1"/>
  <c r="F6379" i="1"/>
  <c r="N6378" i="1"/>
  <c r="H6378" i="1"/>
  <c r="G6378" i="1"/>
  <c r="F6378" i="1"/>
  <c r="N6377" i="1"/>
  <c r="H6377" i="1"/>
  <c r="G6377" i="1"/>
  <c r="F6377" i="1"/>
  <c r="N6376" i="1"/>
  <c r="H6376" i="1"/>
  <c r="G6376" i="1"/>
  <c r="F6376" i="1"/>
  <c r="N6375" i="1"/>
  <c r="H6375" i="1"/>
  <c r="G6375" i="1"/>
  <c r="F6375" i="1"/>
  <c r="N6374" i="1"/>
  <c r="H6374" i="1"/>
  <c r="G6374" i="1"/>
  <c r="F6374" i="1"/>
  <c r="N6373" i="1"/>
  <c r="H6373" i="1"/>
  <c r="G6373" i="1"/>
  <c r="F6373" i="1"/>
  <c r="N6372" i="1"/>
  <c r="H6372" i="1"/>
  <c r="G6372" i="1"/>
  <c r="F6372" i="1"/>
  <c r="N6371" i="1"/>
  <c r="H6371" i="1"/>
  <c r="G6371" i="1"/>
  <c r="F6371" i="1"/>
  <c r="N6370" i="1"/>
  <c r="H6370" i="1"/>
  <c r="G6370" i="1"/>
  <c r="F6370" i="1"/>
  <c r="N6369" i="1"/>
  <c r="H6369" i="1"/>
  <c r="G6369" i="1"/>
  <c r="F6369" i="1"/>
  <c r="N6368" i="1"/>
  <c r="H6368" i="1"/>
  <c r="G6368" i="1"/>
  <c r="F6368" i="1"/>
  <c r="N6367" i="1"/>
  <c r="H6367" i="1"/>
  <c r="G6367" i="1"/>
  <c r="F6367" i="1"/>
  <c r="N6366" i="1"/>
  <c r="H6366" i="1"/>
  <c r="G6366" i="1"/>
  <c r="F6366" i="1"/>
  <c r="N6365" i="1"/>
  <c r="H6365" i="1"/>
  <c r="G6365" i="1"/>
  <c r="F6365" i="1"/>
  <c r="N6364" i="1"/>
  <c r="H6364" i="1"/>
  <c r="G6364" i="1"/>
  <c r="F6364" i="1"/>
  <c r="N6363" i="1"/>
  <c r="H6363" i="1"/>
  <c r="G6363" i="1"/>
  <c r="F6363" i="1"/>
  <c r="N6362" i="1"/>
  <c r="H6362" i="1"/>
  <c r="G6362" i="1"/>
  <c r="F6362" i="1"/>
  <c r="N6361" i="1"/>
  <c r="H6361" i="1"/>
  <c r="G6361" i="1"/>
  <c r="F6361" i="1"/>
  <c r="N6360" i="1"/>
  <c r="H6360" i="1"/>
  <c r="G6360" i="1"/>
  <c r="F6360" i="1"/>
  <c r="N6359" i="1"/>
  <c r="H6359" i="1"/>
  <c r="G6359" i="1"/>
  <c r="F6359" i="1"/>
  <c r="N6358" i="1"/>
  <c r="H6358" i="1"/>
  <c r="G6358" i="1"/>
  <c r="F6358" i="1"/>
  <c r="N6357" i="1"/>
  <c r="H6357" i="1"/>
  <c r="G6357" i="1"/>
  <c r="F6357" i="1"/>
  <c r="N6356" i="1"/>
  <c r="H6356" i="1"/>
  <c r="G6356" i="1"/>
  <c r="F6356" i="1"/>
  <c r="N6355" i="1"/>
  <c r="H6355" i="1"/>
  <c r="G6355" i="1"/>
  <c r="F6355" i="1"/>
  <c r="N6354" i="1"/>
  <c r="H6354" i="1"/>
  <c r="G6354" i="1"/>
  <c r="F6354" i="1"/>
  <c r="N6353" i="1"/>
  <c r="H6353" i="1"/>
  <c r="G6353" i="1"/>
  <c r="F6353" i="1"/>
  <c r="N6352" i="1"/>
  <c r="H6352" i="1"/>
  <c r="G6352" i="1"/>
  <c r="F6352" i="1"/>
  <c r="N6351" i="1"/>
  <c r="H6351" i="1"/>
  <c r="G6351" i="1"/>
  <c r="F6351" i="1"/>
  <c r="N6350" i="1"/>
  <c r="H6350" i="1"/>
  <c r="G6350" i="1"/>
  <c r="F6350" i="1"/>
  <c r="N6349" i="1"/>
  <c r="H6349" i="1"/>
  <c r="G6349" i="1"/>
  <c r="F6349" i="1"/>
  <c r="N6348" i="1"/>
  <c r="H6348" i="1"/>
  <c r="G6348" i="1"/>
  <c r="F6348" i="1"/>
  <c r="N6347" i="1"/>
  <c r="H6347" i="1"/>
  <c r="G6347" i="1"/>
  <c r="F6347" i="1"/>
  <c r="N6346" i="1"/>
  <c r="H6346" i="1"/>
  <c r="G6346" i="1"/>
  <c r="F6346" i="1"/>
  <c r="N6345" i="1"/>
  <c r="H6345" i="1"/>
  <c r="G6345" i="1"/>
  <c r="F6345" i="1"/>
  <c r="N6344" i="1"/>
  <c r="H6344" i="1"/>
  <c r="G6344" i="1"/>
  <c r="F6344" i="1"/>
  <c r="N6343" i="1"/>
  <c r="H6343" i="1"/>
  <c r="G6343" i="1"/>
  <c r="F6343" i="1"/>
  <c r="N6342" i="1"/>
  <c r="H6342" i="1"/>
  <c r="G6342" i="1"/>
  <c r="F6342" i="1"/>
  <c r="N6341" i="1"/>
  <c r="H6341" i="1"/>
  <c r="G6341" i="1"/>
  <c r="F6341" i="1"/>
  <c r="N6340" i="1"/>
  <c r="H6340" i="1"/>
  <c r="G6340" i="1"/>
  <c r="F6340" i="1"/>
  <c r="N6339" i="1"/>
  <c r="H6339" i="1"/>
  <c r="G6339" i="1"/>
  <c r="F6339" i="1"/>
  <c r="N6338" i="1"/>
  <c r="H6338" i="1"/>
  <c r="G6338" i="1"/>
  <c r="F6338" i="1"/>
  <c r="N6337" i="1"/>
  <c r="H6337" i="1"/>
  <c r="G6337" i="1"/>
  <c r="F6337" i="1"/>
  <c r="N6336" i="1"/>
  <c r="H6336" i="1"/>
  <c r="G6336" i="1"/>
  <c r="F6336" i="1"/>
  <c r="N6335" i="1"/>
  <c r="H6335" i="1"/>
  <c r="G6335" i="1"/>
  <c r="F6335" i="1"/>
  <c r="N6334" i="1"/>
  <c r="H6334" i="1"/>
  <c r="G6334" i="1"/>
  <c r="F6334" i="1"/>
  <c r="N6333" i="1"/>
  <c r="H6333" i="1"/>
  <c r="G6333" i="1"/>
  <c r="F6333" i="1"/>
  <c r="N6332" i="1"/>
  <c r="H6332" i="1"/>
  <c r="G6332" i="1"/>
  <c r="F6332" i="1"/>
  <c r="N6331" i="1"/>
  <c r="H6331" i="1"/>
  <c r="G6331" i="1"/>
  <c r="F6331" i="1"/>
  <c r="N6330" i="1"/>
  <c r="H6330" i="1"/>
  <c r="G6330" i="1"/>
  <c r="F6330" i="1"/>
  <c r="N6329" i="1"/>
  <c r="H6329" i="1"/>
  <c r="G6329" i="1"/>
  <c r="F6329" i="1"/>
  <c r="N6328" i="1"/>
  <c r="H6328" i="1"/>
  <c r="G6328" i="1"/>
  <c r="F6328" i="1"/>
  <c r="N6327" i="1"/>
  <c r="H6327" i="1"/>
  <c r="G6327" i="1"/>
  <c r="F6327" i="1"/>
  <c r="N6326" i="1"/>
  <c r="H6326" i="1"/>
  <c r="G6326" i="1"/>
  <c r="F6326" i="1"/>
  <c r="N6325" i="1"/>
  <c r="H6325" i="1"/>
  <c r="G6325" i="1"/>
  <c r="F6325" i="1"/>
  <c r="N6324" i="1"/>
  <c r="H6324" i="1"/>
  <c r="G6324" i="1"/>
  <c r="F6324" i="1"/>
  <c r="N6323" i="1"/>
  <c r="H6323" i="1"/>
  <c r="G6323" i="1"/>
  <c r="F6323" i="1"/>
  <c r="N6322" i="1"/>
  <c r="H6322" i="1"/>
  <c r="G6322" i="1"/>
  <c r="F6322" i="1"/>
  <c r="N6321" i="1"/>
  <c r="H6321" i="1"/>
  <c r="G6321" i="1"/>
  <c r="F6321" i="1"/>
  <c r="N6320" i="1"/>
  <c r="H6320" i="1"/>
  <c r="G6320" i="1"/>
  <c r="F6320" i="1"/>
  <c r="N6319" i="1"/>
  <c r="H6319" i="1"/>
  <c r="G6319" i="1"/>
  <c r="F6319" i="1"/>
  <c r="N6318" i="1"/>
  <c r="H6318" i="1"/>
  <c r="G6318" i="1"/>
  <c r="F6318" i="1"/>
  <c r="N6317" i="1"/>
  <c r="H6317" i="1"/>
  <c r="G6317" i="1"/>
  <c r="F6317" i="1"/>
  <c r="N6316" i="1"/>
  <c r="H6316" i="1"/>
  <c r="G6316" i="1"/>
  <c r="F6316" i="1"/>
  <c r="N6315" i="1"/>
  <c r="H6315" i="1"/>
  <c r="G6315" i="1"/>
  <c r="F6315" i="1"/>
  <c r="N6314" i="1"/>
  <c r="H6314" i="1"/>
  <c r="G6314" i="1"/>
  <c r="F6314" i="1"/>
  <c r="N6313" i="1"/>
  <c r="H6313" i="1"/>
  <c r="G6313" i="1"/>
  <c r="F6313" i="1"/>
  <c r="N6312" i="1"/>
  <c r="H6312" i="1"/>
  <c r="G6312" i="1"/>
  <c r="F6312" i="1"/>
  <c r="N6311" i="1"/>
  <c r="H6311" i="1"/>
  <c r="G6311" i="1"/>
  <c r="F6311" i="1"/>
  <c r="N6310" i="1"/>
  <c r="H6310" i="1"/>
  <c r="G6310" i="1"/>
  <c r="F6310" i="1"/>
  <c r="N6309" i="1"/>
  <c r="H6309" i="1"/>
  <c r="G6309" i="1"/>
  <c r="F6309" i="1"/>
  <c r="N6308" i="1"/>
  <c r="H6308" i="1"/>
  <c r="G6308" i="1"/>
  <c r="F6308" i="1"/>
  <c r="N6307" i="1"/>
  <c r="H6307" i="1"/>
  <c r="G6307" i="1"/>
  <c r="F6307" i="1"/>
  <c r="N6306" i="1"/>
  <c r="H6306" i="1"/>
  <c r="G6306" i="1"/>
  <c r="F6306" i="1"/>
  <c r="N6305" i="1"/>
  <c r="H6305" i="1"/>
  <c r="G6305" i="1"/>
  <c r="F6305" i="1"/>
  <c r="N6304" i="1"/>
  <c r="H6304" i="1"/>
  <c r="G6304" i="1"/>
  <c r="F6304" i="1"/>
  <c r="N6303" i="1"/>
  <c r="H6303" i="1"/>
  <c r="G6303" i="1"/>
  <c r="F6303" i="1"/>
  <c r="N6302" i="1"/>
  <c r="H6302" i="1"/>
  <c r="G6302" i="1"/>
  <c r="F6302" i="1"/>
  <c r="N6301" i="1"/>
  <c r="H6301" i="1"/>
  <c r="G6301" i="1"/>
  <c r="F6301" i="1"/>
  <c r="N6300" i="1"/>
  <c r="H6300" i="1"/>
  <c r="G6300" i="1"/>
  <c r="F6300" i="1"/>
  <c r="N6299" i="1"/>
  <c r="H6299" i="1"/>
  <c r="G6299" i="1"/>
  <c r="F6299" i="1"/>
  <c r="N6298" i="1"/>
  <c r="H6298" i="1"/>
  <c r="G6298" i="1"/>
  <c r="F6298" i="1"/>
  <c r="N6297" i="1"/>
  <c r="H6297" i="1"/>
  <c r="G6297" i="1"/>
  <c r="F6297" i="1"/>
  <c r="N6296" i="1"/>
  <c r="H6296" i="1"/>
  <c r="G6296" i="1"/>
  <c r="F6296" i="1"/>
  <c r="N6295" i="1"/>
  <c r="H6295" i="1"/>
  <c r="G6295" i="1"/>
  <c r="F6295" i="1"/>
  <c r="N6294" i="1"/>
  <c r="H6294" i="1"/>
  <c r="G6294" i="1"/>
  <c r="F6294" i="1"/>
  <c r="N6293" i="1"/>
  <c r="H6293" i="1"/>
  <c r="G6293" i="1"/>
  <c r="F6293" i="1"/>
  <c r="N6292" i="1"/>
  <c r="H6292" i="1"/>
  <c r="G6292" i="1"/>
  <c r="F6292" i="1"/>
  <c r="N6291" i="1"/>
  <c r="H6291" i="1"/>
  <c r="G6291" i="1"/>
  <c r="F6291" i="1"/>
  <c r="N6290" i="1"/>
  <c r="H6290" i="1"/>
  <c r="G6290" i="1"/>
  <c r="F6290" i="1"/>
  <c r="N6289" i="1"/>
  <c r="H6289" i="1"/>
  <c r="G6289" i="1"/>
  <c r="F6289" i="1"/>
  <c r="N6288" i="1"/>
  <c r="H6288" i="1"/>
  <c r="G6288" i="1"/>
  <c r="F6288" i="1"/>
  <c r="N6287" i="1"/>
  <c r="H6287" i="1"/>
  <c r="G6287" i="1"/>
  <c r="F6287" i="1"/>
  <c r="N6286" i="1"/>
  <c r="H6286" i="1"/>
  <c r="G6286" i="1"/>
  <c r="F6286" i="1"/>
  <c r="N6285" i="1"/>
  <c r="H6285" i="1"/>
  <c r="G6285" i="1"/>
  <c r="F6285" i="1"/>
  <c r="N6284" i="1"/>
  <c r="H6284" i="1"/>
  <c r="G6284" i="1"/>
  <c r="F6284" i="1"/>
  <c r="N6283" i="1"/>
  <c r="H6283" i="1"/>
  <c r="G6283" i="1"/>
  <c r="F6283" i="1"/>
  <c r="N6282" i="1"/>
  <c r="H6282" i="1"/>
  <c r="G6282" i="1"/>
  <c r="F6282" i="1"/>
  <c r="N6281" i="1"/>
  <c r="H6281" i="1"/>
  <c r="G6281" i="1"/>
  <c r="F6281" i="1"/>
  <c r="N6280" i="1"/>
  <c r="H6280" i="1"/>
  <c r="G6280" i="1"/>
  <c r="F6280" i="1"/>
  <c r="N6279" i="1"/>
  <c r="H6279" i="1"/>
  <c r="G6279" i="1"/>
  <c r="F6279" i="1"/>
  <c r="N6278" i="1"/>
  <c r="H6278" i="1"/>
  <c r="G6278" i="1"/>
  <c r="F6278" i="1"/>
  <c r="N6277" i="1"/>
  <c r="H6277" i="1"/>
  <c r="G6277" i="1"/>
  <c r="F6277" i="1"/>
  <c r="N6276" i="1"/>
  <c r="H6276" i="1"/>
  <c r="G6276" i="1"/>
  <c r="F6276" i="1"/>
  <c r="N6275" i="1"/>
  <c r="H6275" i="1"/>
  <c r="G6275" i="1"/>
  <c r="F6275" i="1"/>
  <c r="N6274" i="1"/>
  <c r="H6274" i="1"/>
  <c r="G6274" i="1"/>
  <c r="F6274" i="1"/>
  <c r="N6273" i="1"/>
  <c r="H6273" i="1"/>
  <c r="G6273" i="1"/>
  <c r="F6273" i="1"/>
  <c r="N6272" i="1"/>
  <c r="H6272" i="1"/>
  <c r="G6272" i="1"/>
  <c r="F6272" i="1"/>
  <c r="N6271" i="1"/>
  <c r="H6271" i="1"/>
  <c r="G6271" i="1"/>
  <c r="F6271" i="1"/>
  <c r="N6270" i="1"/>
  <c r="H6270" i="1"/>
  <c r="G6270" i="1"/>
  <c r="F6270" i="1"/>
  <c r="N6269" i="1"/>
  <c r="H6269" i="1"/>
  <c r="G6269" i="1"/>
  <c r="F6269" i="1"/>
  <c r="N6268" i="1"/>
  <c r="H6268" i="1"/>
  <c r="G6268" i="1"/>
  <c r="F6268" i="1"/>
  <c r="N6267" i="1"/>
  <c r="H6267" i="1"/>
  <c r="G6267" i="1"/>
  <c r="F6267" i="1"/>
  <c r="N6266" i="1"/>
  <c r="H6266" i="1"/>
  <c r="G6266" i="1"/>
  <c r="F6266" i="1"/>
  <c r="N6265" i="1"/>
  <c r="H6265" i="1"/>
  <c r="G6265" i="1"/>
  <c r="F6265" i="1"/>
  <c r="N6264" i="1"/>
  <c r="H6264" i="1"/>
  <c r="G6264" i="1"/>
  <c r="F6264" i="1"/>
  <c r="N6263" i="1"/>
  <c r="H6263" i="1"/>
  <c r="G6263" i="1"/>
  <c r="F6263" i="1"/>
  <c r="N6262" i="1"/>
  <c r="H6262" i="1"/>
  <c r="G6262" i="1"/>
  <c r="F6262" i="1"/>
  <c r="N6261" i="1"/>
  <c r="H6261" i="1"/>
  <c r="G6261" i="1"/>
  <c r="F6261" i="1"/>
  <c r="N6260" i="1"/>
  <c r="H6260" i="1"/>
  <c r="G6260" i="1"/>
  <c r="F6260" i="1"/>
  <c r="N6259" i="1"/>
  <c r="H6259" i="1"/>
  <c r="G6259" i="1"/>
  <c r="F6259" i="1"/>
  <c r="N6258" i="1"/>
  <c r="H6258" i="1"/>
  <c r="G6258" i="1"/>
  <c r="F6258" i="1"/>
  <c r="N6257" i="1"/>
  <c r="H6257" i="1"/>
  <c r="G6257" i="1"/>
  <c r="F6257" i="1"/>
  <c r="N6256" i="1"/>
  <c r="H6256" i="1"/>
  <c r="G6256" i="1"/>
  <c r="F6256" i="1"/>
  <c r="N6255" i="1"/>
  <c r="H6255" i="1"/>
  <c r="G6255" i="1"/>
  <c r="F6255" i="1"/>
  <c r="N6254" i="1"/>
  <c r="H6254" i="1"/>
  <c r="G6254" i="1"/>
  <c r="F6254" i="1"/>
  <c r="N6253" i="1"/>
  <c r="H6253" i="1"/>
  <c r="G6253" i="1"/>
  <c r="F6253" i="1"/>
  <c r="N6252" i="1"/>
  <c r="H6252" i="1"/>
  <c r="G6252" i="1"/>
  <c r="F6252" i="1"/>
  <c r="N6251" i="1"/>
  <c r="H6251" i="1"/>
  <c r="G6251" i="1"/>
  <c r="F6251" i="1"/>
  <c r="N6250" i="1"/>
  <c r="H6250" i="1"/>
  <c r="G6250" i="1"/>
  <c r="F6250" i="1"/>
  <c r="N6249" i="1"/>
  <c r="H6249" i="1"/>
  <c r="G6249" i="1"/>
  <c r="F6249" i="1"/>
  <c r="N6248" i="1"/>
  <c r="H6248" i="1"/>
  <c r="G6248" i="1"/>
  <c r="F6248" i="1"/>
  <c r="N6247" i="1"/>
  <c r="H6247" i="1"/>
  <c r="G6247" i="1"/>
  <c r="F6247" i="1"/>
  <c r="N6246" i="1"/>
  <c r="H6246" i="1"/>
  <c r="G6246" i="1"/>
  <c r="F6246" i="1"/>
  <c r="N6245" i="1"/>
  <c r="H6245" i="1"/>
  <c r="G6245" i="1"/>
  <c r="F6245" i="1"/>
  <c r="N6244" i="1"/>
  <c r="H6244" i="1"/>
  <c r="G6244" i="1"/>
  <c r="F6244" i="1"/>
  <c r="N6243" i="1"/>
  <c r="H6243" i="1"/>
  <c r="G6243" i="1"/>
  <c r="F6243" i="1"/>
  <c r="N6242" i="1"/>
  <c r="H6242" i="1"/>
  <c r="G6242" i="1"/>
  <c r="F6242" i="1"/>
  <c r="N6241" i="1"/>
  <c r="H6241" i="1"/>
  <c r="G6241" i="1"/>
  <c r="F6241" i="1"/>
  <c r="N6240" i="1"/>
  <c r="H6240" i="1"/>
  <c r="G6240" i="1"/>
  <c r="F6240" i="1"/>
  <c r="N6239" i="1"/>
  <c r="H6239" i="1"/>
  <c r="G6239" i="1"/>
  <c r="F6239" i="1"/>
  <c r="N6238" i="1"/>
  <c r="H6238" i="1"/>
  <c r="G6238" i="1"/>
  <c r="F6238" i="1"/>
  <c r="N6237" i="1"/>
  <c r="H6237" i="1"/>
  <c r="G6237" i="1"/>
  <c r="F6237" i="1"/>
  <c r="N6236" i="1"/>
  <c r="H6236" i="1"/>
  <c r="G6236" i="1"/>
  <c r="F6236" i="1"/>
  <c r="N6235" i="1"/>
  <c r="H6235" i="1"/>
  <c r="G6235" i="1"/>
  <c r="F6235" i="1"/>
  <c r="N6234" i="1"/>
  <c r="H6234" i="1"/>
  <c r="G6234" i="1"/>
  <c r="F6234" i="1"/>
  <c r="N6233" i="1"/>
  <c r="H6233" i="1"/>
  <c r="G6233" i="1"/>
  <c r="F6233" i="1"/>
  <c r="N6232" i="1"/>
  <c r="H6232" i="1"/>
  <c r="G6232" i="1"/>
  <c r="F6232" i="1"/>
  <c r="N6231" i="1"/>
  <c r="H6231" i="1"/>
  <c r="G6231" i="1"/>
  <c r="F6231" i="1"/>
  <c r="N6230" i="1"/>
  <c r="H6230" i="1"/>
  <c r="G6230" i="1"/>
  <c r="F6230" i="1"/>
  <c r="N6229" i="1"/>
  <c r="H6229" i="1"/>
  <c r="G6229" i="1"/>
  <c r="F6229" i="1"/>
  <c r="N6228" i="1"/>
  <c r="H6228" i="1"/>
  <c r="G6228" i="1"/>
  <c r="F6228" i="1"/>
  <c r="N6227" i="1"/>
  <c r="H6227" i="1"/>
  <c r="G6227" i="1"/>
  <c r="F6227" i="1"/>
  <c r="N6226" i="1"/>
  <c r="H6226" i="1"/>
  <c r="G6226" i="1"/>
  <c r="F6226" i="1"/>
  <c r="N6225" i="1"/>
  <c r="H6225" i="1"/>
  <c r="G6225" i="1"/>
  <c r="F6225" i="1"/>
  <c r="N6224" i="1"/>
  <c r="H6224" i="1"/>
  <c r="G6224" i="1"/>
  <c r="F6224" i="1"/>
  <c r="N6223" i="1"/>
  <c r="H6223" i="1"/>
  <c r="G6223" i="1"/>
  <c r="F6223" i="1"/>
  <c r="N6222" i="1"/>
  <c r="H6222" i="1"/>
  <c r="G6222" i="1"/>
  <c r="F6222" i="1"/>
  <c r="N6221" i="1"/>
  <c r="H6221" i="1"/>
  <c r="G6221" i="1"/>
  <c r="F6221" i="1"/>
  <c r="N6220" i="1"/>
  <c r="H6220" i="1"/>
  <c r="G6220" i="1"/>
  <c r="F6220" i="1"/>
  <c r="N6219" i="1"/>
  <c r="H6219" i="1"/>
  <c r="G6219" i="1"/>
  <c r="F6219" i="1"/>
  <c r="N6218" i="1"/>
  <c r="H6218" i="1"/>
  <c r="G6218" i="1"/>
  <c r="F6218" i="1"/>
  <c r="N6217" i="1"/>
  <c r="H6217" i="1"/>
  <c r="G6217" i="1"/>
  <c r="F6217" i="1"/>
  <c r="N6216" i="1"/>
  <c r="H6216" i="1"/>
  <c r="G6216" i="1"/>
  <c r="F6216" i="1"/>
  <c r="N6215" i="1"/>
  <c r="H6215" i="1"/>
  <c r="G6215" i="1"/>
  <c r="F6215" i="1"/>
  <c r="N6214" i="1"/>
  <c r="H6214" i="1"/>
  <c r="G6214" i="1"/>
  <c r="F6214" i="1"/>
  <c r="N6213" i="1"/>
  <c r="H6213" i="1"/>
  <c r="G6213" i="1"/>
  <c r="F6213" i="1"/>
  <c r="N6212" i="1"/>
  <c r="H6212" i="1"/>
  <c r="G6212" i="1"/>
  <c r="F6212" i="1"/>
  <c r="N6211" i="1"/>
  <c r="H6211" i="1"/>
  <c r="G6211" i="1"/>
  <c r="F6211" i="1"/>
  <c r="N6210" i="1"/>
  <c r="H6210" i="1"/>
  <c r="G6210" i="1"/>
  <c r="F6210" i="1"/>
  <c r="N6209" i="1"/>
  <c r="H6209" i="1"/>
  <c r="G6209" i="1"/>
  <c r="F6209" i="1"/>
  <c r="N6208" i="1"/>
  <c r="H6208" i="1"/>
  <c r="G6208" i="1"/>
  <c r="F6208" i="1"/>
  <c r="N6207" i="1"/>
  <c r="H6207" i="1"/>
  <c r="G6207" i="1"/>
  <c r="F6207" i="1"/>
  <c r="N6206" i="1"/>
  <c r="H6206" i="1"/>
  <c r="G6206" i="1"/>
  <c r="F6206" i="1"/>
  <c r="N6205" i="1"/>
  <c r="H6205" i="1"/>
  <c r="G6205" i="1"/>
  <c r="F6205" i="1"/>
  <c r="N6204" i="1"/>
  <c r="H6204" i="1"/>
  <c r="G6204" i="1"/>
  <c r="F6204" i="1"/>
  <c r="N6203" i="1"/>
  <c r="H6203" i="1"/>
  <c r="G6203" i="1"/>
  <c r="F6203" i="1"/>
  <c r="N6202" i="1"/>
  <c r="H6202" i="1"/>
  <c r="G6202" i="1"/>
  <c r="F6202" i="1"/>
  <c r="N6201" i="1"/>
  <c r="H6201" i="1"/>
  <c r="G6201" i="1"/>
  <c r="F6201" i="1"/>
  <c r="N6200" i="1"/>
  <c r="H6200" i="1"/>
  <c r="G6200" i="1"/>
  <c r="F6200" i="1"/>
  <c r="N6199" i="1"/>
  <c r="H6199" i="1"/>
  <c r="G6199" i="1"/>
  <c r="F6199" i="1"/>
  <c r="N6198" i="1"/>
  <c r="H6198" i="1"/>
  <c r="G6198" i="1"/>
  <c r="F6198" i="1"/>
  <c r="N6197" i="1"/>
  <c r="H6197" i="1"/>
  <c r="G6197" i="1"/>
  <c r="F6197" i="1"/>
  <c r="N6196" i="1"/>
  <c r="H6196" i="1"/>
  <c r="G6196" i="1"/>
  <c r="F6196" i="1"/>
  <c r="N6195" i="1"/>
  <c r="H6195" i="1"/>
  <c r="G6195" i="1"/>
  <c r="F6195" i="1"/>
  <c r="N6194" i="1"/>
  <c r="H6194" i="1"/>
  <c r="G6194" i="1"/>
  <c r="F6194" i="1"/>
  <c r="N6193" i="1"/>
  <c r="H6193" i="1"/>
  <c r="G6193" i="1"/>
  <c r="F6193" i="1"/>
  <c r="N6192" i="1"/>
  <c r="H6192" i="1"/>
  <c r="G6192" i="1"/>
  <c r="F6192" i="1"/>
  <c r="N6191" i="1"/>
  <c r="H6191" i="1"/>
  <c r="G6191" i="1"/>
  <c r="F6191" i="1"/>
  <c r="N6190" i="1"/>
  <c r="H6190" i="1"/>
  <c r="G6190" i="1"/>
  <c r="F6190" i="1"/>
  <c r="N6189" i="1"/>
  <c r="H6189" i="1"/>
  <c r="G6189" i="1"/>
  <c r="F6189" i="1"/>
  <c r="N6188" i="1"/>
  <c r="H6188" i="1"/>
  <c r="G6188" i="1"/>
  <c r="F6188" i="1"/>
  <c r="N6187" i="1"/>
  <c r="H6187" i="1"/>
  <c r="G6187" i="1"/>
  <c r="F6187" i="1"/>
  <c r="N6186" i="1"/>
  <c r="H6186" i="1"/>
  <c r="G6186" i="1"/>
  <c r="F6186" i="1"/>
  <c r="N6185" i="1"/>
  <c r="H6185" i="1"/>
  <c r="G6185" i="1"/>
  <c r="F6185" i="1"/>
  <c r="N6184" i="1"/>
  <c r="H6184" i="1"/>
  <c r="G6184" i="1"/>
  <c r="F6184" i="1"/>
  <c r="N6183" i="1"/>
  <c r="H6183" i="1"/>
  <c r="G6183" i="1"/>
  <c r="F6183" i="1"/>
  <c r="N6182" i="1"/>
  <c r="H6182" i="1"/>
  <c r="G6182" i="1"/>
  <c r="F6182" i="1"/>
  <c r="N6181" i="1"/>
  <c r="H6181" i="1"/>
  <c r="G6181" i="1"/>
  <c r="F6181" i="1"/>
  <c r="N6180" i="1"/>
  <c r="H6180" i="1"/>
  <c r="G6180" i="1"/>
  <c r="F6180" i="1"/>
  <c r="N6179" i="1"/>
  <c r="H6179" i="1"/>
  <c r="G6179" i="1"/>
  <c r="F6179" i="1"/>
  <c r="N6178" i="1"/>
  <c r="H6178" i="1"/>
  <c r="G6178" i="1"/>
  <c r="F6178" i="1"/>
  <c r="N6177" i="1"/>
  <c r="H6177" i="1"/>
  <c r="G6177" i="1"/>
  <c r="F6177" i="1"/>
  <c r="N6176" i="1"/>
  <c r="H6176" i="1"/>
  <c r="G6176" i="1"/>
  <c r="F6176" i="1"/>
  <c r="N6175" i="1"/>
  <c r="H6175" i="1"/>
  <c r="G6175" i="1"/>
  <c r="F6175" i="1"/>
  <c r="N6174" i="1"/>
  <c r="H6174" i="1"/>
  <c r="G6174" i="1"/>
  <c r="F6174" i="1"/>
  <c r="N6173" i="1"/>
  <c r="H6173" i="1"/>
  <c r="G6173" i="1"/>
  <c r="F6173" i="1"/>
  <c r="N6172" i="1"/>
  <c r="H6172" i="1"/>
  <c r="G6172" i="1"/>
  <c r="F6172" i="1"/>
  <c r="N6171" i="1"/>
  <c r="H6171" i="1"/>
  <c r="G6171" i="1"/>
  <c r="F6171" i="1"/>
  <c r="N6170" i="1"/>
  <c r="H6170" i="1"/>
  <c r="G6170" i="1"/>
  <c r="F6170" i="1"/>
  <c r="N6169" i="1"/>
  <c r="H6169" i="1"/>
  <c r="G6169" i="1"/>
  <c r="F6169" i="1"/>
  <c r="N6168" i="1"/>
  <c r="H6168" i="1"/>
  <c r="G6168" i="1"/>
  <c r="F6168" i="1"/>
  <c r="N6167" i="1"/>
  <c r="H6167" i="1"/>
  <c r="G6167" i="1"/>
  <c r="F6167" i="1"/>
  <c r="N6166" i="1"/>
  <c r="H6166" i="1"/>
  <c r="G6166" i="1"/>
  <c r="F6166" i="1"/>
  <c r="N6165" i="1"/>
  <c r="H6165" i="1"/>
  <c r="G6165" i="1"/>
  <c r="F6165" i="1"/>
  <c r="N6164" i="1"/>
  <c r="H6164" i="1"/>
  <c r="G6164" i="1"/>
  <c r="F6164" i="1"/>
  <c r="N6163" i="1"/>
  <c r="H6163" i="1"/>
  <c r="G6163" i="1"/>
  <c r="F6163" i="1"/>
  <c r="N6162" i="1"/>
  <c r="H6162" i="1"/>
  <c r="G6162" i="1"/>
  <c r="F6162" i="1"/>
  <c r="N6161" i="1"/>
  <c r="H6161" i="1"/>
  <c r="G6161" i="1"/>
  <c r="F6161" i="1"/>
  <c r="N6160" i="1"/>
  <c r="H6160" i="1"/>
  <c r="G6160" i="1"/>
  <c r="F6160" i="1"/>
  <c r="N6159" i="1"/>
  <c r="H6159" i="1"/>
  <c r="G6159" i="1"/>
  <c r="F6159" i="1"/>
  <c r="N6158" i="1"/>
  <c r="H6158" i="1"/>
  <c r="G6158" i="1"/>
  <c r="F6158" i="1"/>
  <c r="N6157" i="1"/>
  <c r="H6157" i="1"/>
  <c r="G6157" i="1"/>
  <c r="F6157" i="1"/>
  <c r="N6156" i="1"/>
  <c r="H6156" i="1"/>
  <c r="G6156" i="1"/>
  <c r="F6156" i="1"/>
  <c r="N6155" i="1"/>
  <c r="H6155" i="1"/>
  <c r="G6155" i="1"/>
  <c r="F6155" i="1"/>
  <c r="N6154" i="1"/>
  <c r="H6154" i="1"/>
  <c r="G6154" i="1"/>
  <c r="F6154" i="1"/>
  <c r="N6153" i="1"/>
  <c r="H6153" i="1"/>
  <c r="G6153" i="1"/>
  <c r="F6153" i="1"/>
  <c r="N6152" i="1"/>
  <c r="H6152" i="1"/>
  <c r="G6152" i="1"/>
  <c r="F6152" i="1"/>
  <c r="N6151" i="1"/>
  <c r="H6151" i="1"/>
  <c r="G6151" i="1"/>
  <c r="F6151" i="1"/>
  <c r="N6150" i="1"/>
  <c r="H6150" i="1"/>
  <c r="G6150" i="1"/>
  <c r="F6150" i="1"/>
  <c r="N6149" i="1"/>
  <c r="H6149" i="1"/>
  <c r="G6149" i="1"/>
  <c r="F6149" i="1"/>
  <c r="N6148" i="1"/>
  <c r="H6148" i="1"/>
  <c r="G6148" i="1"/>
  <c r="F6148" i="1"/>
  <c r="N6147" i="1"/>
  <c r="H6147" i="1"/>
  <c r="G6147" i="1"/>
  <c r="F6147" i="1"/>
  <c r="N6146" i="1"/>
  <c r="H6146" i="1"/>
  <c r="G6146" i="1"/>
  <c r="F6146" i="1"/>
  <c r="N6145" i="1"/>
  <c r="H6145" i="1"/>
  <c r="G6145" i="1"/>
  <c r="F6145" i="1"/>
  <c r="N6144" i="1"/>
  <c r="H6144" i="1"/>
  <c r="G6144" i="1"/>
  <c r="F6144" i="1"/>
  <c r="N6143" i="1"/>
  <c r="H6143" i="1"/>
  <c r="G6143" i="1"/>
  <c r="F6143" i="1"/>
  <c r="N6142" i="1"/>
  <c r="H6142" i="1"/>
  <c r="G6142" i="1"/>
  <c r="F6142" i="1"/>
  <c r="N6141" i="1"/>
  <c r="H6141" i="1"/>
  <c r="G6141" i="1"/>
  <c r="F6141" i="1"/>
  <c r="N6140" i="1"/>
  <c r="H6140" i="1"/>
  <c r="G6140" i="1"/>
  <c r="F6140" i="1"/>
  <c r="N6139" i="1"/>
  <c r="H6139" i="1"/>
  <c r="G6139" i="1"/>
  <c r="F6139" i="1"/>
  <c r="N6138" i="1"/>
  <c r="H6138" i="1"/>
  <c r="G6138" i="1"/>
  <c r="F6138" i="1"/>
  <c r="N6137" i="1"/>
  <c r="H6137" i="1"/>
  <c r="G6137" i="1"/>
  <c r="F6137" i="1"/>
  <c r="N6136" i="1"/>
  <c r="H6136" i="1"/>
  <c r="G6136" i="1"/>
  <c r="F6136" i="1"/>
  <c r="N6135" i="1"/>
  <c r="H6135" i="1"/>
  <c r="G6135" i="1"/>
  <c r="F6135" i="1"/>
  <c r="N6134" i="1"/>
  <c r="H6134" i="1"/>
  <c r="G6134" i="1"/>
  <c r="F6134" i="1"/>
  <c r="N6133" i="1"/>
  <c r="H6133" i="1"/>
  <c r="G6133" i="1"/>
  <c r="F6133" i="1"/>
  <c r="N6132" i="1"/>
  <c r="H6132" i="1"/>
  <c r="G6132" i="1"/>
  <c r="F6132" i="1"/>
  <c r="N6131" i="1"/>
  <c r="H6131" i="1"/>
  <c r="G6131" i="1"/>
  <c r="F6131" i="1"/>
  <c r="N6130" i="1"/>
  <c r="H6130" i="1"/>
  <c r="G6130" i="1"/>
  <c r="F6130" i="1"/>
  <c r="N6129" i="1"/>
  <c r="H6129" i="1"/>
  <c r="G6129" i="1"/>
  <c r="F6129" i="1"/>
  <c r="N6128" i="1"/>
  <c r="H6128" i="1"/>
  <c r="G6128" i="1"/>
  <c r="F6128" i="1"/>
  <c r="N6127" i="1"/>
  <c r="H6127" i="1"/>
  <c r="G6127" i="1"/>
  <c r="F6127" i="1"/>
  <c r="N6126" i="1"/>
  <c r="H6126" i="1"/>
  <c r="G6126" i="1"/>
  <c r="F6126" i="1"/>
  <c r="N6125" i="1"/>
  <c r="H6125" i="1"/>
  <c r="G6125" i="1"/>
  <c r="F6125" i="1"/>
  <c r="N6124" i="1"/>
  <c r="H6124" i="1"/>
  <c r="G6124" i="1"/>
  <c r="F6124" i="1"/>
  <c r="N6123" i="1"/>
  <c r="H6123" i="1"/>
  <c r="G6123" i="1"/>
  <c r="F6123" i="1"/>
  <c r="N6122" i="1"/>
  <c r="H6122" i="1"/>
  <c r="G6122" i="1"/>
  <c r="F6122" i="1"/>
  <c r="N6121" i="1"/>
  <c r="H6121" i="1"/>
  <c r="G6121" i="1"/>
  <c r="F6121" i="1"/>
  <c r="N6120" i="1"/>
  <c r="H6120" i="1"/>
  <c r="G6120" i="1"/>
  <c r="F6120" i="1"/>
  <c r="N6119" i="1"/>
  <c r="H6119" i="1"/>
  <c r="G6119" i="1"/>
  <c r="F6119" i="1"/>
  <c r="N6118" i="1"/>
  <c r="H6118" i="1"/>
  <c r="G6118" i="1"/>
  <c r="F6118" i="1"/>
  <c r="N6117" i="1"/>
  <c r="H6117" i="1"/>
  <c r="G6117" i="1"/>
  <c r="F6117" i="1"/>
  <c r="N6116" i="1"/>
  <c r="H6116" i="1"/>
  <c r="G6116" i="1"/>
  <c r="F6116" i="1"/>
  <c r="N6115" i="1"/>
  <c r="H6115" i="1"/>
  <c r="G6115" i="1"/>
  <c r="F6115" i="1"/>
  <c r="N6114" i="1"/>
  <c r="H6114" i="1"/>
  <c r="G6114" i="1"/>
  <c r="F6114" i="1"/>
  <c r="N6113" i="1"/>
  <c r="H6113" i="1"/>
  <c r="G6113" i="1"/>
  <c r="F6113" i="1"/>
  <c r="N6112" i="1"/>
  <c r="H6112" i="1"/>
  <c r="G6112" i="1"/>
  <c r="F6112" i="1"/>
  <c r="N6111" i="1"/>
  <c r="H6111" i="1"/>
  <c r="G6111" i="1"/>
  <c r="F6111" i="1"/>
  <c r="N6110" i="1"/>
  <c r="H6110" i="1"/>
  <c r="G6110" i="1"/>
  <c r="F6110" i="1"/>
  <c r="N6109" i="1"/>
  <c r="H6109" i="1"/>
  <c r="G6109" i="1"/>
  <c r="F6109" i="1"/>
  <c r="N6108" i="1"/>
  <c r="H6108" i="1"/>
  <c r="G6108" i="1"/>
  <c r="F6108" i="1"/>
  <c r="N6107" i="1"/>
  <c r="H6107" i="1"/>
  <c r="G6107" i="1"/>
  <c r="F6107" i="1"/>
  <c r="N6106" i="1"/>
  <c r="H6106" i="1"/>
  <c r="G6106" i="1"/>
  <c r="F6106" i="1"/>
  <c r="N6105" i="1"/>
  <c r="H6105" i="1"/>
  <c r="G6105" i="1"/>
  <c r="F6105" i="1"/>
  <c r="N6104" i="1"/>
  <c r="H6104" i="1"/>
  <c r="G6104" i="1"/>
  <c r="F6104" i="1"/>
  <c r="N6103" i="1"/>
  <c r="H6103" i="1"/>
  <c r="G6103" i="1"/>
  <c r="F6103" i="1"/>
  <c r="N6102" i="1"/>
  <c r="H6102" i="1"/>
  <c r="G6102" i="1"/>
  <c r="F6102" i="1"/>
  <c r="N6101" i="1"/>
  <c r="H6101" i="1"/>
  <c r="G6101" i="1"/>
  <c r="F6101" i="1"/>
  <c r="N6100" i="1"/>
  <c r="H6100" i="1"/>
  <c r="G6100" i="1"/>
  <c r="F6100" i="1"/>
  <c r="N6099" i="1"/>
  <c r="H6099" i="1"/>
  <c r="G6099" i="1"/>
  <c r="F6099" i="1"/>
  <c r="N6098" i="1"/>
  <c r="H6098" i="1"/>
  <c r="G6098" i="1"/>
  <c r="F6098" i="1"/>
  <c r="N6097" i="1"/>
  <c r="H6097" i="1"/>
  <c r="G6097" i="1"/>
  <c r="F6097" i="1"/>
  <c r="N6096" i="1"/>
  <c r="H6096" i="1"/>
  <c r="G6096" i="1"/>
  <c r="F6096" i="1"/>
  <c r="N6095" i="1"/>
  <c r="H6095" i="1"/>
  <c r="G6095" i="1"/>
  <c r="F6095" i="1"/>
  <c r="N6094" i="1"/>
  <c r="H6094" i="1"/>
  <c r="G6094" i="1"/>
  <c r="F6094" i="1"/>
  <c r="N6093" i="1"/>
  <c r="H6093" i="1"/>
  <c r="G6093" i="1"/>
  <c r="F6093" i="1"/>
  <c r="N6092" i="1"/>
  <c r="H6092" i="1"/>
  <c r="G6092" i="1"/>
  <c r="F6092" i="1"/>
  <c r="N6091" i="1"/>
  <c r="H6091" i="1"/>
  <c r="G6091" i="1"/>
  <c r="F6091" i="1"/>
  <c r="N6090" i="1"/>
  <c r="H6090" i="1"/>
  <c r="G6090" i="1"/>
  <c r="F6090" i="1"/>
  <c r="N6089" i="1"/>
  <c r="H6089" i="1"/>
  <c r="G6089" i="1"/>
  <c r="F6089" i="1"/>
  <c r="N6088" i="1"/>
  <c r="H6088" i="1"/>
  <c r="G6088" i="1"/>
  <c r="F6088" i="1"/>
  <c r="N6087" i="1"/>
  <c r="H6087" i="1"/>
  <c r="G6087" i="1"/>
  <c r="F6087" i="1"/>
  <c r="N6086" i="1"/>
  <c r="H6086" i="1"/>
  <c r="G6086" i="1"/>
  <c r="F6086" i="1"/>
  <c r="N6085" i="1"/>
  <c r="H6085" i="1"/>
  <c r="G6085" i="1"/>
  <c r="F6085" i="1"/>
  <c r="N6084" i="1"/>
  <c r="H6084" i="1"/>
  <c r="G6084" i="1"/>
  <c r="F6084" i="1"/>
  <c r="N6083" i="1"/>
  <c r="H6083" i="1"/>
  <c r="G6083" i="1"/>
  <c r="F6083" i="1"/>
  <c r="N6082" i="1"/>
  <c r="H6082" i="1"/>
  <c r="G6082" i="1"/>
  <c r="F6082" i="1"/>
  <c r="N6081" i="1"/>
  <c r="H6081" i="1"/>
  <c r="G6081" i="1"/>
  <c r="F6081" i="1"/>
  <c r="N6080" i="1"/>
  <c r="H6080" i="1"/>
  <c r="G6080" i="1"/>
  <c r="F6080" i="1"/>
  <c r="N6079" i="1"/>
  <c r="H6079" i="1"/>
  <c r="G6079" i="1"/>
  <c r="F6079" i="1"/>
  <c r="N6078" i="1"/>
  <c r="H6078" i="1"/>
  <c r="G6078" i="1"/>
  <c r="F6078" i="1"/>
  <c r="N6077" i="1"/>
  <c r="H6077" i="1"/>
  <c r="G6077" i="1"/>
  <c r="F6077" i="1"/>
  <c r="N6076" i="1"/>
  <c r="H6076" i="1"/>
  <c r="G6076" i="1"/>
  <c r="F6076" i="1"/>
  <c r="N6075" i="1"/>
  <c r="H6075" i="1"/>
  <c r="G6075" i="1"/>
  <c r="F6075" i="1"/>
  <c r="N6074" i="1"/>
  <c r="H6074" i="1"/>
  <c r="G6074" i="1"/>
  <c r="F6074" i="1"/>
  <c r="N6073" i="1"/>
  <c r="H6073" i="1"/>
  <c r="G6073" i="1"/>
  <c r="F6073" i="1"/>
  <c r="N6072" i="1"/>
  <c r="H6072" i="1"/>
  <c r="G6072" i="1"/>
  <c r="F6072" i="1"/>
  <c r="N6071" i="1"/>
  <c r="H6071" i="1"/>
  <c r="G6071" i="1"/>
  <c r="F6071" i="1"/>
  <c r="N6070" i="1"/>
  <c r="H6070" i="1"/>
  <c r="G6070" i="1"/>
  <c r="F6070" i="1"/>
  <c r="N6069" i="1"/>
  <c r="H6069" i="1"/>
  <c r="G6069" i="1"/>
  <c r="F6069" i="1"/>
  <c r="N6068" i="1"/>
  <c r="H6068" i="1"/>
  <c r="G6068" i="1"/>
  <c r="F6068" i="1"/>
  <c r="N6067" i="1"/>
  <c r="H6067" i="1"/>
  <c r="G6067" i="1"/>
  <c r="F6067" i="1"/>
  <c r="N6066" i="1"/>
  <c r="H6066" i="1"/>
  <c r="G6066" i="1"/>
  <c r="F6066" i="1"/>
  <c r="N6065" i="1"/>
  <c r="H6065" i="1"/>
  <c r="G6065" i="1"/>
  <c r="F6065" i="1"/>
  <c r="N6064" i="1"/>
  <c r="H6064" i="1"/>
  <c r="G6064" i="1"/>
  <c r="F6064" i="1"/>
  <c r="N6063" i="1"/>
  <c r="H6063" i="1"/>
  <c r="G6063" i="1"/>
  <c r="F6063" i="1"/>
  <c r="N6062" i="1"/>
  <c r="H6062" i="1"/>
  <c r="G6062" i="1"/>
  <c r="F6062" i="1"/>
  <c r="N6061" i="1"/>
  <c r="H6061" i="1"/>
  <c r="G6061" i="1"/>
  <c r="F6061" i="1"/>
  <c r="N6060" i="1"/>
  <c r="H6060" i="1"/>
  <c r="G6060" i="1"/>
  <c r="F6060" i="1"/>
  <c r="N6059" i="1"/>
  <c r="H6059" i="1"/>
  <c r="G6059" i="1"/>
  <c r="F6059" i="1"/>
  <c r="N6058" i="1"/>
  <c r="H6058" i="1"/>
  <c r="G6058" i="1"/>
  <c r="F6058" i="1"/>
  <c r="N6057" i="1"/>
  <c r="H6057" i="1"/>
  <c r="G6057" i="1"/>
  <c r="F6057" i="1"/>
  <c r="N6056" i="1"/>
  <c r="H6056" i="1"/>
  <c r="G6056" i="1"/>
  <c r="F6056" i="1"/>
  <c r="N6055" i="1"/>
  <c r="H6055" i="1"/>
  <c r="G6055" i="1"/>
  <c r="F6055" i="1"/>
  <c r="N6054" i="1"/>
  <c r="H6054" i="1"/>
  <c r="G6054" i="1"/>
  <c r="F6054" i="1"/>
  <c r="N6053" i="1"/>
  <c r="H6053" i="1"/>
  <c r="G6053" i="1"/>
  <c r="F6053" i="1"/>
  <c r="N6052" i="1"/>
  <c r="H6052" i="1"/>
  <c r="G6052" i="1"/>
  <c r="F6052" i="1"/>
  <c r="N6051" i="1"/>
  <c r="H6051" i="1"/>
  <c r="G6051" i="1"/>
  <c r="F6051" i="1"/>
  <c r="N6050" i="1"/>
  <c r="H6050" i="1"/>
  <c r="G6050" i="1"/>
  <c r="F6050" i="1"/>
  <c r="N6049" i="1"/>
  <c r="H6049" i="1"/>
  <c r="G6049" i="1"/>
  <c r="F6049" i="1"/>
  <c r="N6048" i="1"/>
  <c r="H6048" i="1"/>
  <c r="G6048" i="1"/>
  <c r="F6048" i="1"/>
  <c r="N6047" i="1"/>
  <c r="H6047" i="1"/>
  <c r="G6047" i="1"/>
  <c r="F6047" i="1"/>
  <c r="N6046" i="1"/>
  <c r="H6046" i="1"/>
  <c r="G6046" i="1"/>
  <c r="F6046" i="1"/>
  <c r="N6045" i="1"/>
  <c r="H6045" i="1"/>
  <c r="G6045" i="1"/>
  <c r="F6045" i="1"/>
  <c r="N6044" i="1"/>
  <c r="H6044" i="1"/>
  <c r="G6044" i="1"/>
  <c r="F6044" i="1"/>
  <c r="N6043" i="1"/>
  <c r="H6043" i="1"/>
  <c r="G6043" i="1"/>
  <c r="F6043" i="1"/>
  <c r="N6042" i="1"/>
  <c r="H6042" i="1"/>
  <c r="G6042" i="1"/>
  <c r="F6042" i="1"/>
  <c r="N6041" i="1"/>
  <c r="H6041" i="1"/>
  <c r="G6041" i="1"/>
  <c r="F6041" i="1"/>
  <c r="N6040" i="1"/>
  <c r="H6040" i="1"/>
  <c r="G6040" i="1"/>
  <c r="F6040" i="1"/>
  <c r="N6039" i="1"/>
  <c r="H6039" i="1"/>
  <c r="G6039" i="1"/>
  <c r="F6039" i="1"/>
  <c r="N6038" i="1"/>
  <c r="H6038" i="1"/>
  <c r="G6038" i="1"/>
  <c r="F6038" i="1"/>
  <c r="N6037" i="1"/>
  <c r="H6037" i="1"/>
  <c r="G6037" i="1"/>
  <c r="F6037" i="1"/>
  <c r="N6036" i="1"/>
  <c r="H6036" i="1"/>
  <c r="G6036" i="1"/>
  <c r="F6036" i="1"/>
  <c r="N6035" i="1"/>
  <c r="H6035" i="1"/>
  <c r="G6035" i="1"/>
  <c r="F6035" i="1"/>
  <c r="N6034" i="1"/>
  <c r="H6034" i="1"/>
  <c r="G6034" i="1"/>
  <c r="F6034" i="1"/>
  <c r="N6033" i="1"/>
  <c r="H6033" i="1"/>
  <c r="G6033" i="1"/>
  <c r="F6033" i="1"/>
  <c r="N6032" i="1"/>
  <c r="H6032" i="1"/>
  <c r="G6032" i="1"/>
  <c r="F6032" i="1"/>
  <c r="N6031" i="1"/>
  <c r="H6031" i="1"/>
  <c r="G6031" i="1"/>
  <c r="F6031" i="1"/>
  <c r="N6030" i="1"/>
  <c r="H6030" i="1"/>
  <c r="G6030" i="1"/>
  <c r="F6030" i="1"/>
  <c r="N6029" i="1"/>
  <c r="H6029" i="1"/>
  <c r="G6029" i="1"/>
  <c r="F6029" i="1"/>
  <c r="N6028" i="1"/>
  <c r="H6028" i="1"/>
  <c r="G6028" i="1"/>
  <c r="F6028" i="1"/>
  <c r="N6027" i="1"/>
  <c r="H6027" i="1"/>
  <c r="G6027" i="1"/>
  <c r="F6027" i="1"/>
  <c r="N6026" i="1"/>
  <c r="H6026" i="1"/>
  <c r="G6026" i="1"/>
  <c r="F6026" i="1"/>
  <c r="N6025" i="1"/>
  <c r="H6025" i="1"/>
  <c r="G6025" i="1"/>
  <c r="F6025" i="1"/>
  <c r="N6024" i="1"/>
  <c r="H6024" i="1"/>
  <c r="G6024" i="1"/>
  <c r="F6024" i="1"/>
  <c r="N6023" i="1"/>
  <c r="H6023" i="1"/>
  <c r="G6023" i="1"/>
  <c r="F6023" i="1"/>
  <c r="N6022" i="1"/>
  <c r="H6022" i="1"/>
  <c r="G6022" i="1"/>
  <c r="F6022" i="1"/>
  <c r="N6021" i="1"/>
  <c r="H6021" i="1"/>
  <c r="G6021" i="1"/>
  <c r="F6021" i="1"/>
  <c r="N6020" i="1"/>
  <c r="H6020" i="1"/>
  <c r="G6020" i="1"/>
  <c r="F6020" i="1"/>
  <c r="N6019" i="1"/>
  <c r="H6019" i="1"/>
  <c r="G6019" i="1"/>
  <c r="F6019" i="1"/>
  <c r="N6018" i="1"/>
  <c r="H6018" i="1"/>
  <c r="G6018" i="1"/>
  <c r="F6018" i="1"/>
  <c r="N6017" i="1"/>
  <c r="H6017" i="1"/>
  <c r="G6017" i="1"/>
  <c r="F6017" i="1"/>
  <c r="N6016" i="1"/>
  <c r="H6016" i="1"/>
  <c r="G6016" i="1"/>
  <c r="F6016" i="1"/>
  <c r="N6015" i="1"/>
  <c r="H6015" i="1"/>
  <c r="G6015" i="1"/>
  <c r="F6015" i="1"/>
  <c r="N6014" i="1"/>
  <c r="H6014" i="1"/>
  <c r="G6014" i="1"/>
  <c r="F6014" i="1"/>
  <c r="N6013" i="1"/>
  <c r="H6013" i="1"/>
  <c r="G6013" i="1"/>
  <c r="F6013" i="1"/>
  <c r="N6012" i="1"/>
  <c r="H6012" i="1"/>
  <c r="G6012" i="1"/>
  <c r="F6012" i="1"/>
  <c r="N6011" i="1"/>
  <c r="H6011" i="1"/>
  <c r="G6011" i="1"/>
  <c r="F6011" i="1"/>
  <c r="N6010" i="1"/>
  <c r="H6010" i="1"/>
  <c r="G6010" i="1"/>
  <c r="F6010" i="1"/>
  <c r="N6009" i="1"/>
  <c r="H6009" i="1"/>
  <c r="G6009" i="1"/>
  <c r="F6009" i="1"/>
  <c r="N6008" i="1"/>
  <c r="H6008" i="1"/>
  <c r="G6008" i="1"/>
  <c r="F6008" i="1"/>
  <c r="N6007" i="1"/>
  <c r="H6007" i="1"/>
  <c r="G6007" i="1"/>
  <c r="F6007" i="1"/>
  <c r="N6006" i="1"/>
  <c r="H6006" i="1"/>
  <c r="G6006" i="1"/>
  <c r="F6006" i="1"/>
  <c r="N6005" i="1"/>
  <c r="H6005" i="1"/>
  <c r="G6005" i="1"/>
  <c r="F6005" i="1"/>
  <c r="N6004" i="1"/>
  <c r="H6004" i="1"/>
  <c r="G6004" i="1"/>
  <c r="F6004" i="1"/>
  <c r="N6003" i="1"/>
  <c r="H6003" i="1"/>
  <c r="G6003" i="1"/>
  <c r="F6003" i="1"/>
  <c r="N6002" i="1"/>
  <c r="H6002" i="1"/>
  <c r="G6002" i="1"/>
  <c r="F6002" i="1"/>
  <c r="N6001" i="1"/>
  <c r="H6001" i="1"/>
  <c r="G6001" i="1"/>
  <c r="F6001" i="1"/>
  <c r="N6000" i="1"/>
  <c r="H6000" i="1"/>
  <c r="G6000" i="1"/>
  <c r="F6000" i="1"/>
  <c r="N5999" i="1"/>
  <c r="H5999" i="1"/>
  <c r="G5999" i="1"/>
  <c r="F5999" i="1"/>
  <c r="N5998" i="1"/>
  <c r="H5998" i="1"/>
  <c r="G5998" i="1"/>
  <c r="F5998" i="1"/>
  <c r="N5997" i="1"/>
  <c r="H5997" i="1"/>
  <c r="G5997" i="1"/>
  <c r="F5997" i="1"/>
  <c r="N5996" i="1"/>
  <c r="H5996" i="1"/>
  <c r="G5996" i="1"/>
  <c r="F5996" i="1"/>
  <c r="N5995" i="1"/>
  <c r="H5995" i="1"/>
  <c r="G5995" i="1"/>
  <c r="F5995" i="1"/>
  <c r="N5994" i="1"/>
  <c r="H5994" i="1"/>
  <c r="G5994" i="1"/>
  <c r="F5994" i="1"/>
  <c r="N5993" i="1"/>
  <c r="H5993" i="1"/>
  <c r="G5993" i="1"/>
  <c r="F5993" i="1"/>
  <c r="N5992" i="1"/>
  <c r="H5992" i="1"/>
  <c r="G5992" i="1"/>
  <c r="F5992" i="1"/>
  <c r="N5991" i="1"/>
  <c r="H5991" i="1"/>
  <c r="G5991" i="1"/>
  <c r="F5991" i="1"/>
  <c r="N5990" i="1"/>
  <c r="H5990" i="1"/>
  <c r="G5990" i="1"/>
  <c r="F5990" i="1"/>
  <c r="N5989" i="1"/>
  <c r="H5989" i="1"/>
  <c r="G5989" i="1"/>
  <c r="F5989" i="1"/>
  <c r="N5988" i="1"/>
  <c r="H5988" i="1"/>
  <c r="G5988" i="1"/>
  <c r="F5988" i="1"/>
  <c r="N5987" i="1"/>
  <c r="H5987" i="1"/>
  <c r="G5987" i="1"/>
  <c r="F5987" i="1"/>
  <c r="N5986" i="1"/>
  <c r="H5986" i="1"/>
  <c r="G5986" i="1"/>
  <c r="F5986" i="1"/>
  <c r="N5985" i="1"/>
  <c r="H5985" i="1"/>
  <c r="G5985" i="1"/>
  <c r="F5985" i="1"/>
  <c r="N5984" i="1"/>
  <c r="H5984" i="1"/>
  <c r="G5984" i="1"/>
  <c r="F5984" i="1"/>
  <c r="N5983" i="1"/>
  <c r="H5983" i="1"/>
  <c r="G5983" i="1"/>
  <c r="F5983" i="1"/>
  <c r="N5982" i="1"/>
  <c r="H5982" i="1"/>
  <c r="G5982" i="1"/>
  <c r="F5982" i="1"/>
  <c r="N5981" i="1"/>
  <c r="H5981" i="1"/>
  <c r="G5981" i="1"/>
  <c r="F5981" i="1"/>
  <c r="N5980" i="1"/>
  <c r="H5980" i="1"/>
  <c r="G5980" i="1"/>
  <c r="F5980" i="1"/>
  <c r="N5979" i="1"/>
  <c r="H5979" i="1"/>
  <c r="G5979" i="1"/>
  <c r="F5979" i="1"/>
  <c r="N5978" i="1"/>
  <c r="H5978" i="1"/>
  <c r="G5978" i="1"/>
  <c r="F5978" i="1"/>
  <c r="N5977" i="1"/>
  <c r="H5977" i="1"/>
  <c r="G5977" i="1"/>
  <c r="F5977" i="1"/>
  <c r="N5976" i="1"/>
  <c r="H5976" i="1"/>
  <c r="G5976" i="1"/>
  <c r="F5976" i="1"/>
  <c r="N5975" i="1"/>
  <c r="H5975" i="1"/>
  <c r="G5975" i="1"/>
  <c r="F5975" i="1"/>
  <c r="N5974" i="1"/>
  <c r="H5974" i="1"/>
  <c r="G5974" i="1"/>
  <c r="F5974" i="1"/>
  <c r="N5973" i="1"/>
  <c r="H5973" i="1"/>
  <c r="G5973" i="1"/>
  <c r="F5973" i="1"/>
  <c r="N5972" i="1"/>
  <c r="H5972" i="1"/>
  <c r="G5972" i="1"/>
  <c r="F5972" i="1"/>
  <c r="N5971" i="1"/>
  <c r="H5971" i="1"/>
  <c r="G5971" i="1"/>
  <c r="F5971" i="1"/>
  <c r="N5970" i="1"/>
  <c r="H5970" i="1"/>
  <c r="G5970" i="1"/>
  <c r="F5970" i="1"/>
  <c r="N5969" i="1"/>
  <c r="H5969" i="1"/>
  <c r="G5969" i="1"/>
  <c r="F5969" i="1"/>
  <c r="N5968" i="1"/>
  <c r="H5968" i="1"/>
  <c r="G5968" i="1"/>
  <c r="F5968" i="1"/>
  <c r="N5967" i="1"/>
  <c r="H5967" i="1"/>
  <c r="G5967" i="1"/>
  <c r="F5967" i="1"/>
  <c r="N5966" i="1"/>
  <c r="H5966" i="1"/>
  <c r="G5966" i="1"/>
  <c r="F5966" i="1"/>
  <c r="N5965" i="1"/>
  <c r="H5965" i="1"/>
  <c r="G5965" i="1"/>
  <c r="F5965" i="1"/>
  <c r="N5964" i="1"/>
  <c r="H5964" i="1"/>
  <c r="G5964" i="1"/>
  <c r="F5964" i="1"/>
  <c r="N5963" i="1"/>
  <c r="H5963" i="1"/>
  <c r="G5963" i="1"/>
  <c r="F5963" i="1"/>
  <c r="N5962" i="1"/>
  <c r="H5962" i="1"/>
  <c r="G5962" i="1"/>
  <c r="F5962" i="1"/>
  <c r="N5961" i="1"/>
  <c r="H5961" i="1"/>
  <c r="G5961" i="1"/>
  <c r="F5961" i="1"/>
  <c r="N5960" i="1"/>
  <c r="H5960" i="1"/>
  <c r="G5960" i="1"/>
  <c r="F5960" i="1"/>
  <c r="N5959" i="1"/>
  <c r="H5959" i="1"/>
  <c r="G5959" i="1"/>
  <c r="F5959" i="1"/>
  <c r="N5958" i="1"/>
  <c r="H5958" i="1"/>
  <c r="G5958" i="1"/>
  <c r="F5958" i="1"/>
  <c r="N5957" i="1"/>
  <c r="H5957" i="1"/>
  <c r="G5957" i="1"/>
  <c r="F5957" i="1"/>
  <c r="N5956" i="1"/>
  <c r="H5956" i="1"/>
  <c r="G5956" i="1"/>
  <c r="F5956" i="1"/>
  <c r="N5955" i="1"/>
  <c r="H5955" i="1"/>
  <c r="G5955" i="1"/>
  <c r="F5955" i="1"/>
  <c r="N5954" i="1"/>
  <c r="H5954" i="1"/>
  <c r="G5954" i="1"/>
  <c r="F5954" i="1"/>
  <c r="N5953" i="1"/>
  <c r="H5953" i="1"/>
  <c r="G5953" i="1"/>
  <c r="F5953" i="1"/>
  <c r="N5952" i="1"/>
  <c r="H5952" i="1"/>
  <c r="G5952" i="1"/>
  <c r="F5952" i="1"/>
  <c r="N5951" i="1"/>
  <c r="H5951" i="1"/>
  <c r="G5951" i="1"/>
  <c r="F5951" i="1"/>
  <c r="N5950" i="1"/>
  <c r="H5950" i="1"/>
  <c r="G5950" i="1"/>
  <c r="F5950" i="1"/>
  <c r="N5949" i="1"/>
  <c r="H5949" i="1"/>
  <c r="G5949" i="1"/>
  <c r="F5949" i="1"/>
  <c r="N5948" i="1"/>
  <c r="H5948" i="1"/>
  <c r="G5948" i="1"/>
  <c r="F5948" i="1"/>
  <c r="N5947" i="1"/>
  <c r="H5947" i="1"/>
  <c r="G5947" i="1"/>
  <c r="F5947" i="1"/>
  <c r="N5946" i="1"/>
  <c r="H5946" i="1"/>
  <c r="G5946" i="1"/>
  <c r="F5946" i="1"/>
  <c r="N5945" i="1"/>
  <c r="H5945" i="1"/>
  <c r="G5945" i="1"/>
  <c r="F5945" i="1"/>
  <c r="N5944" i="1"/>
  <c r="H5944" i="1"/>
  <c r="G5944" i="1"/>
  <c r="F5944" i="1"/>
  <c r="N5943" i="1"/>
  <c r="H5943" i="1"/>
  <c r="G5943" i="1"/>
  <c r="F5943" i="1"/>
  <c r="N5942" i="1"/>
  <c r="H5942" i="1"/>
  <c r="G5942" i="1"/>
  <c r="F5942" i="1"/>
  <c r="N5941" i="1"/>
  <c r="H5941" i="1"/>
  <c r="G5941" i="1"/>
  <c r="F5941" i="1"/>
  <c r="N5940" i="1"/>
  <c r="H5940" i="1"/>
  <c r="G5940" i="1"/>
  <c r="F5940" i="1"/>
  <c r="N5939" i="1"/>
  <c r="H5939" i="1"/>
  <c r="G5939" i="1"/>
  <c r="F5939" i="1"/>
  <c r="N5938" i="1"/>
  <c r="H5938" i="1"/>
  <c r="G5938" i="1"/>
  <c r="F5938" i="1"/>
  <c r="N5937" i="1"/>
  <c r="H5937" i="1"/>
  <c r="G5937" i="1"/>
  <c r="F5937" i="1"/>
  <c r="N5936" i="1"/>
  <c r="H5936" i="1"/>
  <c r="G5936" i="1"/>
  <c r="F5936" i="1"/>
  <c r="N5935" i="1"/>
  <c r="H5935" i="1"/>
  <c r="G5935" i="1"/>
  <c r="F5935" i="1"/>
  <c r="N5934" i="1"/>
  <c r="H5934" i="1"/>
  <c r="G5934" i="1"/>
  <c r="F5934" i="1"/>
  <c r="N5933" i="1"/>
  <c r="H5933" i="1"/>
  <c r="G5933" i="1"/>
  <c r="F5933" i="1"/>
  <c r="N5932" i="1"/>
  <c r="H5932" i="1"/>
  <c r="G5932" i="1"/>
  <c r="F5932" i="1"/>
  <c r="N5931" i="1"/>
  <c r="H5931" i="1"/>
  <c r="G5931" i="1"/>
  <c r="F5931" i="1"/>
  <c r="N5930" i="1"/>
  <c r="H5930" i="1"/>
  <c r="G5930" i="1"/>
  <c r="F5930" i="1"/>
  <c r="N5929" i="1"/>
  <c r="H5929" i="1"/>
  <c r="G5929" i="1"/>
  <c r="F5929" i="1"/>
  <c r="N5928" i="1"/>
  <c r="H5928" i="1"/>
  <c r="G5928" i="1"/>
  <c r="F5928" i="1"/>
  <c r="N5927" i="1"/>
  <c r="H5927" i="1"/>
  <c r="G5927" i="1"/>
  <c r="F5927" i="1"/>
  <c r="N5926" i="1"/>
  <c r="H5926" i="1"/>
  <c r="G5926" i="1"/>
  <c r="F5926" i="1"/>
  <c r="N5925" i="1"/>
  <c r="H5925" i="1"/>
  <c r="G5925" i="1"/>
  <c r="F5925" i="1"/>
  <c r="N5924" i="1"/>
  <c r="H5924" i="1"/>
  <c r="G5924" i="1"/>
  <c r="F5924" i="1"/>
  <c r="N5923" i="1"/>
  <c r="H5923" i="1"/>
  <c r="G5923" i="1"/>
  <c r="F5923" i="1"/>
  <c r="N5922" i="1"/>
  <c r="H5922" i="1"/>
  <c r="G5922" i="1"/>
  <c r="F5922" i="1"/>
  <c r="N5921" i="1"/>
  <c r="H5921" i="1"/>
  <c r="G5921" i="1"/>
  <c r="F5921" i="1"/>
  <c r="N5920" i="1"/>
  <c r="H5920" i="1"/>
  <c r="G5920" i="1"/>
  <c r="F5920" i="1"/>
  <c r="N5919" i="1"/>
  <c r="H5919" i="1"/>
  <c r="G5919" i="1"/>
  <c r="F5919" i="1"/>
  <c r="N5918" i="1"/>
  <c r="H5918" i="1"/>
  <c r="G5918" i="1"/>
  <c r="F5918" i="1"/>
  <c r="N5917" i="1"/>
  <c r="H5917" i="1"/>
  <c r="G5917" i="1"/>
  <c r="F5917" i="1"/>
  <c r="N5916" i="1"/>
  <c r="H5916" i="1"/>
  <c r="G5916" i="1"/>
  <c r="F5916" i="1"/>
  <c r="N5915" i="1"/>
  <c r="H5915" i="1"/>
  <c r="G5915" i="1"/>
  <c r="F5915" i="1"/>
  <c r="N5914" i="1"/>
  <c r="H5914" i="1"/>
  <c r="G5914" i="1"/>
  <c r="F5914" i="1"/>
  <c r="N5913" i="1"/>
  <c r="H5913" i="1"/>
  <c r="G5913" i="1"/>
  <c r="F5913" i="1"/>
  <c r="N5912" i="1"/>
  <c r="H5912" i="1"/>
  <c r="G5912" i="1"/>
  <c r="F5912" i="1"/>
  <c r="N5911" i="1"/>
  <c r="H5911" i="1"/>
  <c r="G5911" i="1"/>
  <c r="F5911" i="1"/>
  <c r="N5910" i="1"/>
  <c r="H5910" i="1"/>
  <c r="G5910" i="1"/>
  <c r="F5910" i="1"/>
  <c r="N5909" i="1"/>
  <c r="H5909" i="1"/>
  <c r="G5909" i="1"/>
  <c r="F5909" i="1"/>
  <c r="N5908" i="1"/>
  <c r="H5908" i="1"/>
  <c r="G5908" i="1"/>
  <c r="F5908" i="1"/>
  <c r="N5907" i="1"/>
  <c r="H5907" i="1"/>
  <c r="G5907" i="1"/>
  <c r="F5907" i="1"/>
  <c r="N5906" i="1"/>
  <c r="H5906" i="1"/>
  <c r="G5906" i="1"/>
  <c r="F5906" i="1"/>
  <c r="N5905" i="1"/>
  <c r="H5905" i="1"/>
  <c r="G5905" i="1"/>
  <c r="F5905" i="1"/>
  <c r="N5904" i="1"/>
  <c r="H5904" i="1"/>
  <c r="G5904" i="1"/>
  <c r="F5904" i="1"/>
  <c r="N5903" i="1"/>
  <c r="H5903" i="1"/>
  <c r="G5903" i="1"/>
  <c r="F5903" i="1"/>
  <c r="N5902" i="1"/>
  <c r="H5902" i="1"/>
  <c r="G5902" i="1"/>
  <c r="F5902" i="1"/>
  <c r="N5901" i="1"/>
  <c r="H5901" i="1"/>
  <c r="G5901" i="1"/>
  <c r="F5901" i="1"/>
  <c r="N5900" i="1"/>
  <c r="H5900" i="1"/>
  <c r="G5900" i="1"/>
  <c r="F5900" i="1"/>
  <c r="N5899" i="1"/>
  <c r="H5899" i="1"/>
  <c r="G5899" i="1"/>
  <c r="F5899" i="1"/>
  <c r="N5898" i="1"/>
  <c r="H5898" i="1"/>
  <c r="G5898" i="1"/>
  <c r="F5898" i="1"/>
  <c r="N5897" i="1"/>
  <c r="H5897" i="1"/>
  <c r="G5897" i="1"/>
  <c r="F5897" i="1"/>
  <c r="N5896" i="1"/>
  <c r="H5896" i="1"/>
  <c r="G5896" i="1"/>
  <c r="F5896" i="1"/>
  <c r="N5895" i="1"/>
  <c r="H5895" i="1"/>
  <c r="G5895" i="1"/>
  <c r="F5895" i="1"/>
  <c r="N5894" i="1"/>
  <c r="H5894" i="1"/>
  <c r="G5894" i="1"/>
  <c r="F5894" i="1"/>
  <c r="N5893" i="1"/>
  <c r="H5893" i="1"/>
  <c r="G5893" i="1"/>
  <c r="F5893" i="1"/>
  <c r="N5892" i="1"/>
  <c r="H5892" i="1"/>
  <c r="G5892" i="1"/>
  <c r="F5892" i="1"/>
  <c r="N5891" i="1"/>
  <c r="H5891" i="1"/>
  <c r="G5891" i="1"/>
  <c r="F5891" i="1"/>
  <c r="N5890" i="1"/>
  <c r="H5890" i="1"/>
  <c r="G5890" i="1"/>
  <c r="F5890" i="1"/>
  <c r="N5889" i="1"/>
  <c r="H5889" i="1"/>
  <c r="G5889" i="1"/>
  <c r="F5889" i="1"/>
  <c r="N5888" i="1"/>
  <c r="H5888" i="1"/>
  <c r="G5888" i="1"/>
  <c r="F5888" i="1"/>
  <c r="N5887" i="1"/>
  <c r="H5887" i="1"/>
  <c r="G5887" i="1"/>
  <c r="F5887" i="1"/>
  <c r="N5886" i="1"/>
  <c r="H5886" i="1"/>
  <c r="G5886" i="1"/>
  <c r="F5886" i="1"/>
  <c r="N5885" i="1"/>
  <c r="H5885" i="1"/>
  <c r="G5885" i="1"/>
  <c r="F5885" i="1"/>
  <c r="N5884" i="1"/>
  <c r="H5884" i="1"/>
  <c r="G5884" i="1"/>
  <c r="F5884" i="1"/>
  <c r="N5883" i="1"/>
  <c r="H5883" i="1"/>
  <c r="G5883" i="1"/>
  <c r="F5883" i="1"/>
  <c r="N5882" i="1"/>
  <c r="H5882" i="1"/>
  <c r="G5882" i="1"/>
  <c r="F5882" i="1"/>
  <c r="N5881" i="1"/>
  <c r="H5881" i="1"/>
  <c r="G5881" i="1"/>
  <c r="F5881" i="1"/>
  <c r="N5880" i="1"/>
  <c r="H5880" i="1"/>
  <c r="G5880" i="1"/>
  <c r="F5880" i="1"/>
  <c r="N5879" i="1"/>
  <c r="H5879" i="1"/>
  <c r="G5879" i="1"/>
  <c r="F5879" i="1"/>
  <c r="N5878" i="1"/>
  <c r="H5878" i="1"/>
  <c r="G5878" i="1"/>
  <c r="F5878" i="1"/>
  <c r="N5877" i="1"/>
  <c r="H5877" i="1"/>
  <c r="G5877" i="1"/>
  <c r="F5877" i="1"/>
  <c r="N5876" i="1"/>
  <c r="H5876" i="1"/>
  <c r="G5876" i="1"/>
  <c r="F5876" i="1"/>
  <c r="N5875" i="1"/>
  <c r="H5875" i="1"/>
  <c r="G5875" i="1"/>
  <c r="F5875" i="1"/>
  <c r="N5874" i="1"/>
  <c r="H5874" i="1"/>
  <c r="G5874" i="1"/>
  <c r="F5874" i="1"/>
  <c r="N5873" i="1"/>
  <c r="H5873" i="1"/>
  <c r="G5873" i="1"/>
  <c r="F5873" i="1"/>
  <c r="N5872" i="1"/>
  <c r="H5872" i="1"/>
  <c r="G5872" i="1"/>
  <c r="F5872" i="1"/>
  <c r="N5871" i="1"/>
  <c r="H5871" i="1"/>
  <c r="G5871" i="1"/>
  <c r="F5871" i="1"/>
  <c r="N5870" i="1"/>
  <c r="H5870" i="1"/>
  <c r="G5870" i="1"/>
  <c r="F5870" i="1"/>
  <c r="N5869" i="1"/>
  <c r="H5869" i="1"/>
  <c r="G5869" i="1"/>
  <c r="F5869" i="1"/>
  <c r="N5868" i="1"/>
  <c r="H5868" i="1"/>
  <c r="G5868" i="1"/>
  <c r="F5868" i="1"/>
  <c r="N5867" i="1"/>
  <c r="H5867" i="1"/>
  <c r="G5867" i="1"/>
  <c r="F5867" i="1"/>
  <c r="N5866" i="1"/>
  <c r="H5866" i="1"/>
  <c r="G5866" i="1"/>
  <c r="F5866" i="1"/>
  <c r="N5865" i="1"/>
  <c r="H5865" i="1"/>
  <c r="G5865" i="1"/>
  <c r="F5865" i="1"/>
  <c r="N5864" i="1"/>
  <c r="H5864" i="1"/>
  <c r="G5864" i="1"/>
  <c r="F5864" i="1"/>
  <c r="N5863" i="1"/>
  <c r="H5863" i="1"/>
  <c r="G5863" i="1"/>
  <c r="F5863" i="1"/>
  <c r="N5862" i="1"/>
  <c r="H5862" i="1"/>
  <c r="G5862" i="1"/>
  <c r="F5862" i="1"/>
  <c r="N5861" i="1"/>
  <c r="H5861" i="1"/>
  <c r="G5861" i="1"/>
  <c r="F5861" i="1"/>
  <c r="N5860" i="1"/>
  <c r="H5860" i="1"/>
  <c r="G5860" i="1"/>
  <c r="F5860" i="1"/>
  <c r="N5859" i="1"/>
  <c r="H5859" i="1"/>
  <c r="G5859" i="1"/>
  <c r="F5859" i="1"/>
  <c r="N5858" i="1"/>
  <c r="H5858" i="1"/>
  <c r="G5858" i="1"/>
  <c r="F5858" i="1"/>
  <c r="N5857" i="1"/>
  <c r="H5857" i="1"/>
  <c r="G5857" i="1"/>
  <c r="F5857" i="1"/>
  <c r="N5856" i="1"/>
  <c r="H5856" i="1"/>
  <c r="G5856" i="1"/>
  <c r="F5856" i="1"/>
  <c r="N5855" i="1"/>
  <c r="H5855" i="1"/>
  <c r="G5855" i="1"/>
  <c r="F5855" i="1"/>
  <c r="N5854" i="1"/>
  <c r="H5854" i="1"/>
  <c r="G5854" i="1"/>
  <c r="F5854" i="1"/>
  <c r="N5853" i="1"/>
  <c r="H5853" i="1"/>
  <c r="G5853" i="1"/>
  <c r="F5853" i="1"/>
  <c r="N5852" i="1"/>
  <c r="H5852" i="1"/>
  <c r="G5852" i="1"/>
  <c r="F5852" i="1"/>
  <c r="N5851" i="1"/>
  <c r="H5851" i="1"/>
  <c r="G5851" i="1"/>
  <c r="F5851" i="1"/>
  <c r="N5850" i="1"/>
  <c r="H5850" i="1"/>
  <c r="G5850" i="1"/>
  <c r="F5850" i="1"/>
  <c r="N5849" i="1"/>
  <c r="H5849" i="1"/>
  <c r="G5849" i="1"/>
  <c r="F5849" i="1"/>
  <c r="N5848" i="1"/>
  <c r="H5848" i="1"/>
  <c r="G5848" i="1"/>
  <c r="F5848" i="1"/>
  <c r="N5847" i="1"/>
  <c r="H5847" i="1"/>
  <c r="G5847" i="1"/>
  <c r="F5847" i="1"/>
  <c r="N5846" i="1"/>
  <c r="H5846" i="1"/>
  <c r="G5846" i="1"/>
  <c r="F5846" i="1"/>
  <c r="N5845" i="1"/>
  <c r="H5845" i="1"/>
  <c r="G5845" i="1"/>
  <c r="F5845" i="1"/>
  <c r="N5844" i="1"/>
  <c r="H5844" i="1"/>
  <c r="G5844" i="1"/>
  <c r="F5844" i="1"/>
  <c r="N5843" i="1"/>
  <c r="H5843" i="1"/>
  <c r="G5843" i="1"/>
  <c r="F5843" i="1"/>
  <c r="N5842" i="1"/>
  <c r="H5842" i="1"/>
  <c r="G5842" i="1"/>
  <c r="F5842" i="1"/>
  <c r="N5841" i="1"/>
  <c r="H5841" i="1"/>
  <c r="G5841" i="1"/>
  <c r="F5841" i="1"/>
  <c r="N5840" i="1"/>
  <c r="H5840" i="1"/>
  <c r="G5840" i="1"/>
  <c r="F5840" i="1"/>
  <c r="N5839" i="1"/>
  <c r="H5839" i="1"/>
  <c r="G5839" i="1"/>
  <c r="F5839" i="1"/>
  <c r="N5838" i="1"/>
  <c r="H5838" i="1"/>
  <c r="G5838" i="1"/>
  <c r="F5838" i="1"/>
  <c r="N5837" i="1"/>
  <c r="H5837" i="1"/>
  <c r="G5837" i="1"/>
  <c r="F5837" i="1"/>
  <c r="N5836" i="1"/>
  <c r="H5836" i="1"/>
  <c r="G5836" i="1"/>
  <c r="F5836" i="1"/>
  <c r="N5835" i="1"/>
  <c r="H5835" i="1"/>
  <c r="G5835" i="1"/>
  <c r="F5835" i="1"/>
  <c r="N5834" i="1"/>
  <c r="H5834" i="1"/>
  <c r="G5834" i="1"/>
  <c r="F5834" i="1"/>
  <c r="N5833" i="1"/>
  <c r="H5833" i="1"/>
  <c r="G5833" i="1"/>
  <c r="F5833" i="1"/>
  <c r="N5832" i="1"/>
  <c r="H5832" i="1"/>
  <c r="G5832" i="1"/>
  <c r="F5832" i="1"/>
  <c r="N5831" i="1"/>
  <c r="H5831" i="1"/>
  <c r="G5831" i="1"/>
  <c r="F5831" i="1"/>
  <c r="N5830" i="1"/>
  <c r="H5830" i="1"/>
  <c r="G5830" i="1"/>
  <c r="F5830" i="1"/>
  <c r="N5829" i="1"/>
  <c r="H5829" i="1"/>
  <c r="G5829" i="1"/>
  <c r="F5829" i="1"/>
  <c r="N5828" i="1"/>
  <c r="H5828" i="1"/>
  <c r="G5828" i="1"/>
  <c r="F5828" i="1"/>
  <c r="N5827" i="1"/>
  <c r="H5827" i="1"/>
  <c r="G5827" i="1"/>
  <c r="F5827" i="1"/>
  <c r="N5826" i="1"/>
  <c r="H5826" i="1"/>
  <c r="G5826" i="1"/>
  <c r="F5826" i="1"/>
  <c r="N5825" i="1"/>
  <c r="H5825" i="1"/>
  <c r="G5825" i="1"/>
  <c r="F5825" i="1"/>
  <c r="N5824" i="1"/>
  <c r="H5824" i="1"/>
  <c r="G5824" i="1"/>
  <c r="F5824" i="1"/>
  <c r="N5823" i="1"/>
  <c r="H5823" i="1"/>
  <c r="G5823" i="1"/>
  <c r="F5823" i="1"/>
  <c r="N5822" i="1"/>
  <c r="H5822" i="1"/>
  <c r="G5822" i="1"/>
  <c r="F5822" i="1"/>
  <c r="N5821" i="1"/>
  <c r="H5821" i="1"/>
  <c r="G5821" i="1"/>
  <c r="F5821" i="1"/>
  <c r="N5820" i="1"/>
  <c r="H5820" i="1"/>
  <c r="G5820" i="1"/>
  <c r="F5820" i="1"/>
  <c r="N5819" i="1"/>
  <c r="H5819" i="1"/>
  <c r="G5819" i="1"/>
  <c r="F5819" i="1"/>
  <c r="N5818" i="1"/>
  <c r="H5818" i="1"/>
  <c r="G5818" i="1"/>
  <c r="F5818" i="1"/>
  <c r="N5817" i="1"/>
  <c r="H5817" i="1"/>
  <c r="G5817" i="1"/>
  <c r="F5817" i="1"/>
  <c r="N5816" i="1"/>
  <c r="H5816" i="1"/>
  <c r="G5816" i="1"/>
  <c r="F5816" i="1"/>
  <c r="N5815" i="1"/>
  <c r="H5815" i="1"/>
  <c r="G5815" i="1"/>
  <c r="F5815" i="1"/>
  <c r="N5814" i="1"/>
  <c r="H5814" i="1"/>
  <c r="G5814" i="1"/>
  <c r="F5814" i="1"/>
  <c r="N5813" i="1"/>
  <c r="H5813" i="1"/>
  <c r="G5813" i="1"/>
  <c r="F5813" i="1"/>
  <c r="N5812" i="1"/>
  <c r="H5812" i="1"/>
  <c r="G5812" i="1"/>
  <c r="F5812" i="1"/>
  <c r="N5811" i="1"/>
  <c r="H5811" i="1"/>
  <c r="G5811" i="1"/>
  <c r="F5811" i="1"/>
  <c r="N5810" i="1"/>
  <c r="H5810" i="1"/>
  <c r="G5810" i="1"/>
  <c r="F5810" i="1"/>
  <c r="N5809" i="1"/>
  <c r="H5809" i="1"/>
  <c r="G5809" i="1"/>
  <c r="F5809" i="1"/>
  <c r="N5808" i="1"/>
  <c r="H5808" i="1"/>
  <c r="G5808" i="1"/>
  <c r="F5808" i="1"/>
  <c r="N5807" i="1"/>
  <c r="H5807" i="1"/>
  <c r="G5807" i="1"/>
  <c r="F5807" i="1"/>
  <c r="N5806" i="1"/>
  <c r="H5806" i="1"/>
  <c r="G5806" i="1"/>
  <c r="F5806" i="1"/>
  <c r="N5805" i="1"/>
  <c r="H5805" i="1"/>
  <c r="G5805" i="1"/>
  <c r="F5805" i="1"/>
  <c r="N5804" i="1"/>
  <c r="H5804" i="1"/>
  <c r="G5804" i="1"/>
  <c r="F5804" i="1"/>
  <c r="N5803" i="1"/>
  <c r="H5803" i="1"/>
  <c r="G5803" i="1"/>
  <c r="F5803" i="1"/>
  <c r="N5802" i="1"/>
  <c r="H5802" i="1"/>
  <c r="G5802" i="1"/>
  <c r="F5802" i="1"/>
  <c r="N5801" i="1"/>
  <c r="H5801" i="1"/>
  <c r="G5801" i="1"/>
  <c r="F5801" i="1"/>
  <c r="N5800" i="1"/>
  <c r="H5800" i="1"/>
  <c r="G5800" i="1"/>
  <c r="F5800" i="1"/>
  <c r="N5799" i="1"/>
  <c r="H5799" i="1"/>
  <c r="G5799" i="1"/>
  <c r="F5799" i="1"/>
  <c r="N5798" i="1"/>
  <c r="H5798" i="1"/>
  <c r="G5798" i="1"/>
  <c r="F5798" i="1"/>
  <c r="N5797" i="1"/>
  <c r="H5797" i="1"/>
  <c r="G5797" i="1"/>
  <c r="F5797" i="1"/>
  <c r="N5796" i="1"/>
  <c r="H5796" i="1"/>
  <c r="G5796" i="1"/>
  <c r="F5796" i="1"/>
  <c r="N5795" i="1"/>
  <c r="H5795" i="1"/>
  <c r="G5795" i="1"/>
  <c r="F5795" i="1"/>
  <c r="N5794" i="1"/>
  <c r="H5794" i="1"/>
  <c r="G5794" i="1"/>
  <c r="F5794" i="1"/>
  <c r="N5793" i="1"/>
  <c r="H5793" i="1"/>
  <c r="G5793" i="1"/>
  <c r="F5793" i="1"/>
  <c r="N5792" i="1"/>
  <c r="H5792" i="1"/>
  <c r="G5792" i="1"/>
  <c r="F5792" i="1"/>
  <c r="N5791" i="1"/>
  <c r="H5791" i="1"/>
  <c r="G5791" i="1"/>
  <c r="F5791" i="1"/>
  <c r="N5790" i="1"/>
  <c r="H5790" i="1"/>
  <c r="G5790" i="1"/>
  <c r="F5790" i="1"/>
  <c r="N5789" i="1"/>
  <c r="H5789" i="1"/>
  <c r="G5789" i="1"/>
  <c r="F5789" i="1"/>
  <c r="N5788" i="1"/>
  <c r="H5788" i="1"/>
  <c r="G5788" i="1"/>
  <c r="F5788" i="1"/>
  <c r="N5787" i="1"/>
  <c r="H5787" i="1"/>
  <c r="G5787" i="1"/>
  <c r="F5787" i="1"/>
  <c r="N5786" i="1"/>
  <c r="H5786" i="1"/>
  <c r="G5786" i="1"/>
  <c r="F5786" i="1"/>
  <c r="N5785" i="1"/>
  <c r="H5785" i="1"/>
  <c r="G5785" i="1"/>
  <c r="F5785" i="1"/>
  <c r="N5784" i="1"/>
  <c r="H5784" i="1"/>
  <c r="G5784" i="1"/>
  <c r="F5784" i="1"/>
  <c r="N5783" i="1"/>
  <c r="H5783" i="1"/>
  <c r="G5783" i="1"/>
  <c r="F5783" i="1"/>
  <c r="N5782" i="1"/>
  <c r="H5782" i="1"/>
  <c r="G5782" i="1"/>
  <c r="F5782" i="1"/>
  <c r="N5781" i="1"/>
  <c r="H5781" i="1"/>
  <c r="G5781" i="1"/>
  <c r="F5781" i="1"/>
  <c r="N5780" i="1"/>
  <c r="H5780" i="1"/>
  <c r="G5780" i="1"/>
  <c r="F5780" i="1"/>
  <c r="N5779" i="1"/>
  <c r="H5779" i="1"/>
  <c r="G5779" i="1"/>
  <c r="F5779" i="1"/>
  <c r="N5778" i="1"/>
  <c r="H5778" i="1"/>
  <c r="G5778" i="1"/>
  <c r="F5778" i="1"/>
  <c r="N5777" i="1"/>
  <c r="H5777" i="1"/>
  <c r="G5777" i="1"/>
  <c r="F5777" i="1"/>
  <c r="N5776" i="1"/>
  <c r="H5776" i="1"/>
  <c r="G5776" i="1"/>
  <c r="F5776" i="1"/>
  <c r="N5775" i="1"/>
  <c r="H5775" i="1"/>
  <c r="G5775" i="1"/>
  <c r="F5775" i="1"/>
  <c r="N5774" i="1"/>
  <c r="H5774" i="1"/>
  <c r="G5774" i="1"/>
  <c r="F5774" i="1"/>
  <c r="N5773" i="1"/>
  <c r="H5773" i="1"/>
  <c r="G5773" i="1"/>
  <c r="F5773" i="1"/>
  <c r="N5772" i="1"/>
  <c r="H5772" i="1"/>
  <c r="G5772" i="1"/>
  <c r="F5772" i="1"/>
  <c r="N5771" i="1"/>
  <c r="H5771" i="1"/>
  <c r="G5771" i="1"/>
  <c r="F5771" i="1"/>
  <c r="N5770" i="1"/>
  <c r="H5770" i="1"/>
  <c r="G5770" i="1"/>
  <c r="F5770" i="1"/>
  <c r="N5769" i="1"/>
  <c r="H5769" i="1"/>
  <c r="G5769" i="1"/>
  <c r="F5769" i="1"/>
  <c r="N5768" i="1"/>
  <c r="H5768" i="1"/>
  <c r="G5768" i="1"/>
  <c r="F5768" i="1"/>
  <c r="N5767" i="1"/>
  <c r="H5767" i="1"/>
  <c r="G5767" i="1"/>
  <c r="F5767" i="1"/>
  <c r="N5766" i="1"/>
  <c r="H5766" i="1"/>
  <c r="G5766" i="1"/>
  <c r="F5766" i="1"/>
  <c r="N5765" i="1"/>
  <c r="H5765" i="1"/>
  <c r="G5765" i="1"/>
  <c r="F5765" i="1"/>
  <c r="N5764" i="1"/>
  <c r="H5764" i="1"/>
  <c r="G5764" i="1"/>
  <c r="F5764" i="1"/>
  <c r="N5763" i="1"/>
  <c r="H5763" i="1"/>
  <c r="G5763" i="1"/>
  <c r="F5763" i="1"/>
  <c r="N5762" i="1"/>
  <c r="H5762" i="1"/>
  <c r="G5762" i="1"/>
  <c r="F5762" i="1"/>
  <c r="N5761" i="1"/>
  <c r="H5761" i="1"/>
  <c r="G5761" i="1"/>
  <c r="F5761" i="1"/>
  <c r="N5760" i="1"/>
  <c r="H5760" i="1"/>
  <c r="G5760" i="1"/>
  <c r="F5760" i="1"/>
  <c r="N5759" i="1"/>
  <c r="H5759" i="1"/>
  <c r="G5759" i="1"/>
  <c r="F5759" i="1"/>
  <c r="N5758" i="1"/>
  <c r="H5758" i="1"/>
  <c r="G5758" i="1"/>
  <c r="F5758" i="1"/>
  <c r="N5757" i="1"/>
  <c r="H5757" i="1"/>
  <c r="G5757" i="1"/>
  <c r="F5757" i="1"/>
  <c r="N5756" i="1"/>
  <c r="H5756" i="1"/>
  <c r="G5756" i="1"/>
  <c r="F5756" i="1"/>
  <c r="N5755" i="1"/>
  <c r="H5755" i="1"/>
  <c r="G5755" i="1"/>
  <c r="F5755" i="1"/>
  <c r="N5754" i="1"/>
  <c r="H5754" i="1"/>
  <c r="G5754" i="1"/>
  <c r="F5754" i="1"/>
  <c r="N5753" i="1"/>
  <c r="H5753" i="1"/>
  <c r="G5753" i="1"/>
  <c r="F5753" i="1"/>
  <c r="N5752" i="1"/>
  <c r="H5752" i="1"/>
  <c r="G5752" i="1"/>
  <c r="F5752" i="1"/>
  <c r="N5751" i="1"/>
  <c r="H5751" i="1"/>
  <c r="G5751" i="1"/>
  <c r="F5751" i="1"/>
  <c r="N5750" i="1"/>
  <c r="H5750" i="1"/>
  <c r="G5750" i="1"/>
  <c r="F5750" i="1"/>
  <c r="N5749" i="1"/>
  <c r="H5749" i="1"/>
  <c r="G5749" i="1"/>
  <c r="F5749" i="1"/>
  <c r="N5748" i="1"/>
  <c r="H5748" i="1"/>
  <c r="G5748" i="1"/>
  <c r="F5748" i="1"/>
  <c r="N5747" i="1"/>
  <c r="H5747" i="1"/>
  <c r="G5747" i="1"/>
  <c r="F5747" i="1"/>
  <c r="N5746" i="1"/>
  <c r="H5746" i="1"/>
  <c r="G5746" i="1"/>
  <c r="F5746" i="1"/>
  <c r="N5745" i="1"/>
  <c r="H5745" i="1"/>
  <c r="G5745" i="1"/>
  <c r="F5745" i="1"/>
  <c r="N5744" i="1"/>
  <c r="H5744" i="1"/>
  <c r="G5744" i="1"/>
  <c r="F5744" i="1"/>
  <c r="N5743" i="1"/>
  <c r="H5743" i="1"/>
  <c r="G5743" i="1"/>
  <c r="F5743" i="1"/>
  <c r="N5742" i="1"/>
  <c r="H5742" i="1"/>
  <c r="G5742" i="1"/>
  <c r="F5742" i="1"/>
  <c r="N5741" i="1"/>
  <c r="H5741" i="1"/>
  <c r="G5741" i="1"/>
  <c r="F5741" i="1"/>
  <c r="N5740" i="1"/>
  <c r="H5740" i="1"/>
  <c r="G5740" i="1"/>
  <c r="F5740" i="1"/>
  <c r="N5739" i="1"/>
  <c r="H5739" i="1"/>
  <c r="G5739" i="1"/>
  <c r="F5739" i="1"/>
  <c r="N5738" i="1"/>
  <c r="H5738" i="1"/>
  <c r="G5738" i="1"/>
  <c r="F5738" i="1"/>
  <c r="N5737" i="1"/>
  <c r="H5737" i="1"/>
  <c r="G5737" i="1"/>
  <c r="F5737" i="1"/>
  <c r="N5736" i="1"/>
  <c r="H5736" i="1"/>
  <c r="G5736" i="1"/>
  <c r="F5736" i="1"/>
  <c r="N5735" i="1"/>
  <c r="H5735" i="1"/>
  <c r="G5735" i="1"/>
  <c r="F5735" i="1"/>
  <c r="N5734" i="1"/>
  <c r="H5734" i="1"/>
  <c r="G5734" i="1"/>
  <c r="F5734" i="1"/>
  <c r="N5733" i="1"/>
  <c r="H5733" i="1"/>
  <c r="G5733" i="1"/>
  <c r="F5733" i="1"/>
  <c r="N5732" i="1"/>
  <c r="H5732" i="1"/>
  <c r="G5732" i="1"/>
  <c r="F5732" i="1"/>
  <c r="N5731" i="1"/>
  <c r="H5731" i="1"/>
  <c r="G5731" i="1"/>
  <c r="F5731" i="1"/>
  <c r="N5730" i="1"/>
  <c r="H5730" i="1"/>
  <c r="G5730" i="1"/>
  <c r="F5730" i="1"/>
  <c r="N5729" i="1"/>
  <c r="H5729" i="1"/>
  <c r="G5729" i="1"/>
  <c r="F5729" i="1"/>
  <c r="N5728" i="1"/>
  <c r="H5728" i="1"/>
  <c r="G5728" i="1"/>
  <c r="F5728" i="1"/>
  <c r="N5727" i="1"/>
  <c r="H5727" i="1"/>
  <c r="G5727" i="1"/>
  <c r="F5727" i="1"/>
  <c r="N5726" i="1"/>
  <c r="H5726" i="1"/>
  <c r="G5726" i="1"/>
  <c r="F5726" i="1"/>
  <c r="N5725" i="1"/>
  <c r="H5725" i="1"/>
  <c r="G5725" i="1"/>
  <c r="F5725" i="1"/>
  <c r="N5724" i="1"/>
  <c r="H5724" i="1"/>
  <c r="G5724" i="1"/>
  <c r="F5724" i="1"/>
  <c r="N5723" i="1"/>
  <c r="H5723" i="1"/>
  <c r="G5723" i="1"/>
  <c r="F5723" i="1"/>
  <c r="N5722" i="1"/>
  <c r="H5722" i="1"/>
  <c r="G5722" i="1"/>
  <c r="F5722" i="1"/>
  <c r="N5721" i="1"/>
  <c r="H5721" i="1"/>
  <c r="G5721" i="1"/>
  <c r="F5721" i="1"/>
  <c r="N5720" i="1"/>
  <c r="H5720" i="1"/>
  <c r="G5720" i="1"/>
  <c r="F5720" i="1"/>
  <c r="N5719" i="1"/>
  <c r="H5719" i="1"/>
  <c r="G5719" i="1"/>
  <c r="F5719" i="1"/>
  <c r="N5718" i="1"/>
  <c r="H5718" i="1"/>
  <c r="G5718" i="1"/>
  <c r="F5718" i="1"/>
  <c r="N5717" i="1"/>
  <c r="H5717" i="1"/>
  <c r="G5717" i="1"/>
  <c r="F5717" i="1"/>
  <c r="N5716" i="1"/>
  <c r="H5716" i="1"/>
  <c r="G5716" i="1"/>
  <c r="F5716" i="1"/>
  <c r="N5715" i="1"/>
  <c r="H5715" i="1"/>
  <c r="G5715" i="1"/>
  <c r="F5715" i="1"/>
  <c r="N5714" i="1"/>
  <c r="H5714" i="1"/>
  <c r="G5714" i="1"/>
  <c r="F5714" i="1"/>
  <c r="N5713" i="1"/>
  <c r="H5713" i="1"/>
  <c r="G5713" i="1"/>
  <c r="F5713" i="1"/>
  <c r="N5712" i="1"/>
  <c r="H5712" i="1"/>
  <c r="G5712" i="1"/>
  <c r="F5712" i="1"/>
  <c r="N5711" i="1"/>
  <c r="H5711" i="1"/>
  <c r="G5711" i="1"/>
  <c r="F5711" i="1"/>
  <c r="N5710" i="1"/>
  <c r="H5710" i="1"/>
  <c r="G5710" i="1"/>
  <c r="F5710" i="1"/>
  <c r="N5709" i="1"/>
  <c r="H5709" i="1"/>
  <c r="G5709" i="1"/>
  <c r="F5709" i="1"/>
  <c r="N5708" i="1"/>
  <c r="H5708" i="1"/>
  <c r="G5708" i="1"/>
  <c r="F5708" i="1"/>
  <c r="N5707" i="1"/>
  <c r="H5707" i="1"/>
  <c r="G5707" i="1"/>
  <c r="F5707" i="1"/>
  <c r="N5706" i="1"/>
  <c r="H5706" i="1"/>
  <c r="G5706" i="1"/>
  <c r="F5706" i="1"/>
  <c r="N5705" i="1"/>
  <c r="H5705" i="1"/>
  <c r="G5705" i="1"/>
  <c r="F5705" i="1"/>
  <c r="N5704" i="1"/>
  <c r="H5704" i="1"/>
  <c r="G5704" i="1"/>
  <c r="F5704" i="1"/>
  <c r="N5703" i="1"/>
  <c r="H5703" i="1"/>
  <c r="G5703" i="1"/>
  <c r="F5703" i="1"/>
  <c r="N5702" i="1"/>
  <c r="H5702" i="1"/>
  <c r="G5702" i="1"/>
  <c r="F5702" i="1"/>
  <c r="N5701" i="1"/>
  <c r="H5701" i="1"/>
  <c r="G5701" i="1"/>
  <c r="F5701" i="1"/>
  <c r="N5700" i="1"/>
  <c r="H5700" i="1"/>
  <c r="G5700" i="1"/>
  <c r="F5700" i="1"/>
  <c r="N5699" i="1"/>
  <c r="H5699" i="1"/>
  <c r="G5699" i="1"/>
  <c r="F5699" i="1"/>
  <c r="N5698" i="1"/>
  <c r="H5698" i="1"/>
  <c r="G5698" i="1"/>
  <c r="F5698" i="1"/>
  <c r="N5697" i="1"/>
  <c r="H5697" i="1"/>
  <c r="G5697" i="1"/>
  <c r="F5697" i="1"/>
  <c r="N5696" i="1"/>
  <c r="H5696" i="1"/>
  <c r="G5696" i="1"/>
  <c r="F5696" i="1"/>
  <c r="N5695" i="1"/>
  <c r="H5695" i="1"/>
  <c r="G5695" i="1"/>
  <c r="F5695" i="1"/>
  <c r="N5694" i="1"/>
  <c r="H5694" i="1"/>
  <c r="G5694" i="1"/>
  <c r="F5694" i="1"/>
  <c r="N5693" i="1"/>
  <c r="H5693" i="1"/>
  <c r="G5693" i="1"/>
  <c r="F5693" i="1"/>
  <c r="N5692" i="1"/>
  <c r="H5692" i="1"/>
  <c r="G5692" i="1"/>
  <c r="F5692" i="1"/>
  <c r="N5691" i="1"/>
  <c r="H5691" i="1"/>
  <c r="G5691" i="1"/>
  <c r="F5691" i="1"/>
  <c r="N5690" i="1"/>
  <c r="H5690" i="1"/>
  <c r="G5690" i="1"/>
  <c r="F5690" i="1"/>
  <c r="N5689" i="1"/>
  <c r="H5689" i="1"/>
  <c r="G5689" i="1"/>
  <c r="F5689" i="1"/>
  <c r="N5688" i="1"/>
  <c r="H5688" i="1"/>
  <c r="G5688" i="1"/>
  <c r="F5688" i="1"/>
  <c r="N5687" i="1"/>
  <c r="H5687" i="1"/>
  <c r="G5687" i="1"/>
  <c r="F5687" i="1"/>
  <c r="N5686" i="1"/>
  <c r="H5686" i="1"/>
  <c r="G5686" i="1"/>
  <c r="F5686" i="1"/>
  <c r="N5685" i="1"/>
  <c r="H5685" i="1"/>
  <c r="G5685" i="1"/>
  <c r="F5685" i="1"/>
  <c r="N5684" i="1"/>
  <c r="H5684" i="1"/>
  <c r="G5684" i="1"/>
  <c r="F5684" i="1"/>
  <c r="N5683" i="1"/>
  <c r="H5683" i="1"/>
  <c r="G5683" i="1"/>
  <c r="F5683" i="1"/>
  <c r="N5682" i="1"/>
  <c r="H5682" i="1"/>
  <c r="G5682" i="1"/>
  <c r="F5682" i="1"/>
  <c r="N5681" i="1"/>
  <c r="H5681" i="1"/>
  <c r="G5681" i="1"/>
  <c r="F5681" i="1"/>
  <c r="N5680" i="1"/>
  <c r="H5680" i="1"/>
  <c r="G5680" i="1"/>
  <c r="F5680" i="1"/>
  <c r="N5679" i="1"/>
  <c r="H5679" i="1"/>
  <c r="G5679" i="1"/>
  <c r="F5679" i="1"/>
  <c r="N5678" i="1"/>
  <c r="H5678" i="1"/>
  <c r="G5678" i="1"/>
  <c r="F5678" i="1"/>
  <c r="N5677" i="1"/>
  <c r="H5677" i="1"/>
  <c r="G5677" i="1"/>
  <c r="F5677" i="1"/>
  <c r="N5676" i="1"/>
  <c r="H5676" i="1"/>
  <c r="G5676" i="1"/>
  <c r="F5676" i="1"/>
  <c r="N5675" i="1"/>
  <c r="H5675" i="1"/>
  <c r="G5675" i="1"/>
  <c r="F5675" i="1"/>
  <c r="N5674" i="1"/>
  <c r="H5674" i="1"/>
  <c r="G5674" i="1"/>
  <c r="F5674" i="1"/>
  <c r="N5673" i="1"/>
  <c r="H5673" i="1"/>
  <c r="G5673" i="1"/>
  <c r="F5673" i="1"/>
  <c r="N5672" i="1"/>
  <c r="H5672" i="1"/>
  <c r="G5672" i="1"/>
  <c r="F5672" i="1"/>
  <c r="N5671" i="1"/>
  <c r="H5671" i="1"/>
  <c r="G5671" i="1"/>
  <c r="F5671" i="1"/>
  <c r="N5670" i="1"/>
  <c r="H5670" i="1"/>
  <c r="G5670" i="1"/>
  <c r="F5670" i="1"/>
  <c r="N5669" i="1"/>
  <c r="H5669" i="1"/>
  <c r="G5669" i="1"/>
  <c r="F5669" i="1"/>
  <c r="N5668" i="1"/>
  <c r="H5668" i="1"/>
  <c r="G5668" i="1"/>
  <c r="F5668" i="1"/>
  <c r="N5667" i="1"/>
  <c r="H5667" i="1"/>
  <c r="G5667" i="1"/>
  <c r="F5667" i="1"/>
  <c r="N5666" i="1"/>
  <c r="H5666" i="1"/>
  <c r="G5666" i="1"/>
  <c r="F5666" i="1"/>
  <c r="N5665" i="1"/>
  <c r="H5665" i="1"/>
  <c r="G5665" i="1"/>
  <c r="F5665" i="1"/>
  <c r="N5664" i="1"/>
  <c r="H5664" i="1"/>
  <c r="G5664" i="1"/>
  <c r="F5664" i="1"/>
  <c r="N5663" i="1"/>
  <c r="H5663" i="1"/>
  <c r="G5663" i="1"/>
  <c r="F5663" i="1"/>
  <c r="N5662" i="1"/>
  <c r="H5662" i="1"/>
  <c r="G5662" i="1"/>
  <c r="F5662" i="1"/>
  <c r="N5661" i="1"/>
  <c r="H5661" i="1"/>
  <c r="G5661" i="1"/>
  <c r="F5661" i="1"/>
  <c r="N5660" i="1"/>
  <c r="H5660" i="1"/>
  <c r="G5660" i="1"/>
  <c r="F5660" i="1"/>
  <c r="N5659" i="1"/>
  <c r="H5659" i="1"/>
  <c r="G5659" i="1"/>
  <c r="F5659" i="1"/>
  <c r="N5658" i="1"/>
  <c r="H5658" i="1"/>
  <c r="G5658" i="1"/>
  <c r="F5658" i="1"/>
  <c r="N5657" i="1"/>
  <c r="H5657" i="1"/>
  <c r="G5657" i="1"/>
  <c r="F5657" i="1"/>
  <c r="N5656" i="1"/>
  <c r="H5656" i="1"/>
  <c r="G5656" i="1"/>
  <c r="F5656" i="1"/>
  <c r="N5655" i="1"/>
  <c r="H5655" i="1"/>
  <c r="G5655" i="1"/>
  <c r="F5655" i="1"/>
  <c r="N5654" i="1"/>
  <c r="H5654" i="1"/>
  <c r="G5654" i="1"/>
  <c r="F5654" i="1"/>
  <c r="N5653" i="1"/>
  <c r="H5653" i="1"/>
  <c r="G5653" i="1"/>
  <c r="F5653" i="1"/>
  <c r="N5652" i="1"/>
  <c r="H5652" i="1"/>
  <c r="G5652" i="1"/>
  <c r="F5652" i="1"/>
  <c r="N5651" i="1"/>
  <c r="H5651" i="1"/>
  <c r="G5651" i="1"/>
  <c r="F5651" i="1"/>
  <c r="N5650" i="1"/>
  <c r="H5650" i="1"/>
  <c r="G5650" i="1"/>
  <c r="F5650" i="1"/>
  <c r="N5649" i="1"/>
  <c r="H5649" i="1"/>
  <c r="G5649" i="1"/>
  <c r="F5649" i="1"/>
  <c r="N5648" i="1"/>
  <c r="H5648" i="1"/>
  <c r="G5648" i="1"/>
  <c r="F5648" i="1"/>
  <c r="N5647" i="1"/>
  <c r="H5647" i="1"/>
  <c r="G5647" i="1"/>
  <c r="F5647" i="1"/>
  <c r="N5646" i="1"/>
  <c r="H5646" i="1"/>
  <c r="G5646" i="1"/>
  <c r="F5646" i="1"/>
  <c r="N5645" i="1"/>
  <c r="H5645" i="1"/>
  <c r="G5645" i="1"/>
  <c r="F5645" i="1"/>
  <c r="N5644" i="1"/>
  <c r="H5644" i="1"/>
  <c r="G5644" i="1"/>
  <c r="F5644" i="1"/>
  <c r="N5643" i="1"/>
  <c r="H5643" i="1"/>
  <c r="G5643" i="1"/>
  <c r="F5643" i="1"/>
  <c r="N5642" i="1"/>
  <c r="H5642" i="1"/>
  <c r="G5642" i="1"/>
  <c r="F5642" i="1"/>
  <c r="N5641" i="1"/>
  <c r="H5641" i="1"/>
  <c r="G5641" i="1"/>
  <c r="F5641" i="1"/>
  <c r="N5640" i="1"/>
  <c r="H5640" i="1"/>
  <c r="G5640" i="1"/>
  <c r="F5640" i="1"/>
  <c r="N5639" i="1"/>
  <c r="H5639" i="1"/>
  <c r="G5639" i="1"/>
  <c r="F5639" i="1"/>
  <c r="N5638" i="1"/>
  <c r="H5638" i="1"/>
  <c r="G5638" i="1"/>
  <c r="F5638" i="1"/>
  <c r="N5637" i="1"/>
  <c r="H5637" i="1"/>
  <c r="G5637" i="1"/>
  <c r="F5637" i="1"/>
  <c r="N5636" i="1"/>
  <c r="H5636" i="1"/>
  <c r="G5636" i="1"/>
  <c r="F5636" i="1"/>
  <c r="N5635" i="1"/>
  <c r="H5635" i="1"/>
  <c r="G5635" i="1"/>
  <c r="F5635" i="1"/>
  <c r="N5634" i="1"/>
  <c r="H5634" i="1"/>
  <c r="G5634" i="1"/>
  <c r="F5634" i="1"/>
  <c r="N5633" i="1"/>
  <c r="H5633" i="1"/>
  <c r="G5633" i="1"/>
  <c r="F5633" i="1"/>
  <c r="N5632" i="1"/>
  <c r="H5632" i="1"/>
  <c r="G5632" i="1"/>
  <c r="F5632" i="1"/>
  <c r="N5631" i="1"/>
  <c r="H5631" i="1"/>
  <c r="G5631" i="1"/>
  <c r="F5631" i="1"/>
  <c r="N5630" i="1"/>
  <c r="H5630" i="1"/>
  <c r="G5630" i="1"/>
  <c r="F5630" i="1"/>
  <c r="N5629" i="1"/>
  <c r="H5629" i="1"/>
  <c r="G5629" i="1"/>
  <c r="F5629" i="1"/>
  <c r="N5628" i="1"/>
  <c r="H5628" i="1"/>
  <c r="G5628" i="1"/>
  <c r="F5628" i="1"/>
  <c r="N5627" i="1"/>
  <c r="H5627" i="1"/>
  <c r="G5627" i="1"/>
  <c r="F5627" i="1"/>
  <c r="N5626" i="1"/>
  <c r="H5626" i="1"/>
  <c r="G5626" i="1"/>
  <c r="F5626" i="1"/>
  <c r="N5625" i="1"/>
  <c r="H5625" i="1"/>
  <c r="G5625" i="1"/>
  <c r="F5625" i="1"/>
  <c r="N5624" i="1"/>
  <c r="H5624" i="1"/>
  <c r="G5624" i="1"/>
  <c r="F5624" i="1"/>
  <c r="N5623" i="1"/>
  <c r="H5623" i="1"/>
  <c r="G5623" i="1"/>
  <c r="F5623" i="1"/>
  <c r="N5622" i="1"/>
  <c r="H5622" i="1"/>
  <c r="G5622" i="1"/>
  <c r="F5622" i="1"/>
  <c r="N5621" i="1"/>
  <c r="H5621" i="1"/>
  <c r="G5621" i="1"/>
  <c r="F5621" i="1"/>
  <c r="N5620" i="1"/>
  <c r="H5620" i="1"/>
  <c r="G5620" i="1"/>
  <c r="F5620" i="1"/>
  <c r="N5619" i="1"/>
  <c r="H5619" i="1"/>
  <c r="G5619" i="1"/>
  <c r="F5619" i="1"/>
  <c r="N5618" i="1"/>
  <c r="H5618" i="1"/>
  <c r="G5618" i="1"/>
  <c r="F5618" i="1"/>
  <c r="N5617" i="1"/>
  <c r="H5617" i="1"/>
  <c r="G5617" i="1"/>
  <c r="F5617" i="1"/>
  <c r="N5616" i="1"/>
  <c r="H5616" i="1"/>
  <c r="G5616" i="1"/>
  <c r="F5616" i="1"/>
  <c r="N5615" i="1"/>
  <c r="H5615" i="1"/>
  <c r="G5615" i="1"/>
  <c r="F5615" i="1"/>
  <c r="N5614" i="1"/>
  <c r="H5614" i="1"/>
  <c r="G5614" i="1"/>
  <c r="F5614" i="1"/>
  <c r="N5613" i="1"/>
  <c r="H5613" i="1"/>
  <c r="G5613" i="1"/>
  <c r="F5613" i="1"/>
  <c r="N5612" i="1"/>
  <c r="H5612" i="1"/>
  <c r="G5612" i="1"/>
  <c r="F5612" i="1"/>
  <c r="N5611" i="1"/>
  <c r="H5611" i="1"/>
  <c r="G5611" i="1"/>
  <c r="F5611" i="1"/>
  <c r="N5610" i="1"/>
  <c r="H5610" i="1"/>
  <c r="G5610" i="1"/>
  <c r="F5610" i="1"/>
  <c r="N5609" i="1"/>
  <c r="H5609" i="1"/>
  <c r="G5609" i="1"/>
  <c r="F5609" i="1"/>
  <c r="N5608" i="1"/>
  <c r="H5608" i="1"/>
  <c r="G5608" i="1"/>
  <c r="F5608" i="1"/>
  <c r="N5607" i="1"/>
  <c r="H5607" i="1"/>
  <c r="G5607" i="1"/>
  <c r="F5607" i="1"/>
  <c r="N5606" i="1"/>
  <c r="H5606" i="1"/>
  <c r="G5606" i="1"/>
  <c r="F5606" i="1"/>
  <c r="N5605" i="1"/>
  <c r="H5605" i="1"/>
  <c r="G5605" i="1"/>
  <c r="F5605" i="1"/>
  <c r="N5604" i="1"/>
  <c r="H5604" i="1"/>
  <c r="G5604" i="1"/>
  <c r="F5604" i="1"/>
  <c r="N5603" i="1"/>
  <c r="H5603" i="1"/>
  <c r="G5603" i="1"/>
  <c r="F5603" i="1"/>
  <c r="N5602" i="1"/>
  <c r="H5602" i="1"/>
  <c r="G5602" i="1"/>
  <c r="F5602" i="1"/>
  <c r="N5601" i="1"/>
  <c r="H5601" i="1"/>
  <c r="G5601" i="1"/>
  <c r="F5601" i="1"/>
  <c r="N5600" i="1"/>
  <c r="H5600" i="1"/>
  <c r="G5600" i="1"/>
  <c r="F5600" i="1"/>
  <c r="N5599" i="1"/>
  <c r="H5599" i="1"/>
  <c r="G5599" i="1"/>
  <c r="F5599" i="1"/>
  <c r="N5598" i="1"/>
  <c r="H5598" i="1"/>
  <c r="G5598" i="1"/>
  <c r="F5598" i="1"/>
  <c r="N5597" i="1"/>
  <c r="H5597" i="1"/>
  <c r="G5597" i="1"/>
  <c r="F5597" i="1"/>
  <c r="N5596" i="1"/>
  <c r="H5596" i="1"/>
  <c r="G5596" i="1"/>
  <c r="F5596" i="1"/>
  <c r="N5595" i="1"/>
  <c r="H5595" i="1"/>
  <c r="G5595" i="1"/>
  <c r="F5595" i="1"/>
  <c r="N5594" i="1"/>
  <c r="H5594" i="1"/>
  <c r="G5594" i="1"/>
  <c r="F5594" i="1"/>
  <c r="N5593" i="1"/>
  <c r="H5593" i="1"/>
  <c r="G5593" i="1"/>
  <c r="F5593" i="1"/>
  <c r="N5592" i="1"/>
  <c r="H5592" i="1"/>
  <c r="G5592" i="1"/>
  <c r="F5592" i="1"/>
  <c r="N5591" i="1"/>
  <c r="H5591" i="1"/>
  <c r="G5591" i="1"/>
  <c r="F5591" i="1"/>
  <c r="N5590" i="1"/>
  <c r="H5590" i="1"/>
  <c r="G5590" i="1"/>
  <c r="F5590" i="1"/>
  <c r="N5589" i="1"/>
  <c r="H5589" i="1"/>
  <c r="G5589" i="1"/>
  <c r="F5589" i="1"/>
  <c r="N5588" i="1"/>
  <c r="H5588" i="1"/>
  <c r="G5588" i="1"/>
  <c r="F5588" i="1"/>
  <c r="N5587" i="1"/>
  <c r="H5587" i="1"/>
  <c r="G5587" i="1"/>
  <c r="F5587" i="1"/>
  <c r="N5586" i="1"/>
  <c r="H5586" i="1"/>
  <c r="G5586" i="1"/>
  <c r="F5586" i="1"/>
  <c r="N5585" i="1"/>
  <c r="H5585" i="1"/>
  <c r="G5585" i="1"/>
  <c r="F5585" i="1"/>
  <c r="N5584" i="1"/>
  <c r="H5584" i="1"/>
  <c r="G5584" i="1"/>
  <c r="F5584" i="1"/>
  <c r="N5583" i="1"/>
  <c r="H5583" i="1"/>
  <c r="G5583" i="1"/>
  <c r="F5583" i="1"/>
  <c r="N5582" i="1"/>
  <c r="H5582" i="1"/>
  <c r="G5582" i="1"/>
  <c r="F5582" i="1"/>
  <c r="N5581" i="1"/>
  <c r="H5581" i="1"/>
  <c r="G5581" i="1"/>
  <c r="F5581" i="1"/>
  <c r="N5580" i="1"/>
  <c r="H5580" i="1"/>
  <c r="G5580" i="1"/>
  <c r="F5580" i="1"/>
  <c r="N5579" i="1"/>
  <c r="H5579" i="1"/>
  <c r="G5579" i="1"/>
  <c r="F5579" i="1"/>
  <c r="N5578" i="1"/>
  <c r="H5578" i="1"/>
  <c r="G5578" i="1"/>
  <c r="F5578" i="1"/>
  <c r="N5577" i="1"/>
  <c r="H5577" i="1"/>
  <c r="G5577" i="1"/>
  <c r="F5577" i="1"/>
  <c r="N5576" i="1"/>
  <c r="H5576" i="1"/>
  <c r="G5576" i="1"/>
  <c r="F5576" i="1"/>
  <c r="N5575" i="1"/>
  <c r="H5575" i="1"/>
  <c r="G5575" i="1"/>
  <c r="F5575" i="1"/>
  <c r="N5574" i="1"/>
  <c r="H5574" i="1"/>
  <c r="G5574" i="1"/>
  <c r="F5574" i="1"/>
  <c r="N5573" i="1"/>
  <c r="H5573" i="1"/>
  <c r="G5573" i="1"/>
  <c r="F5573" i="1"/>
  <c r="N5572" i="1"/>
  <c r="H5572" i="1"/>
  <c r="G5572" i="1"/>
  <c r="F5572" i="1"/>
  <c r="N5571" i="1"/>
  <c r="H5571" i="1"/>
  <c r="G5571" i="1"/>
  <c r="F5571" i="1"/>
  <c r="N5570" i="1"/>
  <c r="H5570" i="1"/>
  <c r="G5570" i="1"/>
  <c r="F5570" i="1"/>
  <c r="N5569" i="1"/>
  <c r="H5569" i="1"/>
  <c r="G5569" i="1"/>
  <c r="F5569" i="1"/>
  <c r="N5568" i="1"/>
  <c r="H5568" i="1"/>
  <c r="G5568" i="1"/>
  <c r="F5568" i="1"/>
  <c r="N5567" i="1"/>
  <c r="H5567" i="1"/>
  <c r="G5567" i="1"/>
  <c r="F5567" i="1"/>
  <c r="N5566" i="1"/>
  <c r="H5566" i="1"/>
  <c r="G5566" i="1"/>
  <c r="F5566" i="1"/>
  <c r="N5565" i="1"/>
  <c r="H5565" i="1"/>
  <c r="G5565" i="1"/>
  <c r="F5565" i="1"/>
  <c r="N5564" i="1"/>
  <c r="H5564" i="1"/>
  <c r="G5564" i="1"/>
  <c r="F5564" i="1"/>
  <c r="N5563" i="1"/>
  <c r="H5563" i="1"/>
  <c r="G5563" i="1"/>
  <c r="F5563" i="1"/>
  <c r="N5562" i="1"/>
  <c r="H5562" i="1"/>
  <c r="G5562" i="1"/>
  <c r="F5562" i="1"/>
  <c r="N5561" i="1"/>
  <c r="H5561" i="1"/>
  <c r="G5561" i="1"/>
  <c r="F5561" i="1"/>
  <c r="N5560" i="1"/>
  <c r="H5560" i="1"/>
  <c r="G5560" i="1"/>
  <c r="F5560" i="1"/>
  <c r="N5559" i="1"/>
  <c r="H5559" i="1"/>
  <c r="G5559" i="1"/>
  <c r="F5559" i="1"/>
  <c r="N5558" i="1"/>
  <c r="H5558" i="1"/>
  <c r="G5558" i="1"/>
  <c r="F5558" i="1"/>
  <c r="N5557" i="1"/>
  <c r="H5557" i="1"/>
  <c r="G5557" i="1"/>
  <c r="F5557" i="1"/>
  <c r="N5556" i="1"/>
  <c r="H5556" i="1"/>
  <c r="G5556" i="1"/>
  <c r="F5556" i="1"/>
  <c r="N5555" i="1"/>
  <c r="H5555" i="1"/>
  <c r="G5555" i="1"/>
  <c r="F5555" i="1"/>
  <c r="N5554" i="1"/>
  <c r="H5554" i="1"/>
  <c r="G5554" i="1"/>
  <c r="F5554" i="1"/>
  <c r="N5553" i="1"/>
  <c r="H5553" i="1"/>
  <c r="G5553" i="1"/>
  <c r="F5553" i="1"/>
  <c r="N5552" i="1"/>
  <c r="H5552" i="1"/>
  <c r="G5552" i="1"/>
  <c r="F5552" i="1"/>
  <c r="N5551" i="1"/>
  <c r="H5551" i="1"/>
  <c r="G5551" i="1"/>
  <c r="F5551" i="1"/>
  <c r="N5550" i="1"/>
  <c r="H5550" i="1"/>
  <c r="G5550" i="1"/>
  <c r="F5550" i="1"/>
  <c r="N5549" i="1"/>
  <c r="H5549" i="1"/>
  <c r="G5549" i="1"/>
  <c r="F5549" i="1"/>
  <c r="N5548" i="1"/>
  <c r="H5548" i="1"/>
  <c r="G5548" i="1"/>
  <c r="F5548" i="1"/>
  <c r="N5547" i="1"/>
  <c r="H5547" i="1"/>
  <c r="G5547" i="1"/>
  <c r="F5547" i="1"/>
  <c r="N5546" i="1"/>
  <c r="H5546" i="1"/>
  <c r="G5546" i="1"/>
  <c r="F5546" i="1"/>
  <c r="N5545" i="1"/>
  <c r="H5545" i="1"/>
  <c r="G5545" i="1"/>
  <c r="F5545" i="1"/>
  <c r="N5544" i="1"/>
  <c r="H5544" i="1"/>
  <c r="G5544" i="1"/>
  <c r="F5544" i="1"/>
  <c r="N5543" i="1"/>
  <c r="H5543" i="1"/>
  <c r="G5543" i="1"/>
  <c r="F5543" i="1"/>
  <c r="N5542" i="1"/>
  <c r="H5542" i="1"/>
  <c r="G5542" i="1"/>
  <c r="F5542" i="1"/>
  <c r="N5541" i="1"/>
  <c r="H5541" i="1"/>
  <c r="G5541" i="1"/>
  <c r="F5541" i="1"/>
  <c r="N5540" i="1"/>
  <c r="H5540" i="1"/>
  <c r="G5540" i="1"/>
  <c r="F5540" i="1"/>
  <c r="N5539" i="1"/>
  <c r="H5539" i="1"/>
  <c r="G5539" i="1"/>
  <c r="F5539" i="1"/>
  <c r="N5538" i="1"/>
  <c r="H5538" i="1"/>
  <c r="G5538" i="1"/>
  <c r="F5538" i="1"/>
  <c r="N5537" i="1"/>
  <c r="H5537" i="1"/>
  <c r="G5537" i="1"/>
  <c r="F5537" i="1"/>
  <c r="N5536" i="1"/>
  <c r="H5536" i="1"/>
  <c r="G5536" i="1"/>
  <c r="F5536" i="1"/>
  <c r="N5535" i="1"/>
  <c r="H5535" i="1"/>
  <c r="G5535" i="1"/>
  <c r="F5535" i="1"/>
  <c r="N5534" i="1"/>
  <c r="H5534" i="1"/>
  <c r="G5534" i="1"/>
  <c r="F5534" i="1"/>
  <c r="N5533" i="1"/>
  <c r="H5533" i="1"/>
  <c r="G5533" i="1"/>
  <c r="F5533" i="1"/>
  <c r="N5532" i="1"/>
  <c r="H5532" i="1"/>
  <c r="G5532" i="1"/>
  <c r="F5532" i="1"/>
  <c r="N5531" i="1"/>
  <c r="H5531" i="1"/>
  <c r="G5531" i="1"/>
  <c r="F5531" i="1"/>
  <c r="N5530" i="1"/>
  <c r="H5530" i="1"/>
  <c r="G5530" i="1"/>
  <c r="F5530" i="1"/>
  <c r="N5529" i="1"/>
  <c r="H5529" i="1"/>
  <c r="G5529" i="1"/>
  <c r="F5529" i="1"/>
  <c r="N5528" i="1"/>
  <c r="H5528" i="1"/>
  <c r="G5528" i="1"/>
  <c r="F5528" i="1"/>
  <c r="N5527" i="1"/>
  <c r="H5527" i="1"/>
  <c r="G5527" i="1"/>
  <c r="F5527" i="1"/>
  <c r="N5526" i="1"/>
  <c r="H5526" i="1"/>
  <c r="G5526" i="1"/>
  <c r="F5526" i="1"/>
  <c r="N5525" i="1"/>
  <c r="H5525" i="1"/>
  <c r="G5525" i="1"/>
  <c r="F5525" i="1"/>
  <c r="N5524" i="1"/>
  <c r="H5524" i="1"/>
  <c r="G5524" i="1"/>
  <c r="F5524" i="1"/>
  <c r="N5523" i="1"/>
  <c r="H5523" i="1"/>
  <c r="G5523" i="1"/>
  <c r="F5523" i="1"/>
  <c r="N5522" i="1"/>
  <c r="H5522" i="1"/>
  <c r="G5522" i="1"/>
  <c r="F5522" i="1"/>
  <c r="N5521" i="1"/>
  <c r="H5521" i="1"/>
  <c r="G5521" i="1"/>
  <c r="F5521" i="1"/>
  <c r="N5520" i="1"/>
  <c r="H5520" i="1"/>
  <c r="G5520" i="1"/>
  <c r="F5520" i="1"/>
  <c r="N5519" i="1"/>
  <c r="H5519" i="1"/>
  <c r="G5519" i="1"/>
  <c r="F5519" i="1"/>
  <c r="N5518" i="1"/>
  <c r="H5518" i="1"/>
  <c r="G5518" i="1"/>
  <c r="F5518" i="1"/>
  <c r="N5517" i="1"/>
  <c r="H5517" i="1"/>
  <c r="G5517" i="1"/>
  <c r="F5517" i="1"/>
  <c r="N5516" i="1"/>
  <c r="H5516" i="1"/>
  <c r="G5516" i="1"/>
  <c r="F5516" i="1"/>
  <c r="N5515" i="1"/>
  <c r="H5515" i="1"/>
  <c r="G5515" i="1"/>
  <c r="F5515" i="1"/>
  <c r="N5514" i="1"/>
  <c r="H5514" i="1"/>
  <c r="G5514" i="1"/>
  <c r="F5514" i="1"/>
  <c r="N5513" i="1"/>
  <c r="H5513" i="1"/>
  <c r="G5513" i="1"/>
  <c r="F5513" i="1"/>
  <c r="N5512" i="1"/>
  <c r="H5512" i="1"/>
  <c r="G5512" i="1"/>
  <c r="F5512" i="1"/>
  <c r="N5511" i="1"/>
  <c r="H5511" i="1"/>
  <c r="G5511" i="1"/>
  <c r="F5511" i="1"/>
  <c r="N5510" i="1"/>
  <c r="H5510" i="1"/>
  <c r="G5510" i="1"/>
  <c r="F5510" i="1"/>
  <c r="N5509" i="1"/>
  <c r="H5509" i="1"/>
  <c r="G5509" i="1"/>
  <c r="F5509" i="1"/>
  <c r="N5508" i="1"/>
  <c r="H5508" i="1"/>
  <c r="G5508" i="1"/>
  <c r="F5508" i="1"/>
  <c r="N5507" i="1"/>
  <c r="H5507" i="1"/>
  <c r="G5507" i="1"/>
  <c r="F5507" i="1"/>
  <c r="N5506" i="1"/>
  <c r="H5506" i="1"/>
  <c r="G5506" i="1"/>
  <c r="F5506" i="1"/>
  <c r="N5505" i="1"/>
  <c r="H5505" i="1"/>
  <c r="G5505" i="1"/>
  <c r="F5505" i="1"/>
  <c r="N5504" i="1"/>
  <c r="H5504" i="1"/>
  <c r="G5504" i="1"/>
  <c r="F5504" i="1"/>
  <c r="N5503" i="1"/>
  <c r="H5503" i="1"/>
  <c r="G5503" i="1"/>
  <c r="F5503" i="1"/>
  <c r="N5502" i="1"/>
  <c r="H5502" i="1"/>
  <c r="G5502" i="1"/>
  <c r="F5502" i="1"/>
  <c r="N5501" i="1"/>
  <c r="H5501" i="1"/>
  <c r="G5501" i="1"/>
  <c r="F5501" i="1"/>
  <c r="N5500" i="1"/>
  <c r="H5500" i="1"/>
  <c r="G5500" i="1"/>
  <c r="F5500" i="1"/>
  <c r="N5499" i="1"/>
  <c r="H5499" i="1"/>
  <c r="G5499" i="1"/>
  <c r="F5499" i="1"/>
  <c r="N5498" i="1"/>
  <c r="H5498" i="1"/>
  <c r="G5498" i="1"/>
  <c r="F5498" i="1"/>
  <c r="N5497" i="1"/>
  <c r="H5497" i="1"/>
  <c r="G5497" i="1"/>
  <c r="F5497" i="1"/>
  <c r="N5496" i="1"/>
  <c r="H5496" i="1"/>
  <c r="G5496" i="1"/>
  <c r="F5496" i="1"/>
  <c r="N5495" i="1"/>
  <c r="H5495" i="1"/>
  <c r="G5495" i="1"/>
  <c r="F5495" i="1"/>
  <c r="N5494" i="1"/>
  <c r="H5494" i="1"/>
  <c r="G5494" i="1"/>
  <c r="F5494" i="1"/>
  <c r="N5493" i="1"/>
  <c r="H5493" i="1"/>
  <c r="G5493" i="1"/>
  <c r="F5493" i="1"/>
  <c r="N5492" i="1"/>
  <c r="H5492" i="1"/>
  <c r="G5492" i="1"/>
  <c r="F5492" i="1"/>
  <c r="N5491" i="1"/>
  <c r="H5491" i="1"/>
  <c r="G5491" i="1"/>
  <c r="F5491" i="1"/>
  <c r="N5490" i="1"/>
  <c r="H5490" i="1"/>
  <c r="G5490" i="1"/>
  <c r="F5490" i="1"/>
  <c r="N5489" i="1"/>
  <c r="H5489" i="1"/>
  <c r="G5489" i="1"/>
  <c r="F5489" i="1"/>
  <c r="N5488" i="1"/>
  <c r="H5488" i="1"/>
  <c r="G5488" i="1"/>
  <c r="F5488" i="1"/>
  <c r="N5487" i="1"/>
  <c r="H5487" i="1"/>
  <c r="G5487" i="1"/>
  <c r="F5487" i="1"/>
  <c r="N5486" i="1"/>
  <c r="H5486" i="1"/>
  <c r="G5486" i="1"/>
  <c r="F5486" i="1"/>
  <c r="N5485" i="1"/>
  <c r="H5485" i="1"/>
  <c r="G5485" i="1"/>
  <c r="F5485" i="1"/>
  <c r="N5484" i="1"/>
  <c r="H5484" i="1"/>
  <c r="G5484" i="1"/>
  <c r="F5484" i="1"/>
  <c r="N5483" i="1"/>
  <c r="H5483" i="1"/>
  <c r="G5483" i="1"/>
  <c r="F5483" i="1"/>
  <c r="N5482" i="1"/>
  <c r="H5482" i="1"/>
  <c r="G5482" i="1"/>
  <c r="F5482" i="1"/>
  <c r="N5481" i="1"/>
  <c r="H5481" i="1"/>
  <c r="G5481" i="1"/>
  <c r="F5481" i="1"/>
  <c r="N5480" i="1"/>
  <c r="H5480" i="1"/>
  <c r="G5480" i="1"/>
  <c r="F5480" i="1"/>
  <c r="N5479" i="1"/>
  <c r="H5479" i="1"/>
  <c r="G5479" i="1"/>
  <c r="F5479" i="1"/>
  <c r="N5478" i="1"/>
  <c r="H5478" i="1"/>
  <c r="G5478" i="1"/>
  <c r="F5478" i="1"/>
  <c r="N5477" i="1"/>
  <c r="H5477" i="1"/>
  <c r="G5477" i="1"/>
  <c r="F5477" i="1"/>
  <c r="N5476" i="1"/>
  <c r="H5476" i="1"/>
  <c r="G5476" i="1"/>
  <c r="F5476" i="1"/>
  <c r="N5475" i="1"/>
  <c r="H5475" i="1"/>
  <c r="G5475" i="1"/>
  <c r="F5475" i="1"/>
  <c r="N5474" i="1"/>
  <c r="H5474" i="1"/>
  <c r="G5474" i="1"/>
  <c r="F5474" i="1"/>
  <c r="N5473" i="1"/>
  <c r="H5473" i="1"/>
  <c r="G5473" i="1"/>
  <c r="F5473" i="1"/>
  <c r="N5472" i="1"/>
  <c r="H5472" i="1"/>
  <c r="G5472" i="1"/>
  <c r="F5472" i="1"/>
  <c r="N5471" i="1"/>
  <c r="H5471" i="1"/>
  <c r="G5471" i="1"/>
  <c r="F5471" i="1"/>
  <c r="N5470" i="1"/>
  <c r="H5470" i="1"/>
  <c r="G5470" i="1"/>
  <c r="F5470" i="1"/>
  <c r="N5469" i="1"/>
  <c r="H5469" i="1"/>
  <c r="G5469" i="1"/>
  <c r="F5469" i="1"/>
  <c r="N5468" i="1"/>
  <c r="H5468" i="1"/>
  <c r="G5468" i="1"/>
  <c r="F5468" i="1"/>
  <c r="N5467" i="1"/>
  <c r="H5467" i="1"/>
  <c r="G5467" i="1"/>
  <c r="F5467" i="1"/>
  <c r="N5466" i="1"/>
  <c r="H5466" i="1"/>
  <c r="G5466" i="1"/>
  <c r="F5466" i="1"/>
  <c r="N5465" i="1"/>
  <c r="H5465" i="1"/>
  <c r="G5465" i="1"/>
  <c r="F5465" i="1"/>
  <c r="N5464" i="1"/>
  <c r="H5464" i="1"/>
  <c r="G5464" i="1"/>
  <c r="F5464" i="1"/>
  <c r="N5463" i="1"/>
  <c r="H5463" i="1"/>
  <c r="G5463" i="1"/>
  <c r="F5463" i="1"/>
  <c r="N5462" i="1"/>
  <c r="H5462" i="1"/>
  <c r="G5462" i="1"/>
  <c r="F5462" i="1"/>
  <c r="N5461" i="1"/>
  <c r="H5461" i="1"/>
  <c r="G5461" i="1"/>
  <c r="F5461" i="1"/>
  <c r="N5460" i="1"/>
  <c r="H5460" i="1"/>
  <c r="G5460" i="1"/>
  <c r="F5460" i="1"/>
  <c r="N5459" i="1"/>
  <c r="H5459" i="1"/>
  <c r="G5459" i="1"/>
  <c r="F5459" i="1"/>
  <c r="N5458" i="1"/>
  <c r="H5458" i="1"/>
  <c r="G5458" i="1"/>
  <c r="F5458" i="1"/>
  <c r="N5457" i="1"/>
  <c r="H5457" i="1"/>
  <c r="G5457" i="1"/>
  <c r="F5457" i="1"/>
  <c r="N5456" i="1"/>
  <c r="H5456" i="1"/>
  <c r="G5456" i="1"/>
  <c r="F5456" i="1"/>
  <c r="N5455" i="1"/>
  <c r="H5455" i="1"/>
  <c r="G5455" i="1"/>
  <c r="F5455" i="1"/>
  <c r="N5454" i="1"/>
  <c r="H5454" i="1"/>
  <c r="G5454" i="1"/>
  <c r="F5454" i="1"/>
  <c r="N5453" i="1"/>
  <c r="H5453" i="1"/>
  <c r="G5453" i="1"/>
  <c r="F5453" i="1"/>
  <c r="N5452" i="1"/>
  <c r="H5452" i="1"/>
  <c r="G5452" i="1"/>
  <c r="F5452" i="1"/>
  <c r="N5451" i="1"/>
  <c r="H5451" i="1"/>
  <c r="G5451" i="1"/>
  <c r="F5451" i="1"/>
  <c r="N5450" i="1"/>
  <c r="H5450" i="1"/>
  <c r="G5450" i="1"/>
  <c r="F5450" i="1"/>
  <c r="N5449" i="1"/>
  <c r="H5449" i="1"/>
  <c r="G5449" i="1"/>
  <c r="F5449" i="1"/>
  <c r="N5448" i="1"/>
  <c r="H5448" i="1"/>
  <c r="G5448" i="1"/>
  <c r="F5448" i="1"/>
  <c r="N5447" i="1"/>
  <c r="H5447" i="1"/>
  <c r="G5447" i="1"/>
  <c r="F5447" i="1"/>
  <c r="N5446" i="1"/>
  <c r="H5446" i="1"/>
  <c r="G5446" i="1"/>
  <c r="F5446" i="1"/>
  <c r="N5445" i="1"/>
  <c r="H5445" i="1"/>
  <c r="G5445" i="1"/>
  <c r="F5445" i="1"/>
  <c r="N5444" i="1"/>
  <c r="H5444" i="1"/>
  <c r="G5444" i="1"/>
  <c r="F5444" i="1"/>
  <c r="N5443" i="1"/>
  <c r="H5443" i="1"/>
  <c r="G5443" i="1"/>
  <c r="F5443" i="1"/>
  <c r="N5442" i="1"/>
  <c r="H5442" i="1"/>
  <c r="G5442" i="1"/>
  <c r="F5442" i="1"/>
  <c r="N5441" i="1"/>
  <c r="H5441" i="1"/>
  <c r="G5441" i="1"/>
  <c r="F5441" i="1"/>
  <c r="N5440" i="1"/>
  <c r="H5440" i="1"/>
  <c r="G5440" i="1"/>
  <c r="F5440" i="1"/>
  <c r="N5439" i="1"/>
  <c r="H5439" i="1"/>
  <c r="G5439" i="1"/>
  <c r="F5439" i="1"/>
  <c r="N5438" i="1"/>
  <c r="H5438" i="1"/>
  <c r="G5438" i="1"/>
  <c r="F5438" i="1"/>
  <c r="N5437" i="1"/>
  <c r="H5437" i="1"/>
  <c r="G5437" i="1"/>
  <c r="F5437" i="1"/>
  <c r="N5436" i="1"/>
  <c r="H5436" i="1"/>
  <c r="G5436" i="1"/>
  <c r="F5436" i="1"/>
  <c r="N5435" i="1"/>
  <c r="H5435" i="1"/>
  <c r="G5435" i="1"/>
  <c r="F5435" i="1"/>
  <c r="N5434" i="1"/>
  <c r="H5434" i="1"/>
  <c r="G5434" i="1"/>
  <c r="F5434" i="1"/>
  <c r="N5433" i="1"/>
  <c r="H5433" i="1"/>
  <c r="G5433" i="1"/>
  <c r="F5433" i="1"/>
  <c r="N5432" i="1"/>
  <c r="H5432" i="1"/>
  <c r="G5432" i="1"/>
  <c r="F5432" i="1"/>
  <c r="N5431" i="1"/>
  <c r="H5431" i="1"/>
  <c r="G5431" i="1"/>
  <c r="F5431" i="1"/>
  <c r="N5430" i="1"/>
  <c r="H5430" i="1"/>
  <c r="G5430" i="1"/>
  <c r="F5430" i="1"/>
  <c r="N5429" i="1"/>
  <c r="H5429" i="1"/>
  <c r="G5429" i="1"/>
  <c r="F5429" i="1"/>
  <c r="N5428" i="1"/>
  <c r="H5428" i="1"/>
  <c r="G5428" i="1"/>
  <c r="F5428" i="1"/>
  <c r="N5427" i="1"/>
  <c r="H5427" i="1"/>
  <c r="G5427" i="1"/>
  <c r="F5427" i="1"/>
  <c r="N5426" i="1"/>
  <c r="H5426" i="1"/>
  <c r="G5426" i="1"/>
  <c r="F5426" i="1"/>
  <c r="N5425" i="1"/>
  <c r="H5425" i="1"/>
  <c r="G5425" i="1"/>
  <c r="F5425" i="1"/>
  <c r="N5424" i="1"/>
  <c r="H5424" i="1"/>
  <c r="G5424" i="1"/>
  <c r="F5424" i="1"/>
  <c r="N5423" i="1"/>
  <c r="H5423" i="1"/>
  <c r="G5423" i="1"/>
  <c r="F5423" i="1"/>
  <c r="N5422" i="1"/>
  <c r="H5422" i="1"/>
  <c r="G5422" i="1"/>
  <c r="F5422" i="1"/>
  <c r="N5421" i="1"/>
  <c r="H5421" i="1"/>
  <c r="G5421" i="1"/>
  <c r="F5421" i="1"/>
  <c r="N5420" i="1"/>
  <c r="H5420" i="1"/>
  <c r="G5420" i="1"/>
  <c r="F5420" i="1"/>
  <c r="N5419" i="1"/>
  <c r="H5419" i="1"/>
  <c r="G5419" i="1"/>
  <c r="F5419" i="1"/>
  <c r="N5418" i="1"/>
  <c r="H5418" i="1"/>
  <c r="G5418" i="1"/>
  <c r="F5418" i="1"/>
  <c r="N5417" i="1"/>
  <c r="H5417" i="1"/>
  <c r="G5417" i="1"/>
  <c r="F5417" i="1"/>
  <c r="N5416" i="1"/>
  <c r="H5416" i="1"/>
  <c r="G5416" i="1"/>
  <c r="F5416" i="1"/>
  <c r="N5415" i="1"/>
  <c r="H5415" i="1"/>
  <c r="G5415" i="1"/>
  <c r="F5415" i="1"/>
  <c r="N5414" i="1"/>
  <c r="H5414" i="1"/>
  <c r="G5414" i="1"/>
  <c r="F5414" i="1"/>
  <c r="N5413" i="1"/>
  <c r="H5413" i="1"/>
  <c r="G5413" i="1"/>
  <c r="F5413" i="1"/>
  <c r="N5412" i="1"/>
  <c r="H5412" i="1"/>
  <c r="G5412" i="1"/>
  <c r="F5412" i="1"/>
  <c r="N5411" i="1"/>
  <c r="H5411" i="1"/>
  <c r="G5411" i="1"/>
  <c r="F5411" i="1"/>
  <c r="N5410" i="1"/>
  <c r="H5410" i="1"/>
  <c r="G5410" i="1"/>
  <c r="F5410" i="1"/>
  <c r="N5409" i="1"/>
  <c r="H5409" i="1"/>
  <c r="G5409" i="1"/>
  <c r="F5409" i="1"/>
  <c r="N5408" i="1"/>
  <c r="H5408" i="1"/>
  <c r="G5408" i="1"/>
  <c r="F5408" i="1"/>
  <c r="N5407" i="1"/>
  <c r="H5407" i="1"/>
  <c r="G5407" i="1"/>
  <c r="F5407" i="1"/>
  <c r="N5406" i="1"/>
  <c r="H5406" i="1"/>
  <c r="G5406" i="1"/>
  <c r="F5406" i="1"/>
  <c r="N5405" i="1"/>
  <c r="H5405" i="1"/>
  <c r="G5405" i="1"/>
  <c r="F5405" i="1"/>
  <c r="N5404" i="1"/>
  <c r="H5404" i="1"/>
  <c r="G5404" i="1"/>
  <c r="F5404" i="1"/>
  <c r="N5403" i="1"/>
  <c r="H5403" i="1"/>
  <c r="G5403" i="1"/>
  <c r="F5403" i="1"/>
  <c r="N5402" i="1"/>
  <c r="H5402" i="1"/>
  <c r="G5402" i="1"/>
  <c r="F5402" i="1"/>
  <c r="N5401" i="1"/>
  <c r="H5401" i="1"/>
  <c r="G5401" i="1"/>
  <c r="F5401" i="1"/>
  <c r="N5400" i="1"/>
  <c r="H5400" i="1"/>
  <c r="G5400" i="1"/>
  <c r="F5400" i="1"/>
  <c r="N5399" i="1"/>
  <c r="H5399" i="1"/>
  <c r="G5399" i="1"/>
  <c r="F5399" i="1"/>
  <c r="N5398" i="1"/>
  <c r="H5398" i="1"/>
  <c r="G5398" i="1"/>
  <c r="F5398" i="1"/>
  <c r="N5397" i="1"/>
  <c r="H5397" i="1"/>
  <c r="G5397" i="1"/>
  <c r="F5397" i="1"/>
  <c r="N5396" i="1"/>
  <c r="H5396" i="1"/>
  <c r="G5396" i="1"/>
  <c r="F5396" i="1"/>
  <c r="N5395" i="1"/>
  <c r="H5395" i="1"/>
  <c r="G5395" i="1"/>
  <c r="F5395" i="1"/>
  <c r="N5394" i="1"/>
  <c r="H5394" i="1"/>
  <c r="G5394" i="1"/>
  <c r="F5394" i="1"/>
  <c r="N5393" i="1"/>
  <c r="H5393" i="1"/>
  <c r="G5393" i="1"/>
  <c r="F5393" i="1"/>
  <c r="N5392" i="1"/>
  <c r="H5392" i="1"/>
  <c r="G5392" i="1"/>
  <c r="F5392" i="1"/>
  <c r="N5391" i="1"/>
  <c r="H5391" i="1"/>
  <c r="G5391" i="1"/>
  <c r="F5391" i="1"/>
  <c r="N5390" i="1"/>
  <c r="H5390" i="1"/>
  <c r="G5390" i="1"/>
  <c r="F5390" i="1"/>
  <c r="N5389" i="1"/>
  <c r="H5389" i="1"/>
  <c r="G5389" i="1"/>
  <c r="F5389" i="1"/>
  <c r="N5388" i="1"/>
  <c r="H5388" i="1"/>
  <c r="G5388" i="1"/>
  <c r="F5388" i="1"/>
  <c r="N5387" i="1"/>
  <c r="H5387" i="1"/>
  <c r="G5387" i="1"/>
  <c r="F5387" i="1"/>
  <c r="N5386" i="1"/>
  <c r="H5386" i="1"/>
  <c r="G5386" i="1"/>
  <c r="F5386" i="1"/>
  <c r="N5385" i="1"/>
  <c r="H5385" i="1"/>
  <c r="G5385" i="1"/>
  <c r="F5385" i="1"/>
  <c r="N5384" i="1"/>
  <c r="H5384" i="1"/>
  <c r="G5384" i="1"/>
  <c r="F5384" i="1"/>
  <c r="N5383" i="1"/>
  <c r="H5383" i="1"/>
  <c r="G5383" i="1"/>
  <c r="F5383" i="1"/>
  <c r="N5382" i="1"/>
  <c r="H5382" i="1"/>
  <c r="G5382" i="1"/>
  <c r="F5382" i="1"/>
  <c r="N5381" i="1"/>
  <c r="H5381" i="1"/>
  <c r="G5381" i="1"/>
  <c r="F5381" i="1"/>
  <c r="N5380" i="1"/>
  <c r="H5380" i="1"/>
  <c r="G5380" i="1"/>
  <c r="F5380" i="1"/>
  <c r="N5379" i="1"/>
  <c r="H5379" i="1"/>
  <c r="G5379" i="1"/>
  <c r="F5379" i="1"/>
  <c r="N5378" i="1"/>
  <c r="H5378" i="1"/>
  <c r="G5378" i="1"/>
  <c r="F5378" i="1"/>
  <c r="N5377" i="1"/>
  <c r="H5377" i="1"/>
  <c r="G5377" i="1"/>
  <c r="F5377" i="1"/>
  <c r="N5376" i="1"/>
  <c r="H5376" i="1"/>
  <c r="G5376" i="1"/>
  <c r="F5376" i="1"/>
  <c r="N5375" i="1"/>
  <c r="H5375" i="1"/>
  <c r="G5375" i="1"/>
  <c r="F5375" i="1"/>
  <c r="N5374" i="1"/>
  <c r="H5374" i="1"/>
  <c r="G5374" i="1"/>
  <c r="F5374" i="1"/>
  <c r="N5373" i="1"/>
  <c r="H5373" i="1"/>
  <c r="G5373" i="1"/>
  <c r="F5373" i="1"/>
  <c r="N5372" i="1"/>
  <c r="H5372" i="1"/>
  <c r="G5372" i="1"/>
  <c r="F5372" i="1"/>
  <c r="N5371" i="1"/>
  <c r="H5371" i="1"/>
  <c r="G5371" i="1"/>
  <c r="F5371" i="1"/>
  <c r="N5370" i="1"/>
  <c r="H5370" i="1"/>
  <c r="G5370" i="1"/>
  <c r="F5370" i="1"/>
  <c r="N5369" i="1"/>
  <c r="H5369" i="1"/>
  <c r="G5369" i="1"/>
  <c r="F5369" i="1"/>
  <c r="N5368" i="1"/>
  <c r="H5368" i="1"/>
  <c r="G5368" i="1"/>
  <c r="F5368" i="1"/>
  <c r="N5367" i="1"/>
  <c r="H5367" i="1"/>
  <c r="G5367" i="1"/>
  <c r="F5367" i="1"/>
  <c r="N5366" i="1"/>
  <c r="H5366" i="1"/>
  <c r="G5366" i="1"/>
  <c r="F5366" i="1"/>
  <c r="N5365" i="1"/>
  <c r="H5365" i="1"/>
  <c r="G5365" i="1"/>
  <c r="F5365" i="1"/>
  <c r="N5364" i="1"/>
  <c r="H5364" i="1"/>
  <c r="G5364" i="1"/>
  <c r="F5364" i="1"/>
  <c r="N5363" i="1"/>
  <c r="H5363" i="1"/>
  <c r="G5363" i="1"/>
  <c r="F5363" i="1"/>
  <c r="N5362" i="1"/>
  <c r="H5362" i="1"/>
  <c r="G5362" i="1"/>
  <c r="F5362" i="1"/>
  <c r="N5361" i="1"/>
  <c r="H5361" i="1"/>
  <c r="G5361" i="1"/>
  <c r="F5361" i="1"/>
  <c r="N5360" i="1"/>
  <c r="H5360" i="1"/>
  <c r="G5360" i="1"/>
  <c r="F5360" i="1"/>
  <c r="N5359" i="1"/>
  <c r="H5359" i="1"/>
  <c r="G5359" i="1"/>
  <c r="F5359" i="1"/>
  <c r="N5358" i="1"/>
  <c r="H5358" i="1"/>
  <c r="G5358" i="1"/>
  <c r="F5358" i="1"/>
  <c r="N5357" i="1"/>
  <c r="H5357" i="1"/>
  <c r="G5357" i="1"/>
  <c r="F5357" i="1"/>
  <c r="N5356" i="1"/>
  <c r="H5356" i="1"/>
  <c r="G5356" i="1"/>
  <c r="F5356" i="1"/>
  <c r="N5355" i="1"/>
  <c r="H5355" i="1"/>
  <c r="G5355" i="1"/>
  <c r="F5355" i="1"/>
  <c r="N5354" i="1"/>
  <c r="H5354" i="1"/>
  <c r="G5354" i="1"/>
  <c r="F5354" i="1"/>
  <c r="N5353" i="1"/>
  <c r="H5353" i="1"/>
  <c r="G5353" i="1"/>
  <c r="F5353" i="1"/>
  <c r="N5352" i="1"/>
  <c r="H5352" i="1"/>
  <c r="G5352" i="1"/>
  <c r="F5352" i="1"/>
  <c r="N5351" i="1"/>
  <c r="H5351" i="1"/>
  <c r="G5351" i="1"/>
  <c r="F5351" i="1"/>
  <c r="N5350" i="1"/>
  <c r="H5350" i="1"/>
  <c r="G5350" i="1"/>
  <c r="F5350" i="1"/>
  <c r="N5349" i="1"/>
  <c r="H5349" i="1"/>
  <c r="G5349" i="1"/>
  <c r="F5349" i="1"/>
  <c r="N5348" i="1"/>
  <c r="H5348" i="1"/>
  <c r="G5348" i="1"/>
  <c r="F5348" i="1"/>
  <c r="N5347" i="1"/>
  <c r="H5347" i="1"/>
  <c r="G5347" i="1"/>
  <c r="F5347" i="1"/>
  <c r="N5346" i="1"/>
  <c r="H5346" i="1"/>
  <c r="G5346" i="1"/>
  <c r="F5346" i="1"/>
  <c r="N5345" i="1"/>
  <c r="H5345" i="1"/>
  <c r="G5345" i="1"/>
  <c r="F5345" i="1"/>
  <c r="N5344" i="1"/>
  <c r="H5344" i="1"/>
  <c r="G5344" i="1"/>
  <c r="F5344" i="1"/>
  <c r="N5343" i="1"/>
  <c r="H5343" i="1"/>
  <c r="G5343" i="1"/>
  <c r="F5343" i="1"/>
  <c r="N5342" i="1"/>
  <c r="H5342" i="1"/>
  <c r="G5342" i="1"/>
  <c r="F5342" i="1"/>
  <c r="N5341" i="1"/>
  <c r="H5341" i="1"/>
  <c r="G5341" i="1"/>
  <c r="F5341" i="1"/>
  <c r="N5340" i="1"/>
  <c r="H5340" i="1"/>
  <c r="G5340" i="1"/>
  <c r="F5340" i="1"/>
  <c r="N5339" i="1"/>
  <c r="H5339" i="1"/>
  <c r="G5339" i="1"/>
  <c r="F5339" i="1"/>
  <c r="N5338" i="1"/>
  <c r="H5338" i="1"/>
  <c r="G5338" i="1"/>
  <c r="F5338" i="1"/>
  <c r="N5337" i="1"/>
  <c r="H5337" i="1"/>
  <c r="G5337" i="1"/>
  <c r="F5337" i="1"/>
  <c r="N5336" i="1"/>
  <c r="H5336" i="1"/>
  <c r="G5336" i="1"/>
  <c r="F5336" i="1"/>
  <c r="N5335" i="1"/>
  <c r="H5335" i="1"/>
  <c r="G5335" i="1"/>
  <c r="F5335" i="1"/>
  <c r="N5334" i="1"/>
  <c r="H5334" i="1"/>
  <c r="G5334" i="1"/>
  <c r="F5334" i="1"/>
  <c r="N5333" i="1"/>
  <c r="H5333" i="1"/>
  <c r="G5333" i="1"/>
  <c r="F5333" i="1"/>
  <c r="N5332" i="1"/>
  <c r="H5332" i="1"/>
  <c r="G5332" i="1"/>
  <c r="F5332" i="1"/>
  <c r="N5331" i="1"/>
  <c r="H5331" i="1"/>
  <c r="G5331" i="1"/>
  <c r="F5331" i="1"/>
  <c r="N5330" i="1"/>
  <c r="H5330" i="1"/>
  <c r="G5330" i="1"/>
  <c r="F5330" i="1"/>
  <c r="N5329" i="1"/>
  <c r="H5329" i="1"/>
  <c r="G5329" i="1"/>
  <c r="F5329" i="1"/>
  <c r="N5328" i="1"/>
  <c r="H5328" i="1"/>
  <c r="G5328" i="1"/>
  <c r="F5328" i="1"/>
  <c r="N5327" i="1"/>
  <c r="H5327" i="1"/>
  <c r="G5327" i="1"/>
  <c r="F5327" i="1"/>
  <c r="N5326" i="1"/>
  <c r="H5326" i="1"/>
  <c r="G5326" i="1"/>
  <c r="F5326" i="1"/>
  <c r="N5325" i="1"/>
  <c r="H5325" i="1"/>
  <c r="G5325" i="1"/>
  <c r="F5325" i="1"/>
  <c r="N5324" i="1"/>
  <c r="H5324" i="1"/>
  <c r="G5324" i="1"/>
  <c r="F5324" i="1"/>
  <c r="N5323" i="1"/>
  <c r="H5323" i="1"/>
  <c r="G5323" i="1"/>
  <c r="F5323" i="1"/>
  <c r="N5322" i="1"/>
  <c r="H5322" i="1"/>
  <c r="G5322" i="1"/>
  <c r="F5322" i="1"/>
  <c r="N5321" i="1"/>
  <c r="H5321" i="1"/>
  <c r="G5321" i="1"/>
  <c r="F5321" i="1"/>
  <c r="N5320" i="1"/>
  <c r="H5320" i="1"/>
  <c r="G5320" i="1"/>
  <c r="F5320" i="1"/>
  <c r="N5319" i="1"/>
  <c r="H5319" i="1"/>
  <c r="G5319" i="1"/>
  <c r="F5319" i="1"/>
  <c r="N5318" i="1"/>
  <c r="H5318" i="1"/>
  <c r="G5318" i="1"/>
  <c r="F5318" i="1"/>
  <c r="N5317" i="1"/>
  <c r="H5317" i="1"/>
  <c r="G5317" i="1"/>
  <c r="F5317" i="1"/>
  <c r="N5316" i="1"/>
  <c r="H5316" i="1"/>
  <c r="G5316" i="1"/>
  <c r="F5316" i="1"/>
  <c r="N5315" i="1"/>
  <c r="H5315" i="1"/>
  <c r="G5315" i="1"/>
  <c r="F5315" i="1"/>
  <c r="N5314" i="1"/>
  <c r="H5314" i="1"/>
  <c r="G5314" i="1"/>
  <c r="F5314" i="1"/>
  <c r="N5313" i="1"/>
  <c r="H5313" i="1"/>
  <c r="G5313" i="1"/>
  <c r="F5313" i="1"/>
  <c r="N5312" i="1"/>
  <c r="H5312" i="1"/>
  <c r="G5312" i="1"/>
  <c r="F5312" i="1"/>
  <c r="N5311" i="1"/>
  <c r="H5311" i="1"/>
  <c r="G5311" i="1"/>
  <c r="F5311" i="1"/>
  <c r="N5310" i="1"/>
  <c r="H5310" i="1"/>
  <c r="G5310" i="1"/>
  <c r="F5310" i="1"/>
  <c r="N5309" i="1"/>
  <c r="H5309" i="1"/>
  <c r="G5309" i="1"/>
  <c r="F5309" i="1"/>
  <c r="N5308" i="1"/>
  <c r="H5308" i="1"/>
  <c r="G5308" i="1"/>
  <c r="F5308" i="1"/>
  <c r="N5307" i="1"/>
  <c r="H5307" i="1"/>
  <c r="G5307" i="1"/>
  <c r="F5307" i="1"/>
  <c r="N5306" i="1"/>
  <c r="H5306" i="1"/>
  <c r="G5306" i="1"/>
  <c r="F5306" i="1"/>
  <c r="N5305" i="1"/>
  <c r="H5305" i="1"/>
  <c r="G5305" i="1"/>
  <c r="F5305" i="1"/>
  <c r="N5304" i="1"/>
  <c r="H5304" i="1"/>
  <c r="G5304" i="1"/>
  <c r="F5304" i="1"/>
  <c r="N5303" i="1"/>
  <c r="H5303" i="1"/>
  <c r="G5303" i="1"/>
  <c r="F5303" i="1"/>
  <c r="N5302" i="1"/>
  <c r="H5302" i="1"/>
  <c r="G5302" i="1"/>
  <c r="F5302" i="1"/>
  <c r="N5301" i="1"/>
  <c r="H5301" i="1"/>
  <c r="G5301" i="1"/>
  <c r="F5301" i="1"/>
  <c r="N5300" i="1"/>
  <c r="H5300" i="1"/>
  <c r="G5300" i="1"/>
  <c r="F5300" i="1"/>
  <c r="N5299" i="1"/>
  <c r="H5299" i="1"/>
  <c r="G5299" i="1"/>
  <c r="F5299" i="1"/>
  <c r="N5298" i="1"/>
  <c r="H5298" i="1"/>
  <c r="G5298" i="1"/>
  <c r="F5298" i="1"/>
  <c r="N5297" i="1"/>
  <c r="H5297" i="1"/>
  <c r="G5297" i="1"/>
  <c r="F5297" i="1"/>
  <c r="N5296" i="1"/>
  <c r="H5296" i="1"/>
  <c r="G5296" i="1"/>
  <c r="F5296" i="1"/>
  <c r="N5295" i="1"/>
  <c r="H5295" i="1"/>
  <c r="G5295" i="1"/>
  <c r="F5295" i="1"/>
  <c r="N5294" i="1"/>
  <c r="H5294" i="1"/>
  <c r="G5294" i="1"/>
  <c r="F5294" i="1"/>
  <c r="N5293" i="1"/>
  <c r="H5293" i="1"/>
  <c r="G5293" i="1"/>
  <c r="F5293" i="1"/>
  <c r="N5292" i="1"/>
  <c r="H5292" i="1"/>
  <c r="G5292" i="1"/>
  <c r="F5292" i="1"/>
  <c r="N5291" i="1"/>
  <c r="H5291" i="1"/>
  <c r="G5291" i="1"/>
  <c r="F5291" i="1"/>
  <c r="N5290" i="1"/>
  <c r="H5290" i="1"/>
  <c r="G5290" i="1"/>
  <c r="F5290" i="1"/>
  <c r="N5289" i="1"/>
  <c r="H5289" i="1"/>
  <c r="G5289" i="1"/>
  <c r="F5289" i="1"/>
  <c r="N5288" i="1"/>
  <c r="H5288" i="1"/>
  <c r="G5288" i="1"/>
  <c r="F5288" i="1"/>
  <c r="N5287" i="1"/>
  <c r="H5287" i="1"/>
  <c r="G5287" i="1"/>
  <c r="F5287" i="1"/>
  <c r="N5286" i="1"/>
  <c r="H5286" i="1"/>
  <c r="G5286" i="1"/>
  <c r="F5286" i="1"/>
  <c r="N5285" i="1"/>
  <c r="H5285" i="1"/>
  <c r="G5285" i="1"/>
  <c r="F5285" i="1"/>
  <c r="N5284" i="1"/>
  <c r="H5284" i="1"/>
  <c r="G5284" i="1"/>
  <c r="F5284" i="1"/>
  <c r="N5283" i="1"/>
  <c r="H5283" i="1"/>
  <c r="G5283" i="1"/>
  <c r="F5283" i="1"/>
  <c r="N5282" i="1"/>
  <c r="H5282" i="1"/>
  <c r="G5282" i="1"/>
  <c r="F5282" i="1"/>
  <c r="N5281" i="1"/>
  <c r="H5281" i="1"/>
  <c r="G5281" i="1"/>
  <c r="F5281" i="1"/>
  <c r="N5280" i="1"/>
  <c r="H5280" i="1"/>
  <c r="G5280" i="1"/>
  <c r="F5280" i="1"/>
  <c r="N5279" i="1"/>
  <c r="H5279" i="1"/>
  <c r="G5279" i="1"/>
  <c r="F5279" i="1"/>
  <c r="N5278" i="1"/>
  <c r="H5278" i="1"/>
  <c r="G5278" i="1"/>
  <c r="F5278" i="1"/>
  <c r="N5277" i="1"/>
  <c r="H5277" i="1"/>
  <c r="G5277" i="1"/>
  <c r="F5277" i="1"/>
  <c r="N5276" i="1"/>
  <c r="H5276" i="1"/>
  <c r="G5276" i="1"/>
  <c r="F5276" i="1"/>
  <c r="N5275" i="1"/>
  <c r="H5275" i="1"/>
  <c r="G5275" i="1"/>
  <c r="F5275" i="1"/>
  <c r="N5274" i="1"/>
  <c r="H5274" i="1"/>
  <c r="G5274" i="1"/>
  <c r="F5274" i="1"/>
  <c r="N5273" i="1"/>
  <c r="H5273" i="1"/>
  <c r="G5273" i="1"/>
  <c r="F5273" i="1"/>
  <c r="N5272" i="1"/>
  <c r="H5272" i="1"/>
  <c r="G5272" i="1"/>
  <c r="F5272" i="1"/>
  <c r="N5271" i="1"/>
  <c r="H5271" i="1"/>
  <c r="G5271" i="1"/>
  <c r="F5271" i="1"/>
  <c r="N5270" i="1"/>
  <c r="H5270" i="1"/>
  <c r="G5270" i="1"/>
  <c r="F5270" i="1"/>
  <c r="N5269" i="1"/>
  <c r="H5269" i="1"/>
  <c r="G5269" i="1"/>
  <c r="F5269" i="1"/>
  <c r="N5268" i="1"/>
  <c r="H5268" i="1"/>
  <c r="G5268" i="1"/>
  <c r="F5268" i="1"/>
  <c r="N5267" i="1"/>
  <c r="H5267" i="1"/>
  <c r="G5267" i="1"/>
  <c r="F5267" i="1"/>
  <c r="N5266" i="1"/>
  <c r="H5266" i="1"/>
  <c r="G5266" i="1"/>
  <c r="F5266" i="1"/>
  <c r="N5020" i="1"/>
  <c r="H5020" i="1"/>
  <c r="G5020" i="1"/>
  <c r="F5020" i="1"/>
  <c r="N5019" i="1"/>
  <c r="H5019" i="1"/>
  <c r="G5019" i="1"/>
  <c r="F5019" i="1"/>
  <c r="N5018" i="1"/>
  <c r="H5018" i="1"/>
  <c r="G5018" i="1"/>
  <c r="F5018" i="1"/>
  <c r="N5017" i="1"/>
  <c r="H5017" i="1"/>
  <c r="G5017" i="1"/>
  <c r="F5017" i="1"/>
  <c r="N5016" i="1"/>
  <c r="H5016" i="1"/>
  <c r="G5016" i="1"/>
  <c r="F5016" i="1"/>
  <c r="N5015" i="1"/>
  <c r="H5015" i="1"/>
  <c r="G5015" i="1"/>
  <c r="F5015" i="1"/>
  <c r="N5014" i="1"/>
  <c r="H5014" i="1"/>
  <c r="G5014" i="1"/>
  <c r="F5014" i="1"/>
  <c r="N5013" i="1"/>
  <c r="H5013" i="1"/>
  <c r="G5013" i="1"/>
  <c r="F5013" i="1"/>
  <c r="N5012" i="1"/>
  <c r="H5012" i="1"/>
  <c r="G5012" i="1"/>
  <c r="F5012" i="1"/>
  <c r="N5011" i="1"/>
  <c r="H5011" i="1"/>
  <c r="G5011" i="1"/>
  <c r="F5011" i="1"/>
  <c r="N5010" i="1"/>
  <c r="H5010" i="1"/>
  <c r="G5010" i="1"/>
  <c r="F5010" i="1"/>
  <c r="N5009" i="1"/>
  <c r="H5009" i="1"/>
  <c r="G5009" i="1"/>
  <c r="F5009" i="1"/>
  <c r="N5008" i="1"/>
  <c r="H5008" i="1"/>
  <c r="G5008" i="1"/>
  <c r="F5008" i="1"/>
  <c r="N5007" i="1"/>
  <c r="H5007" i="1"/>
  <c r="G5007" i="1"/>
  <c r="F5007" i="1"/>
  <c r="N5006" i="1"/>
  <c r="H5006" i="1"/>
  <c r="G5006" i="1"/>
  <c r="F5006" i="1"/>
  <c r="N5005" i="1"/>
  <c r="H5005" i="1"/>
  <c r="G5005" i="1"/>
  <c r="F5005" i="1"/>
  <c r="N5004" i="1"/>
  <c r="H5004" i="1"/>
  <c r="G5004" i="1"/>
  <c r="F5004" i="1"/>
  <c r="N5003" i="1"/>
  <c r="H5003" i="1"/>
  <c r="G5003" i="1"/>
  <c r="F5003" i="1"/>
  <c r="N5002" i="1"/>
  <c r="H5002" i="1"/>
  <c r="G5002" i="1"/>
  <c r="F5002" i="1"/>
  <c r="N5001" i="1"/>
  <c r="H5001" i="1"/>
  <c r="G5001" i="1"/>
  <c r="F5001" i="1"/>
  <c r="N5000" i="1"/>
  <c r="H5000" i="1"/>
  <c r="G5000" i="1"/>
  <c r="F5000" i="1"/>
  <c r="N4999" i="1"/>
  <c r="H4999" i="1"/>
  <c r="G4999" i="1"/>
  <c r="F4999" i="1"/>
  <c r="N4998" i="1"/>
  <c r="H4998" i="1"/>
  <c r="G4998" i="1"/>
  <c r="F4998" i="1"/>
  <c r="N4997" i="1"/>
  <c r="H4997" i="1"/>
  <c r="G4997" i="1"/>
  <c r="F4997" i="1"/>
  <c r="N4996" i="1"/>
  <c r="H4996" i="1"/>
  <c r="G4996" i="1"/>
  <c r="F4996" i="1"/>
  <c r="N4995" i="1"/>
  <c r="H4995" i="1"/>
  <c r="G4995" i="1"/>
  <c r="F4995" i="1"/>
  <c r="N4994" i="1"/>
  <c r="H4994" i="1"/>
  <c r="G4994" i="1"/>
  <c r="F4994" i="1"/>
  <c r="N4993" i="1"/>
  <c r="H4993" i="1"/>
  <c r="G4993" i="1"/>
  <c r="F4993" i="1"/>
  <c r="N4992" i="1"/>
  <c r="H4992" i="1"/>
  <c r="G4992" i="1"/>
  <c r="F4992" i="1"/>
  <c r="N4991" i="1"/>
  <c r="H4991" i="1"/>
  <c r="G4991" i="1"/>
  <c r="F4991" i="1"/>
  <c r="N4990" i="1"/>
  <c r="H4990" i="1"/>
  <c r="G4990" i="1"/>
  <c r="F4990" i="1"/>
  <c r="N4989" i="1"/>
  <c r="H4989" i="1"/>
  <c r="G4989" i="1"/>
  <c r="F4989" i="1"/>
  <c r="N4988" i="1"/>
  <c r="H4988" i="1"/>
  <c r="G4988" i="1"/>
  <c r="F4988" i="1"/>
  <c r="N4987" i="1"/>
  <c r="H4987" i="1"/>
  <c r="G4987" i="1"/>
  <c r="F4987" i="1"/>
  <c r="N4986" i="1"/>
  <c r="H4986" i="1"/>
  <c r="G4986" i="1"/>
  <c r="F4986" i="1"/>
  <c r="N4985" i="1"/>
  <c r="H4985" i="1"/>
  <c r="G4985" i="1"/>
  <c r="F4985" i="1"/>
  <c r="N4984" i="1"/>
  <c r="H4984" i="1"/>
  <c r="G4984" i="1"/>
  <c r="F4984" i="1"/>
  <c r="N4983" i="1"/>
  <c r="H4983" i="1"/>
  <c r="G4983" i="1"/>
  <c r="F4983" i="1"/>
  <c r="N4982" i="1"/>
  <c r="H4982" i="1"/>
  <c r="G4982" i="1"/>
  <c r="F4982" i="1"/>
  <c r="N4981" i="1"/>
  <c r="H4981" i="1"/>
  <c r="G4981" i="1"/>
  <c r="F4981" i="1"/>
  <c r="N4980" i="1"/>
  <c r="H4980" i="1"/>
  <c r="G4980" i="1"/>
  <c r="F4980" i="1"/>
  <c r="N4979" i="1"/>
  <c r="H4979" i="1"/>
  <c r="G4979" i="1"/>
  <c r="F4979" i="1"/>
  <c r="N4978" i="1"/>
  <c r="H4978" i="1"/>
  <c r="G4978" i="1"/>
  <c r="F4978" i="1"/>
  <c r="N4977" i="1"/>
  <c r="H4977" i="1"/>
  <c r="G4977" i="1"/>
  <c r="F4977" i="1"/>
  <c r="N4976" i="1"/>
  <c r="H4976" i="1"/>
  <c r="G4976" i="1"/>
  <c r="F4976" i="1"/>
  <c r="N4975" i="1"/>
  <c r="H4975" i="1"/>
  <c r="G4975" i="1"/>
  <c r="F4975" i="1"/>
  <c r="N4974" i="1"/>
  <c r="H4974" i="1"/>
  <c r="G4974" i="1"/>
  <c r="F4974" i="1"/>
  <c r="N4973" i="1"/>
  <c r="H4973" i="1"/>
  <c r="G4973" i="1"/>
  <c r="F4973" i="1"/>
  <c r="N4972" i="1"/>
  <c r="H4972" i="1"/>
  <c r="G4972" i="1"/>
  <c r="F4972" i="1"/>
  <c r="N4971" i="1"/>
  <c r="H4971" i="1"/>
  <c r="G4971" i="1"/>
  <c r="F4971" i="1"/>
  <c r="N4970" i="1"/>
  <c r="H4970" i="1"/>
  <c r="G4970" i="1"/>
  <c r="F4970" i="1"/>
  <c r="N4969" i="1"/>
  <c r="H4969" i="1"/>
  <c r="G4969" i="1"/>
  <c r="F4969" i="1"/>
  <c r="N4968" i="1"/>
  <c r="H4968" i="1"/>
  <c r="G4968" i="1"/>
  <c r="F4968" i="1"/>
  <c r="N4967" i="1"/>
  <c r="H4967" i="1"/>
  <c r="G4967" i="1"/>
  <c r="F4967" i="1"/>
  <c r="N4966" i="1"/>
  <c r="H4966" i="1"/>
  <c r="G4966" i="1"/>
  <c r="F4966" i="1"/>
  <c r="N4965" i="1"/>
  <c r="H4965" i="1"/>
  <c r="G4965" i="1"/>
  <c r="F4965" i="1"/>
  <c r="N4964" i="1"/>
  <c r="H4964" i="1"/>
  <c r="G4964" i="1"/>
  <c r="F4964" i="1"/>
  <c r="N4963" i="1"/>
  <c r="H4963" i="1"/>
  <c r="G4963" i="1"/>
  <c r="F4963" i="1"/>
  <c r="N4962" i="1"/>
  <c r="H4962" i="1"/>
  <c r="G4962" i="1"/>
  <c r="F4962" i="1"/>
  <c r="N4961" i="1"/>
  <c r="H4961" i="1"/>
  <c r="G4961" i="1"/>
  <c r="F4961" i="1"/>
  <c r="N4960" i="1"/>
  <c r="H4960" i="1"/>
  <c r="G4960" i="1"/>
  <c r="F4960" i="1"/>
  <c r="N4959" i="1"/>
  <c r="H4959" i="1"/>
  <c r="G4959" i="1"/>
  <c r="F4959" i="1"/>
  <c r="N4958" i="1"/>
  <c r="H4958" i="1"/>
  <c r="G4958" i="1"/>
  <c r="F4958" i="1"/>
  <c r="N4957" i="1"/>
  <c r="H4957" i="1"/>
  <c r="G4957" i="1"/>
  <c r="F4957" i="1"/>
  <c r="N4956" i="1"/>
  <c r="H4956" i="1"/>
  <c r="G4956" i="1"/>
  <c r="F4956" i="1"/>
  <c r="N4955" i="1"/>
  <c r="H4955" i="1"/>
  <c r="G4955" i="1"/>
  <c r="F4955" i="1"/>
  <c r="N4954" i="1"/>
  <c r="H4954" i="1"/>
  <c r="G4954" i="1"/>
  <c r="F4954" i="1"/>
  <c r="N4953" i="1"/>
  <c r="H4953" i="1"/>
  <c r="G4953" i="1"/>
  <c r="F4953" i="1"/>
  <c r="N4952" i="1"/>
  <c r="H4952" i="1"/>
  <c r="G4952" i="1"/>
  <c r="F4952" i="1"/>
  <c r="N4951" i="1"/>
  <c r="H4951" i="1"/>
  <c r="G4951" i="1"/>
  <c r="F4951" i="1"/>
  <c r="N4950" i="1"/>
  <c r="H4950" i="1"/>
  <c r="G4950" i="1"/>
  <c r="F4950" i="1"/>
  <c r="N4949" i="1"/>
  <c r="H4949" i="1"/>
  <c r="G4949" i="1"/>
  <c r="F4949" i="1"/>
  <c r="N4948" i="1"/>
  <c r="H4948" i="1"/>
  <c r="G4948" i="1"/>
  <c r="F4948" i="1"/>
  <c r="N4947" i="1"/>
  <c r="H4947" i="1"/>
  <c r="G4947" i="1"/>
  <c r="F4947" i="1"/>
  <c r="N4946" i="1"/>
  <c r="H4946" i="1"/>
  <c r="G4946" i="1"/>
  <c r="F4946" i="1"/>
  <c r="N4945" i="1"/>
  <c r="H4945" i="1"/>
  <c r="G4945" i="1"/>
  <c r="F4945" i="1"/>
  <c r="N4944" i="1"/>
  <c r="H4944" i="1"/>
  <c r="G4944" i="1"/>
  <c r="F4944" i="1"/>
  <c r="N4943" i="1"/>
  <c r="H4943" i="1"/>
  <c r="G4943" i="1"/>
  <c r="F4943" i="1"/>
  <c r="N4942" i="1"/>
  <c r="H4942" i="1"/>
  <c r="G4942" i="1"/>
  <c r="F4942" i="1"/>
  <c r="N4941" i="1"/>
  <c r="H4941" i="1"/>
  <c r="G4941" i="1"/>
  <c r="F4941" i="1"/>
  <c r="N4940" i="1"/>
  <c r="H4940" i="1"/>
  <c r="G4940" i="1"/>
  <c r="F4940" i="1"/>
  <c r="N4939" i="1"/>
  <c r="H4939" i="1"/>
  <c r="G4939" i="1"/>
  <c r="F4939" i="1"/>
  <c r="N4938" i="1"/>
  <c r="H4938" i="1"/>
  <c r="G4938" i="1"/>
  <c r="F4938" i="1"/>
  <c r="N4937" i="1"/>
  <c r="H4937" i="1"/>
  <c r="G4937" i="1"/>
  <c r="F4937" i="1"/>
  <c r="N4936" i="1"/>
  <c r="H4936" i="1"/>
  <c r="G4936" i="1"/>
  <c r="F4936" i="1"/>
  <c r="N4935" i="1"/>
  <c r="H4935" i="1"/>
  <c r="G4935" i="1"/>
  <c r="F4935" i="1"/>
  <c r="N4934" i="1"/>
  <c r="H4934" i="1"/>
  <c r="G4934" i="1"/>
  <c r="F4934" i="1"/>
  <c r="N4933" i="1"/>
  <c r="H4933" i="1"/>
  <c r="G4933" i="1"/>
  <c r="F4933" i="1"/>
  <c r="N4932" i="1"/>
  <c r="H4932" i="1"/>
  <c r="G4932" i="1"/>
  <c r="F4932" i="1"/>
  <c r="N4931" i="1"/>
  <c r="H4931" i="1"/>
  <c r="G4931" i="1"/>
  <c r="F4931" i="1"/>
  <c r="N4930" i="1"/>
  <c r="H4930" i="1"/>
  <c r="G4930" i="1"/>
  <c r="F4930" i="1"/>
  <c r="N4929" i="1"/>
  <c r="H4929" i="1"/>
  <c r="G4929" i="1"/>
  <c r="F4929" i="1"/>
  <c r="N4928" i="1"/>
  <c r="H4928" i="1"/>
  <c r="G4928" i="1"/>
  <c r="F4928" i="1"/>
  <c r="N4927" i="1"/>
  <c r="H4927" i="1"/>
  <c r="G4927" i="1"/>
  <c r="F4927" i="1"/>
  <c r="N4926" i="1"/>
  <c r="H4926" i="1"/>
  <c r="G4926" i="1"/>
  <c r="F4926" i="1"/>
  <c r="N4925" i="1"/>
  <c r="H4925" i="1"/>
  <c r="G4925" i="1"/>
  <c r="F4925" i="1"/>
  <c r="N4924" i="1"/>
  <c r="H4924" i="1"/>
  <c r="G4924" i="1"/>
  <c r="F4924" i="1"/>
  <c r="N4923" i="1"/>
  <c r="H4923" i="1"/>
  <c r="G4923" i="1"/>
  <c r="F4923" i="1"/>
  <c r="N4922" i="1"/>
  <c r="H4922" i="1"/>
  <c r="G4922" i="1"/>
  <c r="F4922" i="1"/>
  <c r="N4921" i="1"/>
  <c r="H4921" i="1"/>
  <c r="G4921" i="1"/>
  <c r="F4921" i="1"/>
  <c r="N4920" i="1"/>
  <c r="H4920" i="1"/>
  <c r="G4920" i="1"/>
  <c r="F4920" i="1"/>
  <c r="N4919" i="1"/>
  <c r="H4919" i="1"/>
  <c r="G4919" i="1"/>
  <c r="F4919" i="1"/>
  <c r="N4918" i="1"/>
  <c r="H4918" i="1"/>
  <c r="G4918" i="1"/>
  <c r="F4918" i="1"/>
  <c r="N4917" i="1"/>
  <c r="H4917" i="1"/>
  <c r="G4917" i="1"/>
  <c r="F4917" i="1"/>
  <c r="N4916" i="1"/>
  <c r="H4916" i="1"/>
  <c r="G4916" i="1"/>
  <c r="F4916" i="1"/>
  <c r="N4915" i="1"/>
  <c r="H4915" i="1"/>
  <c r="G4915" i="1"/>
  <c r="F4915" i="1"/>
  <c r="N4914" i="1"/>
  <c r="H4914" i="1"/>
  <c r="G4914" i="1"/>
  <c r="F4914" i="1"/>
  <c r="N4913" i="1"/>
  <c r="H4913" i="1"/>
  <c r="G4913" i="1"/>
  <c r="F4913" i="1"/>
  <c r="N4912" i="1"/>
  <c r="H4912" i="1"/>
  <c r="G4912" i="1"/>
  <c r="F4912" i="1"/>
  <c r="N4911" i="1"/>
  <c r="H4911" i="1"/>
  <c r="G4911" i="1"/>
  <c r="F4911" i="1"/>
  <c r="N4910" i="1"/>
  <c r="H4910" i="1"/>
  <c r="G4910" i="1"/>
  <c r="F4910" i="1"/>
  <c r="N4909" i="1"/>
  <c r="H4909" i="1"/>
  <c r="G4909" i="1"/>
  <c r="F4909" i="1"/>
  <c r="N4908" i="1"/>
  <c r="H4908" i="1"/>
  <c r="G4908" i="1"/>
  <c r="F4908" i="1"/>
  <c r="N4907" i="1"/>
  <c r="H4907" i="1"/>
  <c r="G4907" i="1"/>
  <c r="F4907" i="1"/>
  <c r="N4906" i="1"/>
  <c r="H4906" i="1"/>
  <c r="G4906" i="1"/>
  <c r="F4906" i="1"/>
  <c r="N4905" i="1"/>
  <c r="H4905" i="1"/>
  <c r="G4905" i="1"/>
  <c r="F4905" i="1"/>
  <c r="N4904" i="1"/>
  <c r="H4904" i="1"/>
  <c r="G4904" i="1"/>
  <c r="F4904" i="1"/>
  <c r="N4903" i="1"/>
  <c r="H4903" i="1"/>
  <c r="G4903" i="1"/>
  <c r="F4903" i="1"/>
  <c r="N4902" i="1"/>
  <c r="H4902" i="1"/>
  <c r="G4902" i="1"/>
  <c r="F4902" i="1"/>
  <c r="N4901" i="1"/>
  <c r="H4901" i="1"/>
  <c r="G4901" i="1"/>
  <c r="F4901" i="1"/>
  <c r="N4900" i="1"/>
  <c r="H4900" i="1"/>
  <c r="G4900" i="1"/>
  <c r="F4900" i="1"/>
  <c r="N4899" i="1"/>
  <c r="H4899" i="1"/>
  <c r="G4899" i="1"/>
  <c r="F4899" i="1"/>
  <c r="N4898" i="1"/>
  <c r="H4898" i="1"/>
  <c r="G4898" i="1"/>
  <c r="F4898" i="1"/>
  <c r="N4897" i="1"/>
  <c r="H4897" i="1"/>
  <c r="G4897" i="1"/>
  <c r="F4897" i="1"/>
  <c r="N4896" i="1"/>
  <c r="H4896" i="1"/>
  <c r="G4896" i="1"/>
  <c r="F4896" i="1"/>
  <c r="N4895" i="1"/>
  <c r="H4895" i="1"/>
  <c r="G4895" i="1"/>
  <c r="F4895" i="1"/>
  <c r="N4894" i="1"/>
  <c r="H4894" i="1"/>
  <c r="G4894" i="1"/>
  <c r="F4894" i="1"/>
  <c r="N4893" i="1"/>
  <c r="H4893" i="1"/>
  <c r="G4893" i="1"/>
  <c r="F4893" i="1"/>
  <c r="N4892" i="1"/>
  <c r="H4892" i="1"/>
  <c r="G4892" i="1"/>
  <c r="F4892" i="1"/>
  <c r="N4891" i="1"/>
  <c r="H4891" i="1"/>
  <c r="G4891" i="1"/>
  <c r="F4891" i="1"/>
  <c r="N4890" i="1"/>
  <c r="H4890" i="1"/>
  <c r="G4890" i="1"/>
  <c r="F4890" i="1"/>
  <c r="N4889" i="1"/>
  <c r="H4889" i="1"/>
  <c r="G4889" i="1"/>
  <c r="F4889" i="1"/>
  <c r="N4888" i="1"/>
  <c r="H4888" i="1"/>
  <c r="G4888" i="1"/>
  <c r="F4888" i="1"/>
  <c r="N4887" i="1"/>
  <c r="H4887" i="1"/>
  <c r="G4887" i="1"/>
  <c r="F4887" i="1"/>
  <c r="N4886" i="1"/>
  <c r="H4886" i="1"/>
  <c r="G4886" i="1"/>
  <c r="F4886" i="1"/>
  <c r="N4885" i="1"/>
  <c r="H4885" i="1"/>
  <c r="G4885" i="1"/>
  <c r="F4885" i="1"/>
  <c r="N4884" i="1"/>
  <c r="H4884" i="1"/>
  <c r="G4884" i="1"/>
  <c r="F4884" i="1"/>
  <c r="N4883" i="1"/>
  <c r="H4883" i="1"/>
  <c r="G4883" i="1"/>
  <c r="F4883" i="1"/>
  <c r="N4882" i="1"/>
  <c r="H4882" i="1"/>
  <c r="G4882" i="1"/>
  <c r="F4882" i="1"/>
  <c r="N4881" i="1"/>
  <c r="H4881" i="1"/>
  <c r="G4881" i="1"/>
  <c r="F4881" i="1"/>
  <c r="N4880" i="1"/>
  <c r="H4880" i="1"/>
  <c r="G4880" i="1"/>
  <c r="F4880" i="1"/>
  <c r="N4879" i="1"/>
  <c r="H4879" i="1"/>
  <c r="G4879" i="1"/>
  <c r="F4879" i="1"/>
  <c r="N4878" i="1"/>
  <c r="H4878" i="1"/>
  <c r="G4878" i="1"/>
  <c r="F4878" i="1"/>
  <c r="N4877" i="1"/>
  <c r="H4877" i="1"/>
  <c r="G4877" i="1"/>
  <c r="F4877" i="1"/>
  <c r="N4876" i="1"/>
  <c r="H4876" i="1"/>
  <c r="G4876" i="1"/>
  <c r="F4876" i="1"/>
  <c r="N4875" i="1"/>
  <c r="H4875" i="1"/>
  <c r="G4875" i="1"/>
  <c r="F4875" i="1"/>
  <c r="N4874" i="1"/>
  <c r="H4874" i="1"/>
  <c r="G4874" i="1"/>
  <c r="F4874" i="1"/>
  <c r="N4873" i="1"/>
  <c r="H4873" i="1"/>
  <c r="G4873" i="1"/>
  <c r="F4873" i="1"/>
  <c r="N4872" i="1"/>
  <c r="H4872" i="1"/>
  <c r="G4872" i="1"/>
  <c r="F4872" i="1"/>
  <c r="N4871" i="1"/>
  <c r="H4871" i="1"/>
  <c r="G4871" i="1"/>
  <c r="F4871" i="1"/>
  <c r="N4870" i="1"/>
  <c r="H4870" i="1"/>
  <c r="G4870" i="1"/>
  <c r="F4870" i="1"/>
  <c r="N4869" i="1"/>
  <c r="H4869" i="1"/>
  <c r="G4869" i="1"/>
  <c r="F4869" i="1"/>
  <c r="N4868" i="1"/>
  <c r="H4868" i="1"/>
  <c r="G4868" i="1"/>
  <c r="F4868" i="1"/>
  <c r="N4867" i="1"/>
  <c r="H4867" i="1"/>
  <c r="G4867" i="1"/>
  <c r="F4867" i="1"/>
  <c r="N4866" i="1"/>
  <c r="H4866" i="1"/>
  <c r="G4866" i="1"/>
  <c r="F4866" i="1"/>
  <c r="N4865" i="1"/>
  <c r="H4865" i="1"/>
  <c r="G4865" i="1"/>
  <c r="F4865" i="1"/>
  <c r="N4864" i="1"/>
  <c r="H4864" i="1"/>
  <c r="G4864" i="1"/>
  <c r="F4864" i="1"/>
  <c r="N4863" i="1"/>
  <c r="H4863" i="1"/>
  <c r="G4863" i="1"/>
  <c r="F4863" i="1"/>
  <c r="N4862" i="1"/>
  <c r="H4862" i="1"/>
  <c r="G4862" i="1"/>
  <c r="F4862" i="1"/>
  <c r="N4861" i="1"/>
  <c r="H4861" i="1"/>
  <c r="G4861" i="1"/>
  <c r="F4861" i="1"/>
  <c r="N4860" i="1"/>
  <c r="H4860" i="1"/>
  <c r="G4860" i="1"/>
  <c r="F4860" i="1"/>
  <c r="N4859" i="1"/>
  <c r="H4859" i="1"/>
  <c r="G4859" i="1"/>
  <c r="F4859" i="1"/>
  <c r="N4858" i="1"/>
  <c r="H4858" i="1"/>
  <c r="G4858" i="1"/>
  <c r="F4858" i="1"/>
  <c r="N4857" i="1"/>
  <c r="H4857" i="1"/>
  <c r="G4857" i="1"/>
  <c r="F4857" i="1"/>
  <c r="N4856" i="1"/>
  <c r="H4856" i="1"/>
  <c r="G4856" i="1"/>
  <c r="F4856" i="1"/>
  <c r="N4855" i="1"/>
  <c r="H4855" i="1"/>
  <c r="G4855" i="1"/>
  <c r="F4855" i="1"/>
  <c r="N4854" i="1"/>
  <c r="H4854" i="1"/>
  <c r="G4854" i="1"/>
  <c r="F4854" i="1"/>
  <c r="N4853" i="1"/>
  <c r="H4853" i="1"/>
  <c r="G4853" i="1"/>
  <c r="F4853" i="1"/>
  <c r="N4852" i="1"/>
  <c r="H4852" i="1"/>
  <c r="G4852" i="1"/>
  <c r="F4852" i="1"/>
  <c r="N4851" i="1"/>
  <c r="H4851" i="1"/>
  <c r="G4851" i="1"/>
  <c r="F4851" i="1"/>
  <c r="N4850" i="1"/>
  <c r="H4850" i="1"/>
  <c r="G4850" i="1"/>
  <c r="F4850" i="1"/>
  <c r="N4849" i="1"/>
  <c r="H4849" i="1"/>
  <c r="G4849" i="1"/>
  <c r="F4849" i="1"/>
  <c r="N4848" i="1"/>
  <c r="H4848" i="1"/>
  <c r="G4848" i="1"/>
  <c r="F4848" i="1"/>
  <c r="N4847" i="1"/>
  <c r="H4847" i="1"/>
  <c r="G4847" i="1"/>
  <c r="F4847" i="1"/>
  <c r="N4846" i="1"/>
  <c r="H4846" i="1"/>
  <c r="G4846" i="1"/>
  <c r="F4846" i="1"/>
  <c r="N4845" i="1"/>
  <c r="H4845" i="1"/>
  <c r="G4845" i="1"/>
  <c r="F4845" i="1"/>
  <c r="N4844" i="1"/>
  <c r="H4844" i="1"/>
  <c r="G4844" i="1"/>
  <c r="F4844" i="1"/>
  <c r="N4843" i="1"/>
  <c r="H4843" i="1"/>
  <c r="G4843" i="1"/>
  <c r="F4843" i="1"/>
  <c r="N4842" i="1"/>
  <c r="H4842" i="1"/>
  <c r="G4842" i="1"/>
  <c r="F4842" i="1"/>
  <c r="N4841" i="1"/>
  <c r="H4841" i="1"/>
  <c r="G4841" i="1"/>
  <c r="F4841" i="1"/>
  <c r="N4840" i="1"/>
  <c r="H4840" i="1"/>
  <c r="G4840" i="1"/>
  <c r="F4840" i="1"/>
  <c r="N4839" i="1"/>
  <c r="H4839" i="1"/>
  <c r="G4839" i="1"/>
  <c r="F4839" i="1"/>
  <c r="N4838" i="1"/>
  <c r="H4838" i="1"/>
  <c r="G4838" i="1"/>
  <c r="F4838" i="1"/>
  <c r="N4837" i="1"/>
  <c r="H4837" i="1"/>
  <c r="G4837" i="1"/>
  <c r="F4837" i="1"/>
  <c r="N4836" i="1"/>
  <c r="H4836" i="1"/>
  <c r="G4836" i="1"/>
  <c r="F4836" i="1"/>
  <c r="N4835" i="1"/>
  <c r="H4835" i="1"/>
  <c r="G4835" i="1"/>
  <c r="F4835" i="1"/>
  <c r="N4834" i="1"/>
  <c r="H4834" i="1"/>
  <c r="G4834" i="1"/>
  <c r="F4834" i="1"/>
  <c r="N4833" i="1"/>
  <c r="H4833" i="1"/>
  <c r="G4833" i="1"/>
  <c r="F4833" i="1"/>
  <c r="N4832" i="1"/>
  <c r="H4832" i="1"/>
  <c r="G4832" i="1"/>
  <c r="F4832" i="1"/>
  <c r="N4831" i="1"/>
  <c r="H4831" i="1"/>
  <c r="G4831" i="1"/>
  <c r="F4831" i="1"/>
  <c r="N4830" i="1"/>
  <c r="H4830" i="1"/>
  <c r="G4830" i="1"/>
  <c r="F4830" i="1"/>
  <c r="N4829" i="1"/>
  <c r="H4829" i="1"/>
  <c r="G4829" i="1"/>
  <c r="F4829" i="1"/>
  <c r="N4828" i="1"/>
  <c r="H4828" i="1"/>
  <c r="G4828" i="1"/>
  <c r="F4828" i="1"/>
  <c r="N4827" i="1"/>
  <c r="H4827" i="1"/>
  <c r="G4827" i="1"/>
  <c r="F4827" i="1"/>
  <c r="N4826" i="1"/>
  <c r="H4826" i="1"/>
  <c r="G4826" i="1"/>
  <c r="F4826" i="1"/>
  <c r="N4825" i="1"/>
  <c r="H4825" i="1"/>
  <c r="G4825" i="1"/>
  <c r="F4825" i="1"/>
  <c r="N4824" i="1"/>
  <c r="H4824" i="1"/>
  <c r="G4824" i="1"/>
  <c r="F4824" i="1"/>
  <c r="N4823" i="1"/>
  <c r="H4823" i="1"/>
  <c r="G4823" i="1"/>
  <c r="F4823" i="1"/>
  <c r="N4822" i="1"/>
  <c r="H4822" i="1"/>
  <c r="G4822" i="1"/>
  <c r="F4822" i="1"/>
  <c r="N4821" i="1"/>
  <c r="H4821" i="1"/>
  <c r="G4821" i="1"/>
  <c r="F4821" i="1"/>
  <c r="N4820" i="1"/>
  <c r="H4820" i="1"/>
  <c r="G4820" i="1"/>
  <c r="F4820" i="1"/>
  <c r="N4819" i="1"/>
  <c r="H4819" i="1"/>
  <c r="G4819" i="1"/>
  <c r="F4819" i="1"/>
  <c r="N4818" i="1"/>
  <c r="H4818" i="1"/>
  <c r="G4818" i="1"/>
  <c r="F4818" i="1"/>
  <c r="N4817" i="1"/>
  <c r="H4817" i="1"/>
  <c r="G4817" i="1"/>
  <c r="F4817" i="1"/>
  <c r="N4816" i="1"/>
  <c r="H4816" i="1"/>
  <c r="G4816" i="1"/>
  <c r="F4816" i="1"/>
  <c r="N4815" i="1"/>
  <c r="H4815" i="1"/>
  <c r="G4815" i="1"/>
  <c r="F4815" i="1"/>
  <c r="N4814" i="1"/>
  <c r="H4814" i="1"/>
  <c r="G4814" i="1"/>
  <c r="F4814" i="1"/>
  <c r="N4813" i="1"/>
  <c r="H4813" i="1"/>
  <c r="G4813" i="1"/>
  <c r="F4813" i="1"/>
  <c r="N4812" i="1"/>
  <c r="H4812" i="1"/>
  <c r="G4812" i="1"/>
  <c r="F4812" i="1"/>
  <c r="N4811" i="1"/>
  <c r="H4811" i="1"/>
  <c r="G4811" i="1"/>
  <c r="F4811" i="1"/>
  <c r="N4810" i="1"/>
  <c r="H4810" i="1"/>
  <c r="G4810" i="1"/>
  <c r="F4810" i="1"/>
  <c r="N4809" i="1"/>
  <c r="H4809" i="1"/>
  <c r="G4809" i="1"/>
  <c r="F4809" i="1"/>
  <c r="N4808" i="1"/>
  <c r="H4808" i="1"/>
  <c r="G4808" i="1"/>
  <c r="F4808" i="1"/>
  <c r="N4807" i="1"/>
  <c r="H4807" i="1"/>
  <c r="G4807" i="1"/>
  <c r="F4807" i="1"/>
  <c r="N4806" i="1"/>
  <c r="H4806" i="1"/>
  <c r="G4806" i="1"/>
  <c r="F4806" i="1"/>
  <c r="N4805" i="1"/>
  <c r="H4805" i="1"/>
  <c r="G4805" i="1"/>
  <c r="F4805" i="1"/>
  <c r="N4804" i="1"/>
  <c r="H4804" i="1"/>
  <c r="G4804" i="1"/>
  <c r="F4804" i="1"/>
  <c r="N4803" i="1"/>
  <c r="H4803" i="1"/>
  <c r="G4803" i="1"/>
  <c r="F4803" i="1"/>
  <c r="N4802" i="1"/>
  <c r="H4802" i="1"/>
  <c r="G4802" i="1"/>
  <c r="F4802" i="1"/>
  <c r="N4801" i="1"/>
  <c r="H4801" i="1"/>
  <c r="G4801" i="1"/>
  <c r="F4801" i="1"/>
  <c r="N4800" i="1"/>
  <c r="H4800" i="1"/>
  <c r="G4800" i="1"/>
  <c r="F4800" i="1"/>
  <c r="N4799" i="1"/>
  <c r="H4799" i="1"/>
  <c r="G4799" i="1"/>
  <c r="F4799" i="1"/>
  <c r="N4798" i="1"/>
  <c r="H4798" i="1"/>
  <c r="G4798" i="1"/>
  <c r="F4798" i="1"/>
  <c r="N4797" i="1"/>
  <c r="H4797" i="1"/>
  <c r="G4797" i="1"/>
  <c r="F4797" i="1"/>
  <c r="N4796" i="1"/>
  <c r="H4796" i="1"/>
  <c r="G4796" i="1"/>
  <c r="F4796" i="1"/>
  <c r="N4795" i="1"/>
  <c r="H4795" i="1"/>
  <c r="G4795" i="1"/>
  <c r="F4795" i="1"/>
  <c r="N4794" i="1"/>
  <c r="H4794" i="1"/>
  <c r="G4794" i="1"/>
  <c r="F4794" i="1"/>
  <c r="N4793" i="1"/>
  <c r="H4793" i="1"/>
  <c r="G4793" i="1"/>
  <c r="F4793" i="1"/>
  <c r="N4792" i="1"/>
  <c r="H4792" i="1"/>
  <c r="G4792" i="1"/>
  <c r="F4792" i="1"/>
  <c r="N4791" i="1"/>
  <c r="H4791" i="1"/>
  <c r="G4791" i="1"/>
  <c r="F4791" i="1"/>
  <c r="N4790" i="1"/>
  <c r="H4790" i="1"/>
  <c r="G4790" i="1"/>
  <c r="F4790" i="1"/>
  <c r="N4789" i="1"/>
  <c r="H4789" i="1"/>
  <c r="G4789" i="1"/>
  <c r="F4789" i="1"/>
  <c r="N4788" i="1"/>
  <c r="H4788" i="1"/>
  <c r="G4788" i="1"/>
  <c r="F4788" i="1"/>
  <c r="N4787" i="1"/>
  <c r="H4787" i="1"/>
  <c r="G4787" i="1"/>
  <c r="F4787" i="1"/>
  <c r="N4786" i="1"/>
  <c r="H4786" i="1"/>
  <c r="G4786" i="1"/>
  <c r="F4786" i="1"/>
  <c r="N4785" i="1"/>
  <c r="H4785" i="1"/>
  <c r="G4785" i="1"/>
  <c r="F4785" i="1"/>
  <c r="N4784" i="1"/>
  <c r="H4784" i="1"/>
  <c r="G4784" i="1"/>
  <c r="F4784" i="1"/>
  <c r="N4783" i="1"/>
  <c r="H4783" i="1"/>
  <c r="G4783" i="1"/>
  <c r="F4783" i="1"/>
  <c r="N4782" i="1"/>
  <c r="H4782" i="1"/>
  <c r="G4782" i="1"/>
  <c r="F4782" i="1"/>
  <c r="N4781" i="1"/>
  <c r="H4781" i="1"/>
  <c r="G4781" i="1"/>
  <c r="F4781" i="1"/>
  <c r="N4780" i="1"/>
  <c r="H4780" i="1"/>
  <c r="G4780" i="1"/>
  <c r="F4780" i="1"/>
  <c r="N4779" i="1"/>
  <c r="H4779" i="1"/>
  <c r="G4779" i="1"/>
  <c r="F4779" i="1"/>
  <c r="N4778" i="1"/>
  <c r="H4778" i="1"/>
  <c r="G4778" i="1"/>
  <c r="F4778" i="1"/>
  <c r="N4777" i="1"/>
  <c r="H4777" i="1"/>
  <c r="G4777" i="1"/>
  <c r="F4777" i="1"/>
  <c r="N4776" i="1"/>
  <c r="H4776" i="1"/>
  <c r="G4776" i="1"/>
  <c r="F4776" i="1"/>
  <c r="N4775" i="1"/>
  <c r="H4775" i="1"/>
  <c r="G4775" i="1"/>
  <c r="F4775" i="1"/>
  <c r="N4774" i="1"/>
  <c r="H4774" i="1"/>
  <c r="G4774" i="1"/>
  <c r="F4774" i="1"/>
  <c r="N4773" i="1"/>
  <c r="H4773" i="1"/>
  <c r="G4773" i="1"/>
  <c r="F4773" i="1"/>
  <c r="N4772" i="1"/>
  <c r="H4772" i="1"/>
  <c r="G4772" i="1"/>
  <c r="F4772" i="1"/>
  <c r="N4771" i="1"/>
  <c r="H4771" i="1"/>
  <c r="G4771" i="1"/>
  <c r="F4771" i="1"/>
  <c r="N4770" i="1"/>
  <c r="H4770" i="1"/>
  <c r="G4770" i="1"/>
  <c r="F4770" i="1"/>
  <c r="N4769" i="1"/>
  <c r="H4769" i="1"/>
  <c r="G4769" i="1"/>
  <c r="F4769" i="1"/>
  <c r="N4768" i="1"/>
  <c r="H4768" i="1"/>
  <c r="G4768" i="1"/>
  <c r="F4768" i="1"/>
  <c r="N4767" i="1"/>
  <c r="H4767" i="1"/>
  <c r="G4767" i="1"/>
  <c r="F4767" i="1"/>
  <c r="N4766" i="1"/>
  <c r="H4766" i="1"/>
  <c r="G4766" i="1"/>
  <c r="F4766" i="1"/>
  <c r="N4765" i="1"/>
  <c r="H4765" i="1"/>
  <c r="G4765" i="1"/>
  <c r="F4765" i="1"/>
  <c r="N4764" i="1"/>
  <c r="H4764" i="1"/>
  <c r="G4764" i="1"/>
  <c r="F4764" i="1"/>
  <c r="N4763" i="1"/>
  <c r="H4763" i="1"/>
  <c r="G4763" i="1"/>
  <c r="F4763" i="1"/>
  <c r="N4762" i="1"/>
  <c r="H4762" i="1"/>
  <c r="G4762" i="1"/>
  <c r="F4762" i="1"/>
  <c r="N4761" i="1"/>
  <c r="H4761" i="1"/>
  <c r="G4761" i="1"/>
  <c r="F4761" i="1"/>
  <c r="N4760" i="1"/>
  <c r="H4760" i="1"/>
  <c r="G4760" i="1"/>
  <c r="F4760" i="1"/>
  <c r="N4759" i="1"/>
  <c r="H4759" i="1"/>
  <c r="G4759" i="1"/>
  <c r="F4759" i="1"/>
  <c r="N4758" i="1"/>
  <c r="H4758" i="1"/>
  <c r="G4758" i="1"/>
  <c r="F4758" i="1"/>
  <c r="N4757" i="1"/>
  <c r="H4757" i="1"/>
  <c r="G4757" i="1"/>
  <c r="F4757" i="1"/>
  <c r="N4756" i="1"/>
  <c r="H4756" i="1"/>
  <c r="G4756" i="1"/>
  <c r="F4756" i="1"/>
  <c r="N4755" i="1"/>
  <c r="H4755" i="1"/>
  <c r="G4755" i="1"/>
  <c r="F4755" i="1"/>
  <c r="N4754" i="1"/>
  <c r="H4754" i="1"/>
  <c r="G4754" i="1"/>
  <c r="F4754" i="1"/>
  <c r="N4753" i="1"/>
  <c r="H4753" i="1"/>
  <c r="G4753" i="1"/>
  <c r="F4753" i="1"/>
  <c r="N4752" i="1"/>
  <c r="H4752" i="1"/>
  <c r="G4752" i="1"/>
  <c r="F4752" i="1"/>
  <c r="N4751" i="1"/>
  <c r="H4751" i="1"/>
  <c r="G4751" i="1"/>
  <c r="F4751" i="1"/>
  <c r="N4750" i="1"/>
  <c r="H4750" i="1"/>
  <c r="G4750" i="1"/>
  <c r="F4750" i="1"/>
  <c r="N4749" i="1"/>
  <c r="H4749" i="1"/>
  <c r="G4749" i="1"/>
  <c r="F4749" i="1"/>
  <c r="N4748" i="1"/>
  <c r="H4748" i="1"/>
  <c r="G4748" i="1"/>
  <c r="F4748" i="1"/>
  <c r="N4747" i="1"/>
  <c r="H4747" i="1"/>
  <c r="G4747" i="1"/>
  <c r="F4747" i="1"/>
  <c r="N4746" i="1"/>
  <c r="H4746" i="1"/>
  <c r="G4746" i="1"/>
  <c r="F4746" i="1"/>
  <c r="N4745" i="1"/>
  <c r="H4745" i="1"/>
  <c r="G4745" i="1"/>
  <c r="F4745" i="1"/>
  <c r="N4744" i="1"/>
  <c r="H4744" i="1"/>
  <c r="G4744" i="1"/>
  <c r="F4744" i="1"/>
  <c r="N4743" i="1"/>
  <c r="H4743" i="1"/>
  <c r="G4743" i="1"/>
  <c r="F4743" i="1"/>
  <c r="N4742" i="1"/>
  <c r="H4742" i="1"/>
  <c r="G4742" i="1"/>
  <c r="F4742" i="1"/>
  <c r="N4741" i="1"/>
  <c r="H4741" i="1"/>
  <c r="G4741" i="1"/>
  <c r="F4741" i="1"/>
  <c r="N4740" i="1"/>
  <c r="H4740" i="1"/>
  <c r="G4740" i="1"/>
  <c r="F4740" i="1"/>
  <c r="N4739" i="1"/>
  <c r="H4739" i="1"/>
  <c r="G4739" i="1"/>
  <c r="F4739" i="1"/>
  <c r="N4738" i="1"/>
  <c r="H4738" i="1"/>
  <c r="G4738" i="1"/>
  <c r="F4738" i="1"/>
  <c r="N4737" i="1"/>
  <c r="H4737" i="1"/>
  <c r="G4737" i="1"/>
  <c r="F4737" i="1"/>
  <c r="N4736" i="1"/>
  <c r="H4736" i="1"/>
  <c r="G4736" i="1"/>
  <c r="F4736" i="1"/>
  <c r="N4735" i="1"/>
  <c r="H4735" i="1"/>
  <c r="G4735" i="1"/>
  <c r="F4735" i="1"/>
  <c r="N4734" i="1"/>
  <c r="H4734" i="1"/>
  <c r="G4734" i="1"/>
  <c r="F4734" i="1"/>
  <c r="N4733" i="1"/>
  <c r="H4733" i="1"/>
  <c r="G4733" i="1"/>
  <c r="F4733" i="1"/>
  <c r="N4732" i="1"/>
  <c r="H4732" i="1"/>
  <c r="G4732" i="1"/>
  <c r="F4732" i="1"/>
  <c r="N4731" i="1"/>
  <c r="H4731" i="1"/>
  <c r="G4731" i="1"/>
  <c r="F4731" i="1"/>
  <c r="N4730" i="1"/>
  <c r="H4730" i="1"/>
  <c r="G4730" i="1"/>
  <c r="F4730" i="1"/>
  <c r="N4729" i="1"/>
  <c r="H4729" i="1"/>
  <c r="G4729" i="1"/>
  <c r="F4729" i="1"/>
  <c r="N4728" i="1"/>
  <c r="H4728" i="1"/>
  <c r="G4728" i="1"/>
  <c r="F4728" i="1"/>
  <c r="N4727" i="1"/>
  <c r="H4727" i="1"/>
  <c r="G4727" i="1"/>
  <c r="F4727" i="1"/>
  <c r="N4726" i="1"/>
  <c r="H4726" i="1"/>
  <c r="G4726" i="1"/>
  <c r="F4726" i="1"/>
  <c r="N4725" i="1"/>
  <c r="H4725" i="1"/>
  <c r="G4725" i="1"/>
  <c r="F4725" i="1"/>
  <c r="N4724" i="1"/>
  <c r="H4724" i="1"/>
  <c r="G4724" i="1"/>
  <c r="F4724" i="1"/>
  <c r="N4723" i="1"/>
  <c r="H4723" i="1"/>
  <c r="G4723" i="1"/>
  <c r="F4723" i="1"/>
  <c r="N4722" i="1"/>
  <c r="H4722" i="1"/>
  <c r="G4722" i="1"/>
  <c r="F4722" i="1"/>
  <c r="N4721" i="1"/>
  <c r="H4721" i="1"/>
  <c r="G4721" i="1"/>
  <c r="F4721" i="1"/>
  <c r="N4720" i="1"/>
  <c r="H4720" i="1"/>
  <c r="G4720" i="1"/>
  <c r="F4720" i="1"/>
  <c r="N4719" i="1"/>
  <c r="H4719" i="1"/>
  <c r="G4719" i="1"/>
  <c r="F4719" i="1"/>
  <c r="N4718" i="1"/>
  <c r="H4718" i="1"/>
  <c r="G4718" i="1"/>
  <c r="F4718" i="1"/>
  <c r="N4717" i="1"/>
  <c r="H4717" i="1"/>
  <c r="G4717" i="1"/>
  <c r="F4717" i="1"/>
  <c r="N4716" i="1"/>
  <c r="H4716" i="1"/>
  <c r="G4716" i="1"/>
  <c r="F4716" i="1"/>
  <c r="N4715" i="1"/>
  <c r="H4715" i="1"/>
  <c r="G4715" i="1"/>
  <c r="F4715" i="1"/>
  <c r="N4714" i="1"/>
  <c r="H4714" i="1"/>
  <c r="G4714" i="1"/>
  <c r="F4714" i="1"/>
  <c r="N4713" i="1"/>
  <c r="H4713" i="1"/>
  <c r="G4713" i="1"/>
  <c r="F4713" i="1"/>
  <c r="N4712" i="1"/>
  <c r="H4712" i="1"/>
  <c r="G4712" i="1"/>
  <c r="F4712" i="1"/>
  <c r="N4711" i="1"/>
  <c r="H4711" i="1"/>
  <c r="G4711" i="1"/>
  <c r="F4711" i="1"/>
  <c r="N4710" i="1"/>
  <c r="H4710" i="1"/>
  <c r="G4710" i="1"/>
  <c r="F4710" i="1"/>
  <c r="N4709" i="1"/>
  <c r="H4709" i="1"/>
  <c r="G4709" i="1"/>
  <c r="F4709" i="1"/>
  <c r="N4708" i="1"/>
  <c r="H4708" i="1"/>
  <c r="G4708" i="1"/>
  <c r="F4708" i="1"/>
  <c r="N4707" i="1"/>
  <c r="H4707" i="1"/>
  <c r="G4707" i="1"/>
  <c r="F4707" i="1"/>
  <c r="N4706" i="1"/>
  <c r="H4706" i="1"/>
  <c r="G4706" i="1"/>
  <c r="F4706" i="1"/>
  <c r="N4705" i="1"/>
  <c r="H4705" i="1"/>
  <c r="G4705" i="1"/>
  <c r="F4705" i="1"/>
  <c r="N4704" i="1"/>
  <c r="H4704" i="1"/>
  <c r="G4704" i="1"/>
  <c r="F4704" i="1"/>
  <c r="N4703" i="1"/>
  <c r="H4703" i="1"/>
  <c r="G4703" i="1"/>
  <c r="F4703" i="1"/>
  <c r="N4702" i="1"/>
  <c r="H4702" i="1"/>
  <c r="G4702" i="1"/>
  <c r="F4702" i="1"/>
  <c r="N4701" i="1"/>
  <c r="H4701" i="1"/>
  <c r="G4701" i="1"/>
  <c r="F4701" i="1"/>
  <c r="N4700" i="1"/>
  <c r="H4700" i="1"/>
  <c r="G4700" i="1"/>
  <c r="F4700" i="1"/>
  <c r="N4699" i="1"/>
  <c r="H4699" i="1"/>
  <c r="G4699" i="1"/>
  <c r="F4699" i="1"/>
  <c r="N4698" i="1"/>
  <c r="H4698" i="1"/>
  <c r="G4698" i="1"/>
  <c r="F4698" i="1"/>
  <c r="N4697" i="1"/>
  <c r="H4697" i="1"/>
  <c r="G4697" i="1"/>
  <c r="F4697" i="1"/>
  <c r="N4696" i="1"/>
  <c r="H4696" i="1"/>
  <c r="G4696" i="1"/>
  <c r="F4696" i="1"/>
  <c r="N4695" i="1"/>
  <c r="H4695" i="1"/>
  <c r="G4695" i="1"/>
  <c r="F4695" i="1"/>
  <c r="N4694" i="1"/>
  <c r="H4694" i="1"/>
  <c r="G4694" i="1"/>
  <c r="F4694" i="1"/>
  <c r="N4693" i="1"/>
  <c r="H4693" i="1"/>
  <c r="G4693" i="1"/>
  <c r="F4693" i="1"/>
  <c r="N4692" i="1"/>
  <c r="H4692" i="1"/>
  <c r="G4692" i="1"/>
  <c r="F4692" i="1"/>
  <c r="N4691" i="1"/>
  <c r="H4691" i="1"/>
  <c r="G4691" i="1"/>
  <c r="F4691" i="1"/>
  <c r="N4690" i="1"/>
  <c r="H4690" i="1"/>
  <c r="G4690" i="1"/>
  <c r="F4690" i="1"/>
  <c r="N4689" i="1"/>
  <c r="H4689" i="1"/>
  <c r="G4689" i="1"/>
  <c r="F4689" i="1"/>
  <c r="N4688" i="1"/>
  <c r="H4688" i="1"/>
  <c r="G4688" i="1"/>
  <c r="F4688" i="1"/>
  <c r="N4687" i="1"/>
  <c r="H4687" i="1"/>
  <c r="G4687" i="1"/>
  <c r="F4687" i="1"/>
  <c r="N4686" i="1"/>
  <c r="H4686" i="1"/>
  <c r="G4686" i="1"/>
  <c r="F4686" i="1"/>
  <c r="N4685" i="1"/>
  <c r="H4685" i="1"/>
  <c r="G4685" i="1"/>
  <c r="F4685" i="1"/>
  <c r="N4684" i="1"/>
  <c r="H4684" i="1"/>
  <c r="G4684" i="1"/>
  <c r="F4684" i="1"/>
  <c r="N4683" i="1"/>
  <c r="H4683" i="1"/>
  <c r="G4683" i="1"/>
  <c r="F4683" i="1"/>
  <c r="N4682" i="1"/>
  <c r="H4682" i="1"/>
  <c r="G4682" i="1"/>
  <c r="F4682" i="1"/>
  <c r="N4681" i="1"/>
  <c r="H4681" i="1"/>
  <c r="G4681" i="1"/>
  <c r="F4681" i="1"/>
  <c r="N4680" i="1"/>
  <c r="H4680" i="1"/>
  <c r="G4680" i="1"/>
  <c r="F4680" i="1"/>
  <c r="N4679" i="1"/>
  <c r="H4679" i="1"/>
  <c r="G4679" i="1"/>
  <c r="F4679" i="1"/>
  <c r="N4678" i="1"/>
  <c r="H4678" i="1"/>
  <c r="G4678" i="1"/>
  <c r="F4678" i="1"/>
  <c r="N4677" i="1"/>
  <c r="H4677" i="1"/>
  <c r="G4677" i="1"/>
  <c r="F4677" i="1"/>
  <c r="N4676" i="1"/>
  <c r="H4676" i="1"/>
  <c r="G4676" i="1"/>
  <c r="F4676" i="1"/>
  <c r="N4675" i="1"/>
  <c r="H4675" i="1"/>
  <c r="G4675" i="1"/>
  <c r="F4675" i="1"/>
  <c r="N4674" i="1"/>
  <c r="H4674" i="1"/>
  <c r="G4674" i="1"/>
  <c r="F4674" i="1"/>
  <c r="N4673" i="1"/>
  <c r="H4673" i="1"/>
  <c r="G4673" i="1"/>
  <c r="F4673" i="1"/>
  <c r="N4672" i="1"/>
  <c r="H4672" i="1"/>
  <c r="G4672" i="1"/>
  <c r="F4672" i="1"/>
  <c r="N4671" i="1"/>
  <c r="H4671" i="1"/>
  <c r="G4671" i="1"/>
  <c r="F4671" i="1"/>
  <c r="N4670" i="1"/>
  <c r="H4670" i="1"/>
  <c r="G4670" i="1"/>
  <c r="F4670" i="1"/>
  <c r="N4669" i="1"/>
  <c r="H4669" i="1"/>
  <c r="G4669" i="1"/>
  <c r="F4669" i="1"/>
  <c r="N4668" i="1"/>
  <c r="H4668" i="1"/>
  <c r="G4668" i="1"/>
  <c r="F4668" i="1"/>
  <c r="N4667" i="1"/>
  <c r="H4667" i="1"/>
  <c r="G4667" i="1"/>
  <c r="F4667" i="1"/>
  <c r="N4666" i="1"/>
  <c r="H4666" i="1"/>
  <c r="G4666" i="1"/>
  <c r="F4666" i="1"/>
  <c r="N4665" i="1"/>
  <c r="H4665" i="1"/>
  <c r="G4665" i="1"/>
  <c r="F4665" i="1"/>
  <c r="N4664" i="1"/>
  <c r="H4664" i="1"/>
  <c r="G4664" i="1"/>
  <c r="F4664" i="1"/>
  <c r="N4663" i="1"/>
  <c r="H4663" i="1"/>
  <c r="G4663" i="1"/>
  <c r="F4663" i="1"/>
  <c r="N4662" i="1"/>
  <c r="H4662" i="1"/>
  <c r="G4662" i="1"/>
  <c r="F4662" i="1"/>
  <c r="N4661" i="1"/>
  <c r="H4661" i="1"/>
  <c r="G4661" i="1"/>
  <c r="F4661" i="1"/>
  <c r="N4660" i="1"/>
  <c r="H4660" i="1"/>
  <c r="G4660" i="1"/>
  <c r="F4660" i="1"/>
  <c r="N4659" i="1"/>
  <c r="H4659" i="1"/>
  <c r="G4659" i="1"/>
  <c r="F4659" i="1"/>
  <c r="N4658" i="1"/>
  <c r="H4658" i="1"/>
  <c r="G4658" i="1"/>
  <c r="F4658" i="1"/>
  <c r="N4657" i="1"/>
  <c r="H4657" i="1"/>
  <c r="G4657" i="1"/>
  <c r="F4657" i="1"/>
  <c r="N4656" i="1"/>
  <c r="H4656" i="1"/>
  <c r="G4656" i="1"/>
  <c r="F4656" i="1"/>
  <c r="N4655" i="1"/>
  <c r="H4655" i="1"/>
  <c r="G4655" i="1"/>
  <c r="F4655" i="1"/>
  <c r="N4654" i="1"/>
  <c r="H4654" i="1"/>
  <c r="G4654" i="1"/>
  <c r="F4654" i="1"/>
  <c r="N4653" i="1"/>
  <c r="H4653" i="1"/>
  <c r="G4653" i="1"/>
  <c r="F4653" i="1"/>
  <c r="N4652" i="1"/>
  <c r="H4652" i="1"/>
  <c r="G4652" i="1"/>
  <c r="F4652" i="1"/>
  <c r="N4651" i="1"/>
  <c r="H4651" i="1"/>
  <c r="G4651" i="1"/>
  <c r="F4651" i="1"/>
  <c r="N4650" i="1"/>
  <c r="H4650" i="1"/>
  <c r="G4650" i="1"/>
  <c r="F4650" i="1"/>
  <c r="N4649" i="1"/>
  <c r="H4649" i="1"/>
  <c r="G4649" i="1"/>
  <c r="F4649" i="1"/>
  <c r="N4648" i="1"/>
  <c r="H4648" i="1"/>
  <c r="G4648" i="1"/>
  <c r="F4648" i="1"/>
  <c r="N4647" i="1"/>
  <c r="H4647" i="1"/>
  <c r="G4647" i="1"/>
  <c r="F4647" i="1"/>
  <c r="N4646" i="1"/>
  <c r="H4646" i="1"/>
  <c r="G4646" i="1"/>
  <c r="F4646" i="1"/>
  <c r="N4645" i="1"/>
  <c r="H4645" i="1"/>
  <c r="G4645" i="1"/>
  <c r="F4645" i="1"/>
  <c r="N4644" i="1"/>
  <c r="H4644" i="1"/>
  <c r="G4644" i="1"/>
  <c r="F4644" i="1"/>
  <c r="N4643" i="1"/>
  <c r="H4643" i="1"/>
  <c r="G4643" i="1"/>
  <c r="F4643" i="1"/>
  <c r="N4642" i="1"/>
  <c r="H4642" i="1"/>
  <c r="G4642" i="1"/>
  <c r="F4642" i="1"/>
  <c r="N4641" i="1"/>
  <c r="H4641" i="1"/>
  <c r="G4641" i="1"/>
  <c r="F4641" i="1"/>
  <c r="N4640" i="1"/>
  <c r="H4640" i="1"/>
  <c r="G4640" i="1"/>
  <c r="F4640" i="1"/>
  <c r="N4639" i="1"/>
  <c r="H4639" i="1"/>
  <c r="G4639" i="1"/>
  <c r="F4639" i="1"/>
  <c r="N4638" i="1"/>
  <c r="H4638" i="1"/>
  <c r="G4638" i="1"/>
  <c r="F4638" i="1"/>
  <c r="N4637" i="1"/>
  <c r="H4637" i="1"/>
  <c r="G4637" i="1"/>
  <c r="F4637" i="1"/>
  <c r="N4636" i="1"/>
  <c r="H4636" i="1"/>
  <c r="G4636" i="1"/>
  <c r="F4636" i="1"/>
  <c r="N4635" i="1"/>
  <c r="H4635" i="1"/>
  <c r="G4635" i="1"/>
  <c r="F4635" i="1"/>
  <c r="N4634" i="1"/>
  <c r="H4634" i="1"/>
  <c r="G4634" i="1"/>
  <c r="F4634" i="1"/>
  <c r="N4633" i="1"/>
  <c r="H4633" i="1"/>
  <c r="G4633" i="1"/>
  <c r="F4633" i="1"/>
  <c r="N4632" i="1"/>
  <c r="H4632" i="1"/>
  <c r="G4632" i="1"/>
  <c r="F4632" i="1"/>
  <c r="N4631" i="1"/>
  <c r="H4631" i="1"/>
  <c r="G4631" i="1"/>
  <c r="F4631" i="1"/>
  <c r="N4630" i="1"/>
  <c r="H4630" i="1"/>
  <c r="G4630" i="1"/>
  <c r="F4630" i="1"/>
  <c r="N4629" i="1"/>
  <c r="H4629" i="1"/>
  <c r="G4629" i="1"/>
  <c r="F4629" i="1"/>
  <c r="N4628" i="1"/>
  <c r="H4628" i="1"/>
  <c r="G4628" i="1"/>
  <c r="F4628" i="1"/>
  <c r="N4627" i="1"/>
  <c r="H4627" i="1"/>
  <c r="G4627" i="1"/>
  <c r="F4627" i="1"/>
  <c r="N4626" i="1"/>
  <c r="H4626" i="1"/>
  <c r="G4626" i="1"/>
  <c r="F4626" i="1"/>
  <c r="N4625" i="1"/>
  <c r="H4625" i="1"/>
  <c r="G4625" i="1"/>
  <c r="F4625" i="1"/>
  <c r="N4624" i="1"/>
  <c r="H4624" i="1"/>
  <c r="G4624" i="1"/>
  <c r="F4624" i="1"/>
  <c r="N4623" i="1"/>
  <c r="H4623" i="1"/>
  <c r="G4623" i="1"/>
  <c r="F4623" i="1"/>
  <c r="N4622" i="1"/>
  <c r="H4622" i="1"/>
  <c r="G4622" i="1"/>
  <c r="F4622" i="1"/>
  <c r="N4621" i="1"/>
  <c r="H4621" i="1"/>
  <c r="G4621" i="1"/>
  <c r="F4621" i="1"/>
  <c r="N4620" i="1"/>
  <c r="H4620" i="1"/>
  <c r="G4620" i="1"/>
  <c r="F4620" i="1"/>
  <c r="N4619" i="1"/>
  <c r="H4619" i="1"/>
  <c r="G4619" i="1"/>
  <c r="F4619" i="1"/>
  <c r="N4618" i="1"/>
  <c r="H4618" i="1"/>
  <c r="G4618" i="1"/>
  <c r="F4618" i="1"/>
  <c r="N4617" i="1"/>
  <c r="H4617" i="1"/>
  <c r="G4617" i="1"/>
  <c r="F4617" i="1"/>
  <c r="N4616" i="1"/>
  <c r="H4616" i="1"/>
  <c r="G4616" i="1"/>
  <c r="F4616" i="1"/>
  <c r="N4615" i="1"/>
  <c r="H4615" i="1"/>
  <c r="G4615" i="1"/>
  <c r="F4615" i="1"/>
  <c r="N4614" i="1"/>
  <c r="H4614" i="1"/>
  <c r="G4614" i="1"/>
  <c r="F4614" i="1"/>
  <c r="N4613" i="1"/>
  <c r="H4613" i="1"/>
  <c r="G4613" i="1"/>
  <c r="F4613" i="1"/>
  <c r="N4612" i="1"/>
  <c r="H4612" i="1"/>
  <c r="G4612" i="1"/>
  <c r="F4612" i="1"/>
  <c r="N4611" i="1"/>
  <c r="H4611" i="1"/>
  <c r="G4611" i="1"/>
  <c r="F4611" i="1"/>
  <c r="N4610" i="1"/>
  <c r="H4610" i="1"/>
  <c r="G4610" i="1"/>
  <c r="F4610" i="1"/>
  <c r="N4609" i="1"/>
  <c r="H4609" i="1"/>
  <c r="G4609" i="1"/>
  <c r="F4609" i="1"/>
  <c r="N4608" i="1"/>
  <c r="H4608" i="1"/>
  <c r="G4608" i="1"/>
  <c r="F4608" i="1"/>
  <c r="N4607" i="1"/>
  <c r="H4607" i="1"/>
  <c r="G4607" i="1"/>
  <c r="F4607" i="1"/>
  <c r="N4606" i="1"/>
  <c r="H4606" i="1"/>
  <c r="G4606" i="1"/>
  <c r="F4606" i="1"/>
  <c r="N4605" i="1"/>
  <c r="H4605" i="1"/>
  <c r="G4605" i="1"/>
  <c r="F4605" i="1"/>
  <c r="N4604" i="1"/>
  <c r="H4604" i="1"/>
  <c r="G4604" i="1"/>
  <c r="F4604" i="1"/>
  <c r="N4603" i="1"/>
  <c r="H4603" i="1"/>
  <c r="G4603" i="1"/>
  <c r="F4603" i="1"/>
  <c r="N4602" i="1"/>
  <c r="H4602" i="1"/>
  <c r="G4602" i="1"/>
  <c r="F4602" i="1"/>
  <c r="N4601" i="1"/>
  <c r="H4601" i="1"/>
  <c r="G4601" i="1"/>
  <c r="F4601" i="1"/>
  <c r="N4600" i="1"/>
  <c r="H4600" i="1"/>
  <c r="G4600" i="1"/>
  <c r="F4600" i="1"/>
  <c r="N4599" i="1"/>
  <c r="H4599" i="1"/>
  <c r="G4599" i="1"/>
  <c r="F4599" i="1"/>
  <c r="N4598" i="1"/>
  <c r="H4598" i="1"/>
  <c r="G4598" i="1"/>
  <c r="F4598" i="1"/>
  <c r="N4597" i="1"/>
  <c r="H4597" i="1"/>
  <c r="G4597" i="1"/>
  <c r="F4597" i="1"/>
  <c r="N4596" i="1"/>
  <c r="H4596" i="1"/>
  <c r="G4596" i="1"/>
  <c r="F4596" i="1"/>
  <c r="N4595" i="1"/>
  <c r="H4595" i="1"/>
  <c r="G4595" i="1"/>
  <c r="F4595" i="1"/>
  <c r="N4594" i="1"/>
  <c r="H4594" i="1"/>
  <c r="G4594" i="1"/>
  <c r="F4594" i="1"/>
  <c r="N4593" i="1"/>
  <c r="H4593" i="1"/>
  <c r="G4593" i="1"/>
  <c r="F4593" i="1"/>
  <c r="N4592" i="1"/>
  <c r="H4592" i="1"/>
  <c r="G4592" i="1"/>
  <c r="F4592" i="1"/>
  <c r="N4591" i="1"/>
  <c r="H4591" i="1"/>
  <c r="G4591" i="1"/>
  <c r="F4591" i="1"/>
  <c r="N4590" i="1"/>
  <c r="H4590" i="1"/>
  <c r="G4590" i="1"/>
  <c r="F4590" i="1"/>
  <c r="N4589" i="1"/>
  <c r="H4589" i="1"/>
  <c r="G4589" i="1"/>
  <c r="F4589" i="1"/>
  <c r="N4588" i="1"/>
  <c r="H4588" i="1"/>
  <c r="G4588" i="1"/>
  <c r="F4588" i="1"/>
  <c r="N4587" i="1"/>
  <c r="H4587" i="1"/>
  <c r="G4587" i="1"/>
  <c r="F4587" i="1"/>
  <c r="N4586" i="1"/>
  <c r="H4586" i="1"/>
  <c r="G4586" i="1"/>
  <c r="F4586" i="1"/>
  <c r="N4585" i="1"/>
  <c r="H4585" i="1"/>
  <c r="G4585" i="1"/>
  <c r="F4585" i="1"/>
  <c r="N4584" i="1"/>
  <c r="H4584" i="1"/>
  <c r="G4584" i="1"/>
  <c r="F4584" i="1"/>
  <c r="N4583" i="1"/>
  <c r="H4583" i="1"/>
  <c r="G4583" i="1"/>
  <c r="F4583" i="1"/>
  <c r="N4582" i="1"/>
  <c r="H4582" i="1"/>
  <c r="G4582" i="1"/>
  <c r="F4582" i="1"/>
  <c r="N4581" i="1"/>
  <c r="H4581" i="1"/>
  <c r="G4581" i="1"/>
  <c r="F4581" i="1"/>
  <c r="N4580" i="1"/>
  <c r="H4580" i="1"/>
  <c r="G4580" i="1"/>
  <c r="F4580" i="1"/>
  <c r="N4579" i="1"/>
  <c r="H4579" i="1"/>
  <c r="G4579" i="1"/>
  <c r="F4579" i="1"/>
  <c r="N4578" i="1"/>
  <c r="H4578" i="1"/>
  <c r="G4578" i="1"/>
  <c r="F4578" i="1"/>
  <c r="N4577" i="1"/>
  <c r="H4577" i="1"/>
  <c r="G4577" i="1"/>
  <c r="F4577" i="1"/>
  <c r="N4576" i="1"/>
  <c r="H4576" i="1"/>
  <c r="G4576" i="1"/>
  <c r="F4576" i="1"/>
  <c r="N4575" i="1"/>
  <c r="H4575" i="1"/>
  <c r="G4575" i="1"/>
  <c r="F4575" i="1"/>
  <c r="N4574" i="1"/>
  <c r="H4574" i="1"/>
  <c r="G4574" i="1"/>
  <c r="F4574" i="1"/>
  <c r="N4573" i="1"/>
  <c r="H4573" i="1"/>
  <c r="G4573" i="1"/>
  <c r="F4573" i="1"/>
  <c r="N4572" i="1"/>
  <c r="H4572" i="1"/>
  <c r="G4572" i="1"/>
  <c r="F4572" i="1"/>
  <c r="N4571" i="1"/>
  <c r="H4571" i="1"/>
  <c r="G4571" i="1"/>
  <c r="F4571" i="1"/>
  <c r="N4570" i="1"/>
  <c r="H4570" i="1"/>
  <c r="G4570" i="1"/>
  <c r="F4570" i="1"/>
  <c r="N4569" i="1"/>
  <c r="H4569" i="1"/>
  <c r="G4569" i="1"/>
  <c r="F4569" i="1"/>
  <c r="N4568" i="1"/>
  <c r="H4568" i="1"/>
  <c r="G4568" i="1"/>
  <c r="F4568" i="1"/>
  <c r="N4567" i="1"/>
  <c r="H4567" i="1"/>
  <c r="G4567" i="1"/>
  <c r="F4567" i="1"/>
  <c r="N4566" i="1"/>
  <c r="H4566" i="1"/>
  <c r="G4566" i="1"/>
  <c r="F4566" i="1"/>
  <c r="N4565" i="1"/>
  <c r="H4565" i="1"/>
  <c r="G4565" i="1"/>
  <c r="F4565" i="1"/>
  <c r="N4564" i="1"/>
  <c r="H4564" i="1"/>
  <c r="G4564" i="1"/>
  <c r="F4564" i="1"/>
  <c r="N4563" i="1"/>
  <c r="H4563" i="1"/>
  <c r="G4563" i="1"/>
  <c r="F4563" i="1"/>
  <c r="N4562" i="1"/>
  <c r="H4562" i="1"/>
  <c r="G4562" i="1"/>
  <c r="F4562" i="1"/>
  <c r="N4561" i="1"/>
  <c r="H4561" i="1"/>
  <c r="G4561" i="1"/>
  <c r="F4561" i="1"/>
  <c r="N4560" i="1"/>
  <c r="H4560" i="1"/>
  <c r="G4560" i="1"/>
  <c r="F4560" i="1"/>
  <c r="N4559" i="1"/>
  <c r="H4559" i="1"/>
  <c r="G4559" i="1"/>
  <c r="F4559" i="1"/>
  <c r="N4558" i="1"/>
  <c r="H4558" i="1"/>
  <c r="G4558" i="1"/>
  <c r="F4558" i="1"/>
  <c r="N4557" i="1"/>
  <c r="H4557" i="1"/>
  <c r="G4557" i="1"/>
  <c r="F4557" i="1"/>
  <c r="N4556" i="1"/>
  <c r="H4556" i="1"/>
  <c r="G4556" i="1"/>
  <c r="F4556" i="1"/>
  <c r="N4555" i="1"/>
  <c r="H4555" i="1"/>
  <c r="G4555" i="1"/>
  <c r="F4555" i="1"/>
  <c r="N4554" i="1"/>
  <c r="H4554" i="1"/>
  <c r="G4554" i="1"/>
  <c r="F4554" i="1"/>
  <c r="N4553" i="1"/>
  <c r="H4553" i="1"/>
  <c r="G4553" i="1"/>
  <c r="F4553" i="1"/>
  <c r="N4552" i="1"/>
  <c r="H4552" i="1"/>
  <c r="G4552" i="1"/>
  <c r="F4552" i="1"/>
  <c r="N4551" i="1"/>
  <c r="H4551" i="1"/>
  <c r="G4551" i="1"/>
  <c r="F4551" i="1"/>
  <c r="N4550" i="1"/>
  <c r="H4550" i="1"/>
  <c r="G4550" i="1"/>
  <c r="F4550" i="1"/>
  <c r="N4549" i="1"/>
  <c r="H4549" i="1"/>
  <c r="G4549" i="1"/>
  <c r="F4549" i="1"/>
  <c r="N4548" i="1"/>
  <c r="H4548" i="1"/>
  <c r="G4548" i="1"/>
  <c r="F4548" i="1"/>
  <c r="N4547" i="1"/>
  <c r="H4547" i="1"/>
  <c r="G4547" i="1"/>
  <c r="F4547" i="1"/>
  <c r="N4546" i="1"/>
  <c r="H4546" i="1"/>
  <c r="G4546" i="1"/>
  <c r="F4546" i="1"/>
  <c r="N4545" i="1"/>
  <c r="H4545" i="1"/>
  <c r="G4545" i="1"/>
  <c r="F4545" i="1"/>
  <c r="N4544" i="1"/>
  <c r="H4544" i="1"/>
  <c r="G4544" i="1"/>
  <c r="F4544" i="1"/>
  <c r="N4543" i="1"/>
  <c r="H4543" i="1"/>
  <c r="G4543" i="1"/>
  <c r="F4543" i="1"/>
  <c r="N4542" i="1"/>
  <c r="H4542" i="1"/>
  <c r="G4542" i="1"/>
  <c r="F4542" i="1"/>
  <c r="N4541" i="1"/>
  <c r="H4541" i="1"/>
  <c r="G4541" i="1"/>
  <c r="F4541" i="1"/>
  <c r="N4540" i="1"/>
  <c r="H4540" i="1"/>
  <c r="G4540" i="1"/>
  <c r="F4540" i="1"/>
  <c r="N4539" i="1"/>
  <c r="H4539" i="1"/>
  <c r="G4539" i="1"/>
  <c r="F4539" i="1"/>
  <c r="N4538" i="1"/>
  <c r="H4538" i="1"/>
  <c r="G4538" i="1"/>
  <c r="F4538" i="1"/>
  <c r="N4537" i="1"/>
  <c r="H4537" i="1"/>
  <c r="G4537" i="1"/>
  <c r="F4537" i="1"/>
  <c r="N4536" i="1"/>
  <c r="H4536" i="1"/>
  <c r="G4536" i="1"/>
  <c r="F4536" i="1"/>
  <c r="N4535" i="1"/>
  <c r="H4535" i="1"/>
  <c r="G4535" i="1"/>
  <c r="F4535" i="1"/>
  <c r="N4534" i="1"/>
  <c r="H4534" i="1"/>
  <c r="G4534" i="1"/>
  <c r="F4534" i="1"/>
  <c r="N4533" i="1"/>
  <c r="H4533" i="1"/>
  <c r="G4533" i="1"/>
  <c r="F4533" i="1"/>
  <c r="N4532" i="1"/>
  <c r="H4532" i="1"/>
  <c r="G4532" i="1"/>
  <c r="F4532" i="1"/>
  <c r="N4531" i="1"/>
  <c r="H4531" i="1"/>
  <c r="G4531" i="1"/>
  <c r="F4531" i="1"/>
  <c r="N4530" i="1"/>
  <c r="H4530" i="1"/>
  <c r="G4530" i="1"/>
  <c r="F4530" i="1"/>
  <c r="N4529" i="1"/>
  <c r="H4529" i="1"/>
  <c r="G4529" i="1"/>
  <c r="F4529" i="1"/>
  <c r="N4528" i="1"/>
  <c r="H4528" i="1"/>
  <c r="G4528" i="1"/>
  <c r="F4528" i="1"/>
  <c r="N4527" i="1"/>
  <c r="H4527" i="1"/>
  <c r="G4527" i="1"/>
  <c r="F4527" i="1"/>
  <c r="N4526" i="1"/>
  <c r="H4526" i="1"/>
  <c r="G4526" i="1"/>
  <c r="F4526" i="1"/>
  <c r="N4525" i="1"/>
  <c r="H4525" i="1"/>
  <c r="G4525" i="1"/>
  <c r="F4525" i="1"/>
  <c r="N4524" i="1"/>
  <c r="H4524" i="1"/>
  <c r="G4524" i="1"/>
  <c r="F4524" i="1"/>
  <c r="N4523" i="1"/>
  <c r="H4523" i="1"/>
  <c r="G4523" i="1"/>
  <c r="F4523" i="1"/>
  <c r="N4522" i="1"/>
  <c r="H4522" i="1"/>
  <c r="G4522" i="1"/>
  <c r="F4522" i="1"/>
  <c r="N4521" i="1"/>
  <c r="H4521" i="1"/>
  <c r="G4521" i="1"/>
  <c r="F4521" i="1"/>
  <c r="N4520" i="1"/>
  <c r="H4520" i="1"/>
  <c r="G4520" i="1"/>
  <c r="F4520" i="1"/>
  <c r="N4519" i="1"/>
  <c r="H4519" i="1"/>
  <c r="G4519" i="1"/>
  <c r="F4519" i="1"/>
  <c r="N4518" i="1"/>
  <c r="H4518" i="1"/>
  <c r="G4518" i="1"/>
  <c r="F4518" i="1"/>
  <c r="N4517" i="1"/>
  <c r="H4517" i="1"/>
  <c r="G4517" i="1"/>
  <c r="F4517" i="1"/>
  <c r="N4516" i="1"/>
  <c r="H4516" i="1"/>
  <c r="G4516" i="1"/>
  <c r="F4516" i="1"/>
  <c r="N4515" i="1"/>
  <c r="H4515" i="1"/>
  <c r="G4515" i="1"/>
  <c r="F4515" i="1"/>
  <c r="N4514" i="1"/>
  <c r="H4514" i="1"/>
  <c r="G4514" i="1"/>
  <c r="F4514" i="1"/>
  <c r="N4513" i="1"/>
  <c r="H4513" i="1"/>
  <c r="G4513" i="1"/>
  <c r="F4513" i="1"/>
  <c r="N4512" i="1"/>
  <c r="H4512" i="1"/>
  <c r="G4512" i="1"/>
  <c r="F4512" i="1"/>
  <c r="N4511" i="1"/>
  <c r="H4511" i="1"/>
  <c r="G4511" i="1"/>
  <c r="F4511" i="1"/>
  <c r="N4510" i="1"/>
  <c r="H4510" i="1"/>
  <c r="G4510" i="1"/>
  <c r="F4510" i="1"/>
  <c r="N4509" i="1"/>
  <c r="H4509" i="1"/>
  <c r="G4509" i="1"/>
  <c r="F4509" i="1"/>
  <c r="N4508" i="1"/>
  <c r="H4508" i="1"/>
  <c r="G4508" i="1"/>
  <c r="F4508" i="1"/>
  <c r="N4507" i="1"/>
  <c r="H4507" i="1"/>
  <c r="G4507" i="1"/>
  <c r="F4507" i="1"/>
  <c r="N4506" i="1"/>
  <c r="H4506" i="1"/>
  <c r="G4506" i="1"/>
  <c r="F4506" i="1"/>
  <c r="N4505" i="1"/>
  <c r="H4505" i="1"/>
  <c r="G4505" i="1"/>
  <c r="F4505" i="1"/>
  <c r="N4504" i="1"/>
  <c r="H4504" i="1"/>
  <c r="G4504" i="1"/>
  <c r="F4504" i="1"/>
  <c r="N4503" i="1"/>
  <c r="H4503" i="1"/>
  <c r="G4503" i="1"/>
  <c r="F4503" i="1"/>
  <c r="N4502" i="1"/>
  <c r="H4502" i="1"/>
  <c r="G4502" i="1"/>
  <c r="F4502" i="1"/>
  <c r="N4501" i="1"/>
  <c r="H4501" i="1"/>
  <c r="G4501" i="1"/>
  <c r="F4501" i="1"/>
  <c r="N4500" i="1"/>
  <c r="H4500" i="1"/>
  <c r="G4500" i="1"/>
  <c r="F4500" i="1"/>
  <c r="N4499" i="1"/>
  <c r="H4499" i="1"/>
  <c r="G4499" i="1"/>
  <c r="F4499" i="1"/>
  <c r="N4498" i="1"/>
  <c r="H4498" i="1"/>
  <c r="G4498" i="1"/>
  <c r="F4498" i="1"/>
  <c r="N4497" i="1"/>
  <c r="H4497" i="1"/>
  <c r="G4497" i="1"/>
  <c r="F4497" i="1"/>
  <c r="N4496" i="1"/>
  <c r="H4496" i="1"/>
  <c r="G4496" i="1"/>
  <c r="F4496" i="1"/>
  <c r="N4495" i="1"/>
  <c r="H4495" i="1"/>
  <c r="G4495" i="1"/>
  <c r="F4495" i="1"/>
  <c r="N4494" i="1"/>
  <c r="H4494" i="1"/>
  <c r="G4494" i="1"/>
  <c r="F4494" i="1"/>
  <c r="N4493" i="1"/>
  <c r="H4493" i="1"/>
  <c r="G4493" i="1"/>
  <c r="F4493" i="1"/>
  <c r="N4492" i="1"/>
  <c r="H4492" i="1"/>
  <c r="G4492" i="1"/>
  <c r="F4492" i="1"/>
  <c r="N4491" i="1"/>
  <c r="H4491" i="1"/>
  <c r="G4491" i="1"/>
  <c r="F4491" i="1"/>
  <c r="N4490" i="1"/>
  <c r="H4490" i="1"/>
  <c r="G4490" i="1"/>
  <c r="F4490" i="1"/>
  <c r="N4489" i="1"/>
  <c r="H4489" i="1"/>
  <c r="G4489" i="1"/>
  <c r="F4489" i="1"/>
  <c r="N4488" i="1"/>
  <c r="H4488" i="1"/>
  <c r="G4488" i="1"/>
  <c r="F4488" i="1"/>
  <c r="N4487" i="1"/>
  <c r="H4487" i="1"/>
  <c r="G4487" i="1"/>
  <c r="F4487" i="1"/>
  <c r="N4486" i="1"/>
  <c r="H4486" i="1"/>
  <c r="G4486" i="1"/>
  <c r="F4486" i="1"/>
  <c r="N4485" i="1"/>
  <c r="H4485" i="1"/>
  <c r="G4485" i="1"/>
  <c r="F4485" i="1"/>
  <c r="N4484" i="1"/>
  <c r="H4484" i="1"/>
  <c r="G4484" i="1"/>
  <c r="F4484" i="1"/>
  <c r="N4483" i="1"/>
  <c r="H4483" i="1"/>
  <c r="G4483" i="1"/>
  <c r="F4483" i="1"/>
  <c r="N4482" i="1"/>
  <c r="H4482" i="1"/>
  <c r="G4482" i="1"/>
  <c r="F4482" i="1"/>
  <c r="N4481" i="1"/>
  <c r="H4481" i="1"/>
  <c r="G4481" i="1"/>
  <c r="F4481" i="1"/>
  <c r="N4480" i="1"/>
  <c r="H4480" i="1"/>
  <c r="G4480" i="1"/>
  <c r="F4480" i="1"/>
  <c r="N4479" i="1"/>
  <c r="H4479" i="1"/>
  <c r="G4479" i="1"/>
  <c r="F4479" i="1"/>
  <c r="N4478" i="1"/>
  <c r="H4478" i="1"/>
  <c r="G4478" i="1"/>
  <c r="F4478" i="1"/>
  <c r="N4477" i="1"/>
  <c r="H4477" i="1"/>
  <c r="G4477" i="1"/>
  <c r="F4477" i="1"/>
  <c r="N4476" i="1"/>
  <c r="H4476" i="1"/>
  <c r="G4476" i="1"/>
  <c r="F4476" i="1"/>
  <c r="N4475" i="1"/>
  <c r="H4475" i="1"/>
  <c r="G4475" i="1"/>
  <c r="F4475" i="1"/>
  <c r="N4474" i="1"/>
  <c r="H4474" i="1"/>
  <c r="G4474" i="1"/>
  <c r="F4474" i="1"/>
  <c r="N4473" i="1"/>
  <c r="H4473" i="1"/>
  <c r="G4473" i="1"/>
  <c r="F4473" i="1"/>
  <c r="N4472" i="1"/>
  <c r="H4472" i="1"/>
  <c r="G4472" i="1"/>
  <c r="F4472" i="1"/>
  <c r="N4471" i="1"/>
  <c r="H4471" i="1"/>
  <c r="G4471" i="1"/>
  <c r="F4471" i="1"/>
  <c r="N4470" i="1"/>
  <c r="H4470" i="1"/>
  <c r="G4470" i="1"/>
  <c r="F4470" i="1"/>
  <c r="N4469" i="1"/>
  <c r="H4469" i="1"/>
  <c r="G4469" i="1"/>
  <c r="F4469" i="1"/>
  <c r="N4468" i="1"/>
  <c r="H4468" i="1"/>
  <c r="G4468" i="1"/>
  <c r="F4468" i="1"/>
  <c r="N4467" i="1"/>
  <c r="H4467" i="1"/>
  <c r="G4467" i="1"/>
  <c r="F4467" i="1"/>
  <c r="N4466" i="1"/>
  <c r="H4466" i="1"/>
  <c r="G4466" i="1"/>
  <c r="F4466" i="1"/>
  <c r="N4465" i="1"/>
  <c r="H4465" i="1"/>
  <c r="G4465" i="1"/>
  <c r="F4465" i="1"/>
  <c r="N4464" i="1"/>
  <c r="H4464" i="1"/>
  <c r="G4464" i="1"/>
  <c r="F4464" i="1"/>
  <c r="N4463" i="1"/>
  <c r="H4463" i="1"/>
  <c r="G4463" i="1"/>
  <c r="F4463" i="1"/>
  <c r="N4462" i="1"/>
  <c r="H4462" i="1"/>
  <c r="G4462" i="1"/>
  <c r="F4462" i="1"/>
  <c r="N4461" i="1"/>
  <c r="H4461" i="1"/>
  <c r="G4461" i="1"/>
  <c r="F4461" i="1"/>
  <c r="N4460" i="1"/>
  <c r="H4460" i="1"/>
  <c r="G4460" i="1"/>
  <c r="F4460" i="1"/>
  <c r="N4459" i="1"/>
  <c r="H4459" i="1"/>
  <c r="G4459" i="1"/>
  <c r="F4459" i="1"/>
  <c r="N4458" i="1"/>
  <c r="H4458" i="1"/>
  <c r="G4458" i="1"/>
  <c r="F4458" i="1"/>
  <c r="N4457" i="1"/>
  <c r="H4457" i="1"/>
  <c r="G4457" i="1"/>
  <c r="F4457" i="1"/>
  <c r="N4456" i="1"/>
  <c r="H4456" i="1"/>
  <c r="G4456" i="1"/>
  <c r="F4456" i="1"/>
  <c r="N4455" i="1"/>
  <c r="H4455" i="1"/>
  <c r="G4455" i="1"/>
  <c r="F4455" i="1"/>
  <c r="N4454" i="1"/>
  <c r="H4454" i="1"/>
  <c r="G4454" i="1"/>
  <c r="F4454" i="1"/>
  <c r="N4453" i="1"/>
  <c r="H4453" i="1"/>
  <c r="G4453" i="1"/>
  <c r="F4453" i="1"/>
  <c r="N4452" i="1"/>
  <c r="H4452" i="1"/>
  <c r="G4452" i="1"/>
  <c r="F4452" i="1"/>
  <c r="N4451" i="1"/>
  <c r="H4451" i="1"/>
  <c r="G4451" i="1"/>
  <c r="F4451" i="1"/>
  <c r="N4450" i="1"/>
  <c r="H4450" i="1"/>
  <c r="G4450" i="1"/>
  <c r="F4450" i="1"/>
  <c r="N4449" i="1"/>
  <c r="H4449" i="1"/>
  <c r="G4449" i="1"/>
  <c r="F4449" i="1"/>
  <c r="N4448" i="1"/>
  <c r="H4448" i="1"/>
  <c r="G4448" i="1"/>
  <c r="F4448" i="1"/>
  <c r="N4447" i="1"/>
  <c r="H4447" i="1"/>
  <c r="G4447" i="1"/>
  <c r="F4447" i="1"/>
  <c r="N4446" i="1"/>
  <c r="H4446" i="1"/>
  <c r="G4446" i="1"/>
  <c r="F4446" i="1"/>
  <c r="N4445" i="1"/>
  <c r="H4445" i="1"/>
  <c r="G4445" i="1"/>
  <c r="F4445" i="1"/>
  <c r="N4444" i="1"/>
  <c r="H4444" i="1"/>
  <c r="G4444" i="1"/>
  <c r="F4444" i="1"/>
  <c r="N4443" i="1"/>
  <c r="H4443" i="1"/>
  <c r="G4443" i="1"/>
  <c r="F4443" i="1"/>
  <c r="N4442" i="1"/>
  <c r="H4442" i="1"/>
  <c r="G4442" i="1"/>
  <c r="F4442" i="1"/>
  <c r="N4441" i="1"/>
  <c r="H4441" i="1"/>
  <c r="G4441" i="1"/>
  <c r="F4441" i="1"/>
  <c r="N4440" i="1"/>
  <c r="H4440" i="1"/>
  <c r="G4440" i="1"/>
  <c r="F4440" i="1"/>
  <c r="N4439" i="1"/>
  <c r="H4439" i="1"/>
  <c r="G4439" i="1"/>
  <c r="F4439" i="1"/>
  <c r="N4438" i="1"/>
  <c r="H4438" i="1"/>
  <c r="G4438" i="1"/>
  <c r="F4438" i="1"/>
  <c r="N4437" i="1"/>
  <c r="H4437" i="1"/>
  <c r="G4437" i="1"/>
  <c r="F4437" i="1"/>
  <c r="N4436" i="1"/>
  <c r="H4436" i="1"/>
  <c r="G4436" i="1"/>
  <c r="F4436" i="1"/>
  <c r="N4435" i="1"/>
  <c r="H4435" i="1"/>
  <c r="G4435" i="1"/>
  <c r="F4435" i="1"/>
  <c r="N4434" i="1"/>
  <c r="H4434" i="1"/>
  <c r="G4434" i="1"/>
  <c r="F4434" i="1"/>
  <c r="N4433" i="1"/>
  <c r="H4433" i="1"/>
  <c r="G4433" i="1"/>
  <c r="F4433" i="1"/>
  <c r="N4432" i="1"/>
  <c r="H4432" i="1"/>
  <c r="G4432" i="1"/>
  <c r="F4432" i="1"/>
  <c r="N4431" i="1"/>
  <c r="H4431" i="1"/>
  <c r="G4431" i="1"/>
  <c r="F4431" i="1"/>
  <c r="N4430" i="1"/>
  <c r="H4430" i="1"/>
  <c r="G4430" i="1"/>
  <c r="F4430" i="1"/>
  <c r="N4429" i="1"/>
  <c r="H4429" i="1"/>
  <c r="G4429" i="1"/>
  <c r="F4429" i="1"/>
  <c r="N4428" i="1"/>
  <c r="H4428" i="1"/>
  <c r="G4428" i="1"/>
  <c r="F4428" i="1"/>
  <c r="N4427" i="1"/>
  <c r="H4427" i="1"/>
  <c r="G4427" i="1"/>
  <c r="F4427" i="1"/>
  <c r="N4426" i="1"/>
  <c r="H4426" i="1"/>
  <c r="G4426" i="1"/>
  <c r="F4426" i="1"/>
  <c r="N4425" i="1"/>
  <c r="H4425" i="1"/>
  <c r="G4425" i="1"/>
  <c r="F4425" i="1"/>
  <c r="N4424" i="1"/>
  <c r="H4424" i="1"/>
  <c r="G4424" i="1"/>
  <c r="F4424" i="1"/>
  <c r="N4423" i="1"/>
  <c r="H4423" i="1"/>
  <c r="G4423" i="1"/>
  <c r="F4423" i="1"/>
  <c r="N4422" i="1"/>
  <c r="H4422" i="1"/>
  <c r="G4422" i="1"/>
  <c r="F4422" i="1"/>
  <c r="N4421" i="1"/>
  <c r="H4421" i="1"/>
  <c r="G4421" i="1"/>
  <c r="F4421" i="1"/>
  <c r="N4420" i="1"/>
  <c r="H4420" i="1"/>
  <c r="G4420" i="1"/>
  <c r="F4420" i="1"/>
  <c r="N4419" i="1"/>
  <c r="H4419" i="1"/>
  <c r="G4419" i="1"/>
  <c r="F4419" i="1"/>
  <c r="N4418" i="1"/>
  <c r="H4418" i="1"/>
  <c r="G4418" i="1"/>
  <c r="F4418" i="1"/>
  <c r="N4417" i="1"/>
  <c r="H4417" i="1"/>
  <c r="G4417" i="1"/>
  <c r="F4417" i="1"/>
  <c r="N4416" i="1"/>
  <c r="H4416" i="1"/>
  <c r="G4416" i="1"/>
  <c r="F4416" i="1"/>
  <c r="N4415" i="1"/>
  <c r="H4415" i="1"/>
  <c r="G4415" i="1"/>
  <c r="F4415" i="1"/>
  <c r="N4414" i="1"/>
  <c r="H4414" i="1"/>
  <c r="G4414" i="1"/>
  <c r="F4414" i="1"/>
  <c r="N4413" i="1"/>
  <c r="H4413" i="1"/>
  <c r="G4413" i="1"/>
  <c r="F4413" i="1"/>
  <c r="N4412" i="1"/>
  <c r="H4412" i="1"/>
  <c r="G4412" i="1"/>
  <c r="F4412" i="1"/>
  <c r="N4411" i="1"/>
  <c r="H4411" i="1"/>
  <c r="G4411" i="1"/>
  <c r="F4411" i="1"/>
  <c r="N4410" i="1"/>
  <c r="H4410" i="1"/>
  <c r="G4410" i="1"/>
  <c r="F4410" i="1"/>
  <c r="N4409" i="1"/>
  <c r="H4409" i="1"/>
  <c r="G4409" i="1"/>
  <c r="F4409" i="1"/>
  <c r="N4408" i="1"/>
  <c r="H4408" i="1"/>
  <c r="G4408" i="1"/>
  <c r="F4408" i="1"/>
  <c r="N4407" i="1"/>
  <c r="H4407" i="1"/>
  <c r="G4407" i="1"/>
  <c r="F4407" i="1"/>
  <c r="N4406" i="1"/>
  <c r="H4406" i="1"/>
  <c r="G4406" i="1"/>
  <c r="F4406" i="1"/>
  <c r="N4405" i="1"/>
  <c r="H4405" i="1"/>
  <c r="G4405" i="1"/>
  <c r="F4405" i="1"/>
  <c r="N4404" i="1"/>
  <c r="H4404" i="1"/>
  <c r="G4404" i="1"/>
  <c r="F4404" i="1"/>
  <c r="N4403" i="1"/>
  <c r="H4403" i="1"/>
  <c r="G4403" i="1"/>
  <c r="F4403" i="1"/>
  <c r="N4402" i="1"/>
  <c r="H4402" i="1"/>
  <c r="G4402" i="1"/>
  <c r="F4402" i="1"/>
  <c r="N4401" i="1"/>
  <c r="H4401" i="1"/>
  <c r="G4401" i="1"/>
  <c r="F4401" i="1"/>
  <c r="N4400" i="1"/>
  <c r="H4400" i="1"/>
  <c r="G4400" i="1"/>
  <c r="F4400" i="1"/>
  <c r="N4399" i="1"/>
  <c r="H4399" i="1"/>
  <c r="G4399" i="1"/>
  <c r="F4399" i="1"/>
  <c r="N4398" i="1"/>
  <c r="H4398" i="1"/>
  <c r="G4398" i="1"/>
  <c r="F4398" i="1"/>
  <c r="N4397" i="1"/>
  <c r="H4397" i="1"/>
  <c r="G4397" i="1"/>
  <c r="F4397" i="1"/>
  <c r="N4396" i="1"/>
  <c r="H4396" i="1"/>
  <c r="G4396" i="1"/>
  <c r="F4396" i="1"/>
  <c r="N4395" i="1"/>
  <c r="H4395" i="1"/>
  <c r="G4395" i="1"/>
  <c r="F4395" i="1"/>
  <c r="N4394" i="1"/>
  <c r="H4394" i="1"/>
  <c r="G4394" i="1"/>
  <c r="F4394" i="1"/>
  <c r="N4393" i="1"/>
  <c r="H4393" i="1"/>
  <c r="G4393" i="1"/>
  <c r="F4393" i="1"/>
  <c r="N4392" i="1"/>
  <c r="H4392" i="1"/>
  <c r="G4392" i="1"/>
  <c r="F4392" i="1"/>
  <c r="N4391" i="1"/>
  <c r="H4391" i="1"/>
  <c r="G4391" i="1"/>
  <c r="F4391" i="1"/>
  <c r="N4390" i="1"/>
  <c r="H4390" i="1"/>
  <c r="G4390" i="1"/>
  <c r="F4390" i="1"/>
  <c r="N4389" i="1"/>
  <c r="H4389" i="1"/>
  <c r="G4389" i="1"/>
  <c r="F4389" i="1"/>
  <c r="N4388" i="1"/>
  <c r="H4388" i="1"/>
  <c r="G4388" i="1"/>
  <c r="F4388" i="1"/>
  <c r="N4387" i="1"/>
  <c r="H4387" i="1"/>
  <c r="G4387" i="1"/>
  <c r="F4387" i="1"/>
  <c r="N4386" i="1"/>
  <c r="H4386" i="1"/>
  <c r="G4386" i="1"/>
  <c r="F4386" i="1"/>
  <c r="N4385" i="1"/>
  <c r="H4385" i="1"/>
  <c r="G4385" i="1"/>
  <c r="F4385" i="1"/>
  <c r="N4384" i="1"/>
  <c r="H4384" i="1"/>
  <c r="G4384" i="1"/>
  <c r="F4384" i="1"/>
  <c r="N4383" i="1"/>
  <c r="H4383" i="1"/>
  <c r="G4383" i="1"/>
  <c r="F4383" i="1"/>
  <c r="N4382" i="1"/>
  <c r="H4382" i="1"/>
  <c r="G4382" i="1"/>
  <c r="F4382" i="1"/>
  <c r="N4381" i="1"/>
  <c r="H4381" i="1"/>
  <c r="G4381" i="1"/>
  <c r="F4381" i="1"/>
  <c r="N4380" i="1"/>
  <c r="H4380" i="1"/>
  <c r="G4380" i="1"/>
  <c r="F4380" i="1"/>
  <c r="N4379" i="1"/>
  <c r="H4379" i="1"/>
  <c r="G4379" i="1"/>
  <c r="F4379" i="1"/>
  <c r="N4378" i="1"/>
  <c r="H4378" i="1"/>
  <c r="G4378" i="1"/>
  <c r="F4378" i="1"/>
  <c r="N4377" i="1"/>
  <c r="H4377" i="1"/>
  <c r="G4377" i="1"/>
  <c r="F4377" i="1"/>
  <c r="N4376" i="1"/>
  <c r="H4376" i="1"/>
  <c r="G4376" i="1"/>
  <c r="F4376" i="1"/>
  <c r="N4375" i="1"/>
  <c r="H4375" i="1"/>
  <c r="G4375" i="1"/>
  <c r="F4375" i="1"/>
  <c r="N4374" i="1"/>
  <c r="H4374" i="1"/>
  <c r="G4374" i="1"/>
  <c r="F4374" i="1"/>
  <c r="N4373" i="1"/>
  <c r="H4373" i="1"/>
  <c r="G4373" i="1"/>
  <c r="F4373" i="1"/>
  <c r="N4372" i="1"/>
  <c r="H4372" i="1"/>
  <c r="G4372" i="1"/>
  <c r="F4372" i="1"/>
  <c r="N4371" i="1"/>
  <c r="H4371" i="1"/>
  <c r="G4371" i="1"/>
  <c r="F4371" i="1"/>
  <c r="N4370" i="1"/>
  <c r="H4370" i="1"/>
  <c r="G4370" i="1"/>
  <c r="F4370" i="1"/>
  <c r="N4369" i="1"/>
  <c r="H4369" i="1"/>
  <c r="G4369" i="1"/>
  <c r="F4369" i="1"/>
  <c r="N4368" i="1"/>
  <c r="H4368" i="1"/>
  <c r="G4368" i="1"/>
  <c r="F4368" i="1"/>
  <c r="N4367" i="1"/>
  <c r="H4367" i="1"/>
  <c r="G4367" i="1"/>
  <c r="F4367" i="1"/>
  <c r="N4366" i="1"/>
  <c r="H4366" i="1"/>
  <c r="G4366" i="1"/>
  <c r="F4366" i="1"/>
  <c r="N4365" i="1"/>
  <c r="H4365" i="1"/>
  <c r="G4365" i="1"/>
  <c r="F4365" i="1"/>
  <c r="N4364" i="1"/>
  <c r="H4364" i="1"/>
  <c r="G4364" i="1"/>
  <c r="F4364" i="1"/>
  <c r="N4363" i="1"/>
  <c r="H4363" i="1"/>
  <c r="G4363" i="1"/>
  <c r="F4363" i="1"/>
  <c r="N4362" i="1"/>
  <c r="H4362" i="1"/>
  <c r="G4362" i="1"/>
  <c r="F4362" i="1"/>
  <c r="N4361" i="1"/>
  <c r="H4361" i="1"/>
  <c r="G4361" i="1"/>
  <c r="F4361" i="1"/>
  <c r="N4360" i="1"/>
  <c r="H4360" i="1"/>
  <c r="G4360" i="1"/>
  <c r="F4360" i="1"/>
  <c r="N4359" i="1"/>
  <c r="H4359" i="1"/>
  <c r="G4359" i="1"/>
  <c r="F4359" i="1"/>
  <c r="N4358" i="1"/>
  <c r="H4358" i="1"/>
  <c r="G4358" i="1"/>
  <c r="F4358" i="1"/>
  <c r="N4357" i="1"/>
  <c r="H4357" i="1"/>
  <c r="G4357" i="1"/>
  <c r="F4357" i="1"/>
  <c r="N4356" i="1"/>
  <c r="H4356" i="1"/>
  <c r="G4356" i="1"/>
  <c r="F4356" i="1"/>
  <c r="N4355" i="1"/>
  <c r="H4355" i="1"/>
  <c r="G4355" i="1"/>
  <c r="F4355" i="1"/>
  <c r="N4354" i="1"/>
  <c r="H4354" i="1"/>
  <c r="G4354" i="1"/>
  <c r="F4354" i="1"/>
  <c r="N4353" i="1"/>
  <c r="H4353" i="1"/>
  <c r="G4353" i="1"/>
  <c r="F4353" i="1"/>
  <c r="N4352" i="1"/>
  <c r="H4352" i="1"/>
  <c r="G4352" i="1"/>
  <c r="F4352" i="1"/>
  <c r="N4351" i="1"/>
  <c r="H4351" i="1"/>
  <c r="G4351" i="1"/>
  <c r="F4351" i="1"/>
  <c r="N4350" i="1"/>
  <c r="H4350" i="1"/>
  <c r="G4350" i="1"/>
  <c r="F4350" i="1"/>
  <c r="N4349" i="1"/>
  <c r="H4349" i="1"/>
  <c r="G4349" i="1"/>
  <c r="F4349" i="1"/>
  <c r="N4348" i="1"/>
  <c r="H4348" i="1"/>
  <c r="G4348" i="1"/>
  <c r="F4348" i="1"/>
  <c r="N4347" i="1"/>
  <c r="H4347" i="1"/>
  <c r="G4347" i="1"/>
  <c r="F4347" i="1"/>
  <c r="N4346" i="1"/>
  <c r="H4346" i="1"/>
  <c r="G4346" i="1"/>
  <c r="F4346" i="1"/>
  <c r="N4345" i="1"/>
  <c r="H4345" i="1"/>
  <c r="G4345" i="1"/>
  <c r="F4345" i="1"/>
  <c r="N4344" i="1"/>
  <c r="H4344" i="1"/>
  <c r="G4344" i="1"/>
  <c r="F4344" i="1"/>
  <c r="N4343" i="1"/>
  <c r="H4343" i="1"/>
  <c r="G4343" i="1"/>
  <c r="F4343" i="1"/>
  <c r="N4342" i="1"/>
  <c r="H4342" i="1"/>
  <c r="G4342" i="1"/>
  <c r="F4342" i="1"/>
  <c r="N4341" i="1"/>
  <c r="H4341" i="1"/>
  <c r="G4341" i="1"/>
  <c r="F4341" i="1"/>
  <c r="N4340" i="1"/>
  <c r="H4340" i="1"/>
  <c r="G4340" i="1"/>
  <c r="F4340" i="1"/>
  <c r="N4339" i="1"/>
  <c r="H4339" i="1"/>
  <c r="G4339" i="1"/>
  <c r="F4339" i="1"/>
  <c r="N4338" i="1"/>
  <c r="H4338" i="1"/>
  <c r="G4338" i="1"/>
  <c r="F4338" i="1"/>
  <c r="N4337" i="1"/>
  <c r="H4337" i="1"/>
  <c r="G4337" i="1"/>
  <c r="F4337" i="1"/>
  <c r="N4336" i="1"/>
  <c r="H4336" i="1"/>
  <c r="G4336" i="1"/>
  <c r="F4336" i="1"/>
  <c r="N4335" i="1"/>
  <c r="H4335" i="1"/>
  <c r="G4335" i="1"/>
  <c r="F4335" i="1"/>
  <c r="N4334" i="1"/>
  <c r="H4334" i="1"/>
  <c r="G4334" i="1"/>
  <c r="F4334" i="1"/>
  <c r="N4333" i="1"/>
  <c r="H4333" i="1"/>
  <c r="G4333" i="1"/>
  <c r="F4333" i="1"/>
  <c r="N4332" i="1"/>
  <c r="H4332" i="1"/>
  <c r="G4332" i="1"/>
  <c r="F4332" i="1"/>
  <c r="N4331" i="1"/>
  <c r="H4331" i="1"/>
  <c r="G4331" i="1"/>
  <c r="F4331" i="1"/>
  <c r="N4330" i="1"/>
  <c r="H4330" i="1"/>
  <c r="G4330" i="1"/>
  <c r="F4330" i="1"/>
  <c r="N4329" i="1"/>
  <c r="H4329" i="1"/>
  <c r="G4329" i="1"/>
  <c r="F4329" i="1"/>
  <c r="N4328" i="1"/>
  <c r="H4328" i="1"/>
  <c r="G4328" i="1"/>
  <c r="F4328" i="1"/>
  <c r="N4327" i="1"/>
  <c r="H4327" i="1"/>
  <c r="G4327" i="1"/>
  <c r="F4327" i="1"/>
  <c r="N4326" i="1"/>
  <c r="H4326" i="1"/>
  <c r="G4326" i="1"/>
  <c r="F4326" i="1"/>
  <c r="N4325" i="1"/>
  <c r="H4325" i="1"/>
  <c r="G4325" i="1"/>
  <c r="F4325" i="1"/>
  <c r="N4324" i="1"/>
  <c r="H4324" i="1"/>
  <c r="G4324" i="1"/>
  <c r="F4324" i="1"/>
  <c r="N4323" i="1"/>
  <c r="H4323" i="1"/>
  <c r="G4323" i="1"/>
  <c r="F4323" i="1"/>
  <c r="N4322" i="1"/>
  <c r="H4322" i="1"/>
  <c r="G4322" i="1"/>
  <c r="F4322" i="1"/>
  <c r="N4321" i="1"/>
  <c r="H4321" i="1"/>
  <c r="G4321" i="1"/>
  <c r="F4321" i="1"/>
  <c r="N4320" i="1"/>
  <c r="H4320" i="1"/>
  <c r="G4320" i="1"/>
  <c r="F4320" i="1"/>
  <c r="N4319" i="1"/>
  <c r="H4319" i="1"/>
  <c r="G4319" i="1"/>
  <c r="F4319" i="1"/>
  <c r="N4318" i="1"/>
  <c r="H4318" i="1"/>
  <c r="G4318" i="1"/>
  <c r="F4318" i="1"/>
  <c r="N4317" i="1"/>
  <c r="H4317" i="1"/>
  <c r="G4317" i="1"/>
  <c r="F4317" i="1"/>
  <c r="N4316" i="1"/>
  <c r="H4316" i="1"/>
  <c r="G4316" i="1"/>
  <c r="F4316" i="1"/>
  <c r="N4315" i="1"/>
  <c r="H4315" i="1"/>
  <c r="G4315" i="1"/>
  <c r="F4315" i="1"/>
  <c r="N4314" i="1"/>
  <c r="H4314" i="1"/>
  <c r="G4314" i="1"/>
  <c r="F4314" i="1"/>
  <c r="N4313" i="1"/>
  <c r="H4313" i="1"/>
  <c r="G4313" i="1"/>
  <c r="F4313" i="1"/>
  <c r="N4312" i="1"/>
  <c r="H4312" i="1"/>
  <c r="G4312" i="1"/>
  <c r="F4312" i="1"/>
  <c r="N4311" i="1"/>
  <c r="H4311" i="1"/>
  <c r="G4311" i="1"/>
  <c r="F4311" i="1"/>
  <c r="N4310" i="1"/>
  <c r="H4310" i="1"/>
  <c r="G4310" i="1"/>
  <c r="F4310" i="1"/>
  <c r="N4309" i="1"/>
  <c r="H4309" i="1"/>
  <c r="G4309" i="1"/>
  <c r="F4309" i="1"/>
  <c r="N4308" i="1"/>
  <c r="H4308" i="1"/>
  <c r="G4308" i="1"/>
  <c r="F4308" i="1"/>
  <c r="N4307" i="1"/>
  <c r="H4307" i="1"/>
  <c r="G4307" i="1"/>
  <c r="F4307" i="1"/>
  <c r="N4306" i="1"/>
  <c r="H4306" i="1"/>
  <c r="G4306" i="1"/>
  <c r="F4306" i="1"/>
  <c r="N4305" i="1"/>
  <c r="H4305" i="1"/>
  <c r="G4305" i="1"/>
  <c r="F4305" i="1"/>
  <c r="N4304" i="1"/>
  <c r="H4304" i="1"/>
  <c r="G4304" i="1"/>
  <c r="F4304" i="1"/>
  <c r="N4303" i="1"/>
  <c r="H4303" i="1"/>
  <c r="G4303" i="1"/>
  <c r="F4303" i="1"/>
  <c r="N4302" i="1"/>
  <c r="H4302" i="1"/>
  <c r="G4302" i="1"/>
  <c r="F4302" i="1"/>
  <c r="N4301" i="1"/>
  <c r="H4301" i="1"/>
  <c r="G4301" i="1"/>
  <c r="F4301" i="1"/>
  <c r="N4300" i="1"/>
  <c r="H4300" i="1"/>
  <c r="G4300" i="1"/>
  <c r="F4300" i="1"/>
  <c r="N4299" i="1"/>
  <c r="H4299" i="1"/>
  <c r="G4299" i="1"/>
  <c r="F4299" i="1"/>
  <c r="N4298" i="1"/>
  <c r="H4298" i="1"/>
  <c r="G4298" i="1"/>
  <c r="F4298" i="1"/>
  <c r="N4297" i="1"/>
  <c r="H4297" i="1"/>
  <c r="G4297" i="1"/>
  <c r="F4297" i="1"/>
  <c r="N4296" i="1"/>
  <c r="H4296" i="1"/>
  <c r="G4296" i="1"/>
  <c r="F4296" i="1"/>
  <c r="N4295" i="1"/>
  <c r="H4295" i="1"/>
  <c r="G4295" i="1"/>
  <c r="F4295" i="1"/>
  <c r="N4294" i="1"/>
  <c r="H4294" i="1"/>
  <c r="G4294" i="1"/>
  <c r="F4294" i="1"/>
  <c r="N4293" i="1"/>
  <c r="H4293" i="1"/>
  <c r="G4293" i="1"/>
  <c r="F4293" i="1"/>
  <c r="N4292" i="1"/>
  <c r="H4292" i="1"/>
  <c r="G4292" i="1"/>
  <c r="F4292" i="1"/>
  <c r="N4291" i="1"/>
  <c r="H4291" i="1"/>
  <c r="G4291" i="1"/>
  <c r="F4291" i="1"/>
  <c r="N4290" i="1"/>
  <c r="H4290" i="1"/>
  <c r="G4290" i="1"/>
  <c r="F4290" i="1"/>
  <c r="N4289" i="1"/>
  <c r="H4289" i="1"/>
  <c r="G4289" i="1"/>
  <c r="F4289" i="1"/>
  <c r="N4288" i="1"/>
  <c r="H4288" i="1"/>
  <c r="G4288" i="1"/>
  <c r="F4288" i="1"/>
  <c r="N4287" i="1"/>
  <c r="H4287" i="1"/>
  <c r="G4287" i="1"/>
  <c r="F4287" i="1"/>
  <c r="N4286" i="1"/>
  <c r="H4286" i="1"/>
  <c r="G4286" i="1"/>
  <c r="F4286" i="1"/>
  <c r="N4285" i="1"/>
  <c r="H4285" i="1"/>
  <c r="G4285" i="1"/>
  <c r="F4285" i="1"/>
  <c r="N4284" i="1"/>
  <c r="H4284" i="1"/>
  <c r="G4284" i="1"/>
  <c r="F4284" i="1"/>
  <c r="N4283" i="1"/>
  <c r="H4283" i="1"/>
  <c r="G4283" i="1"/>
  <c r="F4283" i="1"/>
  <c r="N4282" i="1"/>
  <c r="H4282" i="1"/>
  <c r="G4282" i="1"/>
  <c r="F4282" i="1"/>
  <c r="N4281" i="1"/>
  <c r="H4281" i="1"/>
  <c r="G4281" i="1"/>
  <c r="F4281" i="1"/>
  <c r="N4280" i="1"/>
  <c r="H4280" i="1"/>
  <c r="G4280" i="1"/>
  <c r="F4280" i="1"/>
  <c r="N4279" i="1"/>
  <c r="H4279" i="1"/>
  <c r="G4279" i="1"/>
  <c r="F4279" i="1"/>
  <c r="N4278" i="1"/>
  <c r="H4278" i="1"/>
  <c r="G4278" i="1"/>
  <c r="F4278" i="1"/>
  <c r="N4277" i="1"/>
  <c r="H4277" i="1"/>
  <c r="G4277" i="1"/>
  <c r="F4277" i="1"/>
  <c r="N4276" i="1"/>
  <c r="H4276" i="1"/>
  <c r="G4276" i="1"/>
  <c r="F4276" i="1"/>
  <c r="N4275" i="1"/>
  <c r="H4275" i="1"/>
  <c r="G4275" i="1"/>
  <c r="F4275" i="1"/>
  <c r="N4274" i="1"/>
  <c r="H4274" i="1"/>
  <c r="G4274" i="1"/>
  <c r="F4274" i="1"/>
  <c r="N4273" i="1"/>
  <c r="H4273" i="1"/>
  <c r="G4273" i="1"/>
  <c r="F4273" i="1"/>
  <c r="N4272" i="1"/>
  <c r="H4272" i="1"/>
  <c r="G4272" i="1"/>
  <c r="F4272" i="1"/>
  <c r="N4271" i="1"/>
  <c r="H4271" i="1"/>
  <c r="G4271" i="1"/>
  <c r="F4271" i="1"/>
  <c r="N4270" i="1"/>
  <c r="H4270" i="1"/>
  <c r="G4270" i="1"/>
  <c r="F4270" i="1"/>
  <c r="N4269" i="1"/>
  <c r="H4269" i="1"/>
  <c r="G4269" i="1"/>
  <c r="F4269" i="1"/>
  <c r="N4268" i="1"/>
  <c r="H4268" i="1"/>
  <c r="G4268" i="1"/>
  <c r="F4268" i="1"/>
  <c r="N4267" i="1"/>
  <c r="H4267" i="1"/>
  <c r="G4267" i="1"/>
  <c r="F4267" i="1"/>
  <c r="N4266" i="1"/>
  <c r="H4266" i="1"/>
  <c r="G4266" i="1"/>
  <c r="F4266" i="1"/>
  <c r="N4265" i="1"/>
  <c r="H4265" i="1"/>
  <c r="G4265" i="1"/>
  <c r="F4265" i="1"/>
  <c r="N4264" i="1"/>
  <c r="H4264" i="1"/>
  <c r="G4264" i="1"/>
  <c r="F4264" i="1"/>
  <c r="N4263" i="1"/>
  <c r="H4263" i="1"/>
  <c r="G4263" i="1"/>
  <c r="F4263" i="1"/>
  <c r="N4262" i="1"/>
  <c r="H4262" i="1"/>
  <c r="G4262" i="1"/>
  <c r="F4262" i="1"/>
  <c r="N4261" i="1"/>
  <c r="H4261" i="1"/>
  <c r="G4261" i="1"/>
  <c r="F4261" i="1"/>
  <c r="N4260" i="1"/>
  <c r="H4260" i="1"/>
  <c r="G4260" i="1"/>
  <c r="F4260" i="1"/>
  <c r="N4259" i="1"/>
  <c r="H4259" i="1"/>
  <c r="G4259" i="1"/>
  <c r="F4259" i="1"/>
  <c r="N4258" i="1"/>
  <c r="H4258" i="1"/>
  <c r="G4258" i="1"/>
  <c r="F4258" i="1"/>
  <c r="N4257" i="1"/>
  <c r="H4257" i="1"/>
  <c r="G4257" i="1"/>
  <c r="F4257" i="1"/>
  <c r="N4256" i="1"/>
  <c r="H4256" i="1"/>
  <c r="G4256" i="1"/>
  <c r="F4256" i="1"/>
  <c r="N4255" i="1"/>
  <c r="H4255" i="1"/>
  <c r="G4255" i="1"/>
  <c r="F4255" i="1"/>
  <c r="N4254" i="1"/>
  <c r="H4254" i="1"/>
  <c r="G4254" i="1"/>
  <c r="F4254" i="1"/>
  <c r="N4253" i="1"/>
  <c r="H4253" i="1"/>
  <c r="G4253" i="1"/>
  <c r="F4253" i="1"/>
  <c r="N4252" i="1"/>
  <c r="H4252" i="1"/>
  <c r="G4252" i="1"/>
  <c r="F4252" i="1"/>
  <c r="N4251" i="1"/>
  <c r="H4251" i="1"/>
  <c r="G4251" i="1"/>
  <c r="F4251" i="1"/>
  <c r="N4250" i="1"/>
  <c r="H4250" i="1"/>
  <c r="G4250" i="1"/>
  <c r="F4250" i="1"/>
  <c r="N4249" i="1"/>
  <c r="H4249" i="1"/>
  <c r="G4249" i="1"/>
  <c r="F4249" i="1"/>
  <c r="N4248" i="1"/>
  <c r="H4248" i="1"/>
  <c r="G4248" i="1"/>
  <c r="F4248" i="1"/>
  <c r="N4247" i="1"/>
  <c r="H4247" i="1"/>
  <c r="G4247" i="1"/>
  <c r="F4247" i="1"/>
  <c r="N4246" i="1"/>
  <c r="H4246" i="1"/>
  <c r="G4246" i="1"/>
  <c r="F4246" i="1"/>
  <c r="N4245" i="1"/>
  <c r="H4245" i="1"/>
  <c r="G4245" i="1"/>
  <c r="F4245" i="1"/>
  <c r="N4244" i="1"/>
  <c r="H4244" i="1"/>
  <c r="G4244" i="1"/>
  <c r="F4244" i="1"/>
  <c r="N4243" i="1"/>
  <c r="H4243" i="1"/>
  <c r="G4243" i="1"/>
  <c r="F4243" i="1"/>
  <c r="N4242" i="1"/>
  <c r="H4242" i="1"/>
  <c r="G4242" i="1"/>
  <c r="F4242" i="1"/>
  <c r="N4241" i="1"/>
  <c r="H4241" i="1"/>
  <c r="G4241" i="1"/>
  <c r="F4241" i="1"/>
  <c r="N4240" i="1"/>
  <c r="H4240" i="1"/>
  <c r="G4240" i="1"/>
  <c r="F4240" i="1"/>
  <c r="N4239" i="1"/>
  <c r="H4239" i="1"/>
  <c r="G4239" i="1"/>
  <c r="F4239" i="1"/>
  <c r="N4238" i="1"/>
  <c r="H4238" i="1"/>
  <c r="G4238" i="1"/>
  <c r="F4238" i="1"/>
  <c r="N4237" i="1"/>
  <c r="H4237" i="1"/>
  <c r="G4237" i="1"/>
  <c r="F4237" i="1"/>
  <c r="N4236" i="1"/>
  <c r="H4236" i="1"/>
  <c r="G4236" i="1"/>
  <c r="F4236" i="1"/>
  <c r="N4235" i="1"/>
  <c r="H4235" i="1"/>
  <c r="G4235" i="1"/>
  <c r="F4235" i="1"/>
  <c r="N4234" i="1"/>
  <c r="H4234" i="1"/>
  <c r="G4234" i="1"/>
  <c r="F4234" i="1"/>
  <c r="N4233" i="1"/>
  <c r="H4233" i="1"/>
  <c r="G4233" i="1"/>
  <c r="F4233" i="1"/>
  <c r="N4232" i="1"/>
  <c r="H4232" i="1"/>
  <c r="G4232" i="1"/>
  <c r="F4232" i="1"/>
  <c r="N4231" i="1"/>
  <c r="H4231" i="1"/>
  <c r="G4231" i="1"/>
  <c r="F4231" i="1"/>
  <c r="N4230" i="1"/>
  <c r="H4230" i="1"/>
  <c r="G4230" i="1"/>
  <c r="F4230" i="1"/>
  <c r="N4229" i="1"/>
  <c r="H4229" i="1"/>
  <c r="G4229" i="1"/>
  <c r="F4229" i="1"/>
  <c r="N4228" i="1"/>
  <c r="H4228" i="1"/>
  <c r="G4228" i="1"/>
  <c r="F4228" i="1"/>
  <c r="N4227" i="1"/>
  <c r="H4227" i="1"/>
  <c r="G4227" i="1"/>
  <c r="F4227" i="1"/>
  <c r="N4226" i="1"/>
  <c r="H4226" i="1"/>
  <c r="G4226" i="1"/>
  <c r="F4226" i="1"/>
  <c r="N4225" i="1"/>
  <c r="H4225" i="1"/>
  <c r="G4225" i="1"/>
  <c r="F4225" i="1"/>
  <c r="N4224" i="1"/>
  <c r="H4224" i="1"/>
  <c r="G4224" i="1"/>
  <c r="F4224" i="1"/>
  <c r="N4223" i="1"/>
  <c r="H4223" i="1"/>
  <c r="G4223" i="1"/>
  <c r="F4223" i="1"/>
  <c r="N4222" i="1"/>
  <c r="H4222" i="1"/>
  <c r="G4222" i="1"/>
  <c r="F4222" i="1"/>
  <c r="N4221" i="1"/>
  <c r="H4221" i="1"/>
  <c r="G4221" i="1"/>
  <c r="F4221" i="1"/>
  <c r="N4220" i="1"/>
  <c r="H4220" i="1"/>
  <c r="G4220" i="1"/>
  <c r="F4220" i="1"/>
  <c r="N4219" i="1"/>
  <c r="H4219" i="1"/>
  <c r="G4219" i="1"/>
  <c r="F4219" i="1"/>
  <c r="N4218" i="1"/>
  <c r="H4218" i="1"/>
  <c r="G4218" i="1"/>
  <c r="F4218" i="1"/>
  <c r="N4217" i="1"/>
  <c r="H4217" i="1"/>
  <c r="G4217" i="1"/>
  <c r="F4217" i="1"/>
  <c r="N4216" i="1"/>
  <c r="H4216" i="1"/>
  <c r="G4216" i="1"/>
  <c r="F4216" i="1"/>
  <c r="N4215" i="1"/>
  <c r="H4215" i="1"/>
  <c r="G4215" i="1"/>
  <c r="F4215" i="1"/>
  <c r="N4214" i="1"/>
  <c r="H4214" i="1"/>
  <c r="G4214" i="1"/>
  <c r="F4214" i="1"/>
  <c r="N4213" i="1"/>
  <c r="H4213" i="1"/>
  <c r="G4213" i="1"/>
  <c r="F4213" i="1"/>
  <c r="N4212" i="1"/>
  <c r="H4212" i="1"/>
  <c r="G4212" i="1"/>
  <c r="F4212" i="1"/>
  <c r="N4211" i="1"/>
  <c r="H4211" i="1"/>
  <c r="G4211" i="1"/>
  <c r="F4211" i="1"/>
  <c r="N4210" i="1"/>
  <c r="H4210" i="1"/>
  <c r="G4210" i="1"/>
  <c r="F4210" i="1"/>
  <c r="N4209" i="1"/>
  <c r="H4209" i="1"/>
  <c r="G4209" i="1"/>
  <c r="F4209" i="1"/>
  <c r="N4208" i="1"/>
  <c r="H4208" i="1"/>
  <c r="G4208" i="1"/>
  <c r="F4208" i="1"/>
  <c r="N4207" i="1"/>
  <c r="H4207" i="1"/>
  <c r="G4207" i="1"/>
  <c r="F4207" i="1"/>
  <c r="N4206" i="1"/>
  <c r="H4206" i="1"/>
  <c r="G4206" i="1"/>
  <c r="F4206" i="1"/>
  <c r="N4205" i="1"/>
  <c r="H4205" i="1"/>
  <c r="G4205" i="1"/>
  <c r="F4205" i="1"/>
  <c r="N4204" i="1"/>
  <c r="H4204" i="1"/>
  <c r="G4204" i="1"/>
  <c r="F4204" i="1"/>
  <c r="N4203" i="1"/>
  <c r="H4203" i="1"/>
  <c r="G4203" i="1"/>
  <c r="F4203" i="1"/>
  <c r="N4202" i="1"/>
  <c r="H4202" i="1"/>
  <c r="G4202" i="1"/>
  <c r="F4202" i="1"/>
  <c r="N4201" i="1"/>
  <c r="H4201" i="1"/>
  <c r="G4201" i="1"/>
  <c r="F4201" i="1"/>
  <c r="N4200" i="1"/>
  <c r="H4200" i="1"/>
  <c r="G4200" i="1"/>
  <c r="F4200" i="1"/>
  <c r="N4199" i="1"/>
  <c r="H4199" i="1"/>
  <c r="G4199" i="1"/>
  <c r="F4199" i="1"/>
  <c r="N4198" i="1"/>
  <c r="H4198" i="1"/>
  <c r="G4198" i="1"/>
  <c r="F4198" i="1"/>
  <c r="N4197" i="1"/>
  <c r="H4197" i="1"/>
  <c r="G4197" i="1"/>
  <c r="F4197" i="1"/>
  <c r="N4196" i="1"/>
  <c r="H4196" i="1"/>
  <c r="G4196" i="1"/>
  <c r="F4196" i="1"/>
  <c r="N4195" i="1"/>
  <c r="H4195" i="1"/>
  <c r="G4195" i="1"/>
  <c r="F4195" i="1"/>
  <c r="N4194" i="1"/>
  <c r="H4194" i="1"/>
  <c r="G4194" i="1"/>
  <c r="F4194" i="1"/>
  <c r="N4193" i="1"/>
  <c r="H4193" i="1"/>
  <c r="G4193" i="1"/>
  <c r="F4193" i="1"/>
  <c r="N4192" i="1"/>
  <c r="H4192" i="1"/>
  <c r="G4192" i="1"/>
  <c r="F4192" i="1"/>
  <c r="N4191" i="1"/>
  <c r="H4191" i="1"/>
  <c r="G4191" i="1"/>
  <c r="F4191" i="1"/>
  <c r="N4190" i="1"/>
  <c r="H4190" i="1"/>
  <c r="G4190" i="1"/>
  <c r="F4190" i="1"/>
  <c r="N4189" i="1"/>
  <c r="H4189" i="1"/>
  <c r="G4189" i="1"/>
  <c r="F4189" i="1"/>
  <c r="N4188" i="1"/>
  <c r="H4188" i="1"/>
  <c r="G4188" i="1"/>
  <c r="F4188" i="1"/>
  <c r="N4187" i="1"/>
  <c r="H4187" i="1"/>
  <c r="G4187" i="1"/>
  <c r="F4187" i="1"/>
  <c r="N4186" i="1"/>
  <c r="H4186" i="1"/>
  <c r="G4186" i="1"/>
  <c r="F4186" i="1"/>
  <c r="N4185" i="1"/>
  <c r="H4185" i="1"/>
  <c r="G4185" i="1"/>
  <c r="F4185" i="1"/>
  <c r="N4184" i="1"/>
  <c r="H4184" i="1"/>
  <c r="G4184" i="1"/>
  <c r="F4184" i="1"/>
  <c r="N4183" i="1"/>
  <c r="H4183" i="1"/>
  <c r="G4183" i="1"/>
  <c r="F4183" i="1"/>
  <c r="N4182" i="1"/>
  <c r="H4182" i="1"/>
  <c r="G4182" i="1"/>
  <c r="F4182" i="1"/>
  <c r="N4181" i="1"/>
  <c r="H4181" i="1"/>
  <c r="G4181" i="1"/>
  <c r="F4181" i="1"/>
  <c r="N4180" i="1"/>
  <c r="H4180" i="1"/>
  <c r="G4180" i="1"/>
  <c r="F4180" i="1"/>
  <c r="N4179" i="1"/>
  <c r="H4179" i="1"/>
  <c r="G4179" i="1"/>
  <c r="F4179" i="1"/>
  <c r="N4178" i="1"/>
  <c r="H4178" i="1"/>
  <c r="G4178" i="1"/>
  <c r="F4178" i="1"/>
  <c r="N4177" i="1"/>
  <c r="H4177" i="1"/>
  <c r="G4177" i="1"/>
  <c r="F4177" i="1"/>
  <c r="N4176" i="1"/>
  <c r="H4176" i="1"/>
  <c r="G4176" i="1"/>
  <c r="F4176" i="1"/>
  <c r="N4175" i="1"/>
  <c r="H4175" i="1"/>
  <c r="G4175" i="1"/>
  <c r="F4175" i="1"/>
  <c r="N4174" i="1"/>
  <c r="H4174" i="1"/>
  <c r="G4174" i="1"/>
  <c r="F4174" i="1"/>
  <c r="N4173" i="1"/>
  <c r="H4173" i="1"/>
  <c r="G4173" i="1"/>
  <c r="F4173" i="1"/>
  <c r="N4172" i="1"/>
  <c r="H4172" i="1"/>
  <c r="G4172" i="1"/>
  <c r="F4172" i="1"/>
  <c r="N4171" i="1"/>
  <c r="H4171" i="1"/>
  <c r="G4171" i="1"/>
  <c r="F4171" i="1"/>
  <c r="N4170" i="1"/>
  <c r="H4170" i="1"/>
  <c r="G4170" i="1"/>
  <c r="F4170" i="1"/>
  <c r="N4169" i="1"/>
  <c r="H4169" i="1"/>
  <c r="G4169" i="1"/>
  <c r="F4169" i="1"/>
  <c r="N4168" i="1"/>
  <c r="H4168" i="1"/>
  <c r="G4168" i="1"/>
  <c r="F4168" i="1"/>
  <c r="N4167" i="1"/>
  <c r="H4167" i="1"/>
  <c r="G4167" i="1"/>
  <c r="F4167" i="1"/>
  <c r="N4166" i="1"/>
  <c r="H4166" i="1"/>
  <c r="G4166" i="1"/>
  <c r="F4166" i="1"/>
  <c r="N4165" i="1"/>
  <c r="H4165" i="1"/>
  <c r="G4165" i="1"/>
  <c r="F4165" i="1"/>
  <c r="N4164" i="1"/>
  <c r="H4164" i="1"/>
  <c r="G4164" i="1"/>
  <c r="F4164" i="1"/>
  <c r="N4163" i="1"/>
  <c r="H4163" i="1"/>
  <c r="G4163" i="1"/>
  <c r="F4163" i="1"/>
  <c r="N4162" i="1"/>
  <c r="H4162" i="1"/>
  <c r="G4162" i="1"/>
  <c r="F4162" i="1"/>
  <c r="N4161" i="1"/>
  <c r="H4161" i="1"/>
  <c r="G4161" i="1"/>
  <c r="F4161" i="1"/>
  <c r="N4160" i="1"/>
  <c r="H4160" i="1"/>
  <c r="G4160" i="1"/>
  <c r="F4160" i="1"/>
  <c r="N4159" i="1"/>
  <c r="H4159" i="1"/>
  <c r="G4159" i="1"/>
  <c r="F4159" i="1"/>
  <c r="N4158" i="1"/>
  <c r="H4158" i="1"/>
  <c r="G4158" i="1"/>
  <c r="F4158" i="1"/>
  <c r="N4157" i="1"/>
  <c r="H4157" i="1"/>
  <c r="G4157" i="1"/>
  <c r="F4157" i="1"/>
  <c r="N4156" i="1"/>
  <c r="H4156" i="1"/>
  <c r="G4156" i="1"/>
  <c r="F4156" i="1"/>
  <c r="N4155" i="1"/>
  <c r="H4155" i="1"/>
  <c r="G4155" i="1"/>
  <c r="F4155" i="1"/>
  <c r="N4154" i="1"/>
  <c r="H4154" i="1"/>
  <c r="G4154" i="1"/>
  <c r="F4154" i="1"/>
  <c r="N4153" i="1"/>
  <c r="H4153" i="1"/>
  <c r="G4153" i="1"/>
  <c r="F4153" i="1"/>
  <c r="N4152" i="1"/>
  <c r="H4152" i="1"/>
  <c r="G4152" i="1"/>
  <c r="F4152" i="1"/>
  <c r="N4151" i="1"/>
  <c r="H4151" i="1"/>
  <c r="G4151" i="1"/>
  <c r="F4151" i="1"/>
  <c r="N4150" i="1"/>
  <c r="H4150" i="1"/>
  <c r="G4150" i="1"/>
  <c r="F4150" i="1"/>
  <c r="N4149" i="1"/>
  <c r="H4149" i="1"/>
  <c r="G4149" i="1"/>
  <c r="F4149" i="1"/>
  <c r="N4148" i="1"/>
  <c r="H4148" i="1"/>
  <c r="G4148" i="1"/>
  <c r="F4148" i="1"/>
  <c r="N4147" i="1"/>
  <c r="H4147" i="1"/>
  <c r="G4147" i="1"/>
  <c r="F4147" i="1"/>
  <c r="N4146" i="1"/>
  <c r="H4146" i="1"/>
  <c r="G4146" i="1"/>
  <c r="F4146" i="1"/>
  <c r="N4145" i="1"/>
  <c r="H4145" i="1"/>
  <c r="G4145" i="1"/>
  <c r="F4145" i="1"/>
  <c r="N4144" i="1"/>
  <c r="H4144" i="1"/>
  <c r="G4144" i="1"/>
  <c r="F4144" i="1"/>
  <c r="N4143" i="1"/>
  <c r="H4143" i="1"/>
  <c r="G4143" i="1"/>
  <c r="F4143" i="1"/>
  <c r="N4142" i="1"/>
  <c r="H4142" i="1"/>
  <c r="G4142" i="1"/>
  <c r="F4142" i="1"/>
  <c r="N4141" i="1"/>
  <c r="H4141" i="1"/>
  <c r="G4141" i="1"/>
  <c r="F4141" i="1"/>
  <c r="N4140" i="1"/>
  <c r="H4140" i="1"/>
  <c r="G4140" i="1"/>
  <c r="F4140" i="1"/>
  <c r="N4139" i="1"/>
  <c r="H4139" i="1"/>
  <c r="G4139" i="1"/>
  <c r="F4139" i="1"/>
  <c r="N4138" i="1"/>
  <c r="H4138" i="1"/>
  <c r="G4138" i="1"/>
  <c r="F4138" i="1"/>
  <c r="N4137" i="1"/>
  <c r="H4137" i="1"/>
  <c r="G4137" i="1"/>
  <c r="F4137" i="1"/>
  <c r="N4136" i="1"/>
  <c r="H4136" i="1"/>
  <c r="G4136" i="1"/>
  <c r="F4136" i="1"/>
  <c r="N4135" i="1"/>
  <c r="H4135" i="1"/>
  <c r="G4135" i="1"/>
  <c r="F4135" i="1"/>
  <c r="N4134" i="1"/>
  <c r="H4134" i="1"/>
  <c r="G4134" i="1"/>
  <c r="F4134" i="1"/>
  <c r="N4133" i="1"/>
  <c r="H4133" i="1"/>
  <c r="G4133" i="1"/>
  <c r="F4133" i="1"/>
  <c r="N4132" i="1"/>
  <c r="H4132" i="1"/>
  <c r="G4132" i="1"/>
  <c r="F4132" i="1"/>
  <c r="N4131" i="1"/>
  <c r="H4131" i="1"/>
  <c r="G4131" i="1"/>
  <c r="F4131" i="1"/>
  <c r="N4130" i="1"/>
  <c r="H4130" i="1"/>
  <c r="G4130" i="1"/>
  <c r="F4130" i="1"/>
  <c r="N4129" i="1"/>
  <c r="H4129" i="1"/>
  <c r="G4129" i="1"/>
  <c r="F4129" i="1"/>
  <c r="N4128" i="1"/>
  <c r="H4128" i="1"/>
  <c r="G4128" i="1"/>
  <c r="F4128" i="1"/>
  <c r="N4127" i="1"/>
  <c r="H4127" i="1"/>
  <c r="G4127" i="1"/>
  <c r="F4127" i="1"/>
  <c r="N4126" i="1"/>
  <c r="H4126" i="1"/>
  <c r="G4126" i="1"/>
  <c r="F4126" i="1"/>
  <c r="N4125" i="1"/>
  <c r="H4125" i="1"/>
  <c r="G4125" i="1"/>
  <c r="F4125" i="1"/>
  <c r="N4124" i="1"/>
  <c r="H4124" i="1"/>
  <c r="G4124" i="1"/>
  <c r="F4124" i="1"/>
  <c r="N4123" i="1"/>
  <c r="H4123" i="1"/>
  <c r="G4123" i="1"/>
  <c r="F4123" i="1"/>
  <c r="N4122" i="1"/>
  <c r="H4122" i="1"/>
  <c r="G4122" i="1"/>
  <c r="F4122" i="1"/>
  <c r="N4121" i="1"/>
  <c r="H4121" i="1"/>
  <c r="G4121" i="1"/>
  <c r="F4121" i="1"/>
  <c r="N4120" i="1"/>
  <c r="H4120" i="1"/>
  <c r="G4120" i="1"/>
  <c r="F4120" i="1"/>
  <c r="N4119" i="1"/>
  <c r="H4119" i="1"/>
  <c r="G4119" i="1"/>
  <c r="F4119" i="1"/>
  <c r="N4118" i="1"/>
  <c r="H4118" i="1"/>
  <c r="G4118" i="1"/>
  <c r="F4118" i="1"/>
  <c r="N4117" i="1"/>
  <c r="H4117" i="1"/>
  <c r="G4117" i="1"/>
  <c r="F4117" i="1"/>
  <c r="N4116" i="1"/>
  <c r="H4116" i="1"/>
  <c r="G4116" i="1"/>
  <c r="F4116" i="1"/>
  <c r="N4115" i="1"/>
  <c r="H4115" i="1"/>
  <c r="G4115" i="1"/>
  <c r="F4115" i="1"/>
  <c r="N4114" i="1"/>
  <c r="H4114" i="1"/>
  <c r="G4114" i="1"/>
  <c r="F4114" i="1"/>
  <c r="N4113" i="1"/>
  <c r="H4113" i="1"/>
  <c r="G4113" i="1"/>
  <c r="F4113" i="1"/>
  <c r="N4112" i="1"/>
  <c r="H4112" i="1"/>
  <c r="G4112" i="1"/>
  <c r="F4112" i="1"/>
  <c r="N4111" i="1"/>
  <c r="H4111" i="1"/>
  <c r="G4111" i="1"/>
  <c r="F4111" i="1"/>
  <c r="N4110" i="1"/>
  <c r="H4110" i="1"/>
  <c r="G4110" i="1"/>
  <c r="F4110" i="1"/>
  <c r="N4109" i="1"/>
  <c r="H4109" i="1"/>
  <c r="G4109" i="1"/>
  <c r="F4109" i="1"/>
  <c r="N4108" i="1"/>
  <c r="H4108" i="1"/>
  <c r="G4108" i="1"/>
  <c r="F4108" i="1"/>
  <c r="N4107" i="1"/>
  <c r="H4107" i="1"/>
  <c r="G4107" i="1"/>
  <c r="F4107" i="1"/>
  <c r="N4106" i="1"/>
  <c r="H4106" i="1"/>
  <c r="G4106" i="1"/>
  <c r="F4106" i="1"/>
  <c r="N4105" i="1"/>
  <c r="H4105" i="1"/>
  <c r="G4105" i="1"/>
  <c r="F4105" i="1"/>
  <c r="N4104" i="1"/>
  <c r="H4104" i="1"/>
  <c r="G4104" i="1"/>
  <c r="F4104" i="1"/>
  <c r="N4103" i="1"/>
  <c r="H4103" i="1"/>
  <c r="G4103" i="1"/>
  <c r="F4103" i="1"/>
  <c r="N4102" i="1"/>
  <c r="H4102" i="1"/>
  <c r="G4102" i="1"/>
  <c r="F4102" i="1"/>
  <c r="N4101" i="1"/>
  <c r="H4101" i="1"/>
  <c r="G4101" i="1"/>
  <c r="F4101" i="1"/>
  <c r="N4100" i="1"/>
  <c r="H4100" i="1"/>
  <c r="G4100" i="1"/>
  <c r="F4100" i="1"/>
  <c r="N4099" i="1"/>
  <c r="H4099" i="1"/>
  <c r="G4099" i="1"/>
  <c r="F4099" i="1"/>
  <c r="N4098" i="1"/>
  <c r="H4098" i="1"/>
  <c r="G4098" i="1"/>
  <c r="F4098" i="1"/>
  <c r="N4097" i="1"/>
  <c r="H4097" i="1"/>
  <c r="G4097" i="1"/>
  <c r="F4097" i="1"/>
  <c r="N4096" i="1"/>
  <c r="H4096" i="1"/>
  <c r="G4096" i="1"/>
  <c r="F4096" i="1"/>
  <c r="N4095" i="1"/>
  <c r="H4095" i="1"/>
  <c r="G4095" i="1"/>
  <c r="F4095" i="1"/>
  <c r="N4094" i="1"/>
  <c r="H4094" i="1"/>
  <c r="G4094" i="1"/>
  <c r="F4094" i="1"/>
  <c r="N4093" i="1"/>
  <c r="H4093" i="1"/>
  <c r="G4093" i="1"/>
  <c r="F4093" i="1"/>
  <c r="N4092" i="1"/>
  <c r="H4092" i="1"/>
  <c r="G4092" i="1"/>
  <c r="F4092" i="1"/>
  <c r="N4091" i="1"/>
  <c r="H4091" i="1"/>
  <c r="G4091" i="1"/>
  <c r="F4091" i="1"/>
  <c r="N4090" i="1"/>
  <c r="H4090" i="1"/>
  <c r="G4090" i="1"/>
  <c r="F4090" i="1"/>
  <c r="N4089" i="1"/>
  <c r="H4089" i="1"/>
  <c r="G4089" i="1"/>
  <c r="F4089" i="1"/>
  <c r="N4088" i="1"/>
  <c r="H4088" i="1"/>
  <c r="G4088" i="1"/>
  <c r="F4088" i="1"/>
  <c r="N4087" i="1"/>
  <c r="H4087" i="1"/>
  <c r="G4087" i="1"/>
  <c r="F4087" i="1"/>
  <c r="N4086" i="1"/>
  <c r="H4086" i="1"/>
  <c r="G4086" i="1"/>
  <c r="F4086" i="1"/>
  <c r="N4085" i="1"/>
  <c r="H4085" i="1"/>
  <c r="G4085" i="1"/>
  <c r="F4085" i="1"/>
  <c r="N4084" i="1"/>
  <c r="H4084" i="1"/>
  <c r="G4084" i="1"/>
  <c r="F4084" i="1"/>
  <c r="N4083" i="1"/>
  <c r="H4083" i="1"/>
  <c r="G4083" i="1"/>
  <c r="F4083" i="1"/>
  <c r="N4082" i="1"/>
  <c r="H4082" i="1"/>
  <c r="G4082" i="1"/>
  <c r="F4082" i="1"/>
  <c r="N4081" i="1"/>
  <c r="H4081" i="1"/>
  <c r="G4081" i="1"/>
  <c r="F4081" i="1"/>
  <c r="N4080" i="1"/>
  <c r="H4080" i="1"/>
  <c r="G4080" i="1"/>
  <c r="F4080" i="1"/>
  <c r="N4079" i="1"/>
  <c r="H4079" i="1"/>
  <c r="G4079" i="1"/>
  <c r="F4079" i="1"/>
  <c r="N4078" i="1"/>
  <c r="H4078" i="1"/>
  <c r="G4078" i="1"/>
  <c r="F4078" i="1"/>
  <c r="N4077" i="1"/>
  <c r="H4077" i="1"/>
  <c r="G4077" i="1"/>
  <c r="F4077" i="1"/>
  <c r="N4076" i="1"/>
  <c r="H4076" i="1"/>
  <c r="G4076" i="1"/>
  <c r="F4076" i="1"/>
  <c r="N4075" i="1"/>
  <c r="H4075" i="1"/>
  <c r="G4075" i="1"/>
  <c r="F4075" i="1"/>
  <c r="N4074" i="1"/>
  <c r="H4074" i="1"/>
  <c r="G4074" i="1"/>
  <c r="F4074" i="1"/>
  <c r="N4073" i="1"/>
  <c r="H4073" i="1"/>
  <c r="G4073" i="1"/>
  <c r="F4073" i="1"/>
  <c r="N4072" i="1"/>
  <c r="H4072" i="1"/>
  <c r="G4072" i="1"/>
  <c r="F4072" i="1"/>
  <c r="N4071" i="1"/>
  <c r="H4071" i="1"/>
  <c r="G4071" i="1"/>
  <c r="F4071" i="1"/>
  <c r="N4070" i="1"/>
  <c r="H4070" i="1"/>
  <c r="G4070" i="1"/>
  <c r="F4070" i="1"/>
  <c r="N4069" i="1"/>
  <c r="H4069" i="1"/>
  <c r="G4069" i="1"/>
  <c r="F4069" i="1"/>
  <c r="N4068" i="1"/>
  <c r="H4068" i="1"/>
  <c r="G4068" i="1"/>
  <c r="F4068" i="1"/>
  <c r="N4067" i="1"/>
  <c r="H4067" i="1"/>
  <c r="G4067" i="1"/>
  <c r="F4067" i="1"/>
  <c r="N4066" i="1"/>
  <c r="H4066" i="1"/>
  <c r="G4066" i="1"/>
  <c r="F4066" i="1"/>
  <c r="N4065" i="1"/>
  <c r="H4065" i="1"/>
  <c r="G4065" i="1"/>
  <c r="F4065" i="1"/>
  <c r="N4064" i="1"/>
  <c r="H4064" i="1"/>
  <c r="G4064" i="1"/>
  <c r="F4064" i="1"/>
  <c r="N4063" i="1"/>
  <c r="H4063" i="1"/>
  <c r="G4063" i="1"/>
  <c r="F4063" i="1"/>
  <c r="N4062" i="1"/>
  <c r="H4062" i="1"/>
  <c r="G4062" i="1"/>
  <c r="F4062" i="1"/>
  <c r="N4061" i="1"/>
  <c r="H4061" i="1"/>
  <c r="G4061" i="1"/>
  <c r="F4061" i="1"/>
  <c r="N4060" i="1"/>
  <c r="H4060" i="1"/>
  <c r="G4060" i="1"/>
  <c r="F4060" i="1"/>
  <c r="N4059" i="1"/>
  <c r="H4059" i="1"/>
  <c r="G4059" i="1"/>
  <c r="F4059" i="1"/>
  <c r="N4058" i="1"/>
  <c r="H4058" i="1"/>
  <c r="G4058" i="1"/>
  <c r="F4058" i="1"/>
  <c r="N4057" i="1"/>
  <c r="H4057" i="1"/>
  <c r="G4057" i="1"/>
  <c r="F4057" i="1"/>
  <c r="N4056" i="1"/>
  <c r="H4056" i="1"/>
  <c r="G4056" i="1"/>
  <c r="F4056" i="1"/>
  <c r="N4055" i="1"/>
  <c r="H4055" i="1"/>
  <c r="G4055" i="1"/>
  <c r="F4055" i="1"/>
  <c r="N4054" i="1"/>
  <c r="H4054" i="1"/>
  <c r="G4054" i="1"/>
  <c r="F4054" i="1"/>
  <c r="N4053" i="1"/>
  <c r="H4053" i="1"/>
  <c r="G4053" i="1"/>
  <c r="F4053" i="1"/>
  <c r="N4052" i="1"/>
  <c r="H4052" i="1"/>
  <c r="G4052" i="1"/>
  <c r="F4052" i="1"/>
  <c r="N4051" i="1"/>
  <c r="H4051" i="1"/>
  <c r="G4051" i="1"/>
  <c r="F4051" i="1"/>
  <c r="N4050" i="1"/>
  <c r="H4050" i="1"/>
  <c r="G4050" i="1"/>
  <c r="F4050" i="1"/>
  <c r="N4049" i="1"/>
  <c r="H4049" i="1"/>
  <c r="G4049" i="1"/>
  <c r="F4049" i="1"/>
  <c r="N4048" i="1"/>
  <c r="H4048" i="1"/>
  <c r="G4048" i="1"/>
  <c r="F4048" i="1"/>
  <c r="N4047" i="1"/>
  <c r="H4047" i="1"/>
  <c r="G4047" i="1"/>
  <c r="F4047" i="1"/>
  <c r="N4046" i="1"/>
  <c r="H4046" i="1"/>
  <c r="G4046" i="1"/>
  <c r="F4046" i="1"/>
  <c r="N4045" i="1"/>
  <c r="H4045" i="1"/>
  <c r="G4045" i="1"/>
  <c r="F4045" i="1"/>
  <c r="N4044" i="1"/>
  <c r="H4044" i="1"/>
  <c r="G4044" i="1"/>
  <c r="F4044" i="1"/>
  <c r="N4043" i="1"/>
  <c r="H4043" i="1"/>
  <c r="G4043" i="1"/>
  <c r="F4043" i="1"/>
  <c r="N4042" i="1"/>
  <c r="H4042" i="1"/>
  <c r="G4042" i="1"/>
  <c r="F4042" i="1"/>
  <c r="N4041" i="1"/>
  <c r="H4041" i="1"/>
  <c r="G4041" i="1"/>
  <c r="F4041" i="1"/>
  <c r="N4040" i="1"/>
  <c r="H4040" i="1"/>
  <c r="G4040" i="1"/>
  <c r="F4040" i="1"/>
  <c r="N4039" i="1"/>
  <c r="H4039" i="1"/>
  <c r="G4039" i="1"/>
  <c r="F4039" i="1"/>
  <c r="N4038" i="1"/>
  <c r="H4038" i="1"/>
  <c r="G4038" i="1"/>
  <c r="F4038" i="1"/>
  <c r="N4037" i="1"/>
  <c r="H4037" i="1"/>
  <c r="G4037" i="1"/>
  <c r="F4037" i="1"/>
  <c r="N4036" i="1"/>
  <c r="H4036" i="1"/>
  <c r="G4036" i="1"/>
  <c r="F4036" i="1"/>
  <c r="N4035" i="1"/>
  <c r="H4035" i="1"/>
  <c r="G4035" i="1"/>
  <c r="F4035" i="1"/>
  <c r="N4034" i="1"/>
  <c r="H4034" i="1"/>
  <c r="G4034" i="1"/>
  <c r="F4034" i="1"/>
  <c r="N4033" i="1"/>
  <c r="H4033" i="1"/>
  <c r="G4033" i="1"/>
  <c r="F4033" i="1"/>
  <c r="N4032" i="1"/>
  <c r="H4032" i="1"/>
  <c r="G4032" i="1"/>
  <c r="F4032" i="1"/>
  <c r="N4031" i="1"/>
  <c r="H4031" i="1"/>
  <c r="G4031" i="1"/>
  <c r="F4031" i="1"/>
  <c r="N4030" i="1"/>
  <c r="H4030" i="1"/>
  <c r="G4030" i="1"/>
  <c r="F4030" i="1"/>
  <c r="N4029" i="1"/>
  <c r="H4029" i="1"/>
  <c r="G4029" i="1"/>
  <c r="F4029" i="1"/>
  <c r="N4028" i="1"/>
  <c r="H4028" i="1"/>
  <c r="G4028" i="1"/>
  <c r="F4028" i="1"/>
  <c r="N4027" i="1"/>
  <c r="H4027" i="1"/>
  <c r="G4027" i="1"/>
  <c r="F4027" i="1"/>
  <c r="N4026" i="1"/>
  <c r="H4026" i="1"/>
  <c r="G4026" i="1"/>
  <c r="F4026" i="1"/>
  <c r="N4025" i="1"/>
  <c r="H4025" i="1"/>
  <c r="G4025" i="1"/>
  <c r="F4025" i="1"/>
  <c r="N4024" i="1"/>
  <c r="H4024" i="1"/>
  <c r="G4024" i="1"/>
  <c r="F4024" i="1"/>
  <c r="N4023" i="1"/>
  <c r="H4023" i="1"/>
  <c r="G4023" i="1"/>
  <c r="F4023" i="1"/>
  <c r="N4022" i="1"/>
  <c r="H4022" i="1"/>
  <c r="G4022" i="1"/>
  <c r="F4022" i="1"/>
  <c r="N4021" i="1"/>
  <c r="H4021" i="1"/>
  <c r="G4021" i="1"/>
  <c r="F4021" i="1"/>
  <c r="N4020" i="1"/>
  <c r="H4020" i="1"/>
  <c r="G4020" i="1"/>
  <c r="F4020" i="1"/>
  <c r="N4019" i="1"/>
  <c r="H4019" i="1"/>
  <c r="G4019" i="1"/>
  <c r="F4019" i="1"/>
  <c r="N4018" i="1"/>
  <c r="H4018" i="1"/>
  <c r="G4018" i="1"/>
  <c r="F4018" i="1"/>
  <c r="N4017" i="1"/>
  <c r="H4017" i="1"/>
  <c r="G4017" i="1"/>
  <c r="F4017" i="1"/>
  <c r="N4016" i="1"/>
  <c r="H4016" i="1"/>
  <c r="G4016" i="1"/>
  <c r="F4016" i="1"/>
  <c r="N4015" i="1"/>
  <c r="H4015" i="1"/>
  <c r="G4015" i="1"/>
  <c r="F4015" i="1"/>
  <c r="N4014" i="1"/>
  <c r="H4014" i="1"/>
  <c r="G4014" i="1"/>
  <c r="F4014" i="1"/>
  <c r="N4013" i="1"/>
  <c r="H4013" i="1"/>
  <c r="G4013" i="1"/>
  <c r="F4013" i="1"/>
  <c r="N4012" i="1"/>
  <c r="H4012" i="1"/>
  <c r="G4012" i="1"/>
  <c r="F4012" i="1"/>
  <c r="N4011" i="1"/>
  <c r="H4011" i="1"/>
  <c r="G4011" i="1"/>
  <c r="F4011" i="1"/>
  <c r="N4010" i="1"/>
  <c r="H4010" i="1"/>
  <c r="G4010" i="1"/>
  <c r="F4010" i="1"/>
  <c r="N4009" i="1"/>
  <c r="H4009" i="1"/>
  <c r="G4009" i="1"/>
  <c r="F4009" i="1"/>
  <c r="N4008" i="1"/>
  <c r="H4008" i="1"/>
  <c r="G4008" i="1"/>
  <c r="F4008" i="1"/>
  <c r="N4007" i="1"/>
  <c r="H4007" i="1"/>
  <c r="G4007" i="1"/>
  <c r="F4007" i="1"/>
  <c r="N4006" i="1"/>
  <c r="H4006" i="1"/>
  <c r="G4006" i="1"/>
  <c r="F4006" i="1"/>
  <c r="N4005" i="1"/>
  <c r="H4005" i="1"/>
  <c r="G4005" i="1"/>
  <c r="F4005" i="1"/>
  <c r="N4004" i="1"/>
  <c r="H4004" i="1"/>
  <c r="G4004" i="1"/>
  <c r="F4004" i="1"/>
  <c r="N4003" i="1"/>
  <c r="H4003" i="1"/>
  <c r="G4003" i="1"/>
  <c r="F4003" i="1"/>
  <c r="N4002" i="1"/>
  <c r="H4002" i="1"/>
  <c r="G4002" i="1"/>
  <c r="F4002" i="1"/>
  <c r="N4001" i="1"/>
  <c r="H4001" i="1"/>
  <c r="G4001" i="1"/>
  <c r="F4001" i="1"/>
  <c r="N4000" i="1"/>
  <c r="H4000" i="1"/>
  <c r="G4000" i="1"/>
  <c r="F4000" i="1"/>
  <c r="N3999" i="1"/>
  <c r="H3999" i="1"/>
  <c r="G3999" i="1"/>
  <c r="F3999" i="1"/>
  <c r="N3998" i="1"/>
  <c r="H3998" i="1"/>
  <c r="G3998" i="1"/>
  <c r="F3998" i="1"/>
  <c r="N3997" i="1"/>
  <c r="H3997" i="1"/>
  <c r="G3997" i="1"/>
  <c r="F3997" i="1"/>
  <c r="N3996" i="1"/>
  <c r="H3996" i="1"/>
  <c r="G3996" i="1"/>
  <c r="F3996" i="1"/>
  <c r="N3995" i="1"/>
  <c r="H3995" i="1"/>
  <c r="G3995" i="1"/>
  <c r="F3995" i="1"/>
  <c r="N3994" i="1"/>
  <c r="H3994" i="1"/>
  <c r="G3994" i="1"/>
  <c r="F3994" i="1"/>
  <c r="N3993" i="1"/>
  <c r="H3993" i="1"/>
  <c r="G3993" i="1"/>
  <c r="F3993" i="1"/>
  <c r="N3992" i="1"/>
  <c r="H3992" i="1"/>
  <c r="G3992" i="1"/>
  <c r="F3992" i="1"/>
  <c r="N3991" i="1"/>
  <c r="H3991" i="1"/>
  <c r="G3991" i="1"/>
  <c r="F3991" i="1"/>
  <c r="N3990" i="1"/>
  <c r="H3990" i="1"/>
  <c r="G3990" i="1"/>
  <c r="F3990" i="1"/>
  <c r="N3668" i="1"/>
  <c r="H3668" i="1"/>
  <c r="G3668" i="1"/>
  <c r="N3667" i="1"/>
  <c r="H3667" i="1"/>
  <c r="G3667" i="1"/>
  <c r="N3666" i="1"/>
  <c r="H3666" i="1"/>
  <c r="G3666" i="1"/>
  <c r="N3665" i="1"/>
  <c r="H3665" i="1"/>
  <c r="G3665" i="1"/>
  <c r="N3664" i="1"/>
  <c r="H3664" i="1"/>
  <c r="G3664" i="1"/>
  <c r="N3663" i="1"/>
  <c r="H3663" i="1"/>
  <c r="G3663" i="1"/>
  <c r="N3662" i="1"/>
  <c r="H3662" i="1"/>
  <c r="G3662" i="1"/>
  <c r="N3661" i="1"/>
  <c r="H3661" i="1"/>
  <c r="G3661" i="1"/>
  <c r="N3660" i="1"/>
  <c r="H3660" i="1"/>
  <c r="G3660" i="1"/>
  <c r="N3659" i="1"/>
  <c r="H3659" i="1"/>
  <c r="G3659" i="1"/>
  <c r="N3658" i="1"/>
  <c r="H3658" i="1"/>
  <c r="G3658" i="1"/>
  <c r="N3657" i="1"/>
  <c r="H3657" i="1"/>
  <c r="G3657" i="1"/>
  <c r="N3656" i="1"/>
  <c r="H3656" i="1"/>
  <c r="G3656" i="1"/>
  <c r="N3655" i="1"/>
  <c r="H3655" i="1"/>
  <c r="G3655" i="1"/>
  <c r="N3654" i="1"/>
  <c r="H3654" i="1"/>
  <c r="G3654" i="1"/>
  <c r="N3653" i="1"/>
  <c r="H3653" i="1"/>
  <c r="G3653" i="1"/>
  <c r="N3652" i="1"/>
  <c r="H3652" i="1"/>
  <c r="G3652" i="1"/>
  <c r="N3651" i="1"/>
  <c r="H3651" i="1"/>
  <c r="G3651" i="1"/>
  <c r="N3650" i="1"/>
  <c r="H3650" i="1"/>
  <c r="G3650" i="1"/>
  <c r="N3649" i="1"/>
  <c r="H3649" i="1"/>
  <c r="G3649" i="1"/>
  <c r="N3648" i="1"/>
  <c r="H3648" i="1"/>
  <c r="G3648" i="1"/>
  <c r="N3647" i="1"/>
  <c r="H3647" i="1"/>
  <c r="G3647" i="1"/>
  <c r="N3646" i="1"/>
  <c r="H3646" i="1"/>
  <c r="G3646" i="1"/>
  <c r="N3645" i="1"/>
  <c r="H3645" i="1"/>
  <c r="G3645" i="1"/>
  <c r="N3644" i="1"/>
  <c r="H3644" i="1"/>
  <c r="G3644" i="1"/>
  <c r="N3643" i="1"/>
  <c r="H3643" i="1"/>
  <c r="G3643" i="1"/>
  <c r="N3642" i="1"/>
  <c r="H3642" i="1"/>
  <c r="G3642" i="1"/>
  <c r="N3641" i="1"/>
  <c r="H3641" i="1"/>
  <c r="G3641" i="1"/>
  <c r="N3640" i="1"/>
  <c r="H3640" i="1"/>
  <c r="G3640" i="1"/>
  <c r="N3639" i="1"/>
  <c r="H3639" i="1"/>
  <c r="G3639" i="1"/>
  <c r="N3638" i="1"/>
  <c r="H3638" i="1"/>
  <c r="G3638" i="1"/>
  <c r="N3637" i="1"/>
  <c r="H3637" i="1"/>
  <c r="G3637" i="1"/>
  <c r="N3636" i="1"/>
  <c r="H3636" i="1"/>
  <c r="G3636" i="1"/>
  <c r="N3635" i="1"/>
  <c r="H3635" i="1"/>
  <c r="G3635" i="1"/>
  <c r="N3634" i="1"/>
  <c r="H3634" i="1"/>
  <c r="G3634" i="1"/>
  <c r="N3633" i="1"/>
  <c r="H3633" i="1"/>
  <c r="G3633" i="1"/>
  <c r="N3632" i="1"/>
  <c r="H3632" i="1"/>
  <c r="G3632" i="1"/>
  <c r="N3631" i="1"/>
  <c r="H3631" i="1"/>
  <c r="G3631" i="1"/>
  <c r="N3630" i="1"/>
  <c r="H3630" i="1"/>
  <c r="G3630" i="1"/>
  <c r="N3629" i="1"/>
  <c r="H3629" i="1"/>
  <c r="G3629" i="1"/>
  <c r="N3628" i="1"/>
  <c r="H3628" i="1"/>
  <c r="G3628" i="1"/>
  <c r="N3627" i="1"/>
  <c r="H3627" i="1"/>
  <c r="G3627" i="1"/>
  <c r="N3626" i="1"/>
  <c r="H3626" i="1"/>
  <c r="G3626" i="1"/>
  <c r="N3625" i="1"/>
  <c r="H3625" i="1"/>
  <c r="G3625" i="1"/>
  <c r="N3624" i="1"/>
  <c r="H3624" i="1"/>
  <c r="G3624" i="1"/>
  <c r="N3623" i="1"/>
  <c r="H3623" i="1"/>
  <c r="G3623" i="1"/>
  <c r="N3622" i="1"/>
  <c r="H3622" i="1"/>
  <c r="G3622" i="1"/>
  <c r="N3621" i="1"/>
  <c r="H3621" i="1"/>
  <c r="G3621" i="1"/>
  <c r="N3620" i="1"/>
  <c r="H3620" i="1"/>
  <c r="G3620" i="1"/>
  <c r="N3619" i="1"/>
  <c r="H3619" i="1"/>
  <c r="G3619" i="1"/>
  <c r="N3618" i="1"/>
  <c r="H3618" i="1"/>
  <c r="G3618" i="1"/>
  <c r="N3617" i="1"/>
  <c r="H3617" i="1"/>
  <c r="G3617" i="1"/>
  <c r="N3616" i="1"/>
  <c r="H3616" i="1"/>
  <c r="G3616" i="1"/>
  <c r="N3615" i="1"/>
  <c r="H3615" i="1"/>
  <c r="G3615" i="1"/>
  <c r="N3614" i="1"/>
  <c r="H3614" i="1"/>
  <c r="G3614" i="1"/>
  <c r="N3613" i="1"/>
  <c r="H3613" i="1"/>
  <c r="G3613" i="1"/>
  <c r="N3612" i="1"/>
  <c r="H3612" i="1"/>
  <c r="G3612" i="1"/>
  <c r="N3611" i="1"/>
  <c r="H3611" i="1"/>
  <c r="G3611" i="1"/>
  <c r="N3610" i="1"/>
  <c r="H3610" i="1"/>
  <c r="G3610" i="1"/>
  <c r="N3609" i="1"/>
  <c r="H3609" i="1"/>
  <c r="G3609" i="1"/>
  <c r="N3608" i="1"/>
  <c r="H3608" i="1"/>
  <c r="G3608" i="1"/>
  <c r="N3607" i="1"/>
  <c r="H3607" i="1"/>
  <c r="G3607" i="1"/>
  <c r="N3606" i="1"/>
  <c r="H3606" i="1"/>
  <c r="G3606" i="1"/>
  <c r="N3605" i="1"/>
  <c r="H3605" i="1"/>
  <c r="G3605" i="1"/>
  <c r="N3604" i="1"/>
  <c r="H3604" i="1"/>
  <c r="G3604" i="1"/>
  <c r="N3603" i="1"/>
  <c r="H3603" i="1"/>
  <c r="G3603" i="1"/>
  <c r="N3602" i="1"/>
  <c r="H3602" i="1"/>
  <c r="G3602" i="1"/>
  <c r="N3601" i="1"/>
  <c r="H3601" i="1"/>
  <c r="G3601" i="1"/>
  <c r="N3600" i="1"/>
  <c r="H3600" i="1"/>
  <c r="G3600" i="1"/>
  <c r="N3599" i="1"/>
  <c r="H3599" i="1"/>
  <c r="G3599" i="1"/>
  <c r="N3598" i="1"/>
  <c r="H3598" i="1"/>
  <c r="G3598" i="1"/>
  <c r="N3597" i="1"/>
  <c r="H3597" i="1"/>
  <c r="G3597" i="1"/>
  <c r="N3596" i="1"/>
  <c r="H3596" i="1"/>
  <c r="G3596" i="1"/>
  <c r="N3595" i="1"/>
  <c r="H3595" i="1"/>
  <c r="G3595" i="1"/>
  <c r="N3594" i="1"/>
  <c r="H3594" i="1"/>
  <c r="G3594" i="1"/>
  <c r="N3593" i="1"/>
  <c r="H3593" i="1"/>
  <c r="G3593" i="1"/>
  <c r="N3592" i="1"/>
  <c r="H3592" i="1"/>
  <c r="G3592" i="1"/>
  <c r="N3591" i="1"/>
  <c r="H3591" i="1"/>
  <c r="G3591" i="1"/>
  <c r="N3590" i="1"/>
  <c r="H3590" i="1"/>
  <c r="G3590" i="1"/>
  <c r="N3589" i="1"/>
  <c r="H3589" i="1"/>
  <c r="G3589" i="1"/>
  <c r="N3588" i="1"/>
  <c r="H3588" i="1"/>
  <c r="G3588" i="1"/>
  <c r="N3587" i="1"/>
  <c r="H3587" i="1"/>
  <c r="G3587" i="1"/>
  <c r="N3586" i="1"/>
  <c r="H3586" i="1"/>
  <c r="G3586" i="1"/>
  <c r="N3585" i="1"/>
  <c r="H3585" i="1"/>
  <c r="G3585" i="1"/>
  <c r="N3584" i="1"/>
  <c r="H3584" i="1"/>
  <c r="G3584" i="1"/>
  <c r="N3583" i="1"/>
  <c r="H3583" i="1"/>
  <c r="G3583" i="1"/>
  <c r="N3582" i="1"/>
  <c r="H3582" i="1"/>
  <c r="G3582" i="1"/>
  <c r="N3581" i="1"/>
  <c r="H3581" i="1"/>
  <c r="G3581" i="1"/>
  <c r="N3580" i="1"/>
  <c r="H3580" i="1"/>
  <c r="G3580" i="1"/>
  <c r="N3579" i="1"/>
  <c r="H3579" i="1"/>
  <c r="G3579" i="1"/>
  <c r="N3578" i="1"/>
  <c r="H3578" i="1"/>
  <c r="G3578" i="1"/>
  <c r="N3577" i="1"/>
  <c r="H3577" i="1"/>
  <c r="G3577" i="1"/>
  <c r="N3576" i="1"/>
  <c r="H3576" i="1"/>
  <c r="G3576" i="1"/>
  <c r="N3575" i="1"/>
  <c r="H3575" i="1"/>
  <c r="G3575" i="1"/>
  <c r="N3574" i="1"/>
  <c r="H3574" i="1"/>
  <c r="G3574" i="1"/>
  <c r="N3573" i="1"/>
  <c r="H3573" i="1"/>
  <c r="G3573" i="1"/>
  <c r="N3572" i="1"/>
  <c r="H3572" i="1"/>
  <c r="G3572" i="1"/>
  <c r="N3571" i="1"/>
  <c r="H3571" i="1"/>
  <c r="G3571" i="1"/>
  <c r="N3570" i="1"/>
  <c r="H3570" i="1"/>
  <c r="G3570" i="1"/>
  <c r="N3569" i="1"/>
  <c r="H3569" i="1"/>
  <c r="G3569" i="1"/>
  <c r="N3568" i="1"/>
  <c r="H3568" i="1"/>
  <c r="G3568" i="1"/>
  <c r="N3567" i="1"/>
  <c r="H3567" i="1"/>
  <c r="G3567" i="1"/>
  <c r="N3566" i="1"/>
  <c r="H3566" i="1"/>
  <c r="G3566" i="1"/>
  <c r="N3565" i="1"/>
  <c r="H3565" i="1"/>
  <c r="G3565" i="1"/>
  <c r="N3564" i="1"/>
  <c r="H3564" i="1"/>
  <c r="G3564" i="1"/>
  <c r="N3563" i="1"/>
  <c r="H3563" i="1"/>
  <c r="G3563" i="1"/>
  <c r="N3562" i="1"/>
  <c r="H3562" i="1"/>
  <c r="G3562" i="1"/>
  <c r="N3561" i="1"/>
  <c r="H3561" i="1"/>
  <c r="G3561" i="1"/>
  <c r="N3560" i="1"/>
  <c r="H3560" i="1"/>
  <c r="G3560" i="1"/>
  <c r="N3559" i="1"/>
  <c r="H3559" i="1"/>
  <c r="G3559" i="1"/>
  <c r="N3558" i="1"/>
  <c r="H3558" i="1"/>
  <c r="G3558" i="1"/>
  <c r="N3557" i="1"/>
  <c r="H3557" i="1"/>
  <c r="G3557" i="1"/>
  <c r="N3556" i="1"/>
  <c r="H3556" i="1"/>
  <c r="G3556" i="1"/>
  <c r="N3555" i="1"/>
  <c r="H3555" i="1"/>
  <c r="G3555" i="1"/>
  <c r="N3554" i="1"/>
  <c r="H3554" i="1"/>
  <c r="G3554" i="1"/>
  <c r="N3553" i="1"/>
  <c r="H3553" i="1"/>
  <c r="G3553" i="1"/>
  <c r="N3552" i="1"/>
  <c r="H3552" i="1"/>
  <c r="G3552" i="1"/>
  <c r="N3551" i="1"/>
  <c r="H3551" i="1"/>
  <c r="G3551" i="1"/>
  <c r="N3550" i="1"/>
  <c r="H3550" i="1"/>
  <c r="G3550" i="1"/>
  <c r="N3549" i="1"/>
  <c r="H3549" i="1"/>
  <c r="G3549" i="1"/>
  <c r="N3548" i="1"/>
  <c r="H3548" i="1"/>
  <c r="G3548" i="1"/>
  <c r="N3547" i="1"/>
  <c r="H3547" i="1"/>
  <c r="G3547" i="1"/>
  <c r="N3546" i="1"/>
  <c r="H3546" i="1"/>
  <c r="G3546" i="1"/>
  <c r="N3545" i="1"/>
  <c r="H3545" i="1"/>
  <c r="G3545" i="1"/>
  <c r="N3544" i="1"/>
  <c r="H3544" i="1"/>
  <c r="G3544" i="1"/>
  <c r="N3543" i="1"/>
  <c r="H3543" i="1"/>
  <c r="G3543" i="1"/>
  <c r="N3542" i="1"/>
  <c r="H3542" i="1"/>
  <c r="G3542" i="1"/>
  <c r="N3541" i="1"/>
  <c r="H3541" i="1"/>
  <c r="G3541" i="1"/>
  <c r="N3540" i="1"/>
  <c r="H3540" i="1"/>
  <c r="G3540" i="1"/>
  <c r="N3539" i="1"/>
  <c r="H3539" i="1"/>
  <c r="G3539" i="1"/>
  <c r="N3538" i="1"/>
  <c r="H3538" i="1"/>
  <c r="G3538" i="1"/>
  <c r="N3537" i="1"/>
  <c r="H3537" i="1"/>
  <c r="G3537" i="1"/>
  <c r="N3536" i="1"/>
  <c r="H3536" i="1"/>
  <c r="G3536" i="1"/>
  <c r="N3535" i="1"/>
  <c r="H3535" i="1"/>
  <c r="G3535" i="1"/>
  <c r="N3534" i="1"/>
  <c r="H3534" i="1"/>
  <c r="G3534" i="1"/>
  <c r="N3533" i="1"/>
  <c r="H3533" i="1"/>
  <c r="G3533" i="1"/>
  <c r="N3532" i="1"/>
  <c r="H3532" i="1"/>
  <c r="G3532" i="1"/>
  <c r="N3531" i="1"/>
  <c r="H3531" i="1"/>
  <c r="G3531" i="1"/>
  <c r="N3530" i="1"/>
  <c r="H3530" i="1"/>
  <c r="G3530" i="1"/>
  <c r="N3529" i="1"/>
  <c r="H3529" i="1"/>
  <c r="G3529" i="1"/>
  <c r="N3528" i="1"/>
  <c r="H3528" i="1"/>
  <c r="G3528" i="1"/>
  <c r="N3527" i="1"/>
  <c r="H3527" i="1"/>
  <c r="G3527" i="1"/>
  <c r="N3526" i="1"/>
  <c r="H3526" i="1"/>
  <c r="G3526" i="1"/>
  <c r="N3525" i="1"/>
  <c r="H3525" i="1"/>
  <c r="G3525" i="1"/>
  <c r="N3524" i="1"/>
  <c r="H3524" i="1"/>
  <c r="G3524" i="1"/>
  <c r="N3523" i="1"/>
  <c r="H3523" i="1"/>
  <c r="G3523" i="1"/>
  <c r="N3522" i="1"/>
  <c r="H3522" i="1"/>
  <c r="G3522" i="1"/>
  <c r="N3521" i="1"/>
  <c r="H3521" i="1"/>
  <c r="G3521" i="1"/>
  <c r="N3520" i="1"/>
  <c r="H3520" i="1"/>
  <c r="G3520" i="1"/>
  <c r="N3519" i="1"/>
  <c r="H3519" i="1"/>
  <c r="G3519" i="1"/>
  <c r="N3518" i="1"/>
  <c r="H3518" i="1"/>
  <c r="G3518" i="1"/>
  <c r="N3517" i="1"/>
  <c r="H3517" i="1"/>
  <c r="G3517" i="1"/>
  <c r="N3516" i="1"/>
  <c r="H3516" i="1"/>
  <c r="G3516" i="1"/>
  <c r="N3515" i="1"/>
  <c r="H3515" i="1"/>
  <c r="G3515" i="1"/>
  <c r="N3514" i="1"/>
  <c r="H3514" i="1"/>
  <c r="G3514" i="1"/>
  <c r="N3513" i="1"/>
  <c r="H3513" i="1"/>
  <c r="G3513" i="1"/>
  <c r="N3512" i="1"/>
  <c r="H3512" i="1"/>
  <c r="G3512" i="1"/>
  <c r="N3511" i="1"/>
  <c r="H3511" i="1"/>
  <c r="G3511" i="1"/>
  <c r="N3510" i="1"/>
  <c r="H3510" i="1"/>
  <c r="G3510" i="1"/>
  <c r="N3509" i="1"/>
  <c r="H3509" i="1"/>
  <c r="G3509" i="1"/>
  <c r="N3508" i="1"/>
  <c r="H3508" i="1"/>
  <c r="G3508" i="1"/>
  <c r="N3507" i="1"/>
  <c r="H3507" i="1"/>
  <c r="G3507" i="1"/>
  <c r="N3506" i="1"/>
  <c r="H3506" i="1"/>
  <c r="G3506" i="1"/>
  <c r="N3505" i="1"/>
  <c r="H3505" i="1"/>
  <c r="G3505" i="1"/>
  <c r="N3504" i="1"/>
  <c r="H3504" i="1"/>
  <c r="G3504" i="1"/>
  <c r="N3503" i="1"/>
  <c r="H3503" i="1"/>
  <c r="G3503" i="1"/>
  <c r="N3502" i="1"/>
  <c r="H3502" i="1"/>
  <c r="G3502" i="1"/>
  <c r="N3501" i="1"/>
  <c r="H3501" i="1"/>
  <c r="G3501" i="1"/>
  <c r="N3500" i="1"/>
  <c r="H3500" i="1"/>
  <c r="G3500" i="1"/>
  <c r="N3499" i="1"/>
  <c r="H3499" i="1"/>
  <c r="G3499" i="1"/>
  <c r="N3498" i="1"/>
  <c r="H3498" i="1"/>
  <c r="G3498" i="1"/>
  <c r="N3497" i="1"/>
  <c r="H3497" i="1"/>
  <c r="G3497" i="1"/>
  <c r="N3496" i="1"/>
  <c r="H3496" i="1"/>
  <c r="G3496" i="1"/>
  <c r="N3495" i="1"/>
  <c r="H3495" i="1"/>
  <c r="G3495" i="1"/>
  <c r="N3494" i="1"/>
  <c r="H3494" i="1"/>
  <c r="G3494" i="1"/>
  <c r="N3493" i="1"/>
  <c r="H3493" i="1"/>
  <c r="G3493" i="1"/>
  <c r="N3492" i="1"/>
  <c r="H3492" i="1"/>
  <c r="G3492" i="1"/>
  <c r="N3491" i="1"/>
  <c r="H3491" i="1"/>
  <c r="G3491" i="1"/>
  <c r="N3490" i="1"/>
  <c r="H3490" i="1"/>
  <c r="G3490" i="1"/>
  <c r="N3489" i="1"/>
  <c r="H3489" i="1"/>
  <c r="G3489" i="1"/>
  <c r="N3488" i="1"/>
  <c r="H3488" i="1"/>
  <c r="G3488" i="1"/>
  <c r="N3487" i="1"/>
  <c r="H3487" i="1"/>
  <c r="G3487" i="1"/>
  <c r="N3486" i="1"/>
  <c r="H3486" i="1"/>
  <c r="G3486" i="1"/>
  <c r="N3485" i="1"/>
  <c r="H3485" i="1"/>
  <c r="G3485" i="1"/>
  <c r="N3484" i="1"/>
  <c r="H3484" i="1"/>
  <c r="G3484" i="1"/>
  <c r="N3483" i="1"/>
  <c r="H3483" i="1"/>
  <c r="G3483" i="1"/>
  <c r="N3482" i="1"/>
  <c r="H3482" i="1"/>
  <c r="G3482" i="1"/>
  <c r="N3481" i="1"/>
  <c r="H3481" i="1"/>
  <c r="G3481" i="1"/>
  <c r="N3480" i="1"/>
  <c r="H3480" i="1"/>
  <c r="G3480" i="1"/>
  <c r="N3479" i="1"/>
  <c r="H3479" i="1"/>
  <c r="G3479" i="1"/>
  <c r="N3478" i="1"/>
  <c r="H3478" i="1"/>
  <c r="G3478" i="1"/>
  <c r="N3477" i="1"/>
  <c r="H3477" i="1"/>
  <c r="G3477" i="1"/>
  <c r="N3476" i="1"/>
  <c r="H3476" i="1"/>
  <c r="G3476" i="1"/>
  <c r="N3475" i="1"/>
  <c r="H3475" i="1"/>
  <c r="G3475" i="1"/>
  <c r="N3474" i="1"/>
  <c r="H3474" i="1"/>
  <c r="G3474" i="1"/>
  <c r="N3473" i="1"/>
  <c r="H3473" i="1"/>
  <c r="G3473" i="1"/>
  <c r="N3472" i="1"/>
  <c r="H3472" i="1"/>
  <c r="G3472" i="1"/>
  <c r="N3471" i="1"/>
  <c r="H3471" i="1"/>
  <c r="G3471" i="1"/>
  <c r="N3470" i="1"/>
  <c r="H3470" i="1"/>
  <c r="G3470" i="1"/>
  <c r="N3469" i="1"/>
  <c r="H3469" i="1"/>
  <c r="G3469" i="1"/>
  <c r="N3468" i="1"/>
  <c r="H3468" i="1"/>
  <c r="G3468" i="1"/>
  <c r="N3467" i="1"/>
  <c r="H3467" i="1"/>
  <c r="G3467" i="1"/>
  <c r="N3466" i="1"/>
  <c r="H3466" i="1"/>
  <c r="G3466" i="1"/>
  <c r="N3465" i="1"/>
  <c r="H3465" i="1"/>
  <c r="G3465" i="1"/>
  <c r="N3464" i="1"/>
  <c r="H3464" i="1"/>
  <c r="G3464" i="1"/>
  <c r="N3463" i="1"/>
  <c r="H3463" i="1"/>
  <c r="G3463" i="1"/>
  <c r="N3462" i="1"/>
  <c r="H3462" i="1"/>
  <c r="G3462" i="1"/>
  <c r="N3461" i="1"/>
  <c r="H3461" i="1"/>
  <c r="G3461" i="1"/>
  <c r="N3460" i="1"/>
  <c r="H3460" i="1"/>
  <c r="G3460" i="1"/>
  <c r="N3459" i="1"/>
  <c r="H3459" i="1"/>
  <c r="G3459" i="1"/>
  <c r="N3458" i="1"/>
  <c r="H3458" i="1"/>
  <c r="G3458" i="1"/>
  <c r="N3457" i="1"/>
  <c r="H3457" i="1"/>
  <c r="G3457" i="1"/>
  <c r="N3456" i="1"/>
  <c r="H3456" i="1"/>
  <c r="G3456" i="1"/>
  <c r="N3455" i="1"/>
  <c r="H3455" i="1"/>
  <c r="G3455" i="1"/>
  <c r="N3454" i="1"/>
  <c r="H3454" i="1"/>
  <c r="G3454" i="1"/>
  <c r="N3453" i="1"/>
  <c r="H3453" i="1"/>
  <c r="G3453" i="1"/>
  <c r="N3452" i="1"/>
  <c r="H3452" i="1"/>
  <c r="G3452" i="1"/>
  <c r="N3451" i="1"/>
  <c r="H3451" i="1"/>
  <c r="G3451" i="1"/>
  <c r="N3450" i="1"/>
  <c r="H3450" i="1"/>
  <c r="G3450" i="1"/>
  <c r="N3449" i="1"/>
  <c r="H3449" i="1"/>
  <c r="G3449" i="1"/>
  <c r="N3448" i="1"/>
  <c r="H3448" i="1"/>
  <c r="G3448" i="1"/>
  <c r="N3447" i="1"/>
  <c r="H3447" i="1"/>
  <c r="G3447" i="1"/>
  <c r="N3446" i="1"/>
  <c r="H3446" i="1"/>
  <c r="G3446" i="1"/>
  <c r="N3445" i="1"/>
  <c r="H3445" i="1"/>
  <c r="G3445" i="1"/>
  <c r="N3444" i="1"/>
  <c r="H3444" i="1"/>
  <c r="G3444" i="1"/>
  <c r="N3443" i="1"/>
  <c r="H3443" i="1"/>
  <c r="G3443" i="1"/>
  <c r="N3442" i="1"/>
  <c r="H3442" i="1"/>
  <c r="G3442" i="1"/>
  <c r="N3441" i="1"/>
  <c r="H3441" i="1"/>
  <c r="G3441" i="1"/>
  <c r="N3440" i="1"/>
  <c r="H3440" i="1"/>
  <c r="G3440" i="1"/>
  <c r="N3439" i="1"/>
  <c r="H3439" i="1"/>
  <c r="G3439" i="1"/>
  <c r="N3438" i="1"/>
  <c r="H3438" i="1"/>
  <c r="G3438" i="1"/>
  <c r="N3437" i="1"/>
  <c r="H3437" i="1"/>
  <c r="G3437" i="1"/>
  <c r="N3436" i="1"/>
  <c r="H3436" i="1"/>
  <c r="G3436" i="1"/>
  <c r="N3435" i="1"/>
  <c r="H3435" i="1"/>
  <c r="G3435" i="1"/>
  <c r="N3434" i="1"/>
  <c r="H3434" i="1"/>
  <c r="G3434" i="1"/>
  <c r="N3433" i="1"/>
  <c r="H3433" i="1"/>
  <c r="G3433" i="1"/>
  <c r="N3432" i="1"/>
  <c r="H3432" i="1"/>
  <c r="G3432" i="1"/>
  <c r="N3431" i="1"/>
  <c r="H3431" i="1"/>
  <c r="G3431" i="1"/>
  <c r="N3430" i="1"/>
  <c r="H3430" i="1"/>
  <c r="G3430" i="1"/>
  <c r="N3429" i="1"/>
  <c r="H3429" i="1"/>
  <c r="G3429" i="1"/>
  <c r="N3428" i="1"/>
  <c r="H3428" i="1"/>
  <c r="G3428" i="1"/>
  <c r="N3427" i="1"/>
  <c r="H3427" i="1"/>
  <c r="G3427" i="1"/>
  <c r="N3426" i="1"/>
  <c r="H3426" i="1"/>
  <c r="G3426" i="1"/>
  <c r="N3425" i="1"/>
  <c r="H3425" i="1"/>
  <c r="G3425" i="1"/>
  <c r="N3424" i="1"/>
  <c r="H3424" i="1"/>
  <c r="G3424" i="1"/>
  <c r="N3423" i="1"/>
  <c r="H3423" i="1"/>
  <c r="G3423" i="1"/>
  <c r="N3422" i="1"/>
  <c r="H3422" i="1"/>
  <c r="G3422" i="1"/>
  <c r="N3421" i="1"/>
  <c r="H3421" i="1"/>
  <c r="G3421" i="1"/>
  <c r="N3420" i="1"/>
  <c r="H3420" i="1"/>
  <c r="G3420" i="1"/>
  <c r="N3419" i="1"/>
  <c r="H3419" i="1"/>
  <c r="G3419" i="1"/>
  <c r="N3418" i="1"/>
  <c r="H3418" i="1"/>
  <c r="G3418" i="1"/>
  <c r="N3417" i="1"/>
  <c r="H3417" i="1"/>
  <c r="G3417" i="1"/>
  <c r="N3416" i="1"/>
  <c r="H3416" i="1"/>
  <c r="G3416" i="1"/>
  <c r="N3415" i="1"/>
  <c r="H3415" i="1"/>
  <c r="G3415" i="1"/>
  <c r="N3414" i="1"/>
  <c r="H3414" i="1"/>
  <c r="G3414" i="1"/>
  <c r="N3413" i="1"/>
  <c r="H3413" i="1"/>
  <c r="G3413" i="1"/>
  <c r="N3412" i="1"/>
  <c r="H3412" i="1"/>
  <c r="G3412" i="1"/>
  <c r="N3411" i="1"/>
  <c r="H3411" i="1"/>
  <c r="G3411" i="1"/>
  <c r="N3410" i="1"/>
  <c r="H3410" i="1"/>
  <c r="G3410" i="1"/>
  <c r="N3409" i="1"/>
  <c r="H3409" i="1"/>
  <c r="G3409" i="1"/>
  <c r="N3408" i="1"/>
  <c r="H3408" i="1"/>
  <c r="G3408" i="1"/>
  <c r="N3407" i="1"/>
  <c r="H3407" i="1"/>
  <c r="G3407" i="1"/>
  <c r="N3406" i="1"/>
  <c r="H3406" i="1"/>
  <c r="G3406" i="1"/>
  <c r="N3405" i="1"/>
  <c r="H3405" i="1"/>
  <c r="G3405" i="1"/>
  <c r="N3404" i="1"/>
  <c r="H3404" i="1"/>
  <c r="G3404" i="1"/>
  <c r="N3403" i="1"/>
  <c r="H3403" i="1"/>
  <c r="G3403" i="1"/>
  <c r="N3402" i="1"/>
  <c r="H3402" i="1"/>
  <c r="G3402" i="1"/>
  <c r="N3401" i="1"/>
  <c r="H3401" i="1"/>
  <c r="G3401" i="1"/>
  <c r="N3400" i="1"/>
  <c r="H3400" i="1"/>
  <c r="G3400" i="1"/>
  <c r="N3399" i="1"/>
  <c r="H3399" i="1"/>
  <c r="G3399" i="1"/>
  <c r="N3398" i="1"/>
  <c r="H3398" i="1"/>
  <c r="G3398" i="1"/>
  <c r="N3397" i="1"/>
  <c r="H3397" i="1"/>
  <c r="G3397" i="1"/>
  <c r="N3396" i="1"/>
  <c r="H3396" i="1"/>
  <c r="G3396" i="1"/>
  <c r="N3395" i="1"/>
  <c r="H3395" i="1"/>
  <c r="G3395" i="1"/>
  <c r="F3395" i="1"/>
  <c r="N3394" i="1"/>
  <c r="H3394" i="1"/>
  <c r="G3394" i="1"/>
  <c r="F3394" i="1"/>
  <c r="N3393" i="1"/>
  <c r="H3393" i="1"/>
  <c r="G3393" i="1"/>
  <c r="F3393" i="1"/>
  <c r="N3392" i="1"/>
  <c r="H3392" i="1"/>
  <c r="G3392" i="1"/>
  <c r="F3392" i="1"/>
  <c r="N3391" i="1"/>
  <c r="H3391" i="1"/>
  <c r="G3391" i="1"/>
  <c r="F3391" i="1"/>
  <c r="N3390" i="1"/>
  <c r="H3390" i="1"/>
  <c r="G3390" i="1"/>
  <c r="F3390" i="1"/>
  <c r="N3389" i="1"/>
  <c r="H3389" i="1"/>
  <c r="G3389" i="1"/>
  <c r="F3389" i="1"/>
  <c r="N3388" i="1"/>
  <c r="H3388" i="1"/>
  <c r="G3388" i="1"/>
  <c r="F3388" i="1"/>
  <c r="N3387" i="1"/>
  <c r="H3387" i="1"/>
  <c r="G3387" i="1"/>
  <c r="F3387" i="1"/>
  <c r="N3386" i="1"/>
  <c r="H3386" i="1"/>
  <c r="G3386" i="1"/>
  <c r="F3386" i="1"/>
  <c r="N3385" i="1"/>
  <c r="H3385" i="1"/>
  <c r="G3385" i="1"/>
  <c r="F3385" i="1"/>
  <c r="N3384" i="1"/>
  <c r="H3384" i="1"/>
  <c r="G3384" i="1"/>
  <c r="F3384" i="1"/>
  <c r="N3383" i="1"/>
  <c r="H3383" i="1"/>
  <c r="G3383" i="1"/>
  <c r="F3383" i="1"/>
  <c r="N3382" i="1"/>
  <c r="H3382" i="1"/>
  <c r="G3382" i="1"/>
  <c r="F3382" i="1"/>
  <c r="N3381" i="1"/>
  <c r="H3381" i="1"/>
  <c r="G3381" i="1"/>
  <c r="F3381" i="1"/>
  <c r="N3380" i="1"/>
  <c r="H3380" i="1"/>
  <c r="G3380" i="1"/>
  <c r="F3380" i="1"/>
  <c r="N3379" i="1"/>
  <c r="H3379" i="1"/>
  <c r="G3379" i="1"/>
  <c r="F3379" i="1"/>
  <c r="N3378" i="1"/>
  <c r="H3378" i="1"/>
  <c r="G3378" i="1"/>
  <c r="F3378" i="1"/>
  <c r="N3377" i="1"/>
  <c r="H3377" i="1"/>
  <c r="G3377" i="1"/>
  <c r="F3377" i="1"/>
  <c r="N3376" i="1"/>
  <c r="H3376" i="1"/>
  <c r="G3376" i="1"/>
  <c r="F3376" i="1"/>
  <c r="N3375" i="1"/>
  <c r="H3375" i="1"/>
  <c r="G3375" i="1"/>
  <c r="F3375" i="1"/>
  <c r="N3374" i="1"/>
  <c r="H3374" i="1"/>
  <c r="G3374" i="1"/>
  <c r="F3374" i="1"/>
  <c r="N3373" i="1"/>
  <c r="H3373" i="1"/>
  <c r="G3373" i="1"/>
  <c r="F3373" i="1"/>
  <c r="N3372" i="1"/>
  <c r="H3372" i="1"/>
  <c r="G3372" i="1"/>
  <c r="F3372" i="1"/>
  <c r="N3371" i="1"/>
  <c r="H3371" i="1"/>
  <c r="G3371" i="1"/>
  <c r="F3371" i="1"/>
  <c r="N3370" i="1"/>
  <c r="H3370" i="1"/>
  <c r="G3370" i="1"/>
  <c r="F3370" i="1"/>
  <c r="N3369" i="1"/>
  <c r="H3369" i="1"/>
  <c r="G3369" i="1"/>
  <c r="F3369" i="1"/>
  <c r="N3368" i="1"/>
  <c r="H3368" i="1"/>
  <c r="G3368" i="1"/>
  <c r="F3368" i="1"/>
  <c r="N3367" i="1"/>
  <c r="H3367" i="1"/>
  <c r="G3367" i="1"/>
  <c r="F3367" i="1"/>
  <c r="N3366" i="1"/>
  <c r="H3366" i="1"/>
  <c r="G3366" i="1"/>
  <c r="F3366" i="1"/>
  <c r="N3365" i="1"/>
  <c r="H3365" i="1"/>
  <c r="G3365" i="1"/>
  <c r="F3365" i="1"/>
  <c r="N3364" i="1"/>
  <c r="H3364" i="1"/>
  <c r="G3364" i="1"/>
  <c r="F3364" i="1"/>
  <c r="N3363" i="1"/>
  <c r="H3363" i="1"/>
  <c r="G3363" i="1"/>
  <c r="F3363" i="1"/>
  <c r="N3362" i="1"/>
  <c r="H3362" i="1"/>
  <c r="G3362" i="1"/>
  <c r="F3362" i="1"/>
  <c r="N3361" i="1"/>
  <c r="H3361" i="1"/>
  <c r="G3361" i="1"/>
  <c r="F3361" i="1"/>
  <c r="N3360" i="1"/>
  <c r="H3360" i="1"/>
  <c r="G3360" i="1"/>
  <c r="F3360" i="1"/>
  <c r="N3359" i="1"/>
  <c r="H3359" i="1"/>
  <c r="G3359" i="1"/>
  <c r="F3359" i="1"/>
  <c r="N3358" i="1"/>
  <c r="H3358" i="1"/>
  <c r="G3358" i="1"/>
  <c r="F3358" i="1"/>
  <c r="N3357" i="1"/>
  <c r="H3357" i="1"/>
  <c r="G3357" i="1"/>
  <c r="F3357" i="1"/>
  <c r="N3356" i="1"/>
  <c r="H3356" i="1"/>
  <c r="G3356" i="1"/>
  <c r="F3356" i="1"/>
  <c r="N3355" i="1"/>
  <c r="H3355" i="1"/>
  <c r="G3355" i="1"/>
  <c r="F3355" i="1"/>
  <c r="N3354" i="1"/>
  <c r="H3354" i="1"/>
  <c r="G3354" i="1"/>
  <c r="F3354" i="1"/>
  <c r="N3353" i="1"/>
  <c r="H3353" i="1"/>
  <c r="G3353" i="1"/>
  <c r="F3353" i="1"/>
  <c r="N3352" i="1"/>
  <c r="H3352" i="1"/>
  <c r="G3352" i="1"/>
  <c r="F3352" i="1"/>
  <c r="N3351" i="1"/>
  <c r="H3351" i="1"/>
  <c r="G3351" i="1"/>
  <c r="F3351" i="1"/>
  <c r="N3350" i="1"/>
  <c r="H3350" i="1"/>
  <c r="G3350" i="1"/>
  <c r="F3350" i="1"/>
  <c r="N3349" i="1"/>
  <c r="H3349" i="1"/>
  <c r="G3349" i="1"/>
  <c r="F3349" i="1"/>
  <c r="N3348" i="1"/>
  <c r="H3348" i="1"/>
  <c r="G3348" i="1"/>
  <c r="F3348" i="1"/>
  <c r="N3347" i="1"/>
  <c r="H3347" i="1"/>
  <c r="G3347" i="1"/>
  <c r="F3347" i="1"/>
  <c r="N3346" i="1"/>
  <c r="H3346" i="1"/>
  <c r="G3346" i="1"/>
  <c r="F3346" i="1"/>
  <c r="N3345" i="1"/>
  <c r="H3345" i="1"/>
  <c r="G3345" i="1"/>
  <c r="F3345" i="1"/>
  <c r="N3344" i="1"/>
  <c r="H3344" i="1"/>
  <c r="G3344" i="1"/>
  <c r="F3344" i="1"/>
  <c r="N3343" i="1"/>
  <c r="H3343" i="1"/>
  <c r="G3343" i="1"/>
  <c r="F3343" i="1"/>
  <c r="N3342" i="1"/>
  <c r="H3342" i="1"/>
  <c r="G3342" i="1"/>
  <c r="F3342" i="1"/>
  <c r="N3341" i="1"/>
  <c r="H3341" i="1"/>
  <c r="G3341" i="1"/>
  <c r="F3341" i="1"/>
  <c r="N3340" i="1"/>
  <c r="H3340" i="1"/>
  <c r="G3340" i="1"/>
  <c r="F3340" i="1"/>
  <c r="N3339" i="1"/>
  <c r="H3339" i="1"/>
  <c r="G3339" i="1"/>
  <c r="F3339" i="1"/>
  <c r="N3338" i="1"/>
  <c r="H3338" i="1"/>
  <c r="G3338" i="1"/>
  <c r="F3338" i="1"/>
  <c r="N3337" i="1"/>
  <c r="H3337" i="1"/>
  <c r="G3337" i="1"/>
  <c r="F3337" i="1"/>
  <c r="N3336" i="1"/>
  <c r="H3336" i="1"/>
  <c r="G3336" i="1"/>
  <c r="F3336" i="1"/>
  <c r="N3335" i="1"/>
  <c r="H3335" i="1"/>
  <c r="G3335" i="1"/>
  <c r="F3335" i="1"/>
  <c r="N3334" i="1"/>
  <c r="H3334" i="1"/>
  <c r="G3334" i="1"/>
  <c r="F3334" i="1"/>
  <c r="N3333" i="1"/>
  <c r="H3333" i="1"/>
  <c r="G3333" i="1"/>
  <c r="F3333" i="1"/>
  <c r="N3332" i="1"/>
  <c r="H3332" i="1"/>
  <c r="G3332" i="1"/>
  <c r="F3332" i="1"/>
  <c r="N3331" i="1"/>
  <c r="H3331" i="1"/>
  <c r="G3331" i="1"/>
  <c r="F3331" i="1"/>
  <c r="N3330" i="1"/>
  <c r="H3330" i="1"/>
  <c r="G3330" i="1"/>
  <c r="F3330" i="1"/>
  <c r="N3329" i="1"/>
  <c r="H3329" i="1"/>
  <c r="G3329" i="1"/>
  <c r="F3329" i="1"/>
  <c r="N3328" i="1"/>
  <c r="H3328" i="1"/>
  <c r="G3328" i="1"/>
  <c r="F3328" i="1"/>
  <c r="N3327" i="1"/>
  <c r="H3327" i="1"/>
  <c r="G3327" i="1"/>
  <c r="F3327" i="1"/>
  <c r="N3326" i="1"/>
  <c r="H3326" i="1"/>
  <c r="G3326" i="1"/>
  <c r="F3326" i="1"/>
  <c r="N3325" i="1"/>
  <c r="H3325" i="1"/>
  <c r="G3325" i="1"/>
  <c r="F3325" i="1"/>
  <c r="N3324" i="1"/>
  <c r="H3324" i="1"/>
  <c r="G3324" i="1"/>
  <c r="F3324" i="1"/>
  <c r="N3323" i="1"/>
  <c r="H3323" i="1"/>
  <c r="G3323" i="1"/>
  <c r="F3323" i="1"/>
  <c r="N3322" i="1"/>
  <c r="H3322" i="1"/>
  <c r="G3322" i="1"/>
  <c r="F3322" i="1"/>
  <c r="N3321" i="1"/>
  <c r="H3321" i="1"/>
  <c r="G3321" i="1"/>
  <c r="F3321" i="1"/>
  <c r="N3320" i="1"/>
  <c r="H3320" i="1"/>
  <c r="G3320" i="1"/>
  <c r="F3320" i="1"/>
  <c r="N3319" i="1"/>
  <c r="H3319" i="1"/>
  <c r="G3319" i="1"/>
  <c r="F3319" i="1"/>
  <c r="N3318" i="1"/>
  <c r="H3318" i="1"/>
  <c r="G3318" i="1"/>
  <c r="F3318" i="1"/>
  <c r="N3317" i="1"/>
  <c r="H3317" i="1"/>
  <c r="G3317" i="1"/>
  <c r="F3317" i="1"/>
  <c r="N3316" i="1"/>
  <c r="H3316" i="1"/>
  <c r="G3316" i="1"/>
  <c r="F3316" i="1"/>
  <c r="N3315" i="1"/>
  <c r="H3315" i="1"/>
  <c r="G3315" i="1"/>
  <c r="F3315" i="1"/>
  <c r="N3314" i="1"/>
  <c r="H3314" i="1"/>
  <c r="G3314" i="1"/>
  <c r="F3314" i="1"/>
  <c r="N3313" i="1"/>
  <c r="H3313" i="1"/>
  <c r="G3313" i="1"/>
  <c r="F3313" i="1"/>
  <c r="N3312" i="1"/>
  <c r="H3312" i="1"/>
  <c r="G3312" i="1"/>
  <c r="F3312" i="1"/>
  <c r="N3311" i="1"/>
  <c r="H3311" i="1"/>
  <c r="G3311" i="1"/>
  <c r="F3311" i="1"/>
  <c r="N3310" i="1"/>
  <c r="H3310" i="1"/>
  <c r="G3310" i="1"/>
  <c r="F3310" i="1"/>
  <c r="N3309" i="1"/>
  <c r="H3309" i="1"/>
  <c r="G3309" i="1"/>
  <c r="F3309" i="1"/>
  <c r="N3308" i="1"/>
  <c r="H3308" i="1"/>
  <c r="G3308" i="1"/>
  <c r="F3308" i="1"/>
  <c r="N3307" i="1"/>
  <c r="H3307" i="1"/>
  <c r="G3307" i="1"/>
  <c r="F3307" i="1"/>
  <c r="N3306" i="1"/>
  <c r="H3306" i="1"/>
  <c r="G3306" i="1"/>
  <c r="F3306" i="1"/>
  <c r="N3305" i="1"/>
  <c r="H3305" i="1"/>
  <c r="G3305" i="1"/>
  <c r="F3305" i="1"/>
  <c r="N3304" i="1"/>
  <c r="H3304" i="1"/>
  <c r="G3304" i="1"/>
  <c r="F3304" i="1"/>
  <c r="N3303" i="1"/>
  <c r="H3303" i="1"/>
  <c r="G3303" i="1"/>
  <c r="F3303" i="1"/>
  <c r="N3302" i="1"/>
  <c r="H3302" i="1"/>
  <c r="G3302" i="1"/>
  <c r="F3302" i="1"/>
  <c r="N3301" i="1"/>
  <c r="H3301" i="1"/>
  <c r="G3301" i="1"/>
  <c r="F3301" i="1"/>
  <c r="N3300" i="1"/>
  <c r="H3300" i="1"/>
  <c r="G3300" i="1"/>
  <c r="F3300" i="1"/>
  <c r="N3299" i="1"/>
  <c r="H3299" i="1"/>
  <c r="G3299" i="1"/>
  <c r="F3299" i="1"/>
  <c r="N3298" i="1"/>
  <c r="H3298" i="1"/>
  <c r="G3298" i="1"/>
  <c r="F3298" i="1"/>
  <c r="N3297" i="1"/>
  <c r="H3297" i="1"/>
  <c r="G3297" i="1"/>
  <c r="F3297" i="1"/>
  <c r="N3296" i="1"/>
  <c r="H3296" i="1"/>
  <c r="G3296" i="1"/>
  <c r="F3296" i="1"/>
  <c r="N3295" i="1"/>
  <c r="H3295" i="1"/>
  <c r="G3295" i="1"/>
  <c r="F3295" i="1"/>
  <c r="N3294" i="1"/>
  <c r="H3294" i="1"/>
  <c r="G3294" i="1"/>
  <c r="F3294" i="1"/>
  <c r="N3293" i="1"/>
  <c r="H3293" i="1"/>
  <c r="G3293" i="1"/>
  <c r="F3293" i="1"/>
  <c r="N3292" i="1"/>
  <c r="H3292" i="1"/>
  <c r="G3292" i="1"/>
  <c r="F3292" i="1"/>
  <c r="N3291" i="1"/>
  <c r="H3291" i="1"/>
  <c r="G3291" i="1"/>
  <c r="F3291" i="1"/>
  <c r="N3290" i="1"/>
  <c r="H3290" i="1"/>
  <c r="G3290" i="1"/>
  <c r="F3290" i="1"/>
  <c r="N3289" i="1"/>
  <c r="H3289" i="1"/>
  <c r="G3289" i="1"/>
  <c r="F3289" i="1"/>
  <c r="N3288" i="1"/>
  <c r="H3288" i="1"/>
  <c r="G3288" i="1"/>
  <c r="F3288" i="1"/>
  <c r="N3287" i="1"/>
  <c r="H3287" i="1"/>
  <c r="G3287" i="1"/>
  <c r="F3287" i="1"/>
  <c r="N3286" i="1"/>
  <c r="H3286" i="1"/>
  <c r="G3286" i="1"/>
  <c r="F3286" i="1"/>
  <c r="N3285" i="1"/>
  <c r="H3285" i="1"/>
  <c r="G3285" i="1"/>
  <c r="F3285" i="1"/>
  <c r="N3284" i="1"/>
  <c r="H3284" i="1"/>
  <c r="G3284" i="1"/>
  <c r="F3284" i="1"/>
  <c r="N3283" i="1"/>
  <c r="H3283" i="1"/>
  <c r="G3283" i="1"/>
  <c r="F3283" i="1"/>
  <c r="N3282" i="1"/>
  <c r="H3282" i="1"/>
  <c r="G3282" i="1"/>
  <c r="F3282" i="1"/>
  <c r="N3281" i="1"/>
  <c r="H3281" i="1"/>
  <c r="G3281" i="1"/>
  <c r="F3281" i="1"/>
  <c r="N3280" i="1"/>
  <c r="H3280" i="1"/>
  <c r="G3280" i="1"/>
  <c r="F3280" i="1"/>
  <c r="N3279" i="1"/>
  <c r="H3279" i="1"/>
  <c r="G3279" i="1"/>
  <c r="F3279" i="1"/>
  <c r="N3278" i="1"/>
  <c r="H3278" i="1"/>
  <c r="G3278" i="1"/>
  <c r="F3278" i="1"/>
  <c r="N3277" i="1"/>
  <c r="H3277" i="1"/>
  <c r="G3277" i="1"/>
  <c r="F3277" i="1"/>
  <c r="N3276" i="1"/>
  <c r="H3276" i="1"/>
  <c r="G3276" i="1"/>
  <c r="F3276" i="1"/>
  <c r="N3275" i="1"/>
  <c r="H3275" i="1"/>
  <c r="G3275" i="1"/>
  <c r="F3275" i="1"/>
  <c r="N3274" i="1"/>
  <c r="H3274" i="1"/>
  <c r="G3274" i="1"/>
  <c r="F3274" i="1"/>
  <c r="N3273" i="1"/>
  <c r="H3273" i="1"/>
  <c r="G3273" i="1"/>
  <c r="F3273" i="1"/>
  <c r="N3272" i="1"/>
  <c r="H3272" i="1"/>
  <c r="G3272" i="1"/>
  <c r="F3272" i="1"/>
  <c r="N3271" i="1"/>
  <c r="H3271" i="1"/>
  <c r="G3271" i="1"/>
  <c r="F3271" i="1"/>
  <c r="N3270" i="1"/>
  <c r="H3270" i="1"/>
  <c r="G3270" i="1"/>
  <c r="F3270" i="1"/>
  <c r="N3269" i="1"/>
  <c r="H3269" i="1"/>
  <c r="G3269" i="1"/>
  <c r="F3269" i="1"/>
  <c r="N3268" i="1"/>
  <c r="H3268" i="1"/>
  <c r="G3268" i="1"/>
  <c r="F3268" i="1"/>
  <c r="N3267" i="1"/>
  <c r="H3267" i="1"/>
  <c r="G3267" i="1"/>
  <c r="F3267" i="1"/>
  <c r="N3266" i="1"/>
  <c r="H3266" i="1"/>
  <c r="G3266" i="1"/>
  <c r="F3266" i="1"/>
  <c r="N3265" i="1"/>
  <c r="H3265" i="1"/>
  <c r="G3265" i="1"/>
  <c r="F3265" i="1"/>
  <c r="N3264" i="1"/>
  <c r="H3264" i="1"/>
  <c r="G3264" i="1"/>
  <c r="F3264" i="1"/>
  <c r="N3263" i="1"/>
  <c r="H3263" i="1"/>
  <c r="G3263" i="1"/>
  <c r="F3263" i="1"/>
  <c r="N3262" i="1"/>
  <c r="H3262" i="1"/>
  <c r="G3262" i="1"/>
  <c r="F3262" i="1"/>
  <c r="N3261" i="1"/>
  <c r="H3261" i="1"/>
  <c r="G3261" i="1"/>
  <c r="F3261" i="1"/>
  <c r="N3260" i="1"/>
  <c r="H3260" i="1"/>
  <c r="G3260" i="1"/>
  <c r="F3260" i="1"/>
  <c r="N3259" i="1"/>
  <c r="H3259" i="1"/>
  <c r="G3259" i="1"/>
  <c r="F3259" i="1"/>
  <c r="N3258" i="1"/>
  <c r="H3258" i="1"/>
  <c r="G3258" i="1"/>
  <c r="F3258" i="1"/>
  <c r="N3257" i="1"/>
  <c r="H3257" i="1"/>
  <c r="G3257" i="1"/>
  <c r="F3257" i="1"/>
  <c r="N3256" i="1"/>
  <c r="H3256" i="1"/>
  <c r="G3256" i="1"/>
  <c r="F3256" i="1"/>
  <c r="N3255" i="1"/>
  <c r="H3255" i="1"/>
  <c r="G3255" i="1"/>
  <c r="F3255" i="1"/>
  <c r="N3254" i="1"/>
  <c r="H3254" i="1"/>
  <c r="G3254" i="1"/>
  <c r="F3254" i="1"/>
  <c r="N3253" i="1"/>
  <c r="H3253" i="1"/>
  <c r="G3253" i="1"/>
  <c r="F3253" i="1"/>
  <c r="N3252" i="1"/>
  <c r="H3252" i="1"/>
  <c r="G3252" i="1"/>
  <c r="F3252" i="1"/>
  <c r="N3251" i="1"/>
  <c r="H3251" i="1"/>
  <c r="G3251" i="1"/>
  <c r="F3251" i="1"/>
  <c r="N3250" i="1"/>
  <c r="H3250" i="1"/>
  <c r="G3250" i="1"/>
  <c r="F3250" i="1"/>
  <c r="N3249" i="1"/>
  <c r="H3249" i="1"/>
  <c r="G3249" i="1"/>
  <c r="F3249" i="1"/>
  <c r="N3248" i="1"/>
  <c r="H3248" i="1"/>
  <c r="G3248" i="1"/>
  <c r="F3248" i="1"/>
  <c r="N3247" i="1"/>
  <c r="H3247" i="1"/>
  <c r="G3247" i="1"/>
  <c r="F3247" i="1"/>
  <c r="N3246" i="1"/>
  <c r="H3246" i="1"/>
  <c r="G3246" i="1"/>
  <c r="F3246" i="1"/>
  <c r="N3245" i="1"/>
  <c r="H3245" i="1"/>
  <c r="G3245" i="1"/>
  <c r="F3245" i="1"/>
  <c r="N3244" i="1"/>
  <c r="H3244" i="1"/>
  <c r="G3244" i="1"/>
  <c r="F3244" i="1"/>
  <c r="N3243" i="1"/>
  <c r="H3243" i="1"/>
  <c r="G3243" i="1"/>
  <c r="F3243" i="1"/>
  <c r="N3242" i="1"/>
  <c r="H3242" i="1"/>
  <c r="G3242" i="1"/>
  <c r="F3242" i="1"/>
  <c r="N3241" i="1"/>
  <c r="H3241" i="1"/>
  <c r="G3241" i="1"/>
  <c r="F3241" i="1"/>
  <c r="N3240" i="1"/>
  <c r="H3240" i="1"/>
  <c r="G3240" i="1"/>
  <c r="F3240" i="1"/>
  <c r="N3239" i="1"/>
  <c r="H3239" i="1"/>
  <c r="G3239" i="1"/>
  <c r="F3239" i="1"/>
  <c r="N3238" i="1"/>
  <c r="H3238" i="1"/>
  <c r="G3238" i="1"/>
  <c r="F3238" i="1"/>
  <c r="N3237" i="1"/>
  <c r="H3237" i="1"/>
  <c r="G3237" i="1"/>
  <c r="F3237" i="1"/>
  <c r="N3236" i="1"/>
  <c r="H3236" i="1"/>
  <c r="G3236" i="1"/>
  <c r="F3236" i="1"/>
  <c r="N3235" i="1"/>
  <c r="H3235" i="1"/>
  <c r="G3235" i="1"/>
  <c r="F3235" i="1"/>
  <c r="N3234" i="1"/>
  <c r="H3234" i="1"/>
  <c r="G3234" i="1"/>
  <c r="F3234" i="1"/>
  <c r="N3233" i="1"/>
  <c r="H3233" i="1"/>
  <c r="G3233" i="1"/>
  <c r="F3233" i="1"/>
  <c r="N3232" i="1"/>
  <c r="H3232" i="1"/>
  <c r="G3232" i="1"/>
  <c r="F3232" i="1"/>
  <c r="N3231" i="1"/>
  <c r="H3231" i="1"/>
  <c r="G3231" i="1"/>
  <c r="F3231" i="1"/>
  <c r="N3230" i="1"/>
  <c r="H3230" i="1"/>
  <c r="G3230" i="1"/>
  <c r="F3230" i="1"/>
  <c r="N3229" i="1"/>
  <c r="H3229" i="1"/>
  <c r="G3229" i="1"/>
  <c r="F3229" i="1"/>
  <c r="N3228" i="1"/>
  <c r="H3228" i="1"/>
  <c r="G3228" i="1"/>
  <c r="F3228" i="1"/>
  <c r="N3227" i="1"/>
  <c r="H3227" i="1"/>
  <c r="G3227" i="1"/>
  <c r="F3227" i="1"/>
  <c r="N3226" i="1"/>
  <c r="H3226" i="1"/>
  <c r="G3226" i="1"/>
  <c r="F3226" i="1"/>
  <c r="N3225" i="1"/>
  <c r="H3225" i="1"/>
  <c r="G3225" i="1"/>
  <c r="F3225" i="1"/>
  <c r="N3224" i="1"/>
  <c r="H3224" i="1"/>
  <c r="G3224" i="1"/>
  <c r="F3224" i="1"/>
  <c r="N3223" i="1"/>
  <c r="H3223" i="1"/>
  <c r="G3223" i="1"/>
  <c r="F3223" i="1"/>
  <c r="N3222" i="1"/>
  <c r="H3222" i="1"/>
  <c r="G3222" i="1"/>
  <c r="F3222" i="1"/>
  <c r="N3221" i="1"/>
  <c r="H3221" i="1"/>
  <c r="G3221" i="1"/>
  <c r="F3221" i="1"/>
  <c r="N3220" i="1"/>
  <c r="H3220" i="1"/>
  <c r="G3220" i="1"/>
  <c r="F3220" i="1"/>
  <c r="N3219" i="1"/>
  <c r="H3219" i="1"/>
  <c r="G3219" i="1"/>
  <c r="F3219" i="1"/>
  <c r="N3218" i="1"/>
  <c r="H3218" i="1"/>
  <c r="G3218" i="1"/>
  <c r="F3218" i="1"/>
  <c r="N3217" i="1"/>
  <c r="H3217" i="1"/>
  <c r="G3217" i="1"/>
  <c r="F3217" i="1"/>
  <c r="N3216" i="1"/>
  <c r="H3216" i="1"/>
  <c r="G3216" i="1"/>
  <c r="F3216" i="1"/>
  <c r="N3215" i="1"/>
  <c r="H3215" i="1"/>
  <c r="G3215" i="1"/>
  <c r="F3215" i="1"/>
  <c r="N3214" i="1"/>
  <c r="H3214" i="1"/>
  <c r="G3214" i="1"/>
  <c r="F3214" i="1"/>
  <c r="N3213" i="1"/>
  <c r="H3213" i="1"/>
  <c r="G3213" i="1"/>
  <c r="F3213" i="1"/>
  <c r="N3212" i="1"/>
  <c r="H3212" i="1"/>
  <c r="G3212" i="1"/>
  <c r="F3212" i="1"/>
  <c r="N3211" i="1"/>
  <c r="H3211" i="1"/>
  <c r="G3211" i="1"/>
  <c r="F3211" i="1"/>
  <c r="N3210" i="1"/>
  <c r="H3210" i="1"/>
  <c r="G3210" i="1"/>
  <c r="F3210" i="1"/>
  <c r="N3209" i="1"/>
  <c r="H3209" i="1"/>
  <c r="G3209" i="1"/>
  <c r="F3209" i="1"/>
  <c r="N3208" i="1"/>
  <c r="H3208" i="1"/>
  <c r="G3208" i="1"/>
  <c r="F3208" i="1"/>
  <c r="N3207" i="1"/>
  <c r="H3207" i="1"/>
  <c r="G3207" i="1"/>
  <c r="F3207" i="1"/>
  <c r="N3206" i="1"/>
  <c r="H3206" i="1"/>
  <c r="G3206" i="1"/>
  <c r="F3206" i="1"/>
  <c r="N3205" i="1"/>
  <c r="H3205" i="1"/>
  <c r="G3205" i="1"/>
  <c r="F3205" i="1"/>
  <c r="N3204" i="1"/>
  <c r="H3204" i="1"/>
  <c r="G3204" i="1"/>
  <c r="F3204" i="1"/>
  <c r="N3203" i="1"/>
  <c r="H3203" i="1"/>
  <c r="G3203" i="1"/>
  <c r="F3203" i="1"/>
  <c r="N3202" i="1"/>
  <c r="H3202" i="1"/>
  <c r="G3202" i="1"/>
  <c r="F3202" i="1"/>
  <c r="N3201" i="1"/>
  <c r="H3201" i="1"/>
  <c r="G3201" i="1"/>
  <c r="F3201" i="1"/>
  <c r="N3200" i="1"/>
  <c r="H3200" i="1"/>
  <c r="G3200" i="1"/>
  <c r="F3200" i="1"/>
  <c r="N3199" i="1"/>
  <c r="H3199" i="1"/>
  <c r="G3199" i="1"/>
  <c r="F3199" i="1"/>
  <c r="N3198" i="1"/>
  <c r="H3198" i="1"/>
  <c r="G3198" i="1"/>
  <c r="F3198" i="1"/>
  <c r="N3197" i="1"/>
  <c r="H3197" i="1"/>
  <c r="G3197" i="1"/>
  <c r="F3197" i="1"/>
  <c r="N3196" i="1"/>
  <c r="H3196" i="1"/>
  <c r="G3196" i="1"/>
  <c r="F3196" i="1"/>
  <c r="N3195" i="1"/>
  <c r="H3195" i="1"/>
  <c r="G3195" i="1"/>
  <c r="F3195" i="1"/>
  <c r="N3194" i="1"/>
  <c r="H3194" i="1"/>
  <c r="G3194" i="1"/>
  <c r="F3194" i="1"/>
  <c r="N3193" i="1"/>
  <c r="H3193" i="1"/>
  <c r="G3193" i="1"/>
  <c r="F3193" i="1"/>
  <c r="N3192" i="1"/>
  <c r="H3192" i="1"/>
  <c r="G3192" i="1"/>
  <c r="F3192" i="1"/>
  <c r="N3191" i="1"/>
  <c r="H3191" i="1"/>
  <c r="G3191" i="1"/>
  <c r="F3191" i="1"/>
  <c r="N3190" i="1"/>
  <c r="H3190" i="1"/>
  <c r="G3190" i="1"/>
  <c r="F3190" i="1"/>
  <c r="N3189" i="1"/>
  <c r="H3189" i="1"/>
  <c r="G3189" i="1"/>
  <c r="F3189" i="1"/>
  <c r="N3188" i="1"/>
  <c r="H3188" i="1"/>
  <c r="G3188" i="1"/>
  <c r="F3188" i="1"/>
  <c r="N3187" i="1"/>
  <c r="H3187" i="1"/>
  <c r="G3187" i="1"/>
  <c r="F3187" i="1"/>
  <c r="N3186" i="1"/>
  <c r="H3186" i="1"/>
  <c r="G3186" i="1"/>
  <c r="F3186" i="1"/>
  <c r="N3185" i="1"/>
  <c r="H3185" i="1"/>
  <c r="G3185" i="1"/>
  <c r="F3185" i="1"/>
  <c r="N3184" i="1"/>
  <c r="H3184" i="1"/>
  <c r="G3184" i="1"/>
  <c r="F3184" i="1"/>
  <c r="N3183" i="1"/>
  <c r="H3183" i="1"/>
  <c r="G3183" i="1"/>
  <c r="F3183" i="1"/>
  <c r="N3182" i="1"/>
  <c r="H3182" i="1"/>
  <c r="G3182" i="1"/>
  <c r="F3182" i="1"/>
  <c r="N3181" i="1"/>
  <c r="H3181" i="1"/>
  <c r="G3181" i="1"/>
  <c r="F3181" i="1"/>
  <c r="N3180" i="1"/>
  <c r="H3180" i="1"/>
  <c r="G3180" i="1"/>
  <c r="F3180" i="1"/>
  <c r="N3179" i="1"/>
  <c r="H3179" i="1"/>
  <c r="G3179" i="1"/>
  <c r="F3179" i="1"/>
  <c r="N3178" i="1"/>
  <c r="H3178" i="1"/>
  <c r="G3178" i="1"/>
  <c r="F3178" i="1"/>
  <c r="N3177" i="1"/>
  <c r="H3177" i="1"/>
  <c r="G3177" i="1"/>
  <c r="F3177" i="1"/>
  <c r="N3176" i="1"/>
  <c r="H3176" i="1"/>
  <c r="G3176" i="1"/>
  <c r="F3176" i="1"/>
  <c r="N3175" i="1"/>
  <c r="H3175" i="1"/>
  <c r="G3175" i="1"/>
  <c r="F3175" i="1"/>
  <c r="N3174" i="1"/>
  <c r="H3174" i="1"/>
  <c r="G3174" i="1"/>
  <c r="F3174" i="1"/>
  <c r="N3173" i="1"/>
  <c r="H3173" i="1"/>
  <c r="G3173" i="1"/>
  <c r="F3173" i="1"/>
  <c r="N3172" i="1"/>
  <c r="H3172" i="1"/>
  <c r="G3172" i="1"/>
  <c r="F3172" i="1"/>
  <c r="N3171" i="1"/>
  <c r="H3171" i="1"/>
  <c r="G3171" i="1"/>
  <c r="F3171" i="1"/>
  <c r="N3170" i="1"/>
  <c r="H3170" i="1"/>
  <c r="G3170" i="1"/>
  <c r="F3170" i="1"/>
  <c r="N3169" i="1"/>
  <c r="H3169" i="1"/>
  <c r="G3169" i="1"/>
  <c r="F3169" i="1"/>
  <c r="N3168" i="1"/>
  <c r="H3168" i="1"/>
  <c r="G3168" i="1"/>
  <c r="F3168" i="1"/>
  <c r="N3167" i="1"/>
  <c r="H3167" i="1"/>
  <c r="G3167" i="1"/>
  <c r="F3167" i="1"/>
  <c r="N3166" i="1"/>
  <c r="H3166" i="1"/>
  <c r="G3166" i="1"/>
  <c r="F3166" i="1"/>
  <c r="N3165" i="1"/>
  <c r="H3165" i="1"/>
  <c r="G3165" i="1"/>
  <c r="F3165" i="1"/>
  <c r="N3164" i="1"/>
  <c r="H3164" i="1"/>
  <c r="G3164" i="1"/>
  <c r="F3164" i="1"/>
  <c r="N3163" i="1"/>
  <c r="H3163" i="1"/>
  <c r="G3163" i="1"/>
  <c r="F3163" i="1"/>
  <c r="N3162" i="1"/>
  <c r="H3162" i="1"/>
  <c r="G3162" i="1"/>
  <c r="F3162" i="1"/>
  <c r="N3161" i="1"/>
  <c r="H3161" i="1"/>
  <c r="G3161" i="1"/>
  <c r="F3161" i="1"/>
  <c r="N3160" i="1"/>
  <c r="H3160" i="1"/>
  <c r="G3160" i="1"/>
  <c r="F3160" i="1"/>
  <c r="N3159" i="1"/>
  <c r="H3159" i="1"/>
  <c r="G3159" i="1"/>
  <c r="F3159" i="1"/>
  <c r="N3158" i="1"/>
  <c r="H3158" i="1"/>
  <c r="G3158" i="1"/>
  <c r="F3158" i="1"/>
  <c r="N3157" i="1"/>
  <c r="H3157" i="1"/>
  <c r="G3157" i="1"/>
  <c r="F3157" i="1"/>
  <c r="N3156" i="1"/>
  <c r="H3156" i="1"/>
  <c r="G3156" i="1"/>
  <c r="F3156" i="1"/>
  <c r="N3155" i="1"/>
  <c r="H3155" i="1"/>
  <c r="G3155" i="1"/>
  <c r="F3155" i="1"/>
  <c r="N3154" i="1"/>
  <c r="H3154" i="1"/>
  <c r="G3154" i="1"/>
  <c r="F3154" i="1"/>
  <c r="N3153" i="1"/>
  <c r="H3153" i="1"/>
  <c r="G3153" i="1"/>
  <c r="F3153" i="1"/>
  <c r="N3152" i="1"/>
  <c r="H3152" i="1"/>
  <c r="G3152" i="1"/>
  <c r="F3152" i="1"/>
  <c r="N3151" i="1"/>
  <c r="H3151" i="1"/>
  <c r="G3151" i="1"/>
  <c r="F3151" i="1"/>
  <c r="N3150" i="1"/>
  <c r="H3150" i="1"/>
  <c r="G3150" i="1"/>
  <c r="F3150" i="1"/>
  <c r="N3149" i="1"/>
  <c r="H3149" i="1"/>
  <c r="G3149" i="1"/>
  <c r="F3149" i="1"/>
  <c r="N3148" i="1"/>
  <c r="H3148" i="1"/>
  <c r="G3148" i="1"/>
  <c r="F3148" i="1"/>
  <c r="N3147" i="1"/>
  <c r="H3147" i="1"/>
  <c r="G3147" i="1"/>
  <c r="F3147" i="1"/>
  <c r="N3146" i="1"/>
  <c r="H3146" i="1"/>
  <c r="G3146" i="1"/>
  <c r="F3146" i="1"/>
  <c r="N3145" i="1"/>
  <c r="H3145" i="1"/>
  <c r="G3145" i="1"/>
  <c r="F3145" i="1"/>
  <c r="N3144" i="1"/>
  <c r="H3144" i="1"/>
  <c r="G3144" i="1"/>
  <c r="F3144" i="1"/>
  <c r="N3143" i="1"/>
  <c r="H3143" i="1"/>
  <c r="G3143" i="1"/>
  <c r="F3143" i="1"/>
  <c r="N3142" i="1"/>
  <c r="H3142" i="1"/>
  <c r="G3142" i="1"/>
  <c r="F3142" i="1"/>
  <c r="N3141" i="1"/>
  <c r="H3141" i="1"/>
  <c r="G3141" i="1"/>
  <c r="F3141" i="1"/>
  <c r="N3140" i="1"/>
  <c r="H3140" i="1"/>
  <c r="G3140" i="1"/>
  <c r="F3140" i="1"/>
  <c r="N3139" i="1"/>
  <c r="H3139" i="1"/>
  <c r="G3139" i="1"/>
  <c r="F3139" i="1"/>
  <c r="N3138" i="1"/>
  <c r="H3138" i="1"/>
  <c r="G3138" i="1"/>
  <c r="F3138" i="1"/>
  <c r="N3137" i="1"/>
  <c r="H3137" i="1"/>
  <c r="G3137" i="1"/>
  <c r="F3137" i="1"/>
  <c r="N3136" i="1"/>
  <c r="H3136" i="1"/>
  <c r="G3136" i="1"/>
  <c r="F3136" i="1"/>
  <c r="N3135" i="1"/>
  <c r="H3135" i="1"/>
  <c r="G3135" i="1"/>
  <c r="F3135" i="1"/>
  <c r="N3134" i="1"/>
  <c r="H3134" i="1"/>
  <c r="G3134" i="1"/>
  <c r="F3134" i="1"/>
  <c r="N3133" i="1"/>
  <c r="H3133" i="1"/>
  <c r="G3133" i="1"/>
  <c r="F3133" i="1"/>
  <c r="N3132" i="1"/>
  <c r="H3132" i="1"/>
  <c r="G3132" i="1"/>
  <c r="F3132" i="1"/>
  <c r="N3131" i="1"/>
  <c r="H3131" i="1"/>
  <c r="G3131" i="1"/>
  <c r="F3131" i="1"/>
  <c r="N3130" i="1"/>
  <c r="H3130" i="1"/>
  <c r="G3130" i="1"/>
  <c r="F3130" i="1"/>
  <c r="N3129" i="1"/>
  <c r="H3129" i="1"/>
  <c r="G3129" i="1"/>
  <c r="F3129" i="1"/>
  <c r="N3128" i="1"/>
  <c r="H3128" i="1"/>
  <c r="G3128" i="1"/>
  <c r="F3128" i="1"/>
  <c r="N3127" i="1"/>
  <c r="H3127" i="1"/>
  <c r="G3127" i="1"/>
  <c r="F3127" i="1"/>
  <c r="N3126" i="1"/>
  <c r="H3126" i="1"/>
  <c r="G3126" i="1"/>
  <c r="F3126" i="1"/>
  <c r="N3125" i="1"/>
  <c r="H3125" i="1"/>
  <c r="G3125" i="1"/>
  <c r="F3125" i="1"/>
  <c r="N3124" i="1"/>
  <c r="H3124" i="1"/>
  <c r="G3124" i="1"/>
  <c r="F3124" i="1"/>
  <c r="N3123" i="1"/>
  <c r="H3123" i="1"/>
  <c r="G3123" i="1"/>
  <c r="F3123" i="1"/>
  <c r="N3122" i="1"/>
  <c r="H3122" i="1"/>
  <c r="G3122" i="1"/>
  <c r="F3122" i="1"/>
  <c r="N3121" i="1"/>
  <c r="H3121" i="1"/>
  <c r="G3121" i="1"/>
  <c r="F3121" i="1"/>
  <c r="N3120" i="1"/>
  <c r="H3120" i="1"/>
  <c r="G3120" i="1"/>
  <c r="F3120" i="1"/>
  <c r="N3119" i="1"/>
  <c r="H3119" i="1"/>
  <c r="G3119" i="1"/>
  <c r="F3119" i="1"/>
  <c r="N3118" i="1"/>
  <c r="H3118" i="1"/>
  <c r="G3118" i="1"/>
  <c r="F3118" i="1"/>
  <c r="N3117" i="1"/>
  <c r="H3117" i="1"/>
  <c r="G3117" i="1"/>
  <c r="F3117" i="1"/>
  <c r="N3116" i="1"/>
  <c r="H3116" i="1"/>
  <c r="G3116" i="1"/>
  <c r="F3116" i="1"/>
  <c r="N3115" i="1"/>
  <c r="H3115" i="1"/>
  <c r="G3115" i="1"/>
  <c r="F3115" i="1"/>
  <c r="N3114" i="1"/>
  <c r="H3114" i="1"/>
  <c r="G3114" i="1"/>
  <c r="F3114" i="1"/>
  <c r="N3113" i="1"/>
  <c r="H3113" i="1"/>
  <c r="G3113" i="1"/>
  <c r="F3113" i="1"/>
  <c r="N3112" i="1"/>
  <c r="H3112" i="1"/>
  <c r="G3112" i="1"/>
  <c r="F3112" i="1"/>
  <c r="N3111" i="1"/>
  <c r="H3111" i="1"/>
  <c r="G3111" i="1"/>
  <c r="F3111" i="1"/>
  <c r="N3110" i="1"/>
  <c r="H3110" i="1"/>
  <c r="G3110" i="1"/>
  <c r="F3110" i="1"/>
  <c r="N3109" i="1"/>
  <c r="H3109" i="1"/>
  <c r="G3109" i="1"/>
  <c r="F3109" i="1"/>
  <c r="N3108" i="1"/>
  <c r="H3108" i="1"/>
  <c r="G3108" i="1"/>
  <c r="F3108" i="1"/>
  <c r="N3107" i="1"/>
  <c r="H3107" i="1"/>
  <c r="G3107" i="1"/>
  <c r="F3107" i="1"/>
  <c r="N3106" i="1"/>
  <c r="H3106" i="1"/>
  <c r="G3106" i="1"/>
  <c r="F3106" i="1"/>
  <c r="N3105" i="1"/>
  <c r="H3105" i="1"/>
  <c r="G3105" i="1"/>
  <c r="F3105" i="1"/>
  <c r="N3104" i="1"/>
  <c r="H3104" i="1"/>
  <c r="G3104" i="1"/>
  <c r="F3104" i="1"/>
  <c r="N3103" i="1"/>
  <c r="H3103" i="1"/>
  <c r="G3103" i="1"/>
  <c r="F3103" i="1"/>
  <c r="N3102" i="1"/>
  <c r="H3102" i="1"/>
  <c r="G3102" i="1"/>
  <c r="F3102" i="1"/>
  <c r="N3101" i="1"/>
  <c r="H3101" i="1"/>
  <c r="G3101" i="1"/>
  <c r="F3101" i="1"/>
  <c r="N3100" i="1"/>
  <c r="H3100" i="1"/>
  <c r="G3100" i="1"/>
  <c r="F3100" i="1"/>
  <c r="N3099" i="1"/>
  <c r="H3099" i="1"/>
  <c r="G3099" i="1"/>
  <c r="F3099" i="1"/>
  <c r="N3098" i="1"/>
  <c r="H3098" i="1"/>
  <c r="G3098" i="1"/>
  <c r="F3098" i="1"/>
  <c r="N3097" i="1"/>
  <c r="H3097" i="1"/>
  <c r="G3097" i="1"/>
  <c r="F3097" i="1"/>
  <c r="N3096" i="1"/>
  <c r="H3096" i="1"/>
  <c r="G3096" i="1"/>
  <c r="F3096" i="1"/>
  <c r="N3095" i="1"/>
  <c r="H3095" i="1"/>
  <c r="G3095" i="1"/>
  <c r="F3095" i="1"/>
  <c r="N3094" i="1"/>
  <c r="H3094" i="1"/>
  <c r="G3094" i="1"/>
  <c r="F3094" i="1"/>
  <c r="N3093" i="1"/>
  <c r="H3093" i="1"/>
  <c r="G3093" i="1"/>
  <c r="F3093" i="1"/>
  <c r="N3092" i="1"/>
  <c r="H3092" i="1"/>
  <c r="G3092" i="1"/>
  <c r="F3092" i="1"/>
  <c r="N3091" i="1"/>
  <c r="H3091" i="1"/>
  <c r="G3091" i="1"/>
  <c r="F3091" i="1"/>
  <c r="N3090" i="1"/>
  <c r="H3090" i="1"/>
  <c r="G3090" i="1"/>
  <c r="F3090" i="1"/>
  <c r="N3089" i="1"/>
  <c r="H3089" i="1"/>
  <c r="G3089" i="1"/>
  <c r="F3089" i="1"/>
  <c r="N3088" i="1"/>
  <c r="H3088" i="1"/>
  <c r="G3088" i="1"/>
  <c r="F3088" i="1"/>
  <c r="N3087" i="1"/>
  <c r="H3087" i="1"/>
  <c r="G3087" i="1"/>
  <c r="F3087" i="1"/>
  <c r="N3086" i="1"/>
  <c r="H3086" i="1"/>
  <c r="G3086" i="1"/>
  <c r="F3086" i="1"/>
  <c r="N3085" i="1"/>
  <c r="H3085" i="1"/>
  <c r="G3085" i="1"/>
  <c r="F3085" i="1"/>
  <c r="N3084" i="1"/>
  <c r="H3084" i="1"/>
  <c r="G3084" i="1"/>
  <c r="F3084" i="1"/>
  <c r="N3083" i="1"/>
  <c r="H3083" i="1"/>
  <c r="G3083" i="1"/>
  <c r="F3083" i="1"/>
  <c r="N3082" i="1"/>
  <c r="H3082" i="1"/>
  <c r="G3082" i="1"/>
  <c r="F3082" i="1"/>
  <c r="N3081" i="1"/>
  <c r="H3081" i="1"/>
  <c r="G3081" i="1"/>
  <c r="F3081" i="1"/>
  <c r="N3080" i="1"/>
  <c r="H3080" i="1"/>
  <c r="G3080" i="1"/>
  <c r="F3080" i="1"/>
  <c r="N3079" i="1"/>
  <c r="H3079" i="1"/>
  <c r="G3079" i="1"/>
  <c r="F3079" i="1"/>
  <c r="N3078" i="1"/>
  <c r="H3078" i="1"/>
  <c r="G3078" i="1"/>
  <c r="F3078" i="1"/>
  <c r="N3077" i="1"/>
  <c r="H3077" i="1"/>
  <c r="G3077" i="1"/>
  <c r="F3077" i="1"/>
  <c r="N3076" i="1"/>
  <c r="H3076" i="1"/>
  <c r="G3076" i="1"/>
  <c r="F3076" i="1"/>
  <c r="N3075" i="1"/>
  <c r="H3075" i="1"/>
  <c r="G3075" i="1"/>
  <c r="F3075" i="1"/>
  <c r="N3074" i="1"/>
  <c r="H3074" i="1"/>
  <c r="G3074" i="1"/>
  <c r="F3074" i="1"/>
  <c r="N3073" i="1"/>
  <c r="H3073" i="1"/>
  <c r="G3073" i="1"/>
  <c r="F3073" i="1"/>
  <c r="N3072" i="1"/>
  <c r="H3072" i="1"/>
  <c r="G3072" i="1"/>
  <c r="F3072" i="1"/>
  <c r="N3071" i="1"/>
  <c r="H3071" i="1"/>
  <c r="G3071" i="1"/>
  <c r="F3071" i="1"/>
  <c r="N3070" i="1"/>
  <c r="H3070" i="1"/>
  <c r="G3070" i="1"/>
  <c r="F3070" i="1"/>
  <c r="N3069" i="1"/>
  <c r="H3069" i="1"/>
  <c r="G3069" i="1"/>
  <c r="F3069" i="1"/>
  <c r="N3068" i="1"/>
  <c r="H3068" i="1"/>
  <c r="G3068" i="1"/>
  <c r="F3068" i="1"/>
  <c r="N3067" i="1"/>
  <c r="H3067" i="1"/>
  <c r="G3067" i="1"/>
  <c r="F3067" i="1"/>
  <c r="N3066" i="1"/>
  <c r="H3066" i="1"/>
  <c r="G3066" i="1"/>
  <c r="F3066" i="1"/>
  <c r="N3065" i="1"/>
  <c r="H3065" i="1"/>
  <c r="G3065" i="1"/>
  <c r="F3065" i="1"/>
  <c r="N3064" i="1"/>
  <c r="H3064" i="1"/>
  <c r="G3064" i="1"/>
  <c r="F3064" i="1"/>
  <c r="N3063" i="1"/>
  <c r="H3063" i="1"/>
  <c r="G3063" i="1"/>
  <c r="F3063" i="1"/>
  <c r="N3062" i="1"/>
  <c r="H3062" i="1"/>
  <c r="G3062" i="1"/>
  <c r="F3062" i="1"/>
  <c r="N3061" i="1"/>
  <c r="H3061" i="1"/>
  <c r="G3061" i="1"/>
  <c r="F3061" i="1"/>
  <c r="N3060" i="1"/>
  <c r="H3060" i="1"/>
  <c r="G3060" i="1"/>
  <c r="F3060" i="1"/>
  <c r="N3059" i="1"/>
  <c r="H3059" i="1"/>
  <c r="G3059" i="1"/>
  <c r="F3059" i="1"/>
  <c r="N3058" i="1"/>
  <c r="H3058" i="1"/>
  <c r="G3058" i="1"/>
  <c r="F3058" i="1"/>
  <c r="N3057" i="1"/>
  <c r="H3057" i="1"/>
  <c r="G3057" i="1"/>
  <c r="F3057" i="1"/>
  <c r="N3056" i="1"/>
  <c r="H3056" i="1"/>
  <c r="G3056" i="1"/>
  <c r="F3056" i="1"/>
  <c r="N3055" i="1"/>
  <c r="H3055" i="1"/>
  <c r="G3055" i="1"/>
  <c r="F3055" i="1"/>
  <c r="N3054" i="1"/>
  <c r="H3054" i="1"/>
  <c r="G3054" i="1"/>
  <c r="F3054" i="1"/>
  <c r="N3053" i="1"/>
  <c r="H3053" i="1"/>
  <c r="G3053" i="1"/>
  <c r="F3053" i="1"/>
  <c r="N3052" i="1"/>
  <c r="H3052" i="1"/>
  <c r="G3052" i="1"/>
  <c r="F3052" i="1"/>
  <c r="N3051" i="1"/>
  <c r="H3051" i="1"/>
  <c r="G3051" i="1"/>
  <c r="F3051" i="1"/>
  <c r="N3050" i="1"/>
  <c r="H3050" i="1"/>
  <c r="G3050" i="1"/>
  <c r="F3050" i="1"/>
  <c r="N3049" i="1"/>
  <c r="H3049" i="1"/>
  <c r="G3049" i="1"/>
  <c r="F3049" i="1"/>
  <c r="N3048" i="1"/>
  <c r="H3048" i="1"/>
  <c r="G3048" i="1"/>
  <c r="F3048" i="1"/>
  <c r="N3047" i="1"/>
  <c r="H3047" i="1"/>
  <c r="G3047" i="1"/>
  <c r="F3047" i="1"/>
  <c r="N3046" i="1"/>
  <c r="H3046" i="1"/>
  <c r="G3046" i="1"/>
  <c r="F3046" i="1"/>
  <c r="N3045" i="1"/>
  <c r="H3045" i="1"/>
  <c r="G3045" i="1"/>
  <c r="F3045" i="1"/>
  <c r="N3044" i="1"/>
  <c r="H3044" i="1"/>
  <c r="G3044" i="1"/>
  <c r="F3044" i="1"/>
  <c r="N3043" i="1"/>
  <c r="H3043" i="1"/>
  <c r="G3043" i="1"/>
  <c r="F3043" i="1"/>
  <c r="N3042" i="1"/>
  <c r="H3042" i="1"/>
  <c r="G3042" i="1"/>
  <c r="F3042" i="1"/>
  <c r="N3041" i="1"/>
  <c r="H3041" i="1"/>
  <c r="G3041" i="1"/>
  <c r="F3041" i="1"/>
  <c r="N3040" i="1"/>
  <c r="H3040" i="1"/>
  <c r="G3040" i="1"/>
  <c r="F3040" i="1"/>
  <c r="N3039" i="1"/>
  <c r="H3039" i="1"/>
  <c r="G3039" i="1"/>
  <c r="F3039" i="1"/>
  <c r="N3038" i="1"/>
  <c r="H3038" i="1"/>
  <c r="G3038" i="1"/>
  <c r="F3038" i="1"/>
  <c r="N3037" i="1"/>
  <c r="H3037" i="1"/>
  <c r="G3037" i="1"/>
  <c r="F3037" i="1"/>
  <c r="N3036" i="1"/>
  <c r="H3036" i="1"/>
  <c r="G3036" i="1"/>
  <c r="F3036" i="1"/>
  <c r="N3035" i="1"/>
  <c r="H3035" i="1"/>
  <c r="G3035" i="1"/>
  <c r="F3035" i="1"/>
  <c r="N3034" i="1"/>
  <c r="H3034" i="1"/>
  <c r="G3034" i="1"/>
  <c r="F3034" i="1"/>
  <c r="N3033" i="1"/>
  <c r="H3033" i="1"/>
  <c r="G3033" i="1"/>
  <c r="F3033" i="1"/>
  <c r="N3032" i="1"/>
  <c r="H3032" i="1"/>
  <c r="G3032" i="1"/>
  <c r="F3032" i="1"/>
  <c r="N3031" i="1"/>
  <c r="H3031" i="1"/>
  <c r="G3031" i="1"/>
  <c r="F3031" i="1"/>
  <c r="N3030" i="1"/>
  <c r="H3030" i="1"/>
  <c r="G3030" i="1"/>
  <c r="F3030" i="1"/>
  <c r="N3029" i="1"/>
  <c r="H3029" i="1"/>
  <c r="G3029" i="1"/>
  <c r="F3029" i="1"/>
  <c r="N3028" i="1"/>
  <c r="H3028" i="1"/>
  <c r="G3028" i="1"/>
  <c r="F3028" i="1"/>
  <c r="N3027" i="1"/>
  <c r="H3027" i="1"/>
  <c r="G3027" i="1"/>
  <c r="F3027" i="1"/>
  <c r="N3026" i="1"/>
  <c r="H3026" i="1"/>
  <c r="G3026" i="1"/>
  <c r="F3026" i="1"/>
  <c r="N3025" i="1"/>
  <c r="H3025" i="1"/>
  <c r="G3025" i="1"/>
  <c r="F3025" i="1"/>
  <c r="N3024" i="1"/>
  <c r="H3024" i="1"/>
  <c r="G3024" i="1"/>
  <c r="F3024" i="1"/>
  <c r="N3023" i="1"/>
  <c r="H3023" i="1"/>
  <c r="G3023" i="1"/>
  <c r="F3023" i="1"/>
  <c r="N3022" i="1"/>
  <c r="H3022" i="1"/>
  <c r="G3022" i="1"/>
  <c r="F3022" i="1"/>
  <c r="N3021" i="1"/>
  <c r="H3021" i="1"/>
  <c r="G3021" i="1"/>
  <c r="F3021" i="1"/>
  <c r="N3020" i="1"/>
  <c r="H3020" i="1"/>
  <c r="G3020" i="1"/>
  <c r="F3020" i="1"/>
  <c r="N3019" i="1"/>
  <c r="H3019" i="1"/>
  <c r="G3019" i="1"/>
  <c r="F3019" i="1"/>
  <c r="N3018" i="1"/>
  <c r="H3018" i="1"/>
  <c r="G3018" i="1"/>
  <c r="F3018" i="1"/>
  <c r="N3017" i="1"/>
  <c r="H3017" i="1"/>
  <c r="G3017" i="1"/>
  <c r="F3017" i="1"/>
  <c r="N3016" i="1"/>
  <c r="H3016" i="1"/>
  <c r="G3016" i="1"/>
  <c r="F3016" i="1"/>
  <c r="N3015" i="1"/>
  <c r="H3015" i="1"/>
  <c r="G3015" i="1"/>
  <c r="F3015" i="1"/>
  <c r="N3014" i="1"/>
  <c r="H3014" i="1"/>
  <c r="G3014" i="1"/>
  <c r="F3014" i="1"/>
  <c r="N3013" i="1"/>
  <c r="H3013" i="1"/>
  <c r="G3013" i="1"/>
  <c r="F3013" i="1"/>
  <c r="N3012" i="1"/>
  <c r="H3012" i="1"/>
  <c r="G3012" i="1"/>
  <c r="F3012" i="1"/>
  <c r="N3011" i="1"/>
  <c r="H3011" i="1"/>
  <c r="G3011" i="1"/>
  <c r="F3011" i="1"/>
  <c r="N3010" i="1"/>
  <c r="H3010" i="1"/>
  <c r="G3010" i="1"/>
  <c r="F3010" i="1"/>
  <c r="N3009" i="1"/>
  <c r="H3009" i="1"/>
  <c r="G3009" i="1"/>
  <c r="F3009" i="1"/>
  <c r="N3008" i="1"/>
  <c r="H3008" i="1"/>
  <c r="G3008" i="1"/>
  <c r="F3008" i="1"/>
  <c r="N3007" i="1"/>
  <c r="H3007" i="1"/>
  <c r="G3007" i="1"/>
  <c r="F3007" i="1"/>
  <c r="N3006" i="1"/>
  <c r="H3006" i="1"/>
  <c r="G3006" i="1"/>
  <c r="F3006" i="1"/>
  <c r="N3005" i="1"/>
  <c r="H3005" i="1"/>
  <c r="G3005" i="1"/>
  <c r="F3005" i="1"/>
  <c r="N3004" i="1"/>
  <c r="H3004" i="1"/>
  <c r="G3004" i="1"/>
  <c r="F3004" i="1"/>
  <c r="N3003" i="1"/>
  <c r="H3003" i="1"/>
  <c r="G3003" i="1"/>
  <c r="F3003" i="1"/>
  <c r="N3002" i="1"/>
  <c r="H3002" i="1"/>
  <c r="G3002" i="1"/>
  <c r="F3002" i="1"/>
  <c r="N3001" i="1"/>
  <c r="H3001" i="1"/>
  <c r="G3001" i="1"/>
  <c r="F3001" i="1"/>
  <c r="N3000" i="1"/>
  <c r="H3000" i="1"/>
  <c r="G3000" i="1"/>
  <c r="F3000" i="1"/>
  <c r="N2999" i="1"/>
  <c r="H2999" i="1"/>
  <c r="G2999" i="1"/>
  <c r="F2999" i="1"/>
  <c r="N2998" i="1"/>
  <c r="H2998" i="1"/>
  <c r="G2998" i="1"/>
  <c r="F2998" i="1"/>
  <c r="N2997" i="1"/>
  <c r="H2997" i="1"/>
  <c r="G2997" i="1"/>
  <c r="F2997" i="1"/>
  <c r="N2996" i="1"/>
  <c r="H2996" i="1"/>
  <c r="G2996" i="1"/>
  <c r="F2996" i="1"/>
  <c r="N2995" i="1"/>
  <c r="H2995" i="1"/>
  <c r="G2995" i="1"/>
  <c r="F2995" i="1"/>
  <c r="N2994" i="1"/>
  <c r="H2994" i="1"/>
  <c r="G2994" i="1"/>
  <c r="F2994" i="1"/>
  <c r="N2993" i="1"/>
  <c r="H2993" i="1"/>
  <c r="G2993" i="1"/>
  <c r="F2993" i="1"/>
  <c r="N2992" i="1"/>
  <c r="H2992" i="1"/>
  <c r="G2992" i="1"/>
  <c r="F2992" i="1"/>
  <c r="N2991" i="1"/>
  <c r="H2991" i="1"/>
  <c r="G2991" i="1"/>
  <c r="F2991" i="1"/>
  <c r="N2990" i="1"/>
  <c r="H2990" i="1"/>
  <c r="G2990" i="1"/>
  <c r="F2990" i="1"/>
  <c r="N2989" i="1"/>
  <c r="H2989" i="1"/>
  <c r="G2989" i="1"/>
  <c r="F2989" i="1"/>
  <c r="N2988" i="1"/>
  <c r="H2988" i="1"/>
  <c r="G2988" i="1"/>
  <c r="F2988" i="1"/>
  <c r="N2987" i="1"/>
  <c r="H2987" i="1"/>
  <c r="G2987" i="1"/>
  <c r="F2987" i="1"/>
  <c r="N2986" i="1"/>
  <c r="H2986" i="1"/>
  <c r="G2986" i="1"/>
  <c r="F2986" i="1"/>
  <c r="N2985" i="1"/>
  <c r="H2985" i="1"/>
  <c r="G2985" i="1"/>
  <c r="F2985" i="1"/>
  <c r="N2984" i="1"/>
  <c r="H2984" i="1"/>
  <c r="G2984" i="1"/>
  <c r="F2984" i="1"/>
  <c r="N2983" i="1"/>
  <c r="H2983" i="1"/>
  <c r="G2983" i="1"/>
  <c r="F2983" i="1"/>
  <c r="N2982" i="1"/>
  <c r="H2982" i="1"/>
  <c r="G2982" i="1"/>
  <c r="F2982" i="1"/>
  <c r="N2981" i="1"/>
  <c r="H2981" i="1"/>
  <c r="G2981" i="1"/>
  <c r="F2981" i="1"/>
  <c r="N2980" i="1"/>
  <c r="H2980" i="1"/>
  <c r="G2980" i="1"/>
  <c r="F2980" i="1"/>
  <c r="N2979" i="1"/>
  <c r="H2979" i="1"/>
  <c r="G2979" i="1"/>
  <c r="F2979" i="1"/>
  <c r="N2978" i="1"/>
  <c r="H2978" i="1"/>
  <c r="G2978" i="1"/>
  <c r="F2978" i="1"/>
  <c r="N2977" i="1"/>
  <c r="H2977" i="1"/>
  <c r="G2977" i="1"/>
  <c r="F2977" i="1"/>
  <c r="N2976" i="1"/>
  <c r="H2976" i="1"/>
  <c r="G2976" i="1"/>
  <c r="F2976" i="1"/>
  <c r="N2975" i="1"/>
  <c r="H2975" i="1"/>
  <c r="G2975" i="1"/>
  <c r="F2975" i="1"/>
  <c r="N2974" i="1"/>
  <c r="H2974" i="1"/>
  <c r="G2974" i="1"/>
  <c r="F2974" i="1"/>
  <c r="N2973" i="1"/>
  <c r="H2973" i="1"/>
  <c r="G2973" i="1"/>
  <c r="F2973" i="1"/>
  <c r="N2972" i="1"/>
  <c r="H2972" i="1"/>
  <c r="G2972" i="1"/>
  <c r="F2972" i="1"/>
  <c r="N2971" i="1"/>
  <c r="H2971" i="1"/>
  <c r="G2971" i="1"/>
  <c r="F2971" i="1"/>
  <c r="N2970" i="1"/>
  <c r="H2970" i="1"/>
  <c r="G2970" i="1"/>
  <c r="F2970" i="1"/>
  <c r="N2969" i="1"/>
  <c r="H2969" i="1"/>
  <c r="G2969" i="1"/>
  <c r="F2969" i="1"/>
  <c r="N2968" i="1"/>
  <c r="H2968" i="1"/>
  <c r="G2968" i="1"/>
  <c r="F2968" i="1"/>
  <c r="N2967" i="1"/>
  <c r="H2967" i="1"/>
  <c r="G2967" i="1"/>
  <c r="F2967" i="1"/>
  <c r="N2966" i="1"/>
  <c r="H2966" i="1"/>
  <c r="G2966" i="1"/>
  <c r="F2966" i="1"/>
  <c r="N2965" i="1"/>
  <c r="H2965" i="1"/>
  <c r="G2965" i="1"/>
  <c r="F2965" i="1"/>
  <c r="N2964" i="1"/>
  <c r="H2964" i="1"/>
  <c r="G2964" i="1"/>
  <c r="F2964" i="1"/>
  <c r="N2963" i="1"/>
  <c r="H2963" i="1"/>
  <c r="G2963" i="1"/>
  <c r="F2963" i="1"/>
  <c r="N2962" i="1"/>
  <c r="H2962" i="1"/>
  <c r="G2962" i="1"/>
  <c r="F2962" i="1"/>
  <c r="N2961" i="1"/>
  <c r="H2961" i="1"/>
  <c r="G2961" i="1"/>
  <c r="F2961" i="1"/>
  <c r="N2960" i="1"/>
  <c r="H2960" i="1"/>
  <c r="G2960" i="1"/>
  <c r="F2960" i="1"/>
  <c r="N2959" i="1"/>
  <c r="H2959" i="1"/>
  <c r="G2959" i="1"/>
  <c r="F2959" i="1"/>
  <c r="N2958" i="1"/>
  <c r="H2958" i="1"/>
  <c r="G2958" i="1"/>
  <c r="F2958" i="1"/>
  <c r="N2957" i="1"/>
  <c r="H2957" i="1"/>
  <c r="G2957" i="1"/>
  <c r="F2957" i="1"/>
  <c r="N2956" i="1"/>
  <c r="H2956" i="1"/>
  <c r="G2956" i="1"/>
  <c r="F2956" i="1"/>
  <c r="N2955" i="1"/>
  <c r="H2955" i="1"/>
  <c r="G2955" i="1"/>
  <c r="F2955" i="1"/>
  <c r="N2954" i="1"/>
  <c r="H2954" i="1"/>
  <c r="G2954" i="1"/>
  <c r="F2954" i="1"/>
  <c r="N2953" i="1"/>
  <c r="H2953" i="1"/>
  <c r="G2953" i="1"/>
  <c r="F2953" i="1"/>
  <c r="N2952" i="1"/>
  <c r="H2952" i="1"/>
  <c r="G2952" i="1"/>
  <c r="F2952" i="1"/>
  <c r="N2951" i="1"/>
  <c r="H2951" i="1"/>
  <c r="G2951" i="1"/>
  <c r="F2951" i="1"/>
  <c r="N2950" i="1"/>
  <c r="H2950" i="1"/>
  <c r="G2950" i="1"/>
  <c r="F2950" i="1"/>
  <c r="N2949" i="1"/>
  <c r="H2949" i="1"/>
  <c r="G2949" i="1"/>
  <c r="F2949" i="1"/>
  <c r="N2948" i="1"/>
  <c r="H2948" i="1"/>
  <c r="G2948" i="1"/>
  <c r="F2948" i="1"/>
  <c r="N2947" i="1"/>
  <c r="H2947" i="1"/>
  <c r="G2947" i="1"/>
  <c r="F2947" i="1"/>
  <c r="N2946" i="1"/>
  <c r="H2946" i="1"/>
  <c r="G2946" i="1"/>
  <c r="F2946" i="1"/>
  <c r="N2945" i="1"/>
  <c r="H2945" i="1"/>
  <c r="G2945" i="1"/>
  <c r="F2945" i="1"/>
  <c r="N2944" i="1"/>
  <c r="H2944" i="1"/>
  <c r="G2944" i="1"/>
  <c r="F2944" i="1"/>
  <c r="N2943" i="1"/>
  <c r="H2943" i="1"/>
  <c r="G2943" i="1"/>
  <c r="F2943" i="1"/>
  <c r="N2942" i="1"/>
  <c r="H2942" i="1"/>
  <c r="G2942" i="1"/>
  <c r="F2942" i="1"/>
  <c r="N2941" i="1"/>
  <c r="H2941" i="1"/>
  <c r="G2941" i="1"/>
  <c r="F2941" i="1"/>
  <c r="N2940" i="1"/>
  <c r="H2940" i="1"/>
  <c r="G2940" i="1"/>
  <c r="F2940" i="1"/>
  <c r="N2939" i="1"/>
  <c r="H2939" i="1"/>
  <c r="G2939" i="1"/>
  <c r="F2939" i="1"/>
  <c r="N2938" i="1"/>
  <c r="H2938" i="1"/>
  <c r="G2938" i="1"/>
  <c r="F2938" i="1"/>
  <c r="N2937" i="1"/>
  <c r="H2937" i="1"/>
  <c r="G2937" i="1"/>
  <c r="F2937" i="1"/>
  <c r="N2936" i="1"/>
  <c r="H2936" i="1"/>
  <c r="G2936" i="1"/>
  <c r="F2936" i="1"/>
  <c r="N2935" i="1"/>
  <c r="H2935" i="1"/>
  <c r="G2935" i="1"/>
  <c r="F2935" i="1"/>
  <c r="N2934" i="1"/>
  <c r="H2934" i="1"/>
  <c r="G2934" i="1"/>
  <c r="F2934" i="1"/>
  <c r="N2933" i="1"/>
  <c r="H2933" i="1"/>
  <c r="G2933" i="1"/>
  <c r="F2933" i="1"/>
  <c r="N2932" i="1"/>
  <c r="H2932" i="1"/>
  <c r="G2932" i="1"/>
  <c r="F2932" i="1"/>
  <c r="N2931" i="1"/>
  <c r="H2931" i="1"/>
  <c r="G2931" i="1"/>
  <c r="F2931" i="1"/>
  <c r="N2930" i="1"/>
  <c r="H2930" i="1"/>
  <c r="G2930" i="1"/>
  <c r="F2930" i="1"/>
  <c r="N2929" i="1"/>
  <c r="H2929" i="1"/>
  <c r="G2929" i="1"/>
  <c r="F2929" i="1"/>
  <c r="N2928" i="1"/>
  <c r="H2928" i="1"/>
  <c r="G2928" i="1"/>
  <c r="F2928" i="1"/>
  <c r="N2927" i="1"/>
  <c r="H2927" i="1"/>
  <c r="G2927" i="1"/>
  <c r="F2927" i="1"/>
  <c r="N2926" i="1"/>
  <c r="H2926" i="1"/>
  <c r="G2926" i="1"/>
  <c r="F2926" i="1"/>
  <c r="N2925" i="1"/>
  <c r="H2925" i="1"/>
  <c r="G2925" i="1"/>
  <c r="F2925" i="1"/>
  <c r="N2924" i="1"/>
  <c r="H2924" i="1"/>
  <c r="G2924" i="1"/>
  <c r="F2924" i="1"/>
  <c r="N2923" i="1"/>
  <c r="H2923" i="1"/>
  <c r="G2923" i="1"/>
  <c r="F2923" i="1"/>
  <c r="N2922" i="1"/>
  <c r="H2922" i="1"/>
  <c r="G2922" i="1"/>
  <c r="F2922" i="1"/>
  <c r="N2921" i="1"/>
  <c r="H2921" i="1"/>
  <c r="G2921" i="1"/>
  <c r="F2921" i="1"/>
  <c r="N2920" i="1"/>
  <c r="H2920" i="1"/>
  <c r="G2920" i="1"/>
  <c r="F2920" i="1"/>
  <c r="N2919" i="1"/>
  <c r="H2919" i="1"/>
  <c r="G2919" i="1"/>
  <c r="F2919" i="1"/>
  <c r="N2918" i="1"/>
  <c r="H2918" i="1"/>
  <c r="G2918" i="1"/>
  <c r="F2918" i="1"/>
  <c r="N2917" i="1"/>
  <c r="H2917" i="1"/>
  <c r="G2917" i="1"/>
  <c r="F2917" i="1"/>
  <c r="N2916" i="1"/>
  <c r="H2916" i="1"/>
  <c r="G2916" i="1"/>
  <c r="F2916" i="1"/>
  <c r="N2915" i="1"/>
  <c r="H2915" i="1"/>
  <c r="G2915" i="1"/>
  <c r="F2915" i="1"/>
  <c r="N2914" i="1"/>
  <c r="H2914" i="1"/>
  <c r="G2914" i="1"/>
  <c r="F2914" i="1"/>
  <c r="N2913" i="1"/>
  <c r="H2913" i="1"/>
  <c r="G2913" i="1"/>
  <c r="F2913" i="1"/>
  <c r="N2912" i="1"/>
  <c r="H2912" i="1"/>
  <c r="G2912" i="1"/>
  <c r="F2912" i="1"/>
  <c r="N2911" i="1"/>
  <c r="H2911" i="1"/>
  <c r="G2911" i="1"/>
  <c r="F2911" i="1"/>
  <c r="N2910" i="1"/>
  <c r="H2910" i="1"/>
  <c r="G2910" i="1"/>
  <c r="F2910" i="1"/>
  <c r="N2909" i="1"/>
  <c r="H2909" i="1"/>
  <c r="G2909" i="1"/>
  <c r="F2909" i="1"/>
  <c r="N2908" i="1"/>
  <c r="H2908" i="1"/>
  <c r="G2908" i="1"/>
  <c r="F2908" i="1"/>
  <c r="N2907" i="1"/>
  <c r="H2907" i="1"/>
  <c r="G2907" i="1"/>
  <c r="F2907" i="1"/>
  <c r="N2906" i="1"/>
  <c r="H2906" i="1"/>
  <c r="G2906" i="1"/>
  <c r="F2906" i="1"/>
  <c r="N2905" i="1"/>
  <c r="H2905" i="1"/>
  <c r="G2905" i="1"/>
  <c r="F2905" i="1"/>
  <c r="N2904" i="1"/>
  <c r="H2904" i="1"/>
  <c r="G2904" i="1"/>
  <c r="F2904" i="1"/>
  <c r="N2903" i="1"/>
  <c r="H2903" i="1"/>
  <c r="G2903" i="1"/>
  <c r="F2903" i="1"/>
  <c r="N2902" i="1"/>
  <c r="H2902" i="1"/>
  <c r="G2902" i="1"/>
  <c r="F2902" i="1"/>
  <c r="N2901" i="1"/>
  <c r="H2901" i="1"/>
  <c r="G2901" i="1"/>
  <c r="F2901" i="1"/>
  <c r="N2900" i="1"/>
  <c r="H2900" i="1"/>
  <c r="G2900" i="1"/>
  <c r="F2900" i="1"/>
  <c r="N2899" i="1"/>
  <c r="H2899" i="1"/>
  <c r="G2899" i="1"/>
  <c r="F2899" i="1"/>
  <c r="N2898" i="1"/>
  <c r="H2898" i="1"/>
  <c r="G2898" i="1"/>
  <c r="F2898" i="1"/>
  <c r="N2897" i="1"/>
  <c r="H2897" i="1"/>
  <c r="G2897" i="1"/>
  <c r="F2897" i="1"/>
  <c r="N2896" i="1"/>
  <c r="H2896" i="1"/>
  <c r="G2896" i="1"/>
  <c r="F2896" i="1"/>
  <c r="N2895" i="1"/>
  <c r="H2895" i="1"/>
  <c r="G2895" i="1"/>
  <c r="F2895" i="1"/>
  <c r="N2894" i="1"/>
  <c r="H2894" i="1"/>
  <c r="G2894" i="1"/>
  <c r="F2894" i="1"/>
  <c r="N2893" i="1"/>
  <c r="H2893" i="1"/>
  <c r="G2893" i="1"/>
  <c r="F2893" i="1"/>
  <c r="N2892" i="1"/>
  <c r="H2892" i="1"/>
  <c r="G2892" i="1"/>
  <c r="F2892" i="1"/>
  <c r="N2891" i="1"/>
  <c r="H2891" i="1"/>
  <c r="G2891" i="1"/>
  <c r="F2891" i="1"/>
  <c r="N2890" i="1"/>
  <c r="H2890" i="1"/>
  <c r="G2890" i="1"/>
  <c r="F2890" i="1"/>
  <c r="N2889" i="1"/>
  <c r="H2889" i="1"/>
  <c r="G2889" i="1"/>
  <c r="F2889" i="1"/>
  <c r="N2888" i="1"/>
  <c r="H2888" i="1"/>
  <c r="G2888" i="1"/>
  <c r="F2888" i="1"/>
  <c r="N2887" i="1"/>
  <c r="H2887" i="1"/>
  <c r="G2887" i="1"/>
  <c r="F2887" i="1"/>
  <c r="N2886" i="1"/>
  <c r="H2886" i="1"/>
  <c r="G2886" i="1"/>
  <c r="F2886" i="1"/>
  <c r="N2885" i="1"/>
  <c r="H2885" i="1"/>
  <c r="G2885" i="1"/>
  <c r="F2885" i="1"/>
  <c r="N2884" i="1"/>
  <c r="H2884" i="1"/>
  <c r="G2884" i="1"/>
  <c r="F2884" i="1"/>
  <c r="N2883" i="1"/>
  <c r="H2883" i="1"/>
  <c r="G2883" i="1"/>
  <c r="F2883" i="1"/>
  <c r="N2882" i="1"/>
  <c r="H2882" i="1"/>
  <c r="G2882" i="1"/>
  <c r="F2882" i="1"/>
  <c r="N2881" i="1"/>
  <c r="H2881" i="1"/>
  <c r="G2881" i="1"/>
  <c r="F2881" i="1"/>
  <c r="N2880" i="1"/>
  <c r="H2880" i="1"/>
  <c r="G2880" i="1"/>
  <c r="F2880" i="1"/>
  <c r="N2879" i="1"/>
  <c r="H2879" i="1"/>
  <c r="G2879" i="1"/>
  <c r="F2879" i="1"/>
  <c r="N2878" i="1"/>
  <c r="H2878" i="1"/>
  <c r="G2878" i="1"/>
  <c r="F2878" i="1"/>
  <c r="N2877" i="1"/>
  <c r="H2877" i="1"/>
  <c r="G2877" i="1"/>
  <c r="F2877" i="1"/>
  <c r="N2876" i="1"/>
  <c r="H2876" i="1"/>
  <c r="G2876" i="1"/>
  <c r="F2876" i="1"/>
  <c r="N2875" i="1"/>
  <c r="H2875" i="1"/>
  <c r="G2875" i="1"/>
  <c r="F2875" i="1"/>
  <c r="N2874" i="1"/>
  <c r="H2874" i="1"/>
  <c r="G2874" i="1"/>
  <c r="F2874" i="1"/>
  <c r="N2873" i="1"/>
  <c r="H2873" i="1"/>
  <c r="G2873" i="1"/>
  <c r="F2873" i="1"/>
  <c r="N2872" i="1"/>
  <c r="H2872" i="1"/>
  <c r="G2872" i="1"/>
  <c r="F2872" i="1"/>
  <c r="N2871" i="1"/>
  <c r="H2871" i="1"/>
  <c r="G2871" i="1"/>
  <c r="F2871" i="1"/>
  <c r="N2870" i="1"/>
  <c r="H2870" i="1"/>
  <c r="G2870" i="1"/>
  <c r="F2870" i="1"/>
  <c r="N2869" i="1"/>
  <c r="H2869" i="1"/>
  <c r="G2869" i="1"/>
  <c r="F2869" i="1"/>
  <c r="N2868" i="1"/>
  <c r="H2868" i="1"/>
  <c r="G2868" i="1"/>
  <c r="F2868" i="1"/>
  <c r="N2867" i="1"/>
  <c r="H2867" i="1"/>
  <c r="G2867" i="1"/>
  <c r="F2867" i="1"/>
  <c r="N2866" i="1"/>
  <c r="H2866" i="1"/>
  <c r="G2866" i="1"/>
  <c r="F2866" i="1"/>
  <c r="N2865" i="1"/>
  <c r="H2865" i="1"/>
  <c r="G2865" i="1"/>
  <c r="F2865" i="1"/>
  <c r="N2864" i="1"/>
  <c r="H2864" i="1"/>
  <c r="G2864" i="1"/>
  <c r="F2864" i="1"/>
  <c r="N2863" i="1"/>
  <c r="H2863" i="1"/>
  <c r="G2863" i="1"/>
  <c r="F2863" i="1"/>
  <c r="N2862" i="1"/>
  <c r="H2862" i="1"/>
  <c r="G2862" i="1"/>
  <c r="F2862" i="1"/>
  <c r="N2861" i="1"/>
  <c r="H2861" i="1"/>
  <c r="G2861" i="1"/>
  <c r="F2861" i="1"/>
  <c r="N2860" i="1"/>
  <c r="H2860" i="1"/>
  <c r="G2860" i="1"/>
  <c r="F2860" i="1"/>
  <c r="N2859" i="1"/>
  <c r="H2859" i="1"/>
  <c r="G2859" i="1"/>
  <c r="F2859" i="1"/>
  <c r="N2858" i="1"/>
  <c r="H2858" i="1"/>
  <c r="G2858" i="1"/>
  <c r="F2858" i="1"/>
  <c r="N2857" i="1"/>
  <c r="H2857" i="1"/>
  <c r="G2857" i="1"/>
  <c r="F2857" i="1"/>
  <c r="N2856" i="1"/>
  <c r="H2856" i="1"/>
  <c r="G2856" i="1"/>
  <c r="F2856" i="1"/>
  <c r="N2855" i="1"/>
  <c r="H2855" i="1"/>
  <c r="G2855" i="1"/>
  <c r="F2855" i="1"/>
  <c r="N2854" i="1"/>
  <c r="H2854" i="1"/>
  <c r="G2854" i="1"/>
  <c r="F2854" i="1"/>
  <c r="N2853" i="1"/>
  <c r="H2853" i="1"/>
  <c r="G2853" i="1"/>
  <c r="F2853" i="1"/>
  <c r="N2852" i="1"/>
  <c r="H2852" i="1"/>
  <c r="G2852" i="1"/>
  <c r="F2852" i="1"/>
  <c r="N2851" i="1"/>
  <c r="H2851" i="1"/>
  <c r="G2851" i="1"/>
  <c r="F2851" i="1"/>
  <c r="N2850" i="1"/>
  <c r="H2850" i="1"/>
  <c r="G2850" i="1"/>
  <c r="F2850" i="1"/>
  <c r="N2849" i="1"/>
  <c r="H2849" i="1"/>
  <c r="G2849" i="1"/>
  <c r="F2849" i="1"/>
  <c r="N2848" i="1"/>
  <c r="H2848" i="1"/>
  <c r="G2848" i="1"/>
  <c r="F2848" i="1"/>
  <c r="N2847" i="1"/>
  <c r="H2847" i="1"/>
  <c r="G2847" i="1"/>
  <c r="F2847" i="1"/>
  <c r="N2846" i="1"/>
  <c r="H2846" i="1"/>
  <c r="G2846" i="1"/>
  <c r="F2846" i="1"/>
  <c r="N2845" i="1"/>
  <c r="H2845" i="1"/>
  <c r="G2845" i="1"/>
  <c r="F2845" i="1"/>
  <c r="N2844" i="1"/>
  <c r="H2844" i="1"/>
  <c r="G2844" i="1"/>
  <c r="F2844" i="1"/>
  <c r="N2843" i="1"/>
  <c r="H2843" i="1"/>
  <c r="G2843" i="1"/>
  <c r="F2843" i="1"/>
  <c r="N2842" i="1"/>
  <c r="H2842" i="1"/>
  <c r="G2842" i="1"/>
  <c r="F2842" i="1"/>
  <c r="N2841" i="1"/>
  <c r="H2841" i="1"/>
  <c r="G2841" i="1"/>
  <c r="F2841" i="1"/>
  <c r="N2840" i="1"/>
  <c r="H2840" i="1"/>
  <c r="G2840" i="1"/>
  <c r="F2840" i="1"/>
  <c r="N2839" i="1"/>
  <c r="H2839" i="1"/>
  <c r="G2839" i="1"/>
  <c r="F2839" i="1"/>
  <c r="N2838" i="1"/>
  <c r="H2838" i="1"/>
  <c r="G2838" i="1"/>
  <c r="F2838" i="1"/>
  <c r="N2837" i="1"/>
  <c r="H2837" i="1"/>
  <c r="G2837" i="1"/>
  <c r="F2837" i="1"/>
  <c r="N2836" i="1"/>
  <c r="H2836" i="1"/>
  <c r="G2836" i="1"/>
  <c r="F2836" i="1"/>
  <c r="N2835" i="1"/>
  <c r="H2835" i="1"/>
  <c r="G2835" i="1"/>
  <c r="F2835" i="1"/>
  <c r="N2834" i="1"/>
  <c r="H2834" i="1"/>
  <c r="G2834" i="1"/>
  <c r="F2834" i="1"/>
  <c r="N2833" i="1"/>
  <c r="H2833" i="1"/>
  <c r="G2833" i="1"/>
  <c r="F2833" i="1"/>
  <c r="N2832" i="1"/>
  <c r="H2832" i="1"/>
  <c r="G2832" i="1"/>
  <c r="F2832" i="1"/>
  <c r="N2831" i="1"/>
  <c r="H2831" i="1"/>
  <c r="G2831" i="1"/>
  <c r="F2831" i="1"/>
  <c r="N2830" i="1"/>
  <c r="H2830" i="1"/>
  <c r="G2830" i="1"/>
  <c r="F2830" i="1"/>
  <c r="N2829" i="1"/>
  <c r="H2829" i="1"/>
  <c r="G2829" i="1"/>
  <c r="F2829" i="1"/>
  <c r="N2828" i="1"/>
  <c r="H2828" i="1"/>
  <c r="G2828" i="1"/>
  <c r="F2828" i="1"/>
  <c r="N2827" i="1"/>
  <c r="H2827" i="1"/>
  <c r="G2827" i="1"/>
  <c r="F2827" i="1"/>
  <c r="N2826" i="1"/>
  <c r="H2826" i="1"/>
  <c r="G2826" i="1"/>
  <c r="F2826" i="1"/>
  <c r="N2825" i="1"/>
  <c r="H2825" i="1"/>
  <c r="G2825" i="1"/>
  <c r="F2825" i="1"/>
  <c r="N2824" i="1"/>
  <c r="H2824" i="1"/>
  <c r="G2824" i="1"/>
  <c r="F2824" i="1"/>
  <c r="N2823" i="1"/>
  <c r="H2823" i="1"/>
  <c r="G2823" i="1"/>
  <c r="F2823" i="1"/>
  <c r="N2822" i="1"/>
  <c r="H2822" i="1"/>
  <c r="G2822" i="1"/>
  <c r="F2822" i="1"/>
  <c r="N2821" i="1"/>
  <c r="H2821" i="1"/>
  <c r="G2821" i="1"/>
  <c r="F2821" i="1"/>
  <c r="N2820" i="1"/>
  <c r="H2820" i="1"/>
  <c r="G2820" i="1"/>
  <c r="F2820" i="1"/>
  <c r="N2819" i="1"/>
  <c r="H2819" i="1"/>
  <c r="G2819" i="1"/>
  <c r="F2819" i="1"/>
  <c r="N2818" i="1"/>
  <c r="H2818" i="1"/>
  <c r="G2818" i="1"/>
  <c r="F2818" i="1"/>
  <c r="N2817" i="1"/>
  <c r="H2817" i="1"/>
  <c r="G2817" i="1"/>
  <c r="F2817" i="1"/>
  <c r="N2816" i="1"/>
  <c r="H2816" i="1"/>
  <c r="G2816" i="1"/>
  <c r="F2816" i="1"/>
  <c r="N2815" i="1"/>
  <c r="H2815" i="1"/>
  <c r="G2815" i="1"/>
  <c r="F2815" i="1"/>
  <c r="N2814" i="1"/>
  <c r="H2814" i="1"/>
  <c r="G2814" i="1"/>
  <c r="F2814" i="1"/>
  <c r="N2813" i="1"/>
  <c r="H2813" i="1"/>
  <c r="G2813" i="1"/>
  <c r="F2813" i="1"/>
  <c r="N2812" i="1"/>
  <c r="H2812" i="1"/>
  <c r="G2812" i="1"/>
  <c r="F2812" i="1"/>
  <c r="N2811" i="1"/>
  <c r="H2811" i="1"/>
  <c r="G2811" i="1"/>
  <c r="F2811" i="1"/>
  <c r="N2810" i="1"/>
  <c r="H2810" i="1"/>
  <c r="G2810" i="1"/>
  <c r="F2810" i="1"/>
  <c r="N2809" i="1"/>
  <c r="H2809" i="1"/>
  <c r="G2809" i="1"/>
  <c r="F2809" i="1"/>
  <c r="N2808" i="1"/>
  <c r="H2808" i="1"/>
  <c r="G2808" i="1"/>
  <c r="F2808" i="1"/>
  <c r="N2807" i="1"/>
  <c r="H2807" i="1"/>
  <c r="G2807" i="1"/>
  <c r="F2807" i="1"/>
  <c r="N2806" i="1"/>
  <c r="H2806" i="1"/>
  <c r="G2806" i="1"/>
  <c r="F2806" i="1"/>
  <c r="N2805" i="1"/>
  <c r="H2805" i="1"/>
  <c r="G2805" i="1"/>
  <c r="F2805" i="1"/>
  <c r="N2804" i="1"/>
  <c r="H2804" i="1"/>
  <c r="G2804" i="1"/>
  <c r="F2804" i="1"/>
  <c r="N2803" i="1"/>
  <c r="H2803" i="1"/>
  <c r="G2803" i="1"/>
  <c r="F2803" i="1"/>
  <c r="N2802" i="1"/>
  <c r="H2802" i="1"/>
  <c r="G2802" i="1"/>
  <c r="F2802" i="1"/>
  <c r="N2801" i="1"/>
  <c r="H2801" i="1"/>
  <c r="G2801" i="1"/>
  <c r="F2801" i="1"/>
  <c r="N2800" i="1"/>
  <c r="H2800" i="1"/>
  <c r="G2800" i="1"/>
  <c r="F2800" i="1"/>
  <c r="N2799" i="1"/>
  <c r="H2799" i="1"/>
  <c r="G2799" i="1"/>
  <c r="F2799" i="1"/>
  <c r="N2798" i="1"/>
  <c r="H2798" i="1"/>
  <c r="G2798" i="1"/>
  <c r="F2798" i="1"/>
  <c r="N2797" i="1"/>
  <c r="H2797" i="1"/>
  <c r="G2797" i="1"/>
  <c r="F2797" i="1"/>
  <c r="N2796" i="1"/>
  <c r="H2796" i="1"/>
  <c r="G2796" i="1"/>
  <c r="F2796" i="1"/>
  <c r="N2795" i="1"/>
  <c r="H2795" i="1"/>
  <c r="G2795" i="1"/>
  <c r="F2795" i="1"/>
  <c r="N2794" i="1"/>
  <c r="H2794" i="1"/>
  <c r="G2794" i="1"/>
  <c r="F2794" i="1"/>
  <c r="N2793" i="1"/>
  <c r="H2793" i="1"/>
  <c r="G2793" i="1"/>
  <c r="F2793" i="1"/>
  <c r="N2792" i="1"/>
  <c r="H2792" i="1"/>
  <c r="G2792" i="1"/>
  <c r="F2792" i="1"/>
  <c r="N2791" i="1"/>
  <c r="H2791" i="1"/>
  <c r="G2791" i="1"/>
  <c r="F2791" i="1"/>
  <c r="N2790" i="1"/>
  <c r="H2790" i="1"/>
  <c r="G2790" i="1"/>
  <c r="F2790" i="1"/>
  <c r="N2789" i="1"/>
  <c r="H2789" i="1"/>
  <c r="G2789" i="1"/>
  <c r="F2789" i="1"/>
  <c r="N2788" i="1"/>
  <c r="H2788" i="1"/>
  <c r="G2788" i="1"/>
  <c r="F2788" i="1"/>
  <c r="N2787" i="1"/>
  <c r="H2787" i="1"/>
  <c r="G2787" i="1"/>
  <c r="F2787" i="1"/>
  <c r="N2786" i="1"/>
  <c r="H2786" i="1"/>
  <c r="G2786" i="1"/>
  <c r="F2786" i="1"/>
  <c r="N2785" i="1"/>
  <c r="H2785" i="1"/>
  <c r="G2785" i="1"/>
  <c r="F2785" i="1"/>
  <c r="N2784" i="1"/>
  <c r="H2784" i="1"/>
  <c r="G2784" i="1"/>
  <c r="F2784" i="1"/>
  <c r="N2783" i="1"/>
  <c r="H2783" i="1"/>
  <c r="G2783" i="1"/>
  <c r="F2783" i="1"/>
  <c r="N2782" i="1"/>
  <c r="H2782" i="1"/>
  <c r="G2782" i="1"/>
  <c r="F2782" i="1"/>
  <c r="N2781" i="1"/>
  <c r="H2781" i="1"/>
  <c r="G2781" i="1"/>
  <c r="F2781" i="1"/>
  <c r="N2780" i="1"/>
  <c r="H2780" i="1"/>
  <c r="G2780" i="1"/>
  <c r="F2780" i="1"/>
  <c r="N2779" i="1"/>
  <c r="H2779" i="1"/>
  <c r="G2779" i="1"/>
  <c r="F2779" i="1"/>
  <c r="N2778" i="1"/>
  <c r="H2778" i="1"/>
  <c r="G2778" i="1"/>
  <c r="F2778" i="1"/>
  <c r="N2777" i="1"/>
  <c r="H2777" i="1"/>
  <c r="G2777" i="1"/>
  <c r="F2777" i="1"/>
  <c r="N2776" i="1"/>
  <c r="H2776" i="1"/>
  <c r="G2776" i="1"/>
  <c r="F2776" i="1"/>
  <c r="N2775" i="1"/>
  <c r="H2775" i="1"/>
  <c r="G2775" i="1"/>
  <c r="F2775" i="1"/>
  <c r="N2774" i="1"/>
  <c r="H2774" i="1"/>
  <c r="G2774" i="1"/>
  <c r="F2774" i="1"/>
  <c r="N2773" i="1"/>
  <c r="H2773" i="1"/>
  <c r="G2773" i="1"/>
  <c r="F2773" i="1"/>
  <c r="N2772" i="1"/>
  <c r="H2772" i="1"/>
  <c r="G2772" i="1"/>
  <c r="F2772" i="1"/>
  <c r="N2771" i="1"/>
  <c r="H2771" i="1"/>
  <c r="G2771" i="1"/>
  <c r="F2771" i="1"/>
  <c r="N2770" i="1"/>
  <c r="H2770" i="1"/>
  <c r="G2770" i="1"/>
  <c r="F2770" i="1"/>
  <c r="N2769" i="1"/>
  <c r="H2769" i="1"/>
  <c r="G2769" i="1"/>
  <c r="F2769" i="1"/>
  <c r="N2768" i="1"/>
  <c r="H2768" i="1"/>
  <c r="G2768" i="1"/>
  <c r="F2768" i="1"/>
  <c r="N2767" i="1"/>
  <c r="H2767" i="1"/>
  <c r="G2767" i="1"/>
  <c r="F2767" i="1"/>
  <c r="N2766" i="1"/>
  <c r="H2766" i="1"/>
  <c r="G2766" i="1"/>
  <c r="F2766" i="1"/>
  <c r="N2765" i="1"/>
  <c r="H2765" i="1"/>
  <c r="G2765" i="1"/>
  <c r="F2765" i="1"/>
  <c r="N2764" i="1"/>
  <c r="H2764" i="1"/>
  <c r="G2764" i="1"/>
  <c r="F2764" i="1"/>
  <c r="N2763" i="1"/>
  <c r="H2763" i="1"/>
  <c r="G2763" i="1"/>
  <c r="F2763" i="1"/>
  <c r="N2762" i="1"/>
  <c r="H2762" i="1"/>
  <c r="G2762" i="1"/>
  <c r="F2762" i="1"/>
  <c r="N2761" i="1"/>
  <c r="H2761" i="1"/>
  <c r="G2761" i="1"/>
  <c r="F2761" i="1"/>
  <c r="N2760" i="1"/>
  <c r="H2760" i="1"/>
  <c r="G2760" i="1"/>
  <c r="F2760" i="1"/>
  <c r="N2759" i="1"/>
  <c r="H2759" i="1"/>
  <c r="G2759" i="1"/>
  <c r="F2759" i="1"/>
  <c r="N2758" i="1"/>
  <c r="H2758" i="1"/>
  <c r="G2758" i="1"/>
  <c r="F2758" i="1"/>
  <c r="N2757" i="1"/>
  <c r="H2757" i="1"/>
  <c r="G2757" i="1"/>
  <c r="F2757" i="1"/>
  <c r="N2756" i="1"/>
  <c r="H2756" i="1"/>
  <c r="G2756" i="1"/>
  <c r="F2756" i="1"/>
  <c r="N2755" i="1"/>
  <c r="H2755" i="1"/>
  <c r="G2755" i="1"/>
  <c r="F2755" i="1"/>
  <c r="N2754" i="1"/>
  <c r="H2754" i="1"/>
  <c r="G2754" i="1"/>
  <c r="F2754" i="1"/>
  <c r="N2753" i="1"/>
  <c r="H2753" i="1"/>
  <c r="G2753" i="1"/>
  <c r="F2753" i="1"/>
  <c r="N2752" i="1"/>
  <c r="H2752" i="1"/>
  <c r="G2752" i="1"/>
  <c r="F2752" i="1"/>
  <c r="N2751" i="1"/>
  <c r="H2751" i="1"/>
  <c r="G2751" i="1"/>
  <c r="F2751" i="1"/>
  <c r="N2750" i="1"/>
  <c r="H2750" i="1"/>
  <c r="G2750" i="1"/>
  <c r="F2750" i="1"/>
  <c r="N2749" i="1"/>
  <c r="H2749" i="1"/>
  <c r="G2749" i="1"/>
  <c r="F2749" i="1"/>
  <c r="N2748" i="1"/>
  <c r="H2748" i="1"/>
  <c r="G2748" i="1"/>
  <c r="F2748" i="1"/>
  <c r="N2747" i="1"/>
  <c r="H2747" i="1"/>
  <c r="G2747" i="1"/>
  <c r="F2747" i="1"/>
  <c r="N2746" i="1"/>
  <c r="H2746" i="1"/>
  <c r="G2746" i="1"/>
  <c r="F2746" i="1"/>
  <c r="N2745" i="1"/>
  <c r="H2745" i="1"/>
  <c r="G2745" i="1"/>
  <c r="F2745" i="1"/>
  <c r="N2744" i="1"/>
  <c r="H2744" i="1"/>
  <c r="G2744" i="1"/>
  <c r="F2744" i="1"/>
  <c r="N2743" i="1"/>
  <c r="H2743" i="1"/>
  <c r="G2743" i="1"/>
  <c r="F2743" i="1"/>
  <c r="N2742" i="1"/>
  <c r="H2742" i="1"/>
  <c r="G2742" i="1"/>
  <c r="F2742" i="1"/>
  <c r="N2741" i="1"/>
  <c r="H2741" i="1"/>
  <c r="G2741" i="1"/>
  <c r="F2741" i="1"/>
  <c r="N2740" i="1"/>
  <c r="H2740" i="1"/>
  <c r="G2740" i="1"/>
  <c r="F2740" i="1"/>
  <c r="N2739" i="1"/>
  <c r="H2739" i="1"/>
  <c r="G2739" i="1"/>
  <c r="F2739" i="1"/>
  <c r="N2738" i="1"/>
  <c r="H2738" i="1"/>
  <c r="G2738" i="1"/>
  <c r="F2738" i="1"/>
  <c r="N2737" i="1"/>
  <c r="H2737" i="1"/>
  <c r="G2737" i="1"/>
  <c r="F2737" i="1"/>
  <c r="N2736" i="1"/>
  <c r="H2736" i="1"/>
  <c r="G2736" i="1"/>
  <c r="F2736" i="1"/>
  <c r="N2735" i="1"/>
  <c r="H2735" i="1"/>
  <c r="G2735" i="1"/>
  <c r="F2735" i="1"/>
  <c r="N2734" i="1"/>
  <c r="H2734" i="1"/>
  <c r="G2734" i="1"/>
  <c r="F2734" i="1"/>
  <c r="N2733" i="1"/>
  <c r="H2733" i="1"/>
  <c r="G2733" i="1"/>
  <c r="F2733" i="1"/>
  <c r="N2732" i="1"/>
  <c r="H2732" i="1"/>
  <c r="G2732" i="1"/>
  <c r="F2732" i="1"/>
  <c r="N2731" i="1"/>
  <c r="H2731" i="1"/>
  <c r="G2731" i="1"/>
  <c r="F2731" i="1"/>
  <c r="N2730" i="1"/>
  <c r="H2730" i="1"/>
  <c r="G2730" i="1"/>
  <c r="F2730" i="1"/>
  <c r="N2729" i="1"/>
  <c r="H2729" i="1"/>
  <c r="G2729" i="1"/>
  <c r="F2729" i="1"/>
  <c r="N2728" i="1"/>
  <c r="H2728" i="1"/>
  <c r="G2728" i="1"/>
  <c r="F2728" i="1"/>
  <c r="N2727" i="1"/>
  <c r="H2727" i="1"/>
  <c r="G2727" i="1"/>
  <c r="F2727" i="1"/>
  <c r="N2726" i="1"/>
  <c r="H2726" i="1"/>
  <c r="G2726" i="1"/>
  <c r="F2726" i="1"/>
  <c r="N2725" i="1"/>
  <c r="H2725" i="1"/>
  <c r="G2725" i="1"/>
  <c r="F2725" i="1"/>
  <c r="N2724" i="1"/>
  <c r="H2724" i="1"/>
  <c r="G2724" i="1"/>
  <c r="F2724" i="1"/>
  <c r="N2723" i="1"/>
  <c r="H2723" i="1"/>
  <c r="G2723" i="1"/>
  <c r="F2723" i="1"/>
  <c r="N2722" i="1"/>
  <c r="H2722" i="1"/>
  <c r="G2722" i="1"/>
  <c r="F2722" i="1"/>
  <c r="N2721" i="1"/>
  <c r="H2721" i="1"/>
  <c r="G2721" i="1"/>
  <c r="F2721" i="1"/>
  <c r="N2720" i="1"/>
  <c r="H2720" i="1"/>
  <c r="G2720" i="1"/>
  <c r="F2720" i="1"/>
  <c r="N2719" i="1"/>
  <c r="H2719" i="1"/>
  <c r="G2719" i="1"/>
  <c r="F2719" i="1"/>
  <c r="N2718" i="1"/>
  <c r="H2718" i="1"/>
  <c r="G2718" i="1"/>
  <c r="F2718" i="1"/>
  <c r="N2717" i="1"/>
  <c r="H2717" i="1"/>
  <c r="G2717" i="1"/>
  <c r="F2717" i="1"/>
  <c r="N2716" i="1"/>
  <c r="H2716" i="1"/>
  <c r="G2716" i="1"/>
  <c r="F2716" i="1"/>
  <c r="N2715" i="1"/>
  <c r="H2715" i="1"/>
  <c r="G2715" i="1"/>
  <c r="F2715" i="1"/>
  <c r="N2714" i="1"/>
  <c r="H2714" i="1"/>
  <c r="G2714" i="1"/>
  <c r="F2714" i="1"/>
  <c r="N2713" i="1"/>
  <c r="H2713" i="1"/>
  <c r="G2713" i="1"/>
  <c r="F2713" i="1"/>
  <c r="N2712" i="1"/>
  <c r="H2712" i="1"/>
  <c r="G2712" i="1"/>
  <c r="F2712" i="1"/>
  <c r="N2711" i="1"/>
  <c r="H2711" i="1"/>
  <c r="G2711" i="1"/>
  <c r="F2711" i="1"/>
  <c r="N2710" i="1"/>
  <c r="H2710" i="1"/>
  <c r="G2710" i="1"/>
  <c r="F2710" i="1"/>
  <c r="N2709" i="1"/>
  <c r="H2709" i="1"/>
  <c r="G2709" i="1"/>
  <c r="F2709" i="1"/>
  <c r="N2708" i="1"/>
  <c r="H2708" i="1"/>
  <c r="G2708" i="1"/>
  <c r="F2708" i="1"/>
  <c r="N2707" i="1"/>
  <c r="H2707" i="1"/>
  <c r="G2707" i="1"/>
  <c r="F2707" i="1"/>
  <c r="N2706" i="1"/>
  <c r="H2706" i="1"/>
  <c r="G2706" i="1"/>
  <c r="F2706" i="1"/>
  <c r="N2705" i="1"/>
  <c r="H2705" i="1"/>
  <c r="G2705" i="1"/>
  <c r="F2705" i="1"/>
  <c r="N2704" i="1"/>
  <c r="H2704" i="1"/>
  <c r="G2704" i="1"/>
  <c r="F2704" i="1"/>
  <c r="N2703" i="1"/>
  <c r="H2703" i="1"/>
  <c r="G2703" i="1"/>
  <c r="F2703" i="1"/>
  <c r="N2702" i="1"/>
  <c r="H2702" i="1"/>
  <c r="G2702" i="1"/>
  <c r="F2702" i="1"/>
  <c r="N2701" i="1"/>
  <c r="H2701" i="1"/>
  <c r="G2701" i="1"/>
  <c r="F2701" i="1"/>
  <c r="N2700" i="1"/>
  <c r="H2700" i="1"/>
  <c r="G2700" i="1"/>
  <c r="F2700" i="1"/>
  <c r="N2699" i="1"/>
  <c r="H2699" i="1"/>
  <c r="G2699" i="1"/>
  <c r="F2699" i="1"/>
  <c r="N2698" i="1"/>
  <c r="H2698" i="1"/>
  <c r="G2698" i="1"/>
  <c r="F2698" i="1"/>
  <c r="N2697" i="1"/>
  <c r="H2697" i="1"/>
  <c r="G2697" i="1"/>
  <c r="F2697" i="1"/>
  <c r="N2696" i="1"/>
  <c r="H2696" i="1"/>
  <c r="G2696" i="1"/>
  <c r="F2696" i="1"/>
  <c r="N2695" i="1"/>
  <c r="H2695" i="1"/>
  <c r="G2695" i="1"/>
  <c r="F2695" i="1"/>
  <c r="N2694" i="1"/>
  <c r="H2694" i="1"/>
  <c r="G2694" i="1"/>
  <c r="F2694" i="1"/>
  <c r="N2693" i="1"/>
  <c r="H2693" i="1"/>
  <c r="G2693" i="1"/>
  <c r="F2693" i="1"/>
  <c r="N2692" i="1"/>
  <c r="H2692" i="1"/>
  <c r="G2692" i="1"/>
  <c r="F2692" i="1"/>
  <c r="N2691" i="1"/>
  <c r="H2691" i="1"/>
  <c r="G2691" i="1"/>
  <c r="F2691" i="1"/>
  <c r="N2690" i="1"/>
  <c r="H2690" i="1"/>
  <c r="G2690" i="1"/>
  <c r="F2690" i="1"/>
  <c r="N2689" i="1"/>
  <c r="H2689" i="1"/>
  <c r="G2689" i="1"/>
  <c r="F2689" i="1"/>
  <c r="N2688" i="1"/>
  <c r="H2688" i="1"/>
  <c r="G2688" i="1"/>
  <c r="F2688" i="1"/>
  <c r="N2687" i="1"/>
  <c r="H2687" i="1"/>
  <c r="G2687" i="1"/>
  <c r="F2687" i="1"/>
  <c r="N2686" i="1"/>
  <c r="H2686" i="1"/>
  <c r="G2686" i="1"/>
  <c r="F2686" i="1"/>
  <c r="N2685" i="1"/>
  <c r="H2685" i="1"/>
  <c r="G2685" i="1"/>
  <c r="F2685" i="1"/>
  <c r="N2684" i="1"/>
  <c r="H2684" i="1"/>
  <c r="G2684" i="1"/>
  <c r="F2684" i="1"/>
  <c r="N2683" i="1"/>
  <c r="H2683" i="1"/>
  <c r="G2683" i="1"/>
  <c r="F2683" i="1"/>
  <c r="N2682" i="1"/>
  <c r="H2682" i="1"/>
  <c r="G2682" i="1"/>
  <c r="F2682" i="1"/>
  <c r="N2681" i="1"/>
  <c r="H2681" i="1"/>
  <c r="G2681" i="1"/>
  <c r="F2681" i="1"/>
  <c r="N2680" i="1"/>
  <c r="H2680" i="1"/>
  <c r="G2680" i="1"/>
  <c r="F2680" i="1"/>
  <c r="N2679" i="1"/>
  <c r="H2679" i="1"/>
  <c r="G2679" i="1"/>
  <c r="F2679" i="1"/>
  <c r="N2678" i="1"/>
  <c r="H2678" i="1"/>
  <c r="G2678" i="1"/>
  <c r="F2678" i="1"/>
  <c r="N2677" i="1"/>
  <c r="H2677" i="1"/>
  <c r="G2677" i="1"/>
  <c r="F2677" i="1"/>
  <c r="N2676" i="1"/>
  <c r="H2676" i="1"/>
  <c r="G2676" i="1"/>
  <c r="F2676" i="1"/>
  <c r="N2675" i="1"/>
  <c r="H2675" i="1"/>
  <c r="G2675" i="1"/>
  <c r="F2675" i="1"/>
  <c r="N2674" i="1"/>
  <c r="H2674" i="1"/>
  <c r="G2674" i="1"/>
  <c r="F2674" i="1"/>
  <c r="N2673" i="1"/>
  <c r="H2673" i="1"/>
  <c r="G2673" i="1"/>
  <c r="F2673" i="1"/>
  <c r="N2672" i="1"/>
  <c r="H2672" i="1"/>
  <c r="G2672" i="1"/>
  <c r="F2672" i="1"/>
  <c r="N2671" i="1"/>
  <c r="H2671" i="1"/>
  <c r="G2671" i="1"/>
  <c r="F2671" i="1"/>
  <c r="N2670" i="1"/>
  <c r="H2670" i="1"/>
  <c r="G2670" i="1"/>
  <c r="F2670" i="1"/>
  <c r="N2669" i="1"/>
  <c r="H2669" i="1"/>
  <c r="G2669" i="1"/>
  <c r="F2669" i="1"/>
  <c r="N2668" i="1"/>
  <c r="H2668" i="1"/>
  <c r="G2668" i="1"/>
  <c r="F2668" i="1"/>
  <c r="N2667" i="1"/>
  <c r="H2667" i="1"/>
  <c r="G2667" i="1"/>
  <c r="F2667" i="1"/>
  <c r="N2666" i="1"/>
  <c r="H2666" i="1"/>
  <c r="G2666" i="1"/>
  <c r="F2666" i="1"/>
  <c r="N2665" i="1"/>
  <c r="H2665" i="1"/>
  <c r="G2665" i="1"/>
  <c r="F2665" i="1"/>
  <c r="N2664" i="1"/>
  <c r="H2664" i="1"/>
  <c r="G2664" i="1"/>
  <c r="F2664" i="1"/>
  <c r="N2663" i="1"/>
  <c r="H2663" i="1"/>
  <c r="G2663" i="1"/>
  <c r="F2663" i="1"/>
  <c r="N2662" i="1"/>
  <c r="H2662" i="1"/>
  <c r="G2662" i="1"/>
  <c r="F2662" i="1"/>
  <c r="N2661" i="1"/>
  <c r="H2661" i="1"/>
  <c r="G2661" i="1"/>
  <c r="F2661" i="1"/>
  <c r="N2660" i="1"/>
  <c r="H2660" i="1"/>
  <c r="G2660" i="1"/>
  <c r="F2660" i="1"/>
  <c r="N2659" i="1"/>
  <c r="H2659" i="1"/>
  <c r="G2659" i="1"/>
  <c r="F2659" i="1"/>
  <c r="N2658" i="1"/>
  <c r="H2658" i="1"/>
  <c r="G2658" i="1"/>
  <c r="F2658" i="1"/>
  <c r="N2657" i="1"/>
  <c r="H2657" i="1"/>
  <c r="G2657" i="1"/>
  <c r="F2657" i="1"/>
  <c r="N2656" i="1"/>
  <c r="H2656" i="1"/>
  <c r="G2656" i="1"/>
  <c r="F2656" i="1"/>
  <c r="N2655" i="1"/>
  <c r="H2655" i="1"/>
  <c r="G2655" i="1"/>
  <c r="F2655" i="1"/>
  <c r="N2654" i="1"/>
  <c r="H2654" i="1"/>
  <c r="G2654" i="1"/>
  <c r="F2654" i="1"/>
  <c r="N2653" i="1"/>
  <c r="H2653" i="1"/>
  <c r="G2653" i="1"/>
  <c r="F2653" i="1"/>
  <c r="N2652" i="1"/>
  <c r="H2652" i="1"/>
  <c r="G2652" i="1"/>
  <c r="F2652" i="1"/>
  <c r="N2651" i="1"/>
  <c r="H2651" i="1"/>
  <c r="G2651" i="1"/>
  <c r="F2651" i="1"/>
  <c r="N2650" i="1"/>
  <c r="H2650" i="1"/>
  <c r="G2650" i="1"/>
  <c r="F2650" i="1"/>
  <c r="N2649" i="1"/>
  <c r="H2649" i="1"/>
  <c r="G2649" i="1"/>
  <c r="F2649" i="1"/>
  <c r="N2648" i="1"/>
  <c r="H2648" i="1"/>
  <c r="G2648" i="1"/>
  <c r="F2648" i="1"/>
  <c r="N2647" i="1"/>
  <c r="H2647" i="1"/>
  <c r="G2647" i="1"/>
  <c r="F2647" i="1"/>
  <c r="N2646" i="1"/>
  <c r="H2646" i="1"/>
  <c r="G2646" i="1"/>
  <c r="F2646" i="1"/>
  <c r="N2645" i="1"/>
  <c r="H2645" i="1"/>
  <c r="G2645" i="1"/>
  <c r="F2645" i="1"/>
  <c r="N2644" i="1"/>
  <c r="H2644" i="1"/>
  <c r="G2644" i="1"/>
  <c r="F2644" i="1"/>
  <c r="N2643" i="1"/>
  <c r="H2643" i="1"/>
  <c r="G2643" i="1"/>
  <c r="F2643" i="1"/>
  <c r="N2642" i="1"/>
  <c r="H2642" i="1"/>
  <c r="G2642" i="1"/>
  <c r="F2642" i="1"/>
  <c r="N2641" i="1"/>
  <c r="H2641" i="1"/>
  <c r="G2641" i="1"/>
  <c r="F2641" i="1"/>
  <c r="N2640" i="1"/>
  <c r="H2640" i="1"/>
  <c r="G2640" i="1"/>
  <c r="F2640" i="1"/>
  <c r="N2639" i="1"/>
  <c r="H2639" i="1"/>
  <c r="G2639" i="1"/>
  <c r="F2639" i="1"/>
  <c r="N2638" i="1"/>
  <c r="H2638" i="1"/>
  <c r="G2638" i="1"/>
  <c r="F2638" i="1"/>
  <c r="N2637" i="1"/>
  <c r="H2637" i="1"/>
  <c r="G2637" i="1"/>
  <c r="F2637" i="1"/>
  <c r="N2636" i="1"/>
  <c r="H2636" i="1"/>
  <c r="G2636" i="1"/>
  <c r="F2636" i="1"/>
  <c r="N2635" i="1"/>
  <c r="H2635" i="1"/>
  <c r="G2635" i="1"/>
  <c r="F2635" i="1"/>
  <c r="N2634" i="1"/>
  <c r="H2634" i="1"/>
  <c r="G2634" i="1"/>
  <c r="F2634" i="1"/>
  <c r="N2633" i="1"/>
  <c r="H2633" i="1"/>
  <c r="G2633" i="1"/>
  <c r="F2633" i="1"/>
  <c r="N2632" i="1"/>
  <c r="H2632" i="1"/>
  <c r="G2632" i="1"/>
  <c r="F2632" i="1"/>
  <c r="N2631" i="1"/>
  <c r="H2631" i="1"/>
  <c r="G2631" i="1"/>
  <c r="F2631" i="1"/>
  <c r="N2630" i="1"/>
  <c r="H2630" i="1"/>
  <c r="G2630" i="1"/>
  <c r="F2630" i="1"/>
  <c r="N2629" i="1"/>
  <c r="H2629" i="1"/>
  <c r="G2629" i="1"/>
  <c r="F2629" i="1"/>
  <c r="N2628" i="1"/>
  <c r="H2628" i="1"/>
  <c r="G2628" i="1"/>
  <c r="F2628" i="1"/>
  <c r="N2627" i="1"/>
  <c r="H2627" i="1"/>
  <c r="G2627" i="1"/>
  <c r="F2627" i="1"/>
  <c r="N2626" i="1"/>
  <c r="H2626" i="1"/>
  <c r="G2626" i="1"/>
  <c r="F2626" i="1"/>
  <c r="N2625" i="1"/>
  <c r="H2625" i="1"/>
  <c r="G2625" i="1"/>
  <c r="F2625" i="1"/>
  <c r="N2624" i="1"/>
  <c r="H2624" i="1"/>
  <c r="G2624" i="1"/>
  <c r="F2624" i="1"/>
  <c r="N2623" i="1"/>
  <c r="H2623" i="1"/>
  <c r="G2623" i="1"/>
  <c r="F2623" i="1"/>
  <c r="N2622" i="1"/>
  <c r="H2622" i="1"/>
  <c r="G2622" i="1"/>
  <c r="F2622" i="1"/>
  <c r="N2621" i="1"/>
  <c r="H2621" i="1"/>
  <c r="G2621" i="1"/>
  <c r="F2621" i="1"/>
  <c r="N2620" i="1"/>
  <c r="H2620" i="1"/>
  <c r="G2620" i="1"/>
  <c r="F2620" i="1"/>
  <c r="N2619" i="1"/>
  <c r="H2619" i="1"/>
  <c r="G2619" i="1"/>
  <c r="F2619" i="1"/>
  <c r="N2618" i="1"/>
  <c r="H2618" i="1"/>
  <c r="G2618" i="1"/>
  <c r="F2618" i="1"/>
  <c r="N2617" i="1"/>
  <c r="H2617" i="1"/>
  <c r="G2617" i="1"/>
  <c r="F2617" i="1"/>
  <c r="N2616" i="1"/>
  <c r="H2616" i="1"/>
  <c r="G2616" i="1"/>
  <c r="F2616" i="1"/>
  <c r="N2615" i="1"/>
  <c r="H2615" i="1"/>
  <c r="G2615" i="1"/>
  <c r="F2615" i="1"/>
  <c r="N2614" i="1"/>
  <c r="H2614" i="1"/>
  <c r="G2614" i="1"/>
  <c r="F2614" i="1"/>
  <c r="N2613" i="1"/>
  <c r="H2613" i="1"/>
  <c r="G2613" i="1"/>
  <c r="F2613" i="1"/>
  <c r="N2612" i="1"/>
  <c r="H2612" i="1"/>
  <c r="G2612" i="1"/>
  <c r="F2612" i="1"/>
  <c r="N2611" i="1"/>
  <c r="H2611" i="1"/>
  <c r="G2611" i="1"/>
  <c r="F2611" i="1"/>
  <c r="N2610" i="1"/>
  <c r="H2610" i="1"/>
  <c r="G2610" i="1"/>
  <c r="F2610" i="1"/>
  <c r="N2609" i="1"/>
  <c r="H2609" i="1"/>
  <c r="G2609" i="1"/>
  <c r="F2609" i="1"/>
  <c r="N2608" i="1"/>
  <c r="H2608" i="1"/>
  <c r="G2608" i="1"/>
  <c r="F2608" i="1"/>
  <c r="N2607" i="1"/>
  <c r="H2607" i="1"/>
  <c r="G2607" i="1"/>
  <c r="F2607" i="1"/>
  <c r="N2606" i="1"/>
  <c r="H2606" i="1"/>
  <c r="G2606" i="1"/>
  <c r="F2606" i="1"/>
  <c r="N2605" i="1"/>
  <c r="H2605" i="1"/>
  <c r="G2605" i="1"/>
  <c r="F2605" i="1"/>
  <c r="N2604" i="1"/>
  <c r="H2604" i="1"/>
  <c r="G2604" i="1"/>
  <c r="F2604" i="1"/>
  <c r="N2603" i="1"/>
  <c r="H2603" i="1"/>
  <c r="G2603" i="1"/>
  <c r="F2603" i="1"/>
  <c r="N2602" i="1"/>
  <c r="H2602" i="1"/>
  <c r="G2602" i="1"/>
  <c r="F2602" i="1"/>
  <c r="N2601" i="1"/>
  <c r="H2601" i="1"/>
  <c r="G2601" i="1"/>
  <c r="F2601" i="1"/>
  <c r="N2600" i="1"/>
  <c r="H2600" i="1"/>
  <c r="G2600" i="1"/>
  <c r="F2600" i="1"/>
  <c r="N2599" i="1"/>
  <c r="H2599" i="1"/>
  <c r="G2599" i="1"/>
  <c r="F2599" i="1"/>
  <c r="N2598" i="1"/>
  <c r="H2598" i="1"/>
  <c r="G2598" i="1"/>
  <c r="F2598" i="1"/>
  <c r="N2597" i="1"/>
  <c r="H2597" i="1"/>
  <c r="G2597" i="1"/>
  <c r="F2597" i="1"/>
  <c r="N2596" i="1"/>
  <c r="H2596" i="1"/>
  <c r="G2596" i="1"/>
  <c r="F2596" i="1"/>
  <c r="N2595" i="1"/>
  <c r="H2595" i="1"/>
  <c r="G2595" i="1"/>
  <c r="F2595" i="1"/>
  <c r="N2594" i="1"/>
  <c r="H2594" i="1"/>
  <c r="G2594" i="1"/>
  <c r="F2594" i="1"/>
  <c r="N2593" i="1"/>
  <c r="H2593" i="1"/>
  <c r="G2593" i="1"/>
  <c r="F2593" i="1"/>
  <c r="N2592" i="1"/>
  <c r="H2592" i="1"/>
  <c r="G2592" i="1"/>
  <c r="F2592" i="1"/>
  <c r="N2591" i="1"/>
  <c r="H2591" i="1"/>
  <c r="G2591" i="1"/>
  <c r="F2591" i="1"/>
  <c r="N2590" i="1"/>
  <c r="H2590" i="1"/>
  <c r="G2590" i="1"/>
  <c r="F2590" i="1"/>
  <c r="N2589" i="1"/>
  <c r="H2589" i="1"/>
  <c r="G2589" i="1"/>
  <c r="F2589" i="1"/>
  <c r="N2588" i="1"/>
  <c r="H2588" i="1"/>
  <c r="G2588" i="1"/>
  <c r="F2588" i="1"/>
  <c r="N2587" i="1"/>
  <c r="H2587" i="1"/>
  <c r="G2587" i="1"/>
  <c r="F2587" i="1"/>
  <c r="N2586" i="1"/>
  <c r="H2586" i="1"/>
  <c r="G2586" i="1"/>
  <c r="F2586" i="1"/>
  <c r="N2585" i="1"/>
  <c r="H2585" i="1"/>
  <c r="G2585" i="1"/>
  <c r="F2585" i="1"/>
  <c r="N2584" i="1"/>
  <c r="H2584" i="1"/>
  <c r="G2584" i="1"/>
  <c r="F2584" i="1"/>
  <c r="N2583" i="1"/>
  <c r="H2583" i="1"/>
  <c r="G2583" i="1"/>
  <c r="F2583" i="1"/>
  <c r="N2582" i="1"/>
  <c r="H2582" i="1"/>
  <c r="G2582" i="1"/>
  <c r="F2582" i="1"/>
  <c r="N2581" i="1"/>
  <c r="H2581" i="1"/>
  <c r="G2581" i="1"/>
  <c r="F2581" i="1"/>
  <c r="N2580" i="1"/>
  <c r="H2580" i="1"/>
  <c r="G2580" i="1"/>
  <c r="F2580" i="1"/>
  <c r="N2579" i="1"/>
  <c r="H2579" i="1"/>
  <c r="G2579" i="1"/>
  <c r="F2579" i="1"/>
  <c r="N2578" i="1"/>
  <c r="H2578" i="1"/>
  <c r="G2578" i="1"/>
  <c r="F2578" i="1"/>
  <c r="N2577" i="1"/>
  <c r="H2577" i="1"/>
  <c r="G2577" i="1"/>
  <c r="F2577" i="1"/>
  <c r="N2576" i="1"/>
  <c r="H2576" i="1"/>
  <c r="G2576" i="1"/>
  <c r="F2576" i="1"/>
  <c r="N2575" i="1"/>
  <c r="H2575" i="1"/>
  <c r="G2575" i="1"/>
  <c r="F2575" i="1"/>
  <c r="N2574" i="1"/>
  <c r="H2574" i="1"/>
  <c r="G2574" i="1"/>
  <c r="F2574" i="1"/>
  <c r="N2573" i="1"/>
  <c r="H2573" i="1"/>
  <c r="G2573" i="1"/>
  <c r="F2573" i="1"/>
  <c r="N2572" i="1"/>
  <c r="H2572" i="1"/>
  <c r="G2572" i="1"/>
  <c r="F2572" i="1"/>
  <c r="N2571" i="1"/>
  <c r="H2571" i="1"/>
  <c r="G2571" i="1"/>
  <c r="F2571" i="1"/>
  <c r="N2570" i="1"/>
  <c r="H2570" i="1"/>
  <c r="G2570" i="1"/>
  <c r="F2570" i="1"/>
  <c r="N2569" i="1"/>
  <c r="H2569" i="1"/>
  <c r="G2569" i="1"/>
  <c r="F2569" i="1"/>
  <c r="N2568" i="1"/>
  <c r="H2568" i="1"/>
  <c r="G2568" i="1"/>
  <c r="F2568" i="1"/>
  <c r="N2567" i="1"/>
  <c r="H2567" i="1"/>
  <c r="G2567" i="1"/>
  <c r="F2567" i="1"/>
  <c r="N2566" i="1"/>
  <c r="H2566" i="1"/>
  <c r="G2566" i="1"/>
  <c r="F2566" i="1"/>
  <c r="N2565" i="1"/>
  <c r="H2565" i="1"/>
  <c r="G2565" i="1"/>
  <c r="F2565" i="1"/>
  <c r="N2564" i="1"/>
  <c r="H2564" i="1"/>
  <c r="G2564" i="1"/>
  <c r="F2564" i="1"/>
  <c r="N2563" i="1"/>
  <c r="H2563" i="1"/>
  <c r="G2563" i="1"/>
  <c r="F2563" i="1"/>
  <c r="N2562" i="1"/>
  <c r="H2562" i="1"/>
  <c r="G2562" i="1"/>
  <c r="F2562" i="1"/>
  <c r="N2561" i="1"/>
  <c r="H2561" i="1"/>
  <c r="G2561" i="1"/>
  <c r="F2561" i="1"/>
  <c r="N2560" i="1"/>
  <c r="H2560" i="1"/>
  <c r="G2560" i="1"/>
  <c r="F2560" i="1"/>
  <c r="N2559" i="1"/>
  <c r="H2559" i="1"/>
  <c r="G2559" i="1"/>
  <c r="F2559" i="1"/>
  <c r="N2558" i="1"/>
  <c r="H2558" i="1"/>
  <c r="G2558" i="1"/>
  <c r="F2558" i="1"/>
  <c r="N2557" i="1"/>
  <c r="H2557" i="1"/>
  <c r="G2557" i="1"/>
  <c r="F2557" i="1"/>
  <c r="N2556" i="1"/>
  <c r="H2556" i="1"/>
  <c r="G2556" i="1"/>
  <c r="F2556" i="1"/>
  <c r="N2555" i="1"/>
  <c r="H2555" i="1"/>
  <c r="G2555" i="1"/>
  <c r="F2555" i="1"/>
  <c r="N2554" i="1"/>
  <c r="G2554" i="1"/>
  <c r="F2554" i="1"/>
  <c r="N2553" i="1"/>
  <c r="G2553" i="1"/>
  <c r="F2553" i="1"/>
  <c r="N2552" i="1"/>
  <c r="G2552" i="1"/>
  <c r="F2552" i="1"/>
  <c r="N2551" i="1"/>
  <c r="G2551" i="1"/>
  <c r="F2551" i="1"/>
  <c r="N2550" i="1"/>
  <c r="G2550" i="1"/>
  <c r="F2550" i="1"/>
  <c r="N2549" i="1"/>
  <c r="G2549" i="1"/>
  <c r="F2549" i="1"/>
  <c r="N2548" i="1"/>
  <c r="G2548" i="1"/>
  <c r="F2548" i="1"/>
  <c r="N2547" i="1"/>
  <c r="G2547" i="1"/>
  <c r="F2547" i="1"/>
  <c r="N2546" i="1"/>
  <c r="G2546" i="1"/>
  <c r="F2546" i="1"/>
  <c r="N2545" i="1"/>
  <c r="G2545" i="1"/>
  <c r="F2545" i="1"/>
  <c r="N2544" i="1"/>
  <c r="G2544" i="1"/>
  <c r="F2544" i="1"/>
  <c r="N2543" i="1"/>
  <c r="G2543" i="1"/>
  <c r="F2543" i="1"/>
  <c r="N2542" i="1"/>
  <c r="G2542" i="1"/>
  <c r="F2542" i="1"/>
  <c r="N2541" i="1"/>
  <c r="G2541" i="1"/>
  <c r="F2541" i="1"/>
  <c r="N2540" i="1"/>
  <c r="G2540" i="1"/>
  <c r="F2540" i="1"/>
  <c r="N2539" i="1"/>
  <c r="G2539" i="1"/>
  <c r="F2539" i="1"/>
  <c r="N2538" i="1"/>
  <c r="G2538" i="1"/>
  <c r="F2538" i="1"/>
  <c r="N2537" i="1"/>
  <c r="G2537" i="1"/>
  <c r="F2537" i="1"/>
  <c r="N2536" i="1"/>
  <c r="G2536" i="1"/>
  <c r="F2536" i="1"/>
  <c r="N2535" i="1"/>
  <c r="G2535" i="1"/>
  <c r="F2535" i="1"/>
  <c r="N2534" i="1"/>
  <c r="G2534" i="1"/>
  <c r="F2534" i="1"/>
  <c r="N2533" i="1"/>
  <c r="G2533" i="1"/>
  <c r="F2533" i="1"/>
  <c r="N2532" i="1"/>
  <c r="G2532" i="1"/>
  <c r="F2532" i="1"/>
  <c r="N2531" i="1"/>
  <c r="G2531" i="1"/>
  <c r="F2531" i="1"/>
  <c r="N2530" i="1"/>
  <c r="G2530" i="1"/>
  <c r="F2530" i="1"/>
  <c r="N2529" i="1"/>
  <c r="G2529" i="1"/>
  <c r="F2529" i="1"/>
  <c r="N2528" i="1"/>
  <c r="G2528" i="1"/>
  <c r="F2528" i="1"/>
  <c r="N2527" i="1"/>
  <c r="G2527" i="1"/>
  <c r="F2527" i="1"/>
  <c r="N2526" i="1"/>
  <c r="G2526" i="1"/>
  <c r="F2526" i="1"/>
  <c r="N2525" i="1"/>
  <c r="G2525" i="1"/>
  <c r="F2525" i="1"/>
  <c r="N2524" i="1"/>
  <c r="G2524" i="1"/>
  <c r="F2524" i="1"/>
  <c r="N2523" i="1"/>
  <c r="G2523" i="1"/>
  <c r="F2523" i="1"/>
  <c r="N2522" i="1"/>
  <c r="G2522" i="1"/>
  <c r="F2522" i="1"/>
  <c r="N2521" i="1"/>
  <c r="G2521" i="1"/>
  <c r="F2521" i="1"/>
  <c r="N2520" i="1"/>
  <c r="G2520" i="1"/>
  <c r="F2520" i="1"/>
  <c r="N2519" i="1"/>
  <c r="G2519" i="1"/>
  <c r="F2519" i="1"/>
  <c r="N2518" i="1"/>
  <c r="G2518" i="1"/>
  <c r="F2518" i="1"/>
  <c r="N2517" i="1"/>
  <c r="G2517" i="1"/>
  <c r="F2517" i="1"/>
  <c r="N2516" i="1"/>
  <c r="G2516" i="1"/>
  <c r="F2516" i="1"/>
  <c r="N2515" i="1"/>
  <c r="G2515" i="1"/>
  <c r="F2515" i="1"/>
  <c r="N2514" i="1"/>
  <c r="G2514" i="1"/>
  <c r="F2514" i="1"/>
  <c r="N2513" i="1"/>
  <c r="G2513" i="1"/>
  <c r="F2513" i="1"/>
  <c r="N2512" i="1"/>
  <c r="G2512" i="1"/>
  <c r="F2512" i="1"/>
  <c r="N2511" i="1"/>
  <c r="G2511" i="1"/>
  <c r="F2511" i="1"/>
  <c r="N2510" i="1"/>
  <c r="G2510" i="1"/>
  <c r="F2510" i="1"/>
  <c r="N2509" i="1"/>
  <c r="G2509" i="1"/>
  <c r="F2509" i="1"/>
  <c r="N2508" i="1"/>
  <c r="G2508" i="1"/>
  <c r="F2508" i="1"/>
  <c r="N2507" i="1"/>
  <c r="G2507" i="1"/>
  <c r="F2507" i="1"/>
  <c r="N2506" i="1"/>
  <c r="G2506" i="1"/>
  <c r="F2506" i="1"/>
  <c r="N2505" i="1"/>
  <c r="G2505" i="1"/>
  <c r="F2505" i="1"/>
  <c r="N2504" i="1"/>
  <c r="G2504" i="1"/>
  <c r="F2504" i="1"/>
  <c r="N2503" i="1"/>
  <c r="G2503" i="1"/>
  <c r="F2503" i="1"/>
  <c r="N2502" i="1"/>
  <c r="G2502" i="1"/>
  <c r="F2502" i="1"/>
  <c r="N2501" i="1"/>
  <c r="G2501" i="1"/>
  <c r="F2501" i="1"/>
  <c r="N2500" i="1"/>
  <c r="G2500" i="1"/>
  <c r="F2500" i="1"/>
  <c r="N2499" i="1"/>
  <c r="G2499" i="1"/>
  <c r="F2499" i="1"/>
  <c r="N2498" i="1"/>
  <c r="G2498" i="1"/>
  <c r="F2498" i="1"/>
  <c r="N2497" i="1"/>
  <c r="G2497" i="1"/>
  <c r="F2497" i="1"/>
  <c r="N2496" i="1"/>
  <c r="G2496" i="1"/>
  <c r="F2496" i="1"/>
  <c r="N2495" i="1"/>
  <c r="G2495" i="1"/>
  <c r="F2495" i="1"/>
  <c r="N2494" i="1"/>
  <c r="G2494" i="1"/>
  <c r="F2494" i="1"/>
  <c r="N2493" i="1"/>
  <c r="G2493" i="1"/>
  <c r="F2493" i="1"/>
  <c r="N2492" i="1"/>
  <c r="G2492" i="1"/>
  <c r="F2492" i="1"/>
  <c r="N2491" i="1"/>
  <c r="G2491" i="1"/>
  <c r="F2491" i="1"/>
  <c r="N2490" i="1"/>
  <c r="G2490" i="1"/>
  <c r="F2490" i="1"/>
  <c r="N2489" i="1"/>
  <c r="G2489" i="1"/>
  <c r="F2489" i="1"/>
  <c r="N2488" i="1"/>
  <c r="G2488" i="1"/>
  <c r="F2488" i="1"/>
  <c r="N2487" i="1"/>
  <c r="G2487" i="1"/>
  <c r="F2487" i="1"/>
  <c r="N2486" i="1"/>
  <c r="G2486" i="1"/>
  <c r="F2486" i="1"/>
  <c r="N2485" i="1"/>
  <c r="G2485" i="1"/>
  <c r="F2485" i="1"/>
  <c r="N2484" i="1"/>
  <c r="G2484" i="1"/>
  <c r="F2484" i="1"/>
  <c r="N2483" i="1"/>
  <c r="G2483" i="1"/>
  <c r="F2483" i="1"/>
  <c r="N2482" i="1"/>
  <c r="G2482" i="1"/>
  <c r="F2482" i="1"/>
  <c r="N2481" i="1"/>
  <c r="G2481" i="1"/>
  <c r="F2481" i="1"/>
  <c r="N2480" i="1"/>
  <c r="G2480" i="1"/>
  <c r="F2480" i="1"/>
  <c r="N2479" i="1"/>
  <c r="G2479" i="1"/>
  <c r="F2479" i="1"/>
  <c r="N2478" i="1"/>
  <c r="G2478" i="1"/>
  <c r="F2478" i="1"/>
  <c r="N2477" i="1"/>
  <c r="G2477" i="1"/>
  <c r="F2477" i="1"/>
  <c r="N2476" i="1"/>
  <c r="G2476" i="1"/>
  <c r="F2476" i="1"/>
  <c r="N2475" i="1"/>
  <c r="G2475" i="1"/>
  <c r="F2475" i="1"/>
  <c r="N2474" i="1"/>
  <c r="G2474" i="1"/>
  <c r="F2474" i="1"/>
  <c r="N2473" i="1"/>
  <c r="G2473" i="1"/>
  <c r="F2473" i="1"/>
  <c r="N2472" i="1"/>
  <c r="G2472" i="1"/>
  <c r="F2472" i="1"/>
  <c r="N2471" i="1"/>
  <c r="G2471" i="1"/>
  <c r="F2471" i="1"/>
  <c r="N2470" i="1"/>
  <c r="G2470" i="1"/>
  <c r="F2470" i="1"/>
  <c r="N2469" i="1"/>
  <c r="G2469" i="1"/>
  <c r="F2469" i="1"/>
  <c r="N2468" i="1"/>
  <c r="G2468" i="1"/>
  <c r="F2468" i="1"/>
  <c r="N2467" i="1"/>
  <c r="G2467" i="1"/>
  <c r="F2467" i="1"/>
  <c r="N2466" i="1"/>
  <c r="G2466" i="1"/>
  <c r="F2466" i="1"/>
  <c r="N2465" i="1"/>
  <c r="G2465" i="1"/>
  <c r="F2465" i="1"/>
  <c r="N2464" i="1"/>
  <c r="G2464" i="1"/>
  <c r="F2464" i="1"/>
  <c r="N2463" i="1"/>
  <c r="G2463" i="1"/>
  <c r="F2463" i="1"/>
  <c r="N2462" i="1"/>
  <c r="G2462" i="1"/>
  <c r="F2462" i="1"/>
  <c r="N2461" i="1"/>
  <c r="G2461" i="1"/>
  <c r="F2461" i="1"/>
  <c r="N2460" i="1"/>
  <c r="G2460" i="1"/>
  <c r="F2460" i="1"/>
  <c r="N2459" i="1"/>
  <c r="G2459" i="1"/>
  <c r="F2459" i="1"/>
  <c r="N2458" i="1"/>
  <c r="G2458" i="1"/>
  <c r="F2458" i="1"/>
  <c r="N2457" i="1"/>
  <c r="G2457" i="1"/>
  <c r="F2457" i="1"/>
  <c r="N2456" i="1"/>
  <c r="G2456" i="1"/>
  <c r="F2456" i="1"/>
  <c r="N2455" i="1"/>
  <c r="G2455" i="1"/>
  <c r="F2455" i="1"/>
  <c r="N2454" i="1"/>
  <c r="G2454" i="1"/>
  <c r="F2454" i="1"/>
  <c r="N2453" i="1"/>
  <c r="G2453" i="1"/>
  <c r="F2453" i="1"/>
  <c r="N2452" i="1"/>
  <c r="G2452" i="1"/>
  <c r="F2452" i="1"/>
  <c r="N2451" i="1"/>
  <c r="G2451" i="1"/>
  <c r="F2451" i="1"/>
  <c r="N2450" i="1"/>
  <c r="G2450" i="1"/>
  <c r="F2450" i="1"/>
  <c r="N2449" i="1"/>
  <c r="G2449" i="1"/>
  <c r="F2449" i="1"/>
  <c r="N2448" i="1"/>
  <c r="G2448" i="1"/>
  <c r="F2448" i="1"/>
  <c r="N2447" i="1"/>
  <c r="G2447" i="1"/>
  <c r="F2447" i="1"/>
  <c r="N2446" i="1"/>
  <c r="G2446" i="1"/>
  <c r="F2446" i="1"/>
  <c r="N2445" i="1"/>
  <c r="G2445" i="1"/>
  <c r="F2445" i="1"/>
  <c r="N2444" i="1"/>
  <c r="G2444" i="1"/>
  <c r="F2444" i="1"/>
  <c r="N2443" i="1"/>
  <c r="G2443" i="1"/>
  <c r="F2443" i="1"/>
  <c r="N2442" i="1"/>
  <c r="G2442" i="1"/>
  <c r="F2442" i="1"/>
  <c r="N2441" i="1"/>
  <c r="G2441" i="1"/>
  <c r="F2441" i="1"/>
  <c r="N2440" i="1"/>
  <c r="G2440" i="1"/>
  <c r="F2440" i="1"/>
  <c r="N2439" i="1"/>
  <c r="G2439" i="1"/>
  <c r="F2439" i="1"/>
  <c r="N2438" i="1"/>
  <c r="G2438" i="1"/>
  <c r="F2438" i="1"/>
  <c r="N2437" i="1"/>
  <c r="G2437" i="1"/>
  <c r="F2437" i="1"/>
  <c r="N2436" i="1"/>
  <c r="G2436" i="1"/>
  <c r="F2436" i="1"/>
  <c r="N2435" i="1"/>
  <c r="G2435" i="1"/>
  <c r="F2435" i="1"/>
  <c r="N2434" i="1"/>
  <c r="G2434" i="1"/>
  <c r="F2434" i="1"/>
  <c r="N2433" i="1"/>
  <c r="G2433" i="1"/>
  <c r="F2433" i="1"/>
  <c r="N2432" i="1"/>
  <c r="G2432" i="1"/>
  <c r="F2432" i="1"/>
  <c r="N2431" i="1"/>
  <c r="G2431" i="1"/>
  <c r="F2431" i="1"/>
  <c r="N2430" i="1"/>
  <c r="G2430" i="1"/>
  <c r="F2430" i="1"/>
  <c r="N2429" i="1"/>
  <c r="G2429" i="1"/>
  <c r="F2429" i="1"/>
  <c r="N2428" i="1"/>
  <c r="G2428" i="1"/>
  <c r="F2428" i="1"/>
  <c r="N2427" i="1"/>
  <c r="G2427" i="1"/>
  <c r="F2427" i="1"/>
  <c r="N2426" i="1"/>
  <c r="G2426" i="1"/>
  <c r="F2426" i="1"/>
  <c r="N2425" i="1"/>
  <c r="G2425" i="1"/>
  <c r="F2425" i="1"/>
  <c r="N2424" i="1"/>
  <c r="G2424" i="1"/>
  <c r="F2424" i="1"/>
  <c r="N2423" i="1"/>
  <c r="G2423" i="1"/>
  <c r="F2423" i="1"/>
  <c r="N2422" i="1"/>
  <c r="H2422" i="1"/>
  <c r="G2422" i="1"/>
  <c r="F2422" i="1"/>
  <c r="N2421" i="1"/>
  <c r="H2421" i="1"/>
  <c r="G2421" i="1"/>
  <c r="F2421" i="1"/>
  <c r="N2420" i="1"/>
  <c r="H2420" i="1"/>
  <c r="G2420" i="1"/>
  <c r="F2420" i="1"/>
  <c r="N2419" i="1"/>
  <c r="H2419" i="1"/>
  <c r="G2419" i="1"/>
  <c r="F2419" i="1"/>
  <c r="N2418" i="1"/>
  <c r="H2418" i="1"/>
  <c r="G2418" i="1"/>
  <c r="F2418" i="1"/>
  <c r="N2417" i="1"/>
  <c r="H2417" i="1"/>
  <c r="G2417" i="1"/>
  <c r="F2417" i="1"/>
  <c r="N2416" i="1"/>
  <c r="H2416" i="1"/>
  <c r="G2416" i="1"/>
  <c r="F2416" i="1"/>
  <c r="N2415" i="1"/>
  <c r="H2415" i="1"/>
  <c r="G2415" i="1"/>
  <c r="F2415" i="1"/>
  <c r="N2414" i="1"/>
  <c r="H2414" i="1"/>
  <c r="G2414" i="1"/>
  <c r="F2414" i="1"/>
  <c r="N2413" i="1"/>
  <c r="H2413" i="1"/>
  <c r="G2413" i="1"/>
  <c r="F2413" i="1"/>
  <c r="N2412" i="1"/>
  <c r="H2412" i="1"/>
  <c r="G2412" i="1"/>
  <c r="F2412" i="1"/>
  <c r="N2411" i="1"/>
  <c r="H2411" i="1"/>
  <c r="G2411" i="1"/>
  <c r="F2411" i="1"/>
  <c r="N2410" i="1"/>
  <c r="H2410" i="1"/>
  <c r="G2410" i="1"/>
  <c r="F2410" i="1"/>
  <c r="N2409" i="1"/>
  <c r="H2409" i="1"/>
  <c r="G2409" i="1"/>
  <c r="F2409" i="1"/>
  <c r="N2408" i="1"/>
  <c r="H2408" i="1"/>
  <c r="G2408" i="1"/>
  <c r="F2408" i="1"/>
  <c r="N2407" i="1"/>
  <c r="H2407" i="1"/>
  <c r="G2407" i="1"/>
  <c r="F2407" i="1"/>
  <c r="N2406" i="1"/>
  <c r="H2406" i="1"/>
  <c r="G2406" i="1"/>
  <c r="F2406" i="1"/>
  <c r="N2405" i="1"/>
  <c r="H2405" i="1"/>
  <c r="G2405" i="1"/>
  <c r="F2405" i="1"/>
  <c r="N2404" i="1"/>
  <c r="H2404" i="1"/>
  <c r="G2404" i="1"/>
  <c r="F2404" i="1"/>
  <c r="N2403" i="1"/>
  <c r="H2403" i="1"/>
  <c r="G2403" i="1"/>
  <c r="F2403" i="1"/>
  <c r="N2402" i="1"/>
  <c r="H2402" i="1"/>
  <c r="G2402" i="1"/>
  <c r="F2402" i="1"/>
  <c r="N2401" i="1"/>
  <c r="H2401" i="1"/>
  <c r="G2401" i="1"/>
  <c r="F2401" i="1"/>
  <c r="N2400" i="1"/>
  <c r="H2400" i="1"/>
  <c r="G2400" i="1"/>
  <c r="F2400" i="1"/>
  <c r="N2399" i="1"/>
  <c r="H2399" i="1"/>
  <c r="G2399" i="1"/>
  <c r="F2399" i="1"/>
  <c r="N2398" i="1"/>
  <c r="H2398" i="1"/>
  <c r="G2398" i="1"/>
  <c r="F2398" i="1"/>
  <c r="N2397" i="1"/>
  <c r="H2397" i="1"/>
  <c r="G2397" i="1"/>
  <c r="F2397" i="1"/>
  <c r="N2396" i="1"/>
  <c r="H2396" i="1"/>
  <c r="G2396" i="1"/>
  <c r="F2396" i="1"/>
  <c r="N2395" i="1"/>
  <c r="H2395" i="1"/>
  <c r="G2395" i="1"/>
  <c r="F2395" i="1"/>
  <c r="N2394" i="1"/>
  <c r="H2394" i="1"/>
  <c r="G2394" i="1"/>
  <c r="F2394" i="1"/>
  <c r="N2393" i="1"/>
  <c r="H2393" i="1"/>
  <c r="G2393" i="1"/>
  <c r="F2393" i="1"/>
  <c r="N2392" i="1"/>
  <c r="H2392" i="1"/>
  <c r="G2392" i="1"/>
  <c r="F2392" i="1"/>
  <c r="N2391" i="1"/>
  <c r="H2391" i="1"/>
  <c r="G2391" i="1"/>
  <c r="F2391" i="1"/>
  <c r="N2390" i="1"/>
  <c r="H2390" i="1"/>
  <c r="G2390" i="1"/>
  <c r="F2390" i="1"/>
  <c r="N2389" i="1"/>
  <c r="H2389" i="1"/>
  <c r="G2389" i="1"/>
  <c r="F2389" i="1"/>
  <c r="N2388" i="1"/>
  <c r="H2388" i="1"/>
  <c r="G2388" i="1"/>
  <c r="F2388" i="1"/>
  <c r="N2387" i="1"/>
  <c r="H2387" i="1"/>
  <c r="G2387" i="1"/>
  <c r="F2387" i="1"/>
  <c r="N2386" i="1"/>
  <c r="H2386" i="1"/>
  <c r="G2386" i="1"/>
  <c r="F2386" i="1"/>
  <c r="N2385" i="1"/>
  <c r="H2385" i="1"/>
  <c r="G2385" i="1"/>
  <c r="F2385" i="1"/>
  <c r="N2384" i="1"/>
  <c r="H2384" i="1"/>
  <c r="G2384" i="1"/>
  <c r="F2384" i="1"/>
  <c r="N2383" i="1"/>
  <c r="H2383" i="1"/>
  <c r="G2383" i="1"/>
  <c r="F2383" i="1"/>
  <c r="N2382" i="1"/>
  <c r="H2382" i="1"/>
  <c r="G2382" i="1"/>
  <c r="F2382" i="1"/>
  <c r="N2381" i="1"/>
  <c r="H2381" i="1"/>
  <c r="G2381" i="1"/>
  <c r="F2381" i="1"/>
  <c r="N2380" i="1"/>
  <c r="H2380" i="1"/>
  <c r="G2380" i="1"/>
  <c r="F2380" i="1"/>
  <c r="N2379" i="1"/>
  <c r="H2379" i="1"/>
  <c r="G2379" i="1"/>
  <c r="F2379" i="1"/>
  <c r="N2378" i="1"/>
  <c r="H2378" i="1"/>
  <c r="G2378" i="1"/>
  <c r="F2378" i="1"/>
  <c r="N2377" i="1"/>
  <c r="H2377" i="1"/>
  <c r="G2377" i="1"/>
  <c r="F2377" i="1"/>
  <c r="N2376" i="1"/>
  <c r="H2376" i="1"/>
  <c r="G2376" i="1"/>
  <c r="F2376" i="1"/>
  <c r="N2375" i="1"/>
  <c r="H2375" i="1"/>
  <c r="G2375" i="1"/>
  <c r="F2375" i="1"/>
  <c r="N2374" i="1"/>
  <c r="H2374" i="1"/>
  <c r="G2374" i="1"/>
  <c r="F2374" i="1"/>
  <c r="N2373" i="1"/>
  <c r="H2373" i="1"/>
  <c r="G2373" i="1"/>
  <c r="F2373" i="1"/>
  <c r="N2372" i="1"/>
  <c r="H2372" i="1"/>
  <c r="G2372" i="1"/>
  <c r="F2372" i="1"/>
  <c r="N2371" i="1"/>
  <c r="H2371" i="1"/>
  <c r="G2371" i="1"/>
  <c r="F2371" i="1"/>
  <c r="N2370" i="1"/>
  <c r="H2370" i="1"/>
  <c r="G2370" i="1"/>
  <c r="F2370" i="1"/>
  <c r="N2369" i="1"/>
  <c r="H2369" i="1"/>
  <c r="G2369" i="1"/>
  <c r="F2369" i="1"/>
  <c r="N2368" i="1"/>
  <c r="H2368" i="1"/>
  <c r="G2368" i="1"/>
  <c r="F2368" i="1"/>
  <c r="N2367" i="1"/>
  <c r="H2367" i="1"/>
  <c r="G2367" i="1"/>
  <c r="F2367" i="1"/>
  <c r="N2366" i="1"/>
  <c r="H2366" i="1"/>
  <c r="G2366" i="1"/>
  <c r="F2366" i="1"/>
  <c r="N2365" i="1"/>
  <c r="H2365" i="1"/>
  <c r="G2365" i="1"/>
  <c r="F2365" i="1"/>
  <c r="N2364" i="1"/>
  <c r="H2364" i="1"/>
  <c r="G2364" i="1"/>
  <c r="F2364" i="1"/>
  <c r="N2363" i="1"/>
  <c r="H2363" i="1"/>
  <c r="G2363" i="1"/>
  <c r="F2363" i="1"/>
  <c r="N2362" i="1"/>
  <c r="H2362" i="1"/>
  <c r="G2362" i="1"/>
  <c r="F2362" i="1"/>
  <c r="N2361" i="1"/>
  <c r="H2361" i="1"/>
  <c r="G2361" i="1"/>
  <c r="F2361" i="1"/>
  <c r="N2360" i="1"/>
  <c r="H2360" i="1"/>
  <c r="G2360" i="1"/>
  <c r="F2360" i="1"/>
  <c r="N2359" i="1"/>
  <c r="H2359" i="1"/>
  <c r="G2359" i="1"/>
  <c r="F2359" i="1"/>
  <c r="N2358" i="1"/>
  <c r="H2358" i="1"/>
  <c r="G2358" i="1"/>
  <c r="F2358" i="1"/>
  <c r="N2357" i="1"/>
  <c r="H2357" i="1"/>
  <c r="G2357" i="1"/>
  <c r="F2357" i="1"/>
  <c r="N2356" i="1"/>
  <c r="H2356" i="1"/>
  <c r="G2356" i="1"/>
  <c r="F2356" i="1"/>
  <c r="N2355" i="1"/>
  <c r="H2355" i="1"/>
  <c r="G2355" i="1"/>
  <c r="F2355" i="1"/>
  <c r="N2354" i="1"/>
  <c r="H2354" i="1"/>
  <c r="G2354" i="1"/>
  <c r="F2354" i="1"/>
  <c r="N2353" i="1"/>
  <c r="H2353" i="1"/>
  <c r="G2353" i="1"/>
  <c r="F2353" i="1"/>
  <c r="N2352" i="1"/>
  <c r="H2352" i="1"/>
  <c r="G2352" i="1"/>
  <c r="F2352" i="1"/>
  <c r="N2351" i="1"/>
  <c r="H2351" i="1"/>
  <c r="G2351" i="1"/>
  <c r="F2351" i="1"/>
  <c r="N2350" i="1"/>
  <c r="H2350" i="1"/>
  <c r="G2350" i="1"/>
  <c r="F2350" i="1"/>
  <c r="N2349" i="1"/>
  <c r="H2349" i="1"/>
  <c r="G2349" i="1"/>
  <c r="F2349" i="1"/>
  <c r="N2348" i="1"/>
  <c r="H2348" i="1"/>
  <c r="G2348" i="1"/>
  <c r="F2348" i="1"/>
  <c r="N2347" i="1"/>
  <c r="H2347" i="1"/>
  <c r="G2347" i="1"/>
  <c r="F2347" i="1"/>
  <c r="N2346" i="1"/>
  <c r="H2346" i="1"/>
  <c r="G2346" i="1"/>
  <c r="F2346" i="1"/>
  <c r="N2345" i="1"/>
  <c r="H2345" i="1"/>
  <c r="G2345" i="1"/>
  <c r="F2345" i="1"/>
  <c r="N2344" i="1"/>
  <c r="H2344" i="1"/>
  <c r="G2344" i="1"/>
  <c r="F2344" i="1"/>
  <c r="N2343" i="1"/>
  <c r="H2343" i="1"/>
  <c r="G2343" i="1"/>
  <c r="F2343" i="1"/>
  <c r="N2342" i="1"/>
  <c r="H2342" i="1"/>
  <c r="G2342" i="1"/>
  <c r="F2342" i="1"/>
  <c r="N2341" i="1"/>
  <c r="H2341" i="1"/>
  <c r="G2341" i="1"/>
  <c r="F2341" i="1"/>
  <c r="N2340" i="1"/>
  <c r="H2340" i="1"/>
  <c r="G2340" i="1"/>
  <c r="F2340" i="1"/>
  <c r="N2339" i="1"/>
  <c r="H2339" i="1"/>
  <c r="G2339" i="1"/>
  <c r="F2339" i="1"/>
  <c r="N2338" i="1"/>
  <c r="H2338" i="1"/>
  <c r="G2338" i="1"/>
  <c r="F2338" i="1"/>
  <c r="N2337" i="1"/>
  <c r="H2337" i="1"/>
  <c r="G2337" i="1"/>
  <c r="F2337" i="1"/>
  <c r="N2336" i="1"/>
  <c r="H2336" i="1"/>
  <c r="G2336" i="1"/>
  <c r="F2336" i="1"/>
  <c r="N2335" i="1"/>
  <c r="H2335" i="1"/>
  <c r="G2335" i="1"/>
  <c r="F2335" i="1"/>
  <c r="N2334" i="1"/>
  <c r="H2334" i="1"/>
  <c r="G2334" i="1"/>
  <c r="F2334" i="1"/>
  <c r="N2333" i="1"/>
  <c r="H2333" i="1"/>
  <c r="G2333" i="1"/>
  <c r="F2333" i="1"/>
  <c r="N2332" i="1"/>
  <c r="H2332" i="1"/>
  <c r="G2332" i="1"/>
  <c r="F2332" i="1"/>
  <c r="N2331" i="1"/>
  <c r="H2331" i="1"/>
  <c r="G2331" i="1"/>
  <c r="F2331" i="1"/>
  <c r="N2330" i="1"/>
  <c r="H2330" i="1"/>
  <c r="G2330" i="1"/>
  <c r="F2330" i="1"/>
  <c r="N2329" i="1"/>
  <c r="H2329" i="1"/>
  <c r="G2329" i="1"/>
  <c r="F2329" i="1"/>
  <c r="N2328" i="1"/>
  <c r="H2328" i="1"/>
  <c r="G2328" i="1"/>
  <c r="F2328" i="1"/>
  <c r="N2327" i="1"/>
  <c r="H2327" i="1"/>
  <c r="G2327" i="1"/>
  <c r="F2327" i="1"/>
  <c r="N2326" i="1"/>
  <c r="H2326" i="1"/>
  <c r="G2326" i="1"/>
  <c r="F2326" i="1"/>
  <c r="N2325" i="1"/>
  <c r="H2325" i="1"/>
  <c r="G2325" i="1"/>
  <c r="F2325" i="1"/>
  <c r="N2324" i="1"/>
  <c r="H2324" i="1"/>
  <c r="G2324" i="1"/>
  <c r="F2324" i="1"/>
  <c r="N2323" i="1"/>
  <c r="H2323" i="1"/>
  <c r="G2323" i="1"/>
  <c r="F2323" i="1"/>
  <c r="N2322" i="1"/>
  <c r="H2322" i="1"/>
  <c r="G2322" i="1"/>
  <c r="F2322" i="1"/>
  <c r="N2321" i="1"/>
  <c r="H2321" i="1"/>
  <c r="G2321" i="1"/>
  <c r="F2321" i="1"/>
  <c r="N2320" i="1"/>
  <c r="H2320" i="1"/>
  <c r="G2320" i="1"/>
  <c r="F2320" i="1"/>
  <c r="N2319" i="1"/>
  <c r="H2319" i="1"/>
  <c r="G2319" i="1"/>
  <c r="F2319" i="1"/>
  <c r="N2318" i="1"/>
  <c r="H2318" i="1"/>
  <c r="G2318" i="1"/>
  <c r="F2318" i="1"/>
  <c r="N2317" i="1"/>
  <c r="H2317" i="1"/>
  <c r="G2317" i="1"/>
  <c r="F2317" i="1"/>
  <c r="N2316" i="1"/>
  <c r="H2316" i="1"/>
  <c r="G2316" i="1"/>
  <c r="F2316" i="1"/>
  <c r="N2315" i="1"/>
  <c r="H2315" i="1"/>
  <c r="G2315" i="1"/>
  <c r="F2315" i="1"/>
  <c r="N2314" i="1"/>
  <c r="H2314" i="1"/>
  <c r="G2314" i="1"/>
  <c r="F2314" i="1"/>
  <c r="N2313" i="1"/>
  <c r="H2313" i="1"/>
  <c r="G2313" i="1"/>
  <c r="F2313" i="1"/>
  <c r="N2312" i="1"/>
  <c r="H2312" i="1"/>
  <c r="G2312" i="1"/>
  <c r="F2312" i="1"/>
  <c r="N2311" i="1"/>
  <c r="H2311" i="1"/>
  <c r="G2311" i="1"/>
  <c r="F2311" i="1"/>
  <c r="N2310" i="1"/>
  <c r="H2310" i="1"/>
  <c r="G2310" i="1"/>
  <c r="F2310" i="1"/>
  <c r="N2309" i="1"/>
  <c r="H2309" i="1"/>
  <c r="G2309" i="1"/>
  <c r="F2309" i="1"/>
  <c r="N2308" i="1"/>
  <c r="H2308" i="1"/>
  <c r="G2308" i="1"/>
  <c r="F2308" i="1"/>
  <c r="N2307" i="1"/>
  <c r="H2307" i="1"/>
  <c r="G2307" i="1"/>
  <c r="F2307" i="1"/>
  <c r="N2306" i="1"/>
  <c r="H2306" i="1"/>
  <c r="G2306" i="1"/>
  <c r="F2306" i="1"/>
  <c r="N2305" i="1"/>
  <c r="H2305" i="1"/>
  <c r="G2305" i="1"/>
  <c r="F2305" i="1"/>
  <c r="N2304" i="1"/>
  <c r="H2304" i="1"/>
  <c r="G2304" i="1"/>
  <c r="F2304" i="1"/>
  <c r="N2303" i="1"/>
  <c r="H2303" i="1"/>
  <c r="G2303" i="1"/>
  <c r="F2303" i="1"/>
  <c r="N2302" i="1"/>
  <c r="H2302" i="1"/>
  <c r="G2302" i="1"/>
  <c r="F2302" i="1"/>
  <c r="N2301" i="1"/>
  <c r="H2301" i="1"/>
  <c r="G2301" i="1"/>
  <c r="F2301" i="1"/>
  <c r="N2300" i="1"/>
  <c r="H2300" i="1"/>
  <c r="G2300" i="1"/>
  <c r="F2300" i="1"/>
  <c r="N2299" i="1"/>
  <c r="H2299" i="1"/>
  <c r="G2299" i="1"/>
  <c r="F2299" i="1"/>
  <c r="N2298" i="1"/>
  <c r="H2298" i="1"/>
  <c r="G2298" i="1"/>
  <c r="F2298" i="1"/>
  <c r="N2297" i="1"/>
  <c r="H2297" i="1"/>
  <c r="G2297" i="1"/>
  <c r="F2297" i="1"/>
  <c r="N2296" i="1"/>
  <c r="H2296" i="1"/>
  <c r="G2296" i="1"/>
  <c r="F2296" i="1"/>
  <c r="N2295" i="1"/>
  <c r="H2295" i="1"/>
  <c r="G2295" i="1"/>
  <c r="F2295" i="1"/>
  <c r="N2294" i="1"/>
  <c r="H2294" i="1"/>
  <c r="G2294" i="1"/>
  <c r="N2293" i="1"/>
  <c r="H2293" i="1"/>
  <c r="G2293" i="1"/>
  <c r="N2292" i="1"/>
  <c r="H2292" i="1"/>
  <c r="G2292" i="1"/>
  <c r="N2291" i="1"/>
  <c r="H2291" i="1"/>
  <c r="G2291" i="1"/>
  <c r="N2290" i="1"/>
  <c r="H2290" i="1"/>
  <c r="G2290" i="1"/>
  <c r="N2289" i="1"/>
  <c r="H2289" i="1"/>
  <c r="G2289" i="1"/>
  <c r="N2288" i="1"/>
  <c r="H2288" i="1"/>
  <c r="G2288" i="1"/>
  <c r="N2287" i="1"/>
  <c r="H2287" i="1"/>
  <c r="G2287" i="1"/>
  <c r="N2286" i="1"/>
  <c r="H2286" i="1"/>
  <c r="G2286" i="1"/>
  <c r="N2285" i="1"/>
  <c r="H2285" i="1"/>
  <c r="G2285" i="1"/>
  <c r="N2284" i="1"/>
  <c r="H2284" i="1"/>
  <c r="G2284" i="1"/>
  <c r="N2283" i="1"/>
  <c r="H2283" i="1"/>
  <c r="G2283" i="1"/>
  <c r="N2282" i="1"/>
  <c r="H2282" i="1"/>
  <c r="G2282" i="1"/>
  <c r="N2281" i="1"/>
  <c r="H2281" i="1"/>
  <c r="G2281" i="1"/>
  <c r="N2280" i="1"/>
  <c r="H2280" i="1"/>
  <c r="G2280" i="1"/>
  <c r="N2279" i="1"/>
  <c r="H2279" i="1"/>
  <c r="G2279" i="1"/>
  <c r="N2278" i="1"/>
  <c r="H2278" i="1"/>
  <c r="G2278" i="1"/>
  <c r="N2277" i="1"/>
  <c r="H2277" i="1"/>
  <c r="G2277" i="1"/>
  <c r="N2276" i="1"/>
  <c r="H2276" i="1"/>
  <c r="G2276" i="1"/>
  <c r="N2275" i="1"/>
  <c r="H2275" i="1"/>
  <c r="G2275" i="1"/>
  <c r="N2274" i="1"/>
  <c r="H2274" i="1"/>
  <c r="G2274" i="1"/>
  <c r="N2273" i="1"/>
  <c r="H2273" i="1"/>
  <c r="G2273" i="1"/>
  <c r="N2272" i="1"/>
  <c r="H2272" i="1"/>
  <c r="G2272" i="1"/>
  <c r="N2271" i="1"/>
  <c r="H2271" i="1"/>
  <c r="G2271" i="1"/>
  <c r="N2270" i="1"/>
  <c r="H2270" i="1"/>
  <c r="G2270" i="1"/>
  <c r="N2269" i="1"/>
  <c r="H2269" i="1"/>
  <c r="G2269" i="1"/>
  <c r="N2268" i="1"/>
  <c r="H2268" i="1"/>
  <c r="G2268" i="1"/>
  <c r="N2267" i="1"/>
  <c r="H2267" i="1"/>
  <c r="G2267" i="1"/>
  <c r="N2266" i="1"/>
  <c r="H2266" i="1"/>
  <c r="G2266" i="1"/>
  <c r="N2265" i="1"/>
  <c r="H2265" i="1"/>
  <c r="G2265" i="1"/>
  <c r="N2264" i="1"/>
  <c r="H2264" i="1"/>
  <c r="G2264" i="1"/>
  <c r="N2263" i="1"/>
  <c r="H2263" i="1"/>
  <c r="G2263" i="1"/>
  <c r="N2262" i="1"/>
  <c r="H2262" i="1"/>
  <c r="G2262" i="1"/>
  <c r="N2261" i="1"/>
  <c r="H2261" i="1"/>
  <c r="G2261" i="1"/>
  <c r="N2260" i="1"/>
  <c r="H2260" i="1"/>
  <c r="G2260" i="1"/>
  <c r="N2259" i="1"/>
  <c r="H2259" i="1"/>
  <c r="G2259" i="1"/>
  <c r="N2258" i="1"/>
  <c r="H2258" i="1"/>
  <c r="G2258" i="1"/>
  <c r="N2257" i="1"/>
  <c r="H2257" i="1"/>
  <c r="G2257" i="1"/>
  <c r="N2256" i="1"/>
  <c r="H2256" i="1"/>
  <c r="G2256" i="1"/>
  <c r="N2255" i="1"/>
  <c r="H2255" i="1"/>
  <c r="G2255" i="1"/>
  <c r="N2254" i="1"/>
  <c r="H2254" i="1"/>
  <c r="G2254" i="1"/>
  <c r="N2253" i="1"/>
  <c r="H2253" i="1"/>
  <c r="G2253" i="1"/>
  <c r="N2252" i="1"/>
  <c r="H2252" i="1"/>
  <c r="G2252" i="1"/>
  <c r="N2251" i="1"/>
  <c r="H2251" i="1"/>
  <c r="G2251" i="1"/>
  <c r="N2250" i="1"/>
  <c r="H2250" i="1"/>
  <c r="G2250" i="1"/>
  <c r="N2249" i="1"/>
  <c r="H2249" i="1"/>
  <c r="G2249" i="1"/>
  <c r="N2248" i="1"/>
  <c r="H2248" i="1"/>
  <c r="G2248" i="1"/>
  <c r="N2247" i="1"/>
  <c r="H2247" i="1"/>
  <c r="G2247" i="1"/>
  <c r="N2246" i="1"/>
  <c r="H2246" i="1"/>
  <c r="G2246" i="1"/>
  <c r="N2245" i="1"/>
  <c r="H2245" i="1"/>
  <c r="G2245" i="1"/>
  <c r="N2244" i="1"/>
  <c r="H2244" i="1"/>
  <c r="G2244" i="1"/>
  <c r="N2243" i="1"/>
  <c r="H2243" i="1"/>
  <c r="G2243" i="1"/>
  <c r="N2242" i="1"/>
  <c r="H2242" i="1"/>
  <c r="G2242" i="1"/>
  <c r="N2241" i="1"/>
  <c r="H2241" i="1"/>
  <c r="G2241" i="1"/>
  <c r="N2240" i="1"/>
  <c r="H2240" i="1"/>
  <c r="G2240" i="1"/>
  <c r="N2239" i="1"/>
  <c r="H2239" i="1"/>
  <c r="G2239" i="1"/>
  <c r="N2238" i="1"/>
  <c r="H2238" i="1"/>
  <c r="G2238" i="1"/>
  <c r="N2237" i="1"/>
  <c r="H2237" i="1"/>
  <c r="G2237" i="1"/>
  <c r="N2236" i="1"/>
  <c r="H2236" i="1"/>
  <c r="G2236" i="1"/>
  <c r="N2235" i="1"/>
  <c r="H2235" i="1"/>
  <c r="G2235" i="1"/>
  <c r="N2234" i="1"/>
  <c r="H2234" i="1"/>
  <c r="G2234" i="1"/>
  <c r="N2233" i="1"/>
  <c r="H2233" i="1"/>
  <c r="G2233" i="1"/>
  <c r="N2232" i="1"/>
  <c r="H2232" i="1"/>
  <c r="G2232" i="1"/>
  <c r="N2231" i="1"/>
  <c r="H2231" i="1"/>
  <c r="G2231" i="1"/>
  <c r="N2230" i="1"/>
  <c r="H2230" i="1"/>
  <c r="G2230" i="1"/>
  <c r="N2229" i="1"/>
  <c r="H2229" i="1"/>
  <c r="G2229" i="1"/>
  <c r="N2228" i="1"/>
  <c r="H2228" i="1"/>
  <c r="G2228" i="1"/>
  <c r="N2227" i="1"/>
  <c r="H2227" i="1"/>
  <c r="G2227" i="1"/>
  <c r="N2226" i="1"/>
  <c r="H2226" i="1"/>
  <c r="G2226" i="1"/>
  <c r="N2225" i="1"/>
  <c r="H2225" i="1"/>
  <c r="G2225" i="1"/>
  <c r="N2224" i="1"/>
  <c r="H2224" i="1"/>
  <c r="G2224" i="1"/>
  <c r="N2223" i="1"/>
  <c r="H2223" i="1"/>
  <c r="G2223" i="1"/>
  <c r="N2222" i="1"/>
  <c r="H2222" i="1"/>
  <c r="G2222" i="1"/>
  <c r="N2221" i="1"/>
  <c r="H2221" i="1"/>
  <c r="G2221" i="1"/>
  <c r="N2220" i="1"/>
  <c r="H2220" i="1"/>
  <c r="G2220" i="1"/>
  <c r="N2219" i="1"/>
  <c r="H2219" i="1"/>
  <c r="G2219" i="1"/>
  <c r="N2218" i="1"/>
  <c r="H2218" i="1"/>
  <c r="G2218" i="1"/>
  <c r="N2217" i="1"/>
  <c r="H2217" i="1"/>
  <c r="G2217" i="1"/>
  <c r="N2216" i="1"/>
  <c r="H2216" i="1"/>
  <c r="G2216" i="1"/>
  <c r="N2215" i="1"/>
  <c r="H2215" i="1"/>
  <c r="G2215" i="1"/>
  <c r="N2214" i="1"/>
  <c r="H2214" i="1"/>
  <c r="G2214" i="1"/>
  <c r="N2213" i="1"/>
  <c r="H2213" i="1"/>
  <c r="G2213" i="1"/>
  <c r="N2212" i="1"/>
  <c r="H2212" i="1"/>
  <c r="G2212" i="1"/>
  <c r="N2211" i="1"/>
  <c r="H2211" i="1"/>
  <c r="G2211" i="1"/>
  <c r="N2210" i="1"/>
  <c r="H2210" i="1"/>
  <c r="G2210" i="1"/>
  <c r="N2209" i="1"/>
  <c r="H2209" i="1"/>
  <c r="G2209" i="1"/>
  <c r="N2208" i="1"/>
  <c r="H2208" i="1"/>
  <c r="G2208" i="1"/>
  <c r="N2207" i="1"/>
  <c r="H2207" i="1"/>
  <c r="G2207" i="1"/>
  <c r="N2206" i="1"/>
  <c r="H2206" i="1"/>
  <c r="G2206" i="1"/>
  <c r="N2205" i="1"/>
  <c r="H2205" i="1"/>
  <c r="G2205" i="1"/>
  <c r="N2204" i="1"/>
  <c r="H2204" i="1"/>
  <c r="G2204" i="1"/>
  <c r="N2203" i="1"/>
  <c r="H2203" i="1"/>
  <c r="G2203" i="1"/>
  <c r="N2202" i="1"/>
  <c r="H2202" i="1"/>
  <c r="G2202" i="1"/>
  <c r="N2201" i="1"/>
  <c r="H2201" i="1"/>
  <c r="G2201" i="1"/>
  <c r="N2200" i="1"/>
  <c r="H2200" i="1"/>
  <c r="G2200" i="1"/>
  <c r="N2199" i="1"/>
  <c r="H2199" i="1"/>
  <c r="G2199" i="1"/>
  <c r="N2198" i="1"/>
  <c r="H2198" i="1"/>
  <c r="G2198" i="1"/>
  <c r="N2197" i="1"/>
  <c r="H2197" i="1"/>
  <c r="G2197" i="1"/>
  <c r="N2196" i="1"/>
  <c r="H2196" i="1"/>
  <c r="G2196" i="1"/>
  <c r="N2195" i="1"/>
  <c r="H2195" i="1"/>
  <c r="G2195" i="1"/>
  <c r="N2194" i="1"/>
  <c r="H2194" i="1"/>
  <c r="G2194" i="1"/>
  <c r="N2193" i="1"/>
  <c r="H2193" i="1"/>
  <c r="G2193" i="1"/>
  <c r="N2192" i="1"/>
  <c r="H2192" i="1"/>
  <c r="G2192" i="1"/>
  <c r="N2191" i="1"/>
  <c r="H2191" i="1"/>
  <c r="G2191" i="1"/>
  <c r="N2190" i="1"/>
  <c r="H2190" i="1"/>
  <c r="G2190" i="1"/>
  <c r="N2189" i="1"/>
  <c r="H2189" i="1"/>
  <c r="G2189" i="1"/>
  <c r="N2188" i="1"/>
  <c r="H2188" i="1"/>
  <c r="G2188" i="1"/>
  <c r="N2187" i="1"/>
  <c r="H2187" i="1"/>
  <c r="G2187" i="1"/>
  <c r="N2186" i="1"/>
  <c r="H2186" i="1"/>
  <c r="G2186" i="1"/>
  <c r="N2185" i="1"/>
  <c r="H2185" i="1"/>
  <c r="G2185" i="1"/>
  <c r="N2184" i="1"/>
  <c r="H2184" i="1"/>
  <c r="G2184" i="1"/>
  <c r="N2183" i="1"/>
  <c r="H2183" i="1"/>
  <c r="G2183" i="1"/>
  <c r="N2182" i="1"/>
  <c r="H2182" i="1"/>
  <c r="G2182" i="1"/>
  <c r="N2181" i="1"/>
  <c r="H2181" i="1"/>
  <c r="G2181" i="1"/>
  <c r="N2180" i="1"/>
  <c r="H2180" i="1"/>
  <c r="G2180" i="1"/>
  <c r="N2179" i="1"/>
  <c r="H2179" i="1"/>
  <c r="G2179" i="1"/>
  <c r="N2178" i="1"/>
  <c r="H2178" i="1"/>
  <c r="G2178" i="1"/>
  <c r="N2177" i="1"/>
  <c r="H2177" i="1"/>
  <c r="G2177" i="1"/>
  <c r="N2176" i="1"/>
  <c r="H2176" i="1"/>
  <c r="G2176" i="1"/>
  <c r="N2175" i="1"/>
  <c r="H2175" i="1"/>
  <c r="G2175" i="1"/>
  <c r="N2174" i="1"/>
  <c r="H2174" i="1"/>
  <c r="G2174" i="1"/>
  <c r="N2173" i="1"/>
  <c r="H2173" i="1"/>
  <c r="G2173" i="1"/>
  <c r="N2172" i="1"/>
  <c r="H2172" i="1"/>
  <c r="G2172" i="1"/>
  <c r="N2171" i="1"/>
  <c r="H2171" i="1"/>
  <c r="G2171" i="1"/>
  <c r="N2170" i="1"/>
  <c r="H2170" i="1"/>
  <c r="G2170" i="1"/>
  <c r="N2169" i="1"/>
  <c r="H2169" i="1"/>
  <c r="G2169" i="1"/>
  <c r="N2168" i="1"/>
  <c r="H2168" i="1"/>
  <c r="G2168" i="1"/>
  <c r="N2167" i="1"/>
  <c r="H2167" i="1"/>
  <c r="G2167" i="1"/>
  <c r="N2166" i="1"/>
  <c r="H2166" i="1"/>
  <c r="G2166" i="1"/>
  <c r="N2165" i="1"/>
  <c r="H2165" i="1"/>
  <c r="G2165" i="1"/>
  <c r="N2164" i="1"/>
  <c r="H2164" i="1"/>
  <c r="G2164" i="1"/>
  <c r="N2163" i="1"/>
  <c r="H2163" i="1"/>
  <c r="G2163" i="1"/>
  <c r="N2162" i="1"/>
  <c r="H2162" i="1"/>
  <c r="G2162" i="1"/>
  <c r="N2161" i="1"/>
  <c r="H2161" i="1"/>
  <c r="G2161" i="1"/>
  <c r="N2160" i="1"/>
  <c r="H2160" i="1"/>
  <c r="G2160" i="1"/>
  <c r="N2159" i="1"/>
  <c r="H2159" i="1"/>
  <c r="G2159" i="1"/>
  <c r="N2158" i="1"/>
  <c r="H2158" i="1"/>
  <c r="G2158" i="1"/>
  <c r="N2157" i="1"/>
  <c r="H2157" i="1"/>
  <c r="G2157" i="1"/>
  <c r="N2156" i="1"/>
  <c r="H2156" i="1"/>
  <c r="G2156" i="1"/>
  <c r="N2155" i="1"/>
  <c r="H2155" i="1"/>
  <c r="G2155" i="1"/>
  <c r="N2154" i="1"/>
  <c r="H2154" i="1"/>
  <c r="G2154" i="1"/>
  <c r="N2153" i="1"/>
  <c r="H2153" i="1"/>
  <c r="G2153" i="1"/>
  <c r="N2152" i="1"/>
  <c r="H2152" i="1"/>
  <c r="G2152" i="1"/>
  <c r="N2151" i="1"/>
  <c r="H2151" i="1"/>
  <c r="G2151" i="1"/>
  <c r="N2150" i="1"/>
  <c r="H2150" i="1"/>
  <c r="G2150" i="1"/>
  <c r="N2149" i="1"/>
  <c r="H2149" i="1"/>
  <c r="G2149" i="1"/>
  <c r="N2148" i="1"/>
  <c r="H2148" i="1"/>
  <c r="G2148" i="1"/>
  <c r="N2147" i="1"/>
  <c r="H2147" i="1"/>
  <c r="G2147" i="1"/>
  <c r="N2146" i="1"/>
  <c r="H2146" i="1"/>
  <c r="G2146" i="1"/>
  <c r="N2145" i="1"/>
  <c r="H2145" i="1"/>
  <c r="G2145" i="1"/>
  <c r="N2144" i="1"/>
  <c r="H2144" i="1"/>
  <c r="G2144" i="1"/>
  <c r="N2143" i="1"/>
  <c r="H2143" i="1"/>
  <c r="G2143" i="1"/>
  <c r="N2142" i="1"/>
  <c r="H2142" i="1"/>
  <c r="G2142" i="1"/>
  <c r="N2141" i="1"/>
  <c r="H2141" i="1"/>
  <c r="G2141" i="1"/>
  <c r="N2140" i="1"/>
  <c r="H2140" i="1"/>
  <c r="G2140" i="1"/>
  <c r="N2139" i="1"/>
  <c r="H2139" i="1"/>
  <c r="G2139" i="1"/>
  <c r="N2138" i="1"/>
  <c r="H2138" i="1"/>
  <c r="G2138" i="1"/>
  <c r="N2137" i="1"/>
  <c r="H2137" i="1"/>
  <c r="G2137" i="1"/>
  <c r="N2136" i="1"/>
  <c r="H2136" i="1"/>
  <c r="G2136" i="1"/>
  <c r="N2135" i="1"/>
  <c r="H2135" i="1"/>
  <c r="G2135" i="1"/>
  <c r="N2134" i="1"/>
  <c r="H2134" i="1"/>
  <c r="G2134" i="1"/>
  <c r="N2133" i="1"/>
  <c r="H2133" i="1"/>
  <c r="G2133" i="1"/>
  <c r="N2132" i="1"/>
  <c r="H2132" i="1"/>
  <c r="G2132" i="1"/>
  <c r="N2131" i="1"/>
  <c r="H2131" i="1"/>
  <c r="G2131" i="1"/>
  <c r="N2130" i="1"/>
  <c r="H2130" i="1"/>
  <c r="G2130" i="1"/>
  <c r="N2129" i="1"/>
  <c r="H2129" i="1"/>
  <c r="G2129" i="1"/>
  <c r="N2128" i="1"/>
  <c r="H2128" i="1"/>
  <c r="G2128" i="1"/>
  <c r="N2127" i="1"/>
  <c r="H2127" i="1"/>
  <c r="G2127" i="1"/>
  <c r="N2126" i="1"/>
  <c r="H2126" i="1"/>
  <c r="G2126" i="1"/>
  <c r="N2125" i="1"/>
  <c r="H2125" i="1"/>
  <c r="G2125" i="1"/>
  <c r="N2124" i="1"/>
  <c r="H2124" i="1"/>
  <c r="G2124" i="1"/>
  <c r="N2123" i="1"/>
  <c r="H2123" i="1"/>
  <c r="G2123" i="1"/>
  <c r="N2122" i="1"/>
  <c r="H2122" i="1"/>
  <c r="G2122" i="1"/>
  <c r="N2121" i="1"/>
  <c r="H2121" i="1"/>
  <c r="G2121" i="1"/>
  <c r="N2120" i="1"/>
  <c r="H2120" i="1"/>
  <c r="G2120" i="1"/>
  <c r="N2119" i="1"/>
  <c r="H2119" i="1"/>
  <c r="G2119" i="1"/>
  <c r="N2118" i="1"/>
  <c r="H2118" i="1"/>
  <c r="G2118" i="1"/>
  <c r="N2117" i="1"/>
  <c r="H2117" i="1"/>
  <c r="G2117" i="1"/>
  <c r="N2116" i="1"/>
  <c r="H2116" i="1"/>
  <c r="G2116" i="1"/>
  <c r="N2115" i="1"/>
  <c r="H2115" i="1"/>
  <c r="G2115" i="1"/>
  <c r="N2114" i="1"/>
  <c r="H2114" i="1"/>
  <c r="G2114" i="1"/>
  <c r="N2113" i="1"/>
  <c r="H2113" i="1"/>
  <c r="G2113" i="1"/>
  <c r="N2112" i="1"/>
  <c r="H2112" i="1"/>
  <c r="G2112" i="1"/>
  <c r="N2111" i="1"/>
  <c r="H2111" i="1"/>
  <c r="G2111" i="1"/>
  <c r="N2110" i="1"/>
  <c r="H2110" i="1"/>
  <c r="G2110" i="1"/>
  <c r="N2109" i="1"/>
  <c r="H2109" i="1"/>
  <c r="G2109" i="1"/>
  <c r="N2108" i="1"/>
  <c r="H2108" i="1"/>
  <c r="G2108" i="1"/>
  <c r="N2107" i="1"/>
  <c r="H2107" i="1"/>
  <c r="G2107" i="1"/>
  <c r="N2106" i="1"/>
  <c r="H2106" i="1"/>
  <c r="G2106" i="1"/>
  <c r="N2105" i="1"/>
  <c r="H2105" i="1"/>
  <c r="G2105" i="1"/>
  <c r="N2104" i="1"/>
  <c r="H2104" i="1"/>
  <c r="G2104" i="1"/>
  <c r="N2103" i="1"/>
  <c r="H2103" i="1"/>
  <c r="G2103" i="1"/>
  <c r="N2102" i="1"/>
  <c r="H2102" i="1"/>
  <c r="G2102" i="1"/>
  <c r="N2101" i="1"/>
  <c r="H2101" i="1"/>
  <c r="G2101" i="1"/>
  <c r="N2100" i="1"/>
  <c r="H2100" i="1"/>
  <c r="G2100" i="1"/>
  <c r="N2099" i="1"/>
  <c r="H2099" i="1"/>
  <c r="G2099" i="1"/>
  <c r="N2098" i="1"/>
  <c r="H2098" i="1"/>
  <c r="G2098" i="1"/>
  <c r="N2097" i="1"/>
  <c r="H2097" i="1"/>
  <c r="G2097" i="1"/>
  <c r="N2096" i="1"/>
  <c r="H2096" i="1"/>
  <c r="G2096" i="1"/>
  <c r="N2095" i="1"/>
  <c r="H2095" i="1"/>
  <c r="G2095" i="1"/>
  <c r="N2094" i="1"/>
  <c r="H2094" i="1"/>
  <c r="G2094" i="1"/>
  <c r="N2093" i="1"/>
  <c r="H2093" i="1"/>
  <c r="G2093" i="1"/>
  <c r="N2092" i="1"/>
  <c r="H2092" i="1"/>
  <c r="G2092" i="1"/>
  <c r="N2091" i="1"/>
  <c r="H2091" i="1"/>
  <c r="G2091" i="1"/>
  <c r="N2090" i="1"/>
  <c r="H2090" i="1"/>
  <c r="G2090" i="1"/>
  <c r="N2089" i="1"/>
  <c r="H2089" i="1"/>
  <c r="G2089" i="1"/>
  <c r="N2088" i="1"/>
  <c r="H2088" i="1"/>
  <c r="G2088" i="1"/>
  <c r="N2087" i="1"/>
  <c r="H2087" i="1"/>
  <c r="G2087" i="1"/>
  <c r="N2086" i="1"/>
  <c r="H2086" i="1"/>
  <c r="G2086" i="1"/>
  <c r="N2085" i="1"/>
  <c r="H2085" i="1"/>
  <c r="G2085" i="1"/>
  <c r="N2084" i="1"/>
  <c r="H2084" i="1"/>
  <c r="G2084" i="1"/>
  <c r="N2083" i="1"/>
  <c r="H2083" i="1"/>
  <c r="G2083" i="1"/>
  <c r="N2082" i="1"/>
  <c r="H2082" i="1"/>
  <c r="G2082" i="1"/>
  <c r="N2081" i="1"/>
  <c r="H2081" i="1"/>
  <c r="G2081" i="1"/>
  <c r="N2080" i="1"/>
  <c r="H2080" i="1"/>
  <c r="G2080" i="1"/>
  <c r="N2079" i="1"/>
  <c r="H2079" i="1"/>
  <c r="G2079" i="1"/>
  <c r="N2078" i="1"/>
  <c r="H2078" i="1"/>
  <c r="G2078" i="1"/>
  <c r="N2077" i="1"/>
  <c r="H2077" i="1"/>
  <c r="G2077" i="1"/>
  <c r="N2076" i="1"/>
  <c r="H2076" i="1"/>
  <c r="G2076" i="1"/>
  <c r="N2075" i="1"/>
  <c r="H2075" i="1"/>
  <c r="G2075" i="1"/>
  <c r="N2074" i="1"/>
  <c r="H2074" i="1"/>
  <c r="G2074" i="1"/>
  <c r="N2073" i="1"/>
  <c r="H2073" i="1"/>
  <c r="G2073" i="1"/>
  <c r="N2072" i="1"/>
  <c r="H2072" i="1"/>
  <c r="G2072" i="1"/>
  <c r="N2071" i="1"/>
  <c r="H2071" i="1"/>
  <c r="G2071" i="1"/>
  <c r="N2070" i="1"/>
  <c r="H2070" i="1"/>
  <c r="G2070" i="1"/>
  <c r="N2069" i="1"/>
  <c r="H2069" i="1"/>
  <c r="G2069" i="1"/>
  <c r="N2068" i="1"/>
  <c r="H2068" i="1"/>
  <c r="G2068" i="1"/>
  <c r="N2067" i="1"/>
  <c r="H2067" i="1"/>
  <c r="G2067" i="1"/>
  <c r="N2066" i="1"/>
  <c r="H2066" i="1"/>
  <c r="G2066" i="1"/>
  <c r="N2065" i="1"/>
  <c r="H2065" i="1"/>
  <c r="G2065" i="1"/>
  <c r="N2064" i="1"/>
  <c r="H2064" i="1"/>
  <c r="G2064" i="1"/>
  <c r="N2063" i="1"/>
  <c r="H2063" i="1"/>
  <c r="G2063" i="1"/>
  <c r="N2062" i="1"/>
  <c r="H2062" i="1"/>
  <c r="G2062" i="1"/>
  <c r="N2061" i="1"/>
  <c r="H2061" i="1"/>
  <c r="G2061" i="1"/>
  <c r="N2060" i="1"/>
  <c r="H2060" i="1"/>
  <c r="G2060" i="1"/>
  <c r="N2059" i="1"/>
  <c r="H2059" i="1"/>
  <c r="G2059" i="1"/>
  <c r="N2058" i="1"/>
  <c r="H2058" i="1"/>
  <c r="G2058" i="1"/>
  <c r="N2057" i="1"/>
  <c r="H2057" i="1"/>
  <c r="G2057" i="1"/>
  <c r="N2056" i="1"/>
  <c r="H2056" i="1"/>
  <c r="G2056" i="1"/>
  <c r="N2055" i="1"/>
  <c r="H2055" i="1"/>
  <c r="G2055" i="1"/>
  <c r="N2054" i="1"/>
  <c r="H2054" i="1"/>
  <c r="G2054" i="1"/>
  <c r="N2053" i="1"/>
  <c r="H2053" i="1"/>
  <c r="G2053" i="1"/>
  <c r="N2052" i="1"/>
  <c r="H2052" i="1"/>
  <c r="G2052" i="1"/>
  <c r="N2051" i="1"/>
  <c r="H2051" i="1"/>
  <c r="G2051" i="1"/>
  <c r="N2050" i="1"/>
  <c r="H2050" i="1"/>
  <c r="G2050" i="1"/>
  <c r="N2049" i="1"/>
  <c r="H2049" i="1"/>
  <c r="G2049" i="1"/>
  <c r="N2048" i="1"/>
  <c r="H2048" i="1"/>
  <c r="G2048" i="1"/>
  <c r="N2047" i="1"/>
  <c r="H2047" i="1"/>
  <c r="G2047" i="1"/>
  <c r="N2046" i="1"/>
  <c r="H2046" i="1"/>
  <c r="G2046" i="1"/>
  <c r="N2045" i="1"/>
  <c r="H2045" i="1"/>
  <c r="G2045" i="1"/>
  <c r="N2044" i="1"/>
  <c r="H2044" i="1"/>
  <c r="G2044" i="1"/>
  <c r="N2043" i="1"/>
  <c r="H2043" i="1"/>
  <c r="G2043" i="1"/>
  <c r="N2042" i="1"/>
  <c r="H2042" i="1"/>
  <c r="G2042" i="1"/>
  <c r="N2041" i="1"/>
  <c r="H2041" i="1"/>
  <c r="G2041" i="1"/>
  <c r="N2040" i="1"/>
  <c r="H2040" i="1"/>
  <c r="G2040" i="1"/>
  <c r="N2039" i="1"/>
  <c r="H2039" i="1"/>
  <c r="G2039" i="1"/>
  <c r="N2038" i="1"/>
  <c r="H2038" i="1"/>
  <c r="G2038" i="1"/>
  <c r="N2037" i="1"/>
  <c r="H2037" i="1"/>
  <c r="G2037" i="1"/>
  <c r="N2036" i="1"/>
  <c r="H2036" i="1"/>
  <c r="G2036" i="1"/>
  <c r="N2035" i="1"/>
  <c r="H2035" i="1"/>
  <c r="G2035" i="1"/>
  <c r="N2034" i="1"/>
  <c r="H2034" i="1"/>
  <c r="G2034" i="1"/>
  <c r="N2033" i="1"/>
  <c r="H2033" i="1"/>
  <c r="G2033" i="1"/>
  <c r="N2032" i="1"/>
  <c r="H2032" i="1"/>
  <c r="G2032" i="1"/>
  <c r="N2031" i="1"/>
  <c r="H2031" i="1"/>
  <c r="G2031" i="1"/>
  <c r="N2030" i="1"/>
  <c r="H2030" i="1"/>
  <c r="G2030" i="1"/>
  <c r="N2029" i="1"/>
  <c r="H2029" i="1"/>
  <c r="G2029" i="1"/>
  <c r="N2028" i="1"/>
  <c r="H2028" i="1"/>
  <c r="G2028" i="1"/>
  <c r="N2027" i="1"/>
  <c r="H2027" i="1"/>
  <c r="G2027" i="1"/>
  <c r="N2026" i="1"/>
  <c r="H2026" i="1"/>
  <c r="G2026" i="1"/>
  <c r="N2025" i="1"/>
  <c r="H2025" i="1"/>
  <c r="G2025" i="1"/>
  <c r="N2024" i="1"/>
  <c r="H2024" i="1"/>
  <c r="G2024" i="1"/>
  <c r="N2023" i="1"/>
  <c r="H2023" i="1"/>
  <c r="G2023" i="1"/>
  <c r="N2022" i="1"/>
  <c r="H2022" i="1"/>
  <c r="G2022" i="1"/>
  <c r="N2021" i="1"/>
  <c r="H2021" i="1"/>
  <c r="G2021" i="1"/>
  <c r="N2020" i="1"/>
  <c r="H2020" i="1"/>
  <c r="G2020" i="1"/>
  <c r="N2019" i="1"/>
  <c r="H2019" i="1"/>
  <c r="G2019" i="1"/>
  <c r="N2018" i="1"/>
  <c r="H2018" i="1"/>
  <c r="G2018" i="1"/>
  <c r="N2017" i="1"/>
  <c r="H2017" i="1"/>
  <c r="G2017" i="1"/>
  <c r="N2016" i="1"/>
  <c r="H2016" i="1"/>
  <c r="G2016" i="1"/>
  <c r="N2015" i="1"/>
  <c r="H2015" i="1"/>
  <c r="G2015" i="1"/>
  <c r="N2014" i="1"/>
  <c r="H2014" i="1"/>
  <c r="G2014" i="1"/>
  <c r="N2013" i="1"/>
  <c r="H2013" i="1"/>
  <c r="G2013" i="1"/>
  <c r="N2012" i="1"/>
  <c r="H2012" i="1"/>
  <c r="G2012" i="1"/>
  <c r="N2011" i="1"/>
  <c r="H2011" i="1"/>
  <c r="G2011" i="1"/>
  <c r="N2010" i="1"/>
  <c r="H2010" i="1"/>
  <c r="G2010" i="1"/>
  <c r="N2009" i="1"/>
  <c r="H2009" i="1"/>
  <c r="G2009" i="1"/>
  <c r="N2008" i="1"/>
  <c r="H2008" i="1"/>
  <c r="G2008" i="1"/>
  <c r="N2007" i="1"/>
  <c r="H2007" i="1"/>
  <c r="G2007" i="1"/>
  <c r="N2006" i="1"/>
  <c r="H2006" i="1"/>
  <c r="G2006" i="1"/>
  <c r="N2005" i="1"/>
  <c r="H2005" i="1"/>
  <c r="G2005" i="1"/>
  <c r="N2004" i="1"/>
  <c r="H2004" i="1"/>
  <c r="G2004" i="1"/>
  <c r="N2003" i="1"/>
  <c r="H2003" i="1"/>
  <c r="G2003" i="1"/>
  <c r="N2002" i="1"/>
  <c r="H2002" i="1"/>
  <c r="G2002" i="1"/>
  <c r="N2001" i="1"/>
  <c r="H2001" i="1"/>
  <c r="G2001" i="1"/>
  <c r="N2000" i="1"/>
  <c r="H2000" i="1"/>
  <c r="G2000" i="1"/>
  <c r="N1999" i="1"/>
  <c r="H1999" i="1"/>
  <c r="G1999" i="1"/>
  <c r="N1998" i="1"/>
  <c r="H1998" i="1"/>
  <c r="G1998" i="1"/>
  <c r="N1997" i="1"/>
  <c r="H1997" i="1"/>
  <c r="G1997" i="1"/>
  <c r="N1996" i="1"/>
  <c r="H1996" i="1"/>
  <c r="G1996" i="1"/>
  <c r="N1995" i="1"/>
  <c r="H1995" i="1"/>
  <c r="G1995" i="1"/>
  <c r="N1994" i="1"/>
  <c r="H1994" i="1"/>
  <c r="G1994" i="1"/>
  <c r="N1993" i="1"/>
  <c r="H1993" i="1"/>
  <c r="G1993" i="1"/>
  <c r="N1992" i="1"/>
  <c r="H1992" i="1"/>
  <c r="G1992" i="1"/>
  <c r="N1991" i="1"/>
  <c r="H1991" i="1"/>
  <c r="G1991" i="1"/>
  <c r="N1990" i="1"/>
  <c r="H1990" i="1"/>
  <c r="G1990" i="1"/>
  <c r="N1989" i="1"/>
  <c r="H1989" i="1"/>
  <c r="G1989" i="1"/>
  <c r="N1988" i="1"/>
  <c r="H1988" i="1"/>
  <c r="G1988" i="1"/>
  <c r="N1987" i="1"/>
  <c r="H1987" i="1"/>
  <c r="G1987" i="1"/>
  <c r="N1986" i="1"/>
  <c r="H1986" i="1"/>
  <c r="G1986" i="1"/>
  <c r="N1985" i="1"/>
  <c r="H1985" i="1"/>
  <c r="G1985" i="1"/>
  <c r="N1984" i="1"/>
  <c r="H1984" i="1"/>
  <c r="G1984" i="1"/>
  <c r="N1983" i="1"/>
  <c r="H1983" i="1"/>
  <c r="G1983" i="1"/>
  <c r="N1982" i="1"/>
  <c r="H1982" i="1"/>
  <c r="G1982" i="1"/>
  <c r="N1981" i="1"/>
  <c r="H1981" i="1"/>
  <c r="G1981" i="1"/>
  <c r="N1980" i="1"/>
  <c r="H1980" i="1"/>
  <c r="G1980" i="1"/>
  <c r="N1979" i="1"/>
  <c r="H1979" i="1"/>
  <c r="G1979" i="1"/>
  <c r="N1978" i="1"/>
  <c r="H1978" i="1"/>
  <c r="G1978" i="1"/>
  <c r="N1977" i="1"/>
  <c r="H1977" i="1"/>
  <c r="G1977" i="1"/>
  <c r="N1976" i="1"/>
  <c r="H1976" i="1"/>
  <c r="G1976" i="1"/>
  <c r="N1975" i="1"/>
  <c r="H1975" i="1"/>
  <c r="G1975" i="1"/>
  <c r="N1974" i="1"/>
  <c r="H1974" i="1"/>
  <c r="G1974" i="1"/>
  <c r="N1973" i="1"/>
  <c r="H1973" i="1"/>
  <c r="G1973" i="1"/>
  <c r="N1972" i="1"/>
  <c r="H1972" i="1"/>
  <c r="G1972" i="1"/>
  <c r="N1971" i="1"/>
  <c r="H1971" i="1"/>
  <c r="G1971" i="1"/>
  <c r="N1970" i="1"/>
  <c r="H1970" i="1"/>
  <c r="G1970" i="1"/>
  <c r="N1969" i="1"/>
  <c r="H1969" i="1"/>
  <c r="G1969" i="1"/>
  <c r="N1968" i="1"/>
  <c r="H1968" i="1"/>
  <c r="G1968" i="1"/>
  <c r="N1967" i="1"/>
  <c r="H1967" i="1"/>
  <c r="G1967" i="1"/>
  <c r="N1966" i="1"/>
  <c r="H1966" i="1"/>
  <c r="G1966" i="1"/>
  <c r="N1965" i="1"/>
  <c r="H1965" i="1"/>
  <c r="G1965" i="1"/>
  <c r="N1964" i="1"/>
  <c r="H1964" i="1"/>
  <c r="G1964" i="1"/>
  <c r="N1963" i="1"/>
  <c r="H1963" i="1"/>
  <c r="G1963" i="1"/>
  <c r="N1962" i="1"/>
  <c r="H1962" i="1"/>
  <c r="G1962" i="1"/>
  <c r="N1961" i="1"/>
  <c r="H1961" i="1"/>
  <c r="G1961" i="1"/>
  <c r="N1960" i="1"/>
  <c r="H1960" i="1"/>
  <c r="G1960" i="1"/>
  <c r="N1959" i="1"/>
  <c r="H1959" i="1"/>
  <c r="G1959" i="1"/>
  <c r="N1958" i="1"/>
  <c r="H1958" i="1"/>
  <c r="G1958" i="1"/>
  <c r="N1957" i="1"/>
  <c r="H1957" i="1"/>
  <c r="G1957" i="1"/>
  <c r="N1956" i="1"/>
  <c r="H1956" i="1"/>
  <c r="G1956" i="1"/>
  <c r="N1955" i="1"/>
  <c r="H1955" i="1"/>
  <c r="G1955" i="1"/>
  <c r="N1954" i="1"/>
  <c r="H1954" i="1"/>
  <c r="G1954" i="1"/>
  <c r="N1953" i="1"/>
  <c r="H1953" i="1"/>
  <c r="G1953" i="1"/>
  <c r="N1952" i="1"/>
  <c r="H1952" i="1"/>
  <c r="G1952" i="1"/>
  <c r="N1951" i="1"/>
  <c r="H1951" i="1"/>
  <c r="G1951" i="1"/>
  <c r="N1950" i="1"/>
  <c r="H1950" i="1"/>
  <c r="G1950" i="1"/>
  <c r="N1949" i="1"/>
  <c r="H1949" i="1"/>
  <c r="G1949" i="1"/>
  <c r="N1948" i="1"/>
  <c r="H1948" i="1"/>
  <c r="G1948" i="1"/>
  <c r="N1947" i="1"/>
  <c r="H1947" i="1"/>
  <c r="G1947" i="1"/>
  <c r="N1946" i="1"/>
  <c r="H1946" i="1"/>
  <c r="G1946" i="1"/>
  <c r="N1945" i="1"/>
  <c r="H1945" i="1"/>
  <c r="G1945" i="1"/>
  <c r="N1944" i="1"/>
  <c r="H1944" i="1"/>
  <c r="G1944" i="1"/>
  <c r="N1943" i="1"/>
  <c r="H1943" i="1"/>
  <c r="G1943" i="1"/>
  <c r="N1942" i="1"/>
  <c r="H1942" i="1"/>
  <c r="G1942" i="1"/>
  <c r="N1941" i="1"/>
  <c r="H1941" i="1"/>
  <c r="G1941" i="1"/>
  <c r="N1940" i="1"/>
  <c r="H1940" i="1"/>
  <c r="G1940" i="1"/>
  <c r="N1939" i="1"/>
  <c r="H1939" i="1"/>
  <c r="G1939" i="1"/>
  <c r="N1938" i="1"/>
  <c r="H1938" i="1"/>
  <c r="G1938" i="1"/>
  <c r="N1937" i="1"/>
  <c r="H1937" i="1"/>
  <c r="G1937" i="1"/>
  <c r="N1936" i="1"/>
  <c r="H1936" i="1"/>
  <c r="G1936" i="1"/>
  <c r="N1935" i="1"/>
  <c r="H1935" i="1"/>
  <c r="G1935" i="1"/>
  <c r="N1934" i="1"/>
  <c r="H1934" i="1"/>
  <c r="G1934" i="1"/>
  <c r="N1933" i="1"/>
  <c r="H1933" i="1"/>
  <c r="G1933" i="1"/>
  <c r="N1932" i="1"/>
  <c r="H1932" i="1"/>
  <c r="G1932" i="1"/>
  <c r="N1931" i="1"/>
  <c r="H1931" i="1"/>
  <c r="G1931" i="1"/>
  <c r="N1930" i="1"/>
  <c r="H1930" i="1"/>
  <c r="G1930" i="1"/>
  <c r="N1929" i="1"/>
  <c r="H1929" i="1"/>
  <c r="G1929" i="1"/>
  <c r="N1928" i="1"/>
  <c r="H1928" i="1"/>
  <c r="G1928" i="1"/>
  <c r="N1927" i="1"/>
  <c r="H1927" i="1"/>
  <c r="G1927" i="1"/>
  <c r="N1926" i="1"/>
  <c r="H1926" i="1"/>
  <c r="G1926" i="1"/>
  <c r="N1925" i="1"/>
  <c r="H1925" i="1"/>
  <c r="G1925" i="1"/>
  <c r="N1924" i="1"/>
  <c r="H1924" i="1"/>
  <c r="G1924" i="1"/>
  <c r="N1923" i="1"/>
  <c r="H1923" i="1"/>
  <c r="G1923" i="1"/>
  <c r="N1922" i="1"/>
  <c r="H1922" i="1"/>
  <c r="G1922" i="1"/>
  <c r="N1921" i="1"/>
  <c r="H1921" i="1"/>
  <c r="G1921" i="1"/>
  <c r="N1920" i="1"/>
  <c r="H1920" i="1"/>
  <c r="G1920" i="1"/>
  <c r="N1919" i="1"/>
  <c r="H1919" i="1"/>
  <c r="G1919" i="1"/>
  <c r="N1918" i="1"/>
  <c r="H1918" i="1"/>
  <c r="G1918" i="1"/>
  <c r="N1917" i="1"/>
  <c r="H1917" i="1"/>
  <c r="G1917" i="1"/>
  <c r="N1916" i="1"/>
  <c r="H1916" i="1"/>
  <c r="G1916" i="1"/>
  <c r="N1915" i="1"/>
  <c r="H1915" i="1"/>
  <c r="G1915" i="1"/>
  <c r="N1914" i="1"/>
  <c r="H1914" i="1"/>
  <c r="G1914" i="1"/>
  <c r="N1913" i="1"/>
  <c r="H1913" i="1"/>
  <c r="G1913" i="1"/>
  <c r="N1912" i="1"/>
  <c r="H1912" i="1"/>
  <c r="G1912" i="1"/>
  <c r="N1911" i="1"/>
  <c r="H1911" i="1"/>
  <c r="G1911" i="1"/>
  <c r="N1910" i="1"/>
  <c r="H1910" i="1"/>
  <c r="G1910" i="1"/>
  <c r="N1909" i="1"/>
  <c r="H1909" i="1"/>
  <c r="G1909" i="1"/>
  <c r="N1908" i="1"/>
  <c r="H1908" i="1"/>
  <c r="G1908" i="1"/>
  <c r="N1907" i="1"/>
  <c r="H1907" i="1"/>
  <c r="G1907" i="1"/>
  <c r="N1906" i="1"/>
  <c r="H1906" i="1"/>
  <c r="G1906" i="1"/>
  <c r="N1905" i="1"/>
  <c r="H1905" i="1"/>
  <c r="G1905" i="1"/>
  <c r="N1904" i="1"/>
  <c r="H1904" i="1"/>
  <c r="G1904" i="1"/>
  <c r="N1903" i="1"/>
  <c r="H1903" i="1"/>
  <c r="G1903" i="1"/>
  <c r="N1902" i="1"/>
  <c r="H1902" i="1"/>
  <c r="G1902" i="1"/>
  <c r="N1901" i="1"/>
  <c r="H1901" i="1"/>
  <c r="G1901" i="1"/>
  <c r="N1900" i="1"/>
  <c r="H1900" i="1"/>
  <c r="G1900" i="1"/>
  <c r="N1899" i="1"/>
  <c r="H1899" i="1"/>
  <c r="G1899" i="1"/>
  <c r="N1898" i="1"/>
  <c r="H1898" i="1"/>
  <c r="G1898" i="1"/>
  <c r="N1897" i="1"/>
  <c r="H1897" i="1"/>
  <c r="G1897" i="1"/>
  <c r="N1896" i="1"/>
  <c r="H1896" i="1"/>
  <c r="G1896" i="1"/>
  <c r="N1895" i="1"/>
  <c r="H1895" i="1"/>
  <c r="G1895" i="1"/>
  <c r="N1894" i="1"/>
  <c r="H1894" i="1"/>
  <c r="G1894" i="1"/>
  <c r="N1893" i="1"/>
  <c r="H1893" i="1"/>
  <c r="G1893" i="1"/>
  <c r="N1892" i="1"/>
  <c r="H1892" i="1"/>
  <c r="G1892" i="1"/>
  <c r="N1891" i="1"/>
  <c r="H1891" i="1"/>
  <c r="G1891" i="1"/>
  <c r="N1890" i="1"/>
  <c r="H1890" i="1"/>
  <c r="G1890" i="1"/>
  <c r="N1889" i="1"/>
  <c r="H1889" i="1"/>
  <c r="G1889" i="1"/>
  <c r="N1888" i="1"/>
  <c r="H1888" i="1"/>
  <c r="G1888" i="1"/>
  <c r="N1887" i="1"/>
  <c r="H1887" i="1"/>
  <c r="G1887" i="1"/>
  <c r="N1886" i="1"/>
  <c r="H1886" i="1"/>
  <c r="G1886" i="1"/>
  <c r="N1885" i="1"/>
  <c r="H1885" i="1"/>
  <c r="G1885" i="1"/>
  <c r="N1884" i="1"/>
  <c r="H1884" i="1"/>
  <c r="G1884" i="1"/>
  <c r="N1883" i="1"/>
  <c r="H1883" i="1"/>
  <c r="G1883" i="1"/>
  <c r="N1882" i="1"/>
  <c r="H1882" i="1"/>
  <c r="G1882" i="1"/>
  <c r="N1881" i="1"/>
  <c r="H1881" i="1"/>
  <c r="G1881" i="1"/>
  <c r="N1880" i="1"/>
  <c r="H1880" i="1"/>
  <c r="G1880" i="1"/>
  <c r="N1879" i="1"/>
  <c r="H1879" i="1"/>
  <c r="G1879" i="1"/>
  <c r="N1878" i="1"/>
  <c r="H1878" i="1"/>
  <c r="G1878" i="1"/>
  <c r="N1877" i="1"/>
  <c r="H1877" i="1"/>
  <c r="G1877" i="1"/>
  <c r="N1876" i="1"/>
  <c r="H1876" i="1"/>
  <c r="G1876" i="1"/>
  <c r="N1875" i="1"/>
  <c r="H1875" i="1"/>
  <c r="G1875" i="1"/>
  <c r="N1874" i="1"/>
  <c r="H1874" i="1"/>
  <c r="G1874" i="1"/>
  <c r="N1873" i="1"/>
  <c r="H1873" i="1"/>
  <c r="G1873" i="1"/>
  <c r="N1872" i="1"/>
  <c r="H1872" i="1"/>
  <c r="G1872" i="1"/>
  <c r="N1871" i="1"/>
  <c r="H1871" i="1"/>
  <c r="G1871" i="1"/>
  <c r="N1870" i="1"/>
  <c r="H1870" i="1"/>
  <c r="G1870" i="1"/>
  <c r="N1869" i="1"/>
  <c r="H1869" i="1"/>
  <c r="G1869" i="1"/>
  <c r="N1868" i="1"/>
  <c r="H1868" i="1"/>
  <c r="G1868" i="1"/>
  <c r="N1867" i="1"/>
  <c r="H1867" i="1"/>
  <c r="G1867" i="1"/>
  <c r="N1866" i="1"/>
  <c r="H1866" i="1"/>
  <c r="G1866" i="1"/>
  <c r="N1865" i="1"/>
  <c r="H1865" i="1"/>
  <c r="G1865" i="1"/>
  <c r="N1864" i="1"/>
  <c r="H1864" i="1"/>
  <c r="G1864" i="1"/>
  <c r="N1863" i="1"/>
  <c r="H1863" i="1"/>
  <c r="G1863" i="1"/>
  <c r="N1862" i="1"/>
  <c r="H1862" i="1"/>
  <c r="G1862" i="1"/>
  <c r="N1861" i="1"/>
  <c r="H1861" i="1"/>
  <c r="G1861" i="1"/>
  <c r="N1860" i="1"/>
  <c r="H1860" i="1"/>
  <c r="G1860" i="1"/>
  <c r="N1859" i="1"/>
  <c r="H1859" i="1"/>
  <c r="G1859" i="1"/>
  <c r="N1858" i="1"/>
  <c r="H1858" i="1"/>
  <c r="G1858" i="1"/>
  <c r="N1857" i="1"/>
  <c r="H1857" i="1"/>
  <c r="G1857" i="1"/>
  <c r="N1856" i="1"/>
  <c r="H1856" i="1"/>
  <c r="G1856" i="1"/>
  <c r="N1855" i="1"/>
  <c r="H1855" i="1"/>
  <c r="G1855" i="1"/>
  <c r="N1854" i="1"/>
  <c r="H1854" i="1"/>
  <c r="G1854" i="1"/>
  <c r="N1853" i="1"/>
  <c r="H1853" i="1"/>
  <c r="G1853" i="1"/>
  <c r="N1852" i="1"/>
  <c r="H1852" i="1"/>
  <c r="G1852" i="1"/>
  <c r="N1851" i="1"/>
  <c r="H1851" i="1"/>
  <c r="G1851" i="1"/>
  <c r="N1850" i="1"/>
  <c r="H1850" i="1"/>
  <c r="G1850" i="1"/>
  <c r="N1849" i="1"/>
  <c r="H1849" i="1"/>
  <c r="G1849" i="1"/>
  <c r="N1848" i="1"/>
  <c r="H1848" i="1"/>
  <c r="G1848" i="1"/>
  <c r="N1847" i="1"/>
  <c r="H1847" i="1"/>
  <c r="G1847" i="1"/>
  <c r="N1846" i="1"/>
  <c r="H1846" i="1"/>
  <c r="G1846" i="1"/>
  <c r="N1845" i="1"/>
  <c r="H1845" i="1"/>
  <c r="G1845" i="1"/>
  <c r="N1844" i="1"/>
  <c r="H1844" i="1"/>
  <c r="G1844" i="1"/>
  <c r="N1843" i="1"/>
  <c r="H1843" i="1"/>
  <c r="G1843" i="1"/>
  <c r="N1842" i="1"/>
  <c r="H1842" i="1"/>
  <c r="G1842" i="1"/>
  <c r="N1841" i="1"/>
  <c r="H1841" i="1"/>
  <c r="G1841" i="1"/>
  <c r="N1840" i="1"/>
  <c r="H1840" i="1"/>
  <c r="G1840" i="1"/>
  <c r="N1839" i="1"/>
  <c r="H1839" i="1"/>
  <c r="G1839" i="1"/>
  <c r="N1838" i="1"/>
  <c r="H1838" i="1"/>
  <c r="G1838" i="1"/>
  <c r="N1837" i="1"/>
  <c r="H1837" i="1"/>
  <c r="G1837" i="1"/>
  <c r="N1836" i="1"/>
  <c r="H1836" i="1"/>
  <c r="G1836" i="1"/>
  <c r="N1835" i="1"/>
  <c r="H1835" i="1"/>
  <c r="G1835" i="1"/>
  <c r="N1834" i="1"/>
  <c r="H1834" i="1"/>
  <c r="G1834" i="1"/>
  <c r="N1833" i="1"/>
  <c r="H1833" i="1"/>
  <c r="G1833" i="1"/>
  <c r="N1832" i="1"/>
  <c r="H1832" i="1"/>
  <c r="G1832" i="1"/>
  <c r="N1831" i="1"/>
  <c r="H1831" i="1"/>
  <c r="G1831" i="1"/>
  <c r="N1830" i="1"/>
  <c r="H1830" i="1"/>
  <c r="G1830" i="1"/>
  <c r="N1829" i="1"/>
  <c r="H1829" i="1"/>
  <c r="G1829" i="1"/>
  <c r="N1828" i="1"/>
  <c r="H1828" i="1"/>
  <c r="G1828" i="1"/>
  <c r="N1827" i="1"/>
  <c r="H1827" i="1"/>
  <c r="G1827" i="1"/>
  <c r="N1826" i="1"/>
  <c r="H1826" i="1"/>
  <c r="G1826" i="1"/>
  <c r="N1825" i="1"/>
  <c r="H1825" i="1"/>
  <c r="G1825" i="1"/>
  <c r="N1824" i="1"/>
  <c r="H1824" i="1"/>
  <c r="G1824" i="1"/>
  <c r="N1823" i="1"/>
  <c r="H1823" i="1"/>
  <c r="G1823" i="1"/>
  <c r="N1822" i="1"/>
  <c r="H1822" i="1"/>
  <c r="G1822" i="1"/>
  <c r="N1821" i="1"/>
  <c r="H1821" i="1"/>
  <c r="G1821" i="1"/>
  <c r="N1820" i="1"/>
  <c r="H1820" i="1"/>
  <c r="G1820" i="1"/>
  <c r="N1819" i="1"/>
  <c r="H1819" i="1"/>
  <c r="G1819" i="1"/>
  <c r="N1818" i="1"/>
  <c r="H1818" i="1"/>
  <c r="G1818" i="1"/>
  <c r="N1817" i="1"/>
  <c r="H1817" i="1"/>
  <c r="G1817" i="1"/>
  <c r="N1816" i="1"/>
  <c r="H1816" i="1"/>
  <c r="G1816" i="1"/>
  <c r="N1815" i="1"/>
  <c r="H1815" i="1"/>
  <c r="G1815" i="1"/>
  <c r="N1814" i="1"/>
  <c r="H1814" i="1"/>
  <c r="G1814" i="1"/>
  <c r="N1813" i="1"/>
  <c r="H1813" i="1"/>
  <c r="G1813" i="1"/>
  <c r="N1812" i="1"/>
  <c r="H1812" i="1"/>
  <c r="G1812" i="1"/>
  <c r="N1811" i="1"/>
  <c r="H1811" i="1"/>
  <c r="G1811" i="1"/>
  <c r="N1810" i="1"/>
  <c r="H1810" i="1"/>
  <c r="G1810" i="1"/>
  <c r="N1809" i="1"/>
  <c r="H1809" i="1"/>
  <c r="G1809" i="1"/>
  <c r="N1808" i="1"/>
  <c r="H1808" i="1"/>
  <c r="G1808" i="1"/>
  <c r="N1807" i="1"/>
  <c r="H1807" i="1"/>
  <c r="G1807" i="1"/>
  <c r="N1806" i="1"/>
  <c r="H1806" i="1"/>
  <c r="G1806" i="1"/>
  <c r="N1805" i="1"/>
  <c r="H1805" i="1"/>
  <c r="G1805" i="1"/>
  <c r="N1804" i="1"/>
  <c r="H1804" i="1"/>
  <c r="G1804" i="1"/>
  <c r="N1803" i="1"/>
  <c r="H1803" i="1"/>
  <c r="G1803" i="1"/>
  <c r="N1802" i="1"/>
  <c r="H1802" i="1"/>
  <c r="G1802" i="1"/>
  <c r="N1801" i="1"/>
  <c r="H1801" i="1"/>
  <c r="G1801" i="1"/>
  <c r="N1800" i="1"/>
  <c r="H1800" i="1"/>
  <c r="G1800" i="1"/>
  <c r="N1799" i="1"/>
  <c r="H1799" i="1"/>
  <c r="G1799" i="1"/>
  <c r="N1798" i="1"/>
  <c r="H1798" i="1"/>
  <c r="G1798" i="1"/>
  <c r="N1797" i="1"/>
  <c r="H1797" i="1"/>
  <c r="G1797" i="1"/>
  <c r="N1796" i="1"/>
  <c r="H1796" i="1"/>
  <c r="G1796" i="1"/>
  <c r="N1795" i="1"/>
  <c r="H1795" i="1"/>
  <c r="G1795" i="1"/>
  <c r="N1794" i="1"/>
  <c r="H1794" i="1"/>
  <c r="G1794" i="1"/>
  <c r="N1793" i="1"/>
  <c r="H1793" i="1"/>
  <c r="G1793" i="1"/>
  <c r="N1792" i="1"/>
  <c r="H1792" i="1"/>
  <c r="G1792" i="1"/>
  <c r="N1791" i="1"/>
  <c r="H1791" i="1"/>
  <c r="G1791" i="1"/>
  <c r="F1791" i="1"/>
  <c r="N1790" i="1"/>
  <c r="H1790" i="1"/>
  <c r="G1790" i="1"/>
  <c r="F1790" i="1"/>
  <c r="N1789" i="1"/>
  <c r="H1789" i="1"/>
  <c r="G1789" i="1"/>
  <c r="F1789" i="1"/>
  <c r="N1788" i="1"/>
  <c r="H1788" i="1"/>
  <c r="G1788" i="1"/>
  <c r="F1788" i="1"/>
  <c r="N1787" i="1"/>
  <c r="H1787" i="1"/>
  <c r="G1787" i="1"/>
  <c r="F1787" i="1"/>
  <c r="N1786" i="1"/>
  <c r="H1786" i="1"/>
  <c r="G1786" i="1"/>
  <c r="F1786" i="1"/>
  <c r="N1785" i="1"/>
  <c r="H1785" i="1"/>
  <c r="G1785" i="1"/>
  <c r="F1785" i="1"/>
  <c r="N1784" i="1"/>
  <c r="H1784" i="1"/>
  <c r="G1784" i="1"/>
  <c r="F1784" i="1"/>
  <c r="N1783" i="1"/>
  <c r="H1783" i="1"/>
  <c r="G1783" i="1"/>
  <c r="F1783" i="1"/>
  <c r="N1782" i="1"/>
  <c r="H1782" i="1"/>
  <c r="G1782" i="1"/>
  <c r="F1782" i="1"/>
  <c r="N1781" i="1"/>
  <c r="H1781" i="1"/>
  <c r="G1781" i="1"/>
  <c r="F1781" i="1"/>
  <c r="N1780" i="1"/>
  <c r="H1780" i="1"/>
  <c r="G1780" i="1"/>
  <c r="F1780" i="1"/>
  <c r="N1779" i="1"/>
  <c r="H1779" i="1"/>
  <c r="G1779" i="1"/>
  <c r="F1779" i="1"/>
  <c r="N1778" i="1"/>
  <c r="H1778" i="1"/>
  <c r="G1778" i="1"/>
  <c r="F1778" i="1"/>
  <c r="N1777" i="1"/>
  <c r="H1777" i="1"/>
  <c r="G1777" i="1"/>
  <c r="F1777" i="1"/>
  <c r="N1776" i="1"/>
  <c r="H1776" i="1"/>
  <c r="G1776" i="1"/>
  <c r="F1776" i="1"/>
  <c r="N1775" i="1"/>
  <c r="H1775" i="1"/>
  <c r="G1775" i="1"/>
  <c r="F1775" i="1"/>
  <c r="N1774" i="1"/>
  <c r="H1774" i="1"/>
  <c r="G1774" i="1"/>
  <c r="F1774" i="1"/>
  <c r="N1773" i="1"/>
  <c r="H1773" i="1"/>
  <c r="G1773" i="1"/>
  <c r="F1773" i="1"/>
  <c r="N1772" i="1"/>
  <c r="H1772" i="1"/>
  <c r="G1772" i="1"/>
  <c r="F1772" i="1"/>
  <c r="N1771" i="1"/>
  <c r="H1771" i="1"/>
  <c r="G1771" i="1"/>
  <c r="F1771" i="1"/>
  <c r="N1770" i="1"/>
  <c r="H1770" i="1"/>
  <c r="G1770" i="1"/>
  <c r="F1770" i="1"/>
  <c r="N1769" i="1"/>
  <c r="H1769" i="1"/>
  <c r="G1769" i="1"/>
  <c r="F1769" i="1"/>
  <c r="N1768" i="1"/>
  <c r="H1768" i="1"/>
  <c r="G1768" i="1"/>
  <c r="F1768" i="1"/>
  <c r="N1767" i="1"/>
  <c r="H1767" i="1"/>
  <c r="G1767" i="1"/>
  <c r="F1767" i="1"/>
  <c r="N1766" i="1"/>
  <c r="H1766" i="1"/>
  <c r="G1766" i="1"/>
  <c r="F1766" i="1"/>
  <c r="N1765" i="1"/>
  <c r="H1765" i="1"/>
  <c r="G1765" i="1"/>
  <c r="F1765" i="1"/>
  <c r="N1764" i="1"/>
  <c r="H1764" i="1"/>
  <c r="G1764" i="1"/>
  <c r="F1764" i="1"/>
  <c r="N1763" i="1"/>
  <c r="H1763" i="1"/>
  <c r="G1763" i="1"/>
  <c r="F1763" i="1"/>
  <c r="N1762" i="1"/>
  <c r="H1762" i="1"/>
  <c r="G1762" i="1"/>
  <c r="F1762" i="1"/>
  <c r="N1761" i="1"/>
  <c r="H1761" i="1"/>
  <c r="G1761" i="1"/>
  <c r="F1761" i="1"/>
  <c r="N1760" i="1"/>
  <c r="H1760" i="1"/>
  <c r="G1760" i="1"/>
  <c r="F1760" i="1"/>
  <c r="N1759" i="1"/>
  <c r="H1759" i="1"/>
  <c r="G1759" i="1"/>
  <c r="F1759" i="1"/>
  <c r="N1758" i="1"/>
  <c r="H1758" i="1"/>
  <c r="G1758" i="1"/>
  <c r="F1758" i="1"/>
  <c r="N1757" i="1"/>
  <c r="H1757" i="1"/>
  <c r="G1757" i="1"/>
  <c r="F1757" i="1"/>
  <c r="N1756" i="1"/>
  <c r="H1756" i="1"/>
  <c r="G1756" i="1"/>
  <c r="F1756" i="1"/>
  <c r="N1755" i="1"/>
  <c r="H1755" i="1"/>
  <c r="G1755" i="1"/>
  <c r="F1755" i="1"/>
  <c r="N1754" i="1"/>
  <c r="H1754" i="1"/>
  <c r="G1754" i="1"/>
  <c r="F1754" i="1"/>
  <c r="N1753" i="1"/>
  <c r="H1753" i="1"/>
  <c r="G1753" i="1"/>
  <c r="F1753" i="1"/>
  <c r="N1752" i="1"/>
  <c r="H1752" i="1"/>
  <c r="G1752" i="1"/>
  <c r="F1752" i="1"/>
  <c r="N1751" i="1"/>
  <c r="H1751" i="1"/>
  <c r="G1751" i="1"/>
  <c r="F1751" i="1"/>
  <c r="N1750" i="1"/>
  <c r="H1750" i="1"/>
  <c r="G1750" i="1"/>
  <c r="F1750" i="1"/>
  <c r="N1749" i="1"/>
  <c r="H1749" i="1"/>
  <c r="G1749" i="1"/>
  <c r="F1749" i="1"/>
  <c r="N1748" i="1"/>
  <c r="H1748" i="1"/>
  <c r="G1748" i="1"/>
  <c r="F1748" i="1"/>
  <c r="N1747" i="1"/>
  <c r="H1747" i="1"/>
  <c r="G1747" i="1"/>
  <c r="F1747" i="1"/>
  <c r="N1746" i="1"/>
  <c r="H1746" i="1"/>
  <c r="G1746" i="1"/>
  <c r="F1746" i="1"/>
  <c r="N1745" i="1"/>
  <c r="H1745" i="1"/>
  <c r="G1745" i="1"/>
  <c r="F1745" i="1"/>
  <c r="N1744" i="1"/>
  <c r="H1744" i="1"/>
  <c r="G1744" i="1"/>
  <c r="F1744" i="1"/>
  <c r="N1743" i="1"/>
  <c r="H1743" i="1"/>
  <c r="G1743" i="1"/>
  <c r="F1743" i="1"/>
  <c r="N1742" i="1"/>
  <c r="H1742" i="1"/>
  <c r="G1742" i="1"/>
  <c r="F1742" i="1"/>
  <c r="N1741" i="1"/>
  <c r="H1741" i="1"/>
  <c r="G1741" i="1"/>
  <c r="F1741" i="1"/>
  <c r="N1740" i="1"/>
  <c r="H1740" i="1"/>
  <c r="G1740" i="1"/>
  <c r="F1740" i="1"/>
  <c r="N1739" i="1"/>
  <c r="H1739" i="1"/>
  <c r="G1739" i="1"/>
  <c r="F1739" i="1"/>
  <c r="N1738" i="1"/>
  <c r="H1738" i="1"/>
  <c r="G1738" i="1"/>
  <c r="F1738" i="1"/>
  <c r="N1737" i="1"/>
  <c r="H1737" i="1"/>
  <c r="G1737" i="1"/>
  <c r="F1737" i="1"/>
  <c r="N1736" i="1"/>
  <c r="H1736" i="1"/>
  <c r="G1736" i="1"/>
  <c r="F1736" i="1"/>
  <c r="N1735" i="1"/>
  <c r="H1735" i="1"/>
  <c r="G1735" i="1"/>
  <c r="F1735" i="1"/>
  <c r="N1734" i="1"/>
  <c r="H1734" i="1"/>
  <c r="G1734" i="1"/>
  <c r="F1734" i="1"/>
  <c r="N1733" i="1"/>
  <c r="H1733" i="1"/>
  <c r="G1733" i="1"/>
  <c r="F1733" i="1"/>
  <c r="N1732" i="1"/>
  <c r="H1732" i="1"/>
  <c r="G1732" i="1"/>
  <c r="F1732" i="1"/>
  <c r="N1731" i="1"/>
  <c r="H1731" i="1"/>
  <c r="G1731" i="1"/>
  <c r="F1731" i="1"/>
  <c r="N1730" i="1"/>
  <c r="H1730" i="1"/>
  <c r="G1730" i="1"/>
  <c r="F1730" i="1"/>
  <c r="N1729" i="1"/>
  <c r="H1729" i="1"/>
  <c r="G1729" i="1"/>
  <c r="F1729" i="1"/>
  <c r="N1728" i="1"/>
  <c r="H1728" i="1"/>
  <c r="G1728" i="1"/>
  <c r="F1728" i="1"/>
  <c r="N1727" i="1"/>
  <c r="H1727" i="1"/>
  <c r="G1727" i="1"/>
  <c r="F1727" i="1"/>
  <c r="N1726" i="1"/>
  <c r="H1726" i="1"/>
  <c r="G1726" i="1"/>
  <c r="F1726" i="1"/>
  <c r="N1725" i="1"/>
  <c r="H1725" i="1"/>
  <c r="G1725" i="1"/>
  <c r="F1725" i="1"/>
  <c r="N1724" i="1"/>
  <c r="H1724" i="1"/>
  <c r="G1724" i="1"/>
  <c r="F1724" i="1"/>
  <c r="N1723" i="1"/>
  <c r="H1723" i="1"/>
  <c r="G1723" i="1"/>
  <c r="F1723" i="1"/>
  <c r="N1722" i="1"/>
  <c r="H1722" i="1"/>
  <c r="G1722" i="1"/>
  <c r="F1722" i="1"/>
  <c r="N1721" i="1"/>
  <c r="H1721" i="1"/>
  <c r="G1721" i="1"/>
  <c r="F1721" i="1"/>
  <c r="N1720" i="1"/>
  <c r="H1720" i="1"/>
  <c r="G1720" i="1"/>
  <c r="F1720" i="1"/>
  <c r="N1719" i="1"/>
  <c r="H1719" i="1"/>
  <c r="G1719" i="1"/>
  <c r="F1719" i="1"/>
  <c r="N1718" i="1"/>
  <c r="H1718" i="1"/>
  <c r="G1718" i="1"/>
  <c r="F1718" i="1"/>
  <c r="N1717" i="1"/>
  <c r="H1717" i="1"/>
  <c r="G1717" i="1"/>
  <c r="F1717" i="1"/>
  <c r="N1716" i="1"/>
  <c r="H1716" i="1"/>
  <c r="G1716" i="1"/>
  <c r="F1716" i="1"/>
  <c r="N1715" i="1"/>
  <c r="H1715" i="1"/>
  <c r="G1715" i="1"/>
  <c r="F1715" i="1"/>
  <c r="N1714" i="1"/>
  <c r="H1714" i="1"/>
  <c r="G1714" i="1"/>
  <c r="F1714" i="1"/>
  <c r="N1713" i="1"/>
  <c r="H1713" i="1"/>
  <c r="G1713" i="1"/>
  <c r="F1713" i="1"/>
  <c r="N1712" i="1"/>
  <c r="H1712" i="1"/>
  <c r="G1712" i="1"/>
  <c r="F1712" i="1"/>
  <c r="N1711" i="1"/>
  <c r="H1711" i="1"/>
  <c r="G1711" i="1"/>
  <c r="F1711" i="1"/>
  <c r="N1710" i="1"/>
  <c r="H1710" i="1"/>
  <c r="G1710" i="1"/>
  <c r="F1710" i="1"/>
  <c r="N1709" i="1"/>
  <c r="H1709" i="1"/>
  <c r="G1709" i="1"/>
  <c r="F1709" i="1"/>
  <c r="N1708" i="1"/>
  <c r="H1708" i="1"/>
  <c r="G1708" i="1"/>
  <c r="F1708" i="1"/>
  <c r="N1707" i="1"/>
  <c r="H1707" i="1"/>
  <c r="G1707" i="1"/>
  <c r="F1707" i="1"/>
  <c r="N1706" i="1"/>
  <c r="H1706" i="1"/>
  <c r="G1706" i="1"/>
  <c r="F1706" i="1"/>
  <c r="N1705" i="1"/>
  <c r="H1705" i="1"/>
  <c r="G1705" i="1"/>
  <c r="F1705" i="1"/>
  <c r="N1704" i="1"/>
  <c r="H1704" i="1"/>
  <c r="G1704" i="1"/>
  <c r="F1704" i="1"/>
  <c r="N1703" i="1"/>
  <c r="H1703" i="1"/>
  <c r="G1703" i="1"/>
  <c r="F1703" i="1"/>
  <c r="N1702" i="1"/>
  <c r="H1702" i="1"/>
  <c r="G1702" i="1"/>
  <c r="F1702" i="1"/>
  <c r="N1701" i="1"/>
  <c r="H1701" i="1"/>
  <c r="G1701" i="1"/>
  <c r="F1701" i="1"/>
  <c r="N1700" i="1"/>
  <c r="H1700" i="1"/>
  <c r="G1700" i="1"/>
  <c r="F1700" i="1"/>
  <c r="N1699" i="1"/>
  <c r="H1699" i="1"/>
  <c r="G1699" i="1"/>
  <c r="F1699" i="1"/>
  <c r="N1698" i="1"/>
  <c r="H1698" i="1"/>
  <c r="G1698" i="1"/>
  <c r="F1698" i="1"/>
  <c r="N1697" i="1"/>
  <c r="H1697" i="1"/>
  <c r="G1697" i="1"/>
  <c r="F1697" i="1"/>
  <c r="N1696" i="1"/>
  <c r="H1696" i="1"/>
  <c r="G1696" i="1"/>
  <c r="F1696" i="1"/>
  <c r="N1695" i="1"/>
  <c r="H1695" i="1"/>
  <c r="G1695" i="1"/>
  <c r="F1695" i="1"/>
  <c r="N1694" i="1"/>
  <c r="H1694" i="1"/>
  <c r="G1694" i="1"/>
  <c r="F1694" i="1"/>
  <c r="N1693" i="1"/>
  <c r="H1693" i="1"/>
  <c r="G1693" i="1"/>
  <c r="F1693" i="1"/>
  <c r="N1692" i="1"/>
  <c r="H1692" i="1"/>
  <c r="G1692" i="1"/>
  <c r="F1692" i="1"/>
  <c r="N1691" i="1"/>
  <c r="H1691" i="1"/>
  <c r="G1691" i="1"/>
  <c r="F1691" i="1"/>
  <c r="N1690" i="1"/>
  <c r="H1690" i="1"/>
  <c r="G1690" i="1"/>
  <c r="F1690" i="1"/>
  <c r="N1689" i="1"/>
  <c r="H1689" i="1"/>
  <c r="G1689" i="1"/>
  <c r="F1689" i="1"/>
  <c r="N1688" i="1"/>
  <c r="H1688" i="1"/>
  <c r="G1688" i="1"/>
  <c r="F1688" i="1"/>
  <c r="N1687" i="1"/>
  <c r="H1687" i="1"/>
  <c r="G1687" i="1"/>
  <c r="F1687" i="1"/>
  <c r="N1686" i="1"/>
  <c r="H1686" i="1"/>
  <c r="G1686" i="1"/>
  <c r="F1686" i="1"/>
  <c r="N1685" i="1"/>
  <c r="H1685" i="1"/>
  <c r="G1685" i="1"/>
  <c r="F1685" i="1"/>
  <c r="N1684" i="1"/>
  <c r="H1684" i="1"/>
  <c r="G1684" i="1"/>
  <c r="F1684" i="1"/>
  <c r="N1683" i="1"/>
  <c r="H1683" i="1"/>
  <c r="G1683" i="1"/>
  <c r="F1683" i="1"/>
  <c r="N1682" i="1"/>
  <c r="H1682" i="1"/>
  <c r="G1682" i="1"/>
  <c r="F1682" i="1"/>
  <c r="N1681" i="1"/>
  <c r="H1681" i="1"/>
  <c r="G1681" i="1"/>
  <c r="F1681" i="1"/>
  <c r="N1680" i="1"/>
  <c r="H1680" i="1"/>
  <c r="G1680" i="1"/>
  <c r="F1680" i="1"/>
  <c r="N1679" i="1"/>
  <c r="H1679" i="1"/>
  <c r="G1679" i="1"/>
  <c r="F1679" i="1"/>
  <c r="N1678" i="1"/>
  <c r="H1678" i="1"/>
  <c r="G1678" i="1"/>
  <c r="F1678" i="1"/>
  <c r="N1677" i="1"/>
  <c r="H1677" i="1"/>
  <c r="G1677" i="1"/>
  <c r="F1677" i="1"/>
  <c r="N1676" i="1"/>
  <c r="H1676" i="1"/>
  <c r="G1676" i="1"/>
  <c r="F1676" i="1"/>
  <c r="N1675" i="1"/>
  <c r="H1675" i="1"/>
  <c r="G1675" i="1"/>
  <c r="F1675" i="1"/>
  <c r="N1674" i="1"/>
  <c r="H1674" i="1"/>
  <c r="G1674" i="1"/>
  <c r="F1674" i="1"/>
  <c r="N1673" i="1"/>
  <c r="H1673" i="1"/>
  <c r="G1673" i="1"/>
  <c r="F1673" i="1"/>
  <c r="N1672" i="1"/>
  <c r="H1672" i="1"/>
  <c r="G1672" i="1"/>
  <c r="F1672" i="1"/>
  <c r="N1671" i="1"/>
  <c r="H1671" i="1"/>
  <c r="G1671" i="1"/>
  <c r="F1671" i="1"/>
  <c r="N1670" i="1"/>
  <c r="H1670" i="1"/>
  <c r="G1670" i="1"/>
  <c r="F1670" i="1"/>
  <c r="N1669" i="1"/>
  <c r="H1669" i="1"/>
  <c r="G1669" i="1"/>
  <c r="F1669" i="1"/>
  <c r="N1668" i="1"/>
  <c r="H1668" i="1"/>
  <c r="G1668" i="1"/>
  <c r="F1668" i="1"/>
  <c r="N1667" i="1"/>
  <c r="H1667" i="1"/>
  <c r="G1667" i="1"/>
  <c r="F1667" i="1"/>
  <c r="N1666" i="1"/>
  <c r="H1666" i="1"/>
  <c r="G1666" i="1"/>
  <c r="F1666" i="1"/>
  <c r="N1665" i="1"/>
  <c r="H1665" i="1"/>
  <c r="G1665" i="1"/>
  <c r="F1665" i="1"/>
  <c r="N1664" i="1"/>
  <c r="H1664" i="1"/>
  <c r="G1664" i="1"/>
  <c r="F1664" i="1"/>
  <c r="N1663" i="1"/>
  <c r="H1663" i="1"/>
  <c r="G1663" i="1"/>
  <c r="F1663" i="1"/>
  <c r="N1662" i="1"/>
  <c r="H1662" i="1"/>
  <c r="G1662" i="1"/>
  <c r="F1662" i="1"/>
  <c r="N1661" i="1"/>
  <c r="H1661" i="1"/>
  <c r="G1661" i="1"/>
  <c r="F1661" i="1"/>
  <c r="N1660" i="1"/>
  <c r="H1660" i="1"/>
  <c r="G1660" i="1"/>
  <c r="F1660" i="1"/>
  <c r="N1659" i="1"/>
  <c r="H1659" i="1"/>
  <c r="G1659" i="1"/>
  <c r="F1659" i="1"/>
  <c r="N1658" i="1"/>
  <c r="H1658" i="1"/>
  <c r="G1658" i="1"/>
  <c r="F1658" i="1"/>
  <c r="N1657" i="1"/>
  <c r="H1657" i="1"/>
  <c r="G1657" i="1"/>
  <c r="F1657" i="1"/>
  <c r="N1656" i="1"/>
  <c r="H1656" i="1"/>
  <c r="G1656" i="1"/>
  <c r="F1656" i="1"/>
  <c r="N1655" i="1"/>
  <c r="H1655" i="1"/>
  <c r="G1655" i="1"/>
  <c r="F1655" i="1"/>
  <c r="N1654" i="1"/>
  <c r="H1654" i="1"/>
  <c r="G1654" i="1"/>
  <c r="F1654" i="1"/>
  <c r="N1653" i="1"/>
  <c r="H1653" i="1"/>
  <c r="G1653" i="1"/>
  <c r="F1653" i="1"/>
  <c r="N1652" i="1"/>
  <c r="H1652" i="1"/>
  <c r="G1652" i="1"/>
  <c r="F1652" i="1"/>
  <c r="N1651" i="1"/>
  <c r="H1651" i="1"/>
  <c r="G1651" i="1"/>
  <c r="F1651" i="1"/>
  <c r="N1650" i="1"/>
  <c r="H1650" i="1"/>
  <c r="G1650" i="1"/>
  <c r="F1650" i="1"/>
  <c r="N1649" i="1"/>
  <c r="H1649" i="1"/>
  <c r="G1649" i="1"/>
  <c r="F1649" i="1"/>
  <c r="N1648" i="1"/>
  <c r="H1648" i="1"/>
  <c r="G1648" i="1"/>
  <c r="F1648" i="1"/>
  <c r="N1647" i="1"/>
  <c r="H1647" i="1"/>
  <c r="G1647" i="1"/>
  <c r="F1647" i="1"/>
  <c r="N1646" i="1"/>
  <c r="H1646" i="1"/>
  <c r="G1646" i="1"/>
  <c r="F1646" i="1"/>
  <c r="N1645" i="1"/>
  <c r="H1645" i="1"/>
  <c r="G1645" i="1"/>
  <c r="F1645" i="1"/>
  <c r="N1644" i="1"/>
  <c r="H1644" i="1"/>
  <c r="G1644" i="1"/>
  <c r="F1644" i="1"/>
  <c r="N1643" i="1"/>
  <c r="H1643" i="1"/>
  <c r="G1643" i="1"/>
  <c r="F1643" i="1"/>
  <c r="N1642" i="1"/>
  <c r="H1642" i="1"/>
  <c r="G1642" i="1"/>
  <c r="F1642" i="1"/>
  <c r="N1641" i="1"/>
  <c r="H1641" i="1"/>
  <c r="G1641" i="1"/>
  <c r="F1641" i="1"/>
  <c r="N1640" i="1"/>
  <c r="H1640" i="1"/>
  <c r="G1640" i="1"/>
  <c r="F1640" i="1"/>
  <c r="N1639" i="1"/>
  <c r="H1639" i="1"/>
  <c r="G1639" i="1"/>
  <c r="F1639" i="1"/>
  <c r="N1638" i="1"/>
  <c r="H1638" i="1"/>
  <c r="G1638" i="1"/>
  <c r="F1638" i="1"/>
  <c r="N1637" i="1"/>
  <c r="H1637" i="1"/>
  <c r="G1637" i="1"/>
  <c r="F1637" i="1"/>
  <c r="N1636" i="1"/>
  <c r="H1636" i="1"/>
  <c r="G1636" i="1"/>
  <c r="F1636" i="1"/>
  <c r="N1635" i="1"/>
  <c r="H1635" i="1"/>
  <c r="G1635" i="1"/>
  <c r="F1635" i="1"/>
  <c r="N1634" i="1"/>
  <c r="H1634" i="1"/>
  <c r="G1634" i="1"/>
  <c r="F1634" i="1"/>
  <c r="N1633" i="1"/>
  <c r="H1633" i="1"/>
  <c r="G1633" i="1"/>
  <c r="F1633" i="1"/>
  <c r="N1632" i="1"/>
  <c r="H1632" i="1"/>
  <c r="G1632" i="1"/>
  <c r="F1632" i="1"/>
  <c r="N1631" i="1"/>
  <c r="H1631" i="1"/>
  <c r="G1631" i="1"/>
  <c r="F1631" i="1"/>
  <c r="N1630" i="1"/>
  <c r="H1630" i="1"/>
  <c r="G1630" i="1"/>
  <c r="F1630" i="1"/>
  <c r="N1629" i="1"/>
  <c r="H1629" i="1"/>
  <c r="G1629" i="1"/>
  <c r="F1629" i="1"/>
  <c r="N1628" i="1"/>
  <c r="H1628" i="1"/>
  <c r="G1628" i="1"/>
  <c r="F1628" i="1"/>
  <c r="N1627" i="1"/>
  <c r="H1627" i="1"/>
  <c r="G1627" i="1"/>
  <c r="F1627" i="1"/>
  <c r="N1626" i="1"/>
  <c r="H1626" i="1"/>
  <c r="G1626" i="1"/>
  <c r="F1626" i="1"/>
  <c r="N1625" i="1"/>
  <c r="H1625" i="1"/>
  <c r="G1625" i="1"/>
  <c r="F1625" i="1"/>
  <c r="N1624" i="1"/>
  <c r="H1624" i="1"/>
  <c r="G1624" i="1"/>
  <c r="F1624" i="1"/>
  <c r="N1623" i="1"/>
  <c r="H1623" i="1"/>
  <c r="G1623" i="1"/>
  <c r="F1623" i="1"/>
  <c r="N1622" i="1"/>
  <c r="H1622" i="1"/>
  <c r="G1622" i="1"/>
  <c r="F1622" i="1"/>
  <c r="N1621" i="1"/>
  <c r="H1621" i="1"/>
  <c r="G1621" i="1"/>
  <c r="F1621" i="1"/>
  <c r="N1620" i="1"/>
  <c r="H1620" i="1"/>
  <c r="G1620" i="1"/>
  <c r="F1620" i="1"/>
  <c r="N1619" i="1"/>
  <c r="H1619" i="1"/>
  <c r="G1619" i="1"/>
  <c r="F1619" i="1"/>
  <c r="N1618" i="1"/>
  <c r="H1618" i="1"/>
  <c r="G1618" i="1"/>
  <c r="F1618" i="1"/>
  <c r="N1617" i="1"/>
  <c r="H1617" i="1"/>
  <c r="G1617" i="1"/>
  <c r="F1617" i="1"/>
  <c r="N1616" i="1"/>
  <c r="H1616" i="1"/>
  <c r="G1616" i="1"/>
  <c r="F1616" i="1"/>
  <c r="N1615" i="1"/>
  <c r="H1615" i="1"/>
  <c r="G1615" i="1"/>
  <c r="F1615" i="1"/>
  <c r="N1614" i="1"/>
  <c r="H1614" i="1"/>
  <c r="G1614" i="1"/>
  <c r="F1614" i="1"/>
  <c r="N1613" i="1"/>
  <c r="H1613" i="1"/>
  <c r="G1613" i="1"/>
  <c r="F1613" i="1"/>
  <c r="N1612" i="1"/>
  <c r="H1612" i="1"/>
  <c r="G1612" i="1"/>
  <c r="F1612" i="1"/>
  <c r="N1611" i="1"/>
  <c r="H1611" i="1"/>
  <c r="G1611" i="1"/>
  <c r="F1611" i="1"/>
  <c r="N1610" i="1"/>
  <c r="H1610" i="1"/>
  <c r="G1610" i="1"/>
  <c r="F1610" i="1"/>
  <c r="N1609" i="1"/>
  <c r="H1609" i="1"/>
  <c r="G1609" i="1"/>
  <c r="F1609" i="1"/>
  <c r="N1608" i="1"/>
  <c r="H1608" i="1"/>
  <c r="G1608" i="1"/>
  <c r="F1608" i="1"/>
  <c r="N1607" i="1"/>
  <c r="H1607" i="1"/>
  <c r="G1607" i="1"/>
  <c r="F1607" i="1"/>
  <c r="N1606" i="1"/>
  <c r="H1606" i="1"/>
  <c r="G1606" i="1"/>
  <c r="F1606" i="1"/>
  <c r="N1605" i="1"/>
  <c r="H1605" i="1"/>
  <c r="G1605" i="1"/>
  <c r="F1605" i="1"/>
  <c r="N1604" i="1"/>
  <c r="H1604" i="1"/>
  <c r="G1604" i="1"/>
  <c r="F1604" i="1"/>
  <c r="N1603" i="1"/>
  <c r="H1603" i="1"/>
  <c r="G1603" i="1"/>
  <c r="F1603" i="1"/>
  <c r="N1602" i="1"/>
  <c r="H1602" i="1"/>
  <c r="G1602" i="1"/>
  <c r="F1602" i="1"/>
  <c r="N1601" i="1"/>
  <c r="H1601" i="1"/>
  <c r="G1601" i="1"/>
  <c r="F1601" i="1"/>
  <c r="N1600" i="1"/>
  <c r="H1600" i="1"/>
  <c r="G1600" i="1"/>
  <c r="F1600" i="1"/>
  <c r="N1599" i="1"/>
  <c r="H1599" i="1"/>
  <c r="G1599" i="1"/>
  <c r="F1599" i="1"/>
  <c r="N1598" i="1"/>
  <c r="H1598" i="1"/>
  <c r="G1598" i="1"/>
  <c r="F1598" i="1"/>
  <c r="N1597" i="1"/>
  <c r="H1597" i="1"/>
  <c r="G1597" i="1"/>
  <c r="F1597" i="1"/>
  <c r="N1596" i="1"/>
  <c r="H1596" i="1"/>
  <c r="G1596" i="1"/>
  <c r="F1596" i="1"/>
  <c r="N1595" i="1"/>
  <c r="H1595" i="1"/>
  <c r="G1595" i="1"/>
  <c r="F1595" i="1"/>
  <c r="N1594" i="1"/>
  <c r="H1594" i="1"/>
  <c r="G1594" i="1"/>
  <c r="F1594" i="1"/>
  <c r="N1593" i="1"/>
  <c r="H1593" i="1"/>
  <c r="G1593" i="1"/>
  <c r="F1593" i="1"/>
  <c r="N1592" i="1"/>
  <c r="H1592" i="1"/>
  <c r="G1592" i="1"/>
  <c r="F1592" i="1"/>
  <c r="N1591" i="1"/>
  <c r="H1591" i="1"/>
  <c r="G1591" i="1"/>
  <c r="F1591" i="1"/>
  <c r="N1590" i="1"/>
  <c r="H1590" i="1"/>
  <c r="G1590" i="1"/>
  <c r="F1590" i="1"/>
  <c r="N1589" i="1"/>
  <c r="H1589" i="1"/>
  <c r="G1589" i="1"/>
  <c r="F1589" i="1"/>
  <c r="N1588" i="1"/>
  <c r="H1588" i="1"/>
  <c r="G1588" i="1"/>
  <c r="F1588" i="1"/>
  <c r="N1587" i="1"/>
  <c r="H1587" i="1"/>
  <c r="G1587" i="1"/>
  <c r="F1587" i="1"/>
  <c r="N1586" i="1"/>
  <c r="H1586" i="1"/>
  <c r="G1586" i="1"/>
  <c r="F1586" i="1"/>
  <c r="N1585" i="1"/>
  <c r="H1585" i="1"/>
  <c r="G1585" i="1"/>
  <c r="F1585" i="1"/>
  <c r="N1584" i="1"/>
  <c r="H1584" i="1"/>
  <c r="G1584" i="1"/>
  <c r="F1584" i="1"/>
  <c r="N1583" i="1"/>
  <c r="H1583" i="1"/>
  <c r="G1583" i="1"/>
  <c r="F1583" i="1"/>
  <c r="N1582" i="1"/>
  <c r="H1582" i="1"/>
  <c r="G1582" i="1"/>
  <c r="F1582" i="1"/>
  <c r="N1581" i="1"/>
  <c r="H1581" i="1"/>
  <c r="G1581" i="1"/>
  <c r="F1581" i="1"/>
  <c r="N1580" i="1"/>
  <c r="H1580" i="1"/>
  <c r="G1580" i="1"/>
  <c r="F1580" i="1"/>
  <c r="N1579" i="1"/>
  <c r="H1579" i="1"/>
  <c r="G1579" i="1"/>
  <c r="F1579" i="1"/>
  <c r="N1578" i="1"/>
  <c r="H1578" i="1"/>
  <c r="G1578" i="1"/>
  <c r="F1578" i="1"/>
  <c r="N1577" i="1"/>
  <c r="H1577" i="1"/>
  <c r="G1577" i="1"/>
  <c r="F1577" i="1"/>
  <c r="N1576" i="1"/>
  <c r="H1576" i="1"/>
  <c r="G1576" i="1"/>
  <c r="F1576" i="1"/>
  <c r="N1575" i="1"/>
  <c r="H1575" i="1"/>
  <c r="G1575" i="1"/>
  <c r="F1575" i="1"/>
  <c r="N1574" i="1"/>
  <c r="H1574" i="1"/>
  <c r="G1574" i="1"/>
  <c r="F1574" i="1"/>
  <c r="N1573" i="1"/>
  <c r="H1573" i="1"/>
  <c r="G1573" i="1"/>
  <c r="F1573" i="1"/>
  <c r="N1572" i="1"/>
  <c r="H1572" i="1"/>
  <c r="G1572" i="1"/>
  <c r="F1572" i="1"/>
  <c r="N1571" i="1"/>
  <c r="H1571" i="1"/>
  <c r="G1571" i="1"/>
  <c r="F1571" i="1"/>
  <c r="N1570" i="1"/>
  <c r="H1570" i="1"/>
  <c r="G1570" i="1"/>
  <c r="F1570" i="1"/>
  <c r="N1569" i="1"/>
  <c r="H1569" i="1"/>
  <c r="G1569" i="1"/>
  <c r="F1569" i="1"/>
  <c r="N1568" i="1"/>
  <c r="H1568" i="1"/>
  <c r="G1568" i="1"/>
  <c r="F1568" i="1"/>
  <c r="N1567" i="1"/>
  <c r="H1567" i="1"/>
  <c r="G1567" i="1"/>
  <c r="F1567" i="1"/>
  <c r="N1566" i="1"/>
  <c r="H1566" i="1"/>
  <c r="G1566" i="1"/>
  <c r="F1566" i="1"/>
  <c r="N1565" i="1"/>
  <c r="H1565" i="1"/>
  <c r="G1565" i="1"/>
  <c r="F1565" i="1"/>
  <c r="N1564" i="1"/>
  <c r="H1564" i="1"/>
  <c r="G1564" i="1"/>
  <c r="F1564" i="1"/>
  <c r="N1563" i="1"/>
  <c r="H1563" i="1"/>
  <c r="G1563" i="1"/>
  <c r="F1563" i="1"/>
  <c r="N1562" i="1"/>
  <c r="H1562" i="1"/>
  <c r="G1562" i="1"/>
  <c r="F1562" i="1"/>
  <c r="N1561" i="1"/>
  <c r="H1561" i="1"/>
  <c r="G1561" i="1"/>
  <c r="F1561" i="1"/>
  <c r="N1560" i="1"/>
  <c r="H1560" i="1"/>
  <c r="G1560" i="1"/>
  <c r="F1560" i="1"/>
  <c r="N1559" i="1"/>
  <c r="H1559" i="1"/>
  <c r="G1559" i="1"/>
  <c r="F1559" i="1"/>
  <c r="N1558" i="1"/>
  <c r="H1558" i="1"/>
  <c r="G1558" i="1"/>
  <c r="F1558" i="1"/>
  <c r="N1557" i="1"/>
  <c r="H1557" i="1"/>
  <c r="G1557" i="1"/>
  <c r="F1557" i="1"/>
  <c r="N1556" i="1"/>
  <c r="H1556" i="1"/>
  <c r="G1556" i="1"/>
  <c r="F1556" i="1"/>
  <c r="N1555" i="1"/>
  <c r="H1555" i="1"/>
  <c r="G1555" i="1"/>
  <c r="F1555" i="1"/>
  <c r="N1554" i="1"/>
  <c r="H1554" i="1"/>
  <c r="G1554" i="1"/>
  <c r="F1554" i="1"/>
  <c r="N1553" i="1"/>
  <c r="H1553" i="1"/>
  <c r="G1553" i="1"/>
  <c r="F1553" i="1"/>
  <c r="N1552" i="1"/>
  <c r="H1552" i="1"/>
  <c r="G1552" i="1"/>
  <c r="F1552" i="1"/>
  <c r="N1551" i="1"/>
  <c r="H1551" i="1"/>
  <c r="G1551" i="1"/>
  <c r="F1551" i="1"/>
  <c r="N1550" i="1"/>
  <c r="H1550" i="1"/>
  <c r="G1550" i="1"/>
  <c r="F1550" i="1"/>
  <c r="N1549" i="1"/>
  <c r="H1549" i="1"/>
  <c r="G1549" i="1"/>
  <c r="F1549" i="1"/>
  <c r="N1548" i="1"/>
  <c r="H1548" i="1"/>
  <c r="G1548" i="1"/>
  <c r="F1548" i="1"/>
  <c r="N1547" i="1"/>
  <c r="H1547" i="1"/>
  <c r="G1547" i="1"/>
  <c r="F1547" i="1"/>
  <c r="N1546" i="1"/>
  <c r="H1546" i="1"/>
  <c r="G1546" i="1"/>
  <c r="F1546" i="1"/>
  <c r="N1545" i="1"/>
  <c r="H1545" i="1"/>
  <c r="G1545" i="1"/>
  <c r="F1545" i="1"/>
  <c r="N1544" i="1"/>
  <c r="H1544" i="1"/>
  <c r="G1544" i="1"/>
  <c r="F1544" i="1"/>
  <c r="N1543" i="1"/>
  <c r="H1543" i="1"/>
  <c r="G1543" i="1"/>
  <c r="F1543" i="1"/>
  <c r="N1542" i="1"/>
  <c r="H1542" i="1"/>
  <c r="G1542" i="1"/>
  <c r="F1542" i="1"/>
  <c r="N1541" i="1"/>
  <c r="H1541" i="1"/>
  <c r="G1541" i="1"/>
  <c r="F1541" i="1"/>
  <c r="N1540" i="1"/>
  <c r="H1540" i="1"/>
  <c r="G1540" i="1"/>
  <c r="F1540" i="1"/>
  <c r="N1539" i="1"/>
  <c r="H1539" i="1"/>
  <c r="G1539" i="1"/>
  <c r="F1539" i="1"/>
  <c r="N1538" i="1"/>
  <c r="H1538" i="1"/>
  <c r="G1538" i="1"/>
  <c r="F1538" i="1"/>
  <c r="N1537" i="1"/>
  <c r="H1537" i="1"/>
  <c r="G1537" i="1"/>
  <c r="F1537" i="1"/>
  <c r="N1536" i="1"/>
  <c r="H1536" i="1"/>
  <c r="G1536" i="1"/>
  <c r="F1536" i="1"/>
  <c r="N1535" i="1"/>
  <c r="H1535" i="1"/>
  <c r="G1535" i="1"/>
  <c r="F1535" i="1"/>
  <c r="N1534" i="1"/>
  <c r="H1534" i="1"/>
  <c r="G1534" i="1"/>
  <c r="F1534" i="1"/>
  <c r="N1533" i="1"/>
  <c r="H1533" i="1"/>
  <c r="G1533" i="1"/>
  <c r="F1533" i="1"/>
  <c r="N1532" i="1"/>
  <c r="H1532" i="1"/>
  <c r="G1532" i="1"/>
  <c r="F1532" i="1"/>
  <c r="N1531" i="1"/>
  <c r="H1531" i="1"/>
  <c r="G1531" i="1"/>
  <c r="F1531" i="1"/>
  <c r="N1530" i="1"/>
  <c r="H1530" i="1"/>
  <c r="G1530" i="1"/>
  <c r="F1530" i="1"/>
  <c r="N1529" i="1"/>
  <c r="H1529" i="1"/>
  <c r="G1529" i="1"/>
  <c r="F1529" i="1"/>
  <c r="N1528" i="1"/>
  <c r="H1528" i="1"/>
  <c r="G1528" i="1"/>
  <c r="F1528" i="1"/>
  <c r="N1527" i="1"/>
  <c r="H1527" i="1"/>
  <c r="G1527" i="1"/>
  <c r="F1527" i="1"/>
  <c r="N1526" i="1"/>
  <c r="H1526" i="1"/>
  <c r="G1526" i="1"/>
  <c r="F1526" i="1"/>
  <c r="N1525" i="1"/>
  <c r="H1525" i="1"/>
  <c r="G1525" i="1"/>
  <c r="F1525" i="1"/>
  <c r="N1524" i="1"/>
  <c r="H1524" i="1"/>
  <c r="G1524" i="1"/>
  <c r="F1524" i="1"/>
  <c r="N1523" i="1"/>
  <c r="H1523" i="1"/>
  <c r="G1523" i="1"/>
  <c r="F1523" i="1"/>
  <c r="N1522" i="1"/>
  <c r="H1522" i="1"/>
  <c r="G1522" i="1"/>
  <c r="F1522" i="1"/>
  <c r="N1521" i="1"/>
  <c r="H1521" i="1"/>
  <c r="G1521" i="1"/>
  <c r="F1521" i="1"/>
  <c r="N1520" i="1"/>
  <c r="H1520" i="1"/>
  <c r="G1520" i="1"/>
  <c r="F1520" i="1"/>
  <c r="N1519" i="1"/>
  <c r="H1519" i="1"/>
  <c r="G1519" i="1"/>
  <c r="F1519" i="1"/>
  <c r="N1518" i="1"/>
  <c r="H1518" i="1"/>
  <c r="G1518" i="1"/>
  <c r="F1518" i="1"/>
  <c r="N1517" i="1"/>
  <c r="H1517" i="1"/>
  <c r="G1517" i="1"/>
  <c r="F1517" i="1"/>
  <c r="N1516" i="1"/>
  <c r="H1516" i="1"/>
  <c r="G1516" i="1"/>
  <c r="F1516" i="1"/>
  <c r="N1515" i="1"/>
  <c r="H1515" i="1"/>
  <c r="G1515" i="1"/>
  <c r="F1515" i="1"/>
  <c r="N1514" i="1"/>
  <c r="H1514" i="1"/>
  <c r="G1514" i="1"/>
  <c r="F1514" i="1"/>
  <c r="N1513" i="1"/>
  <c r="H1513" i="1"/>
  <c r="G1513" i="1"/>
  <c r="F1513" i="1"/>
  <c r="N1512" i="1"/>
  <c r="H1512" i="1"/>
  <c r="G1512" i="1"/>
  <c r="F1512" i="1"/>
  <c r="N1511" i="1"/>
  <c r="H1511" i="1"/>
  <c r="G1511" i="1"/>
  <c r="F1511" i="1"/>
  <c r="N1510" i="1"/>
  <c r="H1510" i="1"/>
  <c r="G1510" i="1"/>
  <c r="F1510" i="1"/>
  <c r="N1509" i="1"/>
  <c r="H1509" i="1"/>
  <c r="G1509" i="1"/>
  <c r="F1509" i="1"/>
  <c r="N1508" i="1"/>
  <c r="H1508" i="1"/>
  <c r="G1508" i="1"/>
  <c r="F1508" i="1"/>
  <c r="N1507" i="1"/>
  <c r="H1507" i="1"/>
  <c r="G1507" i="1"/>
  <c r="F1507" i="1"/>
  <c r="N1506" i="1"/>
  <c r="H1506" i="1"/>
  <c r="G1506" i="1"/>
  <c r="F1506" i="1"/>
  <c r="N1505" i="1"/>
  <c r="H1505" i="1"/>
  <c r="G1505" i="1"/>
  <c r="F1505" i="1"/>
  <c r="N1504" i="1"/>
  <c r="H1504" i="1"/>
  <c r="G1504" i="1"/>
  <c r="F1504" i="1"/>
  <c r="N1503" i="1"/>
  <c r="H1503" i="1"/>
  <c r="G1503" i="1"/>
  <c r="F1503" i="1"/>
  <c r="N1502" i="1"/>
  <c r="H1502" i="1"/>
  <c r="G1502" i="1"/>
  <c r="F1502" i="1"/>
  <c r="N1501" i="1"/>
  <c r="H1501" i="1"/>
  <c r="G1501" i="1"/>
  <c r="F1501" i="1"/>
  <c r="N1500" i="1"/>
  <c r="H1500" i="1"/>
  <c r="G1500" i="1"/>
  <c r="F1500" i="1"/>
  <c r="N1499" i="1"/>
  <c r="H1499" i="1"/>
  <c r="G1499" i="1"/>
  <c r="F1499" i="1"/>
  <c r="N1498" i="1"/>
  <c r="H1498" i="1"/>
  <c r="G1498" i="1"/>
  <c r="F1498" i="1"/>
  <c r="N1497" i="1"/>
  <c r="H1497" i="1"/>
  <c r="G1497" i="1"/>
  <c r="F1497" i="1"/>
  <c r="N1496" i="1"/>
  <c r="H1496" i="1"/>
  <c r="G1496" i="1"/>
  <c r="F1496" i="1"/>
  <c r="N1495" i="1"/>
  <c r="H1495" i="1"/>
  <c r="G1495" i="1"/>
  <c r="F1495" i="1"/>
  <c r="N1494" i="1"/>
  <c r="H1494" i="1"/>
  <c r="G1494" i="1"/>
  <c r="F1494" i="1"/>
  <c r="N1493" i="1"/>
  <c r="H1493" i="1"/>
  <c r="G1493" i="1"/>
  <c r="F1493" i="1"/>
  <c r="N1492" i="1"/>
  <c r="H1492" i="1"/>
  <c r="G1492" i="1"/>
  <c r="F1492" i="1"/>
  <c r="N1491" i="1"/>
  <c r="H1491" i="1"/>
  <c r="G1491" i="1"/>
  <c r="F1491" i="1"/>
  <c r="N1490" i="1"/>
  <c r="H1490" i="1"/>
  <c r="G1490" i="1"/>
  <c r="F1490" i="1"/>
  <c r="N1489" i="1"/>
  <c r="H1489" i="1"/>
  <c r="G1489" i="1"/>
  <c r="F1489" i="1"/>
  <c r="N1488" i="1"/>
  <c r="H1488" i="1"/>
  <c r="G1488" i="1"/>
  <c r="F1488" i="1"/>
  <c r="N1487" i="1"/>
  <c r="H1487" i="1"/>
  <c r="G1487" i="1"/>
  <c r="F1487" i="1"/>
  <c r="N1486" i="1"/>
  <c r="H1486" i="1"/>
  <c r="G1486" i="1"/>
  <c r="F1486" i="1"/>
  <c r="N1485" i="1"/>
  <c r="H1485" i="1"/>
  <c r="G1485" i="1"/>
  <c r="F1485" i="1"/>
  <c r="N1484" i="1"/>
  <c r="H1484" i="1"/>
  <c r="G1484" i="1"/>
  <c r="F1484" i="1"/>
  <c r="N1483" i="1"/>
  <c r="H1483" i="1"/>
  <c r="G1483" i="1"/>
  <c r="F1483" i="1"/>
  <c r="N1482" i="1"/>
  <c r="H1482" i="1"/>
  <c r="G1482" i="1"/>
  <c r="F1482" i="1"/>
  <c r="N1481" i="1"/>
  <c r="H1481" i="1"/>
  <c r="G1481" i="1"/>
  <c r="F1481" i="1"/>
  <c r="N1480" i="1"/>
  <c r="H1480" i="1"/>
  <c r="G1480" i="1"/>
  <c r="F1480" i="1"/>
  <c r="N1479" i="1"/>
  <c r="H1479" i="1"/>
  <c r="G1479" i="1"/>
  <c r="F1479" i="1"/>
  <c r="N1478" i="1"/>
  <c r="H1478" i="1"/>
  <c r="G1478" i="1"/>
  <c r="F1478" i="1"/>
  <c r="S1477" i="1"/>
  <c r="N1477" i="1"/>
  <c r="H1477" i="1"/>
  <c r="G1477" i="1"/>
  <c r="F1477" i="1"/>
  <c r="S1476" i="1"/>
  <c r="N1476" i="1"/>
  <c r="H1476" i="1"/>
  <c r="G1476" i="1"/>
  <c r="F1476" i="1"/>
  <c r="S1475" i="1"/>
  <c r="N1475" i="1"/>
  <c r="H1475" i="1"/>
  <c r="G1475" i="1"/>
  <c r="F1475" i="1"/>
  <c r="S1474" i="1"/>
  <c r="N1474" i="1"/>
  <c r="H1474" i="1"/>
  <c r="G1474" i="1"/>
  <c r="F1474" i="1"/>
  <c r="S1473" i="1"/>
  <c r="N1473" i="1"/>
  <c r="H1473" i="1"/>
  <c r="G1473" i="1"/>
  <c r="F1473" i="1"/>
  <c r="S1472" i="1"/>
  <c r="N1472" i="1"/>
  <c r="H1472" i="1"/>
  <c r="G1472" i="1"/>
  <c r="F1472" i="1"/>
  <c r="S1471" i="1"/>
  <c r="N1471" i="1"/>
  <c r="H1471" i="1"/>
  <c r="G1471" i="1"/>
  <c r="F1471" i="1"/>
  <c r="S1470" i="1"/>
  <c r="N1470" i="1"/>
  <c r="H1470" i="1"/>
  <c r="G1470" i="1"/>
  <c r="F1470" i="1"/>
  <c r="S1469" i="1"/>
  <c r="N1469" i="1"/>
  <c r="H1469" i="1"/>
  <c r="G1469" i="1"/>
  <c r="F1469" i="1"/>
  <c r="S1468" i="1"/>
  <c r="N1468" i="1"/>
  <c r="H1468" i="1"/>
  <c r="G1468" i="1"/>
  <c r="F1468" i="1"/>
  <c r="S1467" i="1"/>
  <c r="N1467" i="1"/>
  <c r="H1467" i="1"/>
  <c r="G1467" i="1"/>
  <c r="F1467" i="1"/>
  <c r="S1466" i="1"/>
  <c r="N1466" i="1"/>
  <c r="H1466" i="1"/>
  <c r="G1466" i="1"/>
  <c r="F1466" i="1"/>
  <c r="S1465" i="1"/>
  <c r="N1465" i="1"/>
  <c r="H1465" i="1"/>
  <c r="G1465" i="1"/>
  <c r="F1465" i="1"/>
  <c r="S1464" i="1"/>
  <c r="N1464" i="1"/>
  <c r="H1464" i="1"/>
  <c r="G1464" i="1"/>
  <c r="F1464" i="1"/>
  <c r="S1463" i="1"/>
  <c r="N1463" i="1"/>
  <c r="H1463" i="1"/>
  <c r="G1463" i="1"/>
  <c r="F1463" i="1"/>
  <c r="S1462" i="1"/>
  <c r="N1462" i="1"/>
  <c r="H1462" i="1"/>
  <c r="G1462" i="1"/>
  <c r="F1462" i="1"/>
  <c r="S1461" i="1"/>
  <c r="N1461" i="1"/>
  <c r="H1461" i="1"/>
  <c r="G1461" i="1"/>
  <c r="F1461" i="1"/>
  <c r="S1460" i="1"/>
  <c r="N1460" i="1"/>
  <c r="H1460" i="1"/>
  <c r="G1460" i="1"/>
  <c r="F1460" i="1"/>
  <c r="S1459" i="1"/>
  <c r="N1459" i="1"/>
  <c r="H1459" i="1"/>
  <c r="G1459" i="1"/>
  <c r="F1459" i="1"/>
  <c r="S1458" i="1"/>
  <c r="N1458" i="1"/>
  <c r="H1458" i="1"/>
  <c r="G1458" i="1"/>
  <c r="F1458" i="1"/>
  <c r="S1457" i="1"/>
  <c r="N1457" i="1"/>
  <c r="H1457" i="1"/>
  <c r="G1457" i="1"/>
  <c r="F1457" i="1"/>
  <c r="S1456" i="1"/>
  <c r="N1456" i="1"/>
  <c r="H1456" i="1"/>
  <c r="G1456" i="1"/>
  <c r="F1456" i="1"/>
  <c r="S1455" i="1"/>
  <c r="N1455" i="1"/>
  <c r="H1455" i="1"/>
  <c r="G1455" i="1"/>
  <c r="F1455" i="1"/>
  <c r="S1454" i="1"/>
  <c r="N1454" i="1"/>
  <c r="H1454" i="1"/>
  <c r="G1454" i="1"/>
  <c r="F1454" i="1"/>
  <c r="S1453" i="1"/>
  <c r="N1453" i="1"/>
  <c r="H1453" i="1"/>
  <c r="G1453" i="1"/>
  <c r="F1453" i="1"/>
  <c r="S1452" i="1"/>
  <c r="N1452" i="1"/>
  <c r="H1452" i="1"/>
  <c r="G1452" i="1"/>
  <c r="F1452" i="1"/>
  <c r="S1451" i="1"/>
  <c r="N1451" i="1"/>
  <c r="H1451" i="1"/>
  <c r="G1451" i="1"/>
  <c r="F1451" i="1"/>
  <c r="S1450" i="1"/>
  <c r="N1450" i="1"/>
  <c r="H1450" i="1"/>
  <c r="G1450" i="1"/>
  <c r="F1450" i="1"/>
  <c r="S1449" i="1"/>
  <c r="N1449" i="1"/>
  <c r="H1449" i="1"/>
  <c r="G1449" i="1"/>
  <c r="F1449" i="1"/>
  <c r="S1448" i="1"/>
  <c r="N1448" i="1"/>
  <c r="H1448" i="1"/>
  <c r="G1448" i="1"/>
  <c r="F1448" i="1"/>
  <c r="S1447" i="1"/>
  <c r="N1447" i="1"/>
  <c r="H1447" i="1"/>
  <c r="G1447" i="1"/>
  <c r="F1447" i="1"/>
  <c r="S1446" i="1"/>
  <c r="N1446" i="1"/>
  <c r="H1446" i="1"/>
  <c r="G1446" i="1"/>
  <c r="F1446" i="1"/>
  <c r="S1445" i="1"/>
  <c r="N1445" i="1"/>
  <c r="H1445" i="1"/>
  <c r="G1445" i="1"/>
  <c r="F1445" i="1"/>
  <c r="S1444" i="1"/>
  <c r="N1444" i="1"/>
  <c r="H1444" i="1"/>
  <c r="G1444" i="1"/>
  <c r="F1444" i="1"/>
  <c r="S1443" i="1"/>
  <c r="N1443" i="1"/>
  <c r="H1443" i="1"/>
  <c r="G1443" i="1"/>
  <c r="F1443" i="1"/>
  <c r="S1442" i="1"/>
  <c r="N1442" i="1"/>
  <c r="H1442" i="1"/>
  <c r="G1442" i="1"/>
  <c r="F1442" i="1"/>
  <c r="S1441" i="1"/>
  <c r="N1441" i="1"/>
  <c r="H1441" i="1"/>
  <c r="G1441" i="1"/>
  <c r="F1441" i="1"/>
  <c r="S1440" i="1"/>
  <c r="N1440" i="1"/>
  <c r="H1440" i="1"/>
  <c r="G1440" i="1"/>
  <c r="F1440" i="1"/>
  <c r="S1439" i="1"/>
  <c r="N1439" i="1"/>
  <c r="H1439" i="1"/>
  <c r="G1439" i="1"/>
  <c r="F1439" i="1"/>
  <c r="S1438" i="1"/>
  <c r="N1438" i="1"/>
  <c r="H1438" i="1"/>
  <c r="G1438" i="1"/>
  <c r="F1438" i="1"/>
  <c r="S1437" i="1"/>
  <c r="N1437" i="1"/>
  <c r="H1437" i="1"/>
  <c r="G1437" i="1"/>
  <c r="F1437" i="1"/>
  <c r="S1436" i="1"/>
  <c r="N1436" i="1"/>
  <c r="H1436" i="1"/>
  <c r="G1436" i="1"/>
  <c r="F1436" i="1"/>
  <c r="S1435" i="1"/>
  <c r="N1435" i="1"/>
  <c r="H1435" i="1"/>
  <c r="G1435" i="1"/>
  <c r="F1435" i="1"/>
  <c r="S1434" i="1"/>
  <c r="N1434" i="1"/>
  <c r="H1434" i="1"/>
  <c r="G1434" i="1"/>
  <c r="F1434" i="1"/>
  <c r="S1433" i="1"/>
  <c r="N1433" i="1"/>
  <c r="H1433" i="1"/>
  <c r="G1433" i="1"/>
  <c r="F1433" i="1"/>
  <c r="S1432" i="1"/>
  <c r="N1432" i="1"/>
  <c r="H1432" i="1"/>
  <c r="G1432" i="1"/>
  <c r="F1432" i="1"/>
  <c r="S1431" i="1"/>
  <c r="N1431" i="1"/>
  <c r="H1431" i="1"/>
  <c r="G1431" i="1"/>
  <c r="F1431" i="1"/>
  <c r="S1430" i="1"/>
  <c r="N1430" i="1"/>
  <c r="H1430" i="1"/>
  <c r="G1430" i="1"/>
  <c r="F1430" i="1"/>
  <c r="S1429" i="1"/>
  <c r="N1429" i="1"/>
  <c r="H1429" i="1"/>
  <c r="G1429" i="1"/>
  <c r="F1429" i="1"/>
  <c r="S1428" i="1"/>
  <c r="N1428" i="1"/>
  <c r="H1428" i="1"/>
  <c r="G1428" i="1"/>
  <c r="F1428" i="1"/>
  <c r="S1427" i="1"/>
  <c r="N1427" i="1"/>
  <c r="H1427" i="1"/>
  <c r="G1427" i="1"/>
  <c r="F1427" i="1"/>
  <c r="S1426" i="1"/>
  <c r="N1426" i="1"/>
  <c r="H1426" i="1"/>
  <c r="G1426" i="1"/>
  <c r="F1426" i="1"/>
  <c r="S1425" i="1"/>
  <c r="N1425" i="1"/>
  <c r="H1425" i="1"/>
  <c r="G1425" i="1"/>
  <c r="F1425" i="1"/>
  <c r="S1424" i="1"/>
  <c r="N1424" i="1"/>
  <c r="H1424" i="1"/>
  <c r="G1424" i="1"/>
  <c r="F1424" i="1"/>
  <c r="S1423" i="1"/>
  <c r="N1423" i="1"/>
  <c r="H1423" i="1"/>
  <c r="G1423" i="1"/>
  <c r="F1423" i="1"/>
  <c r="S1422" i="1"/>
  <c r="N1422" i="1"/>
  <c r="H1422" i="1"/>
  <c r="G1422" i="1"/>
  <c r="F1422" i="1"/>
  <c r="S1421" i="1"/>
  <c r="N1421" i="1"/>
  <c r="H1421" i="1"/>
  <c r="G1421" i="1"/>
  <c r="F1421" i="1"/>
  <c r="S1420" i="1"/>
  <c r="N1420" i="1"/>
  <c r="H1420" i="1"/>
  <c r="G1420" i="1"/>
  <c r="F1420" i="1"/>
  <c r="S1419" i="1"/>
  <c r="N1419" i="1"/>
  <c r="H1419" i="1"/>
  <c r="G1419" i="1"/>
  <c r="F1419" i="1"/>
  <c r="S1418" i="1"/>
  <c r="N1418" i="1"/>
  <c r="H1418" i="1"/>
  <c r="G1418" i="1"/>
  <c r="F1418" i="1"/>
  <c r="S1417" i="1"/>
  <c r="N1417" i="1"/>
  <c r="H1417" i="1"/>
  <c r="G1417" i="1"/>
  <c r="F1417" i="1"/>
  <c r="S1416" i="1"/>
  <c r="N1416" i="1"/>
  <c r="H1416" i="1"/>
  <c r="G1416" i="1"/>
  <c r="F1416" i="1"/>
  <c r="S1415" i="1"/>
  <c r="N1415" i="1"/>
  <c r="H1415" i="1"/>
  <c r="G1415" i="1"/>
  <c r="F1415" i="1"/>
  <c r="S1414" i="1"/>
  <c r="N1414" i="1"/>
  <c r="H1414" i="1"/>
  <c r="G1414" i="1"/>
  <c r="F1414" i="1"/>
  <c r="S1413" i="1"/>
  <c r="N1413" i="1"/>
  <c r="H1413" i="1"/>
  <c r="G1413" i="1"/>
  <c r="F1413" i="1"/>
  <c r="S1412" i="1"/>
  <c r="N1412" i="1"/>
  <c r="H1412" i="1"/>
  <c r="G1412" i="1"/>
  <c r="F1412" i="1"/>
  <c r="S1411" i="1"/>
  <c r="N1411" i="1"/>
  <c r="H1411" i="1"/>
  <c r="G1411" i="1"/>
  <c r="F1411" i="1"/>
  <c r="S1410" i="1"/>
  <c r="N1410" i="1"/>
  <c r="H1410" i="1"/>
  <c r="G1410" i="1"/>
  <c r="F1410" i="1"/>
  <c r="S1409" i="1"/>
  <c r="N1409" i="1"/>
  <c r="H1409" i="1"/>
  <c r="G1409" i="1"/>
  <c r="F1409" i="1"/>
  <c r="S1408" i="1"/>
  <c r="N1408" i="1"/>
  <c r="H1408" i="1"/>
  <c r="G1408" i="1"/>
  <c r="F1408" i="1"/>
  <c r="S1407" i="1"/>
  <c r="N1407" i="1"/>
  <c r="H1407" i="1"/>
  <c r="G1407" i="1"/>
  <c r="F1407" i="1"/>
  <c r="S1406" i="1"/>
  <c r="N1406" i="1"/>
  <c r="H1406" i="1"/>
  <c r="G1406" i="1"/>
  <c r="F1406" i="1"/>
  <c r="S1405" i="1"/>
  <c r="N1405" i="1"/>
  <c r="H1405" i="1"/>
  <c r="G1405" i="1"/>
  <c r="F1405" i="1"/>
  <c r="S1404" i="1"/>
  <c r="N1404" i="1"/>
  <c r="H1404" i="1"/>
  <c r="G1404" i="1"/>
  <c r="F1404" i="1"/>
  <c r="S1403" i="1"/>
  <c r="N1403" i="1"/>
  <c r="H1403" i="1"/>
  <c r="G1403" i="1"/>
  <c r="F1403" i="1"/>
  <c r="S1402" i="1"/>
  <c r="N1402" i="1"/>
  <c r="H1402" i="1"/>
  <c r="G1402" i="1"/>
  <c r="F1402" i="1"/>
  <c r="S1401" i="1"/>
  <c r="N1401" i="1"/>
  <c r="H1401" i="1"/>
  <c r="G1401" i="1"/>
  <c r="F1401" i="1"/>
  <c r="S1400" i="1"/>
  <c r="N1400" i="1"/>
  <c r="H1400" i="1"/>
  <c r="G1400" i="1"/>
  <c r="F1400" i="1"/>
  <c r="S1399" i="1"/>
  <c r="N1399" i="1"/>
  <c r="H1399" i="1"/>
  <c r="G1399" i="1"/>
  <c r="F1399" i="1"/>
  <c r="S1398" i="1"/>
  <c r="N1398" i="1"/>
  <c r="H1398" i="1"/>
  <c r="G1398" i="1"/>
  <c r="F1398" i="1"/>
  <c r="S1397" i="1"/>
  <c r="N1397" i="1"/>
  <c r="H1397" i="1"/>
  <c r="G1397" i="1"/>
  <c r="F1397" i="1"/>
  <c r="S1396" i="1"/>
  <c r="N1396" i="1"/>
  <c r="H1396" i="1"/>
  <c r="G1396" i="1"/>
  <c r="F1396" i="1"/>
  <c r="S1395" i="1"/>
  <c r="N1395" i="1"/>
  <c r="H1395" i="1"/>
  <c r="G1395" i="1"/>
  <c r="F1395" i="1"/>
  <c r="S1394" i="1"/>
  <c r="N1394" i="1"/>
  <c r="H1394" i="1"/>
  <c r="G1394" i="1"/>
  <c r="F1394" i="1"/>
  <c r="S1393" i="1"/>
  <c r="N1393" i="1"/>
  <c r="H1393" i="1"/>
  <c r="G1393" i="1"/>
  <c r="F1393" i="1"/>
  <c r="S1392" i="1"/>
  <c r="N1392" i="1"/>
  <c r="H1392" i="1"/>
  <c r="G1392" i="1"/>
  <c r="F1392" i="1"/>
  <c r="S1391" i="1"/>
  <c r="N1391" i="1"/>
  <c r="H1391" i="1"/>
  <c r="G1391" i="1"/>
  <c r="F1391" i="1"/>
  <c r="S1390" i="1"/>
  <c r="N1390" i="1"/>
  <c r="H1390" i="1"/>
  <c r="G1390" i="1"/>
  <c r="F1390" i="1"/>
  <c r="S1389" i="1"/>
  <c r="N1389" i="1"/>
  <c r="H1389" i="1"/>
  <c r="G1389" i="1"/>
  <c r="F1389" i="1"/>
  <c r="S1388" i="1"/>
  <c r="N1388" i="1"/>
  <c r="H1388" i="1"/>
  <c r="G1388" i="1"/>
  <c r="F1388" i="1"/>
  <c r="S1387" i="1"/>
  <c r="N1387" i="1"/>
  <c r="H1387" i="1"/>
  <c r="G1387" i="1"/>
  <c r="F1387" i="1"/>
  <c r="S1386" i="1"/>
  <c r="N1386" i="1"/>
  <c r="H1386" i="1"/>
  <c r="G1386" i="1"/>
  <c r="F1386" i="1"/>
  <c r="S1385" i="1"/>
  <c r="N1385" i="1"/>
  <c r="H1385" i="1"/>
  <c r="G1385" i="1"/>
  <c r="F1385" i="1"/>
  <c r="S1384" i="1"/>
  <c r="N1384" i="1"/>
  <c r="H1384" i="1"/>
  <c r="G1384" i="1"/>
  <c r="F1384" i="1"/>
  <c r="S1383" i="1"/>
  <c r="N1383" i="1"/>
  <c r="H1383" i="1"/>
  <c r="G1383" i="1"/>
  <c r="F1383" i="1"/>
  <c r="S1382" i="1"/>
  <c r="N1382" i="1"/>
  <c r="H1382" i="1"/>
  <c r="G1382" i="1"/>
  <c r="F1382" i="1"/>
  <c r="S1381" i="1"/>
  <c r="N1381" i="1"/>
  <c r="H1381" i="1"/>
  <c r="G1381" i="1"/>
  <c r="F1381" i="1"/>
  <c r="S1380" i="1"/>
  <c r="N1380" i="1"/>
  <c r="H1380" i="1"/>
  <c r="G1380" i="1"/>
  <c r="F1380" i="1"/>
  <c r="S1379" i="1"/>
  <c r="N1379" i="1"/>
  <c r="H1379" i="1"/>
  <c r="G1379" i="1"/>
  <c r="F1379" i="1"/>
  <c r="S1378" i="1"/>
  <c r="N1378" i="1"/>
  <c r="H1378" i="1"/>
  <c r="G1378" i="1"/>
  <c r="F1378" i="1"/>
  <c r="S1377" i="1"/>
  <c r="N1377" i="1"/>
  <c r="H1377" i="1"/>
  <c r="G1377" i="1"/>
  <c r="F1377" i="1"/>
  <c r="S1376" i="1"/>
  <c r="N1376" i="1"/>
  <c r="H1376" i="1"/>
  <c r="G1376" i="1"/>
  <c r="F1376" i="1"/>
  <c r="S1375" i="1"/>
  <c r="N1375" i="1"/>
  <c r="H1375" i="1"/>
  <c r="G1375" i="1"/>
  <c r="F1375" i="1"/>
  <c r="S1374" i="1"/>
  <c r="N1374" i="1"/>
  <c r="H1374" i="1"/>
  <c r="G1374" i="1"/>
  <c r="F1374" i="1"/>
  <c r="S1373" i="1"/>
  <c r="N1373" i="1"/>
  <c r="H1373" i="1"/>
  <c r="G1373" i="1"/>
  <c r="F1373" i="1"/>
  <c r="S1372" i="1"/>
  <c r="N1372" i="1"/>
  <c r="H1372" i="1"/>
  <c r="G1372" i="1"/>
  <c r="F1372" i="1"/>
  <c r="S1371" i="1"/>
  <c r="N1371" i="1"/>
  <c r="H1371" i="1"/>
  <c r="G1371" i="1"/>
  <c r="F1371" i="1"/>
  <c r="S1370" i="1"/>
  <c r="N1370" i="1"/>
  <c r="H1370" i="1"/>
  <c r="G1370" i="1"/>
  <c r="F1370" i="1"/>
  <c r="S1369" i="1"/>
  <c r="N1369" i="1"/>
  <c r="H1369" i="1"/>
  <c r="G1369" i="1"/>
  <c r="F1369" i="1"/>
  <c r="S1368" i="1"/>
  <c r="N1368" i="1"/>
  <c r="H1368" i="1"/>
  <c r="G1368" i="1"/>
  <c r="F1368" i="1"/>
  <c r="S1367" i="1"/>
  <c r="N1367" i="1"/>
  <c r="H1367" i="1"/>
  <c r="G1367" i="1"/>
  <c r="F1367" i="1"/>
  <c r="S1366" i="1"/>
  <c r="N1366" i="1"/>
  <c r="H1366" i="1"/>
  <c r="G1366" i="1"/>
  <c r="F1366" i="1"/>
  <c r="S1365" i="1"/>
  <c r="N1365" i="1"/>
  <c r="H1365" i="1"/>
  <c r="G1365" i="1"/>
  <c r="F1365" i="1"/>
  <c r="S1364" i="1"/>
  <c r="N1364" i="1"/>
  <c r="H1364" i="1"/>
  <c r="G1364" i="1"/>
  <c r="F1364" i="1"/>
  <c r="S1363" i="1"/>
  <c r="N1363" i="1"/>
  <c r="H1363" i="1"/>
  <c r="G1363" i="1"/>
  <c r="F1363" i="1"/>
  <c r="S1362" i="1"/>
  <c r="N1362" i="1"/>
  <c r="H1362" i="1"/>
  <c r="G1362" i="1"/>
  <c r="F1362" i="1"/>
  <c r="S1361" i="1"/>
  <c r="N1361" i="1"/>
  <c r="H1361" i="1"/>
  <c r="G1361" i="1"/>
  <c r="F1361" i="1"/>
  <c r="S1360" i="1"/>
  <c r="N1360" i="1"/>
  <c r="H1360" i="1"/>
  <c r="G1360" i="1"/>
  <c r="F1360" i="1"/>
  <c r="S1359" i="1"/>
  <c r="N1359" i="1"/>
  <c r="H1359" i="1"/>
  <c r="G1359" i="1"/>
  <c r="F1359" i="1"/>
  <c r="S1358" i="1"/>
  <c r="N1358" i="1"/>
  <c r="H1358" i="1"/>
  <c r="G1358" i="1"/>
  <c r="F1358" i="1"/>
  <c r="S1357" i="1"/>
  <c r="N1357" i="1"/>
  <c r="H1357" i="1"/>
  <c r="G1357" i="1"/>
  <c r="F1357" i="1"/>
  <c r="S1356" i="1"/>
  <c r="N1356" i="1"/>
  <c r="H1356" i="1"/>
  <c r="G1356" i="1"/>
  <c r="F1356" i="1"/>
  <c r="S1355" i="1"/>
  <c r="N1355" i="1"/>
  <c r="H1355" i="1"/>
  <c r="G1355" i="1"/>
  <c r="F1355" i="1"/>
  <c r="S1354" i="1"/>
  <c r="N1354" i="1"/>
  <c r="H1354" i="1"/>
  <c r="G1354" i="1"/>
  <c r="F1354" i="1"/>
  <c r="S1353" i="1"/>
  <c r="N1353" i="1"/>
  <c r="H1353" i="1"/>
  <c r="G1353" i="1"/>
  <c r="F1353" i="1"/>
  <c r="S1352" i="1"/>
  <c r="N1352" i="1"/>
  <c r="H1352" i="1"/>
  <c r="G1352" i="1"/>
  <c r="F1352" i="1"/>
  <c r="S1351" i="1"/>
  <c r="N1351" i="1"/>
  <c r="H1351" i="1"/>
  <c r="G1351" i="1"/>
  <c r="F1351" i="1"/>
  <c r="S1350" i="1"/>
  <c r="N1350" i="1"/>
  <c r="H1350" i="1"/>
  <c r="G1350" i="1"/>
  <c r="F1350" i="1"/>
  <c r="S1349" i="1"/>
  <c r="N1349" i="1"/>
  <c r="H1349" i="1"/>
  <c r="G1349" i="1"/>
  <c r="F1349" i="1"/>
  <c r="S1348" i="1"/>
  <c r="N1348" i="1"/>
  <c r="H1348" i="1"/>
  <c r="G1348" i="1"/>
  <c r="F1348" i="1"/>
  <c r="S1347" i="1"/>
  <c r="N1347" i="1"/>
  <c r="H1347" i="1"/>
  <c r="G1347" i="1"/>
  <c r="F1347" i="1"/>
  <c r="S1346" i="1"/>
  <c r="N1346" i="1"/>
  <c r="H1346" i="1"/>
  <c r="G1346" i="1"/>
  <c r="F1346" i="1"/>
  <c r="S1345" i="1"/>
  <c r="N1345" i="1"/>
  <c r="H1345" i="1"/>
  <c r="G1345" i="1"/>
  <c r="F1345" i="1"/>
  <c r="S1344" i="1"/>
  <c r="N1344" i="1"/>
  <c r="H1344" i="1"/>
  <c r="G1344" i="1"/>
  <c r="F1344" i="1"/>
  <c r="S1343" i="1"/>
  <c r="N1343" i="1"/>
  <c r="H1343" i="1"/>
  <c r="G1343" i="1"/>
  <c r="F1343" i="1"/>
  <c r="S1342" i="1"/>
  <c r="N1342" i="1"/>
  <c r="H1342" i="1"/>
  <c r="G1342" i="1"/>
  <c r="F1342" i="1"/>
  <c r="S1341" i="1"/>
  <c r="N1341" i="1"/>
  <c r="H1341" i="1"/>
  <c r="G1341" i="1"/>
  <c r="F1341" i="1"/>
  <c r="S1340" i="1"/>
  <c r="N1340" i="1"/>
  <c r="H1340" i="1"/>
  <c r="G1340" i="1"/>
  <c r="F1340" i="1"/>
  <c r="S1339" i="1"/>
  <c r="N1339" i="1"/>
  <c r="H1339" i="1"/>
  <c r="G1339" i="1"/>
  <c r="F1339" i="1"/>
  <c r="S1338" i="1"/>
  <c r="N1338" i="1"/>
  <c r="H1338" i="1"/>
  <c r="G1338" i="1"/>
  <c r="F1338" i="1"/>
  <c r="S1337" i="1"/>
  <c r="N1337" i="1"/>
  <c r="H1337" i="1"/>
  <c r="G1337" i="1"/>
  <c r="F1337" i="1"/>
  <c r="S1336" i="1"/>
  <c r="N1336" i="1"/>
  <c r="H1336" i="1"/>
  <c r="G1336" i="1"/>
  <c r="F1336" i="1"/>
  <c r="S1335" i="1"/>
  <c r="N1335" i="1"/>
  <c r="H1335" i="1"/>
  <c r="G1335" i="1"/>
  <c r="F1335" i="1"/>
  <c r="S1334" i="1"/>
  <c r="N1334" i="1"/>
  <c r="H1334" i="1"/>
  <c r="G1334" i="1"/>
  <c r="F1334" i="1"/>
  <c r="S1333" i="1"/>
  <c r="N1333" i="1"/>
  <c r="H1333" i="1"/>
  <c r="G1333" i="1"/>
  <c r="F1333" i="1"/>
  <c r="S1332" i="1"/>
  <c r="N1332" i="1"/>
  <c r="H1332" i="1"/>
  <c r="G1332" i="1"/>
  <c r="F1332" i="1"/>
  <c r="S1331" i="1"/>
  <c r="N1331" i="1"/>
  <c r="H1331" i="1"/>
  <c r="G1331" i="1"/>
  <c r="F1331" i="1"/>
  <c r="S1330" i="1"/>
  <c r="N1330" i="1"/>
  <c r="H1330" i="1"/>
  <c r="G1330" i="1"/>
  <c r="F1330" i="1"/>
  <c r="S1329" i="1"/>
  <c r="N1329" i="1"/>
  <c r="H1329" i="1"/>
  <c r="G1329" i="1"/>
  <c r="F1329" i="1"/>
  <c r="S1328" i="1"/>
  <c r="N1328" i="1"/>
  <c r="H1328" i="1"/>
  <c r="G1328" i="1"/>
  <c r="F1328" i="1"/>
  <c r="S1327" i="1"/>
  <c r="N1327" i="1"/>
  <c r="H1327" i="1"/>
  <c r="G1327" i="1"/>
  <c r="F1327" i="1"/>
  <c r="S1326" i="1"/>
  <c r="N1326" i="1"/>
  <c r="H1326" i="1"/>
  <c r="G1326" i="1"/>
  <c r="F1326" i="1"/>
  <c r="S1325" i="1"/>
  <c r="N1325" i="1"/>
  <c r="H1325" i="1"/>
  <c r="G1325" i="1"/>
  <c r="F1325" i="1"/>
  <c r="S1324" i="1"/>
  <c r="N1324" i="1"/>
  <c r="H1324" i="1"/>
  <c r="G1324" i="1"/>
  <c r="F1324" i="1"/>
  <c r="S1323" i="1"/>
  <c r="N1323" i="1"/>
  <c r="H1323" i="1"/>
  <c r="G1323" i="1"/>
  <c r="F1323" i="1"/>
  <c r="S1322" i="1"/>
  <c r="N1322" i="1"/>
  <c r="H1322" i="1"/>
  <c r="G1322" i="1"/>
  <c r="F1322" i="1"/>
  <c r="S1321" i="1"/>
  <c r="N1321" i="1"/>
  <c r="H1321" i="1"/>
  <c r="G1321" i="1"/>
  <c r="F1321" i="1"/>
  <c r="S1320" i="1"/>
  <c r="N1320" i="1"/>
  <c r="H1320" i="1"/>
  <c r="G1320" i="1"/>
  <c r="F1320" i="1"/>
  <c r="S1319" i="1"/>
  <c r="N1319" i="1"/>
  <c r="H1319" i="1"/>
  <c r="G1319" i="1"/>
  <c r="F1319" i="1"/>
  <c r="S1318" i="1"/>
  <c r="N1318" i="1"/>
  <c r="H1318" i="1"/>
  <c r="G1318" i="1"/>
  <c r="F1318" i="1"/>
  <c r="S1317" i="1"/>
  <c r="N1317" i="1"/>
  <c r="H1317" i="1"/>
  <c r="G1317" i="1"/>
  <c r="F1317" i="1"/>
  <c r="S1316" i="1"/>
  <c r="N1316" i="1"/>
  <c r="H1316" i="1"/>
  <c r="G1316" i="1"/>
  <c r="F1316" i="1"/>
  <c r="S1315" i="1"/>
  <c r="N1315" i="1"/>
  <c r="H1315" i="1"/>
  <c r="G1315" i="1"/>
  <c r="F1315" i="1"/>
  <c r="S1314" i="1"/>
  <c r="N1314" i="1"/>
  <c r="H1314" i="1"/>
  <c r="G1314" i="1"/>
  <c r="F1314" i="1"/>
  <c r="S1313" i="1"/>
  <c r="N1313" i="1"/>
  <c r="H1313" i="1"/>
  <c r="G1313" i="1"/>
  <c r="F1313" i="1"/>
  <c r="S1312" i="1"/>
  <c r="N1312" i="1"/>
  <c r="H1312" i="1"/>
  <c r="G1312" i="1"/>
  <c r="F1312" i="1"/>
  <c r="S1311" i="1"/>
  <c r="N1311" i="1"/>
  <c r="H1311" i="1"/>
  <c r="G1311" i="1"/>
  <c r="F1311" i="1"/>
  <c r="S1310" i="1"/>
  <c r="N1310" i="1"/>
  <c r="H1310" i="1"/>
  <c r="G1310" i="1"/>
  <c r="F1310" i="1"/>
  <c r="S1309" i="1"/>
  <c r="N1309" i="1"/>
  <c r="H1309" i="1"/>
  <c r="G1309" i="1"/>
  <c r="F1309" i="1"/>
  <c r="S1308" i="1"/>
  <c r="N1308" i="1"/>
  <c r="H1308" i="1"/>
  <c r="G1308" i="1"/>
  <c r="F1308" i="1"/>
  <c r="S1307" i="1"/>
  <c r="N1307" i="1"/>
  <c r="H1307" i="1"/>
  <c r="G1307" i="1"/>
  <c r="F1307" i="1"/>
  <c r="S1306" i="1"/>
  <c r="N1306" i="1"/>
  <c r="H1306" i="1"/>
  <c r="G1306" i="1"/>
  <c r="F1306" i="1"/>
  <c r="S1305" i="1"/>
  <c r="N1305" i="1"/>
  <c r="H1305" i="1"/>
  <c r="G1305" i="1"/>
  <c r="F1305" i="1"/>
  <c r="S1304" i="1"/>
  <c r="N1304" i="1"/>
  <c r="H1304" i="1"/>
  <c r="G1304" i="1"/>
  <c r="F1304" i="1"/>
  <c r="S1303" i="1"/>
  <c r="N1303" i="1"/>
  <c r="H1303" i="1"/>
  <c r="G1303" i="1"/>
  <c r="F1303" i="1"/>
  <c r="S1302" i="1"/>
  <c r="N1302" i="1"/>
  <c r="H1302" i="1"/>
  <c r="G1302" i="1"/>
  <c r="F1302" i="1"/>
  <c r="S1301" i="1"/>
  <c r="N1301" i="1"/>
  <c r="H1301" i="1"/>
  <c r="G1301" i="1"/>
  <c r="F1301" i="1"/>
  <c r="S1300" i="1"/>
  <c r="N1300" i="1"/>
  <c r="H1300" i="1"/>
  <c r="G1300" i="1"/>
  <c r="F1300" i="1"/>
  <c r="S1299" i="1"/>
  <c r="N1299" i="1"/>
  <c r="H1299" i="1"/>
  <c r="G1299" i="1"/>
  <c r="F1299" i="1"/>
  <c r="S1298" i="1"/>
  <c r="N1298" i="1"/>
  <c r="H1298" i="1"/>
  <c r="G1298" i="1"/>
  <c r="F1298" i="1"/>
  <c r="S1297" i="1"/>
  <c r="N1297" i="1"/>
  <c r="H1297" i="1"/>
  <c r="G1297" i="1"/>
  <c r="F1297" i="1"/>
  <c r="S1296" i="1"/>
  <c r="N1296" i="1"/>
  <c r="H1296" i="1"/>
  <c r="G1296" i="1"/>
  <c r="F1296" i="1"/>
  <c r="S1295" i="1"/>
  <c r="N1295" i="1"/>
  <c r="H1295" i="1"/>
  <c r="G1295" i="1"/>
  <c r="F1295" i="1"/>
  <c r="S1294" i="1"/>
  <c r="N1294" i="1"/>
  <c r="H1294" i="1"/>
  <c r="G1294" i="1"/>
  <c r="F1294" i="1"/>
  <c r="S1293" i="1"/>
  <c r="N1293" i="1"/>
  <c r="H1293" i="1"/>
  <c r="G1293" i="1"/>
  <c r="F1293" i="1"/>
  <c r="S1292" i="1"/>
  <c r="N1292" i="1"/>
  <c r="H1292" i="1"/>
  <c r="G1292" i="1"/>
  <c r="F1292" i="1"/>
  <c r="S1291" i="1"/>
  <c r="N1291" i="1"/>
  <c r="H1291" i="1"/>
  <c r="G1291" i="1"/>
  <c r="F1291" i="1"/>
  <c r="S1290" i="1"/>
  <c r="N1290" i="1"/>
  <c r="H1290" i="1"/>
  <c r="G1290" i="1"/>
  <c r="F1290" i="1"/>
  <c r="S1289" i="1"/>
  <c r="N1289" i="1"/>
  <c r="H1289" i="1"/>
  <c r="G1289" i="1"/>
  <c r="F1289" i="1"/>
  <c r="S1288" i="1"/>
  <c r="N1288" i="1"/>
  <c r="H1288" i="1"/>
  <c r="G1288" i="1"/>
  <c r="F1288" i="1"/>
  <c r="S1287" i="1"/>
  <c r="N1287" i="1"/>
  <c r="H1287" i="1"/>
  <c r="G1287" i="1"/>
  <c r="F1287" i="1"/>
  <c r="S1286" i="1"/>
  <c r="N1286" i="1"/>
  <c r="H1286" i="1"/>
  <c r="G1286" i="1"/>
  <c r="F1286" i="1"/>
  <c r="S1285" i="1"/>
  <c r="N1285" i="1"/>
  <c r="H1285" i="1"/>
  <c r="G1285" i="1"/>
  <c r="F1285" i="1"/>
  <c r="S1284" i="1"/>
  <c r="N1284" i="1"/>
  <c r="H1284" i="1"/>
  <c r="G1284" i="1"/>
  <c r="F1284" i="1"/>
  <c r="S1283" i="1"/>
  <c r="N1283" i="1"/>
  <c r="H1283" i="1"/>
  <c r="G1283" i="1"/>
  <c r="F1283" i="1"/>
  <c r="S1282" i="1"/>
  <c r="N1282" i="1"/>
  <c r="H1282" i="1"/>
  <c r="G1282" i="1"/>
  <c r="F1282" i="1"/>
  <c r="S1281" i="1"/>
  <c r="N1281" i="1"/>
  <c r="H1281" i="1"/>
  <c r="G1281" i="1"/>
  <c r="F1281" i="1"/>
  <c r="S1280" i="1"/>
  <c r="N1280" i="1"/>
  <c r="H1280" i="1"/>
  <c r="G1280" i="1"/>
  <c r="F1280" i="1"/>
  <c r="S1279" i="1"/>
  <c r="N1279" i="1"/>
  <c r="H1279" i="1"/>
  <c r="G1279" i="1"/>
  <c r="F1279" i="1"/>
  <c r="S1278" i="1"/>
  <c r="N1278" i="1"/>
  <c r="H1278" i="1"/>
  <c r="G1278" i="1"/>
  <c r="F1278" i="1"/>
  <c r="S1277" i="1"/>
  <c r="N1277" i="1"/>
  <c r="H1277" i="1"/>
  <c r="G1277" i="1"/>
  <c r="F1277" i="1"/>
  <c r="S1276" i="1"/>
  <c r="N1276" i="1"/>
  <c r="H1276" i="1"/>
  <c r="G1276" i="1"/>
  <c r="F1276" i="1"/>
  <c r="S1275" i="1"/>
  <c r="N1275" i="1"/>
  <c r="H1275" i="1"/>
  <c r="G1275" i="1"/>
  <c r="F1275" i="1"/>
  <c r="S1274" i="1"/>
  <c r="N1274" i="1"/>
  <c r="H1274" i="1"/>
  <c r="G1274" i="1"/>
  <c r="F1274" i="1"/>
  <c r="S1273" i="1"/>
  <c r="N1273" i="1"/>
  <c r="H1273" i="1"/>
  <c r="G1273" i="1"/>
  <c r="F1273" i="1"/>
  <c r="S1272" i="1"/>
  <c r="N1272" i="1"/>
  <c r="H1272" i="1"/>
  <c r="G1272" i="1"/>
  <c r="F1272" i="1"/>
  <c r="S1271" i="1"/>
  <c r="N1271" i="1"/>
  <c r="H1271" i="1"/>
  <c r="G1271" i="1"/>
  <c r="F1271" i="1"/>
  <c r="S1270" i="1"/>
  <c r="N1270" i="1"/>
  <c r="H1270" i="1"/>
  <c r="G1270" i="1"/>
  <c r="F1270" i="1"/>
  <c r="S1269" i="1"/>
  <c r="N1269" i="1"/>
  <c r="H1269" i="1"/>
  <c r="G1269" i="1"/>
  <c r="F1269" i="1"/>
  <c r="S1268" i="1"/>
  <c r="N1268" i="1"/>
  <c r="H1268" i="1"/>
  <c r="G1268" i="1"/>
  <c r="F1268" i="1"/>
  <c r="S1267" i="1"/>
  <c r="N1267" i="1"/>
  <c r="H1267" i="1"/>
  <c r="G1267" i="1"/>
  <c r="F1267" i="1"/>
  <c r="S1266" i="1"/>
  <c r="N1266" i="1"/>
  <c r="H1266" i="1"/>
  <c r="G1266" i="1"/>
  <c r="F1266" i="1"/>
  <c r="S1265" i="1"/>
  <c r="N1265" i="1"/>
  <c r="H1265" i="1"/>
  <c r="G1265" i="1"/>
  <c r="F1265" i="1"/>
  <c r="S1264" i="1"/>
  <c r="N1264" i="1"/>
  <c r="H1264" i="1"/>
  <c r="G1264" i="1"/>
  <c r="F1264" i="1"/>
  <c r="S1263" i="1"/>
  <c r="N1263" i="1"/>
  <c r="H1263" i="1"/>
  <c r="G1263" i="1"/>
  <c r="F1263" i="1"/>
  <c r="S1262" i="1"/>
  <c r="N1262" i="1"/>
  <c r="H1262" i="1"/>
  <c r="G1262" i="1"/>
  <c r="F1262" i="1"/>
  <c r="S1261" i="1"/>
  <c r="N1261" i="1"/>
  <c r="H1261" i="1"/>
  <c r="G1261" i="1"/>
  <c r="F1261" i="1"/>
  <c r="S1260" i="1"/>
  <c r="N1260" i="1"/>
  <c r="H1260" i="1"/>
  <c r="G1260" i="1"/>
  <c r="F1260" i="1"/>
  <c r="S1259" i="1"/>
  <c r="N1259" i="1"/>
  <c r="H1259" i="1"/>
  <c r="G1259" i="1"/>
  <c r="F1259" i="1"/>
  <c r="S1258" i="1"/>
  <c r="N1258" i="1"/>
  <c r="H1258" i="1"/>
  <c r="G1258" i="1"/>
  <c r="F1258" i="1"/>
  <c r="S1257" i="1"/>
  <c r="N1257" i="1"/>
  <c r="H1257" i="1"/>
  <c r="G1257" i="1"/>
  <c r="F1257" i="1"/>
  <c r="S1256" i="1"/>
  <c r="N1256" i="1"/>
  <c r="H1256" i="1"/>
  <c r="G1256" i="1"/>
  <c r="F1256" i="1"/>
  <c r="S1255" i="1"/>
  <c r="N1255" i="1"/>
  <c r="H1255" i="1"/>
  <c r="G1255" i="1"/>
  <c r="F1255" i="1"/>
  <c r="S1254" i="1"/>
  <c r="N1254" i="1"/>
  <c r="H1254" i="1"/>
  <c r="G1254" i="1"/>
  <c r="F1254" i="1"/>
  <c r="S1253" i="1"/>
  <c r="N1253" i="1"/>
  <c r="H1253" i="1"/>
  <c r="G1253" i="1"/>
  <c r="F1253" i="1"/>
  <c r="S1252" i="1"/>
  <c r="N1252" i="1"/>
  <c r="H1252" i="1"/>
  <c r="G1252" i="1"/>
  <c r="F1252" i="1"/>
  <c r="S1251" i="1"/>
  <c r="N1251" i="1"/>
  <c r="H1251" i="1"/>
  <c r="G1251" i="1"/>
  <c r="F1251" i="1"/>
  <c r="S1250" i="1"/>
  <c r="N1250" i="1"/>
  <c r="H1250" i="1"/>
  <c r="G1250" i="1"/>
  <c r="F1250" i="1"/>
  <c r="S1249" i="1"/>
  <c r="N1249" i="1"/>
  <c r="H1249" i="1"/>
  <c r="G1249" i="1"/>
  <c r="F1249" i="1"/>
  <c r="S1248" i="1"/>
  <c r="N1248" i="1"/>
  <c r="H1248" i="1"/>
  <c r="G1248" i="1"/>
  <c r="F1248" i="1"/>
  <c r="S1247" i="1"/>
  <c r="N1247" i="1"/>
  <c r="H1247" i="1"/>
  <c r="G1247" i="1"/>
  <c r="F1247" i="1"/>
  <c r="S1246" i="1"/>
  <c r="N1246" i="1"/>
  <c r="H1246" i="1"/>
  <c r="G1246" i="1"/>
  <c r="F1246" i="1"/>
  <c r="S1245" i="1"/>
  <c r="N1245" i="1"/>
  <c r="H1245" i="1"/>
  <c r="G1245" i="1"/>
  <c r="F1245" i="1"/>
  <c r="S1244" i="1"/>
  <c r="N1244" i="1"/>
  <c r="H1244" i="1"/>
  <c r="G1244" i="1"/>
  <c r="F1244" i="1"/>
  <c r="S1243" i="1"/>
  <c r="N1243" i="1"/>
  <c r="H1243" i="1"/>
  <c r="G1243" i="1"/>
  <c r="F1243" i="1"/>
  <c r="S1242" i="1"/>
  <c r="N1242" i="1"/>
  <c r="H1242" i="1"/>
  <c r="G1242" i="1"/>
  <c r="F1242" i="1"/>
  <c r="S1241" i="1"/>
  <c r="N1241" i="1"/>
  <c r="H1241" i="1"/>
  <c r="G1241" i="1"/>
  <c r="F1241" i="1"/>
  <c r="S1240" i="1"/>
  <c r="N1240" i="1"/>
  <c r="H1240" i="1"/>
  <c r="G1240" i="1"/>
  <c r="F1240" i="1"/>
  <c r="S1239" i="1"/>
  <c r="N1239" i="1"/>
  <c r="H1239" i="1"/>
  <c r="G1239" i="1"/>
  <c r="F1239" i="1"/>
  <c r="S1238" i="1"/>
  <c r="N1238" i="1"/>
  <c r="H1238" i="1"/>
  <c r="G1238" i="1"/>
  <c r="F1238" i="1"/>
  <c r="S1237" i="1"/>
  <c r="N1237" i="1"/>
  <c r="H1237" i="1"/>
  <c r="G1237" i="1"/>
  <c r="F1237" i="1"/>
  <c r="S1236" i="1"/>
  <c r="N1236" i="1"/>
  <c r="H1236" i="1"/>
  <c r="G1236" i="1"/>
  <c r="F1236" i="1"/>
  <c r="S1235" i="1"/>
  <c r="N1235" i="1"/>
  <c r="H1235" i="1"/>
  <c r="G1235" i="1"/>
  <c r="F1235" i="1"/>
  <c r="S1234" i="1"/>
  <c r="N1234" i="1"/>
  <c r="H1234" i="1"/>
  <c r="G1234" i="1"/>
  <c r="F1234" i="1"/>
  <c r="S1233" i="1"/>
  <c r="N1233" i="1"/>
  <c r="H1233" i="1"/>
  <c r="G1233" i="1"/>
  <c r="F1233" i="1"/>
  <c r="S1232" i="1"/>
  <c r="N1232" i="1"/>
  <c r="H1232" i="1"/>
  <c r="G1232" i="1"/>
  <c r="F1232" i="1"/>
  <c r="S1231" i="1"/>
  <c r="N1231" i="1"/>
  <c r="H1231" i="1"/>
  <c r="G1231" i="1"/>
  <c r="F1231" i="1"/>
  <c r="S1230" i="1"/>
  <c r="N1230" i="1"/>
  <c r="H1230" i="1"/>
  <c r="G1230" i="1"/>
  <c r="F1230" i="1"/>
  <c r="S1229" i="1"/>
  <c r="N1229" i="1"/>
  <c r="H1229" i="1"/>
  <c r="G1229" i="1"/>
  <c r="F1229" i="1"/>
  <c r="S1228" i="1"/>
  <c r="N1228" i="1"/>
  <c r="H1228" i="1"/>
  <c r="G1228" i="1"/>
  <c r="F1228" i="1"/>
  <c r="S1227" i="1"/>
  <c r="N1227" i="1"/>
  <c r="H1227" i="1"/>
  <c r="G1227" i="1"/>
  <c r="F1227" i="1"/>
  <c r="S1226" i="1"/>
  <c r="N1226" i="1"/>
  <c r="H1226" i="1"/>
  <c r="G1226" i="1"/>
  <c r="F1226" i="1"/>
  <c r="S1225" i="1"/>
  <c r="N1225" i="1"/>
  <c r="H1225" i="1"/>
  <c r="G1225" i="1"/>
  <c r="F1225" i="1"/>
  <c r="S1224" i="1"/>
  <c r="N1224" i="1"/>
  <c r="H1224" i="1"/>
  <c r="G1224" i="1"/>
  <c r="F1224" i="1"/>
  <c r="S1223" i="1"/>
  <c r="N1223" i="1"/>
  <c r="H1223" i="1"/>
  <c r="G1223" i="1"/>
  <c r="F1223" i="1"/>
  <c r="S1222" i="1"/>
  <c r="N1222" i="1"/>
  <c r="H1222" i="1"/>
  <c r="G1222" i="1"/>
  <c r="F1222" i="1"/>
  <c r="S1221" i="1"/>
  <c r="N1221" i="1"/>
  <c r="H1221" i="1"/>
  <c r="G1221" i="1"/>
  <c r="F1221" i="1"/>
  <c r="S1220" i="1"/>
  <c r="N1220" i="1"/>
  <c r="H1220" i="1"/>
  <c r="G1220" i="1"/>
  <c r="F1220" i="1"/>
  <c r="S1219" i="1"/>
  <c r="N1219" i="1"/>
  <c r="H1219" i="1"/>
  <c r="G1219" i="1"/>
  <c r="F1219" i="1"/>
  <c r="S1218" i="1"/>
  <c r="N1218" i="1"/>
  <c r="H1218" i="1"/>
  <c r="G1218" i="1"/>
  <c r="F1218" i="1"/>
  <c r="S1217" i="1"/>
  <c r="N1217" i="1"/>
  <c r="H1217" i="1"/>
  <c r="G1217" i="1"/>
  <c r="F1217" i="1"/>
  <c r="S1216" i="1"/>
  <c r="N1216" i="1"/>
  <c r="H1216" i="1"/>
  <c r="G1216" i="1"/>
  <c r="F1216" i="1"/>
  <c r="S1215" i="1"/>
  <c r="N1215" i="1"/>
  <c r="H1215" i="1"/>
  <c r="G1215" i="1"/>
  <c r="F1215" i="1"/>
  <c r="S1214" i="1"/>
  <c r="N1214" i="1"/>
  <c r="H1214" i="1"/>
  <c r="G1214" i="1"/>
  <c r="F1214" i="1"/>
  <c r="S1213" i="1"/>
  <c r="N1213" i="1"/>
  <c r="H1213" i="1"/>
  <c r="G1213" i="1"/>
  <c r="F1213" i="1"/>
  <c r="S1212" i="1"/>
  <c r="N1212" i="1"/>
  <c r="H1212" i="1"/>
  <c r="G1212" i="1"/>
  <c r="F1212" i="1"/>
  <c r="S1211" i="1"/>
  <c r="N1211" i="1"/>
  <c r="H1211" i="1"/>
  <c r="G1211" i="1"/>
  <c r="F1211" i="1"/>
  <c r="S1210" i="1"/>
  <c r="N1210" i="1"/>
  <c r="H1210" i="1"/>
  <c r="G1210" i="1"/>
  <c r="F1210" i="1"/>
  <c r="S1209" i="1"/>
  <c r="N1209" i="1"/>
  <c r="H1209" i="1"/>
  <c r="G1209" i="1"/>
  <c r="F1209" i="1"/>
  <c r="S1208" i="1"/>
  <c r="N1208" i="1"/>
  <c r="H1208" i="1"/>
  <c r="G1208" i="1"/>
  <c r="F1208" i="1"/>
  <c r="S1207" i="1"/>
  <c r="N1207" i="1"/>
  <c r="H1207" i="1"/>
  <c r="G1207" i="1"/>
  <c r="F1207" i="1"/>
  <c r="S1206" i="1"/>
  <c r="N1206" i="1"/>
  <c r="H1206" i="1"/>
  <c r="G1206" i="1"/>
  <c r="F1206" i="1"/>
  <c r="S1205" i="1"/>
  <c r="N1205" i="1"/>
  <c r="H1205" i="1"/>
  <c r="G1205" i="1"/>
  <c r="F1205" i="1"/>
  <c r="S1204" i="1"/>
  <c r="N1204" i="1"/>
  <c r="H1204" i="1"/>
  <c r="G1204" i="1"/>
  <c r="F1204" i="1"/>
  <c r="S1203" i="1"/>
  <c r="N1203" i="1"/>
  <c r="H1203" i="1"/>
  <c r="G1203" i="1"/>
  <c r="F1203" i="1"/>
  <c r="S1202" i="1"/>
  <c r="N1202" i="1"/>
  <c r="H1202" i="1"/>
  <c r="G1202" i="1"/>
  <c r="F1202" i="1"/>
  <c r="S1201" i="1"/>
  <c r="N1201" i="1"/>
  <c r="H1201" i="1"/>
  <c r="G1201" i="1"/>
  <c r="F1201" i="1"/>
  <c r="S1200" i="1"/>
  <c r="N1200" i="1"/>
  <c r="H1200" i="1"/>
  <c r="G1200" i="1"/>
  <c r="F1200" i="1"/>
  <c r="S1199" i="1"/>
  <c r="N1199" i="1"/>
  <c r="H1199" i="1"/>
  <c r="G1199" i="1"/>
  <c r="F1199" i="1"/>
  <c r="S1198" i="1"/>
  <c r="N1198" i="1"/>
  <c r="H1198" i="1"/>
  <c r="G1198" i="1"/>
  <c r="F1198" i="1"/>
  <c r="S1197" i="1"/>
  <c r="N1197" i="1"/>
  <c r="H1197" i="1"/>
  <c r="G1197" i="1"/>
  <c r="F1197" i="1"/>
  <c r="S1196" i="1"/>
  <c r="N1196" i="1"/>
  <c r="H1196" i="1"/>
  <c r="G1196" i="1"/>
  <c r="F1196" i="1"/>
  <c r="S1195" i="1"/>
  <c r="N1195" i="1"/>
  <c r="H1195" i="1"/>
  <c r="G1195" i="1"/>
  <c r="F1195" i="1"/>
  <c r="S1194" i="1"/>
  <c r="N1194" i="1"/>
  <c r="H1194" i="1"/>
  <c r="G1194" i="1"/>
  <c r="F1194" i="1"/>
  <c r="S1193" i="1"/>
  <c r="N1193" i="1"/>
  <c r="H1193" i="1"/>
  <c r="G1193" i="1"/>
  <c r="F1193" i="1"/>
  <c r="S1192" i="1"/>
  <c r="N1192" i="1"/>
  <c r="H1192" i="1"/>
  <c r="G1192" i="1"/>
  <c r="F1192" i="1"/>
  <c r="S1191" i="1"/>
  <c r="N1191" i="1"/>
  <c r="H1191" i="1"/>
  <c r="G1191" i="1"/>
  <c r="F1191" i="1"/>
  <c r="S1190" i="1"/>
  <c r="N1190" i="1"/>
  <c r="H1190" i="1"/>
  <c r="G1190" i="1"/>
  <c r="F1190" i="1"/>
  <c r="S1189" i="1"/>
  <c r="N1189" i="1"/>
  <c r="H1189" i="1"/>
  <c r="G1189" i="1"/>
  <c r="F1189" i="1"/>
  <c r="S1188" i="1"/>
  <c r="N1188" i="1"/>
  <c r="H1188" i="1"/>
  <c r="G1188" i="1"/>
  <c r="F1188" i="1"/>
  <c r="S1187" i="1"/>
  <c r="N1187" i="1"/>
  <c r="H1187" i="1"/>
  <c r="G1187" i="1"/>
  <c r="F1187" i="1"/>
  <c r="S1186" i="1"/>
  <c r="N1186" i="1"/>
  <c r="H1186" i="1"/>
  <c r="G1186" i="1"/>
  <c r="F1186" i="1"/>
  <c r="S1185" i="1"/>
  <c r="N1185" i="1"/>
  <c r="H1185" i="1"/>
  <c r="G1185" i="1"/>
  <c r="F1185" i="1"/>
  <c r="S1184" i="1"/>
  <c r="N1184" i="1"/>
  <c r="H1184" i="1"/>
  <c r="G1184" i="1"/>
  <c r="F1184" i="1"/>
  <c r="S1183" i="1"/>
  <c r="N1183" i="1"/>
  <c r="H1183" i="1"/>
  <c r="G1183" i="1"/>
  <c r="F1183" i="1"/>
  <c r="S1182" i="1"/>
  <c r="N1182" i="1"/>
  <c r="H1182" i="1"/>
  <c r="G1182" i="1"/>
  <c r="F1182" i="1"/>
  <c r="S1181" i="1"/>
  <c r="N1181" i="1"/>
  <c r="H1181" i="1"/>
  <c r="G1181" i="1"/>
  <c r="F1181" i="1"/>
  <c r="S1180" i="1"/>
  <c r="N1180" i="1"/>
  <c r="H1180" i="1"/>
  <c r="G1180" i="1"/>
  <c r="F1180" i="1"/>
  <c r="S1179" i="1"/>
  <c r="N1179" i="1"/>
  <c r="H1179" i="1"/>
  <c r="G1179" i="1"/>
  <c r="F1179" i="1"/>
  <c r="S1178" i="1"/>
  <c r="N1178" i="1"/>
  <c r="H1178" i="1"/>
  <c r="G1178" i="1"/>
  <c r="F1178" i="1"/>
  <c r="S1177" i="1"/>
  <c r="N1177" i="1"/>
  <c r="H1177" i="1"/>
  <c r="G1177" i="1"/>
  <c r="F1177" i="1"/>
  <c r="S1176" i="1"/>
  <c r="N1176" i="1"/>
  <c r="H1176" i="1"/>
  <c r="G1176" i="1"/>
  <c r="F1176" i="1"/>
  <c r="S1175" i="1"/>
  <c r="N1175" i="1"/>
  <c r="H1175" i="1"/>
  <c r="G1175" i="1"/>
  <c r="F1175" i="1"/>
  <c r="S1174" i="1"/>
  <c r="N1174" i="1"/>
  <c r="H1174" i="1"/>
  <c r="G1174" i="1"/>
  <c r="F1174" i="1"/>
  <c r="S1173" i="1"/>
  <c r="N1173" i="1"/>
  <c r="H1173" i="1"/>
  <c r="G1173" i="1"/>
  <c r="F1173" i="1"/>
  <c r="S1172" i="1"/>
  <c r="N1172" i="1"/>
  <c r="H1172" i="1"/>
  <c r="G1172" i="1"/>
  <c r="F1172" i="1"/>
  <c r="S1171" i="1"/>
  <c r="N1171" i="1"/>
  <c r="H1171" i="1"/>
  <c r="G1171" i="1"/>
  <c r="F1171" i="1"/>
  <c r="S1170" i="1"/>
  <c r="N1170" i="1"/>
  <c r="H1170" i="1"/>
  <c r="G1170" i="1"/>
  <c r="F1170" i="1"/>
  <c r="S1169" i="1"/>
  <c r="N1169" i="1"/>
  <c r="H1169" i="1"/>
  <c r="G1169" i="1"/>
  <c r="F1169" i="1"/>
  <c r="S1168" i="1"/>
  <c r="N1168" i="1"/>
  <c r="H1168" i="1"/>
  <c r="G1168" i="1"/>
  <c r="F1168" i="1"/>
  <c r="S1167" i="1"/>
  <c r="N1167" i="1"/>
  <c r="H1167" i="1"/>
  <c r="G1167" i="1"/>
  <c r="F1167" i="1"/>
  <c r="S1166" i="1"/>
  <c r="N1166" i="1"/>
  <c r="H1166" i="1"/>
  <c r="G1166" i="1"/>
  <c r="F1166" i="1"/>
  <c r="S1165" i="1"/>
  <c r="N1165" i="1"/>
  <c r="H1165" i="1"/>
  <c r="G1165" i="1"/>
  <c r="F1165" i="1"/>
  <c r="S1164" i="1"/>
  <c r="N1164" i="1"/>
  <c r="H1164" i="1"/>
  <c r="G1164" i="1"/>
  <c r="F1164" i="1"/>
  <c r="S1163" i="1"/>
  <c r="N1163" i="1"/>
  <c r="H1163" i="1"/>
  <c r="G1163" i="1"/>
  <c r="F1163" i="1"/>
  <c r="S1162" i="1"/>
  <c r="N1162" i="1"/>
  <c r="H1162" i="1"/>
  <c r="G1162" i="1"/>
  <c r="F1162" i="1"/>
  <c r="S1161" i="1"/>
  <c r="N1161" i="1"/>
  <c r="H1161" i="1"/>
  <c r="G1161" i="1"/>
  <c r="F1161" i="1"/>
  <c r="S1160" i="1"/>
  <c r="N1160" i="1"/>
  <c r="H1160" i="1"/>
  <c r="G1160" i="1"/>
  <c r="F1160" i="1"/>
  <c r="S1159" i="1"/>
  <c r="N1159" i="1"/>
  <c r="H1159" i="1"/>
  <c r="G1159" i="1"/>
  <c r="F1159" i="1"/>
  <c r="S1158" i="1"/>
  <c r="N1158" i="1"/>
  <c r="H1158" i="1"/>
  <c r="G1158" i="1"/>
  <c r="F1158" i="1"/>
  <c r="S1157" i="1"/>
  <c r="N1157" i="1"/>
  <c r="H1157" i="1"/>
  <c r="G1157" i="1"/>
  <c r="F1157" i="1"/>
  <c r="S1156" i="1"/>
  <c r="N1156" i="1"/>
  <c r="H1156" i="1"/>
  <c r="G1156" i="1"/>
  <c r="F1156" i="1"/>
  <c r="S1155" i="1"/>
  <c r="N1155" i="1"/>
  <c r="H1155" i="1"/>
  <c r="G1155" i="1"/>
  <c r="F1155" i="1"/>
  <c r="S1154" i="1"/>
  <c r="N1154" i="1"/>
  <c r="H1154" i="1"/>
  <c r="G1154" i="1"/>
  <c r="F1154" i="1"/>
  <c r="S1153" i="1"/>
  <c r="N1153" i="1"/>
  <c r="H1153" i="1"/>
  <c r="G1153" i="1"/>
  <c r="F1153" i="1"/>
  <c r="S1152" i="1"/>
  <c r="N1152" i="1"/>
  <c r="H1152" i="1"/>
  <c r="G1152" i="1"/>
  <c r="F1152" i="1"/>
  <c r="S1151" i="1"/>
  <c r="N1151" i="1"/>
  <c r="H1151" i="1"/>
  <c r="G1151" i="1"/>
  <c r="F1151" i="1"/>
  <c r="S1150" i="1"/>
  <c r="N1150" i="1"/>
  <c r="H1150" i="1"/>
  <c r="G1150" i="1"/>
  <c r="F1150" i="1"/>
  <c r="S1149" i="1"/>
  <c r="N1149" i="1"/>
  <c r="H1149" i="1"/>
  <c r="G1149" i="1"/>
  <c r="F1149" i="1"/>
  <c r="S1148" i="1"/>
  <c r="N1148" i="1"/>
  <c r="H1148" i="1"/>
  <c r="G1148" i="1"/>
  <c r="F1148" i="1"/>
  <c r="S1147" i="1"/>
  <c r="N1147" i="1"/>
  <c r="H1147" i="1"/>
  <c r="G1147" i="1"/>
  <c r="F1147" i="1"/>
  <c r="S1146" i="1"/>
  <c r="N1146" i="1"/>
  <c r="H1146" i="1"/>
  <c r="G1146" i="1"/>
  <c r="F1146" i="1"/>
  <c r="S1145" i="1"/>
  <c r="N1145" i="1"/>
  <c r="H1145" i="1"/>
  <c r="G1145" i="1"/>
  <c r="F1145" i="1"/>
  <c r="S1144" i="1"/>
  <c r="N1144" i="1"/>
  <c r="H1144" i="1"/>
  <c r="G1144" i="1"/>
  <c r="F1144" i="1"/>
  <c r="S1143" i="1"/>
  <c r="N1143" i="1"/>
  <c r="H1143" i="1"/>
  <c r="G1143" i="1"/>
  <c r="F1143" i="1"/>
  <c r="S1142" i="1"/>
  <c r="N1142" i="1"/>
  <c r="H1142" i="1"/>
  <c r="G1142" i="1"/>
  <c r="F1142" i="1"/>
  <c r="S1141" i="1"/>
  <c r="N1141" i="1"/>
  <c r="H1141" i="1"/>
  <c r="G1141" i="1"/>
  <c r="F1141" i="1"/>
  <c r="S1140" i="1"/>
  <c r="N1140" i="1"/>
  <c r="H1140" i="1"/>
  <c r="G1140" i="1"/>
  <c r="F1140" i="1"/>
  <c r="S1139" i="1"/>
  <c r="N1139" i="1"/>
  <c r="H1139" i="1"/>
  <c r="G1139" i="1"/>
  <c r="F1139" i="1"/>
  <c r="S1138" i="1"/>
  <c r="N1138" i="1"/>
  <c r="H1138" i="1"/>
  <c r="G1138" i="1"/>
  <c r="F1138" i="1"/>
  <c r="S1137" i="1"/>
  <c r="N1137" i="1"/>
  <c r="H1137" i="1"/>
  <c r="G1137" i="1"/>
  <c r="F1137" i="1"/>
  <c r="S1136" i="1"/>
  <c r="N1136" i="1"/>
  <c r="H1136" i="1"/>
  <c r="G1136" i="1"/>
  <c r="F1136" i="1"/>
  <c r="S1135" i="1"/>
  <c r="N1135" i="1"/>
  <c r="H1135" i="1"/>
  <c r="G1135" i="1"/>
  <c r="F1135" i="1"/>
  <c r="S1134" i="1"/>
  <c r="N1134" i="1"/>
  <c r="H1134" i="1"/>
  <c r="G1134" i="1"/>
  <c r="F1134" i="1"/>
  <c r="S1133" i="1"/>
  <c r="N1133" i="1"/>
  <c r="H1133" i="1"/>
  <c r="G1133" i="1"/>
  <c r="F1133" i="1"/>
  <c r="S1132" i="1"/>
  <c r="N1132" i="1"/>
  <c r="H1132" i="1"/>
  <c r="G1132" i="1"/>
  <c r="F1132" i="1"/>
  <c r="S1131" i="1"/>
  <c r="N1131" i="1"/>
  <c r="H1131" i="1"/>
  <c r="G1131" i="1"/>
  <c r="F1131" i="1"/>
  <c r="S1130" i="1"/>
  <c r="N1130" i="1"/>
  <c r="H1130" i="1"/>
  <c r="G1130" i="1"/>
  <c r="F1130" i="1"/>
  <c r="S1129" i="1"/>
  <c r="N1129" i="1"/>
  <c r="H1129" i="1"/>
  <c r="G1129" i="1"/>
  <c r="F1129" i="1"/>
  <c r="S1128" i="1"/>
  <c r="N1128" i="1"/>
  <c r="H1128" i="1"/>
  <c r="G1128" i="1"/>
  <c r="F1128" i="1"/>
  <c r="S1127" i="1"/>
  <c r="N1127" i="1"/>
  <c r="H1127" i="1"/>
  <c r="G1127" i="1"/>
  <c r="F1127" i="1"/>
  <c r="S1126" i="1"/>
  <c r="N1126" i="1"/>
  <c r="H1126" i="1"/>
  <c r="G1126" i="1"/>
  <c r="F1126" i="1"/>
  <c r="S1125" i="1"/>
  <c r="N1125" i="1"/>
  <c r="H1125" i="1"/>
  <c r="G1125" i="1"/>
  <c r="F1125" i="1"/>
  <c r="S1124" i="1"/>
  <c r="N1124" i="1"/>
  <c r="H1124" i="1"/>
  <c r="G1124" i="1"/>
  <c r="F1124" i="1"/>
  <c r="S1123" i="1"/>
  <c r="N1123" i="1"/>
  <c r="H1123" i="1"/>
  <c r="G1123" i="1"/>
  <c r="F1123" i="1"/>
  <c r="S1122" i="1"/>
  <c r="N1122" i="1"/>
  <c r="H1122" i="1"/>
  <c r="G1122" i="1"/>
  <c r="F1122" i="1"/>
  <c r="S1121" i="1"/>
  <c r="N1121" i="1"/>
  <c r="H1121" i="1"/>
  <c r="G1121" i="1"/>
  <c r="F1121" i="1"/>
  <c r="S1120" i="1"/>
  <c r="N1120" i="1"/>
  <c r="H1120" i="1"/>
  <c r="G1120" i="1"/>
  <c r="F1120" i="1"/>
  <c r="S1119" i="1"/>
  <c r="N1119" i="1"/>
  <c r="H1119" i="1"/>
  <c r="G1119" i="1"/>
  <c r="F1119" i="1"/>
  <c r="S1118" i="1"/>
  <c r="N1118" i="1"/>
  <c r="H1118" i="1"/>
  <c r="G1118" i="1"/>
  <c r="F1118" i="1"/>
  <c r="S1117" i="1"/>
  <c r="N1117" i="1"/>
  <c r="H1117" i="1"/>
  <c r="G1117" i="1"/>
  <c r="F1117" i="1"/>
  <c r="S1116" i="1"/>
  <c r="N1116" i="1"/>
  <c r="H1116" i="1"/>
  <c r="G1116" i="1"/>
  <c r="F1116" i="1"/>
  <c r="S1115" i="1"/>
  <c r="N1115" i="1"/>
  <c r="H1115" i="1"/>
  <c r="G1115" i="1"/>
  <c r="F1115" i="1"/>
  <c r="S1114" i="1"/>
  <c r="N1114" i="1"/>
  <c r="H1114" i="1"/>
  <c r="G1114" i="1"/>
  <c r="F1114" i="1"/>
  <c r="S1113" i="1"/>
  <c r="N1113" i="1"/>
  <c r="H1113" i="1"/>
  <c r="G1113" i="1"/>
  <c r="F1113" i="1"/>
  <c r="S1112" i="1"/>
  <c r="N1112" i="1"/>
  <c r="H1112" i="1"/>
  <c r="G1112" i="1"/>
  <c r="F1112" i="1"/>
  <c r="S1111" i="1"/>
  <c r="N1111" i="1"/>
  <c r="H1111" i="1"/>
  <c r="G1111" i="1"/>
  <c r="F1111" i="1"/>
  <c r="S1110" i="1"/>
  <c r="N1110" i="1"/>
  <c r="H1110" i="1"/>
  <c r="G1110" i="1"/>
  <c r="F1110" i="1"/>
  <c r="S1109" i="1"/>
  <c r="N1109" i="1"/>
  <c r="H1109" i="1"/>
  <c r="G1109" i="1"/>
  <c r="F1109" i="1"/>
  <c r="S1108" i="1"/>
  <c r="N1108" i="1"/>
  <c r="H1108" i="1"/>
  <c r="G1108" i="1"/>
  <c r="F1108" i="1"/>
  <c r="S1107" i="1"/>
  <c r="N1107" i="1"/>
  <c r="H1107" i="1"/>
  <c r="G1107" i="1"/>
  <c r="F1107" i="1"/>
  <c r="S1106" i="1"/>
  <c r="N1106" i="1"/>
  <c r="H1106" i="1"/>
  <c r="G1106" i="1"/>
  <c r="S1105" i="1"/>
  <c r="N1105" i="1"/>
  <c r="H1105" i="1"/>
  <c r="G1105" i="1"/>
  <c r="S1104" i="1"/>
  <c r="N1104" i="1"/>
  <c r="H1104" i="1"/>
  <c r="G1104" i="1"/>
  <c r="S1103" i="1"/>
  <c r="N1103" i="1"/>
  <c r="H1103" i="1"/>
  <c r="G1103" i="1"/>
  <c r="S1102" i="1"/>
  <c r="N1102" i="1"/>
  <c r="H1102" i="1"/>
  <c r="G1102" i="1"/>
  <c r="S1101" i="1"/>
  <c r="N1101" i="1"/>
  <c r="H1101" i="1"/>
  <c r="G1101" i="1"/>
  <c r="S1100" i="1"/>
  <c r="N1100" i="1"/>
  <c r="H1100" i="1"/>
  <c r="G1100" i="1"/>
  <c r="S1099" i="1"/>
  <c r="N1099" i="1"/>
  <c r="H1099" i="1"/>
  <c r="G1099" i="1"/>
  <c r="S1098" i="1"/>
  <c r="N1098" i="1"/>
  <c r="H1098" i="1"/>
  <c r="G1098" i="1"/>
  <c r="S1097" i="1"/>
  <c r="N1097" i="1"/>
  <c r="H1097" i="1"/>
  <c r="G1097" i="1"/>
  <c r="S1096" i="1"/>
  <c r="N1096" i="1"/>
  <c r="H1096" i="1"/>
  <c r="G1096" i="1"/>
  <c r="S1095" i="1"/>
  <c r="N1095" i="1"/>
  <c r="H1095" i="1"/>
  <c r="G1095" i="1"/>
  <c r="S1094" i="1"/>
  <c r="N1094" i="1"/>
  <c r="H1094" i="1"/>
  <c r="G1094" i="1"/>
  <c r="S1093" i="1"/>
  <c r="N1093" i="1"/>
  <c r="H1093" i="1"/>
  <c r="G1093" i="1"/>
  <c r="S1092" i="1"/>
  <c r="N1092" i="1"/>
  <c r="H1092" i="1"/>
  <c r="G1092" i="1"/>
  <c r="S1091" i="1"/>
  <c r="N1091" i="1"/>
  <c r="H1091" i="1"/>
  <c r="G1091" i="1"/>
  <c r="S1090" i="1"/>
  <c r="N1090" i="1"/>
  <c r="H1090" i="1"/>
  <c r="G1090" i="1"/>
  <c r="S1089" i="1"/>
  <c r="N1089" i="1"/>
  <c r="H1089" i="1"/>
  <c r="G1089" i="1"/>
  <c r="S1088" i="1"/>
  <c r="N1088" i="1"/>
  <c r="H1088" i="1"/>
  <c r="G1088" i="1"/>
  <c r="S1087" i="1"/>
  <c r="N1087" i="1"/>
  <c r="H1087" i="1"/>
  <c r="G1087" i="1"/>
  <c r="S1086" i="1"/>
  <c r="N1086" i="1"/>
  <c r="H1086" i="1"/>
  <c r="G1086" i="1"/>
  <c r="S1085" i="1"/>
  <c r="N1085" i="1"/>
  <c r="H1085" i="1"/>
  <c r="G1085" i="1"/>
  <c r="S1084" i="1"/>
  <c r="N1084" i="1"/>
  <c r="H1084" i="1"/>
  <c r="G1084" i="1"/>
  <c r="S1083" i="1"/>
  <c r="N1083" i="1"/>
  <c r="H1083" i="1"/>
  <c r="G1083" i="1"/>
  <c r="S1082" i="1"/>
  <c r="N1082" i="1"/>
  <c r="H1082" i="1"/>
  <c r="G1082" i="1"/>
  <c r="S1081" i="1"/>
  <c r="N1081" i="1"/>
  <c r="H1081" i="1"/>
  <c r="G1081" i="1"/>
  <c r="S1080" i="1"/>
  <c r="N1080" i="1"/>
  <c r="H1080" i="1"/>
  <c r="G1080" i="1"/>
  <c r="S1079" i="1"/>
  <c r="N1079" i="1"/>
  <c r="H1079" i="1"/>
  <c r="G1079" i="1"/>
  <c r="S1078" i="1"/>
  <c r="N1078" i="1"/>
  <c r="H1078" i="1"/>
  <c r="G1078" i="1"/>
  <c r="S1077" i="1"/>
  <c r="N1077" i="1"/>
  <c r="H1077" i="1"/>
  <c r="G1077" i="1"/>
  <c r="S1076" i="1"/>
  <c r="N1076" i="1"/>
  <c r="H1076" i="1"/>
  <c r="G1076" i="1"/>
  <c r="S1075" i="1"/>
  <c r="N1075" i="1"/>
  <c r="H1075" i="1"/>
  <c r="G1075" i="1"/>
  <c r="S1074" i="1"/>
  <c r="N1074" i="1"/>
  <c r="H1074" i="1"/>
  <c r="G1074" i="1"/>
  <c r="S1073" i="1"/>
  <c r="N1073" i="1"/>
  <c r="H1073" i="1"/>
  <c r="G1073" i="1"/>
  <c r="S1072" i="1"/>
  <c r="N1072" i="1"/>
  <c r="H1072" i="1"/>
  <c r="G1072" i="1"/>
  <c r="S1071" i="1"/>
  <c r="N1071" i="1"/>
  <c r="H1071" i="1"/>
  <c r="G1071" i="1"/>
  <c r="S1070" i="1"/>
  <c r="N1070" i="1"/>
  <c r="H1070" i="1"/>
  <c r="G1070" i="1"/>
  <c r="S1069" i="1"/>
  <c r="N1069" i="1"/>
  <c r="H1069" i="1"/>
  <c r="G1069" i="1"/>
  <c r="S1068" i="1"/>
  <c r="N1068" i="1"/>
  <c r="H1068" i="1"/>
  <c r="G1068" i="1"/>
  <c r="S1067" i="1"/>
  <c r="N1067" i="1"/>
  <c r="H1067" i="1"/>
  <c r="G1067" i="1"/>
  <c r="S1066" i="1"/>
  <c r="N1066" i="1"/>
  <c r="H1066" i="1"/>
  <c r="G1066" i="1"/>
  <c r="S1065" i="1"/>
  <c r="N1065" i="1"/>
  <c r="H1065" i="1"/>
  <c r="G1065" i="1"/>
  <c r="S1064" i="1"/>
  <c r="N1064" i="1"/>
  <c r="H1064" i="1"/>
  <c r="G1064" i="1"/>
  <c r="S1063" i="1"/>
  <c r="N1063" i="1"/>
  <c r="H1063" i="1"/>
  <c r="G1063" i="1"/>
  <c r="S1062" i="1"/>
  <c r="N1062" i="1"/>
  <c r="H1062" i="1"/>
  <c r="G1062" i="1"/>
  <c r="S1061" i="1"/>
  <c r="N1061" i="1"/>
  <c r="H1061" i="1"/>
  <c r="G1061" i="1"/>
  <c r="S1060" i="1"/>
  <c r="N1060" i="1"/>
  <c r="H1060" i="1"/>
  <c r="G1060" i="1"/>
  <c r="S1059" i="1"/>
  <c r="N1059" i="1"/>
  <c r="H1059" i="1"/>
  <c r="G1059" i="1"/>
  <c r="S1058" i="1"/>
  <c r="N1058" i="1"/>
  <c r="H1058" i="1"/>
  <c r="G1058" i="1"/>
  <c r="S1057" i="1"/>
  <c r="N1057" i="1"/>
  <c r="H1057" i="1"/>
  <c r="G1057" i="1"/>
  <c r="S1056" i="1"/>
  <c r="N1056" i="1"/>
  <c r="H1056" i="1"/>
  <c r="G1056" i="1"/>
  <c r="S1055" i="1"/>
  <c r="N1055" i="1"/>
  <c r="H1055" i="1"/>
  <c r="G1055" i="1"/>
  <c r="S1054" i="1"/>
  <c r="N1054" i="1"/>
  <c r="H1054" i="1"/>
  <c r="G1054" i="1"/>
  <c r="S1053" i="1"/>
  <c r="N1053" i="1"/>
  <c r="H1053" i="1"/>
  <c r="G1053" i="1"/>
  <c r="S1052" i="1"/>
  <c r="N1052" i="1"/>
  <c r="H1052" i="1"/>
  <c r="G1052" i="1"/>
  <c r="S1051" i="1"/>
  <c r="N1051" i="1"/>
  <c r="H1051" i="1"/>
  <c r="G1051" i="1"/>
  <c r="S1050" i="1"/>
  <c r="N1050" i="1"/>
  <c r="H1050" i="1"/>
  <c r="G1050" i="1"/>
  <c r="S1049" i="1"/>
  <c r="N1049" i="1"/>
  <c r="H1049" i="1"/>
  <c r="G1049" i="1"/>
  <c r="S1048" i="1"/>
  <c r="N1048" i="1"/>
  <c r="H1048" i="1"/>
  <c r="G1048" i="1"/>
  <c r="S1047" i="1"/>
  <c r="N1047" i="1"/>
  <c r="H1047" i="1"/>
  <c r="G1047" i="1"/>
  <c r="S1046" i="1"/>
  <c r="N1046" i="1"/>
  <c r="H1046" i="1"/>
  <c r="G1046" i="1"/>
  <c r="S1045" i="1"/>
  <c r="N1045" i="1"/>
  <c r="H1045" i="1"/>
  <c r="G1045" i="1"/>
  <c r="S1044" i="1"/>
  <c r="N1044" i="1"/>
  <c r="H1044" i="1"/>
  <c r="G1044" i="1"/>
  <c r="S1043" i="1"/>
  <c r="N1043" i="1"/>
  <c r="H1043" i="1"/>
  <c r="G1043" i="1"/>
  <c r="S1042" i="1"/>
  <c r="N1042" i="1"/>
  <c r="H1042" i="1"/>
  <c r="G1042" i="1"/>
  <c r="S1041" i="1"/>
  <c r="N1041" i="1"/>
  <c r="H1041" i="1"/>
  <c r="G1041" i="1"/>
  <c r="S1040" i="1"/>
  <c r="N1040" i="1"/>
  <c r="H1040" i="1"/>
  <c r="G1040" i="1"/>
  <c r="S1039" i="1"/>
  <c r="N1039" i="1"/>
  <c r="H1039" i="1"/>
  <c r="G1039" i="1"/>
  <c r="S1038" i="1"/>
  <c r="N1038" i="1"/>
  <c r="H1038" i="1"/>
  <c r="G1038" i="1"/>
  <c r="S1037" i="1"/>
  <c r="N1037" i="1"/>
  <c r="H1037" i="1"/>
  <c r="G1037" i="1"/>
  <c r="S1036" i="1"/>
  <c r="N1036" i="1"/>
  <c r="H1036" i="1"/>
  <c r="G1036" i="1"/>
  <c r="S1035" i="1"/>
  <c r="N1035" i="1"/>
  <c r="H1035" i="1"/>
  <c r="G1035" i="1"/>
  <c r="S1034" i="1"/>
  <c r="N1034" i="1"/>
  <c r="H1034" i="1"/>
  <c r="G1034" i="1"/>
  <c r="S1033" i="1"/>
  <c r="N1033" i="1"/>
  <c r="H1033" i="1"/>
  <c r="G1033" i="1"/>
  <c r="S1032" i="1"/>
  <c r="N1032" i="1"/>
  <c r="H1032" i="1"/>
  <c r="G1032" i="1"/>
  <c r="S1031" i="1"/>
  <c r="N1031" i="1"/>
  <c r="H1031" i="1"/>
  <c r="G1031" i="1"/>
  <c r="S1030" i="1"/>
  <c r="N1030" i="1"/>
  <c r="H1030" i="1"/>
  <c r="G1030" i="1"/>
  <c r="S1029" i="1"/>
  <c r="N1029" i="1"/>
  <c r="H1029" i="1"/>
  <c r="G1029" i="1"/>
  <c r="S1028" i="1"/>
  <c r="N1028" i="1"/>
  <c r="H1028" i="1"/>
  <c r="G1028" i="1"/>
  <c r="S1027" i="1"/>
  <c r="N1027" i="1"/>
  <c r="H1027" i="1"/>
  <c r="G1027" i="1"/>
  <c r="S1026" i="1"/>
  <c r="N1026" i="1"/>
  <c r="H1026" i="1"/>
  <c r="G1026" i="1"/>
  <c r="S1025" i="1"/>
  <c r="N1025" i="1"/>
  <c r="H1025" i="1"/>
  <c r="G1025" i="1"/>
  <c r="S1024" i="1"/>
  <c r="N1024" i="1"/>
  <c r="H1024" i="1"/>
  <c r="G1024" i="1"/>
  <c r="S1023" i="1"/>
  <c r="N1023" i="1"/>
  <c r="H1023" i="1"/>
  <c r="G1023" i="1"/>
  <c r="S1022" i="1"/>
  <c r="N1022" i="1"/>
  <c r="H1022" i="1"/>
  <c r="G1022" i="1"/>
  <c r="S1021" i="1"/>
  <c r="N1021" i="1"/>
  <c r="H1021" i="1"/>
  <c r="G1021" i="1"/>
  <c r="S1020" i="1"/>
  <c r="N1020" i="1"/>
  <c r="H1020" i="1"/>
  <c r="G1020" i="1"/>
  <c r="S1019" i="1"/>
  <c r="N1019" i="1"/>
  <c r="H1019" i="1"/>
  <c r="G1019" i="1"/>
  <c r="S1018" i="1"/>
  <c r="N1018" i="1"/>
  <c r="H1018" i="1"/>
  <c r="G1018" i="1"/>
  <c r="S1017" i="1"/>
  <c r="N1017" i="1"/>
  <c r="H1017" i="1"/>
  <c r="G1017" i="1"/>
  <c r="S1016" i="1"/>
  <c r="N1016" i="1"/>
  <c r="H1016" i="1"/>
  <c r="G1016" i="1"/>
  <c r="S1015" i="1"/>
  <c r="N1015" i="1"/>
  <c r="H1015" i="1"/>
  <c r="G1015" i="1"/>
  <c r="S1014" i="1"/>
  <c r="N1014" i="1"/>
  <c r="H1014" i="1"/>
  <c r="G1014" i="1"/>
  <c r="S1013" i="1"/>
  <c r="N1013" i="1"/>
  <c r="H1013" i="1"/>
  <c r="G1013" i="1"/>
  <c r="S1012" i="1"/>
  <c r="N1012" i="1"/>
  <c r="H1012" i="1"/>
  <c r="G1012" i="1"/>
  <c r="S1011" i="1"/>
  <c r="N1011" i="1"/>
  <c r="H1011" i="1"/>
  <c r="G1011" i="1"/>
  <c r="S1010" i="1"/>
  <c r="N1010" i="1"/>
  <c r="H1010" i="1"/>
  <c r="G1010" i="1"/>
  <c r="S1009" i="1"/>
  <c r="N1009" i="1"/>
  <c r="H1009" i="1"/>
  <c r="G1009" i="1"/>
  <c r="S1008" i="1"/>
  <c r="N1008" i="1"/>
  <c r="H1008" i="1"/>
  <c r="G1008" i="1"/>
  <c r="S1007" i="1"/>
  <c r="N1007" i="1"/>
  <c r="H1007" i="1"/>
  <c r="G1007" i="1"/>
  <c r="S1006" i="1"/>
  <c r="N1006" i="1"/>
  <c r="H1006" i="1"/>
  <c r="G1006" i="1"/>
  <c r="S1005" i="1"/>
  <c r="N1005" i="1"/>
  <c r="H1005" i="1"/>
  <c r="G1005" i="1"/>
  <c r="S1004" i="1"/>
  <c r="N1004" i="1"/>
  <c r="H1004" i="1"/>
  <c r="G1004" i="1"/>
  <c r="S1003" i="1"/>
  <c r="N1003" i="1"/>
  <c r="H1003" i="1"/>
  <c r="G1003" i="1"/>
  <c r="S1002" i="1"/>
  <c r="N1002" i="1"/>
  <c r="H1002" i="1"/>
  <c r="G1002" i="1"/>
  <c r="S1001" i="1"/>
  <c r="N1001" i="1"/>
  <c r="H1001" i="1"/>
  <c r="G1001" i="1"/>
  <c r="S1000" i="1"/>
  <c r="N1000" i="1"/>
  <c r="H1000" i="1"/>
  <c r="G1000" i="1"/>
  <c r="S999" i="1"/>
  <c r="N999" i="1"/>
  <c r="H999" i="1"/>
  <c r="G999" i="1"/>
  <c r="S998" i="1"/>
  <c r="N998" i="1"/>
  <c r="H998" i="1"/>
  <c r="G998" i="1"/>
  <c r="S997" i="1"/>
  <c r="N997" i="1"/>
  <c r="H997" i="1"/>
  <c r="G997" i="1"/>
  <c r="S996" i="1"/>
  <c r="N996" i="1"/>
  <c r="H996" i="1"/>
  <c r="G996" i="1"/>
  <c r="S995" i="1"/>
  <c r="N995" i="1"/>
  <c r="H995" i="1"/>
  <c r="G995" i="1"/>
  <c r="S994" i="1"/>
  <c r="N994" i="1"/>
  <c r="H994" i="1"/>
  <c r="G994" i="1"/>
  <c r="S993" i="1"/>
  <c r="N993" i="1"/>
  <c r="H993" i="1"/>
  <c r="G993" i="1"/>
  <c r="S992" i="1"/>
  <c r="N992" i="1"/>
  <c r="H992" i="1"/>
  <c r="G992" i="1"/>
  <c r="S991" i="1"/>
  <c r="N991" i="1"/>
  <c r="H991" i="1"/>
  <c r="G991" i="1"/>
  <c r="S990" i="1"/>
  <c r="N990" i="1"/>
  <c r="H990" i="1"/>
  <c r="G990" i="1"/>
  <c r="S989" i="1"/>
  <c r="N989" i="1"/>
  <c r="H989" i="1"/>
  <c r="G989" i="1"/>
  <c r="S988" i="1"/>
  <c r="N988" i="1"/>
  <c r="H988" i="1"/>
  <c r="G988" i="1"/>
  <c r="S987" i="1"/>
  <c r="N987" i="1"/>
  <c r="H987" i="1"/>
  <c r="G987" i="1"/>
  <c r="S986" i="1"/>
  <c r="N986" i="1"/>
  <c r="H986" i="1"/>
  <c r="G986" i="1"/>
  <c r="S985" i="1"/>
  <c r="N985" i="1"/>
  <c r="H985" i="1"/>
  <c r="G985" i="1"/>
  <c r="S984" i="1"/>
  <c r="N984" i="1"/>
  <c r="H984" i="1"/>
  <c r="G984" i="1"/>
  <c r="S983" i="1"/>
  <c r="N983" i="1"/>
  <c r="H983" i="1"/>
  <c r="G983" i="1"/>
  <c r="S982" i="1"/>
  <c r="N982" i="1"/>
  <c r="H982" i="1"/>
  <c r="G982" i="1"/>
  <c r="S981" i="1"/>
  <c r="N981" i="1"/>
  <c r="H981" i="1"/>
  <c r="G981" i="1"/>
  <c r="S980" i="1"/>
  <c r="N980" i="1"/>
  <c r="H980" i="1"/>
  <c r="G980" i="1"/>
  <c r="S979" i="1"/>
  <c r="N979" i="1"/>
  <c r="H979" i="1"/>
  <c r="G979" i="1"/>
  <c r="S978" i="1"/>
  <c r="N978" i="1"/>
  <c r="H978" i="1"/>
  <c r="G978" i="1"/>
  <c r="S977" i="1"/>
  <c r="N977" i="1"/>
  <c r="H977" i="1"/>
  <c r="G977" i="1"/>
  <c r="S976" i="1"/>
  <c r="N976" i="1"/>
  <c r="H976" i="1"/>
  <c r="G976" i="1"/>
  <c r="S975" i="1"/>
  <c r="N975" i="1"/>
  <c r="H975" i="1"/>
  <c r="G975" i="1"/>
  <c r="S974" i="1"/>
  <c r="N974" i="1"/>
  <c r="H974" i="1"/>
  <c r="G974" i="1"/>
  <c r="S973" i="1"/>
  <c r="N973" i="1"/>
  <c r="H973" i="1"/>
  <c r="G973" i="1"/>
  <c r="S972" i="1"/>
  <c r="N972" i="1"/>
  <c r="H972" i="1"/>
  <c r="G972" i="1"/>
  <c r="S971" i="1"/>
  <c r="N971" i="1"/>
  <c r="H971" i="1"/>
  <c r="G971" i="1"/>
  <c r="S970" i="1"/>
  <c r="N970" i="1"/>
  <c r="H970" i="1"/>
  <c r="G970" i="1"/>
  <c r="S969" i="1"/>
  <c r="N969" i="1"/>
  <c r="H969" i="1"/>
  <c r="G969" i="1"/>
  <c r="S968" i="1"/>
  <c r="N968" i="1"/>
  <c r="H968" i="1"/>
  <c r="G968" i="1"/>
  <c r="S967" i="1"/>
  <c r="N967" i="1"/>
  <c r="H967" i="1"/>
  <c r="G967" i="1"/>
  <c r="S966" i="1"/>
  <c r="N966" i="1"/>
  <c r="H966" i="1"/>
  <c r="G966" i="1"/>
  <c r="S965" i="1"/>
  <c r="N965" i="1"/>
  <c r="H965" i="1"/>
  <c r="G965" i="1"/>
  <c r="S964" i="1"/>
  <c r="N964" i="1"/>
  <c r="H964" i="1"/>
  <c r="G964" i="1"/>
  <c r="S963" i="1"/>
  <c r="N963" i="1"/>
  <c r="H963" i="1"/>
  <c r="G963" i="1"/>
  <c r="S962" i="1"/>
  <c r="N962" i="1"/>
  <c r="H962" i="1"/>
  <c r="G962" i="1"/>
  <c r="S961" i="1"/>
  <c r="N961" i="1"/>
  <c r="H961" i="1"/>
  <c r="G961" i="1"/>
  <c r="S960" i="1"/>
  <c r="N960" i="1"/>
  <c r="H960" i="1"/>
  <c r="G960" i="1"/>
  <c r="S959" i="1"/>
  <c r="N959" i="1"/>
  <c r="H959" i="1"/>
  <c r="G959" i="1"/>
  <c r="S958" i="1"/>
  <c r="N958" i="1"/>
  <c r="H958" i="1"/>
  <c r="G958" i="1"/>
  <c r="S957" i="1"/>
  <c r="N957" i="1"/>
  <c r="H957" i="1"/>
  <c r="G957" i="1"/>
  <c r="S956" i="1"/>
  <c r="N956" i="1"/>
  <c r="H956" i="1"/>
  <c r="G956" i="1"/>
  <c r="S955" i="1"/>
  <c r="N955" i="1"/>
  <c r="H955" i="1"/>
  <c r="G955" i="1"/>
  <c r="S954" i="1"/>
  <c r="N954" i="1"/>
  <c r="H954" i="1"/>
  <c r="G954" i="1"/>
  <c r="S953" i="1"/>
  <c r="N953" i="1"/>
  <c r="H953" i="1"/>
  <c r="G953" i="1"/>
  <c r="S952" i="1"/>
  <c r="N952" i="1"/>
  <c r="H952" i="1"/>
  <c r="G952" i="1"/>
  <c r="S951" i="1"/>
  <c r="N951" i="1"/>
  <c r="H951" i="1"/>
  <c r="G951" i="1"/>
  <c r="S950" i="1"/>
  <c r="N950" i="1"/>
  <c r="H950" i="1"/>
  <c r="G950" i="1"/>
  <c r="S949" i="1"/>
  <c r="N949" i="1"/>
  <c r="H949" i="1"/>
  <c r="G949" i="1"/>
  <c r="S948" i="1"/>
  <c r="N948" i="1"/>
  <c r="H948" i="1"/>
  <c r="G948" i="1"/>
  <c r="S947" i="1"/>
  <c r="N947" i="1"/>
  <c r="H947" i="1"/>
  <c r="G947" i="1"/>
  <c r="S946" i="1"/>
  <c r="N946" i="1"/>
  <c r="H946" i="1"/>
  <c r="G946" i="1"/>
  <c r="S945" i="1"/>
  <c r="N945" i="1"/>
  <c r="H945" i="1"/>
  <c r="G945" i="1"/>
  <c r="S944" i="1"/>
  <c r="N944" i="1"/>
  <c r="H944" i="1"/>
  <c r="G944" i="1"/>
  <c r="S943" i="1"/>
  <c r="N943" i="1"/>
  <c r="H943" i="1"/>
  <c r="G943" i="1"/>
  <c r="S942" i="1"/>
  <c r="N942" i="1"/>
  <c r="H942" i="1"/>
  <c r="G942" i="1"/>
  <c r="S941" i="1"/>
  <c r="N941" i="1"/>
  <c r="H941" i="1"/>
  <c r="G941" i="1"/>
  <c r="S940" i="1"/>
  <c r="N940" i="1"/>
  <c r="H940" i="1"/>
  <c r="G940" i="1"/>
  <c r="S939" i="1"/>
  <c r="N939" i="1"/>
  <c r="H939" i="1"/>
  <c r="G939" i="1"/>
  <c r="S938" i="1"/>
  <c r="N938" i="1"/>
  <c r="H938" i="1"/>
  <c r="G938" i="1"/>
  <c r="S937" i="1"/>
  <c r="N937" i="1"/>
  <c r="H937" i="1"/>
  <c r="G937" i="1"/>
  <c r="S936" i="1"/>
  <c r="N936" i="1"/>
  <c r="H936" i="1"/>
  <c r="G936" i="1"/>
  <c r="S935" i="1"/>
  <c r="N935" i="1"/>
  <c r="H935" i="1"/>
  <c r="G935" i="1"/>
  <c r="S934" i="1"/>
  <c r="N934" i="1"/>
  <c r="H934" i="1"/>
  <c r="G934" i="1"/>
  <c r="S933" i="1"/>
  <c r="N933" i="1"/>
  <c r="H933" i="1"/>
  <c r="G933" i="1"/>
  <c r="S932" i="1"/>
  <c r="N932" i="1"/>
  <c r="H932" i="1"/>
  <c r="G932" i="1"/>
  <c r="S931" i="1"/>
  <c r="N931" i="1"/>
  <c r="H931" i="1"/>
  <c r="G931" i="1"/>
  <c r="S930" i="1"/>
  <c r="N930" i="1"/>
  <c r="H930" i="1"/>
  <c r="G930" i="1"/>
  <c r="S929" i="1"/>
  <c r="N929" i="1"/>
  <c r="H929" i="1"/>
  <c r="G929" i="1"/>
  <c r="S928" i="1"/>
  <c r="N928" i="1"/>
  <c r="H928" i="1"/>
  <c r="G928" i="1"/>
  <c r="S927" i="1"/>
  <c r="N927" i="1"/>
  <c r="H927" i="1"/>
  <c r="G927" i="1"/>
  <c r="S926" i="1"/>
  <c r="N926" i="1"/>
  <c r="H926" i="1"/>
  <c r="G926" i="1"/>
  <c r="S925" i="1"/>
  <c r="N925" i="1"/>
  <c r="H925" i="1"/>
  <c r="G925" i="1"/>
  <c r="S924" i="1"/>
  <c r="N924" i="1"/>
  <c r="H924" i="1"/>
  <c r="G924" i="1"/>
  <c r="S923" i="1"/>
  <c r="N923" i="1"/>
  <c r="H923" i="1"/>
  <c r="G923" i="1"/>
  <c r="S922" i="1"/>
  <c r="N922" i="1"/>
  <c r="H922" i="1"/>
  <c r="G922" i="1"/>
  <c r="S921" i="1"/>
  <c r="N921" i="1"/>
  <c r="H921" i="1"/>
  <c r="G921" i="1"/>
  <c r="S920" i="1"/>
  <c r="N920" i="1"/>
  <c r="H920" i="1"/>
  <c r="G920" i="1"/>
  <c r="S919" i="1"/>
  <c r="N919" i="1"/>
  <c r="H919" i="1"/>
  <c r="G919" i="1"/>
  <c r="S918" i="1"/>
  <c r="N918" i="1"/>
  <c r="H918" i="1"/>
  <c r="G918" i="1"/>
  <c r="S917" i="1"/>
  <c r="N917" i="1"/>
  <c r="H917" i="1"/>
  <c r="G917" i="1"/>
  <c r="S916" i="1"/>
  <c r="N916" i="1"/>
  <c r="H916" i="1"/>
  <c r="G916" i="1"/>
  <c r="S915" i="1"/>
  <c r="N915" i="1"/>
  <c r="H915" i="1"/>
  <c r="G915" i="1"/>
  <c r="S914" i="1"/>
  <c r="N914" i="1"/>
  <c r="H914" i="1"/>
  <c r="G914" i="1"/>
  <c r="S913" i="1"/>
  <c r="N913" i="1"/>
  <c r="H913" i="1"/>
  <c r="G913" i="1"/>
  <c r="S912" i="1"/>
  <c r="N912" i="1"/>
  <c r="H912" i="1"/>
  <c r="G912" i="1"/>
  <c r="S911" i="1"/>
  <c r="N911" i="1"/>
  <c r="H911" i="1"/>
  <c r="G911" i="1"/>
  <c r="S910" i="1"/>
  <c r="N910" i="1"/>
  <c r="H910" i="1"/>
  <c r="G910" i="1"/>
  <c r="S909" i="1"/>
  <c r="N909" i="1"/>
  <c r="H909" i="1"/>
  <c r="G909" i="1"/>
  <c r="S908" i="1"/>
  <c r="N908" i="1"/>
  <c r="H908" i="1"/>
  <c r="G908" i="1"/>
  <c r="S907" i="1"/>
  <c r="N907" i="1"/>
  <c r="H907" i="1"/>
  <c r="G907" i="1"/>
  <c r="S906" i="1"/>
  <c r="N906" i="1"/>
  <c r="H906" i="1"/>
  <c r="G906" i="1"/>
  <c r="S905" i="1"/>
  <c r="N905" i="1"/>
  <c r="H905" i="1"/>
  <c r="G905" i="1"/>
  <c r="S904" i="1"/>
  <c r="N904" i="1"/>
  <c r="H904" i="1"/>
  <c r="G904" i="1"/>
  <c r="S903" i="1"/>
  <c r="N903" i="1"/>
  <c r="H903" i="1"/>
  <c r="G903" i="1"/>
  <c r="S902" i="1"/>
  <c r="N902" i="1"/>
  <c r="H902" i="1"/>
  <c r="G902" i="1"/>
  <c r="S901" i="1"/>
  <c r="N901" i="1"/>
  <c r="H901" i="1"/>
  <c r="G901" i="1"/>
  <c r="S900" i="1"/>
  <c r="N900" i="1"/>
  <c r="H900" i="1"/>
  <c r="G900" i="1"/>
  <c r="S899" i="1"/>
  <c r="N899" i="1"/>
  <c r="H899" i="1"/>
  <c r="G899" i="1"/>
  <c r="S898" i="1"/>
  <c r="N898" i="1"/>
  <c r="H898" i="1"/>
  <c r="G898" i="1"/>
  <c r="S897" i="1"/>
  <c r="N897" i="1"/>
  <c r="H897" i="1"/>
  <c r="G897" i="1"/>
  <c r="S896" i="1"/>
  <c r="N896" i="1"/>
  <c r="H896" i="1"/>
  <c r="G896" i="1"/>
  <c r="S895" i="1"/>
  <c r="N895" i="1"/>
  <c r="H895" i="1"/>
  <c r="G895" i="1"/>
  <c r="S894" i="1"/>
  <c r="N894" i="1"/>
  <c r="H894" i="1"/>
  <c r="G894" i="1"/>
  <c r="S893" i="1"/>
  <c r="N893" i="1"/>
  <c r="H893" i="1"/>
  <c r="G893" i="1"/>
  <c r="S892" i="1"/>
  <c r="N892" i="1"/>
  <c r="H892" i="1"/>
  <c r="G892" i="1"/>
  <c r="S891" i="1"/>
  <c r="N891" i="1"/>
  <c r="H891" i="1"/>
  <c r="G891" i="1"/>
  <c r="S890" i="1"/>
  <c r="N890" i="1"/>
  <c r="H890" i="1"/>
  <c r="G890" i="1"/>
  <c r="S889" i="1"/>
  <c r="N889" i="1"/>
  <c r="H889" i="1"/>
  <c r="G889" i="1"/>
  <c r="S888" i="1"/>
  <c r="N888" i="1"/>
  <c r="H888" i="1"/>
  <c r="G888" i="1"/>
  <c r="S887" i="1"/>
  <c r="N887" i="1"/>
  <c r="H887" i="1"/>
  <c r="G887" i="1"/>
  <c r="S886" i="1"/>
  <c r="N886" i="1"/>
  <c r="H886" i="1"/>
  <c r="G886" i="1"/>
  <c r="S885" i="1"/>
  <c r="N885" i="1"/>
  <c r="H885" i="1"/>
  <c r="G885" i="1"/>
  <c r="S884" i="1"/>
  <c r="N884" i="1"/>
  <c r="H884" i="1"/>
  <c r="G884" i="1"/>
  <c r="S883" i="1"/>
  <c r="N883" i="1"/>
  <c r="H883" i="1"/>
  <c r="G883" i="1"/>
  <c r="S882" i="1"/>
  <c r="N882" i="1"/>
  <c r="H882" i="1"/>
  <c r="G882" i="1"/>
  <c r="S881" i="1"/>
  <c r="N881" i="1"/>
  <c r="H881" i="1"/>
  <c r="G881" i="1"/>
  <c r="S880" i="1"/>
  <c r="N880" i="1"/>
  <c r="H880" i="1"/>
  <c r="G880" i="1"/>
  <c r="S879" i="1"/>
  <c r="N879" i="1"/>
  <c r="H879" i="1"/>
  <c r="G879" i="1"/>
  <c r="S878" i="1"/>
  <c r="N878" i="1"/>
  <c r="H878" i="1"/>
  <c r="G878" i="1"/>
  <c r="S877" i="1"/>
  <c r="N877" i="1"/>
  <c r="H877" i="1"/>
  <c r="G877" i="1"/>
  <c r="S876" i="1"/>
  <c r="N876" i="1"/>
  <c r="H876" i="1"/>
  <c r="G876" i="1"/>
  <c r="S875" i="1"/>
  <c r="N875" i="1"/>
  <c r="H875" i="1"/>
  <c r="G875" i="1"/>
  <c r="S874" i="1"/>
  <c r="N874" i="1"/>
  <c r="H874" i="1"/>
  <c r="G874" i="1"/>
  <c r="S873" i="1"/>
  <c r="N873" i="1"/>
  <c r="H873" i="1"/>
  <c r="G873" i="1"/>
  <c r="S872" i="1"/>
  <c r="N872" i="1"/>
  <c r="H872" i="1"/>
  <c r="G872" i="1"/>
  <c r="S871" i="1"/>
  <c r="N871" i="1"/>
  <c r="H871" i="1"/>
  <c r="G871" i="1"/>
  <c r="S870" i="1"/>
  <c r="N870" i="1"/>
  <c r="H870" i="1"/>
  <c r="G870" i="1"/>
  <c r="S869" i="1"/>
  <c r="N869" i="1"/>
  <c r="H869" i="1"/>
  <c r="G869" i="1"/>
  <c r="S868" i="1"/>
  <c r="N868" i="1"/>
  <c r="H868" i="1"/>
  <c r="G868" i="1"/>
  <c r="S867" i="1"/>
  <c r="N867" i="1"/>
  <c r="H867" i="1"/>
  <c r="G867" i="1"/>
  <c r="S866" i="1"/>
  <c r="N866" i="1"/>
  <c r="H866" i="1"/>
  <c r="G866" i="1"/>
  <c r="S865" i="1"/>
  <c r="N865" i="1"/>
  <c r="H865" i="1"/>
  <c r="G865" i="1"/>
  <c r="S864" i="1"/>
  <c r="N864" i="1"/>
  <c r="H864" i="1"/>
  <c r="G864" i="1"/>
  <c r="S863" i="1"/>
  <c r="N863" i="1"/>
  <c r="H863" i="1"/>
  <c r="G863" i="1"/>
  <c r="S862" i="1"/>
  <c r="N862" i="1"/>
  <c r="H862" i="1"/>
  <c r="G862" i="1"/>
  <c r="S861" i="1"/>
  <c r="N861" i="1"/>
  <c r="H861" i="1"/>
  <c r="G861" i="1"/>
  <c r="S860" i="1"/>
  <c r="N860" i="1"/>
  <c r="H860" i="1"/>
  <c r="G860" i="1"/>
  <c r="S859" i="1"/>
  <c r="N859" i="1"/>
  <c r="H859" i="1"/>
  <c r="G859" i="1"/>
  <c r="S858" i="1"/>
  <c r="N858" i="1"/>
  <c r="H858" i="1"/>
  <c r="G858" i="1"/>
  <c r="S857" i="1"/>
  <c r="N857" i="1"/>
  <c r="H857" i="1"/>
  <c r="G857" i="1"/>
  <c r="S856" i="1"/>
  <c r="N856" i="1"/>
  <c r="H856" i="1"/>
  <c r="G856" i="1"/>
  <c r="S855" i="1"/>
  <c r="N855" i="1"/>
  <c r="H855" i="1"/>
  <c r="G855" i="1"/>
  <c r="S854" i="1"/>
  <c r="N854" i="1"/>
  <c r="H854" i="1"/>
  <c r="G854" i="1"/>
  <c r="S853" i="1"/>
  <c r="N853" i="1"/>
  <c r="H853" i="1"/>
  <c r="G853" i="1"/>
  <c r="S852" i="1"/>
  <c r="N852" i="1"/>
  <c r="H852" i="1"/>
  <c r="G852" i="1"/>
  <c r="S851" i="1"/>
  <c r="N851" i="1"/>
  <c r="H851" i="1"/>
  <c r="G851" i="1"/>
  <c r="S850" i="1"/>
  <c r="N850" i="1"/>
  <c r="H850" i="1"/>
  <c r="G850" i="1"/>
  <c r="S849" i="1"/>
  <c r="N849" i="1"/>
  <c r="H849" i="1"/>
  <c r="G849" i="1"/>
  <c r="S848" i="1"/>
  <c r="N848" i="1"/>
  <c r="H848" i="1"/>
  <c r="G848" i="1"/>
  <c r="S847" i="1"/>
  <c r="N847" i="1"/>
  <c r="H847" i="1"/>
  <c r="G847" i="1"/>
  <c r="S846" i="1"/>
  <c r="N846" i="1"/>
  <c r="H846" i="1"/>
  <c r="G846" i="1"/>
  <c r="S845" i="1"/>
  <c r="N845" i="1"/>
  <c r="H845" i="1"/>
  <c r="G845" i="1"/>
  <c r="S844" i="1"/>
  <c r="N844" i="1"/>
  <c r="H844" i="1"/>
  <c r="G844" i="1"/>
  <c r="S843" i="1"/>
  <c r="N843" i="1"/>
  <c r="H843" i="1"/>
  <c r="G843" i="1"/>
  <c r="S842" i="1"/>
  <c r="N842" i="1"/>
  <c r="H842" i="1"/>
  <c r="G842" i="1"/>
  <c r="S841" i="1"/>
  <c r="N841" i="1"/>
  <c r="H841" i="1"/>
  <c r="G841" i="1"/>
  <c r="S840" i="1"/>
  <c r="N840" i="1"/>
  <c r="H840" i="1"/>
  <c r="G840" i="1"/>
  <c r="S839" i="1"/>
  <c r="N839" i="1"/>
  <c r="H839" i="1"/>
  <c r="G839" i="1"/>
  <c r="S838" i="1"/>
  <c r="N838" i="1"/>
  <c r="H838" i="1"/>
  <c r="G838" i="1"/>
  <c r="S837" i="1"/>
  <c r="N837" i="1"/>
  <c r="H837" i="1"/>
  <c r="G837" i="1"/>
  <c r="S836" i="1"/>
  <c r="N836" i="1"/>
  <c r="H836" i="1"/>
  <c r="G836" i="1"/>
  <c r="S835" i="1"/>
  <c r="N835" i="1"/>
  <c r="H835" i="1"/>
  <c r="G835" i="1"/>
  <c r="S834" i="1"/>
  <c r="N834" i="1"/>
  <c r="H834" i="1"/>
  <c r="G834" i="1"/>
  <c r="S833" i="1"/>
  <c r="N833" i="1"/>
  <c r="H833" i="1"/>
  <c r="G833" i="1"/>
  <c r="S832" i="1"/>
  <c r="N832" i="1"/>
  <c r="H832" i="1"/>
  <c r="G832" i="1"/>
  <c r="S831" i="1"/>
  <c r="N831" i="1"/>
  <c r="H831" i="1"/>
  <c r="G831" i="1"/>
  <c r="S830" i="1"/>
  <c r="N830" i="1"/>
  <c r="H830" i="1"/>
  <c r="G830" i="1"/>
  <c r="S829" i="1"/>
  <c r="N829" i="1"/>
  <c r="H829" i="1"/>
  <c r="G829" i="1"/>
  <c r="S828" i="1"/>
  <c r="N828" i="1"/>
  <c r="H828" i="1"/>
  <c r="G828" i="1"/>
  <c r="S827" i="1"/>
  <c r="N827" i="1"/>
  <c r="H827" i="1"/>
  <c r="G827" i="1"/>
  <c r="S826" i="1"/>
  <c r="N826" i="1"/>
  <c r="H826" i="1"/>
  <c r="G826" i="1"/>
  <c r="S825" i="1"/>
  <c r="N825" i="1"/>
  <c r="H825" i="1"/>
  <c r="G825" i="1"/>
  <c r="S824" i="1"/>
  <c r="N824" i="1"/>
  <c r="H824" i="1"/>
  <c r="G824" i="1"/>
  <c r="S823" i="1"/>
  <c r="N823" i="1"/>
  <c r="H823" i="1"/>
  <c r="G823" i="1"/>
  <c r="S822" i="1"/>
  <c r="N822" i="1"/>
  <c r="H822" i="1"/>
  <c r="G822" i="1"/>
  <c r="S821" i="1"/>
  <c r="N821" i="1"/>
  <c r="H821" i="1"/>
  <c r="G821" i="1"/>
  <c r="S820" i="1"/>
  <c r="N820" i="1"/>
  <c r="H820" i="1"/>
  <c r="G820" i="1"/>
  <c r="S819" i="1"/>
  <c r="N819" i="1"/>
  <c r="H819" i="1"/>
  <c r="G819" i="1"/>
  <c r="S818" i="1"/>
  <c r="N818" i="1"/>
  <c r="H818" i="1"/>
  <c r="G818" i="1"/>
  <c r="S817" i="1"/>
  <c r="N817" i="1"/>
  <c r="H817" i="1"/>
  <c r="G817" i="1"/>
  <c r="S816" i="1"/>
  <c r="N816" i="1"/>
  <c r="H816" i="1"/>
  <c r="G816" i="1"/>
  <c r="S815" i="1"/>
  <c r="N815" i="1"/>
  <c r="H815" i="1"/>
  <c r="G815" i="1"/>
  <c r="S814" i="1"/>
  <c r="N814" i="1"/>
  <c r="H814" i="1"/>
  <c r="G814" i="1"/>
  <c r="S813" i="1"/>
  <c r="N813" i="1"/>
  <c r="H813" i="1"/>
  <c r="G813" i="1"/>
  <c r="S812" i="1"/>
  <c r="N812" i="1"/>
  <c r="H812" i="1"/>
  <c r="G812" i="1"/>
  <c r="S811" i="1"/>
  <c r="N811" i="1"/>
  <c r="H811" i="1"/>
  <c r="G811" i="1"/>
  <c r="S810" i="1"/>
  <c r="N810" i="1"/>
  <c r="H810" i="1"/>
  <c r="G810" i="1"/>
  <c r="S809" i="1"/>
  <c r="N809" i="1"/>
  <c r="H809" i="1"/>
  <c r="G809" i="1"/>
  <c r="S808" i="1"/>
  <c r="N808" i="1"/>
  <c r="H808" i="1"/>
  <c r="G808" i="1"/>
  <c r="S807" i="1"/>
  <c r="N807" i="1"/>
  <c r="H807" i="1"/>
  <c r="G807" i="1"/>
  <c r="S806" i="1"/>
  <c r="N806" i="1"/>
  <c r="H806" i="1"/>
  <c r="G806" i="1"/>
  <c r="S805" i="1"/>
  <c r="N805" i="1"/>
  <c r="H805" i="1"/>
  <c r="G805" i="1"/>
  <c r="S804" i="1"/>
  <c r="N804" i="1"/>
  <c r="H804" i="1"/>
  <c r="G804" i="1"/>
  <c r="S803" i="1"/>
  <c r="N803" i="1"/>
  <c r="H803" i="1"/>
  <c r="G803" i="1"/>
  <c r="S802" i="1"/>
  <c r="N802" i="1"/>
  <c r="H802" i="1"/>
  <c r="G802" i="1"/>
  <c r="S801" i="1"/>
  <c r="N801" i="1"/>
  <c r="H801" i="1"/>
  <c r="G801" i="1"/>
  <c r="S800" i="1"/>
  <c r="N800" i="1"/>
  <c r="H800" i="1"/>
  <c r="G800" i="1"/>
  <c r="S799" i="1"/>
  <c r="N799" i="1"/>
  <c r="H799" i="1"/>
  <c r="G799" i="1"/>
  <c r="S798" i="1"/>
  <c r="N798" i="1"/>
  <c r="H798" i="1"/>
  <c r="G798" i="1"/>
  <c r="S797" i="1"/>
  <c r="N797" i="1"/>
  <c r="H797" i="1"/>
  <c r="G797" i="1"/>
  <c r="S796" i="1"/>
  <c r="N796" i="1"/>
  <c r="H796" i="1"/>
  <c r="G796" i="1"/>
  <c r="S795" i="1"/>
  <c r="N795" i="1"/>
  <c r="H795" i="1"/>
  <c r="G795" i="1"/>
  <c r="S794" i="1"/>
  <c r="N794" i="1"/>
  <c r="H794" i="1"/>
  <c r="G794" i="1"/>
  <c r="S793" i="1"/>
  <c r="N793" i="1"/>
  <c r="H793" i="1"/>
  <c r="G793" i="1"/>
  <c r="S792" i="1"/>
  <c r="N792" i="1"/>
  <c r="H792" i="1"/>
  <c r="G792" i="1"/>
  <c r="S791" i="1"/>
  <c r="N791" i="1"/>
  <c r="H791" i="1"/>
  <c r="G791" i="1"/>
  <c r="S790" i="1"/>
  <c r="N790" i="1"/>
  <c r="H790" i="1"/>
  <c r="G790" i="1"/>
  <c r="S789" i="1"/>
  <c r="N789" i="1"/>
  <c r="H789" i="1"/>
  <c r="G789" i="1"/>
  <c r="S788" i="1"/>
  <c r="N788" i="1"/>
  <c r="H788" i="1"/>
  <c r="G788" i="1"/>
  <c r="S787" i="1"/>
  <c r="N787" i="1"/>
  <c r="H787" i="1"/>
  <c r="G787" i="1"/>
  <c r="S786" i="1"/>
  <c r="N786" i="1"/>
  <c r="H786" i="1"/>
  <c r="G786" i="1"/>
  <c r="S785" i="1"/>
  <c r="N785" i="1"/>
  <c r="H785" i="1"/>
  <c r="G785" i="1"/>
  <c r="S784" i="1"/>
  <c r="N784" i="1"/>
  <c r="H784" i="1"/>
  <c r="G784" i="1"/>
  <c r="S783" i="1"/>
  <c r="N783" i="1"/>
  <c r="H783" i="1"/>
  <c r="G783" i="1"/>
  <c r="S782" i="1"/>
  <c r="N782" i="1"/>
  <c r="H782" i="1"/>
  <c r="G782" i="1"/>
  <c r="S781" i="1"/>
  <c r="N781" i="1"/>
  <c r="H781" i="1"/>
  <c r="G781" i="1"/>
  <c r="S780" i="1"/>
  <c r="N780" i="1"/>
  <c r="H780" i="1"/>
  <c r="G780" i="1"/>
  <c r="S779" i="1"/>
  <c r="N779" i="1"/>
  <c r="H779" i="1"/>
  <c r="G779" i="1"/>
  <c r="S778" i="1"/>
  <c r="N778" i="1"/>
  <c r="H778" i="1"/>
  <c r="G778" i="1"/>
  <c r="S777" i="1"/>
  <c r="N777" i="1"/>
  <c r="H777" i="1"/>
  <c r="G777" i="1"/>
  <c r="S776" i="1"/>
  <c r="N776" i="1"/>
  <c r="H776" i="1"/>
  <c r="G776" i="1"/>
  <c r="S775" i="1"/>
  <c r="N775" i="1"/>
  <c r="H775" i="1"/>
  <c r="G775" i="1"/>
  <c r="S774" i="1"/>
  <c r="N774" i="1"/>
  <c r="H774" i="1"/>
  <c r="G774" i="1"/>
  <c r="S773" i="1"/>
  <c r="N773" i="1"/>
  <c r="H773" i="1"/>
  <c r="G773" i="1"/>
  <c r="S772" i="1"/>
  <c r="N772" i="1"/>
  <c r="H772" i="1"/>
  <c r="G772" i="1"/>
  <c r="S771" i="1"/>
  <c r="N771" i="1"/>
  <c r="H771" i="1"/>
  <c r="G771" i="1"/>
  <c r="S770" i="1"/>
  <c r="N770" i="1"/>
  <c r="H770" i="1"/>
  <c r="G770" i="1"/>
  <c r="S769" i="1"/>
  <c r="N769" i="1"/>
  <c r="H769" i="1"/>
  <c r="G769" i="1"/>
  <c r="S768" i="1"/>
  <c r="N768" i="1"/>
  <c r="H768" i="1"/>
  <c r="G768" i="1"/>
  <c r="S767" i="1"/>
  <c r="N767" i="1"/>
  <c r="H767" i="1"/>
  <c r="G767" i="1"/>
  <c r="S766" i="1"/>
  <c r="N766" i="1"/>
  <c r="H766" i="1"/>
  <c r="G766" i="1"/>
  <c r="S765" i="1"/>
  <c r="N765" i="1"/>
  <c r="H765" i="1"/>
  <c r="G765" i="1"/>
  <c r="S764" i="1"/>
  <c r="N764" i="1"/>
  <c r="H764" i="1"/>
  <c r="G764" i="1"/>
  <c r="S763" i="1"/>
  <c r="N763" i="1"/>
  <c r="H763" i="1"/>
  <c r="G763" i="1"/>
  <c r="S762" i="1"/>
  <c r="N762" i="1"/>
  <c r="H762" i="1"/>
  <c r="G762" i="1"/>
  <c r="S761" i="1"/>
  <c r="N761" i="1"/>
  <c r="H761" i="1"/>
  <c r="G761" i="1"/>
  <c r="S760" i="1"/>
  <c r="N760" i="1"/>
  <c r="H760" i="1"/>
  <c r="G760" i="1"/>
  <c r="S759" i="1"/>
  <c r="N759" i="1"/>
  <c r="H759" i="1"/>
  <c r="G759" i="1"/>
  <c r="S758" i="1"/>
  <c r="N758" i="1"/>
  <c r="H758" i="1"/>
  <c r="G758" i="1"/>
  <c r="S757" i="1"/>
  <c r="N757" i="1"/>
  <c r="H757" i="1"/>
  <c r="G757" i="1"/>
  <c r="S756" i="1"/>
  <c r="N756" i="1"/>
  <c r="H756" i="1"/>
  <c r="G756" i="1"/>
  <c r="S755" i="1"/>
  <c r="N755" i="1"/>
  <c r="H755" i="1"/>
  <c r="G755" i="1"/>
  <c r="S754" i="1"/>
  <c r="N754" i="1"/>
  <c r="H754" i="1"/>
  <c r="G754" i="1"/>
  <c r="S753" i="1"/>
  <c r="N753" i="1"/>
  <c r="H753" i="1"/>
  <c r="G753" i="1"/>
  <c r="S752" i="1"/>
  <c r="N752" i="1"/>
  <c r="H752" i="1"/>
  <c r="G752" i="1"/>
  <c r="S751" i="1"/>
  <c r="N751" i="1"/>
  <c r="H751" i="1"/>
  <c r="G751" i="1"/>
  <c r="S750" i="1"/>
  <c r="N750" i="1"/>
  <c r="H750" i="1"/>
  <c r="G750" i="1"/>
  <c r="S749" i="1"/>
  <c r="N749" i="1"/>
  <c r="H749" i="1"/>
  <c r="G749" i="1"/>
  <c r="S748" i="1"/>
  <c r="N748" i="1"/>
  <c r="H748" i="1"/>
  <c r="G748" i="1"/>
  <c r="S747" i="1"/>
  <c r="N747" i="1"/>
  <c r="H747" i="1"/>
  <c r="G747" i="1"/>
  <c r="S746" i="1"/>
  <c r="N746" i="1"/>
  <c r="H746" i="1"/>
  <c r="G746" i="1"/>
  <c r="S745" i="1"/>
  <c r="N745" i="1"/>
  <c r="H745" i="1"/>
  <c r="G745" i="1"/>
  <c r="S744" i="1"/>
  <c r="N744" i="1"/>
  <c r="H744" i="1"/>
  <c r="G744" i="1"/>
  <c r="S743" i="1"/>
  <c r="N743" i="1"/>
  <c r="H743" i="1"/>
  <c r="G743" i="1"/>
  <c r="S742" i="1"/>
  <c r="N742" i="1"/>
  <c r="H742" i="1"/>
  <c r="G742" i="1"/>
  <c r="S741" i="1"/>
  <c r="N741" i="1"/>
  <c r="H741" i="1"/>
  <c r="G741" i="1"/>
  <c r="S740" i="1"/>
  <c r="R740" i="1"/>
  <c r="Q740" i="1"/>
  <c r="N740" i="1"/>
  <c r="H740" i="1"/>
  <c r="G740" i="1"/>
  <c r="S739" i="1"/>
  <c r="R739" i="1"/>
  <c r="Q739" i="1"/>
  <c r="N739" i="1"/>
  <c r="H739" i="1"/>
  <c r="G739" i="1"/>
  <c r="S738" i="1"/>
  <c r="R738" i="1"/>
  <c r="Q738" i="1"/>
  <c r="N738" i="1"/>
  <c r="H738" i="1"/>
  <c r="G738" i="1"/>
  <c r="S737" i="1"/>
  <c r="R737" i="1"/>
  <c r="Q737" i="1"/>
  <c r="N737" i="1"/>
  <c r="H737" i="1"/>
  <c r="G737" i="1"/>
  <c r="S736" i="1"/>
  <c r="R736" i="1"/>
  <c r="Q736" i="1"/>
  <c r="N736" i="1"/>
  <c r="H736" i="1"/>
  <c r="G736" i="1"/>
  <c r="S735" i="1"/>
  <c r="R735" i="1"/>
  <c r="Q735" i="1"/>
  <c r="N735" i="1"/>
  <c r="H735" i="1"/>
  <c r="G735" i="1"/>
  <c r="S734" i="1"/>
  <c r="R734" i="1"/>
  <c r="Q734" i="1"/>
  <c r="N734" i="1"/>
  <c r="H734" i="1"/>
  <c r="G734" i="1"/>
  <c r="S733" i="1"/>
  <c r="R733" i="1"/>
  <c r="Q733" i="1"/>
  <c r="N733" i="1"/>
  <c r="H733" i="1"/>
  <c r="G733" i="1"/>
  <c r="S732" i="1"/>
  <c r="R732" i="1"/>
  <c r="Q732" i="1"/>
  <c r="N732" i="1"/>
  <c r="H732" i="1"/>
  <c r="G732" i="1"/>
  <c r="S731" i="1"/>
  <c r="R731" i="1"/>
  <c r="Q731" i="1"/>
  <c r="N731" i="1"/>
  <c r="H731" i="1"/>
  <c r="G731" i="1"/>
  <c r="S730" i="1"/>
  <c r="R730" i="1"/>
  <c r="Q730" i="1"/>
  <c r="N730" i="1"/>
  <c r="H730" i="1"/>
  <c r="G730" i="1"/>
  <c r="S729" i="1"/>
  <c r="R729" i="1"/>
  <c r="Q729" i="1"/>
  <c r="N729" i="1"/>
  <c r="H729" i="1"/>
  <c r="G729" i="1"/>
  <c r="S728" i="1"/>
  <c r="R728" i="1"/>
  <c r="Q728" i="1"/>
  <c r="N728" i="1"/>
  <c r="H728" i="1"/>
  <c r="G728" i="1"/>
  <c r="S727" i="1"/>
  <c r="R727" i="1"/>
  <c r="Q727" i="1"/>
  <c r="N727" i="1"/>
  <c r="H727" i="1"/>
  <c r="G727" i="1"/>
  <c r="S726" i="1"/>
  <c r="R726" i="1"/>
  <c r="Q726" i="1"/>
  <c r="N726" i="1"/>
  <c r="H726" i="1"/>
  <c r="G726" i="1"/>
  <c r="S725" i="1"/>
  <c r="R725" i="1"/>
  <c r="Q725" i="1"/>
  <c r="N725" i="1"/>
  <c r="H725" i="1"/>
  <c r="G725" i="1"/>
  <c r="S724" i="1"/>
  <c r="R724" i="1"/>
  <c r="Q724" i="1"/>
  <c r="N724" i="1"/>
  <c r="H724" i="1"/>
  <c r="G724" i="1"/>
  <c r="S723" i="1"/>
  <c r="R723" i="1"/>
  <c r="Q723" i="1"/>
  <c r="N723" i="1"/>
  <c r="H723" i="1"/>
  <c r="G723" i="1"/>
  <c r="S722" i="1"/>
  <c r="R722" i="1"/>
  <c r="Q722" i="1"/>
  <c r="N722" i="1"/>
  <c r="H722" i="1"/>
  <c r="G722" i="1"/>
  <c r="S721" i="1"/>
  <c r="R721" i="1"/>
  <c r="Q721" i="1"/>
  <c r="N721" i="1"/>
  <c r="H721" i="1"/>
  <c r="G721" i="1"/>
  <c r="S720" i="1"/>
  <c r="R720" i="1"/>
  <c r="Q720" i="1"/>
  <c r="N720" i="1"/>
  <c r="H720" i="1"/>
  <c r="G720" i="1"/>
  <c r="S719" i="1"/>
  <c r="R719" i="1"/>
  <c r="Q719" i="1"/>
  <c r="N719" i="1"/>
  <c r="H719" i="1"/>
  <c r="G719" i="1"/>
  <c r="S718" i="1"/>
  <c r="R718" i="1"/>
  <c r="Q718" i="1"/>
  <c r="N718" i="1"/>
  <c r="H718" i="1"/>
  <c r="G718" i="1"/>
  <c r="S717" i="1"/>
  <c r="R717" i="1"/>
  <c r="Q717" i="1"/>
  <c r="N717" i="1"/>
  <c r="H717" i="1"/>
  <c r="G717" i="1"/>
  <c r="S716" i="1"/>
  <c r="R716" i="1"/>
  <c r="Q716" i="1"/>
  <c r="N716" i="1"/>
  <c r="H716" i="1"/>
  <c r="G716" i="1"/>
  <c r="S715" i="1"/>
  <c r="R715" i="1"/>
  <c r="Q715" i="1"/>
  <c r="N715" i="1"/>
  <c r="H715" i="1"/>
  <c r="G715" i="1"/>
  <c r="S714" i="1"/>
  <c r="R714" i="1"/>
  <c r="Q714" i="1"/>
  <c r="N714" i="1"/>
  <c r="H714" i="1"/>
  <c r="G714" i="1"/>
  <c r="S713" i="1"/>
  <c r="R713" i="1"/>
  <c r="Q713" i="1"/>
  <c r="N713" i="1"/>
  <c r="H713" i="1"/>
  <c r="G713" i="1"/>
  <c r="S712" i="1"/>
  <c r="R712" i="1"/>
  <c r="Q712" i="1"/>
  <c r="N712" i="1"/>
  <c r="H712" i="1"/>
  <c r="G712" i="1"/>
  <c r="S711" i="1"/>
  <c r="R711" i="1"/>
  <c r="Q711" i="1"/>
  <c r="N711" i="1"/>
  <c r="H711" i="1"/>
  <c r="G711" i="1"/>
  <c r="S710" i="1"/>
  <c r="R710" i="1"/>
  <c r="Q710" i="1"/>
  <c r="N710" i="1"/>
  <c r="H710" i="1"/>
  <c r="G710" i="1"/>
  <c r="S709" i="1"/>
  <c r="R709" i="1"/>
  <c r="Q709" i="1"/>
  <c r="N709" i="1"/>
  <c r="H709" i="1"/>
  <c r="G709" i="1"/>
  <c r="S708" i="1"/>
  <c r="R708" i="1"/>
  <c r="Q708" i="1"/>
  <c r="N708" i="1"/>
  <c r="H708" i="1"/>
  <c r="G708" i="1"/>
  <c r="S707" i="1"/>
  <c r="R707" i="1"/>
  <c r="Q707" i="1"/>
  <c r="N707" i="1"/>
  <c r="H707" i="1"/>
  <c r="G707" i="1"/>
  <c r="S706" i="1"/>
  <c r="R706" i="1"/>
  <c r="Q706" i="1"/>
  <c r="N706" i="1"/>
  <c r="H706" i="1"/>
  <c r="G706" i="1"/>
  <c r="S705" i="1"/>
  <c r="R705" i="1"/>
  <c r="Q705" i="1"/>
  <c r="N705" i="1"/>
  <c r="H705" i="1"/>
  <c r="G705" i="1"/>
  <c r="S704" i="1"/>
  <c r="R704" i="1"/>
  <c r="Q704" i="1"/>
  <c r="N704" i="1"/>
  <c r="H704" i="1"/>
  <c r="G704" i="1"/>
  <c r="S703" i="1"/>
  <c r="R703" i="1"/>
  <c r="Q703" i="1"/>
  <c r="N703" i="1"/>
  <c r="H703" i="1"/>
  <c r="G703" i="1"/>
  <c r="S702" i="1"/>
  <c r="R702" i="1"/>
  <c r="Q702" i="1"/>
  <c r="N702" i="1"/>
  <c r="H702" i="1"/>
  <c r="G702" i="1"/>
  <c r="S701" i="1"/>
  <c r="R701" i="1"/>
  <c r="Q701" i="1"/>
  <c r="N701" i="1"/>
  <c r="H701" i="1"/>
  <c r="G701" i="1"/>
  <c r="S700" i="1"/>
  <c r="R700" i="1"/>
  <c r="Q700" i="1"/>
  <c r="N700" i="1"/>
  <c r="H700" i="1"/>
  <c r="G700" i="1"/>
  <c r="S699" i="1"/>
  <c r="R699" i="1"/>
  <c r="Q699" i="1"/>
  <c r="N699" i="1"/>
  <c r="H699" i="1"/>
  <c r="G699" i="1"/>
  <c r="S698" i="1"/>
  <c r="R698" i="1"/>
  <c r="Q698" i="1"/>
  <c r="N698" i="1"/>
  <c r="H698" i="1"/>
  <c r="G698" i="1"/>
  <c r="S697" i="1"/>
  <c r="R697" i="1"/>
  <c r="Q697" i="1"/>
  <c r="N697" i="1"/>
  <c r="H697" i="1"/>
  <c r="G697" i="1"/>
  <c r="S696" i="1"/>
  <c r="R696" i="1"/>
  <c r="Q696" i="1"/>
  <c r="N696" i="1"/>
  <c r="H696" i="1"/>
  <c r="G696" i="1"/>
  <c r="S695" i="1"/>
  <c r="R695" i="1"/>
  <c r="Q695" i="1"/>
  <c r="N695" i="1"/>
  <c r="H695" i="1"/>
  <c r="G695" i="1"/>
  <c r="S694" i="1"/>
  <c r="R694" i="1"/>
  <c r="Q694" i="1"/>
  <c r="N694" i="1"/>
  <c r="H694" i="1"/>
  <c r="G694" i="1"/>
  <c r="S693" i="1"/>
  <c r="R693" i="1"/>
  <c r="Q693" i="1"/>
  <c r="N693" i="1"/>
  <c r="H693" i="1"/>
  <c r="G693" i="1"/>
  <c r="S692" i="1"/>
  <c r="R692" i="1"/>
  <c r="Q692" i="1"/>
  <c r="N692" i="1"/>
  <c r="H692" i="1"/>
  <c r="G692" i="1"/>
  <c r="S691" i="1"/>
  <c r="R691" i="1"/>
  <c r="Q691" i="1"/>
  <c r="N691" i="1"/>
  <c r="H691" i="1"/>
  <c r="G691" i="1"/>
  <c r="S690" i="1"/>
  <c r="R690" i="1"/>
  <c r="Q690" i="1"/>
  <c r="N690" i="1"/>
  <c r="H690" i="1"/>
  <c r="G690" i="1"/>
  <c r="S689" i="1"/>
  <c r="R689" i="1"/>
  <c r="Q689" i="1"/>
  <c r="N689" i="1"/>
  <c r="H689" i="1"/>
  <c r="G689" i="1"/>
  <c r="S688" i="1"/>
  <c r="R688" i="1"/>
  <c r="Q688" i="1"/>
  <c r="N688" i="1"/>
  <c r="H688" i="1"/>
  <c r="G688" i="1"/>
  <c r="S687" i="1"/>
  <c r="R687" i="1"/>
  <c r="Q687" i="1"/>
  <c r="N687" i="1"/>
  <c r="H687" i="1"/>
  <c r="G687" i="1"/>
  <c r="S686" i="1"/>
  <c r="R686" i="1"/>
  <c r="Q686" i="1"/>
  <c r="N686" i="1"/>
  <c r="H686" i="1"/>
  <c r="G686" i="1"/>
  <c r="S685" i="1"/>
  <c r="R685" i="1"/>
  <c r="Q685" i="1"/>
  <c r="N685" i="1"/>
  <c r="H685" i="1"/>
  <c r="G685" i="1"/>
  <c r="S684" i="1"/>
  <c r="R684" i="1"/>
  <c r="Q684" i="1"/>
  <c r="N684" i="1"/>
  <c r="H684" i="1"/>
  <c r="G684" i="1"/>
  <c r="S683" i="1"/>
  <c r="R683" i="1"/>
  <c r="Q683" i="1"/>
  <c r="N683" i="1"/>
  <c r="H683" i="1"/>
  <c r="G683" i="1"/>
  <c r="S682" i="1"/>
  <c r="R682" i="1"/>
  <c r="Q682" i="1"/>
  <c r="N682" i="1"/>
  <c r="H682" i="1"/>
  <c r="G682" i="1"/>
  <c r="S681" i="1"/>
  <c r="R681" i="1"/>
  <c r="Q681" i="1"/>
  <c r="N681" i="1"/>
  <c r="H681" i="1"/>
  <c r="G681" i="1"/>
  <c r="S680" i="1"/>
  <c r="R680" i="1"/>
  <c r="Q680" i="1"/>
  <c r="N680" i="1"/>
  <c r="H680" i="1"/>
  <c r="G680" i="1"/>
  <c r="S679" i="1"/>
  <c r="R679" i="1"/>
  <c r="Q679" i="1"/>
  <c r="N679" i="1"/>
  <c r="H679" i="1"/>
  <c r="G679" i="1"/>
  <c r="S678" i="1"/>
  <c r="R678" i="1"/>
  <c r="Q678" i="1"/>
  <c r="N678" i="1"/>
  <c r="H678" i="1"/>
  <c r="G678" i="1"/>
  <c r="S677" i="1"/>
  <c r="R677" i="1"/>
  <c r="Q677" i="1"/>
  <c r="N677" i="1"/>
  <c r="H677" i="1"/>
  <c r="G677" i="1"/>
  <c r="S676" i="1"/>
  <c r="R676" i="1"/>
  <c r="Q676" i="1"/>
  <c r="N676" i="1"/>
  <c r="H676" i="1"/>
  <c r="G676" i="1"/>
  <c r="S675" i="1"/>
  <c r="R675" i="1"/>
  <c r="Q675" i="1"/>
  <c r="N675" i="1"/>
  <c r="H675" i="1"/>
  <c r="G675" i="1"/>
  <c r="S674" i="1"/>
  <c r="R674" i="1"/>
  <c r="Q674" i="1"/>
  <c r="N674" i="1"/>
  <c r="H674" i="1"/>
  <c r="G674" i="1"/>
  <c r="S673" i="1"/>
  <c r="R673" i="1"/>
  <c r="Q673" i="1"/>
  <c r="N673" i="1"/>
  <c r="H673" i="1"/>
  <c r="G673" i="1"/>
  <c r="S672" i="1"/>
  <c r="R672" i="1"/>
  <c r="Q672" i="1"/>
  <c r="N672" i="1"/>
  <c r="H672" i="1"/>
  <c r="G672" i="1"/>
  <c r="S671" i="1"/>
  <c r="R671" i="1"/>
  <c r="Q671" i="1"/>
  <c r="N671" i="1"/>
  <c r="H671" i="1"/>
  <c r="G671" i="1"/>
  <c r="S670" i="1"/>
  <c r="R670" i="1"/>
  <c r="Q670" i="1"/>
  <c r="N670" i="1"/>
  <c r="H670" i="1"/>
  <c r="G670" i="1"/>
  <c r="S669" i="1"/>
  <c r="R669" i="1"/>
  <c r="Q669" i="1"/>
  <c r="N669" i="1"/>
  <c r="H669" i="1"/>
  <c r="G669" i="1"/>
  <c r="S668" i="1"/>
  <c r="R668" i="1"/>
  <c r="Q668" i="1"/>
  <c r="N668" i="1"/>
  <c r="H668" i="1"/>
  <c r="G668" i="1"/>
  <c r="S667" i="1"/>
  <c r="R667" i="1"/>
  <c r="Q667" i="1"/>
  <c r="N667" i="1"/>
  <c r="H667" i="1"/>
  <c r="G667" i="1"/>
  <c r="S666" i="1"/>
  <c r="R666" i="1"/>
  <c r="Q666" i="1"/>
  <c r="N666" i="1"/>
  <c r="H666" i="1"/>
  <c r="G666" i="1"/>
  <c r="S665" i="1"/>
  <c r="R665" i="1"/>
  <c r="Q665" i="1"/>
  <c r="N665" i="1"/>
  <c r="H665" i="1"/>
  <c r="G665" i="1"/>
  <c r="S664" i="1"/>
  <c r="R664" i="1"/>
  <c r="Q664" i="1"/>
  <c r="N664" i="1"/>
  <c r="H664" i="1"/>
  <c r="G664" i="1"/>
  <c r="S663" i="1"/>
  <c r="R663" i="1"/>
  <c r="Q663" i="1"/>
  <c r="N663" i="1"/>
  <c r="H663" i="1"/>
  <c r="G663" i="1"/>
  <c r="S662" i="1"/>
  <c r="R662" i="1"/>
  <c r="Q662" i="1"/>
  <c r="N662" i="1"/>
  <c r="H662" i="1"/>
  <c r="G662" i="1"/>
  <c r="S661" i="1"/>
  <c r="R661" i="1"/>
  <c r="Q661" i="1"/>
  <c r="N661" i="1"/>
  <c r="H661" i="1"/>
  <c r="G661" i="1"/>
  <c r="S660" i="1"/>
  <c r="R660" i="1"/>
  <c r="Q660" i="1"/>
  <c r="N660" i="1"/>
  <c r="H660" i="1"/>
  <c r="G660" i="1"/>
  <c r="S659" i="1"/>
  <c r="R659" i="1"/>
  <c r="Q659" i="1"/>
  <c r="N659" i="1"/>
  <c r="H659" i="1"/>
  <c r="G659" i="1"/>
  <c r="S658" i="1"/>
  <c r="R658" i="1"/>
  <c r="Q658" i="1"/>
  <c r="N658" i="1"/>
  <c r="H658" i="1"/>
  <c r="G658" i="1"/>
  <c r="S657" i="1"/>
  <c r="R657" i="1"/>
  <c r="Q657" i="1"/>
  <c r="N657" i="1"/>
  <c r="H657" i="1"/>
  <c r="G657" i="1"/>
  <c r="S656" i="1"/>
  <c r="R656" i="1"/>
  <c r="Q656" i="1"/>
  <c r="N656" i="1"/>
  <c r="H656" i="1"/>
  <c r="G656" i="1"/>
  <c r="S655" i="1"/>
  <c r="R655" i="1"/>
  <c r="Q655" i="1"/>
  <c r="N655" i="1"/>
  <c r="H655" i="1"/>
  <c r="G655" i="1"/>
  <c r="S654" i="1"/>
  <c r="R654" i="1"/>
  <c r="Q654" i="1"/>
  <c r="N654" i="1"/>
  <c r="H654" i="1"/>
  <c r="G654" i="1"/>
  <c r="S653" i="1"/>
  <c r="R653" i="1"/>
  <c r="Q653" i="1"/>
  <c r="N653" i="1"/>
  <c r="H653" i="1"/>
  <c r="G653" i="1"/>
  <c r="S652" i="1"/>
  <c r="R652" i="1"/>
  <c r="Q652" i="1"/>
  <c r="N652" i="1"/>
  <c r="H652" i="1"/>
  <c r="G652" i="1"/>
  <c r="S651" i="1"/>
  <c r="R651" i="1"/>
  <c r="Q651" i="1"/>
  <c r="N651" i="1"/>
  <c r="H651" i="1"/>
  <c r="G651" i="1"/>
  <c r="S650" i="1"/>
  <c r="R650" i="1"/>
  <c r="Q650" i="1"/>
  <c r="N650" i="1"/>
  <c r="H650" i="1"/>
  <c r="G650" i="1"/>
  <c r="S649" i="1"/>
  <c r="R649" i="1"/>
  <c r="Q649" i="1"/>
  <c r="N649" i="1"/>
  <c r="H649" i="1"/>
  <c r="G649" i="1"/>
  <c r="S648" i="1"/>
  <c r="R648" i="1"/>
  <c r="Q648" i="1"/>
  <c r="N648" i="1"/>
  <c r="H648" i="1"/>
  <c r="G648" i="1"/>
  <c r="S647" i="1"/>
  <c r="R647" i="1"/>
  <c r="Q647" i="1"/>
  <c r="N647" i="1"/>
  <c r="H647" i="1"/>
  <c r="G647" i="1"/>
  <c r="S646" i="1"/>
  <c r="R646" i="1"/>
  <c r="Q646" i="1"/>
  <c r="N646" i="1"/>
  <c r="H646" i="1"/>
  <c r="G646" i="1"/>
  <c r="S645" i="1"/>
  <c r="R645" i="1"/>
  <c r="Q645" i="1"/>
  <c r="N645" i="1"/>
  <c r="H645" i="1"/>
  <c r="G645" i="1"/>
  <c r="S644" i="1"/>
  <c r="R644" i="1"/>
  <c r="Q644" i="1"/>
  <c r="N644" i="1"/>
  <c r="H644" i="1"/>
  <c r="G644" i="1"/>
  <c r="S643" i="1"/>
  <c r="R643" i="1"/>
  <c r="Q643" i="1"/>
  <c r="N643" i="1"/>
  <c r="H643" i="1"/>
  <c r="G643" i="1"/>
  <c r="S642" i="1"/>
  <c r="R642" i="1"/>
  <c r="Q642" i="1"/>
  <c r="N642" i="1"/>
  <c r="H642" i="1"/>
  <c r="G642" i="1"/>
  <c r="S641" i="1"/>
  <c r="R641" i="1"/>
  <c r="Q641" i="1"/>
  <c r="N641" i="1"/>
  <c r="H641" i="1"/>
  <c r="G641" i="1"/>
  <c r="S640" i="1"/>
  <c r="R640" i="1"/>
  <c r="Q640" i="1"/>
  <c r="N640" i="1"/>
  <c r="H640" i="1"/>
  <c r="G640" i="1"/>
  <c r="S639" i="1"/>
  <c r="R639" i="1"/>
  <c r="Q639" i="1"/>
  <c r="N639" i="1"/>
  <c r="H639" i="1"/>
  <c r="G639" i="1"/>
  <c r="S638" i="1"/>
  <c r="R638" i="1"/>
  <c r="Q638" i="1"/>
  <c r="N638" i="1"/>
  <c r="H638" i="1"/>
  <c r="G638" i="1"/>
  <c r="S637" i="1"/>
  <c r="R637" i="1"/>
  <c r="Q637" i="1"/>
  <c r="N637" i="1"/>
  <c r="H637" i="1"/>
  <c r="G637" i="1"/>
  <c r="S636" i="1"/>
  <c r="R636" i="1"/>
  <c r="Q636" i="1"/>
  <c r="N636" i="1"/>
  <c r="H636" i="1"/>
  <c r="G636" i="1"/>
  <c r="S635" i="1"/>
  <c r="R635" i="1"/>
  <c r="Q635" i="1"/>
  <c r="N635" i="1"/>
  <c r="H635" i="1"/>
  <c r="G635" i="1"/>
  <c r="S634" i="1"/>
  <c r="R634" i="1"/>
  <c r="Q634" i="1"/>
  <c r="N634" i="1"/>
  <c r="H634" i="1"/>
  <c r="G634" i="1"/>
  <c r="S633" i="1"/>
  <c r="R633" i="1"/>
  <c r="Q633" i="1"/>
  <c r="N633" i="1"/>
  <c r="H633" i="1"/>
  <c r="G633" i="1"/>
  <c r="S632" i="1"/>
  <c r="R632" i="1"/>
  <c r="Q632" i="1"/>
  <c r="N632" i="1"/>
  <c r="H632" i="1"/>
  <c r="G632" i="1"/>
  <c r="S631" i="1"/>
  <c r="R631" i="1"/>
  <c r="Q631" i="1"/>
  <c r="N631" i="1"/>
  <c r="H631" i="1"/>
  <c r="G631" i="1"/>
  <c r="S630" i="1"/>
  <c r="R630" i="1"/>
  <c r="Q630" i="1"/>
  <c r="N630" i="1"/>
  <c r="H630" i="1"/>
  <c r="G630" i="1"/>
  <c r="S629" i="1"/>
  <c r="R629" i="1"/>
  <c r="Q629" i="1"/>
  <c r="N629" i="1"/>
  <c r="H629" i="1"/>
  <c r="G629" i="1"/>
  <c r="S628" i="1"/>
  <c r="R628" i="1"/>
  <c r="Q628" i="1"/>
  <c r="N628" i="1"/>
  <c r="H628" i="1"/>
  <c r="G628" i="1"/>
  <c r="S627" i="1"/>
  <c r="R627" i="1"/>
  <c r="Q627" i="1"/>
  <c r="N627" i="1"/>
  <c r="H627" i="1"/>
  <c r="G627" i="1"/>
  <c r="S626" i="1"/>
  <c r="R626" i="1"/>
  <c r="Q626" i="1"/>
  <c r="N626" i="1"/>
  <c r="H626" i="1"/>
  <c r="G626" i="1"/>
  <c r="S625" i="1"/>
  <c r="R625" i="1"/>
  <c r="Q625" i="1"/>
  <c r="N625" i="1"/>
  <c r="H625" i="1"/>
  <c r="G625" i="1"/>
  <c r="S624" i="1"/>
  <c r="R624" i="1"/>
  <c r="Q624" i="1"/>
  <c r="N624" i="1"/>
  <c r="H624" i="1"/>
  <c r="G624" i="1"/>
  <c r="S623" i="1"/>
  <c r="R623" i="1"/>
  <c r="Q623" i="1"/>
  <c r="N623" i="1"/>
  <c r="H623" i="1"/>
  <c r="G623" i="1"/>
  <c r="S622" i="1"/>
  <c r="R622" i="1"/>
  <c r="Q622" i="1"/>
  <c r="N622" i="1"/>
  <c r="H622" i="1"/>
  <c r="G622" i="1"/>
  <c r="S621" i="1"/>
  <c r="R621" i="1"/>
  <c r="Q621" i="1"/>
  <c r="N621" i="1"/>
  <c r="H621" i="1"/>
  <c r="G621" i="1"/>
  <c r="S620" i="1"/>
  <c r="R620" i="1"/>
  <c r="Q620" i="1"/>
  <c r="N620" i="1"/>
  <c r="H620" i="1"/>
  <c r="G620" i="1"/>
  <c r="S619" i="1"/>
  <c r="R619" i="1"/>
  <c r="Q619" i="1"/>
  <c r="N619" i="1"/>
  <c r="H619" i="1"/>
  <c r="G619" i="1"/>
  <c r="S618" i="1"/>
  <c r="R618" i="1"/>
  <c r="Q618" i="1"/>
  <c r="N618" i="1"/>
  <c r="H618" i="1"/>
  <c r="G618" i="1"/>
  <c r="S617" i="1"/>
  <c r="R617" i="1"/>
  <c r="Q617" i="1"/>
  <c r="N617" i="1"/>
  <c r="H617" i="1"/>
  <c r="G617" i="1"/>
  <c r="S616" i="1"/>
  <c r="R616" i="1"/>
  <c r="Q616" i="1"/>
  <c r="N616" i="1"/>
  <c r="H616" i="1"/>
  <c r="G616" i="1"/>
  <c r="S615" i="1"/>
  <c r="R615" i="1"/>
  <c r="Q615" i="1"/>
  <c r="N615" i="1"/>
  <c r="H615" i="1"/>
  <c r="G615" i="1"/>
  <c r="S614" i="1"/>
  <c r="R614" i="1"/>
  <c r="Q614" i="1"/>
  <c r="N614" i="1"/>
  <c r="H614" i="1"/>
  <c r="G614" i="1"/>
  <c r="S613" i="1"/>
  <c r="R613" i="1"/>
  <c r="Q613" i="1"/>
  <c r="N613" i="1"/>
  <c r="H613" i="1"/>
  <c r="G613" i="1"/>
  <c r="S612" i="1"/>
  <c r="R612" i="1"/>
  <c r="Q612" i="1"/>
  <c r="N612" i="1"/>
  <c r="H612" i="1"/>
  <c r="G612" i="1"/>
  <c r="S611" i="1"/>
  <c r="R611" i="1"/>
  <c r="Q611" i="1"/>
  <c r="N611" i="1"/>
  <c r="H611" i="1"/>
  <c r="G611" i="1"/>
  <c r="S610" i="1"/>
  <c r="R610" i="1"/>
  <c r="Q610" i="1"/>
  <c r="N610" i="1"/>
  <c r="H610" i="1"/>
  <c r="G610" i="1"/>
  <c r="S609" i="1"/>
  <c r="R609" i="1"/>
  <c r="Q609" i="1"/>
  <c r="N609" i="1"/>
  <c r="H609" i="1"/>
  <c r="G609" i="1"/>
  <c r="S608" i="1"/>
  <c r="R608" i="1"/>
  <c r="Q608" i="1"/>
  <c r="N608" i="1"/>
  <c r="H608" i="1"/>
  <c r="G608" i="1"/>
  <c r="S607" i="1"/>
  <c r="R607" i="1"/>
  <c r="Q607" i="1"/>
  <c r="N607" i="1"/>
  <c r="H607" i="1"/>
  <c r="G607" i="1"/>
  <c r="S606" i="1"/>
  <c r="R606" i="1"/>
  <c r="Q606" i="1"/>
  <c r="N606" i="1"/>
  <c r="H606" i="1"/>
  <c r="G606" i="1"/>
  <c r="S605" i="1"/>
  <c r="R605" i="1"/>
  <c r="Q605" i="1"/>
  <c r="N605" i="1"/>
  <c r="H605" i="1"/>
  <c r="G605" i="1"/>
  <c r="S604" i="1"/>
  <c r="R604" i="1"/>
  <c r="Q604" i="1"/>
  <c r="N604" i="1"/>
  <c r="H604" i="1"/>
  <c r="G604" i="1"/>
  <c r="S603" i="1"/>
  <c r="R603" i="1"/>
  <c r="Q603" i="1"/>
  <c r="N603" i="1"/>
  <c r="H603" i="1"/>
  <c r="G603" i="1"/>
  <c r="S602" i="1"/>
  <c r="R602" i="1"/>
  <c r="Q602" i="1"/>
  <c r="N602" i="1"/>
  <c r="H602" i="1"/>
  <c r="G602" i="1"/>
  <c r="S601" i="1"/>
  <c r="R601" i="1"/>
  <c r="Q601" i="1"/>
  <c r="N601" i="1"/>
  <c r="H601" i="1"/>
  <c r="G601" i="1"/>
  <c r="S600" i="1"/>
  <c r="R600" i="1"/>
  <c r="Q600" i="1"/>
  <c r="N600" i="1"/>
  <c r="H600" i="1"/>
  <c r="G600" i="1"/>
  <c r="S599" i="1"/>
  <c r="R599" i="1"/>
  <c r="Q599" i="1"/>
  <c r="N599" i="1"/>
  <c r="H599" i="1"/>
  <c r="G599" i="1"/>
  <c r="S598" i="1"/>
  <c r="R598" i="1"/>
  <c r="Q598" i="1"/>
  <c r="N598" i="1"/>
  <c r="H598" i="1"/>
  <c r="G598" i="1"/>
  <c r="S597" i="1"/>
  <c r="R597" i="1"/>
  <c r="Q597" i="1"/>
  <c r="N597" i="1"/>
  <c r="H597" i="1"/>
  <c r="G597" i="1"/>
  <c r="S596" i="1"/>
  <c r="R596" i="1"/>
  <c r="Q596" i="1"/>
  <c r="N596" i="1"/>
  <c r="H596" i="1"/>
  <c r="G596" i="1"/>
  <c r="S595" i="1"/>
  <c r="R595" i="1"/>
  <c r="Q595" i="1"/>
  <c r="N595" i="1"/>
  <c r="H595" i="1"/>
  <c r="G595" i="1"/>
  <c r="S594" i="1"/>
  <c r="R594" i="1"/>
  <c r="Q594" i="1"/>
  <c r="N594" i="1"/>
  <c r="H594" i="1"/>
  <c r="G594" i="1"/>
  <c r="S593" i="1"/>
  <c r="R593" i="1"/>
  <c r="Q593" i="1"/>
  <c r="N593" i="1"/>
  <c r="H593" i="1"/>
  <c r="G593" i="1"/>
  <c r="S592" i="1"/>
  <c r="R592" i="1"/>
  <c r="Q592" i="1"/>
  <c r="N592" i="1"/>
  <c r="H592" i="1"/>
  <c r="G592" i="1"/>
  <c r="S591" i="1"/>
  <c r="R591" i="1"/>
  <c r="Q591" i="1"/>
  <c r="N591" i="1"/>
  <c r="H591" i="1"/>
  <c r="G591" i="1"/>
  <c r="S590" i="1"/>
  <c r="R590" i="1"/>
  <c r="Q590" i="1"/>
  <c r="N590" i="1"/>
  <c r="H590" i="1"/>
  <c r="G590" i="1"/>
  <c r="S589" i="1"/>
  <c r="R589" i="1"/>
  <c r="Q589" i="1"/>
  <c r="N589" i="1"/>
  <c r="H589" i="1"/>
  <c r="G589" i="1"/>
  <c r="S588" i="1"/>
  <c r="R588" i="1"/>
  <c r="Q588" i="1"/>
  <c r="N588" i="1"/>
  <c r="H588" i="1"/>
  <c r="G588" i="1"/>
  <c r="S587" i="1"/>
  <c r="R587" i="1"/>
  <c r="Q587" i="1"/>
  <c r="N587" i="1"/>
  <c r="H587" i="1"/>
  <c r="G587" i="1"/>
  <c r="S586" i="1"/>
  <c r="R586" i="1"/>
  <c r="Q586" i="1"/>
  <c r="N586" i="1"/>
  <c r="H586" i="1"/>
  <c r="G586" i="1"/>
  <c r="S585" i="1"/>
  <c r="R585" i="1"/>
  <c r="Q585" i="1"/>
  <c r="N585" i="1"/>
  <c r="H585" i="1"/>
  <c r="G585" i="1"/>
  <c r="S584" i="1"/>
  <c r="R584" i="1"/>
  <c r="Q584" i="1"/>
  <c r="N584" i="1"/>
  <c r="H584" i="1"/>
  <c r="G584" i="1"/>
  <c r="S583" i="1"/>
  <c r="R583" i="1"/>
  <c r="Q583" i="1"/>
  <c r="N583" i="1"/>
  <c r="H583" i="1"/>
  <c r="G583" i="1"/>
  <c r="S582" i="1"/>
  <c r="R582" i="1"/>
  <c r="Q582" i="1"/>
  <c r="N582" i="1"/>
  <c r="H582" i="1"/>
  <c r="G582" i="1"/>
  <c r="S581" i="1"/>
  <c r="R581" i="1"/>
  <c r="Q581" i="1"/>
  <c r="N581" i="1"/>
  <c r="H581" i="1"/>
  <c r="G581" i="1"/>
  <c r="S580" i="1"/>
  <c r="R580" i="1"/>
  <c r="Q580" i="1"/>
  <c r="N580" i="1"/>
  <c r="H580" i="1"/>
  <c r="G580" i="1"/>
  <c r="S579" i="1"/>
  <c r="R579" i="1"/>
  <c r="Q579" i="1"/>
  <c r="N579" i="1"/>
  <c r="H579" i="1"/>
  <c r="G579" i="1"/>
  <c r="S578" i="1"/>
  <c r="R578" i="1"/>
  <c r="Q578" i="1"/>
  <c r="N578" i="1"/>
  <c r="H578" i="1"/>
  <c r="G578" i="1"/>
  <c r="S577" i="1"/>
  <c r="R577" i="1"/>
  <c r="Q577" i="1"/>
  <c r="N577" i="1"/>
  <c r="H577" i="1"/>
  <c r="G577" i="1"/>
  <c r="S576" i="1"/>
  <c r="R576" i="1"/>
  <c r="Q576" i="1"/>
  <c r="N576" i="1"/>
  <c r="H576" i="1"/>
  <c r="G576" i="1"/>
  <c r="S575" i="1"/>
  <c r="R575" i="1"/>
  <c r="Q575" i="1"/>
  <c r="N575" i="1"/>
  <c r="H575" i="1"/>
  <c r="G575" i="1"/>
  <c r="S574" i="1"/>
  <c r="R574" i="1"/>
  <c r="Q574" i="1"/>
  <c r="N574" i="1"/>
  <c r="H574" i="1"/>
  <c r="G574" i="1"/>
  <c r="S573" i="1"/>
  <c r="R573" i="1"/>
  <c r="Q573" i="1"/>
  <c r="N573" i="1"/>
  <c r="H573" i="1"/>
  <c r="G573" i="1"/>
  <c r="S572" i="1"/>
  <c r="R572" i="1"/>
  <c r="Q572" i="1"/>
  <c r="N572" i="1"/>
  <c r="H572" i="1"/>
  <c r="G572" i="1"/>
  <c r="S571" i="1"/>
  <c r="R571" i="1"/>
  <c r="Q571" i="1"/>
  <c r="N571" i="1"/>
  <c r="H571" i="1"/>
  <c r="G571" i="1"/>
  <c r="S570" i="1"/>
  <c r="R570" i="1"/>
  <c r="Q570" i="1"/>
  <c r="N570" i="1"/>
  <c r="H570" i="1"/>
  <c r="G570" i="1"/>
  <c r="S569" i="1"/>
  <c r="R569" i="1"/>
  <c r="Q569" i="1"/>
  <c r="N569" i="1"/>
  <c r="H569" i="1"/>
  <c r="G569" i="1"/>
  <c r="S568" i="1"/>
  <c r="R568" i="1"/>
  <c r="Q568" i="1"/>
  <c r="N568" i="1"/>
  <c r="H568" i="1"/>
  <c r="G568" i="1"/>
  <c r="S567" i="1"/>
  <c r="R567" i="1"/>
  <c r="Q567" i="1"/>
  <c r="N567" i="1"/>
  <c r="H567" i="1"/>
  <c r="G567" i="1"/>
  <c r="S566" i="1"/>
  <c r="R566" i="1"/>
  <c r="Q566" i="1"/>
  <c r="N566" i="1"/>
  <c r="H566" i="1"/>
  <c r="G566" i="1"/>
  <c r="S565" i="1"/>
  <c r="R565" i="1"/>
  <c r="Q565" i="1"/>
  <c r="N565" i="1"/>
  <c r="H565" i="1"/>
  <c r="G565" i="1"/>
  <c r="S564" i="1"/>
  <c r="R564" i="1"/>
  <c r="Q564" i="1"/>
  <c r="N564" i="1"/>
  <c r="H564" i="1"/>
  <c r="G564" i="1"/>
  <c r="S563" i="1"/>
  <c r="R563" i="1"/>
  <c r="Q563" i="1"/>
  <c r="N563" i="1"/>
  <c r="H563" i="1"/>
  <c r="G563" i="1"/>
  <c r="S562" i="1"/>
  <c r="R562" i="1"/>
  <c r="Q562" i="1"/>
  <c r="N562" i="1"/>
  <c r="H562" i="1"/>
  <c r="G562" i="1"/>
  <c r="S561" i="1"/>
  <c r="R561" i="1"/>
  <c r="Q561" i="1"/>
  <c r="N561" i="1"/>
  <c r="H561" i="1"/>
  <c r="G561" i="1"/>
  <c r="S560" i="1"/>
  <c r="R560" i="1"/>
  <c r="Q560" i="1"/>
  <c r="N560" i="1"/>
  <c r="H560" i="1"/>
  <c r="G560" i="1"/>
  <c r="S559" i="1"/>
  <c r="R559" i="1"/>
  <c r="Q559" i="1"/>
  <c r="N559" i="1"/>
  <c r="H559" i="1"/>
  <c r="G559" i="1"/>
  <c r="S558" i="1"/>
  <c r="R558" i="1"/>
  <c r="Q558" i="1"/>
  <c r="N558" i="1"/>
  <c r="H558" i="1"/>
  <c r="G558" i="1"/>
  <c r="S557" i="1"/>
  <c r="R557" i="1"/>
  <c r="Q557" i="1"/>
  <c r="N557" i="1"/>
  <c r="H557" i="1"/>
  <c r="G557" i="1"/>
  <c r="S556" i="1"/>
  <c r="R556" i="1"/>
  <c r="Q556" i="1"/>
  <c r="N556" i="1"/>
  <c r="H556" i="1"/>
  <c r="G556" i="1"/>
  <c r="S555" i="1"/>
  <c r="R555" i="1"/>
  <c r="Q555" i="1"/>
  <c r="N555" i="1"/>
  <c r="H555" i="1"/>
  <c r="G555" i="1"/>
  <c r="S554" i="1"/>
  <c r="R554" i="1"/>
  <c r="Q554" i="1"/>
  <c r="N554" i="1"/>
  <c r="H554" i="1"/>
  <c r="G554" i="1"/>
  <c r="S553" i="1"/>
  <c r="R553" i="1"/>
  <c r="Q553" i="1"/>
  <c r="N553" i="1"/>
  <c r="H553" i="1"/>
  <c r="G553" i="1"/>
  <c r="S552" i="1"/>
  <c r="R552" i="1"/>
  <c r="Q552" i="1"/>
  <c r="N552" i="1"/>
  <c r="H552" i="1"/>
  <c r="G552" i="1"/>
  <c r="S551" i="1"/>
  <c r="R551" i="1"/>
  <c r="Q551" i="1"/>
  <c r="N551" i="1"/>
  <c r="H551" i="1"/>
  <c r="G551" i="1"/>
  <c r="S550" i="1"/>
  <c r="R550" i="1"/>
  <c r="Q550" i="1"/>
  <c r="N550" i="1"/>
  <c r="H550" i="1"/>
  <c r="G550" i="1"/>
  <c r="S549" i="1"/>
  <c r="R549" i="1"/>
  <c r="Q549" i="1"/>
  <c r="N549" i="1"/>
  <c r="H549" i="1"/>
  <c r="G549" i="1"/>
  <c r="S548" i="1"/>
  <c r="R548" i="1"/>
  <c r="Q548" i="1"/>
  <c r="N548" i="1"/>
  <c r="H548" i="1"/>
  <c r="G548" i="1"/>
  <c r="S547" i="1"/>
  <c r="R547" i="1"/>
  <c r="Q547" i="1"/>
  <c r="N547" i="1"/>
  <c r="H547" i="1"/>
  <c r="G547" i="1"/>
  <c r="S546" i="1"/>
  <c r="R546" i="1"/>
  <c r="Q546" i="1"/>
  <c r="N546" i="1"/>
  <c r="H546" i="1"/>
  <c r="G546" i="1"/>
  <c r="S545" i="1"/>
  <c r="R545" i="1"/>
  <c r="Q545" i="1"/>
  <c r="N545" i="1"/>
  <c r="H545" i="1"/>
  <c r="G545" i="1"/>
  <c r="S544" i="1"/>
  <c r="R544" i="1"/>
  <c r="Q544" i="1"/>
  <c r="N544" i="1"/>
  <c r="H544" i="1"/>
  <c r="G544" i="1"/>
  <c r="S543" i="1"/>
  <c r="R543" i="1"/>
  <c r="Q543" i="1"/>
  <c r="N543" i="1"/>
  <c r="H543" i="1"/>
  <c r="G543" i="1"/>
  <c r="S542" i="1"/>
  <c r="R542" i="1"/>
  <c r="Q542" i="1"/>
  <c r="N542" i="1"/>
  <c r="H542" i="1"/>
  <c r="G542" i="1"/>
  <c r="S541" i="1"/>
  <c r="R541" i="1"/>
  <c r="Q541" i="1"/>
  <c r="N541" i="1"/>
  <c r="H541" i="1"/>
  <c r="G541" i="1"/>
  <c r="S540" i="1"/>
  <c r="R540" i="1"/>
  <c r="Q540" i="1"/>
  <c r="N540" i="1"/>
  <c r="H540" i="1"/>
  <c r="G540" i="1"/>
  <c r="S539" i="1"/>
  <c r="R539" i="1"/>
  <c r="Q539" i="1"/>
  <c r="N539" i="1"/>
  <c r="H539" i="1"/>
  <c r="G539" i="1"/>
  <c r="S538" i="1"/>
  <c r="R538" i="1"/>
  <c r="Q538" i="1"/>
  <c r="N538" i="1"/>
  <c r="H538" i="1"/>
  <c r="G538" i="1"/>
  <c r="S537" i="1"/>
  <c r="R537" i="1"/>
  <c r="Q537" i="1"/>
  <c r="N537" i="1"/>
  <c r="H537" i="1"/>
  <c r="G537" i="1"/>
  <c r="S536" i="1"/>
  <c r="R536" i="1"/>
  <c r="Q536" i="1"/>
  <c r="N536" i="1"/>
  <c r="H536" i="1"/>
  <c r="G536" i="1"/>
  <c r="S535" i="1"/>
  <c r="R535" i="1"/>
  <c r="Q535" i="1"/>
  <c r="N535" i="1"/>
  <c r="H535" i="1"/>
  <c r="G535" i="1"/>
  <c r="S534" i="1"/>
  <c r="R534" i="1"/>
  <c r="Q534" i="1"/>
  <c r="N534" i="1"/>
  <c r="H534" i="1"/>
  <c r="G534" i="1"/>
  <c r="S533" i="1"/>
  <c r="R533" i="1"/>
  <c r="Q533" i="1"/>
  <c r="N533" i="1"/>
  <c r="H533" i="1"/>
  <c r="G533" i="1"/>
  <c r="S532" i="1"/>
  <c r="R532" i="1"/>
  <c r="Q532" i="1"/>
  <c r="N532" i="1"/>
  <c r="H532" i="1"/>
  <c r="G532" i="1"/>
  <c r="S531" i="1"/>
  <c r="R531" i="1"/>
  <c r="Q531" i="1"/>
  <c r="N531" i="1"/>
  <c r="H531" i="1"/>
  <c r="G531" i="1"/>
  <c r="S530" i="1"/>
  <c r="R530" i="1"/>
  <c r="Q530" i="1"/>
  <c r="N530" i="1"/>
  <c r="H530" i="1"/>
  <c r="G530" i="1"/>
  <c r="S529" i="1"/>
  <c r="R529" i="1"/>
  <c r="Q529" i="1"/>
  <c r="N529" i="1"/>
  <c r="H529" i="1"/>
  <c r="G529" i="1"/>
  <c r="S528" i="1"/>
  <c r="R528" i="1"/>
  <c r="Q528" i="1"/>
  <c r="N528" i="1"/>
  <c r="H528" i="1"/>
  <c r="G528" i="1"/>
  <c r="S527" i="1"/>
  <c r="R527" i="1"/>
  <c r="Q527" i="1"/>
  <c r="N527" i="1"/>
  <c r="H527" i="1"/>
  <c r="G527" i="1"/>
  <c r="S526" i="1"/>
  <c r="R526" i="1"/>
  <c r="Q526" i="1"/>
  <c r="N526" i="1"/>
  <c r="H526" i="1"/>
  <c r="G526" i="1"/>
  <c r="S525" i="1"/>
  <c r="R525" i="1"/>
  <c r="Q525" i="1"/>
  <c r="N525" i="1"/>
  <c r="H525" i="1"/>
  <c r="G525" i="1"/>
  <c r="S524" i="1"/>
  <c r="R524" i="1"/>
  <c r="Q524" i="1"/>
  <c r="N524" i="1"/>
  <c r="H524" i="1"/>
  <c r="G524" i="1"/>
  <c r="S523" i="1"/>
  <c r="R523" i="1"/>
  <c r="Q523" i="1"/>
  <c r="N523" i="1"/>
  <c r="H523" i="1"/>
  <c r="G523" i="1"/>
  <c r="S522" i="1"/>
  <c r="R522" i="1"/>
  <c r="Q522" i="1"/>
  <c r="N522" i="1"/>
  <c r="H522" i="1"/>
  <c r="G522" i="1"/>
  <c r="S521" i="1"/>
  <c r="R521" i="1"/>
  <c r="Q521" i="1"/>
  <c r="N521" i="1"/>
  <c r="H521" i="1"/>
  <c r="G521" i="1"/>
  <c r="F521" i="1"/>
  <c r="S520" i="1"/>
  <c r="R520" i="1"/>
  <c r="Q520" i="1"/>
  <c r="N520" i="1"/>
  <c r="H520" i="1"/>
  <c r="G520" i="1"/>
  <c r="F520" i="1"/>
  <c r="S519" i="1"/>
  <c r="R519" i="1"/>
  <c r="Q519" i="1"/>
  <c r="N519" i="1"/>
  <c r="H519" i="1"/>
  <c r="G519" i="1"/>
  <c r="F519" i="1"/>
  <c r="S518" i="1"/>
  <c r="R518" i="1"/>
  <c r="Q518" i="1"/>
  <c r="N518" i="1"/>
  <c r="H518" i="1"/>
  <c r="G518" i="1"/>
  <c r="F518" i="1"/>
  <c r="S517" i="1"/>
  <c r="R517" i="1"/>
  <c r="Q517" i="1"/>
  <c r="N517" i="1"/>
  <c r="H517" i="1"/>
  <c r="G517" i="1"/>
  <c r="F517" i="1"/>
  <c r="S516" i="1"/>
  <c r="R516" i="1"/>
  <c r="Q516" i="1"/>
  <c r="N516" i="1"/>
  <c r="H516" i="1"/>
  <c r="G516" i="1"/>
  <c r="F516" i="1"/>
  <c r="S515" i="1"/>
  <c r="R515" i="1"/>
  <c r="Q515" i="1"/>
  <c r="N515" i="1"/>
  <c r="H515" i="1"/>
  <c r="G515" i="1"/>
  <c r="F515" i="1"/>
  <c r="S514" i="1"/>
  <c r="R514" i="1"/>
  <c r="Q514" i="1"/>
  <c r="N514" i="1"/>
  <c r="H514" i="1"/>
  <c r="G514" i="1"/>
  <c r="F514" i="1"/>
  <c r="S513" i="1"/>
  <c r="R513" i="1"/>
  <c r="Q513" i="1"/>
  <c r="N513" i="1"/>
  <c r="H513" i="1"/>
  <c r="G513" i="1"/>
  <c r="F513" i="1"/>
  <c r="S512" i="1"/>
  <c r="R512" i="1"/>
  <c r="Q512" i="1"/>
  <c r="N512" i="1"/>
  <c r="H512" i="1"/>
  <c r="G512" i="1"/>
  <c r="F512" i="1"/>
  <c r="S511" i="1"/>
  <c r="R511" i="1"/>
  <c r="Q511" i="1"/>
  <c r="N511" i="1"/>
  <c r="H511" i="1"/>
  <c r="G511" i="1"/>
  <c r="F511" i="1"/>
  <c r="S510" i="1"/>
  <c r="R510" i="1"/>
  <c r="Q510" i="1"/>
  <c r="N510" i="1"/>
  <c r="H510" i="1"/>
  <c r="G510" i="1"/>
  <c r="F510" i="1"/>
  <c r="S509" i="1"/>
  <c r="R509" i="1"/>
  <c r="Q509" i="1"/>
  <c r="N509" i="1"/>
  <c r="H509" i="1"/>
  <c r="G509" i="1"/>
  <c r="F509" i="1"/>
  <c r="S508" i="1"/>
  <c r="R508" i="1"/>
  <c r="Q508" i="1"/>
  <c r="N508" i="1"/>
  <c r="H508" i="1"/>
  <c r="G508" i="1"/>
  <c r="F508" i="1"/>
  <c r="S507" i="1"/>
  <c r="R507" i="1"/>
  <c r="Q507" i="1"/>
  <c r="N507" i="1"/>
  <c r="H507" i="1"/>
  <c r="G507" i="1"/>
  <c r="F507" i="1"/>
  <c r="S506" i="1"/>
  <c r="R506" i="1"/>
  <c r="Q506" i="1"/>
  <c r="N506" i="1"/>
  <c r="H506" i="1"/>
  <c r="G506" i="1"/>
  <c r="F506" i="1"/>
  <c r="S505" i="1"/>
  <c r="R505" i="1"/>
  <c r="Q505" i="1"/>
  <c r="N505" i="1"/>
  <c r="H505" i="1"/>
  <c r="G505" i="1"/>
  <c r="F505" i="1"/>
  <c r="S504" i="1"/>
  <c r="R504" i="1"/>
  <c r="Q504" i="1"/>
  <c r="N504" i="1"/>
  <c r="H504" i="1"/>
  <c r="G504" i="1"/>
  <c r="F504" i="1"/>
  <c r="S503" i="1"/>
  <c r="R503" i="1"/>
  <c r="Q503" i="1"/>
  <c r="N503" i="1"/>
  <c r="H503" i="1"/>
  <c r="G503" i="1"/>
  <c r="F503" i="1"/>
  <c r="S502" i="1"/>
  <c r="R502" i="1"/>
  <c r="Q502" i="1"/>
  <c r="N502" i="1"/>
  <c r="H502" i="1"/>
  <c r="G502" i="1"/>
  <c r="F502" i="1"/>
  <c r="S501" i="1"/>
  <c r="R501" i="1"/>
  <c r="Q501" i="1"/>
  <c r="N501" i="1"/>
  <c r="H501" i="1"/>
  <c r="G501" i="1"/>
  <c r="F501" i="1"/>
  <c r="S500" i="1"/>
  <c r="R500" i="1"/>
  <c r="Q500" i="1"/>
  <c r="N500" i="1"/>
  <c r="H500" i="1"/>
  <c r="G500" i="1"/>
  <c r="F500" i="1"/>
  <c r="S499" i="1"/>
  <c r="R499" i="1"/>
  <c r="Q499" i="1"/>
  <c r="N499" i="1"/>
  <c r="H499" i="1"/>
  <c r="G499" i="1"/>
  <c r="F499" i="1"/>
  <c r="S498" i="1"/>
  <c r="R498" i="1"/>
  <c r="Q498" i="1"/>
  <c r="N498" i="1"/>
  <c r="H498" i="1"/>
  <c r="G498" i="1"/>
  <c r="F498" i="1"/>
  <c r="S497" i="1"/>
  <c r="R497" i="1"/>
  <c r="Q497" i="1"/>
  <c r="N497" i="1"/>
  <c r="H497" i="1"/>
  <c r="G497" i="1"/>
  <c r="F497" i="1"/>
  <c r="S496" i="1"/>
  <c r="R496" i="1"/>
  <c r="Q496" i="1"/>
  <c r="N496" i="1"/>
  <c r="H496" i="1"/>
  <c r="G496" i="1"/>
  <c r="F496" i="1"/>
  <c r="S495" i="1"/>
  <c r="R495" i="1"/>
  <c r="Q495" i="1"/>
  <c r="N495" i="1"/>
  <c r="H495" i="1"/>
  <c r="G495" i="1"/>
  <c r="F495" i="1"/>
  <c r="S494" i="1"/>
  <c r="R494" i="1"/>
  <c r="Q494" i="1"/>
  <c r="N494" i="1"/>
  <c r="H494" i="1"/>
  <c r="G494" i="1"/>
  <c r="F494" i="1"/>
  <c r="S493" i="1"/>
  <c r="R493" i="1"/>
  <c r="Q493" i="1"/>
  <c r="N493" i="1"/>
  <c r="H493" i="1"/>
  <c r="G493" i="1"/>
  <c r="F493" i="1"/>
  <c r="S492" i="1"/>
  <c r="R492" i="1"/>
  <c r="Q492" i="1"/>
  <c r="N492" i="1"/>
  <c r="H492" i="1"/>
  <c r="G492" i="1"/>
  <c r="F492" i="1"/>
  <c r="S491" i="1"/>
  <c r="R491" i="1"/>
  <c r="Q491" i="1"/>
  <c r="N491" i="1"/>
  <c r="H491" i="1"/>
  <c r="G491" i="1"/>
  <c r="F491" i="1"/>
  <c r="S490" i="1"/>
  <c r="R490" i="1"/>
  <c r="Q490" i="1"/>
  <c r="N490" i="1"/>
  <c r="H490" i="1"/>
  <c r="G490" i="1"/>
  <c r="F490" i="1"/>
  <c r="S489" i="1"/>
  <c r="R489" i="1"/>
  <c r="Q489" i="1"/>
  <c r="N489" i="1"/>
  <c r="H489" i="1"/>
  <c r="G489" i="1"/>
  <c r="F489" i="1"/>
  <c r="S488" i="1"/>
  <c r="R488" i="1"/>
  <c r="Q488" i="1"/>
  <c r="N488" i="1"/>
  <c r="H488" i="1"/>
  <c r="G488" i="1"/>
  <c r="F488" i="1"/>
  <c r="S487" i="1"/>
  <c r="R487" i="1"/>
  <c r="Q487" i="1"/>
  <c r="N487" i="1"/>
  <c r="H487" i="1"/>
  <c r="G487" i="1"/>
  <c r="F487" i="1"/>
  <c r="S486" i="1"/>
  <c r="R486" i="1"/>
  <c r="Q486" i="1"/>
  <c r="N486" i="1"/>
  <c r="H486" i="1"/>
  <c r="G486" i="1"/>
  <c r="F486" i="1"/>
  <c r="S485" i="1"/>
  <c r="R485" i="1"/>
  <c r="Q485" i="1"/>
  <c r="N485" i="1"/>
  <c r="H485" i="1"/>
  <c r="G485" i="1"/>
  <c r="F485" i="1"/>
  <c r="S484" i="1"/>
  <c r="R484" i="1"/>
  <c r="Q484" i="1"/>
  <c r="N484" i="1"/>
  <c r="H484" i="1"/>
  <c r="G484" i="1"/>
  <c r="F484" i="1"/>
  <c r="S483" i="1"/>
  <c r="R483" i="1"/>
  <c r="Q483" i="1"/>
  <c r="N483" i="1"/>
  <c r="H483" i="1"/>
  <c r="G483" i="1"/>
  <c r="F483" i="1"/>
  <c r="S482" i="1"/>
  <c r="R482" i="1"/>
  <c r="Q482" i="1"/>
  <c r="N482" i="1"/>
  <c r="H482" i="1"/>
  <c r="G482" i="1"/>
  <c r="F482" i="1"/>
  <c r="S481" i="1"/>
  <c r="R481" i="1"/>
  <c r="Q481" i="1"/>
  <c r="N481" i="1"/>
  <c r="H481" i="1"/>
  <c r="G481" i="1"/>
  <c r="F481" i="1"/>
  <c r="S480" i="1"/>
  <c r="R480" i="1"/>
  <c r="Q480" i="1"/>
  <c r="N480" i="1"/>
  <c r="H480" i="1"/>
  <c r="G480" i="1"/>
  <c r="F480" i="1"/>
  <c r="S479" i="1"/>
  <c r="R479" i="1"/>
  <c r="Q479" i="1"/>
  <c r="N479" i="1"/>
  <c r="H479" i="1"/>
  <c r="G479" i="1"/>
  <c r="F479" i="1"/>
  <c r="S478" i="1"/>
  <c r="R478" i="1"/>
  <c r="Q478" i="1"/>
  <c r="N478" i="1"/>
  <c r="H478" i="1"/>
  <c r="G478" i="1"/>
  <c r="F478" i="1"/>
  <c r="S477" i="1"/>
  <c r="R477" i="1"/>
  <c r="Q477" i="1"/>
  <c r="N477" i="1"/>
  <c r="H477" i="1"/>
  <c r="G477" i="1"/>
  <c r="F477" i="1"/>
  <c r="S476" i="1"/>
  <c r="R476" i="1"/>
  <c r="Q476" i="1"/>
  <c r="N476" i="1"/>
  <c r="H476" i="1"/>
  <c r="G476" i="1"/>
  <c r="F476" i="1"/>
  <c r="S475" i="1"/>
  <c r="R475" i="1"/>
  <c r="Q475" i="1"/>
  <c r="N475" i="1"/>
  <c r="H475" i="1"/>
  <c r="G475" i="1"/>
  <c r="F475" i="1"/>
  <c r="S474" i="1"/>
  <c r="R474" i="1"/>
  <c r="Q474" i="1"/>
  <c r="N474" i="1"/>
  <c r="H474" i="1"/>
  <c r="G474" i="1"/>
  <c r="F474" i="1"/>
  <c r="S473" i="1"/>
  <c r="R473" i="1"/>
  <c r="Q473" i="1"/>
  <c r="N473" i="1"/>
  <c r="H473" i="1"/>
  <c r="G473" i="1"/>
  <c r="F473" i="1"/>
  <c r="S472" i="1"/>
  <c r="R472" i="1"/>
  <c r="Q472" i="1"/>
  <c r="N472" i="1"/>
  <c r="H472" i="1"/>
  <c r="G472" i="1"/>
  <c r="F472" i="1"/>
  <c r="S471" i="1"/>
  <c r="R471" i="1"/>
  <c r="Q471" i="1"/>
  <c r="N471" i="1"/>
  <c r="H471" i="1"/>
  <c r="G471" i="1"/>
  <c r="F471" i="1"/>
  <c r="S470" i="1"/>
  <c r="R470" i="1"/>
  <c r="Q470" i="1"/>
  <c r="N470" i="1"/>
  <c r="H470" i="1"/>
  <c r="G470" i="1"/>
  <c r="F470" i="1"/>
  <c r="S469" i="1"/>
  <c r="R469" i="1"/>
  <c r="Q469" i="1"/>
  <c r="N469" i="1"/>
  <c r="H469" i="1"/>
  <c r="G469" i="1"/>
  <c r="F469" i="1"/>
  <c r="S468" i="1"/>
  <c r="R468" i="1"/>
  <c r="Q468" i="1"/>
  <c r="N468" i="1"/>
  <c r="H468" i="1"/>
  <c r="G468" i="1"/>
  <c r="F468" i="1"/>
  <c r="S467" i="1"/>
  <c r="R467" i="1"/>
  <c r="Q467" i="1"/>
  <c r="N467" i="1"/>
  <c r="H467" i="1"/>
  <c r="G467" i="1"/>
  <c r="F467" i="1"/>
  <c r="S466" i="1"/>
  <c r="R466" i="1"/>
  <c r="Q466" i="1"/>
  <c r="N466" i="1"/>
  <c r="H466" i="1"/>
  <c r="G466" i="1"/>
  <c r="F466" i="1"/>
  <c r="S465" i="1"/>
  <c r="R465" i="1"/>
  <c r="Q465" i="1"/>
  <c r="N465" i="1"/>
  <c r="H465" i="1"/>
  <c r="G465" i="1"/>
  <c r="F465" i="1"/>
  <c r="S464" i="1"/>
  <c r="R464" i="1"/>
  <c r="Q464" i="1"/>
  <c r="N464" i="1"/>
  <c r="H464" i="1"/>
  <c r="G464" i="1"/>
  <c r="F464" i="1"/>
  <c r="S463" i="1"/>
  <c r="R463" i="1"/>
  <c r="Q463" i="1"/>
  <c r="N463" i="1"/>
  <c r="H463" i="1"/>
  <c r="G463" i="1"/>
  <c r="F463" i="1"/>
  <c r="S462" i="1"/>
  <c r="R462" i="1"/>
  <c r="Q462" i="1"/>
  <c r="N462" i="1"/>
  <c r="H462" i="1"/>
  <c r="G462" i="1"/>
  <c r="F462" i="1"/>
  <c r="S461" i="1"/>
  <c r="R461" i="1"/>
  <c r="Q461" i="1"/>
  <c r="N461" i="1"/>
  <c r="H461" i="1"/>
  <c r="G461" i="1"/>
  <c r="F461" i="1"/>
  <c r="S460" i="1"/>
  <c r="R460" i="1"/>
  <c r="Q460" i="1"/>
  <c r="N460" i="1"/>
  <c r="H460" i="1"/>
  <c r="G460" i="1"/>
  <c r="F460" i="1"/>
  <c r="S459" i="1"/>
  <c r="R459" i="1"/>
  <c r="Q459" i="1"/>
  <c r="N459" i="1"/>
  <c r="H459" i="1"/>
  <c r="G459" i="1"/>
  <c r="F459" i="1"/>
  <c r="S458" i="1"/>
  <c r="R458" i="1"/>
  <c r="Q458" i="1"/>
  <c r="N458" i="1"/>
  <c r="H458" i="1"/>
  <c r="G458" i="1"/>
  <c r="F458" i="1"/>
  <c r="S457" i="1"/>
  <c r="R457" i="1"/>
  <c r="Q457" i="1"/>
  <c r="N457" i="1"/>
  <c r="H457" i="1"/>
  <c r="G457" i="1"/>
  <c r="F457" i="1"/>
  <c r="S456" i="1"/>
  <c r="R456" i="1"/>
  <c r="Q456" i="1"/>
  <c r="N456" i="1"/>
  <c r="H456" i="1"/>
  <c r="G456" i="1"/>
  <c r="F456" i="1"/>
  <c r="S455" i="1"/>
  <c r="R455" i="1"/>
  <c r="Q455" i="1"/>
  <c r="N455" i="1"/>
  <c r="H455" i="1"/>
  <c r="G455" i="1"/>
  <c r="F455" i="1"/>
  <c r="S454" i="1"/>
  <c r="R454" i="1"/>
  <c r="Q454" i="1"/>
  <c r="N454" i="1"/>
  <c r="H454" i="1"/>
  <c r="G454" i="1"/>
  <c r="F454" i="1"/>
  <c r="S453" i="1"/>
  <c r="R453" i="1"/>
  <c r="Q453" i="1"/>
  <c r="N453" i="1"/>
  <c r="H453" i="1"/>
  <c r="G453" i="1"/>
  <c r="F453" i="1"/>
  <c r="S452" i="1"/>
  <c r="R452" i="1"/>
  <c r="Q452" i="1"/>
  <c r="N452" i="1"/>
  <c r="H452" i="1"/>
  <c r="G452" i="1"/>
  <c r="F452" i="1"/>
  <c r="S451" i="1"/>
  <c r="R451" i="1"/>
  <c r="Q451" i="1"/>
  <c r="N451" i="1"/>
  <c r="H451" i="1"/>
  <c r="G451" i="1"/>
  <c r="F451" i="1"/>
  <c r="S450" i="1"/>
  <c r="R450" i="1"/>
  <c r="Q450" i="1"/>
  <c r="N450" i="1"/>
  <c r="H450" i="1"/>
  <c r="G450" i="1"/>
  <c r="F450" i="1"/>
  <c r="S449" i="1"/>
  <c r="R449" i="1"/>
  <c r="Q449" i="1"/>
  <c r="N449" i="1"/>
  <c r="H449" i="1"/>
  <c r="G449" i="1"/>
  <c r="F449" i="1"/>
  <c r="S448" i="1"/>
  <c r="R448" i="1"/>
  <c r="Q448" i="1"/>
  <c r="N448" i="1"/>
  <c r="H448" i="1"/>
  <c r="G448" i="1"/>
  <c r="F448" i="1"/>
  <c r="S447" i="1"/>
  <c r="R447" i="1"/>
  <c r="Q447" i="1"/>
  <c r="N447" i="1"/>
  <c r="H447" i="1"/>
  <c r="G447" i="1"/>
  <c r="F447" i="1"/>
  <c r="S446" i="1"/>
  <c r="R446" i="1"/>
  <c r="Q446" i="1"/>
  <c r="N446" i="1"/>
  <c r="H446" i="1"/>
  <c r="G446" i="1"/>
  <c r="F446" i="1"/>
  <c r="S445" i="1"/>
  <c r="R445" i="1"/>
  <c r="Q445" i="1"/>
  <c r="N445" i="1"/>
  <c r="H445" i="1"/>
  <c r="G445" i="1"/>
  <c r="F445" i="1"/>
  <c r="S444" i="1"/>
  <c r="R444" i="1"/>
  <c r="Q444" i="1"/>
  <c r="N444" i="1"/>
  <c r="H444" i="1"/>
  <c r="G444" i="1"/>
  <c r="F444" i="1"/>
  <c r="S443" i="1"/>
  <c r="R443" i="1"/>
  <c r="Q443" i="1"/>
  <c r="N443" i="1"/>
  <c r="H443" i="1"/>
  <c r="G443" i="1"/>
  <c r="F443" i="1"/>
  <c r="S442" i="1"/>
  <c r="R442" i="1"/>
  <c r="Q442" i="1"/>
  <c r="N442" i="1"/>
  <c r="H442" i="1"/>
  <c r="G442" i="1"/>
  <c r="F442" i="1"/>
  <c r="S441" i="1"/>
  <c r="R441" i="1"/>
  <c r="Q441" i="1"/>
  <c r="N441" i="1"/>
  <c r="H441" i="1"/>
  <c r="G441" i="1"/>
  <c r="F441" i="1"/>
  <c r="S440" i="1"/>
  <c r="R440" i="1"/>
  <c r="Q440" i="1"/>
  <c r="N440" i="1"/>
  <c r="H440" i="1"/>
  <c r="G440" i="1"/>
  <c r="F440" i="1"/>
  <c r="S439" i="1"/>
  <c r="R439" i="1"/>
  <c r="Q439" i="1"/>
  <c r="N439" i="1"/>
  <c r="H439" i="1"/>
  <c r="G439" i="1"/>
  <c r="F439" i="1"/>
  <c r="S438" i="1"/>
  <c r="R438" i="1"/>
  <c r="Q438" i="1"/>
  <c r="N438" i="1"/>
  <c r="H438" i="1"/>
  <c r="G438" i="1"/>
  <c r="F438" i="1"/>
  <c r="S437" i="1"/>
  <c r="R437" i="1"/>
  <c r="Q437" i="1"/>
  <c r="N437" i="1"/>
  <c r="H437" i="1"/>
  <c r="G437" i="1"/>
  <c r="F437" i="1"/>
  <c r="S436" i="1"/>
  <c r="R436" i="1"/>
  <c r="Q436" i="1"/>
  <c r="N436" i="1"/>
  <c r="H436" i="1"/>
  <c r="G436" i="1"/>
  <c r="F436" i="1"/>
  <c r="S435" i="1"/>
  <c r="R435" i="1"/>
  <c r="Q435" i="1"/>
  <c r="N435" i="1"/>
  <c r="H435" i="1"/>
  <c r="G435" i="1"/>
  <c r="F435" i="1"/>
  <c r="S434" i="1"/>
  <c r="R434" i="1"/>
  <c r="Q434" i="1"/>
  <c r="N434" i="1"/>
  <c r="H434" i="1"/>
  <c r="G434" i="1"/>
  <c r="F434" i="1"/>
  <c r="S433" i="1"/>
  <c r="R433" i="1"/>
  <c r="Q433" i="1"/>
  <c r="N433" i="1"/>
  <c r="H433" i="1"/>
  <c r="G433" i="1"/>
  <c r="F433" i="1"/>
  <c r="S432" i="1"/>
  <c r="R432" i="1"/>
  <c r="Q432" i="1"/>
  <c r="N432" i="1"/>
  <c r="H432" i="1"/>
  <c r="G432" i="1"/>
  <c r="F432" i="1"/>
  <c r="S431" i="1"/>
  <c r="R431" i="1"/>
  <c r="Q431" i="1"/>
  <c r="N431" i="1"/>
  <c r="H431" i="1"/>
  <c r="G431" i="1"/>
  <c r="F431" i="1"/>
  <c r="S430" i="1"/>
  <c r="R430" i="1"/>
  <c r="Q430" i="1"/>
  <c r="N430" i="1"/>
  <c r="H430" i="1"/>
  <c r="G430" i="1"/>
  <c r="F430" i="1"/>
  <c r="S429" i="1"/>
  <c r="R429" i="1"/>
  <c r="Q429" i="1"/>
  <c r="N429" i="1"/>
  <c r="H429" i="1"/>
  <c r="G429" i="1"/>
  <c r="F429" i="1"/>
  <c r="S428" i="1"/>
  <c r="R428" i="1"/>
  <c r="Q428" i="1"/>
  <c r="N428" i="1"/>
  <c r="H428" i="1"/>
  <c r="G428" i="1"/>
  <c r="F428" i="1"/>
  <c r="S427" i="1"/>
  <c r="R427" i="1"/>
  <c r="Q427" i="1"/>
  <c r="N427" i="1"/>
  <c r="H427" i="1"/>
  <c r="G427" i="1"/>
  <c r="F427" i="1"/>
  <c r="S426" i="1"/>
  <c r="R426" i="1"/>
  <c r="Q426" i="1"/>
  <c r="N426" i="1"/>
  <c r="H426" i="1"/>
  <c r="G426" i="1"/>
  <c r="F426" i="1"/>
  <c r="S425" i="1"/>
  <c r="R425" i="1"/>
  <c r="Q425" i="1"/>
  <c r="N425" i="1"/>
  <c r="H425" i="1"/>
  <c r="G425" i="1"/>
  <c r="F425" i="1"/>
  <c r="S424" i="1"/>
  <c r="R424" i="1"/>
  <c r="Q424" i="1"/>
  <c r="N424" i="1"/>
  <c r="H424" i="1"/>
  <c r="G424" i="1"/>
  <c r="F424" i="1"/>
  <c r="S423" i="1"/>
  <c r="R423" i="1"/>
  <c r="Q423" i="1"/>
  <c r="N423" i="1"/>
  <c r="H423" i="1"/>
  <c r="G423" i="1"/>
  <c r="F423" i="1"/>
  <c r="S422" i="1"/>
  <c r="R422" i="1"/>
  <c r="Q422" i="1"/>
  <c r="N422" i="1"/>
  <c r="H422" i="1"/>
  <c r="G422" i="1"/>
  <c r="F422" i="1"/>
  <c r="S421" i="1"/>
  <c r="R421" i="1"/>
  <c r="Q421" i="1"/>
  <c r="N421" i="1"/>
  <c r="H421" i="1"/>
  <c r="G421" i="1"/>
  <c r="F421" i="1"/>
  <c r="S420" i="1"/>
  <c r="R420" i="1"/>
  <c r="Q420" i="1"/>
  <c r="N420" i="1"/>
  <c r="H420" i="1"/>
  <c r="G420" i="1"/>
  <c r="F420" i="1"/>
  <c r="S419" i="1"/>
  <c r="R419" i="1"/>
  <c r="Q419" i="1"/>
  <c r="N419" i="1"/>
  <c r="H419" i="1"/>
  <c r="G419" i="1"/>
  <c r="F419" i="1"/>
  <c r="S418" i="1"/>
  <c r="R418" i="1"/>
  <c r="Q418" i="1"/>
  <c r="N418" i="1"/>
  <c r="H418" i="1"/>
  <c r="G418" i="1"/>
  <c r="F418" i="1"/>
  <c r="S417" i="1"/>
  <c r="R417" i="1"/>
  <c r="Q417" i="1"/>
  <c r="N417" i="1"/>
  <c r="H417" i="1"/>
  <c r="G417" i="1"/>
  <c r="F417" i="1"/>
  <c r="S416" i="1"/>
  <c r="R416" i="1"/>
  <c r="Q416" i="1"/>
  <c r="N416" i="1"/>
  <c r="H416" i="1"/>
  <c r="G416" i="1"/>
  <c r="F416" i="1"/>
  <c r="S415" i="1"/>
  <c r="R415" i="1"/>
  <c r="Q415" i="1"/>
  <c r="N415" i="1"/>
  <c r="H415" i="1"/>
  <c r="G415" i="1"/>
  <c r="F415" i="1"/>
  <c r="S414" i="1"/>
  <c r="R414" i="1"/>
  <c r="Q414" i="1"/>
  <c r="N414" i="1"/>
  <c r="H414" i="1"/>
  <c r="G414" i="1"/>
  <c r="F414" i="1"/>
  <c r="S413" i="1"/>
  <c r="R413" i="1"/>
  <c r="Q413" i="1"/>
  <c r="N413" i="1"/>
  <c r="H413" i="1"/>
  <c r="G413" i="1"/>
  <c r="F413" i="1"/>
  <c r="S412" i="1"/>
  <c r="R412" i="1"/>
  <c r="Q412" i="1"/>
  <c r="N412" i="1"/>
  <c r="H412" i="1"/>
  <c r="G412" i="1"/>
  <c r="F412" i="1"/>
  <c r="S411" i="1"/>
  <c r="R411" i="1"/>
  <c r="Q411" i="1"/>
  <c r="N411" i="1"/>
  <c r="H411" i="1"/>
  <c r="G411" i="1"/>
  <c r="F411" i="1"/>
  <c r="S410" i="1"/>
  <c r="R410" i="1"/>
  <c r="Q410" i="1"/>
  <c r="N410" i="1"/>
  <c r="H410" i="1"/>
  <c r="G410" i="1"/>
  <c r="F410" i="1"/>
  <c r="S409" i="1"/>
  <c r="R409" i="1"/>
  <c r="Q409" i="1"/>
  <c r="N409" i="1"/>
  <c r="H409" i="1"/>
  <c r="G409" i="1"/>
  <c r="F409" i="1"/>
  <c r="S408" i="1"/>
  <c r="R408" i="1"/>
  <c r="Q408" i="1"/>
  <c r="N408" i="1"/>
  <c r="H408" i="1"/>
  <c r="G408" i="1"/>
  <c r="F408" i="1"/>
  <c r="S407" i="1"/>
  <c r="R407" i="1"/>
  <c r="Q407" i="1"/>
  <c r="N407" i="1"/>
  <c r="H407" i="1"/>
  <c r="G407" i="1"/>
  <c r="F407" i="1"/>
  <c r="S406" i="1"/>
  <c r="R406" i="1"/>
  <c r="Q406" i="1"/>
  <c r="N406" i="1"/>
  <c r="H406" i="1"/>
  <c r="G406" i="1"/>
  <c r="F406" i="1"/>
  <c r="S405" i="1"/>
  <c r="R405" i="1"/>
  <c r="Q405" i="1"/>
  <c r="N405" i="1"/>
  <c r="H405" i="1"/>
  <c r="G405" i="1"/>
  <c r="F405" i="1"/>
  <c r="S404" i="1"/>
  <c r="R404" i="1"/>
  <c r="Q404" i="1"/>
  <c r="N404" i="1"/>
  <c r="H404" i="1"/>
  <c r="G404" i="1"/>
  <c r="F404" i="1"/>
  <c r="S403" i="1"/>
  <c r="R403" i="1"/>
  <c r="Q403" i="1"/>
  <c r="N403" i="1"/>
  <c r="H403" i="1"/>
  <c r="G403" i="1"/>
  <c r="F403" i="1"/>
  <c r="S402" i="1"/>
  <c r="R402" i="1"/>
  <c r="Q402" i="1"/>
  <c r="N402" i="1"/>
  <c r="H402" i="1"/>
  <c r="G402" i="1"/>
  <c r="F402" i="1"/>
  <c r="S401" i="1"/>
  <c r="R401" i="1"/>
  <c r="Q401" i="1"/>
  <c r="N401" i="1"/>
  <c r="H401" i="1"/>
  <c r="G401" i="1"/>
  <c r="F401" i="1"/>
  <c r="S400" i="1"/>
  <c r="R400" i="1"/>
  <c r="Q400" i="1"/>
  <c r="N400" i="1"/>
  <c r="H400" i="1"/>
  <c r="G400" i="1"/>
  <c r="F400" i="1"/>
  <c r="S399" i="1"/>
  <c r="R399" i="1"/>
  <c r="Q399" i="1"/>
  <c r="N399" i="1"/>
  <c r="H399" i="1"/>
  <c r="G399" i="1"/>
  <c r="F399" i="1"/>
  <c r="S398" i="1"/>
  <c r="R398" i="1"/>
  <c r="Q398" i="1"/>
  <c r="N398" i="1"/>
  <c r="H398" i="1"/>
  <c r="G398" i="1"/>
  <c r="F398" i="1"/>
  <c r="S397" i="1"/>
  <c r="R397" i="1"/>
  <c r="Q397" i="1"/>
  <c r="N397" i="1"/>
  <c r="H397" i="1"/>
  <c r="G397" i="1"/>
  <c r="F397" i="1"/>
  <c r="S396" i="1"/>
  <c r="R396" i="1"/>
  <c r="Q396" i="1"/>
  <c r="N396" i="1"/>
  <c r="H396" i="1"/>
  <c r="G396" i="1"/>
  <c r="F396" i="1"/>
  <c r="S395" i="1"/>
  <c r="R395" i="1"/>
  <c r="Q395" i="1"/>
  <c r="N395" i="1"/>
  <c r="H395" i="1"/>
  <c r="G395" i="1"/>
  <c r="F395" i="1"/>
  <c r="S394" i="1"/>
  <c r="R394" i="1"/>
  <c r="Q394" i="1"/>
  <c r="N394" i="1"/>
  <c r="H394" i="1"/>
  <c r="G394" i="1"/>
  <c r="F394" i="1"/>
  <c r="S393" i="1"/>
  <c r="R393" i="1"/>
  <c r="Q393" i="1"/>
  <c r="N393" i="1"/>
  <c r="H393" i="1"/>
  <c r="G393" i="1"/>
  <c r="F393" i="1"/>
  <c r="S392" i="1"/>
  <c r="R392" i="1"/>
  <c r="Q392" i="1"/>
  <c r="N392" i="1"/>
  <c r="H392" i="1"/>
  <c r="G392" i="1"/>
  <c r="F392" i="1"/>
  <c r="S391" i="1"/>
  <c r="R391" i="1"/>
  <c r="Q391" i="1"/>
  <c r="N391" i="1"/>
  <c r="H391" i="1"/>
  <c r="G391" i="1"/>
  <c r="F391" i="1"/>
  <c r="S390" i="1"/>
  <c r="R390" i="1"/>
  <c r="Q390" i="1"/>
  <c r="N390" i="1"/>
  <c r="H390" i="1"/>
  <c r="G390" i="1"/>
  <c r="F390" i="1"/>
  <c r="S389" i="1"/>
  <c r="R389" i="1"/>
  <c r="Q389" i="1"/>
  <c r="N389" i="1"/>
  <c r="H389" i="1"/>
  <c r="G389" i="1"/>
  <c r="F389" i="1"/>
  <c r="S388" i="1"/>
  <c r="R388" i="1"/>
  <c r="Q388" i="1"/>
  <c r="N388" i="1"/>
  <c r="H388" i="1"/>
  <c r="G388" i="1"/>
  <c r="F388" i="1"/>
  <c r="S387" i="1"/>
  <c r="R387" i="1"/>
  <c r="Q387" i="1"/>
  <c r="N387" i="1"/>
  <c r="H387" i="1"/>
  <c r="G387" i="1"/>
  <c r="F387" i="1"/>
  <c r="S386" i="1"/>
  <c r="R386" i="1"/>
  <c r="Q386" i="1"/>
  <c r="N386" i="1"/>
  <c r="H386" i="1"/>
  <c r="G386" i="1"/>
  <c r="F386" i="1"/>
  <c r="S385" i="1"/>
  <c r="R385" i="1"/>
  <c r="Q385" i="1"/>
  <c r="N385" i="1"/>
  <c r="H385" i="1"/>
  <c r="G385" i="1"/>
  <c r="F385" i="1"/>
  <c r="S384" i="1"/>
  <c r="R384" i="1"/>
  <c r="Q384" i="1"/>
  <c r="N384" i="1"/>
  <c r="H384" i="1"/>
  <c r="G384" i="1"/>
  <c r="F384" i="1"/>
  <c r="S383" i="1"/>
  <c r="R383" i="1"/>
  <c r="Q383" i="1"/>
  <c r="N383" i="1"/>
  <c r="H383" i="1"/>
  <c r="G383" i="1"/>
  <c r="F383" i="1"/>
  <c r="S382" i="1"/>
  <c r="R382" i="1"/>
  <c r="Q382" i="1"/>
  <c r="N382" i="1"/>
  <c r="H382" i="1"/>
  <c r="G382" i="1"/>
  <c r="F382" i="1"/>
  <c r="S381" i="1"/>
  <c r="R381" i="1"/>
  <c r="Q381" i="1"/>
  <c r="N381" i="1"/>
  <c r="H381" i="1"/>
  <c r="G381" i="1"/>
  <c r="F381" i="1"/>
  <c r="S380" i="1"/>
  <c r="R380" i="1"/>
  <c r="Q380" i="1"/>
  <c r="N380" i="1"/>
  <c r="H380" i="1"/>
  <c r="G380" i="1"/>
  <c r="F380" i="1"/>
  <c r="S379" i="1"/>
  <c r="R379" i="1"/>
  <c r="Q379" i="1"/>
  <c r="N379" i="1"/>
  <c r="H379" i="1"/>
  <c r="G379" i="1"/>
  <c r="F379" i="1"/>
  <c r="S378" i="1"/>
  <c r="R378" i="1"/>
  <c r="Q378" i="1"/>
  <c r="N378" i="1"/>
  <c r="H378" i="1"/>
  <c r="G378" i="1"/>
  <c r="F378" i="1"/>
  <c r="S377" i="1"/>
  <c r="R377" i="1"/>
  <c r="Q377" i="1"/>
  <c r="N377" i="1"/>
  <c r="H377" i="1"/>
  <c r="G377" i="1"/>
  <c r="F377" i="1"/>
  <c r="S376" i="1"/>
  <c r="R376" i="1"/>
  <c r="Q376" i="1"/>
  <c r="N376" i="1"/>
  <c r="H376" i="1"/>
  <c r="G376" i="1"/>
  <c r="F376" i="1"/>
  <c r="S375" i="1"/>
  <c r="R375" i="1"/>
  <c r="Q375" i="1"/>
  <c r="N375" i="1"/>
  <c r="H375" i="1"/>
  <c r="G375" i="1"/>
  <c r="F375" i="1"/>
  <c r="S374" i="1"/>
  <c r="R374" i="1"/>
  <c r="Q374" i="1"/>
  <c r="N374" i="1"/>
  <c r="H374" i="1"/>
  <c r="G374" i="1"/>
  <c r="F374" i="1"/>
  <c r="S373" i="1"/>
  <c r="R373" i="1"/>
  <c r="Q373" i="1"/>
  <c r="N373" i="1"/>
  <c r="H373" i="1"/>
  <c r="G373" i="1"/>
  <c r="F373" i="1"/>
  <c r="S372" i="1"/>
  <c r="R372" i="1"/>
  <c r="Q372" i="1"/>
  <c r="N372" i="1"/>
  <c r="H372" i="1"/>
  <c r="G372" i="1"/>
  <c r="F372" i="1"/>
  <c r="S371" i="1"/>
  <c r="R371" i="1"/>
  <c r="Q371" i="1"/>
  <c r="N371" i="1"/>
  <c r="H371" i="1"/>
  <c r="G371" i="1"/>
  <c r="F371" i="1"/>
  <c r="S370" i="1"/>
  <c r="R370" i="1"/>
  <c r="Q370" i="1"/>
  <c r="N370" i="1"/>
  <c r="H370" i="1"/>
  <c r="G370" i="1"/>
  <c r="F370" i="1"/>
  <c r="S369" i="1"/>
  <c r="R369" i="1"/>
  <c r="Q369" i="1"/>
  <c r="N369" i="1"/>
  <c r="H369" i="1"/>
  <c r="G369" i="1"/>
  <c r="F369" i="1"/>
  <c r="S368" i="1"/>
  <c r="R368" i="1"/>
  <c r="Q368" i="1"/>
  <c r="N368" i="1"/>
  <c r="H368" i="1"/>
  <c r="G368" i="1"/>
  <c r="F368" i="1"/>
  <c r="S367" i="1"/>
  <c r="R367" i="1"/>
  <c r="Q367" i="1"/>
  <c r="N367" i="1"/>
  <c r="H367" i="1"/>
  <c r="G367" i="1"/>
  <c r="F367" i="1"/>
  <c r="S366" i="1"/>
  <c r="R366" i="1"/>
  <c r="Q366" i="1"/>
  <c r="N366" i="1"/>
  <c r="H366" i="1"/>
  <c r="G366" i="1"/>
  <c r="F366" i="1"/>
  <c r="S365" i="1"/>
  <c r="R365" i="1"/>
  <c r="Q365" i="1"/>
  <c r="N365" i="1"/>
  <c r="H365" i="1"/>
  <c r="G365" i="1"/>
  <c r="F365" i="1"/>
  <c r="S364" i="1"/>
  <c r="R364" i="1"/>
  <c r="Q364" i="1"/>
  <c r="N364" i="1"/>
  <c r="H364" i="1"/>
  <c r="G364" i="1"/>
  <c r="F364" i="1"/>
  <c r="S363" i="1"/>
  <c r="R363" i="1"/>
  <c r="Q363" i="1"/>
  <c r="N363" i="1"/>
  <c r="H363" i="1"/>
  <c r="G363" i="1"/>
  <c r="F363" i="1"/>
  <c r="S362" i="1"/>
  <c r="R362" i="1"/>
  <c r="Q362" i="1"/>
  <c r="N362" i="1"/>
  <c r="H362" i="1"/>
  <c r="G362" i="1"/>
  <c r="F362" i="1"/>
  <c r="S361" i="1"/>
  <c r="R361" i="1"/>
  <c r="Q361" i="1"/>
  <c r="N361" i="1"/>
  <c r="H361" i="1"/>
  <c r="G361" i="1"/>
  <c r="F361" i="1"/>
  <c r="S360" i="1"/>
  <c r="R360" i="1"/>
  <c r="Q360" i="1"/>
  <c r="N360" i="1"/>
  <c r="H360" i="1"/>
  <c r="G360" i="1"/>
  <c r="F360" i="1"/>
  <c r="S359" i="1"/>
  <c r="R359" i="1"/>
  <c r="Q359" i="1"/>
  <c r="N359" i="1"/>
  <c r="H359" i="1"/>
  <c r="G359" i="1"/>
  <c r="F359" i="1"/>
  <c r="S358" i="1"/>
  <c r="R358" i="1"/>
  <c r="Q358" i="1"/>
  <c r="N358" i="1"/>
  <c r="H358" i="1"/>
  <c r="G358" i="1"/>
  <c r="F358" i="1"/>
  <c r="S357" i="1"/>
  <c r="R357" i="1"/>
  <c r="Q357" i="1"/>
  <c r="N357" i="1"/>
  <c r="H357" i="1"/>
  <c r="G357" i="1"/>
  <c r="F357" i="1"/>
  <c r="S356" i="1"/>
  <c r="R356" i="1"/>
  <c r="Q356" i="1"/>
  <c r="N356" i="1"/>
  <c r="H356" i="1"/>
  <c r="G356" i="1"/>
  <c r="F356" i="1"/>
  <c r="S355" i="1"/>
  <c r="R355" i="1"/>
  <c r="Q355" i="1"/>
  <c r="N355" i="1"/>
  <c r="H355" i="1"/>
  <c r="G355" i="1"/>
  <c r="F355" i="1"/>
  <c r="S354" i="1"/>
  <c r="R354" i="1"/>
  <c r="Q354" i="1"/>
  <c r="N354" i="1"/>
  <c r="H354" i="1"/>
  <c r="G354" i="1"/>
  <c r="F354" i="1"/>
  <c r="S353" i="1"/>
  <c r="R353" i="1"/>
  <c r="Q353" i="1"/>
  <c r="N353" i="1"/>
  <c r="H353" i="1"/>
  <c r="G353" i="1"/>
  <c r="F353" i="1"/>
  <c r="S352" i="1"/>
  <c r="R352" i="1"/>
  <c r="Q352" i="1"/>
  <c r="N352" i="1"/>
  <c r="H352" i="1"/>
  <c r="G352" i="1"/>
  <c r="F352" i="1"/>
  <c r="S351" i="1"/>
  <c r="R351" i="1"/>
  <c r="Q351" i="1"/>
  <c r="N351" i="1"/>
  <c r="H351" i="1"/>
  <c r="G351" i="1"/>
  <c r="F351" i="1"/>
  <c r="S350" i="1"/>
  <c r="R350" i="1"/>
  <c r="Q350" i="1"/>
  <c r="N350" i="1"/>
  <c r="H350" i="1"/>
  <c r="G350" i="1"/>
  <c r="F350" i="1"/>
  <c r="S349" i="1"/>
  <c r="R349" i="1"/>
  <c r="Q349" i="1"/>
  <c r="N349" i="1"/>
  <c r="H349" i="1"/>
  <c r="G349" i="1"/>
  <c r="F349" i="1"/>
  <c r="S348" i="1"/>
  <c r="R348" i="1"/>
  <c r="Q348" i="1"/>
  <c r="N348" i="1"/>
  <c r="H348" i="1"/>
  <c r="G348" i="1"/>
  <c r="F348" i="1"/>
  <c r="S347" i="1"/>
  <c r="R347" i="1"/>
  <c r="Q347" i="1"/>
  <c r="N347" i="1"/>
  <c r="H347" i="1"/>
  <c r="G347" i="1"/>
  <c r="F347" i="1"/>
  <c r="S346" i="1"/>
  <c r="R346" i="1"/>
  <c r="Q346" i="1"/>
  <c r="N346" i="1"/>
  <c r="H346" i="1"/>
  <c r="G346" i="1"/>
  <c r="F346" i="1"/>
  <c r="S345" i="1"/>
  <c r="R345" i="1"/>
  <c r="Q345" i="1"/>
  <c r="N345" i="1"/>
  <c r="H345" i="1"/>
  <c r="G345" i="1"/>
  <c r="F345" i="1"/>
  <c r="S344" i="1"/>
  <c r="R344" i="1"/>
  <c r="Q344" i="1"/>
  <c r="N344" i="1"/>
  <c r="H344" i="1"/>
  <c r="G344" i="1"/>
  <c r="F344" i="1"/>
  <c r="S343" i="1"/>
  <c r="R343" i="1"/>
  <c r="Q343" i="1"/>
  <c r="N343" i="1"/>
  <c r="H343" i="1"/>
  <c r="G343" i="1"/>
  <c r="F343" i="1"/>
  <c r="S342" i="1"/>
  <c r="R342" i="1"/>
  <c r="Q342" i="1"/>
  <c r="N342" i="1"/>
  <c r="H342" i="1"/>
  <c r="G342" i="1"/>
  <c r="F342" i="1"/>
  <c r="S341" i="1"/>
  <c r="R341" i="1"/>
  <c r="Q341" i="1"/>
  <c r="N341" i="1"/>
  <c r="H341" i="1"/>
  <c r="G341" i="1"/>
  <c r="F341" i="1"/>
  <c r="S340" i="1"/>
  <c r="R340" i="1"/>
  <c r="Q340" i="1"/>
  <c r="N340" i="1"/>
  <c r="H340" i="1"/>
  <c r="G340" i="1"/>
  <c r="F340" i="1"/>
  <c r="S339" i="1"/>
  <c r="R339" i="1"/>
  <c r="Q339" i="1"/>
  <c r="N339" i="1"/>
  <c r="H339" i="1"/>
  <c r="G339" i="1"/>
  <c r="F339" i="1"/>
  <c r="S338" i="1"/>
  <c r="R338" i="1"/>
  <c r="Q338" i="1"/>
  <c r="N338" i="1"/>
  <c r="H338" i="1"/>
  <c r="G338" i="1"/>
  <c r="F338" i="1"/>
  <c r="S337" i="1"/>
  <c r="R337" i="1"/>
  <c r="Q337" i="1"/>
  <c r="N337" i="1"/>
  <c r="H337" i="1"/>
  <c r="G337" i="1"/>
  <c r="F337" i="1"/>
  <c r="S336" i="1"/>
  <c r="R336" i="1"/>
  <c r="Q336" i="1"/>
  <c r="N336" i="1"/>
  <c r="H336" i="1"/>
  <c r="G336" i="1"/>
  <c r="F336" i="1"/>
  <c r="S335" i="1"/>
  <c r="R335" i="1"/>
  <c r="Q335" i="1"/>
  <c r="N335" i="1"/>
  <c r="H335" i="1"/>
  <c r="G335" i="1"/>
  <c r="F335" i="1"/>
  <c r="S334" i="1"/>
  <c r="R334" i="1"/>
  <c r="Q334" i="1"/>
  <c r="N334" i="1"/>
  <c r="H334" i="1"/>
  <c r="G334" i="1"/>
  <c r="F334" i="1"/>
  <c r="S333" i="1"/>
  <c r="R333" i="1"/>
  <c r="Q333" i="1"/>
  <c r="N333" i="1"/>
  <c r="H333" i="1"/>
  <c r="G333" i="1"/>
  <c r="F333" i="1"/>
  <c r="S332" i="1"/>
  <c r="R332" i="1"/>
  <c r="Q332" i="1"/>
  <c r="N332" i="1"/>
  <c r="H332" i="1"/>
  <c r="G332" i="1"/>
  <c r="F332" i="1"/>
  <c r="S331" i="1"/>
  <c r="R331" i="1"/>
  <c r="Q331" i="1"/>
  <c r="N331" i="1"/>
  <c r="H331" i="1"/>
  <c r="G331" i="1"/>
  <c r="F331" i="1"/>
  <c r="S330" i="1"/>
  <c r="R330" i="1"/>
  <c r="Q330" i="1"/>
  <c r="N330" i="1"/>
  <c r="H330" i="1"/>
  <c r="G330" i="1"/>
  <c r="F330" i="1"/>
  <c r="S329" i="1"/>
  <c r="R329" i="1"/>
  <c r="Q329" i="1"/>
  <c r="N329" i="1"/>
  <c r="H329" i="1"/>
  <c r="G329" i="1"/>
  <c r="F329" i="1"/>
  <c r="S328" i="1"/>
  <c r="R328" i="1"/>
  <c r="Q328" i="1"/>
  <c r="N328" i="1"/>
  <c r="H328" i="1"/>
  <c r="G328" i="1"/>
  <c r="F328" i="1"/>
  <c r="S327" i="1"/>
  <c r="R327" i="1"/>
  <c r="Q327" i="1"/>
  <c r="N327" i="1"/>
  <c r="H327" i="1"/>
  <c r="G327" i="1"/>
  <c r="F327" i="1"/>
  <c r="S326" i="1"/>
  <c r="R326" i="1"/>
  <c r="Q326" i="1"/>
  <c r="N326" i="1"/>
  <c r="H326" i="1"/>
  <c r="G326" i="1"/>
  <c r="F326" i="1"/>
  <c r="S325" i="1"/>
  <c r="R325" i="1"/>
  <c r="Q325" i="1"/>
  <c r="N325" i="1"/>
  <c r="H325" i="1"/>
  <c r="G325" i="1"/>
  <c r="F325" i="1"/>
  <c r="S324" i="1"/>
  <c r="R324" i="1"/>
  <c r="Q324" i="1"/>
  <c r="N324" i="1"/>
  <c r="H324" i="1"/>
  <c r="G324" i="1"/>
  <c r="F324" i="1"/>
  <c r="S323" i="1"/>
  <c r="R323" i="1"/>
  <c r="Q323" i="1"/>
  <c r="N323" i="1"/>
  <c r="H323" i="1"/>
  <c r="G323" i="1"/>
  <c r="F323" i="1"/>
  <c r="S322" i="1"/>
  <c r="R322" i="1"/>
  <c r="Q322" i="1"/>
  <c r="N322" i="1"/>
  <c r="H322" i="1"/>
  <c r="G322" i="1"/>
  <c r="F322" i="1"/>
  <c r="S321" i="1"/>
  <c r="R321" i="1"/>
  <c r="Q321" i="1"/>
  <c r="N321" i="1"/>
  <c r="H321" i="1"/>
  <c r="G321" i="1"/>
  <c r="F321" i="1"/>
  <c r="S320" i="1"/>
  <c r="R320" i="1"/>
  <c r="Q320" i="1"/>
  <c r="N320" i="1"/>
  <c r="H320" i="1"/>
  <c r="G320" i="1"/>
  <c r="F320" i="1"/>
  <c r="S319" i="1"/>
  <c r="R319" i="1"/>
  <c r="Q319" i="1"/>
  <c r="N319" i="1"/>
  <c r="H319" i="1"/>
  <c r="G319" i="1"/>
  <c r="F319" i="1"/>
  <c r="S318" i="1"/>
  <c r="R318" i="1"/>
  <c r="Q318" i="1"/>
  <c r="N318" i="1"/>
  <c r="H318" i="1"/>
  <c r="G318" i="1"/>
  <c r="F318" i="1"/>
  <c r="S317" i="1"/>
  <c r="R317" i="1"/>
  <c r="Q317" i="1"/>
  <c r="N317" i="1"/>
  <c r="H317" i="1"/>
  <c r="G317" i="1"/>
  <c r="F317" i="1"/>
  <c r="S316" i="1"/>
  <c r="R316" i="1"/>
  <c r="Q316" i="1"/>
  <c r="N316" i="1"/>
  <c r="H316" i="1"/>
  <c r="G316" i="1"/>
  <c r="F316" i="1"/>
  <c r="S315" i="1"/>
  <c r="R315" i="1"/>
  <c r="Q315" i="1"/>
  <c r="N315" i="1"/>
  <c r="H315" i="1"/>
  <c r="G315" i="1"/>
  <c r="F315" i="1"/>
  <c r="S314" i="1"/>
  <c r="R314" i="1"/>
  <c r="Q314" i="1"/>
  <c r="N314" i="1"/>
  <c r="H314" i="1"/>
  <c r="G314" i="1"/>
  <c r="F314" i="1"/>
  <c r="S313" i="1"/>
  <c r="R313" i="1"/>
  <c r="Q313" i="1"/>
  <c r="N313" i="1"/>
  <c r="H313" i="1"/>
  <c r="G313" i="1"/>
  <c r="F313" i="1"/>
  <c r="S312" i="1"/>
  <c r="R312" i="1"/>
  <c r="Q312" i="1"/>
  <c r="N312" i="1"/>
  <c r="H312" i="1"/>
  <c r="G312" i="1"/>
  <c r="F312" i="1"/>
  <c r="S311" i="1"/>
  <c r="R311" i="1"/>
  <c r="Q311" i="1"/>
  <c r="N311" i="1"/>
  <c r="H311" i="1"/>
  <c r="G311" i="1"/>
  <c r="F311" i="1"/>
  <c r="S310" i="1"/>
  <c r="R310" i="1"/>
  <c r="Q310" i="1"/>
  <c r="N310" i="1"/>
  <c r="H310" i="1"/>
  <c r="G310" i="1"/>
  <c r="F310" i="1"/>
  <c r="S309" i="1"/>
  <c r="R309" i="1"/>
  <c r="Q309" i="1"/>
  <c r="N309" i="1"/>
  <c r="H309" i="1"/>
  <c r="G309" i="1"/>
  <c r="F309" i="1"/>
  <c r="S308" i="1"/>
  <c r="R308" i="1"/>
  <c r="Q308" i="1"/>
  <c r="N308" i="1"/>
  <c r="H308" i="1"/>
  <c r="G308" i="1"/>
  <c r="F308" i="1"/>
  <c r="S307" i="1"/>
  <c r="R307" i="1"/>
  <c r="Q307" i="1"/>
  <c r="N307" i="1"/>
  <c r="H307" i="1"/>
  <c r="G307" i="1"/>
  <c r="F307" i="1"/>
  <c r="S306" i="1"/>
  <c r="R306" i="1"/>
  <c r="Q306" i="1"/>
  <c r="N306" i="1"/>
  <c r="H306" i="1"/>
  <c r="G306" i="1"/>
  <c r="F306" i="1"/>
  <c r="S305" i="1"/>
  <c r="R305" i="1"/>
  <c r="Q305" i="1"/>
  <c r="N305" i="1"/>
  <c r="H305" i="1"/>
  <c r="G305" i="1"/>
  <c r="F305" i="1"/>
  <c r="S304" i="1"/>
  <c r="R304" i="1"/>
  <c r="Q304" i="1"/>
  <c r="N304" i="1"/>
  <c r="H304" i="1"/>
  <c r="G304" i="1"/>
  <c r="F304" i="1"/>
  <c r="S303" i="1"/>
  <c r="R303" i="1"/>
  <c r="Q303" i="1"/>
  <c r="N303" i="1"/>
  <c r="H303" i="1"/>
  <c r="G303" i="1"/>
  <c r="F303" i="1"/>
  <c r="S302" i="1"/>
  <c r="R302" i="1"/>
  <c r="Q302" i="1"/>
  <c r="N302" i="1"/>
  <c r="H302" i="1"/>
  <c r="G302" i="1"/>
  <c r="F302" i="1"/>
  <c r="S301" i="1"/>
  <c r="R301" i="1"/>
  <c r="Q301" i="1"/>
  <c r="N301" i="1"/>
  <c r="H301" i="1"/>
  <c r="G301" i="1"/>
  <c r="F301" i="1"/>
  <c r="S300" i="1"/>
  <c r="R300" i="1"/>
  <c r="Q300" i="1"/>
  <c r="N300" i="1"/>
  <c r="H300" i="1"/>
  <c r="G300" i="1"/>
  <c r="F300" i="1"/>
  <c r="S299" i="1"/>
  <c r="R299" i="1"/>
  <c r="Q299" i="1"/>
  <c r="N299" i="1"/>
  <c r="H299" i="1"/>
  <c r="G299" i="1"/>
  <c r="F299" i="1"/>
  <c r="S298" i="1"/>
  <c r="R298" i="1"/>
  <c r="Q298" i="1"/>
  <c r="N298" i="1"/>
  <c r="H298" i="1"/>
  <c r="G298" i="1"/>
  <c r="F298" i="1"/>
  <c r="S297" i="1"/>
  <c r="R297" i="1"/>
  <c r="Q297" i="1"/>
  <c r="N297" i="1"/>
  <c r="H297" i="1"/>
  <c r="G297" i="1"/>
  <c r="F297" i="1"/>
  <c r="S296" i="1"/>
  <c r="R296" i="1"/>
  <c r="Q296" i="1"/>
  <c r="N296" i="1"/>
  <c r="H296" i="1"/>
  <c r="G296" i="1"/>
  <c r="F296" i="1"/>
  <c r="S295" i="1"/>
  <c r="R295" i="1"/>
  <c r="Q295" i="1"/>
  <c r="N295" i="1"/>
  <c r="H295" i="1"/>
  <c r="G295" i="1"/>
  <c r="F295" i="1"/>
  <c r="S294" i="1"/>
  <c r="R294" i="1"/>
  <c r="Q294" i="1"/>
  <c r="N294" i="1"/>
  <c r="H294" i="1"/>
  <c r="G294" i="1"/>
  <c r="F294" i="1"/>
  <c r="S293" i="1"/>
  <c r="R293" i="1"/>
  <c r="Q293" i="1"/>
  <c r="N293" i="1"/>
  <c r="H293" i="1"/>
  <c r="G293" i="1"/>
  <c r="F293" i="1"/>
  <c r="S292" i="1"/>
  <c r="R292" i="1"/>
  <c r="Q292" i="1"/>
  <c r="N292" i="1"/>
  <c r="H292" i="1"/>
  <c r="G292" i="1"/>
  <c r="F292" i="1"/>
  <c r="S291" i="1"/>
  <c r="R291" i="1"/>
  <c r="Q291" i="1"/>
  <c r="N291" i="1"/>
  <c r="H291" i="1"/>
  <c r="G291" i="1"/>
  <c r="F291" i="1"/>
  <c r="S290" i="1"/>
  <c r="R290" i="1"/>
  <c r="Q290" i="1"/>
  <c r="N290" i="1"/>
  <c r="H290" i="1"/>
  <c r="G290" i="1"/>
  <c r="F290" i="1"/>
  <c r="S289" i="1"/>
  <c r="R289" i="1"/>
  <c r="Q289" i="1"/>
  <c r="N289" i="1"/>
  <c r="H289" i="1"/>
  <c r="G289" i="1"/>
  <c r="F289" i="1"/>
  <c r="S288" i="1"/>
  <c r="R288" i="1"/>
  <c r="Q288" i="1"/>
  <c r="N288" i="1"/>
  <c r="H288" i="1"/>
  <c r="G288" i="1"/>
  <c r="F288" i="1"/>
  <c r="S287" i="1"/>
  <c r="R287" i="1"/>
  <c r="Q287" i="1"/>
  <c r="N287" i="1"/>
  <c r="H287" i="1"/>
  <c r="G287" i="1"/>
  <c r="F287" i="1"/>
  <c r="S286" i="1"/>
  <c r="R286" i="1"/>
  <c r="Q286" i="1"/>
  <c r="N286" i="1"/>
  <c r="H286" i="1"/>
  <c r="G286" i="1"/>
  <c r="F286" i="1"/>
  <c r="S285" i="1"/>
  <c r="R285" i="1"/>
  <c r="Q285" i="1"/>
  <c r="N285" i="1"/>
  <c r="H285" i="1"/>
  <c r="G285" i="1"/>
  <c r="F285" i="1"/>
  <c r="S284" i="1"/>
  <c r="R284" i="1"/>
  <c r="Q284" i="1"/>
  <c r="N284" i="1"/>
  <c r="H284" i="1"/>
  <c r="G284" i="1"/>
  <c r="F284" i="1"/>
  <c r="S283" i="1"/>
  <c r="R283" i="1"/>
  <c r="Q283" i="1"/>
  <c r="N283" i="1"/>
  <c r="H283" i="1"/>
  <c r="G283" i="1"/>
  <c r="F283" i="1"/>
  <c r="S282" i="1"/>
  <c r="R282" i="1"/>
  <c r="Q282" i="1"/>
  <c r="N282" i="1"/>
  <c r="H282" i="1"/>
  <c r="G282" i="1"/>
  <c r="F282" i="1"/>
  <c r="S281" i="1"/>
  <c r="R281" i="1"/>
  <c r="Q281" i="1"/>
  <c r="N281" i="1"/>
  <c r="H281" i="1"/>
  <c r="G281" i="1"/>
  <c r="F281" i="1"/>
  <c r="S280" i="1"/>
  <c r="R280" i="1"/>
  <c r="Q280" i="1"/>
  <c r="N280" i="1"/>
  <c r="H280" i="1"/>
  <c r="G280" i="1"/>
  <c r="F280" i="1"/>
  <c r="S279" i="1"/>
  <c r="R279" i="1"/>
  <c r="Q279" i="1"/>
  <c r="N279" i="1"/>
  <c r="H279" i="1"/>
  <c r="G279" i="1"/>
  <c r="F279" i="1"/>
  <c r="S278" i="1"/>
  <c r="R278" i="1"/>
  <c r="Q278" i="1"/>
  <c r="N278" i="1"/>
  <c r="H278" i="1"/>
  <c r="G278" i="1"/>
  <c r="F278" i="1"/>
  <c r="S277" i="1"/>
  <c r="R277" i="1"/>
  <c r="Q277" i="1"/>
  <c r="N277" i="1"/>
  <c r="H277" i="1"/>
  <c r="G277" i="1"/>
  <c r="F277" i="1"/>
  <c r="S276" i="1"/>
  <c r="R276" i="1"/>
  <c r="Q276" i="1"/>
  <c r="N276" i="1"/>
  <c r="H276" i="1"/>
  <c r="G276" i="1"/>
  <c r="F276" i="1"/>
  <c r="S275" i="1"/>
  <c r="R275" i="1"/>
  <c r="Q275" i="1"/>
  <c r="N275" i="1"/>
  <c r="H275" i="1"/>
  <c r="G275" i="1"/>
  <c r="F275" i="1"/>
  <c r="S274" i="1"/>
  <c r="R274" i="1"/>
  <c r="Q274" i="1"/>
  <c r="N274" i="1"/>
  <c r="H274" i="1"/>
  <c r="G274" i="1"/>
  <c r="F274" i="1"/>
  <c r="S273" i="1"/>
  <c r="R273" i="1"/>
  <c r="Q273" i="1"/>
  <c r="N273" i="1"/>
  <c r="H273" i="1"/>
  <c r="G273" i="1"/>
  <c r="F273" i="1"/>
  <c r="S272" i="1"/>
  <c r="R272" i="1"/>
  <c r="Q272" i="1"/>
  <c r="N272" i="1"/>
  <c r="H272" i="1"/>
  <c r="G272" i="1"/>
  <c r="F272" i="1"/>
  <c r="S271" i="1"/>
  <c r="R271" i="1"/>
  <c r="Q271" i="1"/>
  <c r="N271" i="1"/>
  <c r="H271" i="1"/>
  <c r="G271" i="1"/>
  <c r="F271" i="1"/>
  <c r="S270" i="1"/>
  <c r="R270" i="1"/>
  <c r="Q270" i="1"/>
  <c r="N270" i="1"/>
  <c r="H270" i="1"/>
  <c r="G270" i="1"/>
  <c r="F270" i="1"/>
  <c r="S269" i="1"/>
  <c r="R269" i="1"/>
  <c r="Q269" i="1"/>
  <c r="N269" i="1"/>
  <c r="H269" i="1"/>
  <c r="G269" i="1"/>
  <c r="F269" i="1"/>
  <c r="S268" i="1"/>
  <c r="R268" i="1"/>
  <c r="Q268" i="1"/>
  <c r="N268" i="1"/>
  <c r="H268" i="1"/>
  <c r="G268" i="1"/>
  <c r="F268" i="1"/>
  <c r="S267" i="1"/>
  <c r="R267" i="1"/>
  <c r="Q267" i="1"/>
  <c r="N267" i="1"/>
  <c r="H267" i="1"/>
  <c r="G267" i="1"/>
  <c r="F267" i="1"/>
  <c r="S266" i="1"/>
  <c r="R266" i="1"/>
  <c r="Q266" i="1"/>
  <c r="N266" i="1"/>
  <c r="H266" i="1"/>
  <c r="G266" i="1"/>
  <c r="F266" i="1"/>
  <c r="S265" i="1"/>
  <c r="R265" i="1"/>
  <c r="Q265" i="1"/>
  <c r="N265" i="1"/>
  <c r="H265" i="1"/>
  <c r="G265" i="1"/>
  <c r="F265" i="1"/>
  <c r="S264" i="1"/>
  <c r="R264" i="1"/>
  <c r="Q264" i="1"/>
  <c r="N264" i="1"/>
  <c r="H264" i="1"/>
  <c r="G264" i="1"/>
  <c r="F264" i="1"/>
  <c r="S263" i="1"/>
  <c r="R263" i="1"/>
  <c r="Q263" i="1"/>
  <c r="N263" i="1"/>
  <c r="H263" i="1"/>
  <c r="G263" i="1"/>
  <c r="F263" i="1"/>
  <c r="S262" i="1"/>
  <c r="R262" i="1"/>
  <c r="Q262" i="1"/>
  <c r="N262" i="1"/>
  <c r="H262" i="1"/>
  <c r="G262" i="1"/>
  <c r="F262" i="1"/>
  <c r="S261" i="1"/>
  <c r="R261" i="1"/>
  <c r="Q261" i="1"/>
  <c r="N261" i="1"/>
  <c r="H261" i="1"/>
  <c r="G261" i="1"/>
  <c r="F261" i="1"/>
  <c r="S260" i="1"/>
  <c r="R260" i="1"/>
  <c r="Q260" i="1"/>
  <c r="N260" i="1"/>
  <c r="H260" i="1"/>
  <c r="G260" i="1"/>
  <c r="F260" i="1"/>
  <c r="S259" i="1"/>
  <c r="R259" i="1"/>
  <c r="Q259" i="1"/>
  <c r="N259" i="1"/>
  <c r="H259" i="1"/>
  <c r="G259" i="1"/>
  <c r="F259" i="1"/>
  <c r="S258" i="1"/>
  <c r="R258" i="1"/>
  <c r="Q258" i="1"/>
  <c r="N258" i="1"/>
  <c r="H258" i="1"/>
  <c r="G258" i="1"/>
  <c r="F258" i="1"/>
  <c r="S257" i="1"/>
  <c r="R257" i="1"/>
  <c r="Q257" i="1"/>
  <c r="N257" i="1"/>
  <c r="H257" i="1"/>
  <c r="G257" i="1"/>
  <c r="F257" i="1"/>
  <c r="S256" i="1"/>
  <c r="R256" i="1"/>
  <c r="Q256" i="1"/>
  <c r="N256" i="1"/>
  <c r="H256" i="1"/>
  <c r="G256" i="1"/>
  <c r="F256" i="1"/>
  <c r="S255" i="1"/>
  <c r="R255" i="1"/>
  <c r="Q255" i="1"/>
  <c r="N255" i="1"/>
  <c r="H255" i="1"/>
  <c r="G255" i="1"/>
  <c r="F255" i="1"/>
  <c r="S254" i="1"/>
  <c r="R254" i="1"/>
  <c r="Q254" i="1"/>
  <c r="N254" i="1"/>
  <c r="H254" i="1"/>
  <c r="G254" i="1"/>
  <c r="F254" i="1"/>
  <c r="S253" i="1"/>
  <c r="R253" i="1"/>
  <c r="Q253" i="1"/>
  <c r="N253" i="1"/>
  <c r="H253" i="1"/>
  <c r="G253" i="1"/>
  <c r="F253" i="1"/>
  <c r="S252" i="1"/>
  <c r="R252" i="1"/>
  <c r="Q252" i="1"/>
  <c r="N252" i="1"/>
  <c r="H252" i="1"/>
  <c r="G252" i="1"/>
  <c r="F252" i="1"/>
  <c r="S251" i="1"/>
  <c r="R251" i="1"/>
  <c r="Q251" i="1"/>
  <c r="N251" i="1"/>
  <c r="H251" i="1"/>
  <c r="G251" i="1"/>
  <c r="F251" i="1"/>
  <c r="S250" i="1"/>
  <c r="R250" i="1"/>
  <c r="Q250" i="1"/>
  <c r="N250" i="1"/>
  <c r="H250" i="1"/>
  <c r="G250" i="1"/>
  <c r="F250" i="1"/>
  <c r="S249" i="1"/>
  <c r="R249" i="1"/>
  <c r="Q249" i="1"/>
  <c r="N249" i="1"/>
  <c r="H249" i="1"/>
  <c r="G249" i="1"/>
  <c r="F249" i="1"/>
  <c r="S248" i="1"/>
  <c r="R248" i="1"/>
  <c r="Q248" i="1"/>
  <c r="N248" i="1"/>
  <c r="H248" i="1"/>
  <c r="G248" i="1"/>
  <c r="F248" i="1"/>
  <c r="S247" i="1"/>
  <c r="R247" i="1"/>
  <c r="Q247" i="1"/>
  <c r="N247" i="1"/>
  <c r="H247" i="1"/>
  <c r="G247" i="1"/>
  <c r="F247" i="1"/>
  <c r="S246" i="1"/>
  <c r="R246" i="1"/>
  <c r="Q246" i="1"/>
  <c r="N246" i="1"/>
  <c r="H246" i="1"/>
  <c r="G246" i="1"/>
  <c r="F246" i="1"/>
  <c r="S245" i="1"/>
  <c r="R245" i="1"/>
  <c r="Q245" i="1"/>
  <c r="N245" i="1"/>
  <c r="H245" i="1"/>
  <c r="G245" i="1"/>
  <c r="F245" i="1"/>
  <c r="S244" i="1"/>
  <c r="R244" i="1"/>
  <c r="Q244" i="1"/>
  <c r="N244" i="1"/>
  <c r="H244" i="1"/>
  <c r="G244" i="1"/>
  <c r="F244" i="1"/>
  <c r="S243" i="1"/>
  <c r="R243" i="1"/>
  <c r="Q243" i="1"/>
  <c r="N243" i="1"/>
  <c r="H243" i="1"/>
  <c r="G243" i="1"/>
  <c r="F243" i="1"/>
  <c r="S242" i="1"/>
  <c r="R242" i="1"/>
  <c r="Q242" i="1"/>
  <c r="N242" i="1"/>
  <c r="H242" i="1"/>
  <c r="G242" i="1"/>
  <c r="F242" i="1"/>
  <c r="S241" i="1"/>
  <c r="R241" i="1"/>
  <c r="Q241" i="1"/>
  <c r="N241" i="1"/>
  <c r="H241" i="1"/>
  <c r="G241" i="1"/>
  <c r="F241" i="1"/>
  <c r="S240" i="1"/>
  <c r="R240" i="1"/>
  <c r="Q240" i="1"/>
  <c r="N240" i="1"/>
  <c r="H240" i="1"/>
  <c r="G240" i="1"/>
  <c r="F240" i="1"/>
  <c r="S239" i="1"/>
  <c r="R239" i="1"/>
  <c r="Q239" i="1"/>
  <c r="N239" i="1"/>
  <c r="H239" i="1"/>
  <c r="G239" i="1"/>
  <c r="F239" i="1"/>
  <c r="S238" i="1"/>
  <c r="R238" i="1"/>
  <c r="Q238" i="1"/>
  <c r="N238" i="1"/>
  <c r="H238" i="1"/>
  <c r="G238" i="1"/>
  <c r="F238" i="1"/>
  <c r="S237" i="1"/>
  <c r="R237" i="1"/>
  <c r="Q237" i="1"/>
  <c r="N237" i="1"/>
  <c r="H237" i="1"/>
  <c r="G237" i="1"/>
  <c r="F237" i="1"/>
  <c r="S236" i="1"/>
  <c r="R236" i="1"/>
  <c r="Q236" i="1"/>
  <c r="N236" i="1"/>
  <c r="H236" i="1"/>
  <c r="G236" i="1"/>
  <c r="F236" i="1"/>
  <c r="S235" i="1"/>
  <c r="R235" i="1"/>
  <c r="Q235" i="1"/>
  <c r="N235" i="1"/>
  <c r="H235" i="1"/>
  <c r="G235" i="1"/>
  <c r="F235" i="1"/>
  <c r="S234" i="1"/>
  <c r="R234" i="1"/>
  <c r="Q234" i="1"/>
  <c r="N234" i="1"/>
  <c r="H234" i="1"/>
  <c r="G234" i="1"/>
  <c r="F234" i="1"/>
  <c r="S233" i="1"/>
  <c r="R233" i="1"/>
  <c r="Q233" i="1"/>
  <c r="N233" i="1"/>
  <c r="H233" i="1"/>
  <c r="G233" i="1"/>
  <c r="F233" i="1"/>
  <c r="S232" i="1"/>
  <c r="R232" i="1"/>
  <c r="Q232" i="1"/>
  <c r="N232" i="1"/>
  <c r="H232" i="1"/>
  <c r="G232" i="1"/>
  <c r="F232" i="1"/>
  <c r="S231" i="1"/>
  <c r="R231" i="1"/>
  <c r="Q231" i="1"/>
  <c r="N231" i="1"/>
  <c r="H231" i="1"/>
  <c r="G231" i="1"/>
  <c r="F231" i="1"/>
  <c r="S230" i="1"/>
  <c r="R230" i="1"/>
  <c r="Q230" i="1"/>
  <c r="N230" i="1"/>
  <c r="H230" i="1"/>
  <c r="G230" i="1"/>
  <c r="F230" i="1"/>
  <c r="S229" i="1"/>
  <c r="R229" i="1"/>
  <c r="Q229" i="1"/>
  <c r="N229" i="1"/>
  <c r="H229" i="1"/>
  <c r="G229" i="1"/>
  <c r="F229" i="1"/>
  <c r="S228" i="1"/>
  <c r="R228" i="1"/>
  <c r="Q228" i="1"/>
  <c r="N228" i="1"/>
  <c r="H228" i="1"/>
  <c r="G228" i="1"/>
  <c r="F228" i="1"/>
  <c r="S227" i="1"/>
  <c r="R227" i="1"/>
  <c r="Q227" i="1"/>
  <c r="N227" i="1"/>
  <c r="H227" i="1"/>
  <c r="G227" i="1"/>
  <c r="F227" i="1"/>
  <c r="S226" i="1"/>
  <c r="R226" i="1"/>
  <c r="Q226" i="1"/>
  <c r="N226" i="1"/>
  <c r="H226" i="1"/>
  <c r="G226" i="1"/>
  <c r="F226" i="1"/>
  <c r="S225" i="1"/>
  <c r="R225" i="1"/>
  <c r="Q225" i="1"/>
  <c r="N225" i="1"/>
  <c r="H225" i="1"/>
  <c r="G225" i="1"/>
  <c r="F225" i="1"/>
  <c r="S224" i="1"/>
  <c r="R224" i="1"/>
  <c r="Q224" i="1"/>
  <c r="N224" i="1"/>
  <c r="H224" i="1"/>
  <c r="G224" i="1"/>
  <c r="F224" i="1"/>
  <c r="S223" i="1"/>
  <c r="R223" i="1"/>
  <c r="Q223" i="1"/>
  <c r="N223" i="1"/>
  <c r="H223" i="1"/>
  <c r="G223" i="1"/>
  <c r="F223" i="1"/>
  <c r="S222" i="1"/>
  <c r="R222" i="1"/>
  <c r="Q222" i="1"/>
  <c r="N222" i="1"/>
  <c r="H222" i="1"/>
  <c r="G222" i="1"/>
  <c r="F222" i="1"/>
  <c r="S221" i="1"/>
  <c r="R221" i="1"/>
  <c r="Q221" i="1"/>
  <c r="N221" i="1"/>
  <c r="H221" i="1"/>
  <c r="G221" i="1"/>
  <c r="F221" i="1"/>
  <c r="S220" i="1"/>
  <c r="R220" i="1"/>
  <c r="Q220" i="1"/>
  <c r="N220" i="1"/>
  <c r="H220" i="1"/>
  <c r="G220" i="1"/>
  <c r="F220" i="1"/>
  <c r="S219" i="1"/>
  <c r="R219" i="1"/>
  <c r="Q219" i="1"/>
  <c r="N219" i="1"/>
  <c r="H219" i="1"/>
  <c r="G219" i="1"/>
  <c r="F219" i="1"/>
  <c r="S218" i="1"/>
  <c r="R218" i="1"/>
  <c r="Q218" i="1"/>
  <c r="N218" i="1"/>
  <c r="H218" i="1"/>
  <c r="G218" i="1"/>
  <c r="F218" i="1"/>
  <c r="S217" i="1"/>
  <c r="R217" i="1"/>
  <c r="Q217" i="1"/>
  <c r="N217" i="1"/>
  <c r="H217" i="1"/>
  <c r="G217" i="1"/>
  <c r="F217" i="1"/>
  <c r="S216" i="1"/>
  <c r="R216" i="1"/>
  <c r="Q216" i="1"/>
  <c r="N216" i="1"/>
  <c r="H216" i="1"/>
  <c r="G216" i="1"/>
  <c r="F216" i="1"/>
  <c r="S215" i="1"/>
  <c r="R215" i="1"/>
  <c r="Q215" i="1"/>
  <c r="N215" i="1"/>
  <c r="H215" i="1"/>
  <c r="G215" i="1"/>
  <c r="F215" i="1"/>
  <c r="S214" i="1"/>
  <c r="R214" i="1"/>
  <c r="Q214" i="1"/>
  <c r="N214" i="1"/>
  <c r="H214" i="1"/>
  <c r="G214" i="1"/>
  <c r="F214" i="1"/>
  <c r="S213" i="1"/>
  <c r="R213" i="1"/>
  <c r="Q213" i="1"/>
  <c r="N213" i="1"/>
  <c r="H213" i="1"/>
  <c r="G213" i="1"/>
  <c r="F213" i="1"/>
  <c r="S212" i="1"/>
  <c r="R212" i="1"/>
  <c r="Q212" i="1"/>
  <c r="N212" i="1"/>
  <c r="H212" i="1"/>
  <c r="G212" i="1"/>
  <c r="F212" i="1"/>
  <c r="S211" i="1"/>
  <c r="R211" i="1"/>
  <c r="Q211" i="1"/>
  <c r="N211" i="1"/>
  <c r="H211" i="1"/>
  <c r="G211" i="1"/>
  <c r="F211" i="1"/>
  <c r="S210" i="1"/>
  <c r="R210" i="1"/>
  <c r="Q210" i="1"/>
  <c r="N210" i="1"/>
  <c r="H210" i="1"/>
  <c r="G210" i="1"/>
  <c r="F210" i="1"/>
  <c r="S209" i="1"/>
  <c r="R209" i="1"/>
  <c r="Q209" i="1"/>
  <c r="N209" i="1"/>
  <c r="H209" i="1"/>
  <c r="G209" i="1"/>
  <c r="F209" i="1"/>
  <c r="S208" i="1"/>
  <c r="R208" i="1"/>
  <c r="Q208" i="1"/>
  <c r="N208" i="1"/>
  <c r="H208" i="1"/>
  <c r="G208" i="1"/>
  <c r="F208" i="1"/>
  <c r="S207" i="1"/>
  <c r="R207" i="1"/>
  <c r="Q207" i="1"/>
  <c r="N207" i="1"/>
  <c r="H207" i="1"/>
  <c r="G207" i="1"/>
  <c r="F207" i="1"/>
  <c r="S206" i="1"/>
  <c r="R206" i="1"/>
  <c r="Q206" i="1"/>
  <c r="N206" i="1"/>
  <c r="H206" i="1"/>
  <c r="G206" i="1"/>
  <c r="F206" i="1"/>
  <c r="S205" i="1"/>
  <c r="R205" i="1"/>
  <c r="Q205" i="1"/>
  <c r="N205" i="1"/>
  <c r="H205" i="1"/>
  <c r="G205" i="1"/>
  <c r="F205" i="1"/>
  <c r="S204" i="1"/>
  <c r="R204" i="1"/>
  <c r="Q204" i="1"/>
  <c r="N204" i="1"/>
  <c r="H204" i="1"/>
  <c r="G204" i="1"/>
  <c r="F204" i="1"/>
  <c r="S203" i="1"/>
  <c r="R203" i="1"/>
  <c r="Q203" i="1"/>
  <c r="N203" i="1"/>
  <c r="H203" i="1"/>
  <c r="G203" i="1"/>
  <c r="F203" i="1"/>
  <c r="S202" i="1"/>
  <c r="R202" i="1"/>
  <c r="Q202" i="1"/>
  <c r="N202" i="1"/>
  <c r="H202" i="1"/>
  <c r="G202" i="1"/>
  <c r="F202" i="1"/>
  <c r="S201" i="1"/>
  <c r="R201" i="1"/>
  <c r="Q201" i="1"/>
  <c r="N201" i="1"/>
  <c r="H201" i="1"/>
  <c r="G201" i="1"/>
  <c r="F201" i="1"/>
  <c r="S200" i="1"/>
  <c r="R200" i="1"/>
  <c r="Q200" i="1"/>
  <c r="N200" i="1"/>
  <c r="H200" i="1"/>
  <c r="G200" i="1"/>
  <c r="F200" i="1"/>
  <c r="S199" i="1"/>
  <c r="R199" i="1"/>
  <c r="Q199" i="1"/>
  <c r="N199" i="1"/>
  <c r="H199" i="1"/>
  <c r="G199" i="1"/>
  <c r="F199" i="1"/>
  <c r="S198" i="1"/>
  <c r="R198" i="1"/>
  <c r="Q198" i="1"/>
  <c r="N198" i="1"/>
  <c r="H198" i="1"/>
  <c r="G198" i="1"/>
  <c r="F198" i="1"/>
  <c r="S197" i="1"/>
  <c r="R197" i="1"/>
  <c r="Q197" i="1"/>
  <c r="N197" i="1"/>
  <c r="H197" i="1"/>
  <c r="G197" i="1"/>
  <c r="F197" i="1"/>
  <c r="S196" i="1"/>
  <c r="R196" i="1"/>
  <c r="Q196" i="1"/>
  <c r="N196" i="1"/>
  <c r="H196" i="1"/>
  <c r="G196" i="1"/>
  <c r="F196" i="1"/>
  <c r="S195" i="1"/>
  <c r="R195" i="1"/>
  <c r="Q195" i="1"/>
  <c r="N195" i="1"/>
  <c r="H195" i="1"/>
  <c r="G195" i="1"/>
  <c r="F195" i="1"/>
  <c r="S194" i="1"/>
  <c r="R194" i="1"/>
  <c r="Q194" i="1"/>
  <c r="N194" i="1"/>
  <c r="H194" i="1"/>
  <c r="G194" i="1"/>
  <c r="F194" i="1"/>
  <c r="S193" i="1"/>
  <c r="R193" i="1"/>
  <c r="Q193" i="1"/>
  <c r="N193" i="1"/>
  <c r="H193" i="1"/>
  <c r="G193" i="1"/>
  <c r="F193" i="1"/>
  <c r="S192" i="1"/>
  <c r="R192" i="1"/>
  <c r="Q192" i="1"/>
  <c r="N192" i="1"/>
  <c r="H192" i="1"/>
  <c r="G192" i="1"/>
  <c r="F192" i="1"/>
  <c r="S191" i="1"/>
  <c r="R191" i="1"/>
  <c r="Q191" i="1"/>
  <c r="N191" i="1"/>
  <c r="H191" i="1"/>
  <c r="G191" i="1"/>
  <c r="F191" i="1"/>
  <c r="S190" i="1"/>
  <c r="R190" i="1"/>
  <c r="Q190" i="1"/>
  <c r="N190" i="1"/>
  <c r="H190" i="1"/>
  <c r="G190" i="1"/>
  <c r="F190" i="1"/>
  <c r="S189" i="1"/>
  <c r="R189" i="1"/>
  <c r="Q189" i="1"/>
  <c r="N189" i="1"/>
  <c r="H189" i="1"/>
  <c r="G189" i="1"/>
  <c r="F189" i="1"/>
  <c r="S188" i="1"/>
  <c r="R188" i="1"/>
  <c r="Q188" i="1"/>
  <c r="N188" i="1"/>
  <c r="H188" i="1"/>
  <c r="G188" i="1"/>
  <c r="F188" i="1"/>
  <c r="S187" i="1"/>
  <c r="R187" i="1"/>
  <c r="Q187" i="1"/>
  <c r="N187" i="1"/>
  <c r="H187" i="1"/>
  <c r="G187" i="1"/>
  <c r="F187" i="1"/>
  <c r="S186" i="1"/>
  <c r="R186" i="1"/>
  <c r="Q186" i="1"/>
  <c r="N186" i="1"/>
  <c r="H186" i="1"/>
  <c r="G186" i="1"/>
  <c r="F186" i="1"/>
  <c r="S185" i="1"/>
  <c r="R185" i="1"/>
  <c r="Q185" i="1"/>
  <c r="N185" i="1"/>
  <c r="H185" i="1"/>
  <c r="G185" i="1"/>
  <c r="F185" i="1"/>
  <c r="S184" i="1"/>
  <c r="R184" i="1"/>
  <c r="Q184" i="1"/>
  <c r="N184" i="1"/>
  <c r="H184" i="1"/>
  <c r="G184" i="1"/>
  <c r="F184" i="1"/>
  <c r="S183" i="1"/>
  <c r="R183" i="1"/>
  <c r="Q183" i="1"/>
  <c r="N183" i="1"/>
  <c r="H183" i="1"/>
  <c r="G183" i="1"/>
  <c r="F183" i="1"/>
  <c r="S182" i="1"/>
  <c r="R182" i="1"/>
  <c r="Q182" i="1"/>
  <c r="N182" i="1"/>
  <c r="H182" i="1"/>
  <c r="G182" i="1"/>
  <c r="F182" i="1"/>
  <c r="S181" i="1"/>
  <c r="R181" i="1"/>
  <c r="Q181" i="1"/>
  <c r="N181" i="1"/>
  <c r="H181" i="1"/>
  <c r="G181" i="1"/>
  <c r="F181" i="1"/>
  <c r="S180" i="1"/>
  <c r="R180" i="1"/>
  <c r="Q180" i="1"/>
  <c r="N180" i="1"/>
  <c r="H180" i="1"/>
  <c r="G180" i="1"/>
  <c r="F180" i="1"/>
  <c r="S179" i="1"/>
  <c r="R179" i="1"/>
  <c r="Q179" i="1"/>
  <c r="N179" i="1"/>
  <c r="H179" i="1"/>
  <c r="G179" i="1"/>
  <c r="F179" i="1"/>
  <c r="S178" i="1"/>
  <c r="R178" i="1"/>
  <c r="Q178" i="1"/>
  <c r="N178" i="1"/>
  <c r="H178" i="1"/>
  <c r="G178" i="1"/>
  <c r="F178" i="1"/>
  <c r="S177" i="1"/>
  <c r="R177" i="1"/>
  <c r="Q177" i="1"/>
  <c r="N177" i="1"/>
  <c r="H177" i="1"/>
  <c r="G177" i="1"/>
  <c r="F177" i="1"/>
  <c r="S176" i="1"/>
  <c r="R176" i="1"/>
  <c r="Q176" i="1"/>
  <c r="N176" i="1"/>
  <c r="H176" i="1"/>
  <c r="G176" i="1"/>
  <c r="F176" i="1"/>
  <c r="S175" i="1"/>
  <c r="R175" i="1"/>
  <c r="Q175" i="1"/>
  <c r="N175" i="1"/>
  <c r="H175" i="1"/>
  <c r="G175" i="1"/>
  <c r="F175" i="1"/>
  <c r="S174" i="1"/>
  <c r="R174" i="1"/>
  <c r="Q174" i="1"/>
  <c r="N174" i="1"/>
  <c r="H174" i="1"/>
  <c r="G174" i="1"/>
  <c r="F174" i="1"/>
  <c r="S173" i="1"/>
  <c r="R173" i="1"/>
  <c r="Q173" i="1"/>
  <c r="N173" i="1"/>
  <c r="H173" i="1"/>
  <c r="G173" i="1"/>
  <c r="F173" i="1"/>
  <c r="S172" i="1"/>
  <c r="R172" i="1"/>
  <c r="Q172" i="1"/>
  <c r="N172" i="1"/>
  <c r="H172" i="1"/>
  <c r="G172" i="1"/>
  <c r="F172" i="1"/>
  <c r="S171" i="1"/>
  <c r="R171" i="1"/>
  <c r="Q171" i="1"/>
  <c r="N171" i="1"/>
  <c r="H171" i="1"/>
  <c r="G171" i="1"/>
  <c r="F171" i="1"/>
  <c r="S170" i="1"/>
  <c r="R170" i="1"/>
  <c r="Q170" i="1"/>
  <c r="N170" i="1"/>
  <c r="H170" i="1"/>
  <c r="G170" i="1"/>
  <c r="F170" i="1"/>
  <c r="S169" i="1"/>
  <c r="R169" i="1"/>
  <c r="Q169" i="1"/>
  <c r="N169" i="1"/>
  <c r="H169" i="1"/>
  <c r="G169" i="1"/>
  <c r="F169" i="1"/>
  <c r="S168" i="1"/>
  <c r="R168" i="1"/>
  <c r="Q168" i="1"/>
  <c r="N168" i="1"/>
  <c r="H168" i="1"/>
  <c r="G168" i="1"/>
  <c r="F168" i="1"/>
  <c r="S167" i="1"/>
  <c r="R167" i="1"/>
  <c r="Q167" i="1"/>
  <c r="N167" i="1"/>
  <c r="H167" i="1"/>
  <c r="G167" i="1"/>
  <c r="F167" i="1"/>
  <c r="S166" i="1"/>
  <c r="R166" i="1"/>
  <c r="Q166" i="1"/>
  <c r="N166" i="1"/>
  <c r="H166" i="1"/>
  <c r="G166" i="1"/>
  <c r="F166" i="1"/>
  <c r="S165" i="1"/>
  <c r="R165" i="1"/>
  <c r="Q165" i="1"/>
  <c r="N165" i="1"/>
  <c r="H165" i="1"/>
  <c r="G165" i="1"/>
  <c r="F165" i="1"/>
  <c r="S164" i="1"/>
  <c r="R164" i="1"/>
  <c r="Q164" i="1"/>
  <c r="N164" i="1"/>
  <c r="H164" i="1"/>
  <c r="G164" i="1"/>
  <c r="F164" i="1"/>
  <c r="S163" i="1"/>
  <c r="R163" i="1"/>
  <c r="Q163" i="1"/>
  <c r="N163" i="1"/>
  <c r="H163" i="1"/>
  <c r="G163" i="1"/>
  <c r="F163" i="1"/>
  <c r="S162" i="1"/>
  <c r="R162" i="1"/>
  <c r="Q162" i="1"/>
  <c r="N162" i="1"/>
  <c r="H162" i="1"/>
  <c r="G162" i="1"/>
  <c r="F162" i="1"/>
  <c r="S161" i="1"/>
  <c r="R161" i="1"/>
  <c r="Q161" i="1"/>
  <c r="N161" i="1"/>
  <c r="H161" i="1"/>
  <c r="G161" i="1"/>
  <c r="F161" i="1"/>
  <c r="S160" i="1"/>
  <c r="R160" i="1"/>
  <c r="Q160" i="1"/>
  <c r="N160" i="1"/>
  <c r="H160" i="1"/>
  <c r="G160" i="1"/>
  <c r="F160" i="1"/>
  <c r="S159" i="1"/>
  <c r="R159" i="1"/>
  <c r="Q159" i="1"/>
  <c r="N159" i="1"/>
  <c r="H159" i="1"/>
  <c r="G159" i="1"/>
  <c r="F159" i="1"/>
  <c r="S158" i="1"/>
  <c r="R158" i="1"/>
  <c r="Q158" i="1"/>
  <c r="N158" i="1"/>
  <c r="H158" i="1"/>
  <c r="G158" i="1"/>
  <c r="F158" i="1"/>
  <c r="S157" i="1"/>
  <c r="R157" i="1"/>
  <c r="Q157" i="1"/>
  <c r="N157" i="1"/>
  <c r="H157" i="1"/>
  <c r="G157" i="1"/>
  <c r="F157" i="1"/>
  <c r="S156" i="1"/>
  <c r="R156" i="1"/>
  <c r="Q156" i="1"/>
  <c r="N156" i="1"/>
  <c r="H156" i="1"/>
  <c r="G156" i="1"/>
  <c r="F156" i="1"/>
  <c r="S155" i="1"/>
  <c r="R155" i="1"/>
  <c r="Q155" i="1"/>
  <c r="N155" i="1"/>
  <c r="H155" i="1"/>
  <c r="G155" i="1"/>
  <c r="F155" i="1"/>
  <c r="S154" i="1"/>
  <c r="R154" i="1"/>
  <c r="Q154" i="1"/>
  <c r="N154" i="1"/>
  <c r="H154" i="1"/>
  <c r="G154" i="1"/>
  <c r="F154" i="1"/>
  <c r="S153" i="1"/>
  <c r="R153" i="1"/>
  <c r="Q153" i="1"/>
  <c r="N153" i="1"/>
  <c r="H153" i="1"/>
  <c r="G153" i="1"/>
  <c r="F153" i="1"/>
  <c r="S152" i="1"/>
  <c r="R152" i="1"/>
  <c r="Q152" i="1"/>
  <c r="N152" i="1"/>
  <c r="H152" i="1"/>
  <c r="G152" i="1"/>
  <c r="F152" i="1"/>
  <c r="S151" i="1"/>
  <c r="R151" i="1"/>
  <c r="Q151" i="1"/>
  <c r="N151" i="1"/>
  <c r="H151" i="1"/>
  <c r="G151" i="1"/>
  <c r="F151" i="1"/>
  <c r="S150" i="1"/>
  <c r="R150" i="1"/>
  <c r="Q150" i="1"/>
  <c r="N150" i="1"/>
  <c r="H150" i="1"/>
  <c r="G150" i="1"/>
  <c r="F150" i="1"/>
  <c r="S149" i="1"/>
  <c r="R149" i="1"/>
  <c r="Q149" i="1"/>
  <c r="N149" i="1"/>
  <c r="H149" i="1"/>
  <c r="G149" i="1"/>
  <c r="F149" i="1"/>
  <c r="S148" i="1"/>
  <c r="R148" i="1"/>
  <c r="Q148" i="1"/>
  <c r="N148" i="1"/>
  <c r="H148" i="1"/>
  <c r="G148" i="1"/>
  <c r="F148" i="1"/>
  <c r="S147" i="1"/>
  <c r="R147" i="1"/>
  <c r="Q147" i="1"/>
  <c r="N147" i="1"/>
  <c r="H147" i="1"/>
  <c r="G147" i="1"/>
  <c r="F147" i="1"/>
  <c r="S146" i="1"/>
  <c r="R146" i="1"/>
  <c r="Q146" i="1"/>
  <c r="N146" i="1"/>
  <c r="H146" i="1"/>
  <c r="G146" i="1"/>
  <c r="F146" i="1"/>
  <c r="S145" i="1"/>
  <c r="R145" i="1"/>
  <c r="Q145" i="1"/>
  <c r="N145" i="1"/>
  <c r="H145" i="1"/>
  <c r="G145" i="1"/>
  <c r="F145" i="1"/>
  <c r="S144" i="1"/>
  <c r="R144" i="1"/>
  <c r="Q144" i="1"/>
  <c r="N144" i="1"/>
  <c r="H144" i="1"/>
  <c r="G144" i="1"/>
  <c r="F144" i="1"/>
  <c r="S143" i="1"/>
  <c r="R143" i="1"/>
  <c r="Q143" i="1"/>
  <c r="N143" i="1"/>
  <c r="H143" i="1"/>
  <c r="G143" i="1"/>
  <c r="F143" i="1"/>
  <c r="S142" i="1"/>
  <c r="R142" i="1"/>
  <c r="Q142" i="1"/>
  <c r="N142" i="1"/>
  <c r="H142" i="1"/>
  <c r="G142" i="1"/>
  <c r="F142" i="1"/>
  <c r="S141" i="1"/>
  <c r="R141" i="1"/>
  <c r="Q141" i="1"/>
  <c r="N141" i="1"/>
  <c r="H141" i="1"/>
  <c r="G141" i="1"/>
  <c r="F141" i="1"/>
  <c r="S140" i="1"/>
  <c r="R140" i="1"/>
  <c r="Q140" i="1"/>
  <c r="N140" i="1"/>
  <c r="H140" i="1"/>
  <c r="G140" i="1"/>
  <c r="F140" i="1"/>
  <c r="S139" i="1"/>
  <c r="R139" i="1"/>
  <c r="Q139" i="1"/>
  <c r="N139" i="1"/>
  <c r="H139" i="1"/>
  <c r="G139" i="1"/>
  <c r="F139" i="1"/>
  <c r="S138" i="1"/>
  <c r="R138" i="1"/>
  <c r="Q138" i="1"/>
  <c r="N138" i="1"/>
  <c r="H138" i="1"/>
  <c r="G138" i="1"/>
  <c r="F138" i="1"/>
  <c r="S137" i="1"/>
  <c r="R137" i="1"/>
  <c r="Q137" i="1"/>
  <c r="N137" i="1"/>
  <c r="H137" i="1"/>
  <c r="G137" i="1"/>
  <c r="F137" i="1"/>
  <c r="S136" i="1"/>
  <c r="R136" i="1"/>
  <c r="Q136" i="1"/>
  <c r="N136" i="1"/>
  <c r="H136" i="1"/>
  <c r="G136" i="1"/>
  <c r="F136" i="1"/>
  <c r="S135" i="1"/>
  <c r="R135" i="1"/>
  <c r="Q135" i="1"/>
  <c r="N135" i="1"/>
  <c r="H135" i="1"/>
  <c r="G135" i="1"/>
  <c r="F135" i="1"/>
  <c r="S134" i="1"/>
  <c r="R134" i="1"/>
  <c r="Q134" i="1"/>
  <c r="N134" i="1"/>
  <c r="H134" i="1"/>
  <c r="G134" i="1"/>
  <c r="F134" i="1"/>
  <c r="S133" i="1"/>
  <c r="R133" i="1"/>
  <c r="Q133" i="1"/>
  <c r="N133" i="1"/>
  <c r="H133" i="1"/>
  <c r="G133" i="1"/>
  <c r="F133" i="1"/>
  <c r="S132" i="1"/>
  <c r="R132" i="1"/>
  <c r="Q132" i="1"/>
  <c r="N132" i="1"/>
  <c r="H132" i="1"/>
  <c r="G132" i="1"/>
  <c r="F132" i="1"/>
  <c r="S131" i="1"/>
  <c r="R131" i="1"/>
  <c r="Q131" i="1"/>
  <c r="N131" i="1"/>
  <c r="H131" i="1"/>
  <c r="G131" i="1"/>
  <c r="F131" i="1"/>
  <c r="S130" i="1"/>
  <c r="R130" i="1"/>
  <c r="Q130" i="1"/>
  <c r="N130" i="1"/>
  <c r="H130" i="1"/>
  <c r="G130" i="1"/>
  <c r="F130" i="1"/>
  <c r="S129" i="1"/>
  <c r="R129" i="1"/>
  <c r="Q129" i="1"/>
  <c r="N129" i="1"/>
  <c r="H129" i="1"/>
  <c r="G129" i="1"/>
  <c r="F129" i="1"/>
  <c r="S128" i="1"/>
  <c r="R128" i="1"/>
  <c r="Q128" i="1"/>
  <c r="N128" i="1"/>
  <c r="H128" i="1"/>
  <c r="G128" i="1"/>
  <c r="F128" i="1"/>
  <c r="S127" i="1"/>
  <c r="R127" i="1"/>
  <c r="Q127" i="1"/>
  <c r="N127" i="1"/>
  <c r="H127" i="1"/>
  <c r="G127" i="1"/>
  <c r="F127" i="1"/>
  <c r="S126" i="1"/>
  <c r="R126" i="1"/>
  <c r="Q126" i="1"/>
  <c r="N126" i="1"/>
  <c r="H126" i="1"/>
  <c r="G126" i="1"/>
  <c r="F126" i="1"/>
  <c r="S125" i="1"/>
  <c r="R125" i="1"/>
  <c r="Q125" i="1"/>
  <c r="N125" i="1"/>
  <c r="H125" i="1"/>
  <c r="G125" i="1"/>
  <c r="F125" i="1"/>
  <c r="S124" i="1"/>
  <c r="R124" i="1"/>
  <c r="Q124" i="1"/>
  <c r="N124" i="1"/>
  <c r="H124" i="1"/>
  <c r="G124" i="1"/>
  <c r="F124" i="1"/>
  <c r="S123" i="1"/>
  <c r="R123" i="1"/>
  <c r="Q123" i="1"/>
  <c r="N123" i="1"/>
  <c r="H123" i="1"/>
  <c r="G123" i="1"/>
  <c r="F123" i="1"/>
  <c r="S122" i="1"/>
  <c r="R122" i="1"/>
  <c r="Q122" i="1"/>
  <c r="N122" i="1"/>
  <c r="H122" i="1"/>
  <c r="G122" i="1"/>
  <c r="F122" i="1"/>
  <c r="S121" i="1"/>
  <c r="R121" i="1"/>
  <c r="Q121" i="1"/>
  <c r="N121" i="1"/>
  <c r="H121" i="1"/>
  <c r="G121" i="1"/>
  <c r="F121" i="1"/>
  <c r="S120" i="1"/>
  <c r="R120" i="1"/>
  <c r="Q120" i="1"/>
  <c r="N120" i="1"/>
  <c r="H120" i="1"/>
  <c r="G120" i="1"/>
  <c r="F120" i="1"/>
  <c r="S119" i="1"/>
  <c r="R119" i="1"/>
  <c r="Q119" i="1"/>
  <c r="N119" i="1"/>
  <c r="H119" i="1"/>
  <c r="G119" i="1"/>
  <c r="F119" i="1"/>
  <c r="S118" i="1"/>
  <c r="R118" i="1"/>
  <c r="Q118" i="1"/>
  <c r="N118" i="1"/>
  <c r="H118" i="1"/>
  <c r="G118" i="1"/>
  <c r="F118" i="1"/>
  <c r="S117" i="1"/>
  <c r="R117" i="1"/>
  <c r="Q117" i="1"/>
  <c r="N117" i="1"/>
  <c r="H117" i="1"/>
  <c r="G117" i="1"/>
  <c r="F117" i="1"/>
  <c r="S116" i="1"/>
  <c r="R116" i="1"/>
  <c r="Q116" i="1"/>
  <c r="N116" i="1"/>
  <c r="H116" i="1"/>
  <c r="G116" i="1"/>
  <c r="F116" i="1"/>
  <c r="S115" i="1"/>
  <c r="R115" i="1"/>
  <c r="Q115" i="1"/>
  <c r="N115" i="1"/>
  <c r="H115" i="1"/>
  <c r="G115" i="1"/>
  <c r="F115" i="1"/>
  <c r="S114" i="1"/>
  <c r="R114" i="1"/>
  <c r="Q114" i="1"/>
  <c r="N114" i="1"/>
  <c r="H114" i="1"/>
  <c r="G114" i="1"/>
  <c r="F114" i="1"/>
  <c r="S113" i="1"/>
  <c r="R113" i="1"/>
  <c r="Q113" i="1"/>
  <c r="N113" i="1"/>
  <c r="H113" i="1"/>
  <c r="G113" i="1"/>
  <c r="F113" i="1"/>
  <c r="S112" i="1"/>
  <c r="R112" i="1"/>
  <c r="Q112" i="1"/>
  <c r="N112" i="1"/>
  <c r="H112" i="1"/>
  <c r="G112" i="1"/>
  <c r="F112" i="1"/>
  <c r="S111" i="1"/>
  <c r="R111" i="1"/>
  <c r="Q111" i="1"/>
  <c r="N111" i="1"/>
  <c r="H111" i="1"/>
  <c r="G111" i="1"/>
  <c r="F111" i="1"/>
  <c r="S110" i="1"/>
  <c r="R110" i="1"/>
  <c r="Q110" i="1"/>
  <c r="N110" i="1"/>
  <c r="H110" i="1"/>
  <c r="G110" i="1"/>
  <c r="F110" i="1"/>
  <c r="S109" i="1"/>
  <c r="R109" i="1"/>
  <c r="Q109" i="1"/>
  <c r="N109" i="1"/>
  <c r="H109" i="1"/>
  <c r="G109" i="1"/>
  <c r="F109" i="1"/>
  <c r="S108" i="1"/>
  <c r="R108" i="1"/>
  <c r="Q108" i="1"/>
  <c r="N108" i="1"/>
  <c r="H108" i="1"/>
  <c r="G108" i="1"/>
  <c r="F108" i="1"/>
  <c r="S107" i="1"/>
  <c r="R107" i="1"/>
  <c r="Q107" i="1"/>
  <c r="N107" i="1"/>
  <c r="H107" i="1"/>
  <c r="G107" i="1"/>
  <c r="F107" i="1"/>
  <c r="S106" i="1"/>
  <c r="R106" i="1"/>
  <c r="Q106" i="1"/>
  <c r="N106" i="1"/>
  <c r="H106" i="1"/>
  <c r="G106" i="1"/>
  <c r="F106" i="1"/>
  <c r="S105" i="1"/>
  <c r="R105" i="1"/>
  <c r="Q105" i="1"/>
  <c r="N105" i="1"/>
  <c r="H105" i="1"/>
  <c r="G105" i="1"/>
  <c r="F105" i="1"/>
  <c r="S104" i="1"/>
  <c r="R104" i="1"/>
  <c r="Q104" i="1"/>
  <c r="N104" i="1"/>
  <c r="H104" i="1"/>
  <c r="G104" i="1"/>
  <c r="F104" i="1"/>
  <c r="S103" i="1"/>
  <c r="R103" i="1"/>
  <c r="Q103" i="1"/>
  <c r="N103" i="1"/>
  <c r="H103" i="1"/>
  <c r="G103" i="1"/>
  <c r="F103" i="1"/>
  <c r="S102" i="1"/>
  <c r="R102" i="1"/>
  <c r="Q102" i="1"/>
  <c r="N102" i="1"/>
  <c r="H102" i="1"/>
  <c r="G102" i="1"/>
  <c r="F102" i="1"/>
  <c r="S101" i="1"/>
  <c r="R101" i="1"/>
  <c r="Q101" i="1"/>
  <c r="N101" i="1"/>
  <c r="H101" i="1"/>
  <c r="G101" i="1"/>
  <c r="F101" i="1"/>
  <c r="S100" i="1"/>
  <c r="R100" i="1"/>
  <c r="Q100" i="1"/>
  <c r="N100" i="1"/>
  <c r="H100" i="1"/>
  <c r="G100" i="1"/>
  <c r="F100" i="1"/>
  <c r="S99" i="1"/>
  <c r="R99" i="1"/>
  <c r="Q99" i="1"/>
  <c r="N99" i="1"/>
  <c r="H99" i="1"/>
  <c r="G99" i="1"/>
  <c r="F99" i="1"/>
  <c r="S98" i="1"/>
  <c r="R98" i="1"/>
  <c r="Q98" i="1"/>
  <c r="N98" i="1"/>
  <c r="H98" i="1"/>
  <c r="G98" i="1"/>
  <c r="F98" i="1"/>
  <c r="S97" i="1"/>
  <c r="R97" i="1"/>
  <c r="Q97" i="1"/>
  <c r="N97" i="1"/>
  <c r="H97" i="1"/>
  <c r="G97" i="1"/>
  <c r="F97" i="1"/>
  <c r="S96" i="1"/>
  <c r="R96" i="1"/>
  <c r="Q96" i="1"/>
  <c r="N96" i="1"/>
  <c r="H96" i="1"/>
  <c r="G96" i="1"/>
  <c r="F96" i="1"/>
  <c r="S95" i="1"/>
  <c r="R95" i="1"/>
  <c r="Q95" i="1"/>
  <c r="N95" i="1"/>
  <c r="H95" i="1"/>
  <c r="G95" i="1"/>
  <c r="F95" i="1"/>
  <c r="S94" i="1"/>
  <c r="R94" i="1"/>
  <c r="Q94" i="1"/>
  <c r="N94" i="1"/>
  <c r="H94" i="1"/>
  <c r="G94" i="1"/>
  <c r="F94" i="1"/>
  <c r="S93" i="1"/>
  <c r="R93" i="1"/>
  <c r="Q93" i="1"/>
  <c r="N93" i="1"/>
  <c r="H93" i="1"/>
  <c r="G93" i="1"/>
  <c r="F93" i="1"/>
  <c r="S92" i="1"/>
  <c r="R92" i="1"/>
  <c r="Q92" i="1"/>
  <c r="N92" i="1"/>
  <c r="H92" i="1"/>
  <c r="G92" i="1"/>
  <c r="F92" i="1"/>
  <c r="S91" i="1"/>
  <c r="R91" i="1"/>
  <c r="Q91" i="1"/>
  <c r="N91" i="1"/>
  <c r="H91" i="1"/>
  <c r="G91" i="1"/>
  <c r="F91" i="1"/>
  <c r="S90" i="1"/>
  <c r="R90" i="1"/>
  <c r="Q90" i="1"/>
  <c r="N90" i="1"/>
  <c r="H90" i="1"/>
  <c r="G90" i="1"/>
  <c r="F90" i="1"/>
  <c r="S89" i="1"/>
  <c r="R89" i="1"/>
  <c r="Q89" i="1"/>
  <c r="N89" i="1"/>
  <c r="H89" i="1"/>
  <c r="G89" i="1"/>
  <c r="F89" i="1"/>
  <c r="S88" i="1"/>
  <c r="R88" i="1"/>
  <c r="Q88" i="1"/>
  <c r="N88" i="1"/>
  <c r="H88" i="1"/>
  <c r="G88" i="1"/>
  <c r="F88" i="1"/>
  <c r="S87" i="1"/>
  <c r="R87" i="1"/>
  <c r="Q87" i="1"/>
  <c r="N87" i="1"/>
  <c r="H87" i="1"/>
  <c r="G87" i="1"/>
  <c r="F87" i="1"/>
  <c r="S86" i="1"/>
  <c r="R86" i="1"/>
  <c r="Q86" i="1"/>
  <c r="N86" i="1"/>
  <c r="H86" i="1"/>
  <c r="G86" i="1"/>
  <c r="F86" i="1"/>
  <c r="S85" i="1"/>
  <c r="R85" i="1"/>
  <c r="Q85" i="1"/>
  <c r="N85" i="1"/>
  <c r="H85" i="1"/>
  <c r="G85" i="1"/>
  <c r="F85" i="1"/>
  <c r="S84" i="1"/>
  <c r="R84" i="1"/>
  <c r="Q84" i="1"/>
  <c r="N84" i="1"/>
  <c r="H84" i="1"/>
  <c r="G84" i="1"/>
  <c r="F84" i="1"/>
  <c r="S83" i="1"/>
  <c r="R83" i="1"/>
  <c r="Q83" i="1"/>
  <c r="N83" i="1"/>
  <c r="H83" i="1"/>
  <c r="G83" i="1"/>
  <c r="F83" i="1"/>
  <c r="S82" i="1"/>
  <c r="R82" i="1"/>
  <c r="Q82" i="1"/>
  <c r="N82" i="1"/>
  <c r="H82" i="1"/>
  <c r="G82" i="1"/>
  <c r="F82" i="1"/>
  <c r="S81" i="1"/>
  <c r="R81" i="1"/>
  <c r="Q81" i="1"/>
  <c r="N81" i="1"/>
  <c r="H81" i="1"/>
  <c r="G81" i="1"/>
  <c r="F81" i="1"/>
  <c r="S80" i="1"/>
  <c r="R80" i="1"/>
  <c r="Q80" i="1"/>
  <c r="N80" i="1"/>
  <c r="H80" i="1"/>
  <c r="G80" i="1"/>
  <c r="F80" i="1"/>
  <c r="S79" i="1"/>
  <c r="R79" i="1"/>
  <c r="Q79" i="1"/>
  <c r="N79" i="1"/>
  <c r="H79" i="1"/>
  <c r="G79" i="1"/>
  <c r="F79" i="1"/>
  <c r="S78" i="1"/>
  <c r="R78" i="1"/>
  <c r="Q78" i="1"/>
  <c r="N78" i="1"/>
  <c r="H78" i="1"/>
  <c r="G78" i="1"/>
  <c r="F78" i="1"/>
  <c r="S77" i="1"/>
  <c r="R77" i="1"/>
  <c r="Q77" i="1"/>
  <c r="N77" i="1"/>
  <c r="H77" i="1"/>
  <c r="G77" i="1"/>
  <c r="F77" i="1"/>
  <c r="S76" i="1"/>
  <c r="R76" i="1"/>
  <c r="Q76" i="1"/>
  <c r="N76" i="1"/>
  <c r="H76" i="1"/>
  <c r="G76" i="1"/>
  <c r="F76" i="1"/>
  <c r="S75" i="1"/>
  <c r="R75" i="1"/>
  <c r="Q75" i="1"/>
  <c r="N75" i="1"/>
  <c r="H75" i="1"/>
  <c r="G75" i="1"/>
  <c r="F75" i="1"/>
  <c r="S74" i="1"/>
  <c r="R74" i="1"/>
  <c r="Q74" i="1"/>
  <c r="N74" i="1"/>
  <c r="H74" i="1"/>
  <c r="G74" i="1"/>
  <c r="F74" i="1"/>
  <c r="S73" i="1"/>
  <c r="R73" i="1"/>
  <c r="Q73" i="1"/>
  <c r="N73" i="1"/>
  <c r="H73" i="1"/>
  <c r="G73" i="1"/>
  <c r="F73" i="1"/>
  <c r="S72" i="1"/>
  <c r="R72" i="1"/>
  <c r="Q72" i="1"/>
  <c r="N72" i="1"/>
  <c r="H72" i="1"/>
  <c r="G72" i="1"/>
  <c r="F72" i="1"/>
  <c r="S71" i="1"/>
  <c r="R71" i="1"/>
  <c r="Q71" i="1"/>
  <c r="N71" i="1"/>
  <c r="H71" i="1"/>
  <c r="G71" i="1"/>
  <c r="F71" i="1"/>
  <c r="S70" i="1"/>
  <c r="R70" i="1"/>
  <c r="Q70" i="1"/>
  <c r="N70" i="1"/>
  <c r="H70" i="1"/>
  <c r="G70" i="1"/>
  <c r="F70" i="1"/>
  <c r="S69" i="1"/>
  <c r="R69" i="1"/>
  <c r="Q69" i="1"/>
  <c r="N69" i="1"/>
  <c r="H69" i="1"/>
  <c r="G69" i="1"/>
  <c r="F69" i="1"/>
  <c r="S68" i="1"/>
  <c r="R68" i="1"/>
  <c r="Q68" i="1"/>
  <c r="N68" i="1"/>
  <c r="H68" i="1"/>
  <c r="G68" i="1"/>
  <c r="F68" i="1"/>
  <c r="S67" i="1"/>
  <c r="R67" i="1"/>
  <c r="Q67" i="1"/>
  <c r="N67" i="1"/>
  <c r="H67" i="1"/>
  <c r="G67" i="1"/>
  <c r="F67" i="1"/>
  <c r="S66" i="1"/>
  <c r="R66" i="1"/>
  <c r="Q66" i="1"/>
  <c r="N66" i="1"/>
  <c r="H66" i="1"/>
  <c r="G66" i="1"/>
  <c r="F66" i="1"/>
  <c r="S65" i="1"/>
  <c r="R65" i="1"/>
  <c r="Q65" i="1"/>
  <c r="N65" i="1"/>
  <c r="H65" i="1"/>
  <c r="G65" i="1"/>
  <c r="F65" i="1"/>
  <c r="S64" i="1"/>
  <c r="R64" i="1"/>
  <c r="Q64" i="1"/>
  <c r="N64" i="1"/>
  <c r="H64" i="1"/>
  <c r="G64" i="1"/>
  <c r="F64" i="1"/>
  <c r="S63" i="1"/>
  <c r="R63" i="1"/>
  <c r="Q63" i="1"/>
  <c r="N63" i="1"/>
  <c r="H63" i="1"/>
  <c r="G63" i="1"/>
  <c r="F63" i="1"/>
  <c r="S62" i="1"/>
  <c r="R62" i="1"/>
  <c r="Q62" i="1"/>
  <c r="N62" i="1"/>
  <c r="H62" i="1"/>
  <c r="G62" i="1"/>
  <c r="F62" i="1"/>
  <c r="S61" i="1"/>
  <c r="R61" i="1"/>
  <c r="Q61" i="1"/>
  <c r="N61" i="1"/>
  <c r="H61" i="1"/>
  <c r="G61" i="1"/>
  <c r="F61" i="1"/>
  <c r="S60" i="1"/>
  <c r="R60" i="1"/>
  <c r="Q60" i="1"/>
  <c r="N60" i="1"/>
  <c r="H60" i="1"/>
  <c r="G60" i="1"/>
  <c r="F60" i="1"/>
  <c r="S59" i="1"/>
  <c r="R59" i="1"/>
  <c r="Q59" i="1"/>
  <c r="N59" i="1"/>
  <c r="H59" i="1"/>
  <c r="G59" i="1"/>
  <c r="F59" i="1"/>
  <c r="S58" i="1"/>
  <c r="R58" i="1"/>
  <c r="Q58" i="1"/>
  <c r="N58" i="1"/>
  <c r="H58" i="1"/>
  <c r="G58" i="1"/>
  <c r="F58" i="1"/>
  <c r="S57" i="1"/>
  <c r="R57" i="1"/>
  <c r="Q57" i="1"/>
  <c r="N57" i="1"/>
  <c r="H57" i="1"/>
  <c r="G57" i="1"/>
  <c r="F57" i="1"/>
  <c r="S56" i="1"/>
  <c r="R56" i="1"/>
  <c r="Q56" i="1"/>
  <c r="N56" i="1"/>
  <c r="H56" i="1"/>
  <c r="G56" i="1"/>
  <c r="F56" i="1"/>
  <c r="S55" i="1"/>
  <c r="R55" i="1"/>
  <c r="Q55" i="1"/>
  <c r="N55" i="1"/>
  <c r="H55" i="1"/>
  <c r="G55" i="1"/>
  <c r="F55" i="1"/>
  <c r="S54" i="1"/>
  <c r="R54" i="1"/>
  <c r="Q54" i="1"/>
  <c r="N54" i="1"/>
  <c r="H54" i="1"/>
  <c r="G54" i="1"/>
  <c r="F54" i="1"/>
  <c r="S53" i="1"/>
  <c r="R53" i="1"/>
  <c r="Q53" i="1"/>
  <c r="N53" i="1"/>
  <c r="H53" i="1"/>
  <c r="G53" i="1"/>
  <c r="F53" i="1"/>
  <c r="S52" i="1"/>
  <c r="R52" i="1"/>
  <c r="Q52" i="1"/>
  <c r="N52" i="1"/>
  <c r="H52" i="1"/>
  <c r="G52" i="1"/>
  <c r="F52" i="1"/>
  <c r="S51" i="1"/>
  <c r="R51" i="1"/>
  <c r="Q51" i="1"/>
  <c r="N51" i="1"/>
  <c r="H51" i="1"/>
  <c r="G51" i="1"/>
  <c r="F51" i="1"/>
  <c r="S50" i="1"/>
  <c r="R50" i="1"/>
  <c r="Q50" i="1"/>
  <c r="N50" i="1"/>
  <c r="H50" i="1"/>
  <c r="G50" i="1"/>
  <c r="F50" i="1"/>
  <c r="S49" i="1"/>
  <c r="R49" i="1"/>
  <c r="Q49" i="1"/>
  <c r="N49" i="1"/>
  <c r="H49" i="1"/>
  <c r="G49" i="1"/>
  <c r="F49" i="1"/>
  <c r="S48" i="1"/>
  <c r="R48" i="1"/>
  <c r="Q48" i="1"/>
  <c r="N48" i="1"/>
  <c r="H48" i="1"/>
  <c r="G48" i="1"/>
  <c r="F48" i="1"/>
  <c r="S47" i="1"/>
  <c r="R47" i="1"/>
  <c r="Q47" i="1"/>
  <c r="N47" i="1"/>
  <c r="H47" i="1"/>
  <c r="G47" i="1"/>
  <c r="F47" i="1"/>
  <c r="S46" i="1"/>
  <c r="R46" i="1"/>
  <c r="Q46" i="1"/>
  <c r="N46" i="1"/>
  <c r="H46" i="1"/>
  <c r="G46" i="1"/>
  <c r="F46" i="1"/>
  <c r="S45" i="1"/>
  <c r="R45" i="1"/>
  <c r="Q45" i="1"/>
  <c r="N45" i="1"/>
  <c r="H45" i="1"/>
  <c r="G45" i="1"/>
  <c r="F45" i="1"/>
  <c r="S44" i="1"/>
  <c r="R44" i="1"/>
  <c r="Q44" i="1"/>
  <c r="N44" i="1"/>
  <c r="H44" i="1"/>
  <c r="G44" i="1"/>
  <c r="F44" i="1"/>
  <c r="S43" i="1"/>
  <c r="R43" i="1"/>
  <c r="Q43" i="1"/>
  <c r="N43" i="1"/>
  <c r="H43" i="1"/>
  <c r="G43" i="1"/>
  <c r="F43" i="1"/>
  <c r="S42" i="1"/>
  <c r="R42" i="1"/>
  <c r="Q42" i="1"/>
  <c r="N42" i="1"/>
  <c r="H42" i="1"/>
  <c r="G42" i="1"/>
  <c r="F42" i="1"/>
  <c r="S41" i="1"/>
  <c r="R41" i="1"/>
  <c r="Q41" i="1"/>
  <c r="N41" i="1"/>
  <c r="H41" i="1"/>
  <c r="G41" i="1"/>
  <c r="F41" i="1"/>
  <c r="S40" i="1"/>
  <c r="R40" i="1"/>
  <c r="Q40" i="1"/>
  <c r="N40" i="1"/>
  <c r="H40" i="1"/>
  <c r="G40" i="1"/>
  <c r="F40" i="1"/>
  <c r="S39" i="1"/>
  <c r="R39" i="1"/>
  <c r="Q39" i="1"/>
  <c r="N39" i="1"/>
  <c r="H39" i="1"/>
  <c r="G39" i="1"/>
  <c r="F39" i="1"/>
  <c r="S38" i="1"/>
  <c r="R38" i="1"/>
  <c r="Q38" i="1"/>
  <c r="N38" i="1"/>
  <c r="H38" i="1"/>
  <c r="G38" i="1"/>
  <c r="F38" i="1"/>
  <c r="S37" i="1"/>
  <c r="R37" i="1"/>
  <c r="Q37" i="1"/>
  <c r="N37" i="1"/>
  <c r="H37" i="1"/>
  <c r="G37" i="1"/>
  <c r="F37" i="1"/>
  <c r="S36" i="1"/>
  <c r="R36" i="1"/>
  <c r="Q36" i="1"/>
  <c r="N36" i="1"/>
  <c r="H36" i="1"/>
  <c r="G36" i="1"/>
  <c r="F36" i="1"/>
  <c r="S35" i="1"/>
  <c r="R35" i="1"/>
  <c r="Q35" i="1"/>
  <c r="N35" i="1"/>
  <c r="H35" i="1"/>
  <c r="G35" i="1"/>
  <c r="F35" i="1"/>
  <c r="S34" i="1"/>
  <c r="R34" i="1"/>
  <c r="Q34" i="1"/>
  <c r="N34" i="1"/>
  <c r="H34" i="1"/>
  <c r="G34" i="1"/>
  <c r="F34" i="1"/>
  <c r="S33" i="1"/>
  <c r="R33" i="1"/>
  <c r="Q33" i="1"/>
  <c r="N33" i="1"/>
  <c r="H33" i="1"/>
  <c r="G33" i="1"/>
  <c r="F33" i="1"/>
  <c r="S32" i="1"/>
  <c r="R32" i="1"/>
  <c r="Q32" i="1"/>
  <c r="N32" i="1"/>
  <c r="H32" i="1"/>
  <c r="G32" i="1"/>
  <c r="F32" i="1"/>
  <c r="S31" i="1"/>
  <c r="R31" i="1"/>
  <c r="Q31" i="1"/>
  <c r="N31" i="1"/>
  <c r="H31" i="1"/>
  <c r="G31" i="1"/>
  <c r="F31" i="1"/>
  <c r="S30" i="1"/>
  <c r="R30" i="1"/>
  <c r="Q30" i="1"/>
  <c r="N30" i="1"/>
  <c r="H30" i="1"/>
  <c r="G30" i="1"/>
  <c r="F30" i="1"/>
  <c r="S29" i="1"/>
  <c r="R29" i="1"/>
  <c r="Q29" i="1"/>
  <c r="N29" i="1"/>
  <c r="H29" i="1"/>
  <c r="G29" i="1"/>
  <c r="F29" i="1"/>
  <c r="S28" i="1"/>
  <c r="R28" i="1"/>
  <c r="Q28" i="1"/>
  <c r="N28" i="1"/>
  <c r="H28" i="1"/>
  <c r="G28" i="1"/>
  <c r="F28" i="1"/>
  <c r="S27" i="1"/>
  <c r="R27" i="1"/>
  <c r="Q27" i="1"/>
  <c r="N27" i="1"/>
  <c r="H27" i="1"/>
  <c r="G27" i="1"/>
  <c r="F27" i="1"/>
  <c r="S26" i="1"/>
  <c r="R26" i="1"/>
  <c r="Q26" i="1"/>
  <c r="N26" i="1"/>
  <c r="H26" i="1"/>
  <c r="G26" i="1"/>
  <c r="F26" i="1"/>
  <c r="S25" i="1"/>
  <c r="R25" i="1"/>
  <c r="Q25" i="1"/>
  <c r="N25" i="1"/>
  <c r="H25" i="1"/>
  <c r="G25" i="1"/>
  <c r="F25" i="1"/>
  <c r="S24" i="1"/>
  <c r="R24" i="1"/>
  <c r="Q24" i="1"/>
  <c r="N24" i="1"/>
  <c r="H24" i="1"/>
  <c r="G24" i="1"/>
  <c r="F24" i="1"/>
  <c r="S23" i="1"/>
  <c r="R23" i="1"/>
  <c r="Q23" i="1"/>
  <c r="N23" i="1"/>
  <c r="H23" i="1"/>
  <c r="G23" i="1"/>
  <c r="F23" i="1"/>
  <c r="S22" i="1"/>
  <c r="R22" i="1"/>
  <c r="Q22" i="1"/>
  <c r="N22" i="1"/>
  <c r="H22" i="1"/>
  <c r="G22" i="1"/>
  <c r="F22" i="1"/>
  <c r="S21" i="1"/>
  <c r="R21" i="1"/>
  <c r="Q21" i="1"/>
  <c r="N21" i="1"/>
  <c r="H21" i="1"/>
  <c r="G21" i="1"/>
  <c r="F21" i="1"/>
  <c r="S20" i="1"/>
  <c r="R20" i="1"/>
  <c r="Q20" i="1"/>
  <c r="N20" i="1"/>
  <c r="H20" i="1"/>
  <c r="G20" i="1"/>
  <c r="F20" i="1"/>
  <c r="S19" i="1"/>
  <c r="R19" i="1"/>
  <c r="Q19" i="1"/>
  <c r="N19" i="1"/>
  <c r="H19" i="1"/>
  <c r="G19" i="1"/>
  <c r="F19" i="1"/>
  <c r="S18" i="1"/>
  <c r="R18" i="1"/>
  <c r="Q18" i="1"/>
  <c r="N18" i="1"/>
  <c r="H18" i="1"/>
  <c r="G18" i="1"/>
  <c r="F18" i="1"/>
  <c r="S17" i="1"/>
  <c r="R17" i="1"/>
  <c r="Q17" i="1"/>
  <c r="N17" i="1"/>
  <c r="H17" i="1"/>
  <c r="G17" i="1"/>
  <c r="F17" i="1"/>
  <c r="S16" i="1"/>
  <c r="R16" i="1"/>
  <c r="Q16" i="1"/>
  <c r="N16" i="1"/>
  <c r="H16" i="1"/>
  <c r="G16" i="1"/>
  <c r="F16" i="1"/>
  <c r="S15" i="1"/>
  <c r="R15" i="1"/>
  <c r="Q15" i="1"/>
  <c r="N15" i="1"/>
  <c r="H15" i="1"/>
  <c r="G15" i="1"/>
  <c r="F15" i="1"/>
  <c r="S14" i="1"/>
  <c r="R14" i="1"/>
  <c r="Q14" i="1"/>
  <c r="N14" i="1"/>
  <c r="H14" i="1"/>
  <c r="G14" i="1"/>
  <c r="F14" i="1"/>
  <c r="S13" i="1"/>
  <c r="R13" i="1"/>
  <c r="Q13" i="1"/>
  <c r="N13" i="1"/>
  <c r="H13" i="1"/>
  <c r="G13" i="1"/>
  <c r="F13" i="1"/>
  <c r="S12" i="1"/>
  <c r="R12" i="1"/>
  <c r="Q12" i="1"/>
  <c r="N12" i="1"/>
  <c r="H12" i="1"/>
  <c r="G12" i="1"/>
  <c r="F12" i="1"/>
  <c r="S11" i="1"/>
  <c r="R11" i="1"/>
  <c r="Q11" i="1"/>
  <c r="N11" i="1"/>
  <c r="H11" i="1"/>
  <c r="G11" i="1"/>
  <c r="F11" i="1"/>
  <c r="S10" i="1"/>
  <c r="R10" i="1"/>
  <c r="Q10" i="1"/>
  <c r="N10" i="1"/>
  <c r="H10" i="1"/>
  <c r="G10" i="1"/>
  <c r="F10" i="1"/>
  <c r="S9" i="1"/>
  <c r="R9" i="1"/>
  <c r="Q9" i="1"/>
  <c r="N9" i="1"/>
  <c r="H9" i="1"/>
  <c r="G9" i="1"/>
  <c r="F9" i="1"/>
  <c r="S8" i="1"/>
  <c r="R8" i="1"/>
  <c r="Q8" i="1"/>
  <c r="N8" i="1"/>
  <c r="H8" i="1"/>
  <c r="G8" i="1"/>
  <c r="F8" i="1"/>
  <c r="S7" i="1"/>
  <c r="R7" i="1"/>
  <c r="Q7" i="1"/>
  <c r="N7" i="1"/>
  <c r="H7" i="1"/>
  <c r="G7" i="1"/>
  <c r="F7" i="1"/>
  <c r="S6" i="1"/>
  <c r="R6" i="1"/>
  <c r="Q6" i="1"/>
  <c r="N6" i="1"/>
  <c r="H6" i="1"/>
  <c r="G6" i="1"/>
  <c r="F6" i="1"/>
  <c r="S5" i="1"/>
  <c r="R5" i="1"/>
  <c r="Q5" i="1"/>
  <c r="N5" i="1"/>
  <c r="H5" i="1"/>
  <c r="G5" i="1"/>
  <c r="F5" i="1"/>
  <c r="S4" i="1"/>
  <c r="R4" i="1"/>
  <c r="Q4" i="1"/>
  <c r="N4" i="1"/>
  <c r="H4" i="1"/>
  <c r="G4" i="1"/>
  <c r="F4" i="1"/>
  <c r="S3" i="1"/>
  <c r="R3" i="1"/>
  <c r="Q3" i="1"/>
  <c r="N3" i="1"/>
  <c r="H3" i="1"/>
  <c r="G3" i="1"/>
  <c r="F3" i="1"/>
  <c r="H34" i="3" l="1"/>
  <c r="I37" i="3"/>
  <c r="I36" i="3"/>
  <c r="H38" i="3"/>
  <c r="I146" i="3"/>
  <c r="I153" i="3"/>
  <c r="I131" i="3"/>
  <c r="I145" i="3"/>
  <c r="I152" i="3"/>
  <c r="I129" i="3"/>
  <c r="I150" i="3"/>
  <c r="I128" i="3"/>
  <c r="I142" i="3"/>
  <c r="I144" i="3"/>
  <c r="I126" i="3"/>
  <c r="I143" i="3"/>
  <c r="I151" i="3"/>
  <c r="I140" i="3"/>
  <c r="I139" i="3"/>
  <c r="I149" i="3"/>
  <c r="I137" i="3"/>
  <c r="I148" i="3"/>
  <c r="I136" i="3"/>
  <c r="I134" i="3"/>
  <c r="I147" i="3"/>
  <c r="I132" i="3"/>
  <c r="I77" i="3"/>
  <c r="I124" i="3"/>
  <c r="I123" i="3"/>
  <c r="I121" i="3"/>
  <c r="I120" i="3"/>
  <c r="I118" i="3"/>
  <c r="I117" i="3"/>
  <c r="I115" i="3"/>
  <c r="I114" i="3"/>
  <c r="I112" i="3"/>
  <c r="I110" i="3"/>
  <c r="I109" i="3"/>
  <c r="I107" i="3"/>
  <c r="I106" i="3"/>
  <c r="I104" i="3"/>
  <c r="I103" i="3"/>
  <c r="I101" i="3"/>
  <c r="I100" i="3"/>
  <c r="I98" i="3"/>
  <c r="I97" i="3"/>
  <c r="I95" i="3"/>
  <c r="I94" i="3"/>
  <c r="I92" i="3"/>
  <c r="I91" i="3"/>
  <c r="I89" i="3"/>
  <c r="I88" i="3"/>
  <c r="I86" i="3"/>
  <c r="I85" i="3"/>
  <c r="I83" i="3"/>
  <c r="I82" i="3"/>
  <c r="I80" i="3"/>
  <c r="I79" i="3"/>
  <c r="J3" i="3"/>
  <c r="I46" i="3"/>
  <c r="I43" i="3"/>
  <c r="I26" i="3"/>
  <c r="I9" i="3"/>
  <c r="I32" i="3"/>
  <c r="I17" i="3"/>
  <c r="I49" i="3"/>
  <c r="I40" i="3"/>
  <c r="I24" i="3"/>
  <c r="I6" i="3"/>
  <c r="I20" i="3"/>
  <c r="I75" i="3"/>
  <c r="I72" i="3"/>
  <c r="I70" i="3"/>
  <c r="I68" i="3"/>
  <c r="I65" i="3"/>
  <c r="I62" i="3"/>
  <c r="I58" i="3"/>
  <c r="I55" i="3"/>
  <c r="I52" i="3"/>
  <c r="I29" i="3"/>
  <c r="I14" i="3"/>
  <c r="I21" i="3"/>
  <c r="I11" i="3"/>
  <c r="I45" i="3"/>
  <c r="I33" i="3"/>
  <c r="I34" i="3" s="1"/>
  <c r="I18" i="3"/>
  <c r="I8" i="3"/>
  <c r="I48" i="3"/>
  <c r="I42" i="3"/>
  <c r="I15" i="3"/>
  <c r="I73" i="3"/>
  <c r="I67" i="3"/>
  <c r="I63" i="3"/>
  <c r="I60" i="3"/>
  <c r="I57" i="3"/>
  <c r="I54" i="3"/>
  <c r="I51" i="3"/>
  <c r="I23" i="3"/>
  <c r="I5" i="3"/>
  <c r="I28" i="3"/>
  <c r="I12" i="3"/>
  <c r="J37" i="3" l="1"/>
  <c r="J36" i="3"/>
  <c r="I38" i="3"/>
  <c r="I129" i="5"/>
  <c r="J147" i="3"/>
  <c r="J132" i="3"/>
  <c r="J146" i="3"/>
  <c r="J153" i="3"/>
  <c r="J131" i="3"/>
  <c r="J151" i="3"/>
  <c r="J145" i="3"/>
  <c r="J152" i="3"/>
  <c r="J129" i="3"/>
  <c r="J128" i="3"/>
  <c r="J144" i="3"/>
  <c r="J126" i="3"/>
  <c r="J143" i="3"/>
  <c r="J150" i="3"/>
  <c r="J142" i="3"/>
  <c r="J140" i="3"/>
  <c r="J139" i="3"/>
  <c r="J149" i="3"/>
  <c r="J137" i="3"/>
  <c r="J148" i="3"/>
  <c r="J136" i="3"/>
  <c r="J134" i="3"/>
  <c r="J124" i="3"/>
  <c r="J123" i="3"/>
  <c r="J121" i="3"/>
  <c r="J120" i="3"/>
  <c r="J118" i="3"/>
  <c r="J117" i="3"/>
  <c r="J115" i="3"/>
  <c r="J114" i="3"/>
  <c r="J112" i="3"/>
  <c r="J110" i="3"/>
  <c r="J109" i="3"/>
  <c r="J107" i="3"/>
  <c r="J106" i="3"/>
  <c r="J104" i="3"/>
  <c r="J103" i="3"/>
  <c r="J101" i="3"/>
  <c r="J100" i="3"/>
  <c r="J98" i="3"/>
  <c r="J97" i="3"/>
  <c r="J95" i="3"/>
  <c r="J94" i="3"/>
  <c r="J92" i="3"/>
  <c r="J91" i="3"/>
  <c r="J89" i="3"/>
  <c r="J88" i="3"/>
  <c r="J86" i="3"/>
  <c r="J85" i="3"/>
  <c r="J83" i="3"/>
  <c r="K3" i="3"/>
  <c r="J32" i="3"/>
  <c r="J17" i="3"/>
  <c r="J26" i="3"/>
  <c r="J40" i="3"/>
  <c r="J24" i="3"/>
  <c r="J6" i="3"/>
  <c r="J29" i="3"/>
  <c r="J14" i="3"/>
  <c r="J21" i="3"/>
  <c r="J11" i="3"/>
  <c r="J8" i="3"/>
  <c r="J33" i="3"/>
  <c r="J34" i="3" s="1"/>
  <c r="J18" i="3"/>
  <c r="J42" i="3"/>
  <c r="J9" i="3"/>
  <c r="J15" i="3"/>
  <c r="J51" i="3"/>
  <c r="J23" i="3"/>
  <c r="J5" i="3"/>
  <c r="J43" i="3"/>
  <c r="J28" i="3"/>
  <c r="J12" i="3"/>
  <c r="J20" i="3"/>
  <c r="J52" i="3"/>
  <c r="J70" i="3"/>
  <c r="J54" i="3"/>
  <c r="J55" i="3"/>
  <c r="J72" i="3"/>
  <c r="J80" i="3"/>
  <c r="J57" i="3"/>
  <c r="J73" i="3"/>
  <c r="J77" i="3"/>
  <c r="J58" i="3"/>
  <c r="J75" i="3"/>
  <c r="J60" i="3"/>
  <c r="J62" i="3"/>
  <c r="J79" i="3"/>
  <c r="J45" i="3"/>
  <c r="J63" i="3"/>
  <c r="J82" i="3"/>
  <c r="J65" i="3"/>
  <c r="J49" i="3"/>
  <c r="J67" i="3"/>
  <c r="J48" i="3"/>
  <c r="J68" i="3"/>
  <c r="J46" i="3"/>
  <c r="K37" i="3" l="1"/>
  <c r="K36" i="3"/>
  <c r="J38" i="3"/>
  <c r="J129" i="5"/>
  <c r="K134" i="3"/>
  <c r="K147" i="3"/>
  <c r="K132" i="3"/>
  <c r="K146" i="3"/>
  <c r="K153" i="3"/>
  <c r="K131" i="3"/>
  <c r="K145" i="3"/>
  <c r="K152" i="3"/>
  <c r="K129" i="3"/>
  <c r="K128" i="3"/>
  <c r="K144" i="3"/>
  <c r="K126" i="3"/>
  <c r="K143" i="3"/>
  <c r="K151" i="3"/>
  <c r="K150" i="3"/>
  <c r="K142" i="3"/>
  <c r="K140" i="3"/>
  <c r="K139" i="3"/>
  <c r="K149" i="3"/>
  <c r="K137" i="3"/>
  <c r="K148" i="3"/>
  <c r="K136" i="3"/>
  <c r="K124" i="3"/>
  <c r="K123" i="3"/>
  <c r="K121" i="3"/>
  <c r="K120" i="3"/>
  <c r="K118" i="3"/>
  <c r="K117" i="3"/>
  <c r="K115" i="3"/>
  <c r="K114" i="3"/>
  <c r="K112" i="3"/>
  <c r="K110" i="3"/>
  <c r="K109" i="3"/>
  <c r="K107" i="3"/>
  <c r="K106" i="3"/>
  <c r="K104" i="3"/>
  <c r="K103" i="3"/>
  <c r="K101" i="3"/>
  <c r="K100" i="3"/>
  <c r="K98" i="3"/>
  <c r="K97" i="3"/>
  <c r="K95" i="3"/>
  <c r="K94" i="3"/>
  <c r="K92" i="3"/>
  <c r="K91" i="3"/>
  <c r="K89" i="3"/>
  <c r="K88" i="3"/>
  <c r="K86" i="3"/>
  <c r="K85" i="3"/>
  <c r="K83" i="3"/>
  <c r="L3" i="3"/>
  <c r="K33" i="3"/>
  <c r="K18" i="3"/>
  <c r="K49" i="3"/>
  <c r="K67" i="3"/>
  <c r="K32" i="3"/>
  <c r="K17" i="3"/>
  <c r="K51" i="3"/>
  <c r="K65" i="3"/>
  <c r="K15" i="3"/>
  <c r="K80" i="3"/>
  <c r="K63" i="3"/>
  <c r="K21" i="3"/>
  <c r="K46" i="3"/>
  <c r="K20" i="3"/>
  <c r="K48" i="3"/>
  <c r="K68" i="3"/>
  <c r="K82" i="3"/>
  <c r="K29" i="3"/>
  <c r="K14" i="3"/>
  <c r="K79" i="3"/>
  <c r="K62" i="3"/>
  <c r="K28" i="3"/>
  <c r="K12" i="3"/>
  <c r="K77" i="3"/>
  <c r="K45" i="3"/>
  <c r="K75" i="3"/>
  <c r="K43" i="3"/>
  <c r="K9" i="3"/>
  <c r="K57" i="3"/>
  <c r="K60" i="3"/>
  <c r="K11" i="3"/>
  <c r="K58" i="3"/>
  <c r="K26" i="3"/>
  <c r="K73" i="3"/>
  <c r="K42" i="3"/>
  <c r="K8" i="3"/>
  <c r="K72" i="3"/>
  <c r="K55" i="3"/>
  <c r="K40" i="3"/>
  <c r="K24" i="3"/>
  <c r="K6" i="3"/>
  <c r="K54" i="3"/>
  <c r="K23" i="3"/>
  <c r="K5" i="3"/>
  <c r="K70" i="3"/>
  <c r="K52" i="3"/>
  <c r="K34" i="3" l="1"/>
  <c r="L37" i="3"/>
  <c r="L36" i="3"/>
  <c r="K38" i="3"/>
  <c r="K129" i="5"/>
  <c r="L148" i="3"/>
  <c r="L136" i="3"/>
  <c r="L134" i="3"/>
  <c r="L147" i="3"/>
  <c r="L132" i="3"/>
  <c r="L146" i="3"/>
  <c r="L153" i="3"/>
  <c r="L131" i="3"/>
  <c r="L145" i="3"/>
  <c r="L152" i="3"/>
  <c r="L129" i="3"/>
  <c r="L128" i="3"/>
  <c r="L144" i="3"/>
  <c r="L126" i="3"/>
  <c r="L143" i="3"/>
  <c r="L151" i="3"/>
  <c r="L150" i="3"/>
  <c r="L142" i="3"/>
  <c r="L140" i="3"/>
  <c r="L139" i="3"/>
  <c r="L149" i="3"/>
  <c r="L137" i="3"/>
  <c r="L124" i="3"/>
  <c r="L123" i="3"/>
  <c r="L121" i="3"/>
  <c r="L120" i="3"/>
  <c r="L118" i="3"/>
  <c r="L117" i="3"/>
  <c r="L115" i="3"/>
  <c r="L114" i="3"/>
  <c r="L112" i="3"/>
  <c r="L110" i="3"/>
  <c r="L109" i="3"/>
  <c r="L107" i="3"/>
  <c r="L106" i="3"/>
  <c r="L104" i="3"/>
  <c r="L103" i="3"/>
  <c r="L101" i="3"/>
  <c r="L100" i="3"/>
  <c r="L98" i="3"/>
  <c r="L97" i="3"/>
  <c r="L95" i="3"/>
  <c r="L94" i="3"/>
  <c r="L92" i="3"/>
  <c r="L91" i="3"/>
  <c r="L89" i="3"/>
  <c r="L88" i="3"/>
  <c r="L86" i="3"/>
  <c r="L85" i="3"/>
  <c r="L83" i="3"/>
  <c r="M3" i="3"/>
  <c r="L40" i="3"/>
  <c r="L24" i="3"/>
  <c r="L6" i="3"/>
  <c r="L54" i="3"/>
  <c r="L23" i="3"/>
  <c r="L5" i="3"/>
  <c r="L70" i="3"/>
  <c r="L52" i="3"/>
  <c r="L21" i="3"/>
  <c r="L46" i="3"/>
  <c r="L82" i="3"/>
  <c r="L20" i="3"/>
  <c r="L48" i="3"/>
  <c r="L68" i="3"/>
  <c r="L33" i="3"/>
  <c r="L18" i="3"/>
  <c r="L49" i="3"/>
  <c r="L67" i="3"/>
  <c r="L32" i="3"/>
  <c r="L17" i="3"/>
  <c r="L51" i="3"/>
  <c r="L65" i="3"/>
  <c r="L15" i="3"/>
  <c r="L80" i="3"/>
  <c r="L63" i="3"/>
  <c r="L29" i="3"/>
  <c r="L14" i="3"/>
  <c r="L79" i="3"/>
  <c r="L62" i="3"/>
  <c r="L28" i="3"/>
  <c r="L12" i="3"/>
  <c r="L77" i="3"/>
  <c r="L60" i="3"/>
  <c r="L45" i="3"/>
  <c r="L11" i="3"/>
  <c r="L75" i="3"/>
  <c r="L58" i="3"/>
  <c r="L43" i="3"/>
  <c r="L26" i="3"/>
  <c r="L9" i="3"/>
  <c r="L73" i="3"/>
  <c r="L57" i="3"/>
  <c r="L42" i="3"/>
  <c r="L8" i="3"/>
  <c r="L72" i="3"/>
  <c r="L55" i="3"/>
  <c r="L34" i="3" l="1"/>
  <c r="M37" i="3"/>
  <c r="M36" i="3"/>
  <c r="L38" i="3"/>
  <c r="M149" i="3"/>
  <c r="M137" i="3"/>
  <c r="M148" i="3"/>
  <c r="M136" i="3"/>
  <c r="M152" i="3"/>
  <c r="M134" i="3"/>
  <c r="M147" i="3"/>
  <c r="M132" i="3"/>
  <c r="M146" i="3"/>
  <c r="M153" i="3"/>
  <c r="M131" i="3"/>
  <c r="M145" i="3"/>
  <c r="M129" i="3"/>
  <c r="M128" i="3"/>
  <c r="M144" i="3"/>
  <c r="M126" i="3"/>
  <c r="M143" i="3"/>
  <c r="M151" i="3"/>
  <c r="M150" i="3"/>
  <c r="M142" i="3"/>
  <c r="M140" i="3"/>
  <c r="M139" i="3"/>
  <c r="M124" i="3"/>
  <c r="M123" i="3"/>
  <c r="M121" i="3"/>
  <c r="M120" i="3"/>
  <c r="M118" i="3"/>
  <c r="M117" i="3"/>
  <c r="M115" i="3"/>
  <c r="M114" i="3"/>
  <c r="M112" i="3"/>
  <c r="M110" i="3"/>
  <c r="M109" i="3"/>
  <c r="M107" i="3"/>
  <c r="M106" i="3"/>
  <c r="M104" i="3"/>
  <c r="M103" i="3"/>
  <c r="M101" i="3"/>
  <c r="M100" i="3"/>
  <c r="M98" i="3"/>
  <c r="M97" i="3"/>
  <c r="M95" i="3"/>
  <c r="M94" i="3"/>
  <c r="M92" i="3"/>
  <c r="M91" i="3"/>
  <c r="M89" i="3"/>
  <c r="M88" i="3"/>
  <c r="M86" i="3"/>
  <c r="M85" i="3"/>
  <c r="M83" i="3"/>
  <c r="N3" i="3"/>
  <c r="M23" i="3"/>
  <c r="M5" i="3"/>
  <c r="M70" i="3"/>
  <c r="M52" i="3"/>
  <c r="M21" i="3"/>
  <c r="M46" i="3"/>
  <c r="M82" i="3"/>
  <c r="M20" i="3"/>
  <c r="M48" i="3"/>
  <c r="M68" i="3"/>
  <c r="M33" i="3"/>
  <c r="M34" i="3" s="1"/>
  <c r="M18" i="3"/>
  <c r="M49" i="3"/>
  <c r="M67" i="3"/>
  <c r="M32" i="3"/>
  <c r="M17" i="3"/>
  <c r="M51" i="3"/>
  <c r="M65" i="3"/>
  <c r="M15" i="3"/>
  <c r="M80" i="3"/>
  <c r="M63" i="3"/>
  <c r="M29" i="3"/>
  <c r="M14" i="3"/>
  <c r="M79" i="3"/>
  <c r="M62" i="3"/>
  <c r="M28" i="3"/>
  <c r="M12" i="3"/>
  <c r="M77" i="3"/>
  <c r="M60" i="3"/>
  <c r="M45" i="3"/>
  <c r="M11" i="3"/>
  <c r="M75" i="3"/>
  <c r="M58" i="3"/>
  <c r="M43" i="3"/>
  <c r="M26" i="3"/>
  <c r="M9" i="3"/>
  <c r="M73" i="3"/>
  <c r="M57" i="3"/>
  <c r="M42" i="3"/>
  <c r="M8" i="3"/>
  <c r="M72" i="3"/>
  <c r="M55" i="3"/>
  <c r="M40" i="3"/>
  <c r="M24" i="3"/>
  <c r="M6" i="3"/>
  <c r="M54" i="3"/>
  <c r="M38" i="3" l="1"/>
  <c r="N37" i="3"/>
  <c r="N36" i="3"/>
  <c r="N139" i="3"/>
  <c r="N149" i="3"/>
  <c r="N137" i="3"/>
  <c r="N153" i="3"/>
  <c r="N148" i="3"/>
  <c r="N136" i="3"/>
  <c r="N134" i="3"/>
  <c r="N147" i="3"/>
  <c r="N132" i="3"/>
  <c r="N146" i="3"/>
  <c r="N131" i="3"/>
  <c r="N145" i="3"/>
  <c r="N152" i="3"/>
  <c r="N129" i="3"/>
  <c r="N128" i="3"/>
  <c r="N144" i="3"/>
  <c r="N126" i="3"/>
  <c r="N143" i="3"/>
  <c r="N151" i="3"/>
  <c r="N150" i="3"/>
  <c r="N142" i="3"/>
  <c r="N140" i="3"/>
  <c r="N124" i="3"/>
  <c r="N123" i="3"/>
  <c r="N121" i="3"/>
  <c r="N120" i="3"/>
  <c r="N118" i="3"/>
  <c r="N117" i="3"/>
  <c r="N115" i="3"/>
  <c r="N114" i="3"/>
  <c r="N112" i="3"/>
  <c r="N110" i="3"/>
  <c r="N109" i="3"/>
  <c r="N107" i="3"/>
  <c r="N106" i="3"/>
  <c r="N104" i="3"/>
  <c r="N103" i="3"/>
  <c r="N101" i="3"/>
  <c r="N100" i="3"/>
  <c r="N98" i="3"/>
  <c r="N97" i="3"/>
  <c r="N95" i="3"/>
  <c r="N94" i="3"/>
  <c r="N92" i="3"/>
  <c r="N91" i="3"/>
  <c r="N89" i="3"/>
  <c r="N88" i="3"/>
  <c r="N86" i="3"/>
  <c r="N85" i="3"/>
  <c r="N83" i="3"/>
  <c r="O3" i="3"/>
  <c r="N23" i="3"/>
  <c r="N5" i="3"/>
  <c r="N70" i="3"/>
  <c r="N52" i="3"/>
  <c r="N21" i="3"/>
  <c r="N46" i="3"/>
  <c r="N82" i="3"/>
  <c r="N20" i="3"/>
  <c r="N48" i="3"/>
  <c r="N68" i="3"/>
  <c r="N33" i="3"/>
  <c r="N18" i="3"/>
  <c r="N49" i="3"/>
  <c r="N67" i="3"/>
  <c r="N32" i="3"/>
  <c r="N17" i="3"/>
  <c r="N51" i="3"/>
  <c r="N65" i="3"/>
  <c r="N15" i="3"/>
  <c r="N80" i="3"/>
  <c r="N63" i="3"/>
  <c r="N29" i="3"/>
  <c r="N14" i="3"/>
  <c r="N79" i="3"/>
  <c r="N62" i="3"/>
  <c r="N28" i="3"/>
  <c r="N12" i="3"/>
  <c r="N77" i="3"/>
  <c r="N60" i="3"/>
  <c r="N40" i="3"/>
  <c r="N24" i="3"/>
  <c r="N6" i="3"/>
  <c r="N54" i="3"/>
  <c r="N45" i="3"/>
  <c r="N11" i="3"/>
  <c r="N75" i="3"/>
  <c r="N58" i="3"/>
  <c r="N43" i="3"/>
  <c r="N26" i="3"/>
  <c r="N9" i="3"/>
  <c r="N73" i="3"/>
  <c r="N57" i="3"/>
  <c r="N42" i="3"/>
  <c r="N8" i="3"/>
  <c r="N72" i="3"/>
  <c r="N55" i="3"/>
  <c r="N34" i="3" l="1"/>
  <c r="N38" i="3"/>
  <c r="O37" i="3"/>
  <c r="O36" i="3"/>
  <c r="O140" i="3"/>
  <c r="O139" i="3"/>
  <c r="O149" i="3"/>
  <c r="O137" i="3"/>
  <c r="O148" i="3"/>
  <c r="O136" i="3"/>
  <c r="O134" i="3"/>
  <c r="O147" i="3"/>
  <c r="O132" i="3"/>
  <c r="O146" i="3"/>
  <c r="O153" i="3"/>
  <c r="O131" i="3"/>
  <c r="O145" i="3"/>
  <c r="O152" i="3"/>
  <c r="O129" i="3"/>
  <c r="O128" i="3"/>
  <c r="O144" i="3"/>
  <c r="O126" i="3"/>
  <c r="O143" i="3"/>
  <c r="O151" i="3"/>
  <c r="O150" i="3"/>
  <c r="O142" i="3"/>
  <c r="O124" i="3"/>
  <c r="O123" i="3"/>
  <c r="O121" i="3"/>
  <c r="O120" i="3"/>
  <c r="O118" i="3"/>
  <c r="O117" i="3"/>
  <c r="O115" i="3"/>
  <c r="O114" i="3"/>
  <c r="O112" i="3"/>
  <c r="O110" i="3"/>
  <c r="O109" i="3"/>
  <c r="O107" i="3"/>
  <c r="O106" i="3"/>
  <c r="O104" i="3"/>
  <c r="O103" i="3"/>
  <c r="O101" i="3"/>
  <c r="O100" i="3"/>
  <c r="O98" i="3"/>
  <c r="O97" i="3"/>
  <c r="O95" i="3"/>
  <c r="O94" i="3"/>
  <c r="O92" i="3"/>
  <c r="O91" i="3"/>
  <c r="O89" i="3"/>
  <c r="O88" i="3"/>
  <c r="O86" i="3"/>
  <c r="O85" i="3"/>
  <c r="O83" i="3"/>
  <c r="O23" i="3"/>
  <c r="O5" i="3"/>
  <c r="O70" i="3"/>
  <c r="O52" i="3"/>
  <c r="O40" i="3"/>
  <c r="O24" i="3"/>
  <c r="O6" i="3"/>
  <c r="O54" i="3"/>
  <c r="O21" i="3"/>
  <c r="O46" i="3"/>
  <c r="O82" i="3"/>
  <c r="O20" i="3"/>
  <c r="O48" i="3"/>
  <c r="O68" i="3"/>
  <c r="O33" i="3"/>
  <c r="O34" i="3" s="1"/>
  <c r="O18" i="3"/>
  <c r="O49" i="3"/>
  <c r="O67" i="3"/>
  <c r="O32" i="3"/>
  <c r="O17" i="3"/>
  <c r="O51" i="3"/>
  <c r="O65" i="3"/>
  <c r="O15" i="3"/>
  <c r="O80" i="3"/>
  <c r="O63" i="3"/>
  <c r="O29" i="3"/>
  <c r="O14" i="3"/>
  <c r="O79" i="3"/>
  <c r="O62" i="3"/>
  <c r="O28" i="3"/>
  <c r="O12" i="3"/>
  <c r="O77" i="3"/>
  <c r="O60" i="3"/>
  <c r="O45" i="3"/>
  <c r="O11" i="3"/>
  <c r="O75" i="3"/>
  <c r="O58" i="3"/>
  <c r="O43" i="3"/>
  <c r="O26" i="3"/>
  <c r="O9" i="3"/>
  <c r="O73" i="3"/>
  <c r="O57" i="3"/>
  <c r="O42" i="3"/>
  <c r="O8" i="3"/>
  <c r="O72" i="3"/>
  <c r="O55" i="3"/>
  <c r="O38" i="3" l="1"/>
</calcChain>
</file>

<file path=xl/sharedStrings.xml><?xml version="1.0" encoding="utf-8"?>
<sst xmlns="http://schemas.openxmlformats.org/spreadsheetml/2006/main" count="83893" uniqueCount="9325">
  <si>
    <t>HAP</t>
  </si>
  <si>
    <t>01</t>
  </si>
  <si>
    <t>GREENWAY</t>
  </si>
  <si>
    <t>WINDSOR POLO</t>
  </si>
  <si>
    <t>Invoice</t>
  </si>
  <si>
    <t>95927</t>
  </si>
  <si>
    <t>USCMANPLX+55</t>
  </si>
  <si>
    <t>Vented Manga Plex Plus</t>
  </si>
  <si>
    <t>GAL11.90</t>
  </si>
  <si>
    <t>LAWN HARMONY</t>
  </si>
  <si>
    <t>95929</t>
  </si>
  <si>
    <t>FLO1200655</t>
  </si>
  <si>
    <t>Green Master 12-0-0</t>
  </si>
  <si>
    <t>GAL11.80</t>
  </si>
  <si>
    <t>COUNTRY CLUB</t>
  </si>
  <si>
    <t>95930</t>
  </si>
  <si>
    <t>USCMANPLX+02</t>
  </si>
  <si>
    <t>THECLUBSHOUSTON</t>
  </si>
  <si>
    <t>95931</t>
  </si>
  <si>
    <t>FLOKTS02</t>
  </si>
  <si>
    <t>Excel 0-0-25</t>
  </si>
  <si>
    <t>GAL12.24</t>
  </si>
  <si>
    <t>GPHUMIC02</t>
  </si>
  <si>
    <t>Humic Soil Rebuilder</t>
  </si>
  <si>
    <t>GAL09.65</t>
  </si>
  <si>
    <t>GOLDCA02</t>
  </si>
  <si>
    <t>Neutra Soil</t>
  </si>
  <si>
    <t>GAL11.60</t>
  </si>
  <si>
    <t>USCBIOPX02</t>
  </si>
  <si>
    <t>Vented Bio Plex</t>
  </si>
  <si>
    <t>GAL09.70</t>
  </si>
  <si>
    <t>INDIAN RIVER CL</t>
  </si>
  <si>
    <t>95939</t>
  </si>
  <si>
    <t>ZON1501002</t>
  </si>
  <si>
    <t>Ever-Green 15-0-10</t>
  </si>
  <si>
    <t>GAL10.95</t>
  </si>
  <si>
    <t>FLO3181802</t>
  </si>
  <si>
    <t>Mega Feed 3-18-18</t>
  </si>
  <si>
    <t>GAL11.72</t>
  </si>
  <si>
    <t>FLOU3202</t>
  </si>
  <si>
    <t>Quick Green</t>
  </si>
  <si>
    <t>GAL11.05</t>
  </si>
  <si>
    <t>MAILING-WPBCH</t>
  </si>
  <si>
    <t>95940</t>
  </si>
  <si>
    <t>FLO824802</t>
  </si>
  <si>
    <t>Mega Green Starter</t>
  </si>
  <si>
    <t>GAL11.70</t>
  </si>
  <si>
    <t>GROMG602</t>
  </si>
  <si>
    <t>Mega Mix Mg</t>
  </si>
  <si>
    <t>GAL11.24</t>
  </si>
  <si>
    <t>ZONN2802</t>
  </si>
  <si>
    <t>Ultra Green 28-0-0</t>
  </si>
  <si>
    <t>GAL10.63</t>
  </si>
  <si>
    <t>LOXAHATCHEE CLB</t>
  </si>
  <si>
    <t>95953</t>
  </si>
  <si>
    <t>ALMARCH</t>
  </si>
  <si>
    <t>THONOTOSASSA</t>
  </si>
  <si>
    <t>95978</t>
  </si>
  <si>
    <t>ALMBGNOFE55</t>
  </si>
  <si>
    <t>Beauti Green without Iron</t>
  </si>
  <si>
    <t>GAL09.42</t>
  </si>
  <si>
    <t>MIZNER C. CLUB</t>
  </si>
  <si>
    <t>95984</t>
  </si>
  <si>
    <t>EMERALDHILLS</t>
  </si>
  <si>
    <t>96002</t>
  </si>
  <si>
    <t>USC8FE30</t>
  </si>
  <si>
    <t>8 Iron</t>
  </si>
  <si>
    <t>GAL11.30</t>
  </si>
  <si>
    <t>ZON1501030</t>
  </si>
  <si>
    <t>FLOKTS30</t>
  </si>
  <si>
    <t>GROMG630</t>
  </si>
  <si>
    <t>GROMN30</t>
  </si>
  <si>
    <t>Mega Mix Mn</t>
  </si>
  <si>
    <t>GAL13.12</t>
  </si>
  <si>
    <t>USCMICRO+30</t>
  </si>
  <si>
    <t>Micro Plus</t>
  </si>
  <si>
    <t>GAL09.40</t>
  </si>
  <si>
    <t>USCMANPLX+30</t>
  </si>
  <si>
    <t>W.PALM BCH MAIN</t>
  </si>
  <si>
    <t>96019</t>
  </si>
  <si>
    <t>USCMICMIX02</t>
  </si>
  <si>
    <t>Micro Mix with Humic</t>
  </si>
  <si>
    <t>GAL10.35</t>
  </si>
  <si>
    <t>ZON183602</t>
  </si>
  <si>
    <t>Pro Long</t>
  </si>
  <si>
    <t>GAL10.65</t>
  </si>
  <si>
    <t>IRON HORSE G.C.</t>
  </si>
  <si>
    <t>96082</t>
  </si>
  <si>
    <t>DAVID</t>
  </si>
  <si>
    <t>02</t>
  </si>
  <si>
    <t>OHARAPEST</t>
  </si>
  <si>
    <t>MAILIING</t>
  </si>
  <si>
    <t>95922</t>
  </si>
  <si>
    <t>ZON1806250</t>
  </si>
  <si>
    <t>Dyna Zone 18-0-6 w/ minors</t>
  </si>
  <si>
    <t>GAL10.37</t>
  </si>
  <si>
    <t>JHBIOTECH</t>
  </si>
  <si>
    <t>95932</t>
  </si>
  <si>
    <t>FLO1137000</t>
  </si>
  <si>
    <t>Dyna Flo 11-37-0</t>
  </si>
  <si>
    <t>GAL11.98</t>
  </si>
  <si>
    <t>BIOGRO</t>
  </si>
  <si>
    <t>MAIN</t>
  </si>
  <si>
    <t>95949</t>
  </si>
  <si>
    <t>NPKKOHDRY</t>
  </si>
  <si>
    <t>Potassium Hydroxide KOH Dry 90%</t>
  </si>
  <si>
    <t>LBS</t>
  </si>
  <si>
    <t>COUNCILO</t>
  </si>
  <si>
    <t>COUNCIL-OXFORD</t>
  </si>
  <si>
    <t>95955</t>
  </si>
  <si>
    <t>MRCCCN110</t>
  </si>
  <si>
    <t>Copper Count N</t>
  </si>
  <si>
    <t>GAL09.68</t>
  </si>
  <si>
    <t>95960</t>
  </si>
  <si>
    <t>MIDWAYF</t>
  </si>
  <si>
    <t>KNIGHTSGRIFFIN</t>
  </si>
  <si>
    <t>95973</t>
  </si>
  <si>
    <t>MAC428YM8</t>
  </si>
  <si>
    <t>Dyna Flo 4-2-8YM8</t>
  </si>
  <si>
    <t>TON</t>
  </si>
  <si>
    <t>FFA</t>
  </si>
  <si>
    <t>96016</t>
  </si>
  <si>
    <t>MAC528YZ</t>
  </si>
  <si>
    <t>Dyna Flo 5-2-8 YZ</t>
  </si>
  <si>
    <t>MAYO</t>
  </si>
  <si>
    <t>96025</t>
  </si>
  <si>
    <t>NPKPHOS75</t>
  </si>
  <si>
    <t>Phosphoric Acid 75%</t>
  </si>
  <si>
    <t>96034</t>
  </si>
  <si>
    <t>FLO15008CL250</t>
  </si>
  <si>
    <t>Dyna Flo 15-0-0 8% Cl</t>
  </si>
  <si>
    <t>GAL09.75</t>
  </si>
  <si>
    <t>96037</t>
  </si>
  <si>
    <t>96040</t>
  </si>
  <si>
    <t>GEOPONICSCORP</t>
  </si>
  <si>
    <t>NAPLES UNIT-105</t>
  </si>
  <si>
    <t>96046</t>
  </si>
  <si>
    <t>CAMMO02</t>
  </si>
  <si>
    <t>Detox</t>
  </si>
  <si>
    <t>GAL10.61</t>
  </si>
  <si>
    <t>TERRAFEED</t>
  </si>
  <si>
    <t>MAILING</t>
  </si>
  <si>
    <t>96063</t>
  </si>
  <si>
    <t>REPACK02</t>
  </si>
  <si>
    <t>Repack: Sulfur Carb 30</t>
  </si>
  <si>
    <t>GALLON</t>
  </si>
  <si>
    <t>UNIVAR</t>
  </si>
  <si>
    <t>ORLANDO</t>
  </si>
  <si>
    <t>96066</t>
  </si>
  <si>
    <t>FLO003002</t>
  </si>
  <si>
    <t>Dyna Flo 0-0-30</t>
  </si>
  <si>
    <t>TRUE</t>
  </si>
  <si>
    <t>LAKE PANA</t>
  </si>
  <si>
    <t>96081A</t>
  </si>
  <si>
    <t>JUSTIN</t>
  </si>
  <si>
    <t>03</t>
  </si>
  <si>
    <t>CAINGROV</t>
  </si>
  <si>
    <t>95925</t>
  </si>
  <si>
    <t>SOARBLM02</t>
  </si>
  <si>
    <t>Soar Bloom Spray</t>
  </si>
  <si>
    <t>GAL10.80</t>
  </si>
  <si>
    <t>CPSWAVER</t>
  </si>
  <si>
    <t>WAVERLY</t>
  </si>
  <si>
    <t>95967</t>
  </si>
  <si>
    <t>GOLDMZF02</t>
  </si>
  <si>
    <t>Dyna Gold MZF</t>
  </si>
  <si>
    <t>GAL11.20</t>
  </si>
  <si>
    <t>CPSWACHU</t>
  </si>
  <si>
    <t>WAUCHULA</t>
  </si>
  <si>
    <t>95968</t>
  </si>
  <si>
    <t>95980</t>
  </si>
  <si>
    <t>SOARCIT02</t>
  </si>
  <si>
    <t>Soar Citrus Mix</t>
  </si>
  <si>
    <t>CPSIMMOK</t>
  </si>
  <si>
    <t>IMMOKALEE</t>
  </si>
  <si>
    <t>95996</t>
  </si>
  <si>
    <t>Vented Dyna Flo Humic 15%</t>
  </si>
  <si>
    <t>96008</t>
  </si>
  <si>
    <t>CPSPARRI</t>
  </si>
  <si>
    <t>PARRISH</t>
  </si>
  <si>
    <t>96013</t>
  </si>
  <si>
    <t>FLOPHOS30</t>
  </si>
  <si>
    <t>Dyna Phos</t>
  </si>
  <si>
    <t>GAL13.15</t>
  </si>
  <si>
    <t>96074</t>
  </si>
  <si>
    <t>GOLDMZF250</t>
  </si>
  <si>
    <t>96076</t>
  </si>
  <si>
    <t>ZON180902</t>
  </si>
  <si>
    <t>Dyna Zone 18-0-9</t>
  </si>
  <si>
    <t>SOARMIC02</t>
  </si>
  <si>
    <t>Soar Micronutrient Mix</t>
  </si>
  <si>
    <t>GAL11.35</t>
  </si>
  <si>
    <t>SOARPOT250</t>
  </si>
  <si>
    <t>Soar Potato</t>
  </si>
  <si>
    <t>96091</t>
  </si>
  <si>
    <t>PARKER, JERROD</t>
  </si>
  <si>
    <t>04</t>
  </si>
  <si>
    <t>SPIVEYFA</t>
  </si>
  <si>
    <t>HOPEWELL</t>
  </si>
  <si>
    <t>95923</t>
  </si>
  <si>
    <t>FLO15001602</t>
  </si>
  <si>
    <t>Vented pHury</t>
  </si>
  <si>
    <t>GAL12.64</t>
  </si>
  <si>
    <t>VELASCONAZARIO</t>
  </si>
  <si>
    <t>95928</t>
  </si>
  <si>
    <t>MAC927YM3</t>
  </si>
  <si>
    <t>Dyna Flo 9-2-7YM3</t>
  </si>
  <si>
    <t>SOUTHERNHILL</t>
  </si>
  <si>
    <t>SCHOFIELD</t>
  </si>
  <si>
    <t>95933</t>
  </si>
  <si>
    <t>FERRISFA</t>
  </si>
  <si>
    <t>TOMATOES</t>
  </si>
  <si>
    <t>95934</t>
  </si>
  <si>
    <t>MAC626YM</t>
  </si>
  <si>
    <t>Dyna Flo 6-2-6YM</t>
  </si>
  <si>
    <t>GUTIERREZA</t>
  </si>
  <si>
    <t>AL SIMMONS RD</t>
  </si>
  <si>
    <t>95935</t>
  </si>
  <si>
    <t>WISHFARMS</t>
  </si>
  <si>
    <t>95936</t>
  </si>
  <si>
    <t>FLO150016250</t>
  </si>
  <si>
    <t>GERALDWI</t>
  </si>
  <si>
    <t>JAUDON RD</t>
  </si>
  <si>
    <t>95937</t>
  </si>
  <si>
    <t>MIKELOTT</t>
  </si>
  <si>
    <t>SHADY ACRE</t>
  </si>
  <si>
    <t>95938</t>
  </si>
  <si>
    <t>FRANKLIN</t>
  </si>
  <si>
    <t>FRANKLIN FARM</t>
  </si>
  <si>
    <t>95941</t>
  </si>
  <si>
    <t>MAC2510XD</t>
  </si>
  <si>
    <t>Dyna Flo 2-5-10 XD</t>
  </si>
  <si>
    <t>ROQUEFARMS</t>
  </si>
  <si>
    <t>MEEKHORIZON</t>
  </si>
  <si>
    <t>95943</t>
  </si>
  <si>
    <t>95944</t>
  </si>
  <si>
    <t>MAC626YM11</t>
  </si>
  <si>
    <t>Dyna Flo 6-2-6YM11</t>
  </si>
  <si>
    <t>PEPPERBERRY</t>
  </si>
  <si>
    <t>NESMITH-E.SIDE</t>
  </si>
  <si>
    <t>95945</t>
  </si>
  <si>
    <t>FLORIDAAG</t>
  </si>
  <si>
    <t>DOVER</t>
  </si>
  <si>
    <t>95946</t>
  </si>
  <si>
    <t>FLOPHOS02</t>
  </si>
  <si>
    <t>95947</t>
  </si>
  <si>
    <t>MAC425YM</t>
  </si>
  <si>
    <t>Dyna Flo 4-2-5YM</t>
  </si>
  <si>
    <t>FANCYFAR</t>
  </si>
  <si>
    <t>FUTCH LOOP-CTR.</t>
  </si>
  <si>
    <t>95948</t>
  </si>
  <si>
    <t>MAC528YM1</t>
  </si>
  <si>
    <t>Dyna Flo 5-2-8YM1</t>
  </si>
  <si>
    <t>CHANFARM</t>
  </si>
  <si>
    <t>KNIGHTS GRIFFIN</t>
  </si>
  <si>
    <t>95950</t>
  </si>
  <si>
    <t>MAC828YM5</t>
  </si>
  <si>
    <t>Dyna Flo 8-2-8YM5</t>
  </si>
  <si>
    <t>KINGSWAY</t>
  </si>
  <si>
    <t>95951</t>
  </si>
  <si>
    <t>MAC429YM</t>
  </si>
  <si>
    <t>Dyna Flo 4-2-9YM</t>
  </si>
  <si>
    <t>GUTIERREZDAN</t>
  </si>
  <si>
    <t>FRUIT STAND</t>
  </si>
  <si>
    <t>95952</t>
  </si>
  <si>
    <t>CHAVEZJOR</t>
  </si>
  <si>
    <t>JOSE' CHAV- COD</t>
  </si>
  <si>
    <t>95954</t>
  </si>
  <si>
    <t>MAC927YM1</t>
  </si>
  <si>
    <t>Dyna Flo 9-2-7YM1</t>
  </si>
  <si>
    <t>ELIASCEDILLO</t>
  </si>
  <si>
    <t>TRAPNELL</t>
  </si>
  <si>
    <t>95956</t>
  </si>
  <si>
    <t>GILLMANBUDD</t>
  </si>
  <si>
    <t>FORBES</t>
  </si>
  <si>
    <t>95957</t>
  </si>
  <si>
    <t>JOSEHERN</t>
  </si>
  <si>
    <t>TRAPNELL RD/E</t>
  </si>
  <si>
    <t>95958</t>
  </si>
  <si>
    <t>95959</t>
  </si>
  <si>
    <t>SWEETLIFE</t>
  </si>
  <si>
    <t>SWINDLES</t>
  </si>
  <si>
    <t>95962</t>
  </si>
  <si>
    <t>VENTURAFARMS</t>
  </si>
  <si>
    <t>95963</t>
  </si>
  <si>
    <t>MERCEDCH</t>
  </si>
  <si>
    <t>95964</t>
  </si>
  <si>
    <t>MAC1046YM</t>
  </si>
  <si>
    <t>Dyna Flo 10-4-6 YM</t>
  </si>
  <si>
    <t>JOEPENA</t>
  </si>
  <si>
    <t>HWY 92</t>
  </si>
  <si>
    <t>95965</t>
  </si>
  <si>
    <t>MAC608YB5</t>
  </si>
  <si>
    <t>Dyna Flo 6-0-8 YB5</t>
  </si>
  <si>
    <t>IFASGULF</t>
  </si>
  <si>
    <t>BALM-STRAWBERRY</t>
  </si>
  <si>
    <t>95970</t>
  </si>
  <si>
    <t>HWY62</t>
  </si>
  <si>
    <t>95972</t>
  </si>
  <si>
    <t>CIRCLEGF&amp;R LLC</t>
  </si>
  <si>
    <t>KNIGHTS-N-#16</t>
  </si>
  <si>
    <t>95974</t>
  </si>
  <si>
    <t>95975</t>
  </si>
  <si>
    <t>EWSIMMON</t>
  </si>
  <si>
    <t>DRAWDY ROAD</t>
  </si>
  <si>
    <t>95976</t>
  </si>
  <si>
    <t>95977</t>
  </si>
  <si>
    <t>MAC628YM8M</t>
  </si>
  <si>
    <t>Dyna Flo 6-2-8YM8M w/Merge</t>
  </si>
  <si>
    <t>95979</t>
  </si>
  <si>
    <t>ALVAREZJ</t>
  </si>
  <si>
    <t>MOORESLAKE</t>
  </si>
  <si>
    <t>95981</t>
  </si>
  <si>
    <t>JOE KING RD</t>
  </si>
  <si>
    <t>95983</t>
  </si>
  <si>
    <t>WASHINGTON</t>
  </si>
  <si>
    <t>95985</t>
  </si>
  <si>
    <t>CHARLIEG-LLC</t>
  </si>
  <si>
    <t>95986</t>
  </si>
  <si>
    <t>LAMPP ROAD</t>
  </si>
  <si>
    <t>95987</t>
  </si>
  <si>
    <t>PARKESDA</t>
  </si>
  <si>
    <t>RANDALL</t>
  </si>
  <si>
    <t>95990</t>
  </si>
  <si>
    <t>MAC737YM</t>
  </si>
  <si>
    <t>Dyna Flo 7-3-7 YM</t>
  </si>
  <si>
    <t>ELIASGUT</t>
  </si>
  <si>
    <t>WALLACE BRANCH</t>
  </si>
  <si>
    <t>95992</t>
  </si>
  <si>
    <t>MAC628YM8</t>
  </si>
  <si>
    <t>Dyna Flo 6-2-8YM8</t>
  </si>
  <si>
    <t>FAVORITE</t>
  </si>
  <si>
    <t>MCINTOSH ROAD</t>
  </si>
  <si>
    <t>95993</t>
  </si>
  <si>
    <t>MAC628YZ1</t>
  </si>
  <si>
    <t>Dyna Flo 6-2-8YZ1</t>
  </si>
  <si>
    <t>SAMALLEN</t>
  </si>
  <si>
    <t>95995</t>
  </si>
  <si>
    <t>95997</t>
  </si>
  <si>
    <t>MAC523YP1</t>
  </si>
  <si>
    <t>Dyna Flo 5-2-3 YP1</t>
  </si>
  <si>
    <t>TRUEALGAE</t>
  </si>
  <si>
    <t>95998</t>
  </si>
  <si>
    <t>95999</t>
  </si>
  <si>
    <t>FLO150002</t>
  </si>
  <si>
    <t>Dyna Flo 15-0-0 with Minors</t>
  </si>
  <si>
    <t>GAL09.38</t>
  </si>
  <si>
    <t>96000</t>
  </si>
  <si>
    <t>STEVEMAT</t>
  </si>
  <si>
    <t>DRAWDY</t>
  </si>
  <si>
    <t>96001</t>
  </si>
  <si>
    <t>MAC734XH</t>
  </si>
  <si>
    <t>Dyna Flo 7-3-4XH</t>
  </si>
  <si>
    <t>BILOXI</t>
  </si>
  <si>
    <t>96003</t>
  </si>
  <si>
    <t>SYDNEY RD</t>
  </si>
  <si>
    <t>96004</t>
  </si>
  <si>
    <t>MCGEE RD. SOUTH</t>
  </si>
  <si>
    <t>96005</t>
  </si>
  <si>
    <t>SPRINGHEAD</t>
  </si>
  <si>
    <t>96006</t>
  </si>
  <si>
    <t>HILLSBOROUGH</t>
  </si>
  <si>
    <t>96007</t>
  </si>
  <si>
    <t>96009</t>
  </si>
  <si>
    <t>SWINDLEN</t>
  </si>
  <si>
    <t>96010</t>
  </si>
  <si>
    <t>WILDER LOOP</t>
  </si>
  <si>
    <t>96011</t>
  </si>
  <si>
    <t>96012</t>
  </si>
  <si>
    <t>WILDER RD.</t>
  </si>
  <si>
    <t>96014</t>
  </si>
  <si>
    <t>MCGEE RD.</t>
  </si>
  <si>
    <t>96015</t>
  </si>
  <si>
    <t>96017</t>
  </si>
  <si>
    <t>M&amp;GFARMS</t>
  </si>
  <si>
    <t>ALLENRD</t>
  </si>
  <si>
    <t>96018</t>
  </si>
  <si>
    <t>FRAZIER</t>
  </si>
  <si>
    <t>96020</t>
  </si>
  <si>
    <t>RED BARN</t>
  </si>
  <si>
    <t>96021</t>
  </si>
  <si>
    <t>96022</t>
  </si>
  <si>
    <t>HOUSE</t>
  </si>
  <si>
    <t>96023</t>
  </si>
  <si>
    <t>MAC927YM5</t>
  </si>
  <si>
    <t>Dyna Flo 9-2-7YM5 w/Merge</t>
  </si>
  <si>
    <t>96024</t>
  </si>
  <si>
    <t>THREESTA</t>
  </si>
  <si>
    <t>BILLY GREEN</t>
  </si>
  <si>
    <t>96026A</t>
  </si>
  <si>
    <t>MAC426YM2</t>
  </si>
  <si>
    <t>Dyna Flo 4-2-6YM2</t>
  </si>
  <si>
    <t>BLACKBERRIES</t>
  </si>
  <si>
    <t>96027</t>
  </si>
  <si>
    <t>MAC707YB13</t>
  </si>
  <si>
    <t>Dyna Flo 7-0-7YB13</t>
  </si>
  <si>
    <t>COLSON RD</t>
  </si>
  <si>
    <t>96028</t>
  </si>
  <si>
    <t>KNIGHTS-N-#12</t>
  </si>
  <si>
    <t>96029</t>
  </si>
  <si>
    <t>JESS WALDEN</t>
  </si>
  <si>
    <t>96030</t>
  </si>
  <si>
    <t>ALS - NORTH</t>
  </si>
  <si>
    <t>96031</t>
  </si>
  <si>
    <t>JGRANCH</t>
  </si>
  <si>
    <t>WISCON RD.</t>
  </si>
  <si>
    <t>96032</t>
  </si>
  <si>
    <t>SOUTH DOVER</t>
  </si>
  <si>
    <t>96033</t>
  </si>
  <si>
    <t>DRANE FIELD</t>
  </si>
  <si>
    <t>96035</t>
  </si>
  <si>
    <t>96036</t>
  </si>
  <si>
    <t>TURKEY CREEK</t>
  </si>
  <si>
    <t>96038</t>
  </si>
  <si>
    <t>96039</t>
  </si>
  <si>
    <t>PHURYPHOS30</t>
  </si>
  <si>
    <t>pHury Phos</t>
  </si>
  <si>
    <t>GAL12.95</t>
  </si>
  <si>
    <t>SANCHEZFARM</t>
  </si>
  <si>
    <t>WACHULA</t>
  </si>
  <si>
    <t>96041</t>
  </si>
  <si>
    <t>96042</t>
  </si>
  <si>
    <t>MAC527YM18</t>
  </si>
  <si>
    <t>Dyna Flo 5-2-7YM18</t>
  </si>
  <si>
    <t>COUNTY LINE RD</t>
  </si>
  <si>
    <t>96043</t>
  </si>
  <si>
    <t>ROGERS</t>
  </si>
  <si>
    <t>96044</t>
  </si>
  <si>
    <t>MAC727YM3</t>
  </si>
  <si>
    <t>Dyna Flo 7-2-7YM3</t>
  </si>
  <si>
    <t>96045</t>
  </si>
  <si>
    <t>96049</t>
  </si>
  <si>
    <t>BETHLEHEM ROAD</t>
  </si>
  <si>
    <t>96050</t>
  </si>
  <si>
    <t>BRYANT S</t>
  </si>
  <si>
    <t>96051</t>
  </si>
  <si>
    <t>96052</t>
  </si>
  <si>
    <t>COLORFULH</t>
  </si>
  <si>
    <t>SMITH RYALS</t>
  </si>
  <si>
    <t>96053</t>
  </si>
  <si>
    <t>SYDNEYFA</t>
  </si>
  <si>
    <t>FORBES ROAD</t>
  </si>
  <si>
    <t>96054</t>
  </si>
  <si>
    <t>96056</t>
  </si>
  <si>
    <t>CENFLO ORGANICS</t>
  </si>
  <si>
    <t>MCINTOSH</t>
  </si>
  <si>
    <t>96057</t>
  </si>
  <si>
    <t>MAC727YM15</t>
  </si>
  <si>
    <t>Dyna Flo 7-2-7YM15</t>
  </si>
  <si>
    <t>LARRYENN</t>
  </si>
  <si>
    <t>TRAPNELL ROAD</t>
  </si>
  <si>
    <t>96058</t>
  </si>
  <si>
    <t>MENDOZAHEC</t>
  </si>
  <si>
    <t>HWY60</t>
  </si>
  <si>
    <t>96061</t>
  </si>
  <si>
    <t>SR-674</t>
  </si>
  <si>
    <t>96062</t>
  </si>
  <si>
    <t>96064</t>
  </si>
  <si>
    <t>ALONSOFARMS</t>
  </si>
  <si>
    <t>SCARPO</t>
  </si>
  <si>
    <t>96065</t>
  </si>
  <si>
    <t>96067</t>
  </si>
  <si>
    <t>KEENE RD.</t>
  </si>
  <si>
    <t>96068</t>
  </si>
  <si>
    <t>SAMALLEN-NORTH</t>
  </si>
  <si>
    <t>96069</t>
  </si>
  <si>
    <t>96070</t>
  </si>
  <si>
    <t>96071</t>
  </si>
  <si>
    <t>SIMMONS</t>
  </si>
  <si>
    <t>96072</t>
  </si>
  <si>
    <t>96075</t>
  </si>
  <si>
    <t>OMFISHEM250</t>
  </si>
  <si>
    <t>Omega Grow Fish Emulsion Protein 5-1-1</t>
  </si>
  <si>
    <t>GAL09.50</t>
  </si>
  <si>
    <t>96077</t>
  </si>
  <si>
    <t>CARLTONTHOMAS</t>
  </si>
  <si>
    <t>GRANGEHALL</t>
  </si>
  <si>
    <t>96078</t>
  </si>
  <si>
    <t>MAC628YM19</t>
  </si>
  <si>
    <t>Dyna Flo 6-2-8YM19</t>
  </si>
  <si>
    <t>96080</t>
  </si>
  <si>
    <t>96083</t>
  </si>
  <si>
    <t>96084</t>
  </si>
  <si>
    <t>96085</t>
  </si>
  <si>
    <t>FORBES RD</t>
  </si>
  <si>
    <t>96086</t>
  </si>
  <si>
    <t>96087</t>
  </si>
  <si>
    <t>THE HILL/SMALL</t>
  </si>
  <si>
    <t>96088</t>
  </si>
  <si>
    <t>MAC646YM</t>
  </si>
  <si>
    <t>Dyna Flo 6-4-6 YM</t>
  </si>
  <si>
    <t>ALS - SOUTH</t>
  </si>
  <si>
    <t>96089</t>
  </si>
  <si>
    <t>96090</t>
  </si>
  <si>
    <t>96093</t>
  </si>
  <si>
    <t>BHALL</t>
  </si>
  <si>
    <t>UFPSUNIT</t>
  </si>
  <si>
    <t>CITRA FARM</t>
  </si>
  <si>
    <t>96094</t>
  </si>
  <si>
    <t>MAC608YB1</t>
  </si>
  <si>
    <t>Dyna Flo 6-0-8YB1</t>
  </si>
  <si>
    <t>JERRY SMITH RD</t>
  </si>
  <si>
    <t>96095</t>
  </si>
  <si>
    <t>96096</t>
  </si>
  <si>
    <t>96104</t>
  </si>
  <si>
    <t>96105</t>
  </si>
  <si>
    <t>05</t>
  </si>
  <si>
    <t>COASTALAGSUPPLY</t>
  </si>
  <si>
    <t>MULBERRY</t>
  </si>
  <si>
    <t>95924</t>
  </si>
  <si>
    <t>FLO31818250</t>
  </si>
  <si>
    <t>Dyna Flo 3-18-18</t>
  </si>
  <si>
    <t>95926</t>
  </si>
  <si>
    <t>MAC936XU1</t>
  </si>
  <si>
    <t>Dyna Flo 9-3-6XU1</t>
  </si>
  <si>
    <t>SOUTHERN</t>
  </si>
  <si>
    <t>SOUTHERN AG</t>
  </si>
  <si>
    <t>95942</t>
  </si>
  <si>
    <t>Dyna Zone 18-3-6</t>
  </si>
  <si>
    <t>95988</t>
  </si>
  <si>
    <t>96047</t>
  </si>
  <si>
    <t>CPSHOMES</t>
  </si>
  <si>
    <t>HOMESTEAD</t>
  </si>
  <si>
    <t>96073</t>
  </si>
  <si>
    <t>PARKER,J.</t>
  </si>
  <si>
    <t>08</t>
  </si>
  <si>
    <t>PLANTCITY</t>
  </si>
  <si>
    <t>95991</t>
  </si>
  <si>
    <t>MAC848H</t>
  </si>
  <si>
    <t>Dyna Flo 8-4-8 H</t>
  </si>
  <si>
    <t>96055</t>
  </si>
  <si>
    <t>FLO15001630</t>
  </si>
  <si>
    <t>KEVIN</t>
  </si>
  <si>
    <t>09</t>
  </si>
  <si>
    <t>NUTRATURF</t>
  </si>
  <si>
    <t>CRUMP ST, NC</t>
  </si>
  <si>
    <t>95921</t>
  </si>
  <si>
    <t>SORCA55</t>
  </si>
  <si>
    <t>Dyna Cal 10.25%</t>
  </si>
  <si>
    <t>GAL12.00</t>
  </si>
  <si>
    <t>GOLDCA55</t>
  </si>
  <si>
    <t>Dyna Gold Calcium 8.25%</t>
  </si>
  <si>
    <t>GOLDCANB55</t>
  </si>
  <si>
    <t>Dyna Gold Cal-N-B</t>
  </si>
  <si>
    <t>GOLDMG55</t>
  </si>
  <si>
    <t>Dyna Gold Magnesium 4%</t>
  </si>
  <si>
    <t>GOLDMN55</t>
  </si>
  <si>
    <t>Dyna Gold Manganese 5%</t>
  </si>
  <si>
    <t>ZON1836250</t>
  </si>
  <si>
    <t>ZONN2855</t>
  </si>
  <si>
    <t>Dyna Zone N28</t>
  </si>
  <si>
    <t>FLO515102</t>
  </si>
  <si>
    <t>Vented Dyna Flo 5-15-1</t>
  </si>
  <si>
    <t>GAL10.10</t>
  </si>
  <si>
    <t>GOLDVEG250</t>
  </si>
  <si>
    <t>Vented Dyna Gold Vegetable Mix</t>
  </si>
  <si>
    <t>GAL10.90</t>
  </si>
  <si>
    <t>AGRIBUSI</t>
  </si>
  <si>
    <t>GREENPOINTAG</t>
  </si>
  <si>
    <t>95969</t>
  </si>
  <si>
    <t>GOLDBOR10250</t>
  </si>
  <si>
    <t>Agri Plex Boron 10%</t>
  </si>
  <si>
    <t>GREENRES</t>
  </si>
  <si>
    <t>OCEAN HWY-NC</t>
  </si>
  <si>
    <t>96048</t>
  </si>
  <si>
    <t>Dyna Flo  0-0-25 17</t>
  </si>
  <si>
    <t>FLOKTS55</t>
  </si>
  <si>
    <t>CDI</t>
  </si>
  <si>
    <t>96079</t>
  </si>
  <si>
    <t>NPKAWAKEN</t>
  </si>
  <si>
    <t>Awaken 16-0-2</t>
  </si>
  <si>
    <t>POINTEWEST</t>
  </si>
  <si>
    <t>96128</t>
  </si>
  <si>
    <t>96140</t>
  </si>
  <si>
    <t>USC8FE02</t>
  </si>
  <si>
    <t>96190</t>
  </si>
  <si>
    <t>LEGACYCC</t>
  </si>
  <si>
    <t>96215</t>
  </si>
  <si>
    <t>GROMN02</t>
  </si>
  <si>
    <t>96282</t>
  </si>
  <si>
    <t>96283</t>
  </si>
  <si>
    <t>96329</t>
  </si>
  <si>
    <t>ALMBGRE02</t>
  </si>
  <si>
    <t>Beauti Green</t>
  </si>
  <si>
    <t>Green Magic</t>
  </si>
  <si>
    <t>ALMKGRE02</t>
  </si>
  <si>
    <t>K Green</t>
  </si>
  <si>
    <t>GAL12.20</t>
  </si>
  <si>
    <t>96116</t>
  </si>
  <si>
    <t>Repack: Carbotein</t>
  </si>
  <si>
    <t>Repack: Penterra</t>
  </si>
  <si>
    <t>CPSOKEE</t>
  </si>
  <si>
    <t>OKEE-LIQ PLANT</t>
  </si>
  <si>
    <t>96135</t>
  </si>
  <si>
    <t>CHEMDYNA</t>
  </si>
  <si>
    <t>R&amp;D</t>
  </si>
  <si>
    <t>96156</t>
  </si>
  <si>
    <t>DYNASURF02</t>
  </si>
  <si>
    <t>Dynasurf</t>
  </si>
  <si>
    <t>GAL09.55</t>
  </si>
  <si>
    <t>TRENTON</t>
  </si>
  <si>
    <t>96176</t>
  </si>
  <si>
    <t>Dyna Boron 10%</t>
  </si>
  <si>
    <t>96218</t>
  </si>
  <si>
    <t>GLADESFORM</t>
  </si>
  <si>
    <t>96235A</t>
  </si>
  <si>
    <t>CHEGLUCOGR50250</t>
  </si>
  <si>
    <t>Glucoheptonate GR-50 NVM consignment CDI in 250</t>
  </si>
  <si>
    <t>96240</t>
  </si>
  <si>
    <t>PHYLO02</t>
  </si>
  <si>
    <t>pHylo</t>
  </si>
  <si>
    <t>GAL10.40</t>
  </si>
  <si>
    <t>96255</t>
  </si>
  <si>
    <t>96286</t>
  </si>
  <si>
    <t>GOLD606250</t>
  </si>
  <si>
    <t>Dyna Gold 6-0-6 w Minors</t>
  </si>
  <si>
    <t>BIGEARTH</t>
  </si>
  <si>
    <t>TAMPA</t>
  </si>
  <si>
    <t>96381</t>
  </si>
  <si>
    <t>BEYETI02</t>
  </si>
  <si>
    <t>Yeti Tracks</t>
  </si>
  <si>
    <t>GAL09.07</t>
  </si>
  <si>
    <t>96382</t>
  </si>
  <si>
    <t>G&amp;DFARMS</t>
  </si>
  <si>
    <t>MIDDLE</t>
  </si>
  <si>
    <t>96106</t>
  </si>
  <si>
    <t>MAC628YM5</t>
  </si>
  <si>
    <t>Dyna Flo 6-2-8YM5 w/integrate 80</t>
  </si>
  <si>
    <t>TRIANGLE</t>
  </si>
  <si>
    <t>TRIANGLE/LAKEPL</t>
  </si>
  <si>
    <t>96123</t>
  </si>
  <si>
    <t>GRO1311619250</t>
  </si>
  <si>
    <t>Citra Guard XP</t>
  </si>
  <si>
    <t>GAL12.66</t>
  </si>
  <si>
    <t>POWER LINE</t>
  </si>
  <si>
    <t>96142</t>
  </si>
  <si>
    <t>96148</t>
  </si>
  <si>
    <t>96159</t>
  </si>
  <si>
    <t>96169</t>
  </si>
  <si>
    <t>HOWARDFE</t>
  </si>
  <si>
    <t>HOWARD/BOYNTON</t>
  </si>
  <si>
    <t>96231</t>
  </si>
  <si>
    <t>MRCCCN02</t>
  </si>
  <si>
    <t>96260</t>
  </si>
  <si>
    <t>96261</t>
  </si>
  <si>
    <t/>
  </si>
  <si>
    <t>CPSMULB</t>
  </si>
  <si>
    <t>UAP/MULBERRY</t>
  </si>
  <si>
    <t>96272</t>
  </si>
  <si>
    <t>SORCA250</t>
  </si>
  <si>
    <t>96333</t>
  </si>
  <si>
    <t>96335</t>
  </si>
  <si>
    <t>NORTH TANK</t>
  </si>
  <si>
    <t>96343</t>
  </si>
  <si>
    <t>96379</t>
  </si>
  <si>
    <t>96383</t>
  </si>
  <si>
    <t>96101</t>
  </si>
  <si>
    <t>96102</t>
  </si>
  <si>
    <t>MAC429L</t>
  </si>
  <si>
    <t>Dyna Flo 4-2-9 L</t>
  </si>
  <si>
    <t>FCFARMS</t>
  </si>
  <si>
    <t>PEEPLES</t>
  </si>
  <si>
    <t>96103</t>
  </si>
  <si>
    <t>PALMAJOSE</t>
  </si>
  <si>
    <t>96107</t>
  </si>
  <si>
    <t>96109</t>
  </si>
  <si>
    <t>CORK</t>
  </si>
  <si>
    <t>96110</t>
  </si>
  <si>
    <t>96111</t>
  </si>
  <si>
    <t>LEE GILLM</t>
  </si>
  <si>
    <t>COW PENS/WEST</t>
  </si>
  <si>
    <t>96112</t>
  </si>
  <si>
    <t>BEAUCHAMP</t>
  </si>
  <si>
    <t>ONION FIELD</t>
  </si>
  <si>
    <t>96114</t>
  </si>
  <si>
    <t>MAC527YM21M</t>
  </si>
  <si>
    <t>Dyna Flo 5-2-7YM21M w/Merge</t>
  </si>
  <si>
    <t>DAIRY</t>
  </si>
  <si>
    <t>96115</t>
  </si>
  <si>
    <t>SWEETFARMS</t>
  </si>
  <si>
    <t>JIMJOHNSON</t>
  </si>
  <si>
    <t>96117</t>
  </si>
  <si>
    <t>KEYSVILLE N</t>
  </si>
  <si>
    <t>96119</t>
  </si>
  <si>
    <t>HWY 39</t>
  </si>
  <si>
    <t>96120</t>
  </si>
  <si>
    <t>HWY92</t>
  </si>
  <si>
    <t>96121</t>
  </si>
  <si>
    <t>96122</t>
  </si>
  <si>
    <t>KNIGHTS-N-#13</t>
  </si>
  <si>
    <t>96124</t>
  </si>
  <si>
    <t>96125</t>
  </si>
  <si>
    <t>SPARKMAN</t>
  </si>
  <si>
    <t>96126</t>
  </si>
  <si>
    <t>96127</t>
  </si>
  <si>
    <t>BOBCAT</t>
  </si>
  <si>
    <t>96130</t>
  </si>
  <si>
    <t>HILL</t>
  </si>
  <si>
    <t>96131</t>
  </si>
  <si>
    <t>GALLAGHER</t>
  </si>
  <si>
    <t>96132</t>
  </si>
  <si>
    <t>TOMGALLAGHER</t>
  </si>
  <si>
    <t>96133</t>
  </si>
  <si>
    <t>96134</t>
  </si>
  <si>
    <t>HINTONFA</t>
  </si>
  <si>
    <t>SYDNEY NORTH</t>
  </si>
  <si>
    <t>96136</t>
  </si>
  <si>
    <t>GALLAGHER ROAD</t>
  </si>
  <si>
    <t>96137</t>
  </si>
  <si>
    <t>96138</t>
  </si>
  <si>
    <t>HWY 640</t>
  </si>
  <si>
    <t>96139</t>
  </si>
  <si>
    <t>96141</t>
  </si>
  <si>
    <t>PUMP4</t>
  </si>
  <si>
    <t>96144</t>
  </si>
  <si>
    <t>GEORGESP</t>
  </si>
  <si>
    <t>96145</t>
  </si>
  <si>
    <t>HAREFAMILYLN</t>
  </si>
  <si>
    <t>96146</t>
  </si>
  <si>
    <t>TURKEYCREEKHILL</t>
  </si>
  <si>
    <t>96147</t>
  </si>
  <si>
    <t>BONIFACIO</t>
  </si>
  <si>
    <t>CORONET</t>
  </si>
  <si>
    <t>96149</t>
  </si>
  <si>
    <t>96150</t>
  </si>
  <si>
    <t>SLATEN</t>
  </si>
  <si>
    <t>96151</t>
  </si>
  <si>
    <t>96152</t>
  </si>
  <si>
    <t>THEHILL</t>
  </si>
  <si>
    <t>96153</t>
  </si>
  <si>
    <t>96154</t>
  </si>
  <si>
    <t>96157</t>
  </si>
  <si>
    <t>96158</t>
  </si>
  <si>
    <t>96160</t>
  </si>
  <si>
    <t>96161</t>
  </si>
  <si>
    <t>THE HILL</t>
  </si>
  <si>
    <t>96162</t>
  </si>
  <si>
    <t>96163</t>
  </si>
  <si>
    <t>TRAPNELL RD.</t>
  </si>
  <si>
    <t>96164</t>
  </si>
  <si>
    <t>96165</t>
  </si>
  <si>
    <t>96166</t>
  </si>
  <si>
    <t>96167</t>
  </si>
  <si>
    <t>96171</t>
  </si>
  <si>
    <t>WILDER RD/WEST</t>
  </si>
  <si>
    <t>96172</t>
  </si>
  <si>
    <t>96173</t>
  </si>
  <si>
    <t>FORBES/SLATON</t>
  </si>
  <si>
    <t>96174</t>
  </si>
  <si>
    <t>96175</t>
  </si>
  <si>
    <t>96180</t>
  </si>
  <si>
    <t>NESMITH ROAD</t>
  </si>
  <si>
    <t>96181</t>
  </si>
  <si>
    <t>96182</t>
  </si>
  <si>
    <t>96183</t>
  </si>
  <si>
    <t>96185</t>
  </si>
  <si>
    <t>96187</t>
  </si>
  <si>
    <t>MCGEE RD. NORTH</t>
  </si>
  <si>
    <t>96188</t>
  </si>
  <si>
    <t>SOUTHTANK</t>
  </si>
  <si>
    <t>96189</t>
  </si>
  <si>
    <t>96191</t>
  </si>
  <si>
    <t>96192</t>
  </si>
  <si>
    <t>96193</t>
  </si>
  <si>
    <t>96194</t>
  </si>
  <si>
    <t>96195</t>
  </si>
  <si>
    <t>96196</t>
  </si>
  <si>
    <t>96197</t>
  </si>
  <si>
    <t>96198</t>
  </si>
  <si>
    <t>96199</t>
  </si>
  <si>
    <t>FORBES RD/SOUTH</t>
  </si>
  <si>
    <t>96200</t>
  </si>
  <si>
    <t>96201</t>
  </si>
  <si>
    <t>96202</t>
  </si>
  <si>
    <t>96203</t>
  </si>
  <si>
    <t>FLOCATS30</t>
  </si>
  <si>
    <t>Dyna Flo Calcium Thiosulfate</t>
  </si>
  <si>
    <t>96204</t>
  </si>
  <si>
    <t>SWEETWATER</t>
  </si>
  <si>
    <t>96205</t>
  </si>
  <si>
    <t>CASON ROAD</t>
  </si>
  <si>
    <t>96206</t>
  </si>
  <si>
    <t>BRIDGE</t>
  </si>
  <si>
    <t>96207</t>
  </si>
  <si>
    <t>96208</t>
  </si>
  <si>
    <t>JOHN DEER POND</t>
  </si>
  <si>
    <t>96209</t>
  </si>
  <si>
    <t>96210</t>
  </si>
  <si>
    <t>96213</t>
  </si>
  <si>
    <t>96216</t>
  </si>
  <si>
    <t>PORTER HA</t>
  </si>
  <si>
    <t>PASTURE</t>
  </si>
  <si>
    <t>96217</t>
  </si>
  <si>
    <t>96219</t>
  </si>
  <si>
    <t>96220</t>
  </si>
  <si>
    <t>96221</t>
  </si>
  <si>
    <t>96222</t>
  </si>
  <si>
    <t>WALDEN-SHEFFIEL</t>
  </si>
  <si>
    <t>96223</t>
  </si>
  <si>
    <t>96224</t>
  </si>
  <si>
    <t>GAONA, ESPER</t>
  </si>
  <si>
    <t>SMOKINACES</t>
  </si>
  <si>
    <t>96226</t>
  </si>
  <si>
    <t>96227</t>
  </si>
  <si>
    <t>96228</t>
  </si>
  <si>
    <t>96229</t>
  </si>
  <si>
    <t>96230</t>
  </si>
  <si>
    <t>CHANCY</t>
  </si>
  <si>
    <t>96236</t>
  </si>
  <si>
    <t>96237</t>
  </si>
  <si>
    <t>96238</t>
  </si>
  <si>
    <t>SAMALLEN-SOUTH</t>
  </si>
  <si>
    <t>96239</t>
  </si>
  <si>
    <t>96241</t>
  </si>
  <si>
    <t>96242</t>
  </si>
  <si>
    <t>96243</t>
  </si>
  <si>
    <t>GOLDMG02</t>
  </si>
  <si>
    <t>GOLDZN02</t>
  </si>
  <si>
    <t>Dyna Gold Zinc 7%</t>
  </si>
  <si>
    <t>96244</t>
  </si>
  <si>
    <t>PHURYPHOS02</t>
  </si>
  <si>
    <t>96245</t>
  </si>
  <si>
    <t>FLOKTS250</t>
  </si>
  <si>
    <t>FLOCATS250</t>
  </si>
  <si>
    <t>THEBARN</t>
  </si>
  <si>
    <t>96246</t>
  </si>
  <si>
    <t>96248</t>
  </si>
  <si>
    <t>BLUEBERRY-NEW</t>
  </si>
  <si>
    <t>96249</t>
  </si>
  <si>
    <t>ALBRITTON</t>
  </si>
  <si>
    <t>96250</t>
  </si>
  <si>
    <t>96251</t>
  </si>
  <si>
    <t>96253</t>
  </si>
  <si>
    <t>96254</t>
  </si>
  <si>
    <t>MAC306X</t>
  </si>
  <si>
    <t>Dyna Flo  3-0-6</t>
  </si>
  <si>
    <t>96256</t>
  </si>
  <si>
    <t>GUILLERMOV</t>
  </si>
  <si>
    <t>96257</t>
  </si>
  <si>
    <t>96258</t>
  </si>
  <si>
    <t>DOWNING/NS</t>
  </si>
  <si>
    <t>96262</t>
  </si>
  <si>
    <t>FLOATS250</t>
  </si>
  <si>
    <t>Dyna Flo Ammonium Thiosulfate</t>
  </si>
  <si>
    <t>GAL11.12</t>
  </si>
  <si>
    <t>FLOATS55</t>
  </si>
  <si>
    <t>96263</t>
  </si>
  <si>
    <t>96264</t>
  </si>
  <si>
    <t>CHAVEZMARTINEZ</t>
  </si>
  <si>
    <t>96265</t>
  </si>
  <si>
    <t>BARRINGTON</t>
  </si>
  <si>
    <t>96267</t>
  </si>
  <si>
    <t>96268</t>
  </si>
  <si>
    <t>96273</t>
  </si>
  <si>
    <t>96274</t>
  </si>
  <si>
    <t>96275</t>
  </si>
  <si>
    <t>96276</t>
  </si>
  <si>
    <t>96279</t>
  </si>
  <si>
    <t>WIAMAUMA</t>
  </si>
  <si>
    <t>96280</t>
  </si>
  <si>
    <t>96281</t>
  </si>
  <si>
    <t>PASTUREPUMP</t>
  </si>
  <si>
    <t>96284</t>
  </si>
  <si>
    <t>96285</t>
  </si>
  <si>
    <t>96287</t>
  </si>
  <si>
    <t>MAC727YM5</t>
  </si>
  <si>
    <t>Dyna Flo 7-2-7YM5</t>
  </si>
  <si>
    <t>96288</t>
  </si>
  <si>
    <t>FOSTERDUKES</t>
  </si>
  <si>
    <t>96289</t>
  </si>
  <si>
    <t>96290</t>
  </si>
  <si>
    <t>MAC406YB12</t>
  </si>
  <si>
    <t>Dyna Flo 4-0-6YB12</t>
  </si>
  <si>
    <t>96292</t>
  </si>
  <si>
    <t>96293</t>
  </si>
  <si>
    <t>LITHIA</t>
  </si>
  <si>
    <t>96294</t>
  </si>
  <si>
    <t>96295</t>
  </si>
  <si>
    <t>DURANT</t>
  </si>
  <si>
    <t>96296</t>
  </si>
  <si>
    <t>96297</t>
  </si>
  <si>
    <t>NEWSOME</t>
  </si>
  <si>
    <t>96298</t>
  </si>
  <si>
    <t>96299</t>
  </si>
  <si>
    <t>FILEMONMARTINEZ</t>
  </si>
  <si>
    <t>96300</t>
  </si>
  <si>
    <t>96301</t>
  </si>
  <si>
    <t>96302</t>
  </si>
  <si>
    <t>SOTERO</t>
  </si>
  <si>
    <t>96303</t>
  </si>
  <si>
    <t>DESHONGK</t>
  </si>
  <si>
    <t>KNIGHTS/SCHOOL</t>
  </si>
  <si>
    <t>96304</t>
  </si>
  <si>
    <t>TURKEY CREEK/EA</t>
  </si>
  <si>
    <t>96305</t>
  </si>
  <si>
    <t>HILLSBOROUGH/E</t>
  </si>
  <si>
    <t>96307</t>
  </si>
  <si>
    <t>96308</t>
  </si>
  <si>
    <t>TGFARMS</t>
  </si>
  <si>
    <t>96309</t>
  </si>
  <si>
    <t>96310</t>
  </si>
  <si>
    <t>96311</t>
  </si>
  <si>
    <t>96312</t>
  </si>
  <si>
    <t>96313</t>
  </si>
  <si>
    <t>MANUELCH</t>
  </si>
  <si>
    <t>96314</t>
  </si>
  <si>
    <t>96315</t>
  </si>
  <si>
    <t>WILLIAMSRD</t>
  </si>
  <si>
    <t>96316</t>
  </si>
  <si>
    <t>REDMAN</t>
  </si>
  <si>
    <t>96317</t>
  </si>
  <si>
    <t>STRAUSS RD.</t>
  </si>
  <si>
    <t>96318</t>
  </si>
  <si>
    <t>96319</t>
  </si>
  <si>
    <t>96320</t>
  </si>
  <si>
    <t>GROCA30</t>
  </si>
  <si>
    <t>Dyna Gro Calcium 11%</t>
  </si>
  <si>
    <t>GAL12.23</t>
  </si>
  <si>
    <t>96321</t>
  </si>
  <si>
    <t>96322</t>
  </si>
  <si>
    <t>96323</t>
  </si>
  <si>
    <t>96325</t>
  </si>
  <si>
    <t>HIGHWAY 39 N</t>
  </si>
  <si>
    <t>96326</t>
  </si>
  <si>
    <t>MAC327YY</t>
  </si>
  <si>
    <t>Dyna Flo 3-2-7YY</t>
  </si>
  <si>
    <t>Repack: Dyna Flo 3-2-7YY</t>
  </si>
  <si>
    <t>HAGGERTY ROAD</t>
  </si>
  <si>
    <t>96328</t>
  </si>
  <si>
    <t>96330</t>
  </si>
  <si>
    <t>96332</t>
  </si>
  <si>
    <t>96336</t>
  </si>
  <si>
    <t>Vented Dyna Flo 32-0-0</t>
  </si>
  <si>
    <t>96337</t>
  </si>
  <si>
    <t>MAC329YM2</t>
  </si>
  <si>
    <t>Dyna Flo 3-2-9YM2</t>
  </si>
  <si>
    <t>96338</t>
  </si>
  <si>
    <t>96340</t>
  </si>
  <si>
    <t>96341</t>
  </si>
  <si>
    <t>96342</t>
  </si>
  <si>
    <t>96345</t>
  </si>
  <si>
    <t>96346</t>
  </si>
  <si>
    <t>TURKEY CRK</t>
  </si>
  <si>
    <t>96347</t>
  </si>
  <si>
    <t>96348</t>
  </si>
  <si>
    <t>96349</t>
  </si>
  <si>
    <t>96350</t>
  </si>
  <si>
    <t>96351</t>
  </si>
  <si>
    <t>96352</t>
  </si>
  <si>
    <t>96353</t>
  </si>
  <si>
    <t>96356</t>
  </si>
  <si>
    <t>96357</t>
  </si>
  <si>
    <t>96358</t>
  </si>
  <si>
    <t>96359</t>
  </si>
  <si>
    <t>96360</t>
  </si>
  <si>
    <t>96361</t>
  </si>
  <si>
    <t>96362</t>
  </si>
  <si>
    <t>96363</t>
  </si>
  <si>
    <t>96364</t>
  </si>
  <si>
    <t>96365</t>
  </si>
  <si>
    <t>96366</t>
  </si>
  <si>
    <t>96367</t>
  </si>
  <si>
    <t>STRABERRIES</t>
  </si>
  <si>
    <t>96368</t>
  </si>
  <si>
    <t>96369</t>
  </si>
  <si>
    <t>96370</t>
  </si>
  <si>
    <t>96371</t>
  </si>
  <si>
    <t>96372</t>
  </si>
  <si>
    <t>96373</t>
  </si>
  <si>
    <t>WOODIES</t>
  </si>
  <si>
    <t>96374</t>
  </si>
  <si>
    <t>PANDORA</t>
  </si>
  <si>
    <t>96375</t>
  </si>
  <si>
    <t>LAWSONFA</t>
  </si>
  <si>
    <t>CARUTHERS RD.</t>
  </si>
  <si>
    <t>96376</t>
  </si>
  <si>
    <t>BENNETT RD</t>
  </si>
  <si>
    <t>96377</t>
  </si>
  <si>
    <t>96378</t>
  </si>
  <si>
    <t>96387</t>
  </si>
  <si>
    <t>96392</t>
  </si>
  <si>
    <t>JERRYSMITH/SO</t>
  </si>
  <si>
    <t>96393</t>
  </si>
  <si>
    <t>96394</t>
  </si>
  <si>
    <t>96118</t>
  </si>
  <si>
    <t>96143</t>
  </si>
  <si>
    <t>FLOQKST02</t>
  </si>
  <si>
    <t>Dyna Flo Quik Start 8-31-3</t>
  </si>
  <si>
    <t>GAL11.65</t>
  </si>
  <si>
    <t>DYEADDICTROPE</t>
  </si>
  <si>
    <t>PRIMARY</t>
  </si>
  <si>
    <t>96178</t>
  </si>
  <si>
    <t>96179</t>
  </si>
  <si>
    <t>IMMOK/ALACHUA</t>
  </si>
  <si>
    <t>96234</t>
  </si>
  <si>
    <t>SOUTHEASTTURF</t>
  </si>
  <si>
    <t>EAGLECREEK</t>
  </si>
  <si>
    <t>96252</t>
  </si>
  <si>
    <t>FLOMOLA250</t>
  </si>
  <si>
    <t>Dyna Flo Molasses</t>
  </si>
  <si>
    <t>GAL11.55</t>
  </si>
  <si>
    <t>NATURALEARTH</t>
  </si>
  <si>
    <t>OVIEDO</t>
  </si>
  <si>
    <t>96269</t>
  </si>
  <si>
    <t>96278</t>
  </si>
  <si>
    <t>96327</t>
  </si>
  <si>
    <t>CPSBOYNTON</t>
  </si>
  <si>
    <t>BOYNTON BCH</t>
  </si>
  <si>
    <t>96334</t>
  </si>
  <si>
    <t>FLO1200602</t>
  </si>
  <si>
    <t>Vented Dyna Flo 12-0-0 6Fe</t>
  </si>
  <si>
    <t>HIGHLANDWOODS</t>
  </si>
  <si>
    <t>96354</t>
  </si>
  <si>
    <t>96385</t>
  </si>
  <si>
    <t>OMFISHEM02</t>
  </si>
  <si>
    <t>96386</t>
  </si>
  <si>
    <t>96395</t>
  </si>
  <si>
    <t>COBB</t>
  </si>
  <si>
    <t>06</t>
  </si>
  <si>
    <t>SIGMAORG</t>
  </si>
  <si>
    <t>BRANSFORD AVE.</t>
  </si>
  <si>
    <t>96266</t>
  </si>
  <si>
    <t>GOLDFE250</t>
  </si>
  <si>
    <t>Dyna Gold Iron 5%</t>
  </si>
  <si>
    <t>GAL10.70</t>
  </si>
  <si>
    <t>07</t>
  </si>
  <si>
    <t>SUNNILAND</t>
  </si>
  <si>
    <t>96380</t>
  </si>
  <si>
    <t>CHEGLUCOGR50CDI</t>
  </si>
  <si>
    <t>Sodium Glucoheptonate</t>
  </si>
  <si>
    <t>96108A</t>
  </si>
  <si>
    <t>MAC845YX</t>
  </si>
  <si>
    <t>Dyna Flo 8-4-5 YX</t>
  </si>
  <si>
    <t>96168</t>
  </si>
  <si>
    <t>MAC3410W</t>
  </si>
  <si>
    <t>Dyna Flo 3-4-10 W</t>
  </si>
  <si>
    <t>TRIANGLE/PC</t>
  </si>
  <si>
    <t>96177</t>
  </si>
  <si>
    <t>96214</t>
  </si>
  <si>
    <t>96233</t>
  </si>
  <si>
    <t>96259</t>
  </si>
  <si>
    <t>CHECITRIC</t>
  </si>
  <si>
    <t>Citric Acid</t>
  </si>
  <si>
    <t>96384</t>
  </si>
  <si>
    <t>DYNABERRY30</t>
  </si>
  <si>
    <t>Dyna Berry</t>
  </si>
  <si>
    <t>GAL10.52</t>
  </si>
  <si>
    <t>CAROLINATU</t>
  </si>
  <si>
    <t>GREENSBORO CC</t>
  </si>
  <si>
    <t>93072A</t>
  </si>
  <si>
    <t>GEORGIA</t>
  </si>
  <si>
    <t>LADSON</t>
  </si>
  <si>
    <t>96129</t>
  </si>
  <si>
    <t>96170</t>
  </si>
  <si>
    <t>INNVICTISINDIAN</t>
  </si>
  <si>
    <t>96211</t>
  </si>
  <si>
    <t>FLO8216250</t>
  </si>
  <si>
    <t>Thrive 8-21-6</t>
  </si>
  <si>
    <t>GAL11.33</t>
  </si>
  <si>
    <t>INTREPID/TUNICA</t>
  </si>
  <si>
    <t>96212</t>
  </si>
  <si>
    <t>96291</t>
  </si>
  <si>
    <t>96355</t>
  </si>
  <si>
    <t>Glucoheptonate GR-50 NVM</t>
  </si>
  <si>
    <t>96457</t>
  </si>
  <si>
    <t>96579</t>
  </si>
  <si>
    <t>96580</t>
  </si>
  <si>
    <t>WELLINGTON</t>
  </si>
  <si>
    <t>96581</t>
  </si>
  <si>
    <t>FLO164802</t>
  </si>
  <si>
    <t>Instant Green +</t>
  </si>
  <si>
    <t>GAL10.30</t>
  </si>
  <si>
    <t>USCMICRO+02</t>
  </si>
  <si>
    <t>96596</t>
  </si>
  <si>
    <t>96597</t>
  </si>
  <si>
    <t>96617</t>
  </si>
  <si>
    <t>96633</t>
  </si>
  <si>
    <t>93850A</t>
  </si>
  <si>
    <t>MISCAGTHR</t>
  </si>
  <si>
    <t>Agro Thrive LFK 3-3-5 Consignment</t>
  </si>
  <si>
    <t>GAL09.81</t>
  </si>
  <si>
    <t>96398</t>
  </si>
  <si>
    <t>PATHWAY</t>
  </si>
  <si>
    <t>TEVER</t>
  </si>
  <si>
    <t>96478</t>
  </si>
  <si>
    <t>FLOMOLA02</t>
  </si>
  <si>
    <t>96493</t>
  </si>
  <si>
    <t>96505</t>
  </si>
  <si>
    <t>96541</t>
  </si>
  <si>
    <t>96556</t>
  </si>
  <si>
    <t>AGB/ROOSEVELT</t>
  </si>
  <si>
    <t>96566</t>
  </si>
  <si>
    <t>SHININGLIGHT</t>
  </si>
  <si>
    <t>96658</t>
  </si>
  <si>
    <t>96396</t>
  </si>
  <si>
    <t>96444</t>
  </si>
  <si>
    <t>96445</t>
  </si>
  <si>
    <t>96471</t>
  </si>
  <si>
    <t>GRO131161900</t>
  </si>
  <si>
    <t>HWY39/62-SOUTH</t>
  </si>
  <si>
    <t>96473</t>
  </si>
  <si>
    <t>MGMT WAY-NC</t>
  </si>
  <si>
    <t>96475</t>
  </si>
  <si>
    <t>FLORIDAF</t>
  </si>
  <si>
    <t>FLORIDA FERTILI</t>
  </si>
  <si>
    <t>96476</t>
  </si>
  <si>
    <t>GRO1713036250</t>
  </si>
  <si>
    <t>Citra Guard XP without Copper</t>
  </si>
  <si>
    <t>GAL12.31</t>
  </si>
  <si>
    <t>96477</t>
  </si>
  <si>
    <t>96501</t>
  </si>
  <si>
    <t>CPSFTPIE</t>
  </si>
  <si>
    <t>FT. PIERCE</t>
  </si>
  <si>
    <t>96502</t>
  </si>
  <si>
    <t>96513</t>
  </si>
  <si>
    <t>STARKEY</t>
  </si>
  <si>
    <t>96536</t>
  </si>
  <si>
    <t>96548</t>
  </si>
  <si>
    <t>96578</t>
  </si>
  <si>
    <t>GOLDFE02</t>
  </si>
  <si>
    <t>GREMN02</t>
  </si>
  <si>
    <t>Dyna Green Manganese 5%</t>
  </si>
  <si>
    <t>96613</t>
  </si>
  <si>
    <t>96615</t>
  </si>
  <si>
    <t>96628</t>
  </si>
  <si>
    <t>96651</t>
  </si>
  <si>
    <t>96653</t>
  </si>
  <si>
    <t>AMERICANAG</t>
  </si>
  <si>
    <t>NUTRIEN/IMMOK</t>
  </si>
  <si>
    <t>96655</t>
  </si>
  <si>
    <t>GRO131161902</t>
  </si>
  <si>
    <t>96661</t>
  </si>
  <si>
    <t>G&amp;D FARMS</t>
  </si>
  <si>
    <t>96666</t>
  </si>
  <si>
    <t>KEENE</t>
  </si>
  <si>
    <t>96397</t>
  </si>
  <si>
    <t>96401</t>
  </si>
  <si>
    <t>96402</t>
  </si>
  <si>
    <t>96403</t>
  </si>
  <si>
    <t>96404</t>
  </si>
  <si>
    <t>KNIGHTS-N/NORTH</t>
  </si>
  <si>
    <t>96405</t>
  </si>
  <si>
    <t>96408</t>
  </si>
  <si>
    <t>96409</t>
  </si>
  <si>
    <t>96410</t>
  </si>
  <si>
    <t>96411</t>
  </si>
  <si>
    <t>96412</t>
  </si>
  <si>
    <t>96417</t>
  </si>
  <si>
    <t>96418</t>
  </si>
  <si>
    <t>96421</t>
  </si>
  <si>
    <t>PHURYMG30</t>
  </si>
  <si>
    <t>pHury w/Magnesium</t>
  </si>
  <si>
    <t>96422</t>
  </si>
  <si>
    <t>96424</t>
  </si>
  <si>
    <t>SPARKMAN RD/S</t>
  </si>
  <si>
    <t>96426</t>
  </si>
  <si>
    <t>THE GROVE</t>
  </si>
  <si>
    <t>96427</t>
  </si>
  <si>
    <t>96428</t>
  </si>
  <si>
    <t>DOWNING/SS</t>
  </si>
  <si>
    <t>96429</t>
  </si>
  <si>
    <t>96430</t>
  </si>
  <si>
    <t>96431</t>
  </si>
  <si>
    <t>96432</t>
  </si>
  <si>
    <t>96433</t>
  </si>
  <si>
    <t>96434</t>
  </si>
  <si>
    <t>96435</t>
  </si>
  <si>
    <t>OLIVERRD</t>
  </si>
  <si>
    <t>96436</t>
  </si>
  <si>
    <t>96437</t>
  </si>
  <si>
    <t>TANNER RD.</t>
  </si>
  <si>
    <t>96438</t>
  </si>
  <si>
    <t>BROCK RD.</t>
  </si>
  <si>
    <t>96441</t>
  </si>
  <si>
    <t>96442</t>
  </si>
  <si>
    <t>96443</t>
  </si>
  <si>
    <t>96446</t>
  </si>
  <si>
    <t>SUMNER</t>
  </si>
  <si>
    <t>96447</t>
  </si>
  <si>
    <t>96448</t>
  </si>
  <si>
    <t>96449</t>
  </si>
  <si>
    <t>96450</t>
  </si>
  <si>
    <t>96451</t>
  </si>
  <si>
    <t>96452</t>
  </si>
  <si>
    <t>96453</t>
  </si>
  <si>
    <t>96454</t>
  </si>
  <si>
    <t>96455</t>
  </si>
  <si>
    <t>96456</t>
  </si>
  <si>
    <t>GOLDCA250</t>
  </si>
  <si>
    <t>CAMMO250</t>
  </si>
  <si>
    <t>Vented Cammo</t>
  </si>
  <si>
    <t>96459</t>
  </si>
  <si>
    <t>96460</t>
  </si>
  <si>
    <t>HAGGERTY-NORTH</t>
  </si>
  <si>
    <t>96461</t>
  </si>
  <si>
    <t>96462</t>
  </si>
  <si>
    <t>96463</t>
  </si>
  <si>
    <t>96464</t>
  </si>
  <si>
    <t>96465</t>
  </si>
  <si>
    <t>96466</t>
  </si>
  <si>
    <t>I-4</t>
  </si>
  <si>
    <t>96467</t>
  </si>
  <si>
    <t>96468</t>
  </si>
  <si>
    <t>96469</t>
  </si>
  <si>
    <t>PHURYMG250</t>
  </si>
  <si>
    <t>BILLS PLACE</t>
  </si>
  <si>
    <t>96470</t>
  </si>
  <si>
    <t>96472</t>
  </si>
  <si>
    <t>96474</t>
  </si>
  <si>
    <t>96479</t>
  </si>
  <si>
    <t>96480</t>
  </si>
  <si>
    <t>96481</t>
  </si>
  <si>
    <t>96482</t>
  </si>
  <si>
    <t>96483</t>
  </si>
  <si>
    <t>CAT POND</t>
  </si>
  <si>
    <t>96484</t>
  </si>
  <si>
    <t>KATHLEEN FARMS</t>
  </si>
  <si>
    <t>BY THE SCHOOL</t>
  </si>
  <si>
    <t>96485</t>
  </si>
  <si>
    <t>PHURYFE250</t>
  </si>
  <si>
    <t>pHury w/Iron</t>
  </si>
  <si>
    <t>GAL12.40</t>
  </si>
  <si>
    <t>PHURYFE30</t>
  </si>
  <si>
    <t>96486</t>
  </si>
  <si>
    <t>96487</t>
  </si>
  <si>
    <t>96488</t>
  </si>
  <si>
    <t>AL SIMMONS</t>
  </si>
  <si>
    <t>96489</t>
  </si>
  <si>
    <t>96490</t>
  </si>
  <si>
    <t>96491</t>
  </si>
  <si>
    <t>96492</t>
  </si>
  <si>
    <t>96494</t>
  </si>
  <si>
    <t>MAC508YF</t>
  </si>
  <si>
    <t>Dyna Flo 5-0-8 YF</t>
  </si>
  <si>
    <t>96495</t>
  </si>
  <si>
    <t>96498</t>
  </si>
  <si>
    <t>96499</t>
  </si>
  <si>
    <t>96500</t>
  </si>
  <si>
    <t>96503</t>
  </si>
  <si>
    <t>GROCA02</t>
  </si>
  <si>
    <t>96504</t>
  </si>
  <si>
    <t>96507</t>
  </si>
  <si>
    <t>96508</t>
  </si>
  <si>
    <t>574</t>
  </si>
  <si>
    <t>96509</t>
  </si>
  <si>
    <t>96510</t>
  </si>
  <si>
    <t>96511</t>
  </si>
  <si>
    <t>96514</t>
  </si>
  <si>
    <t>96524</t>
  </si>
  <si>
    <t>96525</t>
  </si>
  <si>
    <t>96526</t>
  </si>
  <si>
    <t>96527</t>
  </si>
  <si>
    <t>96528</t>
  </si>
  <si>
    <t>96529</t>
  </si>
  <si>
    <t>96531</t>
  </si>
  <si>
    <t>96532</t>
  </si>
  <si>
    <t>96533</t>
  </si>
  <si>
    <t>BAYSIDE</t>
  </si>
  <si>
    <t>96535</t>
  </si>
  <si>
    <t>96537</t>
  </si>
  <si>
    <t>96538</t>
  </si>
  <si>
    <t>96539</t>
  </si>
  <si>
    <t>96540</t>
  </si>
  <si>
    <t>MAC608YB19</t>
  </si>
  <si>
    <t>Dyna Flo 6-0-8 YB19</t>
  </si>
  <si>
    <t>96542</t>
  </si>
  <si>
    <t>GROMG6302</t>
  </si>
  <si>
    <t>Dyna Gro Magnesium 6.3%</t>
  </si>
  <si>
    <t>96543</t>
  </si>
  <si>
    <t>96544</t>
  </si>
  <si>
    <t>BARN</t>
  </si>
  <si>
    <t>96545</t>
  </si>
  <si>
    <t>96546</t>
  </si>
  <si>
    <t>96549</t>
  </si>
  <si>
    <t>SYDNEY-WASHER</t>
  </si>
  <si>
    <t>96550</t>
  </si>
  <si>
    <t>SRISAIAY</t>
  </si>
  <si>
    <t>SYDNEY DOVER</t>
  </si>
  <si>
    <t>96551</t>
  </si>
  <si>
    <t>96552</t>
  </si>
  <si>
    <t>96553</t>
  </si>
  <si>
    <t>96554</t>
  </si>
  <si>
    <t>96555</t>
  </si>
  <si>
    <t>SAM ALLEN</t>
  </si>
  <si>
    <t>96557</t>
  </si>
  <si>
    <t>96558</t>
  </si>
  <si>
    <t>96559</t>
  </si>
  <si>
    <t>FUTCH LOOP-S/E</t>
  </si>
  <si>
    <t>96560</t>
  </si>
  <si>
    <t>96561</t>
  </si>
  <si>
    <t>96562</t>
  </si>
  <si>
    <t>MAC508YF1</t>
  </si>
  <si>
    <t>Dyna Flo 5-0-8 YF1</t>
  </si>
  <si>
    <t>TURKEY CREEK/WE</t>
  </si>
  <si>
    <t>96563</t>
  </si>
  <si>
    <t>96568</t>
  </si>
  <si>
    <t>96569</t>
  </si>
  <si>
    <t>96570</t>
  </si>
  <si>
    <t>96571</t>
  </si>
  <si>
    <t>96572</t>
  </si>
  <si>
    <t>96573</t>
  </si>
  <si>
    <t>MAC907YB8</t>
  </si>
  <si>
    <t>Dyna Flo 9-0-7YB8</t>
  </si>
  <si>
    <t>96574</t>
  </si>
  <si>
    <t>WILLIAMS RD-N</t>
  </si>
  <si>
    <t>96575</t>
  </si>
  <si>
    <t>96577</t>
  </si>
  <si>
    <t>96586</t>
  </si>
  <si>
    <t>FOSTER DUKES N</t>
  </si>
  <si>
    <t>96587</t>
  </si>
  <si>
    <t>96588</t>
  </si>
  <si>
    <t>Dyna Gold Calcium 8.25%il/Grizzly Fortitude/Green CaLite/Turf Cal 8.25</t>
  </si>
  <si>
    <t>96589</t>
  </si>
  <si>
    <t>96590</t>
  </si>
  <si>
    <t>96591</t>
  </si>
  <si>
    <t>96592</t>
  </si>
  <si>
    <t>96593</t>
  </si>
  <si>
    <t>96594</t>
  </si>
  <si>
    <t>96595</t>
  </si>
  <si>
    <t>96599</t>
  </si>
  <si>
    <t>96600</t>
  </si>
  <si>
    <t>96601</t>
  </si>
  <si>
    <t>96602</t>
  </si>
  <si>
    <t>96603</t>
  </si>
  <si>
    <t>96604</t>
  </si>
  <si>
    <t>96605</t>
  </si>
  <si>
    <t>96606</t>
  </si>
  <si>
    <t>96607</t>
  </si>
  <si>
    <t>96608</t>
  </si>
  <si>
    <t>96609</t>
  </si>
  <si>
    <t>96610</t>
  </si>
  <si>
    <t>96611</t>
  </si>
  <si>
    <t>SAM WILDER RD</t>
  </si>
  <si>
    <t>96612</t>
  </si>
  <si>
    <t>96616</t>
  </si>
  <si>
    <t>96618</t>
  </si>
  <si>
    <t>96619</t>
  </si>
  <si>
    <t>96621</t>
  </si>
  <si>
    <t>WALLACERD</t>
  </si>
  <si>
    <t>96622</t>
  </si>
  <si>
    <t>96623</t>
  </si>
  <si>
    <t>96624</t>
  </si>
  <si>
    <t>96625</t>
  </si>
  <si>
    <t>STRAWBERRYR</t>
  </si>
  <si>
    <t>96626</t>
  </si>
  <si>
    <t>TECHFARM</t>
  </si>
  <si>
    <t>SYDNEYDOVER</t>
  </si>
  <si>
    <t>96627</t>
  </si>
  <si>
    <t>96629</t>
  </si>
  <si>
    <t>96630</t>
  </si>
  <si>
    <t>96631</t>
  </si>
  <si>
    <t>MAC529YM</t>
  </si>
  <si>
    <t>Dyna Flo 5-2-9YM</t>
  </si>
  <si>
    <t>96632</t>
  </si>
  <si>
    <t>96634</t>
  </si>
  <si>
    <t>Repack: Dyna Flo 3-2-7 YY</t>
  </si>
  <si>
    <t>96635</t>
  </si>
  <si>
    <t>96636</t>
  </si>
  <si>
    <t>MAC406YB13</t>
  </si>
  <si>
    <t>Dyna Flo 4-0-6YB13</t>
  </si>
  <si>
    <t>96637</t>
  </si>
  <si>
    <t>96638</t>
  </si>
  <si>
    <t>96639</t>
  </si>
  <si>
    <t>96640</t>
  </si>
  <si>
    <t>MAC608YF</t>
  </si>
  <si>
    <t>Dyna Flo 6-0-8YF</t>
  </si>
  <si>
    <t>96641</t>
  </si>
  <si>
    <t>96643</t>
  </si>
  <si>
    <t>96644</t>
  </si>
  <si>
    <t>FORBES/NORTH</t>
  </si>
  <si>
    <t>96645</t>
  </si>
  <si>
    <t>96647</t>
  </si>
  <si>
    <t>96648</t>
  </si>
  <si>
    <t>96649</t>
  </si>
  <si>
    <t>96650</t>
  </si>
  <si>
    <t>GARCIAFARMS</t>
  </si>
  <si>
    <t>96652</t>
  </si>
  <si>
    <t>96654</t>
  </si>
  <si>
    <t>96659</t>
  </si>
  <si>
    <t>MAC707YB11</t>
  </si>
  <si>
    <t>Dyna Flo 7-0-7YB11</t>
  </si>
  <si>
    <t>96660</t>
  </si>
  <si>
    <t>96664</t>
  </si>
  <si>
    <t>96665</t>
  </si>
  <si>
    <t>96667</t>
  </si>
  <si>
    <t>BLUEGOLD</t>
  </si>
  <si>
    <t>96668</t>
  </si>
  <si>
    <t>MAC628YM</t>
  </si>
  <si>
    <t>Dyna Flo 6-2-8YM</t>
  </si>
  <si>
    <t>96670</t>
  </si>
  <si>
    <t>96399</t>
  </si>
  <si>
    <t>96416</t>
  </si>
  <si>
    <t>96423</t>
  </si>
  <si>
    <t>96530</t>
  </si>
  <si>
    <t>96547</t>
  </si>
  <si>
    <t>GREHMSTD02</t>
  </si>
  <si>
    <t>Dyna Green Homestead Mix</t>
  </si>
  <si>
    <t>GAL10.50</t>
  </si>
  <si>
    <t>96582</t>
  </si>
  <si>
    <t>96669</t>
  </si>
  <si>
    <t>GREHMSTD250</t>
  </si>
  <si>
    <t>BARNESFE</t>
  </si>
  <si>
    <t>HASTINGS</t>
  </si>
  <si>
    <t>96585</t>
  </si>
  <si>
    <t>GREPOT05</t>
  </si>
  <si>
    <t>Dyna Green Potato Mix</t>
  </si>
  <si>
    <t>93827A</t>
  </si>
  <si>
    <t>96425</t>
  </si>
  <si>
    <t>PLANT CITY</t>
  </si>
  <si>
    <t>96515</t>
  </si>
  <si>
    <t>DPOPPELL1</t>
  </si>
  <si>
    <t>96534</t>
  </si>
  <si>
    <t>96657</t>
  </si>
  <si>
    <t>SGSCWHSGP</t>
  </si>
  <si>
    <t>96400</t>
  </si>
  <si>
    <t>96406</t>
  </si>
  <si>
    <t>SGSND</t>
  </si>
  <si>
    <t>96414</t>
  </si>
  <si>
    <t>96415A</t>
  </si>
  <si>
    <t>SGSLEACHVILLE</t>
  </si>
  <si>
    <t>96458</t>
  </si>
  <si>
    <t>SIMPLOTWYNNE</t>
  </si>
  <si>
    <t>96497</t>
  </si>
  <si>
    <t>96506</t>
  </si>
  <si>
    <t>FLO821602</t>
  </si>
  <si>
    <t>96512</t>
  </si>
  <si>
    <t>96564A</t>
  </si>
  <si>
    <t>INNVICTIS/PERFO</t>
  </si>
  <si>
    <t>96565</t>
  </si>
  <si>
    <t>96620</t>
  </si>
  <si>
    <t>21375</t>
  </si>
  <si>
    <t>Kick in the Grass</t>
  </si>
  <si>
    <t>CORALCREEK</t>
  </si>
  <si>
    <t>27022</t>
  </si>
  <si>
    <t>32339</t>
  </si>
  <si>
    <t>34952</t>
  </si>
  <si>
    <t>VILLAGE CLUB</t>
  </si>
  <si>
    <t>35072</t>
  </si>
  <si>
    <t>96693</t>
  </si>
  <si>
    <t>96694</t>
  </si>
  <si>
    <t>20181</t>
  </si>
  <si>
    <t>21066</t>
  </si>
  <si>
    <t>21909</t>
  </si>
  <si>
    <t>22269</t>
  </si>
  <si>
    <t>EVOQUAWATER</t>
  </si>
  <si>
    <t>22621</t>
  </si>
  <si>
    <t>FLO828+02</t>
  </si>
  <si>
    <t>Dyna Flo 8-2-8 with Minors</t>
  </si>
  <si>
    <t>GAL10.05</t>
  </si>
  <si>
    <t>24020A</t>
  </si>
  <si>
    <t>27374A</t>
  </si>
  <si>
    <t>27428</t>
  </si>
  <si>
    <t>27879</t>
  </si>
  <si>
    <t>Nutrient Biofilter 8-2-8</t>
  </si>
  <si>
    <t>27880</t>
  </si>
  <si>
    <t>27895</t>
  </si>
  <si>
    <t>32632</t>
  </si>
  <si>
    <t>37858</t>
  </si>
  <si>
    <t>96671</t>
  </si>
  <si>
    <t>96672</t>
  </si>
  <si>
    <t>GPTRAINER02</t>
  </si>
  <si>
    <t>Trainer Amino Acids 5-0-0</t>
  </si>
  <si>
    <t>96708</t>
  </si>
  <si>
    <t>96729</t>
  </si>
  <si>
    <t>SURFMORWET250</t>
  </si>
  <si>
    <t>Morwet D-425 43%</t>
  </si>
  <si>
    <t>GAL09.88</t>
  </si>
  <si>
    <t>96731</t>
  </si>
  <si>
    <t>GRANDOVER RESOR</t>
  </si>
  <si>
    <t>96751</t>
  </si>
  <si>
    <t>FLO002902</t>
  </si>
  <si>
    <t>Dyna Flo 0-0-29 Potassium Acetate</t>
  </si>
  <si>
    <t>GAL11.10</t>
  </si>
  <si>
    <t>96758</t>
  </si>
  <si>
    <t>Grizzly KODIAK</t>
  </si>
  <si>
    <t>20530</t>
  </si>
  <si>
    <t>20564</t>
  </si>
  <si>
    <t>20690</t>
  </si>
  <si>
    <t>21991</t>
  </si>
  <si>
    <t>22238</t>
  </si>
  <si>
    <t>22266</t>
  </si>
  <si>
    <t>22281</t>
  </si>
  <si>
    <t>FLOFASST02</t>
  </si>
  <si>
    <t>Dyna Flo Fas-Start 5-31-3</t>
  </si>
  <si>
    <t>GAL11.75</t>
  </si>
  <si>
    <t>22384</t>
  </si>
  <si>
    <t>26291</t>
  </si>
  <si>
    <t>26425</t>
  </si>
  <si>
    <t>26932</t>
  </si>
  <si>
    <t>GOLDNI+02</t>
  </si>
  <si>
    <t>Dyna Gold Nickel Plus</t>
  </si>
  <si>
    <t>GAL10.23</t>
  </si>
  <si>
    <t>28389</t>
  </si>
  <si>
    <t>pHury</t>
  </si>
  <si>
    <t>28409</t>
  </si>
  <si>
    <t>28888</t>
  </si>
  <si>
    <t>SOARBLM250</t>
  </si>
  <si>
    <t>30827</t>
  </si>
  <si>
    <t>32193</t>
  </si>
  <si>
    <t>SOARPOT02</t>
  </si>
  <si>
    <t>32217</t>
  </si>
  <si>
    <t>GOLDBOR1002</t>
  </si>
  <si>
    <t>ZON502002</t>
  </si>
  <si>
    <t>Dyna Zone 5-0-20</t>
  </si>
  <si>
    <t>32545</t>
  </si>
  <si>
    <t>FLOPHOS250</t>
  </si>
  <si>
    <t>32727</t>
  </si>
  <si>
    <t>35830</t>
  </si>
  <si>
    <t>96676</t>
  </si>
  <si>
    <t>96677</t>
  </si>
  <si>
    <t>96685</t>
  </si>
  <si>
    <t>96688</t>
  </si>
  <si>
    <t>96704</t>
  </si>
  <si>
    <t>96713</t>
  </si>
  <si>
    <t>96723</t>
  </si>
  <si>
    <t>96744</t>
  </si>
  <si>
    <t>96750</t>
  </si>
  <si>
    <t>96754</t>
  </si>
  <si>
    <t>96768</t>
  </si>
  <si>
    <t>19980</t>
  </si>
  <si>
    <t>DPOPPELL</t>
  </si>
  <si>
    <t>21286</t>
  </si>
  <si>
    <t>MAC544L1</t>
  </si>
  <si>
    <t>Dyna Flo 5-4-4 L1</t>
  </si>
  <si>
    <t>21288</t>
  </si>
  <si>
    <t>21339</t>
  </si>
  <si>
    <t>21582</t>
  </si>
  <si>
    <t>22048</t>
  </si>
  <si>
    <t>22147</t>
  </si>
  <si>
    <t>MAC407ZK</t>
  </si>
  <si>
    <t>Dyna Flo 4-0-7 ZK</t>
  </si>
  <si>
    <t>22193</t>
  </si>
  <si>
    <t>22385</t>
  </si>
  <si>
    <t>22397</t>
  </si>
  <si>
    <t>22428</t>
  </si>
  <si>
    <t>22429</t>
  </si>
  <si>
    <t>22575</t>
  </si>
  <si>
    <t>22692</t>
  </si>
  <si>
    <t>22801</t>
  </si>
  <si>
    <t>23050</t>
  </si>
  <si>
    <t>23185</t>
  </si>
  <si>
    <t>23200</t>
  </si>
  <si>
    <t>24122</t>
  </si>
  <si>
    <t>24167</t>
  </si>
  <si>
    <t>24253</t>
  </si>
  <si>
    <t>24298</t>
  </si>
  <si>
    <t>24677</t>
  </si>
  <si>
    <t>24718</t>
  </si>
  <si>
    <t>24735</t>
  </si>
  <si>
    <t>24736</t>
  </si>
  <si>
    <t>24785</t>
  </si>
  <si>
    <t>24786</t>
  </si>
  <si>
    <t>24974</t>
  </si>
  <si>
    <t>25240</t>
  </si>
  <si>
    <t>25345</t>
  </si>
  <si>
    <t>25428</t>
  </si>
  <si>
    <t>25446</t>
  </si>
  <si>
    <t>25474</t>
  </si>
  <si>
    <t>25598</t>
  </si>
  <si>
    <t>25846</t>
  </si>
  <si>
    <t>25923</t>
  </si>
  <si>
    <t>26051</t>
  </si>
  <si>
    <t>26211</t>
  </si>
  <si>
    <t>COOLER</t>
  </si>
  <si>
    <t>26417</t>
  </si>
  <si>
    <t>TRAN FARM</t>
  </si>
  <si>
    <t>RIVERVIEW</t>
  </si>
  <si>
    <t>26495</t>
  </si>
  <si>
    <t>Dyna Green Organics Manganese 5%</t>
  </si>
  <si>
    <t>26777</t>
  </si>
  <si>
    <t>26861</t>
  </si>
  <si>
    <t>26886</t>
  </si>
  <si>
    <t>26887</t>
  </si>
  <si>
    <t>26888</t>
  </si>
  <si>
    <t>26889</t>
  </si>
  <si>
    <t>26890</t>
  </si>
  <si>
    <t>26891</t>
  </si>
  <si>
    <t>26892</t>
  </si>
  <si>
    <t>26893</t>
  </si>
  <si>
    <t>26916</t>
  </si>
  <si>
    <t>26927</t>
  </si>
  <si>
    <t>MAC407YA2</t>
  </si>
  <si>
    <t>Dyna Flo 4-0-7YA2</t>
  </si>
  <si>
    <t>26928</t>
  </si>
  <si>
    <t>26929</t>
  </si>
  <si>
    <t>EKNIGHTS</t>
  </si>
  <si>
    <t>26930</t>
  </si>
  <si>
    <t>26931</t>
  </si>
  <si>
    <t>27092</t>
  </si>
  <si>
    <t>27139</t>
  </si>
  <si>
    <t>27289</t>
  </si>
  <si>
    <t>27301</t>
  </si>
  <si>
    <t>27338</t>
  </si>
  <si>
    <t>27344</t>
  </si>
  <si>
    <t>27507</t>
  </si>
  <si>
    <t>SOUTH FORBES</t>
  </si>
  <si>
    <t>27571</t>
  </si>
  <si>
    <t>27595</t>
  </si>
  <si>
    <t>27613</t>
  </si>
  <si>
    <t>GUTIERREZARN</t>
  </si>
  <si>
    <t>MCGEE</t>
  </si>
  <si>
    <t>28189</t>
  </si>
  <si>
    <t>28693</t>
  </si>
  <si>
    <t>28919</t>
  </si>
  <si>
    <t>29179</t>
  </si>
  <si>
    <t>29204</t>
  </si>
  <si>
    <t>29341</t>
  </si>
  <si>
    <t>29508</t>
  </si>
  <si>
    <t>29553</t>
  </si>
  <si>
    <t>29614</t>
  </si>
  <si>
    <t>29986</t>
  </si>
  <si>
    <t>LONEOAK</t>
  </si>
  <si>
    <t>30123</t>
  </si>
  <si>
    <t>30186</t>
  </si>
  <si>
    <t>30312</t>
  </si>
  <si>
    <t>30457</t>
  </si>
  <si>
    <t>30754</t>
  </si>
  <si>
    <t>31164</t>
  </si>
  <si>
    <t>31338</t>
  </si>
  <si>
    <t>31357</t>
  </si>
  <si>
    <t>VOLVO</t>
  </si>
  <si>
    <t>31492</t>
  </si>
  <si>
    <t>MAC406YB2</t>
  </si>
  <si>
    <t>Dyna Flo 4-0-6YB2</t>
  </si>
  <si>
    <t>31520</t>
  </si>
  <si>
    <t>32019</t>
  </si>
  <si>
    <t>32754</t>
  </si>
  <si>
    <t>32864</t>
  </si>
  <si>
    <t>33059</t>
  </si>
  <si>
    <t>33437</t>
  </si>
  <si>
    <t>33751</t>
  </si>
  <si>
    <t>33935</t>
  </si>
  <si>
    <t>34202</t>
  </si>
  <si>
    <t>STAFFORD/HOME</t>
  </si>
  <si>
    <t>34391</t>
  </si>
  <si>
    <t>34574</t>
  </si>
  <si>
    <t>34631</t>
  </si>
  <si>
    <t>34632</t>
  </si>
  <si>
    <t>34641</t>
  </si>
  <si>
    <t>34893</t>
  </si>
  <si>
    <t>35210</t>
  </si>
  <si>
    <t>35244</t>
  </si>
  <si>
    <t>35834</t>
  </si>
  <si>
    <t>SOAR7L02</t>
  </si>
  <si>
    <t>Soar AP</t>
  </si>
  <si>
    <t>36071</t>
  </si>
  <si>
    <t>37133</t>
  </si>
  <si>
    <t>38233</t>
  </si>
  <si>
    <t>38411</t>
  </si>
  <si>
    <t>38613</t>
  </si>
  <si>
    <t>38641</t>
  </si>
  <si>
    <t>38642</t>
  </si>
  <si>
    <t>38726</t>
  </si>
  <si>
    <t>96679</t>
  </si>
  <si>
    <t>96680</t>
  </si>
  <si>
    <t>96682</t>
  </si>
  <si>
    <t>96683</t>
  </si>
  <si>
    <t>96684</t>
  </si>
  <si>
    <t>96686</t>
  </si>
  <si>
    <t>96687</t>
  </si>
  <si>
    <t>96689</t>
  </si>
  <si>
    <t>96690</t>
  </si>
  <si>
    <t>96691</t>
  </si>
  <si>
    <t>96692</t>
  </si>
  <si>
    <t>96695A</t>
  </si>
  <si>
    <t>96696</t>
  </si>
  <si>
    <t>96697</t>
  </si>
  <si>
    <t>96698</t>
  </si>
  <si>
    <t>96699</t>
  </si>
  <si>
    <t>96700</t>
  </si>
  <si>
    <t>96701</t>
  </si>
  <si>
    <t>96702</t>
  </si>
  <si>
    <t>96703</t>
  </si>
  <si>
    <t>STRAWBERRY STAT</t>
  </si>
  <si>
    <t>96705</t>
  </si>
  <si>
    <t>96706</t>
  </si>
  <si>
    <t>96707</t>
  </si>
  <si>
    <t>96709</t>
  </si>
  <si>
    <t>96710</t>
  </si>
  <si>
    <t>96711</t>
  </si>
  <si>
    <t>96712</t>
  </si>
  <si>
    <t>96714</t>
  </si>
  <si>
    <t>96716</t>
  </si>
  <si>
    <t>96717</t>
  </si>
  <si>
    <t>96720</t>
  </si>
  <si>
    <t>96721</t>
  </si>
  <si>
    <t>96724</t>
  </si>
  <si>
    <t>96725</t>
  </si>
  <si>
    <t>96726</t>
  </si>
  <si>
    <t>96727</t>
  </si>
  <si>
    <t>96730</t>
  </si>
  <si>
    <t>96732</t>
  </si>
  <si>
    <t>96733</t>
  </si>
  <si>
    <t>96738</t>
  </si>
  <si>
    <t>96739</t>
  </si>
  <si>
    <t>96740</t>
  </si>
  <si>
    <t>96741</t>
  </si>
  <si>
    <t>96742</t>
  </si>
  <si>
    <t>96743</t>
  </si>
  <si>
    <t>96745</t>
  </si>
  <si>
    <t>96746</t>
  </si>
  <si>
    <t>96752</t>
  </si>
  <si>
    <t>ZON500302</t>
  </si>
  <si>
    <t>Dyna Zone 5-0-0 w/3.33Mg</t>
  </si>
  <si>
    <t>96753</t>
  </si>
  <si>
    <t>96755</t>
  </si>
  <si>
    <t>RAILROADCITY</t>
  </si>
  <si>
    <t>96756</t>
  </si>
  <si>
    <t>96757</t>
  </si>
  <si>
    <t>96760</t>
  </si>
  <si>
    <t>96761</t>
  </si>
  <si>
    <t>96763</t>
  </si>
  <si>
    <t>96764</t>
  </si>
  <si>
    <t>96765</t>
  </si>
  <si>
    <t>96766</t>
  </si>
  <si>
    <t>96767</t>
  </si>
  <si>
    <t>96769</t>
  </si>
  <si>
    <t>96770</t>
  </si>
  <si>
    <t>96772</t>
  </si>
  <si>
    <t>20957</t>
  </si>
  <si>
    <t>20977</t>
  </si>
  <si>
    <t>SARABAYCC</t>
  </si>
  <si>
    <t>21047</t>
  </si>
  <si>
    <t>FLO12006250</t>
  </si>
  <si>
    <t>Dyna Flo 12-0-0 6Fe</t>
  </si>
  <si>
    <t>21207</t>
  </si>
  <si>
    <t>Repack: Dyna Gold Mg 4%</t>
  </si>
  <si>
    <t>HITECHTU</t>
  </si>
  <si>
    <t>21484</t>
  </si>
  <si>
    <t>SAFEFE+02</t>
  </si>
  <si>
    <t>Ironman +02</t>
  </si>
  <si>
    <t>GAL10.20</t>
  </si>
  <si>
    <t>Turf Cal 8.25</t>
  </si>
  <si>
    <t>25747</t>
  </si>
  <si>
    <t>GROZN02</t>
  </si>
  <si>
    <t>Dyna Gro Zinc 17%</t>
  </si>
  <si>
    <t>GAL13.25</t>
  </si>
  <si>
    <t>26296</t>
  </si>
  <si>
    <t>26603</t>
  </si>
  <si>
    <t>96722</t>
  </si>
  <si>
    <t>SOUTHERNGRACE</t>
  </si>
  <si>
    <t>96678</t>
  </si>
  <si>
    <t>CHEAD</t>
  </si>
  <si>
    <t>96718</t>
  </si>
  <si>
    <t>MAC727YM21</t>
  </si>
  <si>
    <t>Dyna Flo 7-2-7YM21</t>
  </si>
  <si>
    <t>LONGANDSCOTT</t>
  </si>
  <si>
    <t>96762</t>
  </si>
  <si>
    <t>FLOQKST250</t>
  </si>
  <si>
    <t>21190</t>
  </si>
  <si>
    <t>22361</t>
  </si>
  <si>
    <t>25626A</t>
  </si>
  <si>
    <t>28905</t>
  </si>
  <si>
    <t>29066</t>
  </si>
  <si>
    <t>36075</t>
  </si>
  <si>
    <t>36500</t>
  </si>
  <si>
    <t>MAC396H</t>
  </si>
  <si>
    <t>Dyna Flo 3-9-6 H</t>
  </si>
  <si>
    <t>36762</t>
  </si>
  <si>
    <t>96715</t>
  </si>
  <si>
    <t>96747</t>
  </si>
  <si>
    <t>96748</t>
  </si>
  <si>
    <t>96749</t>
  </si>
  <si>
    <t>SGSHELM</t>
  </si>
  <si>
    <t>21962</t>
  </si>
  <si>
    <t>SGSPOCOMOKE</t>
  </si>
  <si>
    <t>26557</t>
  </si>
  <si>
    <t>SIMPLOT/PERU</t>
  </si>
  <si>
    <t>27616</t>
  </si>
  <si>
    <t>29053</t>
  </si>
  <si>
    <t>31953</t>
  </si>
  <si>
    <t>35120</t>
  </si>
  <si>
    <t>AGBAPZN250#</t>
  </si>
  <si>
    <t>Agri Plex Zinc 10%</t>
  </si>
  <si>
    <t>AGBAPZN50#</t>
  </si>
  <si>
    <t>44789</t>
  </si>
  <si>
    <t>MADISONGREEN</t>
  </si>
  <si>
    <t>54786</t>
  </si>
  <si>
    <t>USC8FE55</t>
  </si>
  <si>
    <t>GROMG655</t>
  </si>
  <si>
    <t>GROMN55</t>
  </si>
  <si>
    <t>59836</t>
  </si>
  <si>
    <t>Mega  Feed 3-18-18</t>
  </si>
  <si>
    <t>69746</t>
  </si>
  <si>
    <t>JACARANDA G C</t>
  </si>
  <si>
    <t>72650</t>
  </si>
  <si>
    <t>ZON183655</t>
  </si>
  <si>
    <t>BANYAN CREEK</t>
  </si>
  <si>
    <t>72658</t>
  </si>
  <si>
    <t>73889</t>
  </si>
  <si>
    <t>HOUSTONOAKS</t>
  </si>
  <si>
    <t>74928</t>
  </si>
  <si>
    <t>74942</t>
  </si>
  <si>
    <t>41542</t>
  </si>
  <si>
    <t>Carbotein 6-2-5</t>
  </si>
  <si>
    <t>43029</t>
  </si>
  <si>
    <t>45084</t>
  </si>
  <si>
    <t>67200</t>
  </si>
  <si>
    <t>BARTOW</t>
  </si>
  <si>
    <t>67735</t>
  </si>
  <si>
    <t>MACCA</t>
  </si>
  <si>
    <t>69703</t>
  </si>
  <si>
    <t>70601</t>
  </si>
  <si>
    <t>72419</t>
  </si>
  <si>
    <t>WHOLEFRUITS</t>
  </si>
  <si>
    <t>73217</t>
  </si>
  <si>
    <t>73853A</t>
  </si>
  <si>
    <t>CHEGLUCOGR50CDI250</t>
  </si>
  <si>
    <t>Sodium Glucoheptonate / GR-50 NVM purchased by CDI in 250's</t>
  </si>
  <si>
    <t>74375</t>
  </si>
  <si>
    <t>78824</t>
  </si>
  <si>
    <t>40296</t>
  </si>
  <si>
    <t>40627</t>
  </si>
  <si>
    <t>41046</t>
  </si>
  <si>
    <t>GROCU02</t>
  </si>
  <si>
    <t>Dyna Gro Copper</t>
  </si>
  <si>
    <t>GAL12.30</t>
  </si>
  <si>
    <t>41052</t>
  </si>
  <si>
    <t>44235</t>
  </si>
  <si>
    <t>49415</t>
  </si>
  <si>
    <t>GROCU250</t>
  </si>
  <si>
    <t>49916</t>
  </si>
  <si>
    <t>55491</t>
  </si>
  <si>
    <t>57648</t>
  </si>
  <si>
    <t>MAC428YM5</t>
  </si>
  <si>
    <t>Dyna Flo 4-2-8YM5 w/int 80</t>
  </si>
  <si>
    <t>61872</t>
  </si>
  <si>
    <t>62508A</t>
  </si>
  <si>
    <t>62543</t>
  </si>
  <si>
    <t>65439</t>
  </si>
  <si>
    <t>66061</t>
  </si>
  <si>
    <t>67908</t>
  </si>
  <si>
    <t>67909</t>
  </si>
  <si>
    <t>68031</t>
  </si>
  <si>
    <t>68236</t>
  </si>
  <si>
    <t>SO/GRDN/DUNWOOD</t>
  </si>
  <si>
    <t>68457</t>
  </si>
  <si>
    <t>SOARBLM00</t>
  </si>
  <si>
    <t>GRIFFINF</t>
  </si>
  <si>
    <t>FROSTPROOF</t>
  </si>
  <si>
    <t>68629</t>
  </si>
  <si>
    <t>GOLDMZ02</t>
  </si>
  <si>
    <t>Dyna Gold MZ</t>
  </si>
  <si>
    <t>69314</t>
  </si>
  <si>
    <t>70267</t>
  </si>
  <si>
    <t>70417</t>
  </si>
  <si>
    <t>71134</t>
  </si>
  <si>
    <t>71154</t>
  </si>
  <si>
    <t>71491</t>
  </si>
  <si>
    <t>72232</t>
  </si>
  <si>
    <t>72297</t>
  </si>
  <si>
    <t>72310</t>
  </si>
  <si>
    <t>72760</t>
  </si>
  <si>
    <t>GRO77902</t>
  </si>
  <si>
    <t>Dyna Gro Citrite 779</t>
  </si>
  <si>
    <t>72808</t>
  </si>
  <si>
    <t>Dyna Green Manganese 5% Organic</t>
  </si>
  <si>
    <t>72987</t>
  </si>
  <si>
    <t>73794</t>
  </si>
  <si>
    <t>73957</t>
  </si>
  <si>
    <t>74043</t>
  </si>
  <si>
    <t>74121</t>
  </si>
  <si>
    <t>74122</t>
  </si>
  <si>
    <t>74123</t>
  </si>
  <si>
    <t>74124</t>
  </si>
  <si>
    <t>74227</t>
  </si>
  <si>
    <t>75623</t>
  </si>
  <si>
    <t>Dyna Gro Manganese 15%</t>
  </si>
  <si>
    <t>75993</t>
  </si>
  <si>
    <t>SOARCIT250</t>
  </si>
  <si>
    <t>76226</t>
  </si>
  <si>
    <t>76391</t>
  </si>
  <si>
    <t>76789</t>
  </si>
  <si>
    <t>GOLD2014533250</t>
  </si>
  <si>
    <t>Dyna Gold Nut 2014533</t>
  </si>
  <si>
    <t>GAL11.37</t>
  </si>
  <si>
    <t>39240</t>
  </si>
  <si>
    <t>41640</t>
  </si>
  <si>
    <t>43137</t>
  </si>
  <si>
    <t>43147</t>
  </si>
  <si>
    <t>43200</t>
  </si>
  <si>
    <t>43281</t>
  </si>
  <si>
    <t>43778</t>
  </si>
  <si>
    <t>43792</t>
  </si>
  <si>
    <t>44543</t>
  </si>
  <si>
    <t>44544</t>
  </si>
  <si>
    <t>MAC544L2</t>
  </si>
  <si>
    <t>Dyna Flo 5-4-4 L2</t>
  </si>
  <si>
    <t>46048</t>
  </si>
  <si>
    <t>46155</t>
  </si>
  <si>
    <t>46158</t>
  </si>
  <si>
    <t>46393</t>
  </si>
  <si>
    <t>46912</t>
  </si>
  <si>
    <t>47101</t>
  </si>
  <si>
    <t>47156</t>
  </si>
  <si>
    <t>47377</t>
  </si>
  <si>
    <t>47577</t>
  </si>
  <si>
    <t>47608</t>
  </si>
  <si>
    <t>47682</t>
  </si>
  <si>
    <t>47891</t>
  </si>
  <si>
    <t>48566</t>
  </si>
  <si>
    <t>48577</t>
  </si>
  <si>
    <t>48732</t>
  </si>
  <si>
    <t>48901</t>
  </si>
  <si>
    <t>HWY 92/GROVE</t>
  </si>
  <si>
    <t>51227</t>
  </si>
  <si>
    <t>51259</t>
  </si>
  <si>
    <t>51320</t>
  </si>
  <si>
    <t>51778</t>
  </si>
  <si>
    <t>52121</t>
  </si>
  <si>
    <t>52438</t>
  </si>
  <si>
    <t>52883</t>
  </si>
  <si>
    <t>53403</t>
  </si>
  <si>
    <t>53488</t>
  </si>
  <si>
    <t>53509</t>
  </si>
  <si>
    <t>53807</t>
  </si>
  <si>
    <t>53882</t>
  </si>
  <si>
    <t>54837</t>
  </si>
  <si>
    <t>55070</t>
  </si>
  <si>
    <t>55077</t>
  </si>
  <si>
    <t>55455</t>
  </si>
  <si>
    <t>55474</t>
  </si>
  <si>
    <t>55492</t>
  </si>
  <si>
    <t>55493</t>
  </si>
  <si>
    <t>55500</t>
  </si>
  <si>
    <t>55501</t>
  </si>
  <si>
    <t>55519</t>
  </si>
  <si>
    <t>55579</t>
  </si>
  <si>
    <t>56006</t>
  </si>
  <si>
    <t>58948</t>
  </si>
  <si>
    <t>59022</t>
  </si>
  <si>
    <t>59157</t>
  </si>
  <si>
    <t>59187</t>
  </si>
  <si>
    <t>60182</t>
  </si>
  <si>
    <t>61414</t>
  </si>
  <si>
    <t>61591</t>
  </si>
  <si>
    <t>61745</t>
  </si>
  <si>
    <t>61788</t>
  </si>
  <si>
    <t>61975</t>
  </si>
  <si>
    <t>62091</t>
  </si>
  <si>
    <t>62296</t>
  </si>
  <si>
    <t>62467</t>
  </si>
  <si>
    <t>62781</t>
  </si>
  <si>
    <t>MAC628YM6</t>
  </si>
  <si>
    <t>Dyna Flo 6-2-8YM6</t>
  </si>
  <si>
    <t>62984</t>
  </si>
  <si>
    <t>63345</t>
  </si>
  <si>
    <t>63381</t>
  </si>
  <si>
    <t>TURKEYTREE</t>
  </si>
  <si>
    <t>63848</t>
  </si>
  <si>
    <t>64812</t>
  </si>
  <si>
    <t>65107</t>
  </si>
  <si>
    <t>66293</t>
  </si>
  <si>
    <t>66600</t>
  </si>
  <si>
    <t>66852</t>
  </si>
  <si>
    <t>67176</t>
  </si>
  <si>
    <t>PURLEYNK</t>
  </si>
  <si>
    <t>67445</t>
  </si>
  <si>
    <t>67757</t>
  </si>
  <si>
    <t>67780</t>
  </si>
  <si>
    <t>68645</t>
  </si>
  <si>
    <t>68782</t>
  </si>
  <si>
    <t>68823</t>
  </si>
  <si>
    <t>68907</t>
  </si>
  <si>
    <t>69063</t>
  </si>
  <si>
    <t>69273</t>
  </si>
  <si>
    <t>69389</t>
  </si>
  <si>
    <t>69423</t>
  </si>
  <si>
    <t>69569</t>
  </si>
  <si>
    <t>MAC507ZK</t>
  </si>
  <si>
    <t>Dyna Flo 5-0-7 ZK</t>
  </si>
  <si>
    <t>69788</t>
  </si>
  <si>
    <t>69985</t>
  </si>
  <si>
    <t>70115</t>
  </si>
  <si>
    <t>LITHIABERRY</t>
  </si>
  <si>
    <t>70419</t>
  </si>
  <si>
    <t>70438</t>
  </si>
  <si>
    <t>70502</t>
  </si>
  <si>
    <t>70507</t>
  </si>
  <si>
    <t>70600</t>
  </si>
  <si>
    <t>70745</t>
  </si>
  <si>
    <t>70803</t>
  </si>
  <si>
    <t>70869</t>
  </si>
  <si>
    <t>71170</t>
  </si>
  <si>
    <t>71449</t>
  </si>
  <si>
    <t>71599</t>
  </si>
  <si>
    <t>71636</t>
  </si>
  <si>
    <t>71644</t>
  </si>
  <si>
    <t>JOHNSON</t>
  </si>
  <si>
    <t>71650</t>
  </si>
  <si>
    <t>71651</t>
  </si>
  <si>
    <t>71693</t>
  </si>
  <si>
    <t>71736</t>
  </si>
  <si>
    <t>71794</t>
  </si>
  <si>
    <t>71868</t>
  </si>
  <si>
    <t>71889</t>
  </si>
  <si>
    <t>72040</t>
  </si>
  <si>
    <t>72050</t>
  </si>
  <si>
    <t>MUD LK-BLUEBERR</t>
  </si>
  <si>
    <t>72083</t>
  </si>
  <si>
    <t>MAC936XU</t>
  </si>
  <si>
    <t>Dyna Flo 9-3-6XU</t>
  </si>
  <si>
    <t>5KFARMS</t>
  </si>
  <si>
    <t>72130</t>
  </si>
  <si>
    <t>SOARMIC30</t>
  </si>
  <si>
    <t>72243</t>
  </si>
  <si>
    <t>72456</t>
  </si>
  <si>
    <t>72508</t>
  </si>
  <si>
    <t>72510</t>
  </si>
  <si>
    <t>72587</t>
  </si>
  <si>
    <t>72646</t>
  </si>
  <si>
    <t>72788</t>
  </si>
  <si>
    <t>73060</t>
  </si>
  <si>
    <t>73068</t>
  </si>
  <si>
    <t>73125</t>
  </si>
  <si>
    <t>73126</t>
  </si>
  <si>
    <t>MAC508ZK</t>
  </si>
  <si>
    <t>Dyna Flo 5-0-8 ZK</t>
  </si>
  <si>
    <t>73155</t>
  </si>
  <si>
    <t>73286</t>
  </si>
  <si>
    <t>73501</t>
  </si>
  <si>
    <t>73538</t>
  </si>
  <si>
    <t>73551</t>
  </si>
  <si>
    <t>73600</t>
  </si>
  <si>
    <t>73639</t>
  </si>
  <si>
    <t>73650</t>
  </si>
  <si>
    <t>73662</t>
  </si>
  <si>
    <t>FORBES-N</t>
  </si>
  <si>
    <t>73707</t>
  </si>
  <si>
    <t>74379</t>
  </si>
  <si>
    <t>74431</t>
  </si>
  <si>
    <t>REDDYFARMS</t>
  </si>
  <si>
    <t>74486</t>
  </si>
  <si>
    <t>JL</t>
  </si>
  <si>
    <t>74489</t>
  </si>
  <si>
    <t>74490</t>
  </si>
  <si>
    <t>74491</t>
  </si>
  <si>
    <t>74547</t>
  </si>
  <si>
    <t>74569</t>
  </si>
  <si>
    <t>MAC406YB10</t>
  </si>
  <si>
    <t>Dyna Flo 4-0-6YB10</t>
  </si>
  <si>
    <t>JUAREZELIUTH</t>
  </si>
  <si>
    <t>74599</t>
  </si>
  <si>
    <t>74692</t>
  </si>
  <si>
    <t>74732</t>
  </si>
  <si>
    <t>74853</t>
  </si>
  <si>
    <t>74902</t>
  </si>
  <si>
    <t>74946</t>
  </si>
  <si>
    <t>75072</t>
  </si>
  <si>
    <t>75157</t>
  </si>
  <si>
    <t>75231</t>
  </si>
  <si>
    <t>FRUITSTAND</t>
  </si>
  <si>
    <t>75280</t>
  </si>
  <si>
    <t>75407</t>
  </si>
  <si>
    <t>75566</t>
  </si>
  <si>
    <t>75575</t>
  </si>
  <si>
    <t>76815</t>
  </si>
  <si>
    <t>76887</t>
  </si>
  <si>
    <t>78852</t>
  </si>
  <si>
    <t>78968</t>
  </si>
  <si>
    <t>79231</t>
  </si>
  <si>
    <t>79465</t>
  </si>
  <si>
    <t>79896</t>
  </si>
  <si>
    <t>80421</t>
  </si>
  <si>
    <t>82293</t>
  </si>
  <si>
    <t>82343</t>
  </si>
  <si>
    <t>82439</t>
  </si>
  <si>
    <t>83529</t>
  </si>
  <si>
    <t>83541</t>
  </si>
  <si>
    <t>84580</t>
  </si>
  <si>
    <t>84641</t>
  </si>
  <si>
    <t>87597</t>
  </si>
  <si>
    <t>66705</t>
  </si>
  <si>
    <t>Safety Iron Plus</t>
  </si>
  <si>
    <t>69424</t>
  </si>
  <si>
    <t>69640</t>
  </si>
  <si>
    <t>70252</t>
  </si>
  <si>
    <t>76162</t>
  </si>
  <si>
    <t>40089</t>
  </si>
  <si>
    <t>CPSHASTI</t>
  </si>
  <si>
    <t>40294</t>
  </si>
  <si>
    <t>GREPOT250</t>
  </si>
  <si>
    <t>40295</t>
  </si>
  <si>
    <t>MAC808Z1</t>
  </si>
  <si>
    <t>Dyna Flo 8-0-8Z1</t>
  </si>
  <si>
    <t>55476</t>
  </si>
  <si>
    <t>65136</t>
  </si>
  <si>
    <t>65224A</t>
  </si>
  <si>
    <t>72220</t>
  </si>
  <si>
    <t>72268</t>
  </si>
  <si>
    <t>72282</t>
  </si>
  <si>
    <t>73845</t>
  </si>
  <si>
    <t>MILLERBL</t>
  </si>
  <si>
    <t>PALATKA</t>
  </si>
  <si>
    <t>74231</t>
  </si>
  <si>
    <t>MAC1055XG</t>
  </si>
  <si>
    <t>Dyna Flo 10-5-5 xg</t>
  </si>
  <si>
    <t>41829</t>
  </si>
  <si>
    <t>ZONN3002</t>
  </si>
  <si>
    <t>Dyna Zone N30</t>
  </si>
  <si>
    <t>GAL10.45</t>
  </si>
  <si>
    <t>41979</t>
  </si>
  <si>
    <t>43886</t>
  </si>
  <si>
    <t>44401</t>
  </si>
  <si>
    <t>61599</t>
  </si>
  <si>
    <t>64076</t>
  </si>
  <si>
    <t>66115</t>
  </si>
  <si>
    <t>70430</t>
  </si>
  <si>
    <t>72916</t>
  </si>
  <si>
    <t>73056</t>
  </si>
  <si>
    <t>74273</t>
  </si>
  <si>
    <t>74280</t>
  </si>
  <si>
    <t>74481</t>
  </si>
  <si>
    <t>MAC628YM12</t>
  </si>
  <si>
    <t>Dyna Flo 6-2-8YM12</t>
  </si>
  <si>
    <t>75457</t>
  </si>
  <si>
    <t>75535</t>
  </si>
  <si>
    <t>41543</t>
  </si>
  <si>
    <t>GRANITE ST-NC</t>
  </si>
  <si>
    <t>49806</t>
  </si>
  <si>
    <t>FLO021202</t>
  </si>
  <si>
    <t>Dyna Flo K-Sil 0-2-12 w/ silicates</t>
  </si>
  <si>
    <t>53884</t>
  </si>
  <si>
    <t>AGBASCORN50#</t>
  </si>
  <si>
    <t>Agri Starter Corn Mix</t>
  </si>
  <si>
    <t>AGBASORG250#</t>
  </si>
  <si>
    <t>Agri Starter Orangeburg Mix</t>
  </si>
  <si>
    <t>AGBASORG50#</t>
  </si>
  <si>
    <t>AGBASZN250#</t>
  </si>
  <si>
    <t>Agri Starter Zinc 10%</t>
  </si>
  <si>
    <t>AGBLINK02</t>
  </si>
  <si>
    <t>LINK</t>
  </si>
  <si>
    <t>GAL09.95</t>
  </si>
  <si>
    <t>SOUTHAG</t>
  </si>
  <si>
    <t>BOONE</t>
  </si>
  <si>
    <t>54045</t>
  </si>
  <si>
    <t>NORTHRIDGE</t>
  </si>
  <si>
    <t>59316</t>
  </si>
  <si>
    <t>FLOMN10250</t>
  </si>
  <si>
    <t>Dyna Flo Mn 10%</t>
  </si>
  <si>
    <t>CURRYFARM</t>
  </si>
  <si>
    <t>66713</t>
  </si>
  <si>
    <t>NUTRIEN-CAMILA</t>
  </si>
  <si>
    <t>66825</t>
  </si>
  <si>
    <t>TRIANGLE/GA</t>
  </si>
  <si>
    <t>SYCAMORE</t>
  </si>
  <si>
    <t>69647</t>
  </si>
  <si>
    <t>GOLDCB02</t>
  </si>
  <si>
    <t>Dyna Gold CB Mix</t>
  </si>
  <si>
    <t>STATESBORO/GA</t>
  </si>
  <si>
    <t>70870</t>
  </si>
  <si>
    <t>HIGHGREEN CT-NC</t>
  </si>
  <si>
    <t>70993</t>
  </si>
  <si>
    <t>COLQUITT</t>
  </si>
  <si>
    <t>73156</t>
  </si>
  <si>
    <t>AGBASMN50#</t>
  </si>
  <si>
    <t>Agri Starter Manganese 5%</t>
  </si>
  <si>
    <t>73856</t>
  </si>
  <si>
    <t>SOUTHGA</t>
  </si>
  <si>
    <t>73868</t>
  </si>
  <si>
    <t>MEHERRIN/CHARLE</t>
  </si>
  <si>
    <t>75415</t>
  </si>
  <si>
    <t>AGBASCAR50#</t>
  </si>
  <si>
    <t>Agri Starter Carolina Mix</t>
  </si>
  <si>
    <t>AGBASMN250#</t>
  </si>
  <si>
    <t>92887</t>
  </si>
  <si>
    <t>GRETF02</t>
  </si>
  <si>
    <t>Prevent</t>
  </si>
  <si>
    <t>GAL11.15</t>
  </si>
  <si>
    <t>96813</t>
  </si>
  <si>
    <t>FLO1137002</t>
  </si>
  <si>
    <t>Head Start 10-34-0</t>
  </si>
  <si>
    <t>96901</t>
  </si>
  <si>
    <t>Mega  Mix Mn</t>
  </si>
  <si>
    <t>CHAMPION'S CLUB</t>
  </si>
  <si>
    <t>96967</t>
  </si>
  <si>
    <t>96969</t>
  </si>
  <si>
    <t>96971</t>
  </si>
  <si>
    <t>92712</t>
  </si>
  <si>
    <t>SHADYBROOK</t>
  </si>
  <si>
    <t>96802</t>
  </si>
  <si>
    <t>MAC939L</t>
  </si>
  <si>
    <t>Dyna Flo 9-3-9 L</t>
  </si>
  <si>
    <t>96822</t>
  </si>
  <si>
    <t>96824</t>
  </si>
  <si>
    <t>96842</t>
  </si>
  <si>
    <t>96863</t>
  </si>
  <si>
    <t>96873</t>
  </si>
  <si>
    <t>GALARDI</t>
  </si>
  <si>
    <t>96885</t>
  </si>
  <si>
    <t>96893</t>
  </si>
  <si>
    <t>96904</t>
  </si>
  <si>
    <t>NPK11370</t>
  </si>
  <si>
    <t>Ammonium Poly Phosphate 11-37-0</t>
  </si>
  <si>
    <t>96909</t>
  </si>
  <si>
    <t>THEANDERSON</t>
  </si>
  <si>
    <t>LK PLACID</t>
  </si>
  <si>
    <t>96939</t>
  </si>
  <si>
    <t>Sodium Glucoheptonate / GR-50 NVM purchased by CDI</t>
  </si>
  <si>
    <t>96945</t>
  </si>
  <si>
    <t>LAKEWALES</t>
  </si>
  <si>
    <t>96961</t>
  </si>
  <si>
    <t>MAC727YM22</t>
  </si>
  <si>
    <t>Dyna Flo 7-2-7YM22</t>
  </si>
  <si>
    <t>97000</t>
  </si>
  <si>
    <t>97003</t>
  </si>
  <si>
    <t>92173</t>
  </si>
  <si>
    <t>92607</t>
  </si>
  <si>
    <t>93333</t>
  </si>
  <si>
    <t>96773</t>
  </si>
  <si>
    <t>96774</t>
  </si>
  <si>
    <t>96786</t>
  </si>
  <si>
    <t>96814</t>
  </si>
  <si>
    <t>96815</t>
  </si>
  <si>
    <t>96816</t>
  </si>
  <si>
    <t>PALMETTO</t>
  </si>
  <si>
    <t>96823</t>
  </si>
  <si>
    <t>Dyna Flo 16-4-8</t>
  </si>
  <si>
    <t>96829</t>
  </si>
  <si>
    <t>96860</t>
  </si>
  <si>
    <t>96861</t>
  </si>
  <si>
    <t>96862</t>
  </si>
  <si>
    <t>96872</t>
  </si>
  <si>
    <t>96879</t>
  </si>
  <si>
    <t>96880</t>
  </si>
  <si>
    <t>96881</t>
  </si>
  <si>
    <t>96890</t>
  </si>
  <si>
    <t>96903</t>
  </si>
  <si>
    <t>96914</t>
  </si>
  <si>
    <t>96915</t>
  </si>
  <si>
    <t>96943</t>
  </si>
  <si>
    <t>96944</t>
  </si>
  <si>
    <t>96963</t>
  </si>
  <si>
    <t>96964</t>
  </si>
  <si>
    <t>96983</t>
  </si>
  <si>
    <t>96985</t>
  </si>
  <si>
    <t>96987</t>
  </si>
  <si>
    <t>97009</t>
  </si>
  <si>
    <t>97025</t>
  </si>
  <si>
    <t>97032</t>
  </si>
  <si>
    <t>97046</t>
  </si>
  <si>
    <t>97047</t>
  </si>
  <si>
    <t>FRUITVILLE</t>
  </si>
  <si>
    <t>97048</t>
  </si>
  <si>
    <t>75283</t>
  </si>
  <si>
    <t>87916</t>
  </si>
  <si>
    <t>88123</t>
  </si>
  <si>
    <t>88144</t>
  </si>
  <si>
    <t>MAC927YM13</t>
  </si>
  <si>
    <t>Dyna Flo 9-2-7YM13</t>
  </si>
  <si>
    <t>88786</t>
  </si>
  <si>
    <t>91391</t>
  </si>
  <si>
    <t>MAC608YA4</t>
  </si>
  <si>
    <t>Dyna Flo 6-0-8YA4</t>
  </si>
  <si>
    <t>94683</t>
  </si>
  <si>
    <t>94694</t>
  </si>
  <si>
    <t>MAC408YB</t>
  </si>
  <si>
    <t>Dyna Flo 4-0-8YB</t>
  </si>
  <si>
    <t>96695</t>
  </si>
  <si>
    <t>96775</t>
  </si>
  <si>
    <t>KNIGHTS-N-BB 16</t>
  </si>
  <si>
    <t>96779</t>
  </si>
  <si>
    <t>KNIGHTS-S/E</t>
  </si>
  <si>
    <t>96780</t>
  </si>
  <si>
    <t>96788</t>
  </si>
  <si>
    <t>96790</t>
  </si>
  <si>
    <t>96791</t>
  </si>
  <si>
    <t>96792</t>
  </si>
  <si>
    <t>96793</t>
  </si>
  <si>
    <t>96794</t>
  </si>
  <si>
    <t>96795</t>
  </si>
  <si>
    <t>96796</t>
  </si>
  <si>
    <t>96797</t>
  </si>
  <si>
    <t>96798</t>
  </si>
  <si>
    <t>96799</t>
  </si>
  <si>
    <t>96800</t>
  </si>
  <si>
    <t>96803</t>
  </si>
  <si>
    <t>96804</t>
  </si>
  <si>
    <t>IKESMITH</t>
  </si>
  <si>
    <t>96805</t>
  </si>
  <si>
    <t>96806</t>
  </si>
  <si>
    <t>96807</t>
  </si>
  <si>
    <t>96808</t>
  </si>
  <si>
    <t>96810</t>
  </si>
  <si>
    <t>96811</t>
  </si>
  <si>
    <t>96812</t>
  </si>
  <si>
    <t>96818</t>
  </si>
  <si>
    <t>96820</t>
  </si>
  <si>
    <t>96821</t>
  </si>
  <si>
    <t>96825</t>
  </si>
  <si>
    <t>96826</t>
  </si>
  <si>
    <t>96827</t>
  </si>
  <si>
    <t>96830</t>
  </si>
  <si>
    <t>96831</t>
  </si>
  <si>
    <t>96832</t>
  </si>
  <si>
    <t>EDITH DELANEY</t>
  </si>
  <si>
    <t>96833</t>
  </si>
  <si>
    <t>96835</t>
  </si>
  <si>
    <t>96836</t>
  </si>
  <si>
    <t>96837</t>
  </si>
  <si>
    <t>96838</t>
  </si>
  <si>
    <t>96839</t>
  </si>
  <si>
    <t>96840</t>
  </si>
  <si>
    <t>96841</t>
  </si>
  <si>
    <t>96844</t>
  </si>
  <si>
    <t>ALBAEDWARD</t>
  </si>
  <si>
    <t>96845</t>
  </si>
  <si>
    <t>GOLD60602</t>
  </si>
  <si>
    <t>96846</t>
  </si>
  <si>
    <t>96847</t>
  </si>
  <si>
    <t>96848</t>
  </si>
  <si>
    <t>96849</t>
  </si>
  <si>
    <t>96852</t>
  </si>
  <si>
    <t>96853</t>
  </si>
  <si>
    <t>96854</t>
  </si>
  <si>
    <t>96855</t>
  </si>
  <si>
    <t>96856</t>
  </si>
  <si>
    <t>96857</t>
  </si>
  <si>
    <t>96858</t>
  </si>
  <si>
    <t>96859</t>
  </si>
  <si>
    <t>96864</t>
  </si>
  <si>
    <t>96865</t>
  </si>
  <si>
    <t>96867</t>
  </si>
  <si>
    <t>96869</t>
  </si>
  <si>
    <t>96870</t>
  </si>
  <si>
    <t>MAC548YM</t>
  </si>
  <si>
    <t>Dyna Flo 5-4-8 YM</t>
  </si>
  <si>
    <t>96875</t>
  </si>
  <si>
    <t>96884</t>
  </si>
  <si>
    <t>96889</t>
  </si>
  <si>
    <t>96892</t>
  </si>
  <si>
    <t>96894</t>
  </si>
  <si>
    <t>96895</t>
  </si>
  <si>
    <t>96896</t>
  </si>
  <si>
    <t>96897</t>
  </si>
  <si>
    <t>96898</t>
  </si>
  <si>
    <t>96899</t>
  </si>
  <si>
    <t>96900</t>
  </si>
  <si>
    <t>RICEPAUL</t>
  </si>
  <si>
    <t>96912</t>
  </si>
  <si>
    <t>FLO301102</t>
  </si>
  <si>
    <t>Dyna Flo Potassium Nitrate Solution</t>
  </si>
  <si>
    <t>GAL09.72</t>
  </si>
  <si>
    <t>96913</t>
  </si>
  <si>
    <t>96916</t>
  </si>
  <si>
    <t>96922</t>
  </si>
  <si>
    <t>96923</t>
  </si>
  <si>
    <t>96924</t>
  </si>
  <si>
    <t>96925</t>
  </si>
  <si>
    <t>96926</t>
  </si>
  <si>
    <t>MAC927YM10</t>
  </si>
  <si>
    <t>Dyna Flo 9-2-7YM10</t>
  </si>
  <si>
    <t>96927</t>
  </si>
  <si>
    <t>96930</t>
  </si>
  <si>
    <t>96931</t>
  </si>
  <si>
    <t>96932</t>
  </si>
  <si>
    <t>96933</t>
  </si>
  <si>
    <t>96934</t>
  </si>
  <si>
    <t>96935A</t>
  </si>
  <si>
    <t>96941</t>
  </si>
  <si>
    <t>96946</t>
  </si>
  <si>
    <t>96947</t>
  </si>
  <si>
    <t>GENEALT</t>
  </si>
  <si>
    <t>BRAMBLE</t>
  </si>
  <si>
    <t>96952</t>
  </si>
  <si>
    <t>MAC525YP11M</t>
  </si>
  <si>
    <t>Dyna Flo 5-2-5YP11 w Merge</t>
  </si>
  <si>
    <t>96953</t>
  </si>
  <si>
    <t>96954</t>
  </si>
  <si>
    <t>96955</t>
  </si>
  <si>
    <t>96956</t>
  </si>
  <si>
    <t>96957</t>
  </si>
  <si>
    <t>96959</t>
  </si>
  <si>
    <t>96960</t>
  </si>
  <si>
    <t>96962</t>
  </si>
  <si>
    <t>96965</t>
  </si>
  <si>
    <t>96972</t>
  </si>
  <si>
    <t>MAC727YM2</t>
  </si>
  <si>
    <t>Dyna Flo 7-2-7YM2</t>
  </si>
  <si>
    <t>96973</t>
  </si>
  <si>
    <t>JIMREDMAN</t>
  </si>
  <si>
    <t>96974</t>
  </si>
  <si>
    <t>HERRERAED</t>
  </si>
  <si>
    <t>SQUASH FIELD</t>
  </si>
  <si>
    <t>96975</t>
  </si>
  <si>
    <t>MAC808YK1</t>
  </si>
  <si>
    <t>Dyna Flo 8-0-8YK1</t>
  </si>
  <si>
    <t>96976</t>
  </si>
  <si>
    <t>96977</t>
  </si>
  <si>
    <t>96978</t>
  </si>
  <si>
    <t>96979</t>
  </si>
  <si>
    <t>96980</t>
  </si>
  <si>
    <t>96981</t>
  </si>
  <si>
    <t>96982</t>
  </si>
  <si>
    <t>96984</t>
  </si>
  <si>
    <t>96986</t>
  </si>
  <si>
    <t>96989</t>
  </si>
  <si>
    <t>96991</t>
  </si>
  <si>
    <t>96992</t>
  </si>
  <si>
    <t>96993</t>
  </si>
  <si>
    <t>96994</t>
  </si>
  <si>
    <t>96995</t>
  </si>
  <si>
    <t>96996</t>
  </si>
  <si>
    <t>96997</t>
  </si>
  <si>
    <t>96998</t>
  </si>
  <si>
    <t>96999</t>
  </si>
  <si>
    <t>97001</t>
  </si>
  <si>
    <t>97002</t>
  </si>
  <si>
    <t>97004</t>
  </si>
  <si>
    <t>97005</t>
  </si>
  <si>
    <t>KNIGHTS-N/SOUTH</t>
  </si>
  <si>
    <t>97006</t>
  </si>
  <si>
    <t>97007</t>
  </si>
  <si>
    <t>97011</t>
  </si>
  <si>
    <t>97012</t>
  </si>
  <si>
    <t>97013</t>
  </si>
  <si>
    <t>97015</t>
  </si>
  <si>
    <t>97016</t>
  </si>
  <si>
    <t>97017</t>
  </si>
  <si>
    <t>97018</t>
  </si>
  <si>
    <t>97020</t>
  </si>
  <si>
    <t>97021</t>
  </si>
  <si>
    <t>97026</t>
  </si>
  <si>
    <t>WILLIAMS RD-S</t>
  </si>
  <si>
    <t>97029</t>
  </si>
  <si>
    <t>97030</t>
  </si>
  <si>
    <t>Jungle Juice</t>
  </si>
  <si>
    <t>97031</t>
  </si>
  <si>
    <t>97037</t>
  </si>
  <si>
    <t>97038</t>
  </si>
  <si>
    <t>97039</t>
  </si>
  <si>
    <t>97040</t>
  </si>
  <si>
    <t>97041</t>
  </si>
  <si>
    <t>97042</t>
  </si>
  <si>
    <t>97043</t>
  </si>
  <si>
    <t>97050</t>
  </si>
  <si>
    <t>97051</t>
  </si>
  <si>
    <t>97052</t>
  </si>
  <si>
    <t>97053</t>
  </si>
  <si>
    <t>97056</t>
  </si>
  <si>
    <t>97057</t>
  </si>
  <si>
    <t>96817</t>
  </si>
  <si>
    <t>96883</t>
  </si>
  <si>
    <t>96949</t>
  </si>
  <si>
    <t>96988</t>
  </si>
  <si>
    <t>97008</t>
  </si>
  <si>
    <t>97036</t>
  </si>
  <si>
    <t>GOLDMN02</t>
  </si>
  <si>
    <t>DELSTAR</t>
  </si>
  <si>
    <t>GERALDBREWER</t>
  </si>
  <si>
    <t>93050</t>
  </si>
  <si>
    <t>HOLLANDALE</t>
  </si>
  <si>
    <t>96783</t>
  </si>
  <si>
    <t>PROEDTAZN02</t>
  </si>
  <si>
    <t>Dyna Pro Zinc EDTA 9%</t>
  </si>
  <si>
    <t>GAL11.00</t>
  </si>
  <si>
    <t>CPSSOUTH</t>
  </si>
  <si>
    <t>CRAWFORDSVILLE</t>
  </si>
  <si>
    <t>96887</t>
  </si>
  <si>
    <t>AMERICANHONG</t>
  </si>
  <si>
    <t>96781</t>
  </si>
  <si>
    <t>96784</t>
  </si>
  <si>
    <t>96785</t>
  </si>
  <si>
    <t>96789A</t>
  </si>
  <si>
    <t>PIERSONSUPPLY</t>
  </si>
  <si>
    <t>96850</t>
  </si>
  <si>
    <t>GOLD191416602</t>
  </si>
  <si>
    <t>Dyna Gold Fern Mix</t>
  </si>
  <si>
    <t>GAL11.02</t>
  </si>
  <si>
    <t>96851</t>
  </si>
  <si>
    <t>GARDNERFARMS</t>
  </si>
  <si>
    <t>96874</t>
  </si>
  <si>
    <t>96876</t>
  </si>
  <si>
    <t>96877</t>
  </si>
  <si>
    <t>96878</t>
  </si>
  <si>
    <t>WILLISTON</t>
  </si>
  <si>
    <t>96936</t>
  </si>
  <si>
    <t>SORCA02</t>
  </si>
  <si>
    <t>BIG HOUSE FARMS</t>
  </si>
  <si>
    <t>96937</t>
  </si>
  <si>
    <t>96938A</t>
  </si>
  <si>
    <t>MAC808YB3</t>
  </si>
  <si>
    <t>Dyna Flo 8-0-8YB3</t>
  </si>
  <si>
    <t>96940</t>
  </si>
  <si>
    <t>FLO11370250</t>
  </si>
  <si>
    <t>96942</t>
  </si>
  <si>
    <t>MAC3010YF</t>
  </si>
  <si>
    <t>Dyna Flo 3-0-10YF</t>
  </si>
  <si>
    <t>GROVELAND</t>
  </si>
  <si>
    <t>97022</t>
  </si>
  <si>
    <t>97034</t>
  </si>
  <si>
    <t>97035</t>
  </si>
  <si>
    <t>96782</t>
  </si>
  <si>
    <t>MAC507YA8</t>
  </si>
  <si>
    <t>Dyna Flo 5-0-7YA8 with Citra Guard</t>
  </si>
  <si>
    <t>96819</t>
  </si>
  <si>
    <t>96828</t>
  </si>
  <si>
    <t>96834</t>
  </si>
  <si>
    <t>96868</t>
  </si>
  <si>
    <t>MAC805YF</t>
  </si>
  <si>
    <t>Dyna Flo 8-0-5 YF</t>
  </si>
  <si>
    <t>96886</t>
  </si>
  <si>
    <t>96917</t>
  </si>
  <si>
    <t>96918</t>
  </si>
  <si>
    <t>96919</t>
  </si>
  <si>
    <t>96966</t>
  </si>
  <si>
    <t>97028</t>
  </si>
  <si>
    <t>EDDIEMILLER</t>
  </si>
  <si>
    <t>96776</t>
  </si>
  <si>
    <t>NUTRIENTIFTON</t>
  </si>
  <si>
    <t>96777</t>
  </si>
  <si>
    <t>STARMOUNT CC</t>
  </si>
  <si>
    <t>96778</t>
  </si>
  <si>
    <t>CROWCREEK</t>
  </si>
  <si>
    <t>96787</t>
  </si>
  <si>
    <t>96809</t>
  </si>
  <si>
    <t>AGBASCAR250#</t>
  </si>
  <si>
    <t>96843</t>
  </si>
  <si>
    <t>96888</t>
  </si>
  <si>
    <t>ZONN28250</t>
  </si>
  <si>
    <t>96910</t>
  </si>
  <si>
    <t>Zinc Nitro</t>
  </si>
  <si>
    <t>GREENSBOR,C.C.</t>
  </si>
  <si>
    <t>96911</t>
  </si>
  <si>
    <t>DONALSONVILLE</t>
  </si>
  <si>
    <t>96920</t>
  </si>
  <si>
    <t>TRITOPS02</t>
  </si>
  <si>
    <t>Top Side Liquid Boron</t>
  </si>
  <si>
    <t>GAL10.15</t>
  </si>
  <si>
    <t>96921</t>
  </si>
  <si>
    <t>GPBLACK+02</t>
  </si>
  <si>
    <t>BlackStrap Plus</t>
  </si>
  <si>
    <t>GAL10.67</t>
  </si>
  <si>
    <t>96928</t>
  </si>
  <si>
    <t>CPS-DOERUN,GA</t>
  </si>
  <si>
    <t>96950</t>
  </si>
  <si>
    <t>AGBAPMN02</t>
  </si>
  <si>
    <t>Agri Plex Manganese 5%</t>
  </si>
  <si>
    <t>96951</t>
  </si>
  <si>
    <t>FLO003055</t>
  </si>
  <si>
    <t>GOLDHICAL55</t>
  </si>
  <si>
    <t>Dyna Gold Hi-Cal</t>
  </si>
  <si>
    <t>GAL11.40</t>
  </si>
  <si>
    <t>GOLDMG250</t>
  </si>
  <si>
    <t>GOLDMN250</t>
  </si>
  <si>
    <t>Dyna Gro Magnesium 6%</t>
  </si>
  <si>
    <t>FLO5151250</t>
  </si>
  <si>
    <t>FLO515155</t>
  </si>
  <si>
    <t>GPHUMIC250</t>
  </si>
  <si>
    <t>96968</t>
  </si>
  <si>
    <t>96970</t>
  </si>
  <si>
    <t>96990</t>
  </si>
  <si>
    <t>97019</t>
  </si>
  <si>
    <t>TRITOPS250</t>
  </si>
  <si>
    <t>SUMMERFIELDFEED</t>
  </si>
  <si>
    <t>97033</t>
  </si>
  <si>
    <t>CAL8+02</t>
  </si>
  <si>
    <t>Cal 8 Plus</t>
  </si>
  <si>
    <t>K-29 Foliar Potassium</t>
  </si>
  <si>
    <t>97194</t>
  </si>
  <si>
    <t>97203</t>
  </si>
  <si>
    <t>97204</t>
  </si>
  <si>
    <t>97227</t>
  </si>
  <si>
    <t>PHYLO+02</t>
  </si>
  <si>
    <t>pHylo Plus</t>
  </si>
  <si>
    <t>GAL09.90</t>
  </si>
  <si>
    <t>97097A</t>
  </si>
  <si>
    <t>97136</t>
  </si>
  <si>
    <t>97137</t>
  </si>
  <si>
    <t>97151</t>
  </si>
  <si>
    <t>97152</t>
  </si>
  <si>
    <t>97156</t>
  </si>
  <si>
    <t>97165</t>
  </si>
  <si>
    <t>97205</t>
  </si>
  <si>
    <t>FLOFE6250</t>
  </si>
  <si>
    <t>Dyna Flo Fe 6%</t>
  </si>
  <si>
    <t>GAL09.85</t>
  </si>
  <si>
    <t>97269</t>
  </si>
  <si>
    <t>97275</t>
  </si>
  <si>
    <t>FreightKar</t>
  </si>
  <si>
    <t>97295</t>
  </si>
  <si>
    <t>Nutrient Biofilter</t>
  </si>
  <si>
    <t>97296</t>
  </si>
  <si>
    <t>97058</t>
  </si>
  <si>
    <t>MAC5110YR</t>
  </si>
  <si>
    <t>Dyna Flo 5-1-10 YR</t>
  </si>
  <si>
    <t>97059</t>
  </si>
  <si>
    <t>MAC727YR5</t>
  </si>
  <si>
    <t>Dyna Flo 7-2-7YR5</t>
  </si>
  <si>
    <t>97065</t>
  </si>
  <si>
    <t>97066</t>
  </si>
  <si>
    <t>97079</t>
  </si>
  <si>
    <t>97081</t>
  </si>
  <si>
    <t>97095</t>
  </si>
  <si>
    <t>97096</t>
  </si>
  <si>
    <t>97104</t>
  </si>
  <si>
    <t>97112</t>
  </si>
  <si>
    <t>97113</t>
  </si>
  <si>
    <t>97120</t>
  </si>
  <si>
    <t>97126</t>
  </si>
  <si>
    <t>SOAR7L250</t>
  </si>
  <si>
    <t>97127</t>
  </si>
  <si>
    <t>97128</t>
  </si>
  <si>
    <t>97129</t>
  </si>
  <si>
    <t>97133</t>
  </si>
  <si>
    <t>97144</t>
  </si>
  <si>
    <t>97157</t>
  </si>
  <si>
    <t>97184</t>
  </si>
  <si>
    <t>97185</t>
  </si>
  <si>
    <t>97191</t>
  </si>
  <si>
    <t>97192</t>
  </si>
  <si>
    <t>97193A</t>
  </si>
  <si>
    <t>97195</t>
  </si>
  <si>
    <t>97209</t>
  </si>
  <si>
    <t>97217</t>
  </si>
  <si>
    <t>97224</t>
  </si>
  <si>
    <t>ZEMOXYTH30</t>
  </si>
  <si>
    <t>Vented Oxygen Therapy</t>
  </si>
  <si>
    <t>GAL09.43</t>
  </si>
  <si>
    <t>97225</t>
  </si>
  <si>
    <t>ZEMOXYTH250</t>
  </si>
  <si>
    <t>97226</t>
  </si>
  <si>
    <t>97232</t>
  </si>
  <si>
    <t>97262</t>
  </si>
  <si>
    <t>97263</t>
  </si>
  <si>
    <t>97274</t>
  </si>
  <si>
    <t>97289</t>
  </si>
  <si>
    <t>97290</t>
  </si>
  <si>
    <t>97298</t>
  </si>
  <si>
    <t>SURFEMT-MULZ</t>
  </si>
  <si>
    <t>T-MULZ FCO IGA Emulsifier</t>
  </si>
  <si>
    <t>GAL08.60</t>
  </si>
  <si>
    <t>97299</t>
  </si>
  <si>
    <t>97060</t>
  </si>
  <si>
    <t>97062</t>
  </si>
  <si>
    <t>MAC727YM7</t>
  </si>
  <si>
    <t>Dyna Flo 7-2-7YM7</t>
  </si>
  <si>
    <t>97064</t>
  </si>
  <si>
    <t>97068</t>
  </si>
  <si>
    <t>97072</t>
  </si>
  <si>
    <t>97073</t>
  </si>
  <si>
    <t>97074</t>
  </si>
  <si>
    <t>97075</t>
  </si>
  <si>
    <t>97076</t>
  </si>
  <si>
    <t>97078</t>
  </si>
  <si>
    <t>97080</t>
  </si>
  <si>
    <t>97082</t>
  </si>
  <si>
    <t>97083</t>
  </si>
  <si>
    <t>97084</t>
  </si>
  <si>
    <t>97085</t>
  </si>
  <si>
    <t>97086</t>
  </si>
  <si>
    <t>97090</t>
  </si>
  <si>
    <t>97092</t>
  </si>
  <si>
    <t>97093</t>
  </si>
  <si>
    <t>97098</t>
  </si>
  <si>
    <t>97099</t>
  </si>
  <si>
    <t>97100</t>
  </si>
  <si>
    <t>97101</t>
  </si>
  <si>
    <t>97102</t>
  </si>
  <si>
    <t>97106</t>
  </si>
  <si>
    <t>WALDENSHEFFIELD</t>
  </si>
  <si>
    <t>97115</t>
  </si>
  <si>
    <t>97116</t>
  </si>
  <si>
    <t>97117</t>
  </si>
  <si>
    <t>97118</t>
  </si>
  <si>
    <t>97119</t>
  </si>
  <si>
    <t>97121</t>
  </si>
  <si>
    <t>97123</t>
  </si>
  <si>
    <t>97125</t>
  </si>
  <si>
    <t>97130</t>
  </si>
  <si>
    <t>97131</t>
  </si>
  <si>
    <t>97132</t>
  </si>
  <si>
    <t>97134</t>
  </si>
  <si>
    <t>97138</t>
  </si>
  <si>
    <t>97139</t>
  </si>
  <si>
    <t>97140</t>
  </si>
  <si>
    <t>97141</t>
  </si>
  <si>
    <t>97143</t>
  </si>
  <si>
    <t>97145</t>
  </si>
  <si>
    <t>97147</t>
  </si>
  <si>
    <t>97148</t>
  </si>
  <si>
    <t>97149</t>
  </si>
  <si>
    <t>MAC709YK3</t>
  </si>
  <si>
    <t>Dyna Flo 7-0-9YK3</t>
  </si>
  <si>
    <t>97150</t>
  </si>
  <si>
    <t>97153</t>
  </si>
  <si>
    <t>SPARKMAN/N</t>
  </si>
  <si>
    <t>97154</t>
  </si>
  <si>
    <t>97158</t>
  </si>
  <si>
    <t>97159</t>
  </si>
  <si>
    <t>97160</t>
  </si>
  <si>
    <t>97161</t>
  </si>
  <si>
    <t>97167</t>
  </si>
  <si>
    <t>97168</t>
  </si>
  <si>
    <t>97169</t>
  </si>
  <si>
    <t>97171</t>
  </si>
  <si>
    <t>97172</t>
  </si>
  <si>
    <t>97174</t>
  </si>
  <si>
    <t>MAC628YM1</t>
  </si>
  <si>
    <t>Dyna Flo 6-2-8YM1</t>
  </si>
  <si>
    <t>97176</t>
  </si>
  <si>
    <t>97177</t>
  </si>
  <si>
    <t>PEPPERFIELD</t>
  </si>
  <si>
    <t>97179</t>
  </si>
  <si>
    <t>97180</t>
  </si>
  <si>
    <t>97181</t>
  </si>
  <si>
    <t>97182</t>
  </si>
  <si>
    <t>97183</t>
  </si>
  <si>
    <t>97186</t>
  </si>
  <si>
    <t>97187</t>
  </si>
  <si>
    <t>97188</t>
  </si>
  <si>
    <t>97189</t>
  </si>
  <si>
    <t>97196</t>
  </si>
  <si>
    <t>97197</t>
  </si>
  <si>
    <t>PHURYMG02</t>
  </si>
  <si>
    <t>97200</t>
  </si>
  <si>
    <t>97201</t>
  </si>
  <si>
    <t>97202</t>
  </si>
  <si>
    <t>97207</t>
  </si>
  <si>
    <t>97208</t>
  </si>
  <si>
    <t>97210</t>
  </si>
  <si>
    <t>97211</t>
  </si>
  <si>
    <t>97212</t>
  </si>
  <si>
    <t>97213</t>
  </si>
  <si>
    <t>97216</t>
  </si>
  <si>
    <t>97219</t>
  </si>
  <si>
    <t>97220</t>
  </si>
  <si>
    <t>97221</t>
  </si>
  <si>
    <t>97222</t>
  </si>
  <si>
    <t>97223</t>
  </si>
  <si>
    <t>97228</t>
  </si>
  <si>
    <t>MAC907XK1</t>
  </si>
  <si>
    <t>Dyna Flo 9-0-7XK1</t>
  </si>
  <si>
    <t>97229</t>
  </si>
  <si>
    <t>97231</t>
  </si>
  <si>
    <t>97233</t>
  </si>
  <si>
    <t>97237</t>
  </si>
  <si>
    <t>97238</t>
  </si>
  <si>
    <t>97239</t>
  </si>
  <si>
    <t>97240</t>
  </si>
  <si>
    <t>97245</t>
  </si>
  <si>
    <t>97246</t>
  </si>
  <si>
    <t>97247</t>
  </si>
  <si>
    <t>97248</t>
  </si>
  <si>
    <t>97249</t>
  </si>
  <si>
    <t>97250</t>
  </si>
  <si>
    <t>97252</t>
  </si>
  <si>
    <t>97253</t>
  </si>
  <si>
    <t>97255</t>
  </si>
  <si>
    <t>97256</t>
  </si>
  <si>
    <t>MAC609XK</t>
  </si>
  <si>
    <t>Dyna Flo 6-0-9 XK</t>
  </si>
  <si>
    <t>97257</t>
  </si>
  <si>
    <t>97258</t>
  </si>
  <si>
    <t>97260</t>
  </si>
  <si>
    <t>TONYPALAFOX</t>
  </si>
  <si>
    <t>97261</t>
  </si>
  <si>
    <t>97264</t>
  </si>
  <si>
    <t>97265</t>
  </si>
  <si>
    <t>97266</t>
  </si>
  <si>
    <t>97267</t>
  </si>
  <si>
    <t>97268</t>
  </si>
  <si>
    <t>97271</t>
  </si>
  <si>
    <t>97276</t>
  </si>
  <si>
    <t>BUTTSKARL</t>
  </si>
  <si>
    <t>97279</t>
  </si>
  <si>
    <t>MAC808XK</t>
  </si>
  <si>
    <t>Dyna Flo 8-0-8 XK</t>
  </si>
  <si>
    <t>97281</t>
  </si>
  <si>
    <t>97282</t>
  </si>
  <si>
    <t>97283</t>
  </si>
  <si>
    <t>97284</t>
  </si>
  <si>
    <t>97286</t>
  </si>
  <si>
    <t>97287</t>
  </si>
  <si>
    <t>97291</t>
  </si>
  <si>
    <t>97292</t>
  </si>
  <si>
    <t>MAC5010YB5</t>
  </si>
  <si>
    <t>Dyna Flo 5-0-10YB5</t>
  </si>
  <si>
    <t>97293</t>
  </si>
  <si>
    <t>97297</t>
  </si>
  <si>
    <t>97300</t>
  </si>
  <si>
    <t>97301</t>
  </si>
  <si>
    <t>97302</t>
  </si>
  <si>
    <t>97303</t>
  </si>
  <si>
    <t>97307</t>
  </si>
  <si>
    <t>97122</t>
  </si>
  <si>
    <t>Dyna Zone 15-0-10</t>
  </si>
  <si>
    <t>HILTONNY</t>
  </si>
  <si>
    <t>97166</t>
  </si>
  <si>
    <t>97190</t>
  </si>
  <si>
    <t>97270</t>
  </si>
  <si>
    <t>97306</t>
  </si>
  <si>
    <t>97108</t>
  </si>
  <si>
    <t>97109</t>
  </si>
  <si>
    <t>97110</t>
  </si>
  <si>
    <t>97111A</t>
  </si>
  <si>
    <t>97114</t>
  </si>
  <si>
    <t>97198</t>
  </si>
  <si>
    <t>97199</t>
  </si>
  <si>
    <t>97206</t>
  </si>
  <si>
    <t>97218</t>
  </si>
  <si>
    <t>97273</t>
  </si>
  <si>
    <t>97061</t>
  </si>
  <si>
    <t>97063A</t>
  </si>
  <si>
    <t>97069</t>
  </si>
  <si>
    <t>97088</t>
  </si>
  <si>
    <t>97089A</t>
  </si>
  <si>
    <t>97234</t>
  </si>
  <si>
    <t>97236</t>
  </si>
  <si>
    <t>97241</t>
  </si>
  <si>
    <t>97242</t>
  </si>
  <si>
    <t>97243</t>
  </si>
  <si>
    <t>97244</t>
  </si>
  <si>
    <t>97254</t>
  </si>
  <si>
    <t>97280</t>
  </si>
  <si>
    <t>97285</t>
  </si>
  <si>
    <t>97071</t>
  </si>
  <si>
    <t>97087</t>
  </si>
  <si>
    <t>97094</t>
  </si>
  <si>
    <t>THEGREENERY</t>
  </si>
  <si>
    <t>97107</t>
  </si>
  <si>
    <t>REDSTARLLC</t>
  </si>
  <si>
    <t>97124</t>
  </si>
  <si>
    <t>FLO8246250</t>
  </si>
  <si>
    <t>Threshold Quick Boost 8-24-6</t>
  </si>
  <si>
    <t>FLO824602</t>
  </si>
  <si>
    <t>IRWINVILLE</t>
  </si>
  <si>
    <t>97175</t>
  </si>
  <si>
    <t>97214</t>
  </si>
  <si>
    <t>CROSSCREEK RD</t>
  </si>
  <si>
    <t>97215</t>
  </si>
  <si>
    <t>97235</t>
  </si>
  <si>
    <t>AGBAPZN02</t>
  </si>
  <si>
    <t>97277</t>
  </si>
  <si>
    <t>97278</t>
  </si>
  <si>
    <t>97288</t>
  </si>
  <si>
    <t>GOLDCB250</t>
  </si>
  <si>
    <t>RPOUND</t>
  </si>
  <si>
    <t>10</t>
  </si>
  <si>
    <t>THEMILL</t>
  </si>
  <si>
    <t>97067</t>
  </si>
  <si>
    <t>97320</t>
  </si>
  <si>
    <t>97413</t>
  </si>
  <si>
    <t>97414</t>
  </si>
  <si>
    <t>97449</t>
  </si>
  <si>
    <t>97460</t>
  </si>
  <si>
    <t>97489</t>
  </si>
  <si>
    <t>97496</t>
  </si>
  <si>
    <t>97521</t>
  </si>
  <si>
    <t>97314A</t>
  </si>
  <si>
    <t>NPKU32</t>
  </si>
  <si>
    <t>Urea Ammonium Nitrate 32%</t>
  </si>
  <si>
    <t>97321</t>
  </si>
  <si>
    <t>97322</t>
  </si>
  <si>
    <t>97328</t>
  </si>
  <si>
    <t>Repack: True Solum</t>
  </si>
  <si>
    <t>97334</t>
  </si>
  <si>
    <t>97366</t>
  </si>
  <si>
    <t>97377</t>
  </si>
  <si>
    <t>HMCLAUSEINC</t>
  </si>
  <si>
    <t>97379</t>
  </si>
  <si>
    <t>97388</t>
  </si>
  <si>
    <t>97394</t>
  </si>
  <si>
    <t>97398</t>
  </si>
  <si>
    <t>STOR-N-MORE</t>
  </si>
  <si>
    <t>97424</t>
  </si>
  <si>
    <t>97425</t>
  </si>
  <si>
    <t>MORRINC</t>
  </si>
  <si>
    <t>WIMAUMA</t>
  </si>
  <si>
    <t>97426</t>
  </si>
  <si>
    <t>97450</t>
  </si>
  <si>
    <t>97462</t>
  </si>
  <si>
    <t>3115</t>
  </si>
  <si>
    <t>97478</t>
  </si>
  <si>
    <t>FLOFE6+250</t>
  </si>
  <si>
    <t>Dyna Flo Fe 6% Plus</t>
  </si>
  <si>
    <t>GAL10.38</t>
  </si>
  <si>
    <t>97480</t>
  </si>
  <si>
    <t>97494</t>
  </si>
  <si>
    <t>97495</t>
  </si>
  <si>
    <t>97503</t>
  </si>
  <si>
    <t>97512</t>
  </si>
  <si>
    <t>97513</t>
  </si>
  <si>
    <t>97515</t>
  </si>
  <si>
    <t>CAMMO55</t>
  </si>
  <si>
    <t>97523</t>
  </si>
  <si>
    <t>97525A</t>
  </si>
  <si>
    <t>TARGETSPECIALTY</t>
  </si>
  <si>
    <t>97539</t>
  </si>
  <si>
    <t>FLO1137055</t>
  </si>
  <si>
    <t>97544</t>
  </si>
  <si>
    <t>97547</t>
  </si>
  <si>
    <t>97336</t>
  </si>
  <si>
    <t>97340</t>
  </si>
  <si>
    <t>97360</t>
  </si>
  <si>
    <t>97361</t>
  </si>
  <si>
    <t>97369</t>
  </si>
  <si>
    <t>97378</t>
  </si>
  <si>
    <t>97380</t>
  </si>
  <si>
    <t>97397</t>
  </si>
  <si>
    <t>97403</t>
  </si>
  <si>
    <t>97406</t>
  </si>
  <si>
    <t>MISTYORGANICS</t>
  </si>
  <si>
    <t>97418</t>
  </si>
  <si>
    <t>97427</t>
  </si>
  <si>
    <t>97447</t>
  </si>
  <si>
    <t>97455</t>
  </si>
  <si>
    <t>97456</t>
  </si>
  <si>
    <t>97465</t>
  </si>
  <si>
    <t>97475</t>
  </si>
  <si>
    <t>97488</t>
  </si>
  <si>
    <t>97500</t>
  </si>
  <si>
    <t>97502</t>
  </si>
  <si>
    <t>97538</t>
  </si>
  <si>
    <t>97316</t>
  </si>
  <si>
    <t>97318</t>
  </si>
  <si>
    <t>97323</t>
  </si>
  <si>
    <t>97325</t>
  </si>
  <si>
    <t>97326</t>
  </si>
  <si>
    <t>97327</t>
  </si>
  <si>
    <t>97329</t>
  </si>
  <si>
    <t>97330</t>
  </si>
  <si>
    <t>97331</t>
  </si>
  <si>
    <t>97332</t>
  </si>
  <si>
    <t>97333</t>
  </si>
  <si>
    <t>MAC907YB7</t>
  </si>
  <si>
    <t>Dyna Flo 9-0-7YB7</t>
  </si>
  <si>
    <t>97335</t>
  </si>
  <si>
    <t>97337</t>
  </si>
  <si>
    <t>97341</t>
  </si>
  <si>
    <t>97342</t>
  </si>
  <si>
    <t>97343</t>
  </si>
  <si>
    <t>97344</t>
  </si>
  <si>
    <t>97345</t>
  </si>
  <si>
    <t>97346</t>
  </si>
  <si>
    <t>97347</t>
  </si>
  <si>
    <t>97348</t>
  </si>
  <si>
    <t>97349</t>
  </si>
  <si>
    <t>97350</t>
  </si>
  <si>
    <t>97354</t>
  </si>
  <si>
    <t>BALM-TOMATOS</t>
  </si>
  <si>
    <t>97355</t>
  </si>
  <si>
    <t>HWY 60</t>
  </si>
  <si>
    <t>97356</t>
  </si>
  <si>
    <t>97358</t>
  </si>
  <si>
    <t>97359</t>
  </si>
  <si>
    <t>97362</t>
  </si>
  <si>
    <t>97363</t>
  </si>
  <si>
    <t>97365</t>
  </si>
  <si>
    <t>97367</t>
  </si>
  <si>
    <t>97368</t>
  </si>
  <si>
    <t>97373</t>
  </si>
  <si>
    <t>97375</t>
  </si>
  <si>
    <t>97376</t>
  </si>
  <si>
    <t>97382</t>
  </si>
  <si>
    <t>97383</t>
  </si>
  <si>
    <t>97384</t>
  </si>
  <si>
    <t>97385</t>
  </si>
  <si>
    <t>97387</t>
  </si>
  <si>
    <t>97389</t>
  </si>
  <si>
    <t>97390</t>
  </si>
  <si>
    <t>97391</t>
  </si>
  <si>
    <t>97392</t>
  </si>
  <si>
    <t>97393</t>
  </si>
  <si>
    <t>97395</t>
  </si>
  <si>
    <t>97400</t>
  </si>
  <si>
    <t>97401</t>
  </si>
  <si>
    <t>97407</t>
  </si>
  <si>
    <t>97408</t>
  </si>
  <si>
    <t>97409</t>
  </si>
  <si>
    <t>97410</t>
  </si>
  <si>
    <t>97411</t>
  </si>
  <si>
    <t>97412</t>
  </si>
  <si>
    <t>GROCA55</t>
  </si>
  <si>
    <t>97415</t>
  </si>
  <si>
    <t>97419</t>
  </si>
  <si>
    <t>97420</t>
  </si>
  <si>
    <t>97421</t>
  </si>
  <si>
    <t>97433</t>
  </si>
  <si>
    <t>97434</t>
  </si>
  <si>
    <t>97436</t>
  </si>
  <si>
    <t>97437</t>
  </si>
  <si>
    <t>MICHAEL TRAUNER</t>
  </si>
  <si>
    <t>97439</t>
  </si>
  <si>
    <t>97440</t>
  </si>
  <si>
    <t>97441</t>
  </si>
  <si>
    <t>97443</t>
  </si>
  <si>
    <t>97444</t>
  </si>
  <si>
    <t>MAC707YB9</t>
  </si>
  <si>
    <t>Dyna Flo 7-0-7YB9</t>
  </si>
  <si>
    <t>97446</t>
  </si>
  <si>
    <t>97453</t>
  </si>
  <si>
    <t>97461</t>
  </si>
  <si>
    <t>97469</t>
  </si>
  <si>
    <t>97471</t>
  </si>
  <si>
    <t>97472</t>
  </si>
  <si>
    <t>97476</t>
  </si>
  <si>
    <t>97477</t>
  </si>
  <si>
    <t>97481</t>
  </si>
  <si>
    <t>97482</t>
  </si>
  <si>
    <t>97484</t>
  </si>
  <si>
    <t>97485</t>
  </si>
  <si>
    <t>97486</t>
  </si>
  <si>
    <t>97498</t>
  </si>
  <si>
    <t>97501</t>
  </si>
  <si>
    <t>97506</t>
  </si>
  <si>
    <t>97514</t>
  </si>
  <si>
    <t>97516</t>
  </si>
  <si>
    <t>97518</t>
  </si>
  <si>
    <t>97520</t>
  </si>
  <si>
    <t>97529</t>
  </si>
  <si>
    <t>97530</t>
  </si>
  <si>
    <t>97543</t>
  </si>
  <si>
    <t>MAC929XF</t>
  </si>
  <si>
    <t>Dyna Flo 9-2-9 XF</t>
  </si>
  <si>
    <t>97545</t>
  </si>
  <si>
    <t>97546</t>
  </si>
  <si>
    <t>97315</t>
  </si>
  <si>
    <t>97364</t>
  </si>
  <si>
    <t>97404</t>
  </si>
  <si>
    <t>Ironman II</t>
  </si>
  <si>
    <t>Tech Line Magnesium</t>
  </si>
  <si>
    <t>97468</t>
  </si>
  <si>
    <t>Dyna Flo Starter 8-24-8</t>
  </si>
  <si>
    <t>97522</t>
  </si>
  <si>
    <t>HEFTYSEEDCO</t>
  </si>
  <si>
    <t>97432A</t>
  </si>
  <si>
    <t>97445</t>
  </si>
  <si>
    <t>97454</t>
  </si>
  <si>
    <t>PROEDTAZN250</t>
  </si>
  <si>
    <t>TUNICA</t>
  </si>
  <si>
    <t>97470</t>
  </si>
  <si>
    <t>BRITTFARM</t>
  </si>
  <si>
    <t>CASCIO</t>
  </si>
  <si>
    <t>97491A</t>
  </si>
  <si>
    <t>CLEVELAND,MS</t>
  </si>
  <si>
    <t>97492A</t>
  </si>
  <si>
    <t>97510A</t>
  </si>
  <si>
    <t>AGRICENTERINT</t>
  </si>
  <si>
    <t>97524</t>
  </si>
  <si>
    <t>SHARPE</t>
  </si>
  <si>
    <t>97526</t>
  </si>
  <si>
    <t>SOUTHERNAGSER</t>
  </si>
  <si>
    <t>STARKVILLE</t>
  </si>
  <si>
    <t>97527</t>
  </si>
  <si>
    <t>97540</t>
  </si>
  <si>
    <t>83FARMS</t>
  </si>
  <si>
    <t>97371</t>
  </si>
  <si>
    <t>BARBERFERT</t>
  </si>
  <si>
    <t>97386</t>
  </si>
  <si>
    <t>KUMQUATGROWERS</t>
  </si>
  <si>
    <t>97396</t>
  </si>
  <si>
    <t>MAC929XH</t>
  </si>
  <si>
    <t>Dyna Flo 9-2-9 XH</t>
  </si>
  <si>
    <t>97405</t>
  </si>
  <si>
    <t>97416</t>
  </si>
  <si>
    <t>MAILING-UF</t>
  </si>
  <si>
    <t>97466</t>
  </si>
  <si>
    <t>97531</t>
  </si>
  <si>
    <t>97541</t>
  </si>
  <si>
    <t>ROWLANDCATTLE</t>
  </si>
  <si>
    <t>97324</t>
  </si>
  <si>
    <t>97338</t>
  </si>
  <si>
    <t>97374</t>
  </si>
  <si>
    <t>97417</t>
  </si>
  <si>
    <t>97442</t>
  </si>
  <si>
    <t>97458</t>
  </si>
  <si>
    <t>97487</t>
  </si>
  <si>
    <t>97517</t>
  </si>
  <si>
    <t>97532</t>
  </si>
  <si>
    <t>GRIFFITH'S FARM</t>
  </si>
  <si>
    <t>97357</t>
  </si>
  <si>
    <t>97370</t>
  </si>
  <si>
    <t>MEHERRIN/GA</t>
  </si>
  <si>
    <t>97399</t>
  </si>
  <si>
    <t>AGBCB50#</t>
  </si>
  <si>
    <t>Cal Bee</t>
  </si>
  <si>
    <t>97422</t>
  </si>
  <si>
    <t>AGB2222102</t>
  </si>
  <si>
    <t>Vented Agri Hep All Purpose 22221</t>
  </si>
  <si>
    <t>PINCECLIFF</t>
  </si>
  <si>
    <t>97423</t>
  </si>
  <si>
    <t>97428</t>
  </si>
  <si>
    <t>97429</t>
  </si>
  <si>
    <t>97430</t>
  </si>
  <si>
    <t>97431</t>
  </si>
  <si>
    <t>97438</t>
  </si>
  <si>
    <t>97451</t>
  </si>
  <si>
    <t>97452</t>
  </si>
  <si>
    <t>97457</t>
  </si>
  <si>
    <t>97459</t>
  </si>
  <si>
    <t>CPSCAROLINAS</t>
  </si>
  <si>
    <t>UAP/HENDERSONV</t>
  </si>
  <si>
    <t>97463</t>
  </si>
  <si>
    <t>DOERUN</t>
  </si>
  <si>
    <t>97464</t>
  </si>
  <si>
    <t>MEHERRIN/ESTILL</t>
  </si>
  <si>
    <t>97473</t>
  </si>
  <si>
    <t>97474</t>
  </si>
  <si>
    <t>ATMORE TRUCKERS</t>
  </si>
  <si>
    <t>97483A</t>
  </si>
  <si>
    <t>AGBTHNB10702</t>
  </si>
  <si>
    <t>Threshold NB 107</t>
  </si>
  <si>
    <t>97490</t>
  </si>
  <si>
    <t>NUTRIEN-AR</t>
  </si>
  <si>
    <t>97507</t>
  </si>
  <si>
    <t>AGBAPMG02</t>
  </si>
  <si>
    <t>Agri Plex Magnesium 4%</t>
  </si>
  <si>
    <t>GAL10.55</t>
  </si>
  <si>
    <t>97508</t>
  </si>
  <si>
    <t>97509</t>
  </si>
  <si>
    <t>CPS-MOULTRIE GA</t>
  </si>
  <si>
    <t>97528</t>
  </si>
  <si>
    <t>TRES</t>
  </si>
  <si>
    <t>11</t>
  </si>
  <si>
    <t>97511</t>
  </si>
  <si>
    <t>CTYOF BOCARATON</t>
  </si>
  <si>
    <t>97556</t>
  </si>
  <si>
    <t>97586</t>
  </si>
  <si>
    <t>97590</t>
  </si>
  <si>
    <t>97629</t>
  </si>
  <si>
    <t>97665</t>
  </si>
  <si>
    <t>97549</t>
  </si>
  <si>
    <t>97560</t>
  </si>
  <si>
    <t>97578</t>
  </si>
  <si>
    <t>97579</t>
  </si>
  <si>
    <t>97580</t>
  </si>
  <si>
    <t>97581</t>
  </si>
  <si>
    <t>97609</t>
  </si>
  <si>
    <t>THEVILLAGES</t>
  </si>
  <si>
    <t>97610</t>
  </si>
  <si>
    <t>GREFE55</t>
  </si>
  <si>
    <t>Grizzly Iron</t>
  </si>
  <si>
    <t>Grizzly Nitro N-30</t>
  </si>
  <si>
    <t>97619</t>
  </si>
  <si>
    <t>97623A</t>
  </si>
  <si>
    <t>FLO828+30</t>
  </si>
  <si>
    <t>97625</t>
  </si>
  <si>
    <t>97635</t>
  </si>
  <si>
    <t>ALBERTYSOLUTION</t>
  </si>
  <si>
    <t>97637</t>
  </si>
  <si>
    <t>NATURALAG</t>
  </si>
  <si>
    <t>97652</t>
  </si>
  <si>
    <t>97653</t>
  </si>
  <si>
    <t>97656</t>
  </si>
  <si>
    <t>97658</t>
  </si>
  <si>
    <t>HARTTERMICAH</t>
  </si>
  <si>
    <t>97660</t>
  </si>
  <si>
    <t>97550</t>
  </si>
  <si>
    <t>97552</t>
  </si>
  <si>
    <t>GOLDFE30</t>
  </si>
  <si>
    <t>97557</t>
  </si>
  <si>
    <t>97568</t>
  </si>
  <si>
    <t>97569</t>
  </si>
  <si>
    <t>97576</t>
  </si>
  <si>
    <t>97582</t>
  </si>
  <si>
    <t>97597</t>
  </si>
  <si>
    <t>97602</t>
  </si>
  <si>
    <t>97618</t>
  </si>
  <si>
    <t>97621</t>
  </si>
  <si>
    <t>97626</t>
  </si>
  <si>
    <t>97632</t>
  </si>
  <si>
    <t>CUTRALE</t>
  </si>
  <si>
    <t>97633</t>
  </si>
  <si>
    <t>USDA-FT.PIERCE</t>
  </si>
  <si>
    <t>97638</t>
  </si>
  <si>
    <t>GOLD131151502</t>
  </si>
  <si>
    <t>Dyna Gold Nutritional 1311515</t>
  </si>
  <si>
    <t>97640</t>
  </si>
  <si>
    <t>97657</t>
  </si>
  <si>
    <t>97671</t>
  </si>
  <si>
    <t>97570</t>
  </si>
  <si>
    <t>97571</t>
  </si>
  <si>
    <t>97583</t>
  </si>
  <si>
    <t>97587</t>
  </si>
  <si>
    <t>97592</t>
  </si>
  <si>
    <t>BLUEBERRIES</t>
  </si>
  <si>
    <t>97596</t>
  </si>
  <si>
    <t>97622</t>
  </si>
  <si>
    <t>FRONTAGE</t>
  </si>
  <si>
    <t>97628</t>
  </si>
  <si>
    <t>97659</t>
  </si>
  <si>
    <t>97668</t>
  </si>
  <si>
    <t>97670</t>
  </si>
  <si>
    <t>97675</t>
  </si>
  <si>
    <t>21047A</t>
  </si>
  <si>
    <t>FT. MYERS</t>
  </si>
  <si>
    <t>97563</t>
  </si>
  <si>
    <t>FLOMOLA55</t>
  </si>
  <si>
    <t>97594</t>
  </si>
  <si>
    <t>97630</t>
  </si>
  <si>
    <t>ZON1441002</t>
  </si>
  <si>
    <t>Dyna Zone 14-4-10 Tree and Shrub</t>
  </si>
  <si>
    <t>97651</t>
  </si>
  <si>
    <t>LELAND, MS 4512</t>
  </si>
  <si>
    <t>97551</t>
  </si>
  <si>
    <t>CCCSEED</t>
  </si>
  <si>
    <t>97559</t>
  </si>
  <si>
    <t>SIMPLOT</t>
  </si>
  <si>
    <t>CLEVELAND</t>
  </si>
  <si>
    <t>97573</t>
  </si>
  <si>
    <t>97584</t>
  </si>
  <si>
    <t>97585</t>
  </si>
  <si>
    <t>97589</t>
  </si>
  <si>
    <t>97611</t>
  </si>
  <si>
    <t>97624</t>
  </si>
  <si>
    <t>97639</t>
  </si>
  <si>
    <t>97661</t>
  </si>
  <si>
    <t>BLYTHEVILLE</t>
  </si>
  <si>
    <t>97666</t>
  </si>
  <si>
    <t>BALTZFEED</t>
  </si>
  <si>
    <t>97667</t>
  </si>
  <si>
    <t>GALLOWAYFARMS</t>
  </si>
  <si>
    <t>97676</t>
  </si>
  <si>
    <t>97564</t>
  </si>
  <si>
    <t>97593</t>
  </si>
  <si>
    <t>97575</t>
  </si>
  <si>
    <t>97595</t>
  </si>
  <si>
    <t>97620</t>
  </si>
  <si>
    <t>97649</t>
  </si>
  <si>
    <t>97664</t>
  </si>
  <si>
    <t>97555</t>
  </si>
  <si>
    <t>97558</t>
  </si>
  <si>
    <t>HOUNDSEAR</t>
  </si>
  <si>
    <t>97567</t>
  </si>
  <si>
    <t>97574</t>
  </si>
  <si>
    <t>GRNSB GRASHOP</t>
  </si>
  <si>
    <t>97577</t>
  </si>
  <si>
    <t>NIT111024302</t>
  </si>
  <si>
    <t>Nitro Gold Nutr #1110243</t>
  </si>
  <si>
    <t>GAL12.15</t>
  </si>
  <si>
    <t>97591</t>
  </si>
  <si>
    <t>LEESBURG,GA</t>
  </si>
  <si>
    <t>97616</t>
  </si>
  <si>
    <t>CRITTENDENTURF</t>
  </si>
  <si>
    <t>97562</t>
  </si>
  <si>
    <t>GPZYME02</t>
  </si>
  <si>
    <t>Dyna Zyme</t>
  </si>
  <si>
    <t>CSWAFFORD</t>
  </si>
  <si>
    <t>12</t>
  </si>
  <si>
    <t>GOLFVENTURES</t>
  </si>
  <si>
    <t>S&amp;O</t>
  </si>
  <si>
    <t>97662</t>
  </si>
  <si>
    <t>FLOSHRUB250</t>
  </si>
  <si>
    <t>Shrub Complete</t>
  </si>
  <si>
    <t>GAL09.91</t>
  </si>
  <si>
    <t>BIGOPEST</t>
  </si>
  <si>
    <t>97663</t>
  </si>
  <si>
    <t>Energy</t>
  </si>
  <si>
    <t>GOLDMICRO702</t>
  </si>
  <si>
    <t>Micro 7</t>
  </si>
  <si>
    <t>GAL10.16</t>
  </si>
  <si>
    <t>97669</t>
  </si>
  <si>
    <t>97677</t>
  </si>
  <si>
    <t>FLAMINGO LKS CC</t>
  </si>
  <si>
    <t>97708</t>
  </si>
  <si>
    <t>97728</t>
  </si>
  <si>
    <t>97729</t>
  </si>
  <si>
    <t>97742</t>
  </si>
  <si>
    <t>97771</t>
  </si>
  <si>
    <t>97780</t>
  </si>
  <si>
    <t>97685</t>
  </si>
  <si>
    <t>LONGWOOD</t>
  </si>
  <si>
    <t>97686</t>
  </si>
  <si>
    <t>97688</t>
  </si>
  <si>
    <t>FLORIDAGAR</t>
  </si>
  <si>
    <t>GARDENSUPPLIES</t>
  </si>
  <si>
    <t>97689</t>
  </si>
  <si>
    <t>FLGRHINO250</t>
  </si>
  <si>
    <t>Rhino Drive</t>
  </si>
  <si>
    <t>97698</t>
  </si>
  <si>
    <t>97699</t>
  </si>
  <si>
    <t>TAIWANPHARMATRA</t>
  </si>
  <si>
    <t>97717</t>
  </si>
  <si>
    <t>97750</t>
  </si>
  <si>
    <t>97754</t>
  </si>
  <si>
    <t>GOLD00602</t>
  </si>
  <si>
    <t>Dyna Gold 0-0-6 w Minors</t>
  </si>
  <si>
    <t>97783</t>
  </si>
  <si>
    <t>FLO93602</t>
  </si>
  <si>
    <t>Dyna Flo 9-3-6 with Minors</t>
  </si>
  <si>
    <t>GAL09.79</t>
  </si>
  <si>
    <t>97794</t>
  </si>
  <si>
    <t>97798</t>
  </si>
  <si>
    <t>97679</t>
  </si>
  <si>
    <t>97681</t>
  </si>
  <si>
    <t>97684</t>
  </si>
  <si>
    <t>97695</t>
  </si>
  <si>
    <t>97696</t>
  </si>
  <si>
    <t>97700</t>
  </si>
  <si>
    <t>97720</t>
  </si>
  <si>
    <t>97730</t>
  </si>
  <si>
    <t>97732</t>
  </si>
  <si>
    <t>97744</t>
  </si>
  <si>
    <t>97747</t>
  </si>
  <si>
    <t>97749</t>
  </si>
  <si>
    <t>97751</t>
  </si>
  <si>
    <t>BEWATFALL02</t>
  </si>
  <si>
    <t>Waterfall with Yeti Trax</t>
  </si>
  <si>
    <t>GAL09.05</t>
  </si>
  <si>
    <t>97753</t>
  </si>
  <si>
    <t>97759</t>
  </si>
  <si>
    <t>97760</t>
  </si>
  <si>
    <t>97762</t>
  </si>
  <si>
    <t>97767</t>
  </si>
  <si>
    <t>97768</t>
  </si>
  <si>
    <t>97777</t>
  </si>
  <si>
    <t>97778</t>
  </si>
  <si>
    <t>MAC727XH</t>
  </si>
  <si>
    <t>Dyna Flo 7-2-7 XH</t>
  </si>
  <si>
    <t>97785</t>
  </si>
  <si>
    <t>97788</t>
  </si>
  <si>
    <t>97683</t>
  </si>
  <si>
    <t>97710</t>
  </si>
  <si>
    <t>97723</t>
  </si>
  <si>
    <t>97748</t>
  </si>
  <si>
    <t>97765</t>
  </si>
  <si>
    <t>97769</t>
  </si>
  <si>
    <t>97774</t>
  </si>
  <si>
    <t>97787</t>
  </si>
  <si>
    <t>97791</t>
  </si>
  <si>
    <t>TIGER9050#</t>
  </si>
  <si>
    <t>Tiger 90 Sulfur 50 LB Bag</t>
  </si>
  <si>
    <t>97797</t>
  </si>
  <si>
    <t>97690</t>
  </si>
  <si>
    <t>97691</t>
  </si>
  <si>
    <t>97714</t>
  </si>
  <si>
    <t>CCOFWINTERHAVEN</t>
  </si>
  <si>
    <t>97776</t>
  </si>
  <si>
    <t>FLO0029250</t>
  </si>
  <si>
    <t>97789</t>
  </si>
  <si>
    <t>ACTIVE8002</t>
  </si>
  <si>
    <t>Active 80</t>
  </si>
  <si>
    <t>Gal08.45</t>
  </si>
  <si>
    <t>97799</t>
  </si>
  <si>
    <t>GREENVILLE</t>
  </si>
  <si>
    <t>97687</t>
  </si>
  <si>
    <t>CLARKESDALE</t>
  </si>
  <si>
    <t>97694</t>
  </si>
  <si>
    <t>BOYLE,MS</t>
  </si>
  <si>
    <t>97746</t>
  </si>
  <si>
    <t>97692</t>
  </si>
  <si>
    <t>97693</t>
  </si>
  <si>
    <t>97722</t>
  </si>
  <si>
    <t>MAC608Z3</t>
  </si>
  <si>
    <t>Dyna Flo 6-0-8Z3</t>
  </si>
  <si>
    <t>97772</t>
  </si>
  <si>
    <t>97682</t>
  </si>
  <si>
    <t>97707</t>
  </si>
  <si>
    <t>97713</t>
  </si>
  <si>
    <t>97719</t>
  </si>
  <si>
    <t>97726</t>
  </si>
  <si>
    <t>97727</t>
  </si>
  <si>
    <t>97775A</t>
  </si>
  <si>
    <t>97715</t>
  </si>
  <si>
    <t>97716</t>
  </si>
  <si>
    <t>Jungle Juice 5-15-1</t>
  </si>
  <si>
    <t>97718</t>
  </si>
  <si>
    <t>97735</t>
  </si>
  <si>
    <t>97741</t>
  </si>
  <si>
    <t>OKLAHOMA</t>
  </si>
  <si>
    <t>97743</t>
  </si>
  <si>
    <t>FLGSHANTIA250</t>
  </si>
  <si>
    <t>Shanti A</t>
  </si>
  <si>
    <t>GAL10.06</t>
  </si>
  <si>
    <t>FLGSHANTIB250</t>
  </si>
  <si>
    <t>Shanti B</t>
  </si>
  <si>
    <t>GAL09.37</t>
  </si>
  <si>
    <t>97745</t>
  </si>
  <si>
    <t>97755</t>
  </si>
  <si>
    <t>97756</t>
  </si>
  <si>
    <t>97757</t>
  </si>
  <si>
    <t>97758</t>
  </si>
  <si>
    <t>THETHISTLE</t>
  </si>
  <si>
    <t>97779</t>
  </si>
  <si>
    <t>ADVANCEDLAWNCAR</t>
  </si>
  <si>
    <t>97790</t>
  </si>
  <si>
    <t>BOCAROYALE</t>
  </si>
  <si>
    <t>97678</t>
  </si>
  <si>
    <t>COUNTRYBOY</t>
  </si>
  <si>
    <t>97706B</t>
  </si>
  <si>
    <t>ZONNKTS250</t>
  </si>
  <si>
    <t>N-KTS 2:1 18-0-7</t>
  </si>
  <si>
    <t>GAL10.47</t>
  </si>
  <si>
    <t>GREENLIFE</t>
  </si>
  <si>
    <t>97709A</t>
  </si>
  <si>
    <t>FLOFE6MN2250</t>
  </si>
  <si>
    <t>Iron Life</t>
  </si>
  <si>
    <t>LAWNWORX</t>
  </si>
  <si>
    <t>97712A</t>
  </si>
  <si>
    <t>GOLDMICRO7250</t>
  </si>
  <si>
    <t>97725</t>
  </si>
  <si>
    <t>FLOATS02</t>
  </si>
  <si>
    <t>JOHNISLAND</t>
  </si>
  <si>
    <t>97733A</t>
  </si>
  <si>
    <t>GPGRCMN250</t>
  </si>
  <si>
    <t>Green Complete Mn</t>
  </si>
  <si>
    <t>GRANDHARBOR</t>
  </si>
  <si>
    <t>97761</t>
  </si>
  <si>
    <t>GOLDT&amp;O250</t>
  </si>
  <si>
    <t>T&amp;O Max</t>
  </si>
  <si>
    <t>GAL11.07</t>
  </si>
  <si>
    <t>FARROWPEST</t>
  </si>
  <si>
    <t>97766</t>
  </si>
  <si>
    <t>GPIRONPRO250</t>
  </si>
  <si>
    <t>Iron Pro 6 Plex</t>
  </si>
  <si>
    <t>GAL10.31</t>
  </si>
  <si>
    <t>RIVERSTRAND</t>
  </si>
  <si>
    <t>97770</t>
  </si>
  <si>
    <t>FLOU3200</t>
  </si>
  <si>
    <t>Dyna Flo 32-0-0</t>
  </si>
  <si>
    <t>97773</t>
  </si>
  <si>
    <t>97784</t>
  </si>
  <si>
    <t>97786</t>
  </si>
  <si>
    <t>97801</t>
  </si>
  <si>
    <t>97808</t>
  </si>
  <si>
    <t>97836</t>
  </si>
  <si>
    <t>97875</t>
  </si>
  <si>
    <t>97891</t>
  </si>
  <si>
    <t>97810</t>
  </si>
  <si>
    <t>97811</t>
  </si>
  <si>
    <t>FLO003702</t>
  </si>
  <si>
    <t>Dyna Flo 0-0-37</t>
  </si>
  <si>
    <t>GAL12.16</t>
  </si>
  <si>
    <t>97813</t>
  </si>
  <si>
    <t>97814</t>
  </si>
  <si>
    <t>97824</t>
  </si>
  <si>
    <t>97825</t>
  </si>
  <si>
    <t>97847</t>
  </si>
  <si>
    <t>97858A</t>
  </si>
  <si>
    <t>97868</t>
  </si>
  <si>
    <t>97877</t>
  </si>
  <si>
    <t>30THST</t>
  </si>
  <si>
    <t>97898</t>
  </si>
  <si>
    <t>97900</t>
  </si>
  <si>
    <t>97803</t>
  </si>
  <si>
    <t>NIT1512368250</t>
  </si>
  <si>
    <t>Nitro Gold Nutritional 1512368</t>
  </si>
  <si>
    <t>97804</t>
  </si>
  <si>
    <t>97832</t>
  </si>
  <si>
    <t>97844</t>
  </si>
  <si>
    <t>97853</t>
  </si>
  <si>
    <t>97854</t>
  </si>
  <si>
    <t>97862</t>
  </si>
  <si>
    <t>97867</t>
  </si>
  <si>
    <t>97878</t>
  </si>
  <si>
    <t>97884</t>
  </si>
  <si>
    <t>97892</t>
  </si>
  <si>
    <t>97800</t>
  </si>
  <si>
    <t>97802</t>
  </si>
  <si>
    <t>LITTLECA</t>
  </si>
  <si>
    <t>97815</t>
  </si>
  <si>
    <t>97834</t>
  </si>
  <si>
    <t>Dyna Gold Calcium</t>
  </si>
  <si>
    <t>97838</t>
  </si>
  <si>
    <t>MAC1900XI</t>
  </si>
  <si>
    <t>Dyna Flo 19-0-0</t>
  </si>
  <si>
    <t>97855</t>
  </si>
  <si>
    <t>MAC426YM</t>
  </si>
  <si>
    <t>Dyna Flo 4-2-6YM</t>
  </si>
  <si>
    <t>97859</t>
  </si>
  <si>
    <t>FLO810802</t>
  </si>
  <si>
    <t>Dyna Flo 8-10-8</t>
  </si>
  <si>
    <t>97863</t>
  </si>
  <si>
    <t>97871</t>
  </si>
  <si>
    <t>97882</t>
  </si>
  <si>
    <t>MAC426L</t>
  </si>
  <si>
    <t>Dyna Flo 4-2-6Y L</t>
  </si>
  <si>
    <t>97893</t>
  </si>
  <si>
    <t>ROBBIETO</t>
  </si>
  <si>
    <t>97899</t>
  </si>
  <si>
    <t>GPHUMIC05</t>
  </si>
  <si>
    <t>97901</t>
  </si>
  <si>
    <t>97849</t>
  </si>
  <si>
    <t>97865</t>
  </si>
  <si>
    <t>97870</t>
  </si>
  <si>
    <t>97897</t>
  </si>
  <si>
    <t>GREENWOOD,MS</t>
  </si>
  <si>
    <t>97837</t>
  </si>
  <si>
    <t>97852</t>
  </si>
  <si>
    <t>Return</t>
  </si>
  <si>
    <t>CRM06432</t>
  </si>
  <si>
    <t>CRM06433</t>
  </si>
  <si>
    <t>97856</t>
  </si>
  <si>
    <t>97880</t>
  </si>
  <si>
    <t>97881</t>
  </si>
  <si>
    <t>97806</t>
  </si>
  <si>
    <t>97807</t>
  </si>
  <si>
    <t>97850</t>
  </si>
  <si>
    <t>97857</t>
  </si>
  <si>
    <t>97866</t>
  </si>
  <si>
    <t>97809</t>
  </si>
  <si>
    <t>97816</t>
  </si>
  <si>
    <t>97817</t>
  </si>
  <si>
    <t>97864</t>
  </si>
  <si>
    <t>97883</t>
  </si>
  <si>
    <t>97818A</t>
  </si>
  <si>
    <t>FLOTURF250</t>
  </si>
  <si>
    <t>Dyna Flo 15-0-0-6 Foliar Turf Nutritional</t>
  </si>
  <si>
    <t>HOBESOUND</t>
  </si>
  <si>
    <t>97839</t>
  </si>
  <si>
    <t>Bay Cane</t>
  </si>
  <si>
    <t>GPBLACK+250</t>
  </si>
  <si>
    <t>Energy+</t>
  </si>
  <si>
    <t>97840</t>
  </si>
  <si>
    <t>97846</t>
  </si>
  <si>
    <t>Cal Nite</t>
  </si>
  <si>
    <t>GPROOTSTIM02</t>
  </si>
  <si>
    <t>RootStim</t>
  </si>
  <si>
    <t>GAL09.17</t>
  </si>
  <si>
    <t>GOLDT&amp;O02</t>
  </si>
  <si>
    <t>97848</t>
  </si>
  <si>
    <t>GOLDMICRO700</t>
  </si>
  <si>
    <t>97860</t>
  </si>
  <si>
    <t>GPGRC250</t>
  </si>
  <si>
    <t>Green Complete</t>
  </si>
  <si>
    <t>GAL10.74</t>
  </si>
  <si>
    <t>97861</t>
  </si>
  <si>
    <t>LAWNANDPEST</t>
  </si>
  <si>
    <t>97873</t>
  </si>
  <si>
    <t>97876</t>
  </si>
  <si>
    <t>FLOTURF02</t>
  </si>
  <si>
    <t>ROYALPALM</t>
  </si>
  <si>
    <t>97888</t>
  </si>
  <si>
    <t>GV1836250</t>
  </si>
  <si>
    <t>18-3-6 50% Slow Release, no minors</t>
  </si>
  <si>
    <t>Bay Cane Molasses</t>
  </si>
  <si>
    <t>FOXFIRE CC</t>
  </si>
  <si>
    <t>97889</t>
  </si>
  <si>
    <t>CHSEAGLERIDGE</t>
  </si>
  <si>
    <t>97890</t>
  </si>
  <si>
    <t>FLOU32250</t>
  </si>
  <si>
    <t>UAN 32-0-0</t>
  </si>
  <si>
    <t>97894</t>
  </si>
  <si>
    <t>3-18-18</t>
  </si>
  <si>
    <t>GVAGSTIM02</t>
  </si>
  <si>
    <t>Agrastim</t>
  </si>
  <si>
    <t>97907</t>
  </si>
  <si>
    <t>97957</t>
  </si>
  <si>
    <t>97958</t>
  </si>
  <si>
    <t>97962</t>
  </si>
  <si>
    <t>PARKLAND</t>
  </si>
  <si>
    <t>97963</t>
  </si>
  <si>
    <t>97913</t>
  </si>
  <si>
    <t>QUALITYGREEN</t>
  </si>
  <si>
    <t>97922</t>
  </si>
  <si>
    <t>GRO131161901</t>
  </si>
  <si>
    <t>GRO13116190.5</t>
  </si>
  <si>
    <t>FRITIND</t>
  </si>
  <si>
    <t>97923</t>
  </si>
  <si>
    <t>SO4BORON</t>
  </si>
  <si>
    <t>Boron</t>
  </si>
  <si>
    <t>TRIYIELD</t>
  </si>
  <si>
    <t>97931</t>
  </si>
  <si>
    <t>NPKACEK</t>
  </si>
  <si>
    <t>Potassium Acetate 0-0-29</t>
  </si>
  <si>
    <t>97935</t>
  </si>
  <si>
    <t>97937</t>
  </si>
  <si>
    <t>97948</t>
  </si>
  <si>
    <t>97955</t>
  </si>
  <si>
    <t>97959</t>
  </si>
  <si>
    <t>97968</t>
  </si>
  <si>
    <t>97970</t>
  </si>
  <si>
    <t>97986</t>
  </si>
  <si>
    <t>97987</t>
  </si>
  <si>
    <t>AEFBERRYCR02</t>
  </si>
  <si>
    <t>BerryCare</t>
  </si>
  <si>
    <t>97996</t>
  </si>
  <si>
    <t>98005</t>
  </si>
  <si>
    <t>Repack: Soil Plex</t>
  </si>
  <si>
    <t>Repack: Vented/White Carbotein 6-2-5</t>
  </si>
  <si>
    <t>97902A</t>
  </si>
  <si>
    <t>SOARCIT00</t>
  </si>
  <si>
    <t>97908</t>
  </si>
  <si>
    <t>97910</t>
  </si>
  <si>
    <t>97911</t>
  </si>
  <si>
    <t>97912</t>
  </si>
  <si>
    <t>97915</t>
  </si>
  <si>
    <t>97916</t>
  </si>
  <si>
    <t>97917</t>
  </si>
  <si>
    <t>97924</t>
  </si>
  <si>
    <t>97927</t>
  </si>
  <si>
    <t>97928</t>
  </si>
  <si>
    <t>97947</t>
  </si>
  <si>
    <t>97965</t>
  </si>
  <si>
    <t>97976</t>
  </si>
  <si>
    <t>SARASOTA</t>
  </si>
  <si>
    <t>97980</t>
  </si>
  <si>
    <t>GAL08.86</t>
  </si>
  <si>
    <t>97981</t>
  </si>
  <si>
    <t>97988</t>
  </si>
  <si>
    <t>97993</t>
  </si>
  <si>
    <t>97903</t>
  </si>
  <si>
    <t>PHURYPHOS250</t>
  </si>
  <si>
    <t>97930</t>
  </si>
  <si>
    <t>97932</t>
  </si>
  <si>
    <t>97933</t>
  </si>
  <si>
    <t>97936</t>
  </si>
  <si>
    <t>97939</t>
  </si>
  <si>
    <t>97941</t>
  </si>
  <si>
    <t>97946</t>
  </si>
  <si>
    <t>97949</t>
  </si>
  <si>
    <t>97950</t>
  </si>
  <si>
    <t>97954</t>
  </si>
  <si>
    <t>97964</t>
  </si>
  <si>
    <t>97966</t>
  </si>
  <si>
    <t>MAC527YM1</t>
  </si>
  <si>
    <t>Dyna Flo 5-2-7YM1</t>
  </si>
  <si>
    <t>CASON3</t>
  </si>
  <si>
    <t>97967</t>
  </si>
  <si>
    <t>CASON1</t>
  </si>
  <si>
    <t>97969</t>
  </si>
  <si>
    <t>97977</t>
  </si>
  <si>
    <t>97978</t>
  </si>
  <si>
    <t>97985</t>
  </si>
  <si>
    <t>97992</t>
  </si>
  <si>
    <t>97995</t>
  </si>
  <si>
    <t>3408 GALLAGHER</t>
  </si>
  <si>
    <t>98000</t>
  </si>
  <si>
    <t>98001</t>
  </si>
  <si>
    <t>98003</t>
  </si>
  <si>
    <t>98006</t>
  </si>
  <si>
    <t>97926</t>
  </si>
  <si>
    <t>97929</t>
  </si>
  <si>
    <t>97942</t>
  </si>
  <si>
    <t>97943</t>
  </si>
  <si>
    <t>97979</t>
  </si>
  <si>
    <t>FLO712102</t>
  </si>
  <si>
    <t>Dyna Flo 7-12-1</t>
  </si>
  <si>
    <t>GAL09.56</t>
  </si>
  <si>
    <t>97904</t>
  </si>
  <si>
    <t>97918</t>
  </si>
  <si>
    <t>97920</t>
  </si>
  <si>
    <t>97940</t>
  </si>
  <si>
    <t>97953</t>
  </si>
  <si>
    <t>97971</t>
  </si>
  <si>
    <t>97972</t>
  </si>
  <si>
    <t>H2OHOT</t>
  </si>
  <si>
    <t>Hot Water</t>
  </si>
  <si>
    <t>97975</t>
  </si>
  <si>
    <t>97984</t>
  </si>
  <si>
    <t>FLO002930</t>
  </si>
  <si>
    <t>97994</t>
  </si>
  <si>
    <t>97983</t>
  </si>
  <si>
    <t>97909</t>
  </si>
  <si>
    <t>97914</t>
  </si>
  <si>
    <t>97921</t>
  </si>
  <si>
    <t>ZON2500250</t>
  </si>
  <si>
    <t>25-0-0</t>
  </si>
  <si>
    <t>GAL09.87</t>
  </si>
  <si>
    <t>GVBIOOAK02</t>
  </si>
  <si>
    <t>Bio OAK</t>
  </si>
  <si>
    <t>GAL10.59</t>
  </si>
  <si>
    <t>GPCARBFULL250</t>
  </si>
  <si>
    <t>Carbon Full</t>
  </si>
  <si>
    <t>97925</t>
  </si>
  <si>
    <t>97934</t>
  </si>
  <si>
    <t>ATLANTICFIELDS</t>
  </si>
  <si>
    <t>97938</t>
  </si>
  <si>
    <t>FLOFEHEAVY250</t>
  </si>
  <si>
    <t>Iron Heavy</t>
  </si>
  <si>
    <t>97989</t>
  </si>
  <si>
    <t>98008</t>
  </si>
  <si>
    <t>98023</t>
  </si>
  <si>
    <t>GRETF55</t>
  </si>
  <si>
    <t>98027</t>
  </si>
  <si>
    <t>98061</t>
  </si>
  <si>
    <t>98064</t>
  </si>
  <si>
    <t>98082</t>
  </si>
  <si>
    <t>98085</t>
  </si>
  <si>
    <t>98096</t>
  </si>
  <si>
    <t>98131</t>
  </si>
  <si>
    <t>98187</t>
  </si>
  <si>
    <t>98206</t>
  </si>
  <si>
    <t>98024A</t>
  </si>
  <si>
    <t>98065</t>
  </si>
  <si>
    <t>98145</t>
  </si>
  <si>
    <t>PUBLICSTORAGE</t>
  </si>
  <si>
    <t>98168</t>
  </si>
  <si>
    <t>98185</t>
  </si>
  <si>
    <t>98193</t>
  </si>
  <si>
    <t>98199</t>
  </si>
  <si>
    <t>98209</t>
  </si>
  <si>
    <t>98245</t>
  </si>
  <si>
    <t>98014</t>
  </si>
  <si>
    <t>98019</t>
  </si>
  <si>
    <t>98024</t>
  </si>
  <si>
    <t>98049</t>
  </si>
  <si>
    <t>Soar Micronutrient</t>
  </si>
  <si>
    <t>98067</t>
  </si>
  <si>
    <t>98087</t>
  </si>
  <si>
    <t>98089</t>
  </si>
  <si>
    <t>98125</t>
  </si>
  <si>
    <t>98126</t>
  </si>
  <si>
    <t>98135</t>
  </si>
  <si>
    <t>98163</t>
  </si>
  <si>
    <t>98171</t>
  </si>
  <si>
    <t>98180</t>
  </si>
  <si>
    <t>98211</t>
  </si>
  <si>
    <t>98236</t>
  </si>
  <si>
    <t>98240</t>
  </si>
  <si>
    <t>98009</t>
  </si>
  <si>
    <t>98010</t>
  </si>
  <si>
    <t>98012</t>
  </si>
  <si>
    <t>98013</t>
  </si>
  <si>
    <t>98015</t>
  </si>
  <si>
    <t>98017</t>
  </si>
  <si>
    <t>98018</t>
  </si>
  <si>
    <t>MAC028XV</t>
  </si>
  <si>
    <t>Dyna Flo 0-2-8 XV</t>
  </si>
  <si>
    <t>98021</t>
  </si>
  <si>
    <t>98022</t>
  </si>
  <si>
    <t>98025</t>
  </si>
  <si>
    <t>98028</t>
  </si>
  <si>
    <t>98029</t>
  </si>
  <si>
    <t>98030</t>
  </si>
  <si>
    <t>98031</t>
  </si>
  <si>
    <t>98033</t>
  </si>
  <si>
    <t>98035</t>
  </si>
  <si>
    <t>98036</t>
  </si>
  <si>
    <t>98037</t>
  </si>
  <si>
    <t>98038</t>
  </si>
  <si>
    <t>98042</t>
  </si>
  <si>
    <t>98043</t>
  </si>
  <si>
    <t>RANCH 2</t>
  </si>
  <si>
    <t>98044</t>
  </si>
  <si>
    <t>GPNZONE</t>
  </si>
  <si>
    <t>N Zone</t>
  </si>
  <si>
    <t>98045</t>
  </si>
  <si>
    <t>RANCH 1</t>
  </si>
  <si>
    <t>98046</t>
  </si>
  <si>
    <t>98055</t>
  </si>
  <si>
    <t>98056</t>
  </si>
  <si>
    <t>98057</t>
  </si>
  <si>
    <t>98058</t>
  </si>
  <si>
    <t>TOMLIN</t>
  </si>
  <si>
    <t>AG DEPT.</t>
  </si>
  <si>
    <t>98059</t>
  </si>
  <si>
    <t>98060</t>
  </si>
  <si>
    <t>98062</t>
  </si>
  <si>
    <t>98070</t>
  </si>
  <si>
    <t>98072</t>
  </si>
  <si>
    <t>98073</t>
  </si>
  <si>
    <t>98074</t>
  </si>
  <si>
    <t>MUD LAKE/W.SIDE</t>
  </si>
  <si>
    <t>98075</t>
  </si>
  <si>
    <t>98076</t>
  </si>
  <si>
    <t>98077</t>
  </si>
  <si>
    <t>98080</t>
  </si>
  <si>
    <t>98081</t>
  </si>
  <si>
    <t>98083</t>
  </si>
  <si>
    <t>NURSERY</t>
  </si>
  <si>
    <t>98090</t>
  </si>
  <si>
    <t>98091</t>
  </si>
  <si>
    <t>98092</t>
  </si>
  <si>
    <t>98094</t>
  </si>
  <si>
    <t>98095</t>
  </si>
  <si>
    <t>98098</t>
  </si>
  <si>
    <t>98099</t>
  </si>
  <si>
    <t>98100</t>
  </si>
  <si>
    <t>98101</t>
  </si>
  <si>
    <t>FORTGREENFARMS</t>
  </si>
  <si>
    <t>FTGREEN</t>
  </si>
  <si>
    <t>98102</t>
  </si>
  <si>
    <t>GWFARMS</t>
  </si>
  <si>
    <t>JAUDONNORTH</t>
  </si>
  <si>
    <t>98103</t>
  </si>
  <si>
    <t>BERRYBLISS</t>
  </si>
  <si>
    <t>JAUDONSOUTH</t>
  </si>
  <si>
    <t>98104</t>
  </si>
  <si>
    <t>98105</t>
  </si>
  <si>
    <t>98107</t>
  </si>
  <si>
    <t>98108</t>
  </si>
  <si>
    <t>98109</t>
  </si>
  <si>
    <t>98110</t>
  </si>
  <si>
    <t>98112</t>
  </si>
  <si>
    <t>98113</t>
  </si>
  <si>
    <t>98116</t>
  </si>
  <si>
    <t>CW'S</t>
  </si>
  <si>
    <t>98117</t>
  </si>
  <si>
    <t>98118</t>
  </si>
  <si>
    <t>LOSTLK</t>
  </si>
  <si>
    <t>98119</t>
  </si>
  <si>
    <t>98127</t>
  </si>
  <si>
    <t>98128</t>
  </si>
  <si>
    <t>98129</t>
  </si>
  <si>
    <t>98130</t>
  </si>
  <si>
    <t>98132</t>
  </si>
  <si>
    <t>98136</t>
  </si>
  <si>
    <t>98137</t>
  </si>
  <si>
    <t>98138</t>
  </si>
  <si>
    <t>98139</t>
  </si>
  <si>
    <t>98140</t>
  </si>
  <si>
    <t>98142</t>
  </si>
  <si>
    <t>98143</t>
  </si>
  <si>
    <t>98146</t>
  </si>
  <si>
    <t>98147</t>
  </si>
  <si>
    <t>SYDNEY</t>
  </si>
  <si>
    <t>98148</t>
  </si>
  <si>
    <t>98149</t>
  </si>
  <si>
    <t>98150</t>
  </si>
  <si>
    <t>98151</t>
  </si>
  <si>
    <t>98152</t>
  </si>
  <si>
    <t>98153</t>
  </si>
  <si>
    <t>98154</t>
  </si>
  <si>
    <t>98155</t>
  </si>
  <si>
    <t>98156</t>
  </si>
  <si>
    <t>98157</t>
  </si>
  <si>
    <t>98158</t>
  </si>
  <si>
    <t>98159</t>
  </si>
  <si>
    <t>98160</t>
  </si>
  <si>
    <t>98161</t>
  </si>
  <si>
    <t>98162</t>
  </si>
  <si>
    <t>98172</t>
  </si>
  <si>
    <t>98173</t>
  </si>
  <si>
    <t>98174</t>
  </si>
  <si>
    <t>98175</t>
  </si>
  <si>
    <t>98176</t>
  </si>
  <si>
    <t>CARUTHERS RD</t>
  </si>
  <si>
    <t>98177</t>
  </si>
  <si>
    <t>BETHLEHEM</t>
  </si>
  <si>
    <t>98178</t>
  </si>
  <si>
    <t>98179</t>
  </si>
  <si>
    <t>98183</t>
  </si>
  <si>
    <t>98188</t>
  </si>
  <si>
    <t>98189</t>
  </si>
  <si>
    <t>98190</t>
  </si>
  <si>
    <t>98191</t>
  </si>
  <si>
    <t>98194</t>
  </si>
  <si>
    <t>98195</t>
  </si>
  <si>
    <t>98196</t>
  </si>
  <si>
    <t>98197</t>
  </si>
  <si>
    <t>98198</t>
  </si>
  <si>
    <t>98200</t>
  </si>
  <si>
    <t>98201</t>
  </si>
  <si>
    <t>98202</t>
  </si>
  <si>
    <t>98203</t>
  </si>
  <si>
    <t>98205</t>
  </si>
  <si>
    <t>98207</t>
  </si>
  <si>
    <t>98208</t>
  </si>
  <si>
    <t>98210</t>
  </si>
  <si>
    <t>98213</t>
  </si>
  <si>
    <t>98214</t>
  </si>
  <si>
    <t>98215</t>
  </si>
  <si>
    <t>98216</t>
  </si>
  <si>
    <t>98217</t>
  </si>
  <si>
    <t>98218</t>
  </si>
  <si>
    <t>98219</t>
  </si>
  <si>
    <t>98220</t>
  </si>
  <si>
    <t>98221</t>
  </si>
  <si>
    <t>98222</t>
  </si>
  <si>
    <t>98223</t>
  </si>
  <si>
    <t>98224</t>
  </si>
  <si>
    <t>98224A</t>
  </si>
  <si>
    <t>98225</t>
  </si>
  <si>
    <t>98226</t>
  </si>
  <si>
    <t>98228</t>
  </si>
  <si>
    <t>98229</t>
  </si>
  <si>
    <t>98231</t>
  </si>
  <si>
    <t>98232</t>
  </si>
  <si>
    <t>98233</t>
  </si>
  <si>
    <t>98241</t>
  </si>
  <si>
    <t>98242</t>
  </si>
  <si>
    <t>98243</t>
  </si>
  <si>
    <t>98244</t>
  </si>
  <si>
    <t>98246</t>
  </si>
  <si>
    <t>98247</t>
  </si>
  <si>
    <t>98248</t>
  </si>
  <si>
    <t>98249</t>
  </si>
  <si>
    <t>98250</t>
  </si>
  <si>
    <t>98034</t>
  </si>
  <si>
    <t>98069</t>
  </si>
  <si>
    <t>98086</t>
  </si>
  <si>
    <t>98121</t>
  </si>
  <si>
    <t>98122</t>
  </si>
  <si>
    <t>98134</t>
  </si>
  <si>
    <t>98204</t>
  </si>
  <si>
    <t>ZON180602</t>
  </si>
  <si>
    <t>98106</t>
  </si>
  <si>
    <t>98192</t>
  </si>
  <si>
    <t>NPK0015</t>
  </si>
  <si>
    <t>KCL Solution 0-0-15.5</t>
  </si>
  <si>
    <t>98239</t>
  </si>
  <si>
    <t>MAC804XS1</t>
  </si>
  <si>
    <t>Dyna Flo 8-0-4 XS1</t>
  </si>
  <si>
    <t>98032</t>
  </si>
  <si>
    <t>98039</t>
  </si>
  <si>
    <t>98040</t>
  </si>
  <si>
    <t>98041</t>
  </si>
  <si>
    <t>FLO0037250</t>
  </si>
  <si>
    <t>98068</t>
  </si>
  <si>
    <t>98078</t>
  </si>
  <si>
    <t>98111</t>
  </si>
  <si>
    <t>98133</t>
  </si>
  <si>
    <t>98182</t>
  </si>
  <si>
    <t>98227</t>
  </si>
  <si>
    <t>NATURESELECT</t>
  </si>
  <si>
    <t>98016</t>
  </si>
  <si>
    <t>98026</t>
  </si>
  <si>
    <t>98169</t>
  </si>
  <si>
    <t>GOLDVEG55</t>
  </si>
  <si>
    <t>98170</t>
  </si>
  <si>
    <t>BONITANATIONAL</t>
  </si>
  <si>
    <t>98047</t>
  </si>
  <si>
    <t>NAPLESGRANDE</t>
  </si>
  <si>
    <t>98048</t>
  </si>
  <si>
    <t>98051</t>
  </si>
  <si>
    <t>98054</t>
  </si>
  <si>
    <t>THEYACHT&amp;CC</t>
  </si>
  <si>
    <t>98066</t>
  </si>
  <si>
    <t>GPNG10250</t>
  </si>
  <si>
    <t>NG 10</t>
  </si>
  <si>
    <t>98093</t>
  </si>
  <si>
    <t>98097</t>
  </si>
  <si>
    <t>GV1200602</t>
  </si>
  <si>
    <t>12-0-0 6 Fe Plus Foliar Turf Nutritional</t>
  </si>
  <si>
    <t>GAL11.52</t>
  </si>
  <si>
    <t>GV183602</t>
  </si>
  <si>
    <t>GLADESCC</t>
  </si>
  <si>
    <t>98114</t>
  </si>
  <si>
    <t>STONEYBROOK</t>
  </si>
  <si>
    <t>98115</t>
  </si>
  <si>
    <t>Ace 29</t>
  </si>
  <si>
    <t>NAPLESHERITAGE</t>
  </si>
  <si>
    <t>98120</t>
  </si>
  <si>
    <t>MAC909XS</t>
  </si>
  <si>
    <t>Dyna Flo 9-0-9</t>
  </si>
  <si>
    <t>98123</t>
  </si>
  <si>
    <t>98124</t>
  </si>
  <si>
    <t>98165A</t>
  </si>
  <si>
    <t>MAC4012ZH</t>
  </si>
  <si>
    <t>Dyna Flo 4-0-12</t>
  </si>
  <si>
    <t>98166</t>
  </si>
  <si>
    <t>FLOTURF55</t>
  </si>
  <si>
    <t>15-0-0-6 Foliar Turf Nutritional</t>
  </si>
  <si>
    <t>98167</t>
  </si>
  <si>
    <t>98181</t>
  </si>
  <si>
    <t>GOLD2315614250</t>
  </si>
  <si>
    <t>3-0-6Fe, 1Mn</t>
  </si>
  <si>
    <t>GAL11.03</t>
  </si>
  <si>
    <t>98184</t>
  </si>
  <si>
    <t>GPNG1002</t>
  </si>
  <si>
    <t>98186</t>
  </si>
  <si>
    <t>GPIRONPRO02</t>
  </si>
  <si>
    <t>SANIBELISLAND</t>
  </si>
  <si>
    <t>98212</t>
  </si>
  <si>
    <t>GROCA250</t>
  </si>
  <si>
    <t>CEIACEC+250</t>
  </si>
  <si>
    <t>CEC+Soil Builder</t>
  </si>
  <si>
    <t>98234</t>
  </si>
  <si>
    <t>98235</t>
  </si>
  <si>
    <t>98308</t>
  </si>
  <si>
    <t>ROYAL PALM GC</t>
  </si>
  <si>
    <t>98318</t>
  </si>
  <si>
    <t>98358</t>
  </si>
  <si>
    <t>98402</t>
  </si>
  <si>
    <t>98451</t>
  </si>
  <si>
    <t>98473</t>
  </si>
  <si>
    <t>98474</t>
  </si>
  <si>
    <t>98548</t>
  </si>
  <si>
    <t>98563</t>
  </si>
  <si>
    <t>98266</t>
  </si>
  <si>
    <t>SOILCEA</t>
  </si>
  <si>
    <t>98315</t>
  </si>
  <si>
    <t>98336</t>
  </si>
  <si>
    <t>COUNTYOFCOLLIER</t>
  </si>
  <si>
    <t>98344</t>
  </si>
  <si>
    <t>98378</t>
  </si>
  <si>
    <t>98428</t>
  </si>
  <si>
    <t>NIT93927250</t>
  </si>
  <si>
    <t>Nitro Gold Premix 93927</t>
  </si>
  <si>
    <t>GAL09.29</t>
  </si>
  <si>
    <t>98443</t>
  </si>
  <si>
    <t>98518</t>
  </si>
  <si>
    <t>98265</t>
  </si>
  <si>
    <t>98268</t>
  </si>
  <si>
    <t>98294</t>
  </si>
  <si>
    <t>98299</t>
  </si>
  <si>
    <t>98320</t>
  </si>
  <si>
    <t>98349</t>
  </si>
  <si>
    <t>98380</t>
  </si>
  <si>
    <t>98458</t>
  </si>
  <si>
    <t>98465</t>
  </si>
  <si>
    <t>98484</t>
  </si>
  <si>
    <t>98516</t>
  </si>
  <si>
    <t>98525</t>
  </si>
  <si>
    <t>98526</t>
  </si>
  <si>
    <t>98544</t>
  </si>
  <si>
    <t>98546</t>
  </si>
  <si>
    <t>98556</t>
  </si>
  <si>
    <t>98562</t>
  </si>
  <si>
    <t>98252A</t>
  </si>
  <si>
    <t>WISTERA</t>
  </si>
  <si>
    <t>98253</t>
  </si>
  <si>
    <t>98254</t>
  </si>
  <si>
    <t>98256</t>
  </si>
  <si>
    <t>98258</t>
  </si>
  <si>
    <t>98259</t>
  </si>
  <si>
    <t>98260</t>
  </si>
  <si>
    <t>98261</t>
  </si>
  <si>
    <t>98262A</t>
  </si>
  <si>
    <t>98263</t>
  </si>
  <si>
    <t>98264</t>
  </si>
  <si>
    <t>98269</t>
  </si>
  <si>
    <t>98270</t>
  </si>
  <si>
    <t>98271</t>
  </si>
  <si>
    <t>98272</t>
  </si>
  <si>
    <t>98273</t>
  </si>
  <si>
    <t>98274</t>
  </si>
  <si>
    <t>98275</t>
  </si>
  <si>
    <t>98276</t>
  </si>
  <si>
    <t>98277</t>
  </si>
  <si>
    <t>98278</t>
  </si>
  <si>
    <t>TWINFARMS</t>
  </si>
  <si>
    <t>98279</t>
  </si>
  <si>
    <t>98280</t>
  </si>
  <si>
    <t>98281</t>
  </si>
  <si>
    <t>98282</t>
  </si>
  <si>
    <t>98283</t>
  </si>
  <si>
    <t>98284</t>
  </si>
  <si>
    <t>98285</t>
  </si>
  <si>
    <t>98286</t>
  </si>
  <si>
    <t>98287</t>
  </si>
  <si>
    <t>HWY39</t>
  </si>
  <si>
    <t>98288</t>
  </si>
  <si>
    <t>98290</t>
  </si>
  <si>
    <t>98291</t>
  </si>
  <si>
    <t>98292</t>
  </si>
  <si>
    <t>98296</t>
  </si>
  <si>
    <t>98297</t>
  </si>
  <si>
    <t>98298</t>
  </si>
  <si>
    <t>98300</t>
  </si>
  <si>
    <t>98301</t>
  </si>
  <si>
    <t>98303</t>
  </si>
  <si>
    <t>DURGAFARMS</t>
  </si>
  <si>
    <t>98304</t>
  </si>
  <si>
    <t>98305</t>
  </si>
  <si>
    <t>FIDELCAS</t>
  </si>
  <si>
    <t>CORK / NORTH</t>
  </si>
  <si>
    <t>98306</t>
  </si>
  <si>
    <t>98307</t>
  </si>
  <si>
    <t>98309</t>
  </si>
  <si>
    <t>98311</t>
  </si>
  <si>
    <t>98312</t>
  </si>
  <si>
    <t>98313</t>
  </si>
  <si>
    <t>98314</t>
  </si>
  <si>
    <t>MARTINEZMIGUEL</t>
  </si>
  <si>
    <t>98316</t>
  </si>
  <si>
    <t>98317</t>
  </si>
  <si>
    <t>98319</t>
  </si>
  <si>
    <t>98321</t>
  </si>
  <si>
    <t>98322</t>
  </si>
  <si>
    <t>98323</t>
  </si>
  <si>
    <t>98324</t>
  </si>
  <si>
    <t>98328</t>
  </si>
  <si>
    <t>98330</t>
  </si>
  <si>
    <t>98331</t>
  </si>
  <si>
    <t>98332</t>
  </si>
  <si>
    <t>98333</t>
  </si>
  <si>
    <t>98334</t>
  </si>
  <si>
    <t>98335</t>
  </si>
  <si>
    <t>98339</t>
  </si>
  <si>
    <t>98340</t>
  </si>
  <si>
    <t>98341</t>
  </si>
  <si>
    <t>98346</t>
  </si>
  <si>
    <t>98350</t>
  </si>
  <si>
    <t>98351</t>
  </si>
  <si>
    <t>98352</t>
  </si>
  <si>
    <t>98353</t>
  </si>
  <si>
    <t>98354</t>
  </si>
  <si>
    <t>98355</t>
  </si>
  <si>
    <t>98356</t>
  </si>
  <si>
    <t>98357</t>
  </si>
  <si>
    <t>98365</t>
  </si>
  <si>
    <t>98366</t>
  </si>
  <si>
    <t>98367</t>
  </si>
  <si>
    <t>98369</t>
  </si>
  <si>
    <t>98370</t>
  </si>
  <si>
    <t>98371</t>
  </si>
  <si>
    <t>98372</t>
  </si>
  <si>
    <t>98373</t>
  </si>
  <si>
    <t>98374</t>
  </si>
  <si>
    <t>98375</t>
  </si>
  <si>
    <t>98377</t>
  </si>
  <si>
    <t>98379</t>
  </si>
  <si>
    <t>98381</t>
  </si>
  <si>
    <t>98382B</t>
  </si>
  <si>
    <t>98383</t>
  </si>
  <si>
    <t>98384</t>
  </si>
  <si>
    <t>98385</t>
  </si>
  <si>
    <t>98386</t>
  </si>
  <si>
    <t>98387</t>
  </si>
  <si>
    <t>KNIGHTS-S/W</t>
  </si>
  <si>
    <t>98388</t>
  </si>
  <si>
    <t>98389</t>
  </si>
  <si>
    <t>98392</t>
  </si>
  <si>
    <t>98393</t>
  </si>
  <si>
    <t>98394</t>
  </si>
  <si>
    <t>CHBERRY</t>
  </si>
  <si>
    <t>98395</t>
  </si>
  <si>
    <t>98396</t>
  </si>
  <si>
    <t>98397</t>
  </si>
  <si>
    <t>98399</t>
  </si>
  <si>
    <t>98400</t>
  </si>
  <si>
    <t>98401</t>
  </si>
  <si>
    <t>98404</t>
  </si>
  <si>
    <t>98406</t>
  </si>
  <si>
    <t>98407</t>
  </si>
  <si>
    <t>98408</t>
  </si>
  <si>
    <t>98409</t>
  </si>
  <si>
    <t>98410</t>
  </si>
  <si>
    <t>98411A</t>
  </si>
  <si>
    <t>98412A</t>
  </si>
  <si>
    <t>DUETTE</t>
  </si>
  <si>
    <t>98413</t>
  </si>
  <si>
    <t>98414</t>
  </si>
  <si>
    <t>98415</t>
  </si>
  <si>
    <t>98416A</t>
  </si>
  <si>
    <t>98417A</t>
  </si>
  <si>
    <t>98418</t>
  </si>
  <si>
    <t>98420A</t>
  </si>
  <si>
    <t>98421B</t>
  </si>
  <si>
    <t>98422</t>
  </si>
  <si>
    <t>98423</t>
  </si>
  <si>
    <t>98424A</t>
  </si>
  <si>
    <t>98425A</t>
  </si>
  <si>
    <t>98426A</t>
  </si>
  <si>
    <t>98427</t>
  </si>
  <si>
    <t>98430</t>
  </si>
  <si>
    <t>98431</t>
  </si>
  <si>
    <t>98433</t>
  </si>
  <si>
    <t>98435A</t>
  </si>
  <si>
    <t>98440</t>
  </si>
  <si>
    <t>98441</t>
  </si>
  <si>
    <t>98442</t>
  </si>
  <si>
    <t>98444A</t>
  </si>
  <si>
    <t>98448</t>
  </si>
  <si>
    <t>98449</t>
  </si>
  <si>
    <t>98450</t>
  </si>
  <si>
    <t>98452</t>
  </si>
  <si>
    <t>98453</t>
  </si>
  <si>
    <t>98454A</t>
  </si>
  <si>
    <t>98455</t>
  </si>
  <si>
    <t>98456A</t>
  </si>
  <si>
    <t>98457A</t>
  </si>
  <si>
    <t>98459</t>
  </si>
  <si>
    <t>98460</t>
  </si>
  <si>
    <t>98461</t>
  </si>
  <si>
    <t>98462</t>
  </si>
  <si>
    <t>MAC528YM2</t>
  </si>
  <si>
    <t>Dyna Flo 5-2-8YM2</t>
  </si>
  <si>
    <t>RANCH 4</t>
  </si>
  <si>
    <t>98464</t>
  </si>
  <si>
    <t>98466</t>
  </si>
  <si>
    <t>98467</t>
  </si>
  <si>
    <t>98468</t>
  </si>
  <si>
    <t>98469</t>
  </si>
  <si>
    <t>98470</t>
  </si>
  <si>
    <t>98471</t>
  </si>
  <si>
    <t>98472</t>
  </si>
  <si>
    <t>98475A</t>
  </si>
  <si>
    <t>98476</t>
  </si>
  <si>
    <t>98477</t>
  </si>
  <si>
    <t>98479</t>
  </si>
  <si>
    <t>98480</t>
  </si>
  <si>
    <t>98481</t>
  </si>
  <si>
    <t>98482</t>
  </si>
  <si>
    <t>98483</t>
  </si>
  <si>
    <t>98485</t>
  </si>
  <si>
    <t>98486</t>
  </si>
  <si>
    <t>98487</t>
  </si>
  <si>
    <t>98488</t>
  </si>
  <si>
    <t>98489</t>
  </si>
  <si>
    <t>98490</t>
  </si>
  <si>
    <t>98491</t>
  </si>
  <si>
    <t>98492</t>
  </si>
  <si>
    <t>98493</t>
  </si>
  <si>
    <t>98496</t>
  </si>
  <si>
    <t>98497</t>
  </si>
  <si>
    <t>98498</t>
  </si>
  <si>
    <t>98499</t>
  </si>
  <si>
    <t>98500</t>
  </si>
  <si>
    <t>98501</t>
  </si>
  <si>
    <t>98502</t>
  </si>
  <si>
    <t>98505</t>
  </si>
  <si>
    <t>98506</t>
  </si>
  <si>
    <t>98507</t>
  </si>
  <si>
    <t>98508</t>
  </si>
  <si>
    <t>98509</t>
  </si>
  <si>
    <t>98514</t>
  </si>
  <si>
    <t>98515</t>
  </si>
  <si>
    <t>98519</t>
  </si>
  <si>
    <t>98520</t>
  </si>
  <si>
    <t>98521</t>
  </si>
  <si>
    <t>98522</t>
  </si>
  <si>
    <t>98523</t>
  </si>
  <si>
    <t>98527</t>
  </si>
  <si>
    <t>98528</t>
  </si>
  <si>
    <t>98539</t>
  </si>
  <si>
    <t>98540</t>
  </si>
  <si>
    <t>98541</t>
  </si>
  <si>
    <t>98543</t>
  </si>
  <si>
    <t>SYMALLUM</t>
  </si>
  <si>
    <t>Alluma</t>
  </si>
  <si>
    <t>GAL07.10</t>
  </si>
  <si>
    <t>98547</t>
  </si>
  <si>
    <t>98550</t>
  </si>
  <si>
    <t>98551</t>
  </si>
  <si>
    <t>98552</t>
  </si>
  <si>
    <t>98553</t>
  </si>
  <si>
    <t>98557</t>
  </si>
  <si>
    <t>98558</t>
  </si>
  <si>
    <t>98559</t>
  </si>
  <si>
    <t>98560</t>
  </si>
  <si>
    <t>98561</t>
  </si>
  <si>
    <t>98564</t>
  </si>
  <si>
    <t>98565</t>
  </si>
  <si>
    <t>98567</t>
  </si>
  <si>
    <t>98568</t>
  </si>
  <si>
    <t>TURKEY CREEK/SO</t>
  </si>
  <si>
    <t>98569</t>
  </si>
  <si>
    <t>98570</t>
  </si>
  <si>
    <t>MAC406YB11</t>
  </si>
  <si>
    <t>Dyna Flo 4-0-6YB11</t>
  </si>
  <si>
    <t>98325</t>
  </si>
  <si>
    <t>98337</t>
  </si>
  <si>
    <t>FLOFULVIC02</t>
  </si>
  <si>
    <t>Dyna Flo Fulvic Acid Liquid 30%</t>
  </si>
  <si>
    <t>98364</t>
  </si>
  <si>
    <t>98504</t>
  </si>
  <si>
    <t>98511</t>
  </si>
  <si>
    <t>98512</t>
  </si>
  <si>
    <t>98359</t>
  </si>
  <si>
    <t>Dyna Green TF</t>
  </si>
  <si>
    <t>98329</t>
  </si>
  <si>
    <t>98343</t>
  </si>
  <si>
    <t>98517</t>
  </si>
  <si>
    <t>98293</t>
  </si>
  <si>
    <t>98295</t>
  </si>
  <si>
    <t>98310</t>
  </si>
  <si>
    <t>98361</t>
  </si>
  <si>
    <t>98362</t>
  </si>
  <si>
    <t>98419</t>
  </si>
  <si>
    <t>GAL11.77</t>
  </si>
  <si>
    <t>98494</t>
  </si>
  <si>
    <t>98495</t>
  </si>
  <si>
    <t>98566</t>
  </si>
  <si>
    <t>98345</t>
  </si>
  <si>
    <t>98376</t>
  </si>
  <si>
    <t>98549</t>
  </si>
  <si>
    <t>98251</t>
  </si>
  <si>
    <t>SPANISHWELLS</t>
  </si>
  <si>
    <t>98257</t>
  </si>
  <si>
    <t>FLOMOLA30</t>
  </si>
  <si>
    <t>WATERLEFE</t>
  </si>
  <si>
    <t>98267</t>
  </si>
  <si>
    <t>98302</t>
  </si>
  <si>
    <t>GVGR8THIO250</t>
  </si>
  <si>
    <t>Gr8 Thio</t>
  </si>
  <si>
    <t>98326</t>
  </si>
  <si>
    <t>MAC801YA</t>
  </si>
  <si>
    <t>Dyna Flo 8-0-1 YA</t>
  </si>
  <si>
    <t>IMPERIALGOLF</t>
  </si>
  <si>
    <t>98327</t>
  </si>
  <si>
    <t>9-0-9 Fertigation Nutrient</t>
  </si>
  <si>
    <t>98342</t>
  </si>
  <si>
    <t>98347</t>
  </si>
  <si>
    <t>MAC3010ZR</t>
  </si>
  <si>
    <t>K-Nite 3-0-10</t>
  </si>
  <si>
    <t>98348</t>
  </si>
  <si>
    <t>GPGRCMN30</t>
  </si>
  <si>
    <t>GPNG1030</t>
  </si>
  <si>
    <t>WEDGEFIELD</t>
  </si>
  <si>
    <t>98363</t>
  </si>
  <si>
    <t>98391</t>
  </si>
  <si>
    <t>3-0-6 3Fe, 1MN</t>
  </si>
  <si>
    <t>98398</t>
  </si>
  <si>
    <t>98405</t>
  </si>
  <si>
    <t>98503</t>
  </si>
  <si>
    <t>DEERINGBAY</t>
  </si>
  <si>
    <t>98524</t>
  </si>
  <si>
    <t>98529</t>
  </si>
  <si>
    <t>98545</t>
  </si>
  <si>
    <t>98584</t>
  </si>
  <si>
    <t>GV1200655</t>
  </si>
  <si>
    <t>98578</t>
  </si>
  <si>
    <t>98589</t>
  </si>
  <si>
    <t>WAREHOUSE</t>
  </si>
  <si>
    <t>98609</t>
  </si>
  <si>
    <t>98651</t>
  </si>
  <si>
    <t>98764</t>
  </si>
  <si>
    <t>98792</t>
  </si>
  <si>
    <t>98629</t>
  </si>
  <si>
    <t>98630</t>
  </si>
  <si>
    <t>98631</t>
  </si>
  <si>
    <t>98672</t>
  </si>
  <si>
    <t>HENDERSONVILLE</t>
  </si>
  <si>
    <t>98687</t>
  </si>
  <si>
    <t>98700</t>
  </si>
  <si>
    <t>98716</t>
  </si>
  <si>
    <t>98761</t>
  </si>
  <si>
    <t>98799</t>
  </si>
  <si>
    <t>98819</t>
  </si>
  <si>
    <t>98615</t>
  </si>
  <si>
    <t>98620</t>
  </si>
  <si>
    <t>98667</t>
  </si>
  <si>
    <t>98671</t>
  </si>
  <si>
    <t>98673</t>
  </si>
  <si>
    <t>98734</t>
  </si>
  <si>
    <t>98754</t>
  </si>
  <si>
    <t>98771</t>
  </si>
  <si>
    <t>98774</t>
  </si>
  <si>
    <t>98784</t>
  </si>
  <si>
    <t>98795</t>
  </si>
  <si>
    <t>98817</t>
  </si>
  <si>
    <t>98571</t>
  </si>
  <si>
    <t>98572</t>
  </si>
  <si>
    <t>THONOTOSASSA RD</t>
  </si>
  <si>
    <t>98573</t>
  </si>
  <si>
    <t>98574</t>
  </si>
  <si>
    <t>98575</t>
  </si>
  <si>
    <t>98576</t>
  </si>
  <si>
    <t>FANCY FARM/CENT</t>
  </si>
  <si>
    <t>98580</t>
  </si>
  <si>
    <t>98582</t>
  </si>
  <si>
    <t>98583</t>
  </si>
  <si>
    <t>98585</t>
  </si>
  <si>
    <t>98586</t>
  </si>
  <si>
    <t>98587</t>
  </si>
  <si>
    <t>98591</t>
  </si>
  <si>
    <t>98592</t>
  </si>
  <si>
    <t>98593</t>
  </si>
  <si>
    <t>98594</t>
  </si>
  <si>
    <t>98595</t>
  </si>
  <si>
    <t>98596</t>
  </si>
  <si>
    <t>98597</t>
  </si>
  <si>
    <t>98598</t>
  </si>
  <si>
    <t>98600</t>
  </si>
  <si>
    <t>98601</t>
  </si>
  <si>
    <t>98602</t>
  </si>
  <si>
    <t>98603</t>
  </si>
  <si>
    <t>98604</t>
  </si>
  <si>
    <t>98605</t>
  </si>
  <si>
    <t>98606</t>
  </si>
  <si>
    <t>98607</t>
  </si>
  <si>
    <t>98608</t>
  </si>
  <si>
    <t>98610</t>
  </si>
  <si>
    <t>98611</t>
  </si>
  <si>
    <t>98612</t>
  </si>
  <si>
    <t>98613</t>
  </si>
  <si>
    <t>98614</t>
  </si>
  <si>
    <t>98616</t>
  </si>
  <si>
    <t>98619</t>
  </si>
  <si>
    <t>98621</t>
  </si>
  <si>
    <t>98622</t>
  </si>
  <si>
    <t>98623</t>
  </si>
  <si>
    <t>98624</t>
  </si>
  <si>
    <t>98625</t>
  </si>
  <si>
    <t>98627</t>
  </si>
  <si>
    <t>98628</t>
  </si>
  <si>
    <t>98632</t>
  </si>
  <si>
    <t>98633</t>
  </si>
  <si>
    <t>VERNER</t>
  </si>
  <si>
    <t>98634</t>
  </si>
  <si>
    <t>98635</t>
  </si>
  <si>
    <t>98636</t>
  </si>
  <si>
    <t>98639</t>
  </si>
  <si>
    <t>98640</t>
  </si>
  <si>
    <t>98641</t>
  </si>
  <si>
    <t>98642</t>
  </si>
  <si>
    <t>98643</t>
  </si>
  <si>
    <t>98644</t>
  </si>
  <si>
    <t>98645</t>
  </si>
  <si>
    <t>98646</t>
  </si>
  <si>
    <t>98648</t>
  </si>
  <si>
    <t>98649</t>
  </si>
  <si>
    <t>98650</t>
  </si>
  <si>
    <t>98653</t>
  </si>
  <si>
    <t>98654</t>
  </si>
  <si>
    <t>98655</t>
  </si>
  <si>
    <t>98656</t>
  </si>
  <si>
    <t>98657</t>
  </si>
  <si>
    <t>98662</t>
  </si>
  <si>
    <t>98663</t>
  </si>
  <si>
    <t>98664</t>
  </si>
  <si>
    <t>98665</t>
  </si>
  <si>
    <t>98668</t>
  </si>
  <si>
    <t>98669</t>
  </si>
  <si>
    <t>98670</t>
  </si>
  <si>
    <t>98683</t>
  </si>
  <si>
    <t>98684</t>
  </si>
  <si>
    <t>98685</t>
  </si>
  <si>
    <t>98686</t>
  </si>
  <si>
    <t>98688</t>
  </si>
  <si>
    <t>98689</t>
  </si>
  <si>
    <t>98690</t>
  </si>
  <si>
    <t>98691</t>
  </si>
  <si>
    <t>98693</t>
  </si>
  <si>
    <t>98694</t>
  </si>
  <si>
    <t>98695</t>
  </si>
  <si>
    <t>98696</t>
  </si>
  <si>
    <t>98697</t>
  </si>
  <si>
    <t>98698</t>
  </si>
  <si>
    <t>98699</t>
  </si>
  <si>
    <t>98702</t>
  </si>
  <si>
    <t>98705</t>
  </si>
  <si>
    <t>98706</t>
  </si>
  <si>
    <t>98707</t>
  </si>
  <si>
    <t>98708</t>
  </si>
  <si>
    <t>98709</t>
  </si>
  <si>
    <t>98710</t>
  </si>
  <si>
    <t>98711</t>
  </si>
  <si>
    <t>BETHLEHAM RD</t>
  </si>
  <si>
    <t>98712</t>
  </si>
  <si>
    <t>98713</t>
  </si>
  <si>
    <t>98714</t>
  </si>
  <si>
    <t>98715</t>
  </si>
  <si>
    <t>98717</t>
  </si>
  <si>
    <t>98718</t>
  </si>
  <si>
    <t>98719</t>
  </si>
  <si>
    <t>98720</t>
  </si>
  <si>
    <t>98721</t>
  </si>
  <si>
    <t>98723</t>
  </si>
  <si>
    <t>98724</t>
  </si>
  <si>
    <t>98726</t>
  </si>
  <si>
    <t>98730</t>
  </si>
  <si>
    <t>MUDLAKE ROAD</t>
  </si>
  <si>
    <t>98731</t>
  </si>
  <si>
    <t>MAC508YB3</t>
  </si>
  <si>
    <t>Dyna Flo 5-0-8YB3</t>
  </si>
  <si>
    <t>98735</t>
  </si>
  <si>
    <t>98741</t>
  </si>
  <si>
    <t>98742</t>
  </si>
  <si>
    <t>98743</t>
  </si>
  <si>
    <t>98745</t>
  </si>
  <si>
    <t>98746</t>
  </si>
  <si>
    <t>98747</t>
  </si>
  <si>
    <t>98748</t>
  </si>
  <si>
    <t>98749</t>
  </si>
  <si>
    <t>98750</t>
  </si>
  <si>
    <t>98751</t>
  </si>
  <si>
    <t>98755</t>
  </si>
  <si>
    <t>98756</t>
  </si>
  <si>
    <t>98757</t>
  </si>
  <si>
    <t>98758</t>
  </si>
  <si>
    <t>98760</t>
  </si>
  <si>
    <t>98765</t>
  </si>
  <si>
    <t>HARKALA S</t>
  </si>
  <si>
    <t>98766</t>
  </si>
  <si>
    <t>98772</t>
  </si>
  <si>
    <t>98773</t>
  </si>
  <si>
    <t>98776</t>
  </si>
  <si>
    <t>98778</t>
  </si>
  <si>
    <t>98779</t>
  </si>
  <si>
    <t>98780</t>
  </si>
  <si>
    <t>98781</t>
  </si>
  <si>
    <t>98782</t>
  </si>
  <si>
    <t>98785</t>
  </si>
  <si>
    <t>98786</t>
  </si>
  <si>
    <t>98787</t>
  </si>
  <si>
    <t>VARN ROAD</t>
  </si>
  <si>
    <t>98788</t>
  </si>
  <si>
    <t>98789</t>
  </si>
  <si>
    <t>98790</t>
  </si>
  <si>
    <t>98791</t>
  </si>
  <si>
    <t>98793</t>
  </si>
  <si>
    <t>98794</t>
  </si>
  <si>
    <t>98797</t>
  </si>
  <si>
    <t>98798</t>
  </si>
  <si>
    <t>98800</t>
  </si>
  <si>
    <t>98801</t>
  </si>
  <si>
    <t>98802</t>
  </si>
  <si>
    <t>98804</t>
  </si>
  <si>
    <t>98805</t>
  </si>
  <si>
    <t>98806</t>
  </si>
  <si>
    <t>98807</t>
  </si>
  <si>
    <t>98808</t>
  </si>
  <si>
    <t>98809</t>
  </si>
  <si>
    <t>98810</t>
  </si>
  <si>
    <t>98813</t>
  </si>
  <si>
    <t>98814</t>
  </si>
  <si>
    <t>98815</t>
  </si>
  <si>
    <t>98816</t>
  </si>
  <si>
    <t>98818</t>
  </si>
  <si>
    <t>98820</t>
  </si>
  <si>
    <t>98821</t>
  </si>
  <si>
    <t>98822</t>
  </si>
  <si>
    <t>98823</t>
  </si>
  <si>
    <t>98824</t>
  </si>
  <si>
    <t>98825</t>
  </si>
  <si>
    <t>98588</t>
  </si>
  <si>
    <t>98626</t>
  </si>
  <si>
    <t>98652</t>
  </si>
  <si>
    <t>98753</t>
  </si>
  <si>
    <t>SHELLPOINT</t>
  </si>
  <si>
    <t>98768</t>
  </si>
  <si>
    <t>TARA GOLD &amp; CC</t>
  </si>
  <si>
    <t>98783</t>
  </si>
  <si>
    <t>GREFE250</t>
  </si>
  <si>
    <t>Dyna Green Iron 5%</t>
  </si>
  <si>
    <t>98803</t>
  </si>
  <si>
    <t>98812</t>
  </si>
  <si>
    <t>FLOPHOS55</t>
  </si>
  <si>
    <t>98676</t>
  </si>
  <si>
    <t>GRETF250</t>
  </si>
  <si>
    <t>98581</t>
  </si>
  <si>
    <t>98729</t>
  </si>
  <si>
    <t>JLCFARM</t>
  </si>
  <si>
    <t>98618</t>
  </si>
  <si>
    <t>98638</t>
  </si>
  <si>
    <t>98647</t>
  </si>
  <si>
    <t>98704</t>
  </si>
  <si>
    <t>98725</t>
  </si>
  <si>
    <t>98733</t>
  </si>
  <si>
    <t>98759</t>
  </si>
  <si>
    <t>98777</t>
  </si>
  <si>
    <t>98811</t>
  </si>
  <si>
    <t>98826</t>
  </si>
  <si>
    <t>98590</t>
  </si>
  <si>
    <t>98617</t>
  </si>
  <si>
    <t>98674</t>
  </si>
  <si>
    <t>98675</t>
  </si>
  <si>
    <t>98701</t>
  </si>
  <si>
    <t>98722</t>
  </si>
  <si>
    <t>98727</t>
  </si>
  <si>
    <t>98732</t>
  </si>
  <si>
    <t>98767</t>
  </si>
  <si>
    <t>98769</t>
  </si>
  <si>
    <t>98770</t>
  </si>
  <si>
    <t>EMERALDPEST</t>
  </si>
  <si>
    <t>98796</t>
  </si>
  <si>
    <t>98873</t>
  </si>
  <si>
    <t>GAL</t>
  </si>
  <si>
    <t>98908</t>
  </si>
  <si>
    <t>98984</t>
  </si>
  <si>
    <t>98985</t>
  </si>
  <si>
    <t>98994</t>
  </si>
  <si>
    <t>99027</t>
  </si>
  <si>
    <t>99037</t>
  </si>
  <si>
    <t>99095</t>
  </si>
  <si>
    <t>USCMICMIX55</t>
  </si>
  <si>
    <t>98833</t>
  </si>
  <si>
    <t>98846</t>
  </si>
  <si>
    <t>98864</t>
  </si>
  <si>
    <t>98885</t>
  </si>
  <si>
    <t>98887</t>
  </si>
  <si>
    <t>98916</t>
  </si>
  <si>
    <t>98918</t>
  </si>
  <si>
    <t>98959</t>
  </si>
  <si>
    <t>98996</t>
  </si>
  <si>
    <t>99025</t>
  </si>
  <si>
    <t>ZON183630</t>
  </si>
  <si>
    <t>99094</t>
  </si>
  <si>
    <t>FLGXTBOOST+250</t>
  </si>
  <si>
    <t>Xtreme Boost Plus</t>
  </si>
  <si>
    <t>GAL08.65</t>
  </si>
  <si>
    <t>98829</t>
  </si>
  <si>
    <t>98858</t>
  </si>
  <si>
    <t>98869</t>
  </si>
  <si>
    <t>98870</t>
  </si>
  <si>
    <t>98883</t>
  </si>
  <si>
    <t>98884</t>
  </si>
  <si>
    <t>98935</t>
  </si>
  <si>
    <t>98936</t>
  </si>
  <si>
    <t>98940</t>
  </si>
  <si>
    <t>98941</t>
  </si>
  <si>
    <t>98972</t>
  </si>
  <si>
    <t>98974</t>
  </si>
  <si>
    <t>98975</t>
  </si>
  <si>
    <t>99030</t>
  </si>
  <si>
    <t>99032</t>
  </si>
  <si>
    <t>99046</t>
  </si>
  <si>
    <t>99048</t>
  </si>
  <si>
    <t>99049</t>
  </si>
  <si>
    <t>99057</t>
  </si>
  <si>
    <t>99059</t>
  </si>
  <si>
    <t>99065</t>
  </si>
  <si>
    <t>99066</t>
  </si>
  <si>
    <t>99069</t>
  </si>
  <si>
    <t>99089</t>
  </si>
  <si>
    <t>99101</t>
  </si>
  <si>
    <t>99102</t>
  </si>
  <si>
    <t>99103</t>
  </si>
  <si>
    <t>99104</t>
  </si>
  <si>
    <t>99105</t>
  </si>
  <si>
    <t>99108</t>
  </si>
  <si>
    <t>98832</t>
  </si>
  <si>
    <t>98834</t>
  </si>
  <si>
    <t>98835</t>
  </si>
  <si>
    <t>98836</t>
  </si>
  <si>
    <t>98838</t>
  </si>
  <si>
    <t>98839</t>
  </si>
  <si>
    <t>98840</t>
  </si>
  <si>
    <t>98841</t>
  </si>
  <si>
    <t>98842</t>
  </si>
  <si>
    <t>98843</t>
  </si>
  <si>
    <t>98844</t>
  </si>
  <si>
    <t>98845</t>
  </si>
  <si>
    <t>98848</t>
  </si>
  <si>
    <t>98850</t>
  </si>
  <si>
    <t>98851</t>
  </si>
  <si>
    <t>98852</t>
  </si>
  <si>
    <t>98853</t>
  </si>
  <si>
    <t>98855</t>
  </si>
  <si>
    <t>98857</t>
  </si>
  <si>
    <t>98859</t>
  </si>
  <si>
    <t>98860</t>
  </si>
  <si>
    <t>98861</t>
  </si>
  <si>
    <t>98862</t>
  </si>
  <si>
    <t>98863</t>
  </si>
  <si>
    <t>98865</t>
  </si>
  <si>
    <t>98866</t>
  </si>
  <si>
    <t>98867</t>
  </si>
  <si>
    <t>98875</t>
  </si>
  <si>
    <t>98876</t>
  </si>
  <si>
    <t>98877</t>
  </si>
  <si>
    <t>98878</t>
  </si>
  <si>
    <t>98879</t>
  </si>
  <si>
    <t>98880</t>
  </si>
  <si>
    <t>98886</t>
  </si>
  <si>
    <t>98890</t>
  </si>
  <si>
    <t>98891</t>
  </si>
  <si>
    <t>98892</t>
  </si>
  <si>
    <t>98893</t>
  </si>
  <si>
    <t>98894</t>
  </si>
  <si>
    <t>98897</t>
  </si>
  <si>
    <t>98898</t>
  </si>
  <si>
    <t>98902</t>
  </si>
  <si>
    <t>OAKHAMMOCK</t>
  </si>
  <si>
    <t>98904A</t>
  </si>
  <si>
    <t>98906</t>
  </si>
  <si>
    <t>98907</t>
  </si>
  <si>
    <t>98909</t>
  </si>
  <si>
    <t>98911</t>
  </si>
  <si>
    <t>98915</t>
  </si>
  <si>
    <t>MAC626YM8M</t>
  </si>
  <si>
    <t>Dyna Flo 6-2-6YM8M +Merge</t>
  </si>
  <si>
    <t>98919</t>
  </si>
  <si>
    <t>98921</t>
  </si>
  <si>
    <t>98922</t>
  </si>
  <si>
    <t>98923</t>
  </si>
  <si>
    <t>FLORIDAGREEN</t>
  </si>
  <si>
    <t>98924</t>
  </si>
  <si>
    <t>MAC3810W</t>
  </si>
  <si>
    <t>Dyna Flo 3-8-10 W</t>
  </si>
  <si>
    <t>98925</t>
  </si>
  <si>
    <t>98926</t>
  </si>
  <si>
    <t>98927</t>
  </si>
  <si>
    <t>98928</t>
  </si>
  <si>
    <t>98929</t>
  </si>
  <si>
    <t>98931</t>
  </si>
  <si>
    <t>98933</t>
  </si>
  <si>
    <t>98934</t>
  </si>
  <si>
    <t>98938</t>
  </si>
  <si>
    <t>98939</t>
  </si>
  <si>
    <t>98942</t>
  </si>
  <si>
    <t>98946</t>
  </si>
  <si>
    <t>98947</t>
  </si>
  <si>
    <t>98949</t>
  </si>
  <si>
    <t>98950</t>
  </si>
  <si>
    <t>98952</t>
  </si>
  <si>
    <t>98953</t>
  </si>
  <si>
    <t>98954</t>
  </si>
  <si>
    <t>98955</t>
  </si>
  <si>
    <t>98956</t>
  </si>
  <si>
    <t>98957</t>
  </si>
  <si>
    <t>98958</t>
  </si>
  <si>
    <t>98961</t>
  </si>
  <si>
    <t>98962</t>
  </si>
  <si>
    <t>98963</t>
  </si>
  <si>
    <t>98964</t>
  </si>
  <si>
    <t>98966</t>
  </si>
  <si>
    <t>ZON5003250</t>
  </si>
  <si>
    <t>BARN - HUNTER R</t>
  </si>
  <si>
    <t>98967</t>
  </si>
  <si>
    <t>ZON500305</t>
  </si>
  <si>
    <t>98968</t>
  </si>
  <si>
    <t>PACKING HOUSE</t>
  </si>
  <si>
    <t>98969</t>
  </si>
  <si>
    <t>98970</t>
  </si>
  <si>
    <t>98971</t>
  </si>
  <si>
    <t>98976</t>
  </si>
  <si>
    <t>98977</t>
  </si>
  <si>
    <t>98978</t>
  </si>
  <si>
    <t>98979</t>
  </si>
  <si>
    <t>98980</t>
  </si>
  <si>
    <t>98982</t>
  </si>
  <si>
    <t>98989</t>
  </si>
  <si>
    <t>98990</t>
  </si>
  <si>
    <t>98991</t>
  </si>
  <si>
    <t>98992</t>
  </si>
  <si>
    <t>98993</t>
  </si>
  <si>
    <t>98997</t>
  </si>
  <si>
    <t>99000</t>
  </si>
  <si>
    <t>99002</t>
  </si>
  <si>
    <t>99003</t>
  </si>
  <si>
    <t>99004</t>
  </si>
  <si>
    <t>99005</t>
  </si>
  <si>
    <t>99006</t>
  </si>
  <si>
    <t>99007</t>
  </si>
  <si>
    <t>99008</t>
  </si>
  <si>
    <t>99009</t>
  </si>
  <si>
    <t>99010</t>
  </si>
  <si>
    <t>99011</t>
  </si>
  <si>
    <t>99012</t>
  </si>
  <si>
    <t>G&amp;CAGVENTURES</t>
  </si>
  <si>
    <t>FTMEADE</t>
  </si>
  <si>
    <t>99013</t>
  </si>
  <si>
    <t>99019</t>
  </si>
  <si>
    <t>99020</t>
  </si>
  <si>
    <t>99021</t>
  </si>
  <si>
    <t>99022</t>
  </si>
  <si>
    <t>99023</t>
  </si>
  <si>
    <t>99024</t>
  </si>
  <si>
    <t>99026</t>
  </si>
  <si>
    <t>99028</t>
  </si>
  <si>
    <t>99029</t>
  </si>
  <si>
    <t>99031</t>
  </si>
  <si>
    <t>99033</t>
  </si>
  <si>
    <t>99034</t>
  </si>
  <si>
    <t>99035</t>
  </si>
  <si>
    <t>99036</t>
  </si>
  <si>
    <t>99039</t>
  </si>
  <si>
    <t>99040</t>
  </si>
  <si>
    <t>99041</t>
  </si>
  <si>
    <t>99042</t>
  </si>
  <si>
    <t>99043</t>
  </si>
  <si>
    <t>99044</t>
  </si>
  <si>
    <t>99045</t>
  </si>
  <si>
    <t>99051</t>
  </si>
  <si>
    <t>GLENHARWELL 133</t>
  </si>
  <si>
    <t>99052</t>
  </si>
  <si>
    <t>99053</t>
  </si>
  <si>
    <t>99054</t>
  </si>
  <si>
    <t>99055</t>
  </si>
  <si>
    <t>99061</t>
  </si>
  <si>
    <t>99062</t>
  </si>
  <si>
    <t>99063</t>
  </si>
  <si>
    <t>99064</t>
  </si>
  <si>
    <t>99072</t>
  </si>
  <si>
    <t>99074</t>
  </si>
  <si>
    <t>99075</t>
  </si>
  <si>
    <t>99076</t>
  </si>
  <si>
    <t>99077</t>
  </si>
  <si>
    <t>99078</t>
  </si>
  <si>
    <t>99079</t>
  </si>
  <si>
    <t>99080</t>
  </si>
  <si>
    <t>99083</t>
  </si>
  <si>
    <t>99084</t>
  </si>
  <si>
    <t>99086</t>
  </si>
  <si>
    <t>99087</t>
  </si>
  <si>
    <t>99090</t>
  </si>
  <si>
    <t>99091</t>
  </si>
  <si>
    <t>99092</t>
  </si>
  <si>
    <t>99093</t>
  </si>
  <si>
    <t>99097</t>
  </si>
  <si>
    <t>99098</t>
  </si>
  <si>
    <t>99099</t>
  </si>
  <si>
    <t>99100</t>
  </si>
  <si>
    <t>99109</t>
  </si>
  <si>
    <t>99110</t>
  </si>
  <si>
    <t>99111</t>
  </si>
  <si>
    <t>99115</t>
  </si>
  <si>
    <t>99116</t>
  </si>
  <si>
    <t>99117</t>
  </si>
  <si>
    <t>99118</t>
  </si>
  <si>
    <t>99119</t>
  </si>
  <si>
    <t>99120</t>
  </si>
  <si>
    <t>98973</t>
  </si>
  <si>
    <t>99056</t>
  </si>
  <si>
    <t>99107</t>
  </si>
  <si>
    <t>98854</t>
  </si>
  <si>
    <t>GROCAHA02</t>
  </si>
  <si>
    <t>Dyna Gro Calcium with Humic</t>
  </si>
  <si>
    <t>GAL10.82</t>
  </si>
  <si>
    <t>98899</t>
  </si>
  <si>
    <t>98900</t>
  </si>
  <si>
    <t>98903</t>
  </si>
  <si>
    <t>98920</t>
  </si>
  <si>
    <t>99067</t>
  </si>
  <si>
    <t>98847</t>
  </si>
  <si>
    <t>98874</t>
  </si>
  <si>
    <t>98881</t>
  </si>
  <si>
    <t>98882</t>
  </si>
  <si>
    <t>98905</t>
  </si>
  <si>
    <t>98965</t>
  </si>
  <si>
    <t>98999</t>
  </si>
  <si>
    <t>99038</t>
  </si>
  <si>
    <t>MAC927YM14</t>
  </si>
  <si>
    <t>Dyna Flo 9-2-7YM14</t>
  </si>
  <si>
    <t>99058</t>
  </si>
  <si>
    <t>99068</t>
  </si>
  <si>
    <t>99073</t>
  </si>
  <si>
    <t>99088</t>
  </si>
  <si>
    <t>99106</t>
  </si>
  <si>
    <t>98872</t>
  </si>
  <si>
    <t>98896</t>
  </si>
  <si>
    <t>98910</t>
  </si>
  <si>
    <t>98932</t>
  </si>
  <si>
    <t>98943</t>
  </si>
  <si>
    <t>99018</t>
  </si>
  <si>
    <t>INVICTUSBASTROP</t>
  </si>
  <si>
    <t>99060</t>
  </si>
  <si>
    <t>99081</t>
  </si>
  <si>
    <t>PINNACLE/SHALLO</t>
  </si>
  <si>
    <t>99085</t>
  </si>
  <si>
    <t>99096</t>
  </si>
  <si>
    <t>98837</t>
  </si>
  <si>
    <t>98856</t>
  </si>
  <si>
    <t>98871</t>
  </si>
  <si>
    <t>MISSIONINN</t>
  </si>
  <si>
    <t>98895</t>
  </si>
  <si>
    <t>98901</t>
  </si>
  <si>
    <t>THEFLORIDACLUB</t>
  </si>
  <si>
    <t>98912</t>
  </si>
  <si>
    <t>98913</t>
  </si>
  <si>
    <t>98914</t>
  </si>
  <si>
    <t>98917</t>
  </si>
  <si>
    <t>98930</t>
  </si>
  <si>
    <t>98951A</t>
  </si>
  <si>
    <t>98981</t>
  </si>
  <si>
    <t>98986</t>
  </si>
  <si>
    <t>ARROWHEAD</t>
  </si>
  <si>
    <t>98987</t>
  </si>
  <si>
    <t>98988</t>
  </si>
  <si>
    <t>99016</t>
  </si>
  <si>
    <t>99047</t>
  </si>
  <si>
    <t>99050</t>
  </si>
  <si>
    <t>99141</t>
  </si>
  <si>
    <t>99174</t>
  </si>
  <si>
    <t>99186</t>
  </si>
  <si>
    <t>99233</t>
  </si>
  <si>
    <t>99243</t>
  </si>
  <si>
    <t>99272</t>
  </si>
  <si>
    <t>FLO1200630</t>
  </si>
  <si>
    <t>99342</t>
  </si>
  <si>
    <t>99359</t>
  </si>
  <si>
    <t>99439</t>
  </si>
  <si>
    <t>99187</t>
  </si>
  <si>
    <t>99351B</t>
  </si>
  <si>
    <t>99371</t>
  </si>
  <si>
    <t>99397</t>
  </si>
  <si>
    <t>99417</t>
  </si>
  <si>
    <t>99427</t>
  </si>
  <si>
    <t>99123</t>
  </si>
  <si>
    <t>99124</t>
  </si>
  <si>
    <t>99133A</t>
  </si>
  <si>
    <t>99151</t>
  </si>
  <si>
    <t>99162</t>
  </si>
  <si>
    <t>99163</t>
  </si>
  <si>
    <t>99164</t>
  </si>
  <si>
    <t>99165A</t>
  </si>
  <si>
    <t>99167</t>
  </si>
  <si>
    <t>Dyna Gro Nut # 1713036 / Citra Guard XP without Copper / Micro Guard</t>
  </si>
  <si>
    <t>99175</t>
  </si>
  <si>
    <t>99182</t>
  </si>
  <si>
    <t>99220</t>
  </si>
  <si>
    <t>99221</t>
  </si>
  <si>
    <t>99223</t>
  </si>
  <si>
    <t>99237</t>
  </si>
  <si>
    <t>99250</t>
  </si>
  <si>
    <t>99251</t>
  </si>
  <si>
    <t>99253</t>
  </si>
  <si>
    <t>99255</t>
  </si>
  <si>
    <t>99265</t>
  </si>
  <si>
    <t>99276</t>
  </si>
  <si>
    <t>99279</t>
  </si>
  <si>
    <t>99280</t>
  </si>
  <si>
    <t>99286</t>
  </si>
  <si>
    <t>99290</t>
  </si>
  <si>
    <t>99291</t>
  </si>
  <si>
    <t>99292</t>
  </si>
  <si>
    <t>99307</t>
  </si>
  <si>
    <t>GOLDVEG02</t>
  </si>
  <si>
    <t>99313</t>
  </si>
  <si>
    <t>99315</t>
  </si>
  <si>
    <t>99319</t>
  </si>
  <si>
    <t>99321</t>
  </si>
  <si>
    <t>99322</t>
  </si>
  <si>
    <t>99346</t>
  </si>
  <si>
    <t>99356</t>
  </si>
  <si>
    <t>99358</t>
  </si>
  <si>
    <t>99364</t>
  </si>
  <si>
    <t>99365</t>
  </si>
  <si>
    <t>99367</t>
  </si>
  <si>
    <t>99368</t>
  </si>
  <si>
    <t>99372</t>
  </si>
  <si>
    <t>99385</t>
  </si>
  <si>
    <t>99387</t>
  </si>
  <si>
    <t>99393</t>
  </si>
  <si>
    <t>99396</t>
  </si>
  <si>
    <t>99398</t>
  </si>
  <si>
    <t>99399</t>
  </si>
  <si>
    <t>99412</t>
  </si>
  <si>
    <t>99415</t>
  </si>
  <si>
    <t>99421</t>
  </si>
  <si>
    <t>99422</t>
  </si>
  <si>
    <t>99424</t>
  </si>
  <si>
    <t>99126</t>
  </si>
  <si>
    <t>99127</t>
  </si>
  <si>
    <t>99128</t>
  </si>
  <si>
    <t>99129</t>
  </si>
  <si>
    <t>99130</t>
  </si>
  <si>
    <t>99131</t>
  </si>
  <si>
    <t>99132</t>
  </si>
  <si>
    <t>99134</t>
  </si>
  <si>
    <t>99135</t>
  </si>
  <si>
    <t>99136</t>
  </si>
  <si>
    <t>99137</t>
  </si>
  <si>
    <t>99138</t>
  </si>
  <si>
    <t>99139</t>
  </si>
  <si>
    <t>MAC408YB13</t>
  </si>
  <si>
    <t>Dyna Flo 4-0-8YB13</t>
  </si>
  <si>
    <t>99142</t>
  </si>
  <si>
    <t>99143</t>
  </si>
  <si>
    <t>99144</t>
  </si>
  <si>
    <t>99147</t>
  </si>
  <si>
    <t>99148</t>
  </si>
  <si>
    <t>99149</t>
  </si>
  <si>
    <t>99150</t>
  </si>
  <si>
    <t>99152</t>
  </si>
  <si>
    <t>99153</t>
  </si>
  <si>
    <t>99154</t>
  </si>
  <si>
    <t>99155</t>
  </si>
  <si>
    <t>99156</t>
  </si>
  <si>
    <t>99157</t>
  </si>
  <si>
    <t>99160</t>
  </si>
  <si>
    <t>99161</t>
  </si>
  <si>
    <t>99168</t>
  </si>
  <si>
    <t>99169</t>
  </si>
  <si>
    <t>PIGEONCOVE</t>
  </si>
  <si>
    <t>99170</t>
  </si>
  <si>
    <t>MAC528YM3</t>
  </si>
  <si>
    <t>Dyna Flo 5-2-8YM3</t>
  </si>
  <si>
    <t>99171</t>
  </si>
  <si>
    <t>ONA</t>
  </si>
  <si>
    <t>99172</t>
  </si>
  <si>
    <t>99173</t>
  </si>
  <si>
    <t>99180</t>
  </si>
  <si>
    <t>99181</t>
  </si>
  <si>
    <t>99183</t>
  </si>
  <si>
    <t>99184</t>
  </si>
  <si>
    <t>99185</t>
  </si>
  <si>
    <t>99189</t>
  </si>
  <si>
    <t>99190</t>
  </si>
  <si>
    <t>99191</t>
  </si>
  <si>
    <t>99192</t>
  </si>
  <si>
    <t>99194</t>
  </si>
  <si>
    <t>99195</t>
  </si>
  <si>
    <t>99198</t>
  </si>
  <si>
    <t>99199</t>
  </si>
  <si>
    <t>99200</t>
  </si>
  <si>
    <t>99203</t>
  </si>
  <si>
    <t>99204</t>
  </si>
  <si>
    <t>99205</t>
  </si>
  <si>
    <t>99211</t>
  </si>
  <si>
    <t>99212</t>
  </si>
  <si>
    <t>99213</t>
  </si>
  <si>
    <t>99219</t>
  </si>
  <si>
    <t>99224</t>
  </si>
  <si>
    <t>99225</t>
  </si>
  <si>
    <t>99226</t>
  </si>
  <si>
    <t>99227</t>
  </si>
  <si>
    <t>99228</t>
  </si>
  <si>
    <t>99230</t>
  </si>
  <si>
    <t>99231</t>
  </si>
  <si>
    <t>99238</t>
  </si>
  <si>
    <t>99241</t>
  </si>
  <si>
    <t>99244</t>
  </si>
  <si>
    <t>99246</t>
  </si>
  <si>
    <t>99247</t>
  </si>
  <si>
    <t>99248</t>
  </si>
  <si>
    <t>99249</t>
  </si>
  <si>
    <t>99256</t>
  </si>
  <si>
    <t>99259</t>
  </si>
  <si>
    <t>99260</t>
  </si>
  <si>
    <t>99261</t>
  </si>
  <si>
    <t>99263</t>
  </si>
  <si>
    <t>99264</t>
  </si>
  <si>
    <t>99266</t>
  </si>
  <si>
    <t>99267</t>
  </si>
  <si>
    <t>99268</t>
  </si>
  <si>
    <t>99270</t>
  </si>
  <si>
    <t>99271</t>
  </si>
  <si>
    <t>99273</t>
  </si>
  <si>
    <t>99274</t>
  </si>
  <si>
    <t>99275</t>
  </si>
  <si>
    <t>99281</t>
  </si>
  <si>
    <t>99282</t>
  </si>
  <si>
    <t>99283</t>
  </si>
  <si>
    <t>RUSSELLS</t>
  </si>
  <si>
    <t>99284</t>
  </si>
  <si>
    <t>99287</t>
  </si>
  <si>
    <t>99288</t>
  </si>
  <si>
    <t>99289</t>
  </si>
  <si>
    <t>99294</t>
  </si>
  <si>
    <t>99295</t>
  </si>
  <si>
    <t>99297</t>
  </si>
  <si>
    <t>99298</t>
  </si>
  <si>
    <t>99299</t>
  </si>
  <si>
    <t>99301</t>
  </si>
  <si>
    <t>99302</t>
  </si>
  <si>
    <t>99303</t>
  </si>
  <si>
    <t>99304</t>
  </si>
  <si>
    <t>99305</t>
  </si>
  <si>
    <t>99308</t>
  </si>
  <si>
    <t>99309</t>
  </si>
  <si>
    <t>99310</t>
  </si>
  <si>
    <t>99316</t>
  </si>
  <si>
    <t>99317</t>
  </si>
  <si>
    <t>99318</t>
  </si>
  <si>
    <t>99320</t>
  </si>
  <si>
    <t>99323</t>
  </si>
  <si>
    <t>99324</t>
  </si>
  <si>
    <t>99328</t>
  </si>
  <si>
    <t>99329</t>
  </si>
  <si>
    <t>99330</t>
  </si>
  <si>
    <t>99331</t>
  </si>
  <si>
    <t>99332</t>
  </si>
  <si>
    <t>MOTTRD</t>
  </si>
  <si>
    <t>99335</t>
  </si>
  <si>
    <t>99336</t>
  </si>
  <si>
    <t>99337</t>
  </si>
  <si>
    <t>99338</t>
  </si>
  <si>
    <t>99341</t>
  </si>
  <si>
    <t>99347</t>
  </si>
  <si>
    <t>99349</t>
  </si>
  <si>
    <t>99352</t>
  </si>
  <si>
    <t>99361</t>
  </si>
  <si>
    <t>99362</t>
  </si>
  <si>
    <t>99366</t>
  </si>
  <si>
    <t>99370</t>
  </si>
  <si>
    <t>99373</t>
  </si>
  <si>
    <t>99374</t>
  </si>
  <si>
    <t>99375</t>
  </si>
  <si>
    <t>99377</t>
  </si>
  <si>
    <t>99378</t>
  </si>
  <si>
    <t>99381</t>
  </si>
  <si>
    <t>99382</t>
  </si>
  <si>
    <t>99383</t>
  </si>
  <si>
    <t>99384</t>
  </si>
  <si>
    <t>99388</t>
  </si>
  <si>
    <t>99389</t>
  </si>
  <si>
    <t>99391</t>
  </si>
  <si>
    <t>99392</t>
  </si>
  <si>
    <t>99394</t>
  </si>
  <si>
    <t>FARM #2 NORTH</t>
  </si>
  <si>
    <t>99395</t>
  </si>
  <si>
    <t>99400</t>
  </si>
  <si>
    <t>99401</t>
  </si>
  <si>
    <t>99402</t>
  </si>
  <si>
    <t>99404</t>
  </si>
  <si>
    <t>99405</t>
  </si>
  <si>
    <t>99408</t>
  </si>
  <si>
    <t>FUTCH</t>
  </si>
  <si>
    <t>99410</t>
  </si>
  <si>
    <t>99413</t>
  </si>
  <si>
    <t>99414</t>
  </si>
  <si>
    <t>99420</t>
  </si>
  <si>
    <t>99425</t>
  </si>
  <si>
    <t>99426</t>
  </si>
  <si>
    <t>99428</t>
  </si>
  <si>
    <t>99429</t>
  </si>
  <si>
    <t>99430</t>
  </si>
  <si>
    <t>99431</t>
  </si>
  <si>
    <t>99432</t>
  </si>
  <si>
    <t>99436</t>
  </si>
  <si>
    <t>99437</t>
  </si>
  <si>
    <t>99438</t>
  </si>
  <si>
    <t>99140</t>
  </si>
  <si>
    <t>99222</t>
  </si>
  <si>
    <t>99348</t>
  </si>
  <si>
    <t>99360</t>
  </si>
  <si>
    <t>99202</t>
  </si>
  <si>
    <t>CRUCEFARMS</t>
  </si>
  <si>
    <t>PERRY</t>
  </si>
  <si>
    <t>99214</t>
  </si>
  <si>
    <t>99217A</t>
  </si>
  <si>
    <t>99218</t>
  </si>
  <si>
    <t>99257</t>
  </si>
  <si>
    <t>99258</t>
  </si>
  <si>
    <t>99300</t>
  </si>
  <si>
    <t>99339</t>
  </si>
  <si>
    <t>99340</t>
  </si>
  <si>
    <t>99355</t>
  </si>
  <si>
    <t>99403</t>
  </si>
  <si>
    <t>99407</t>
  </si>
  <si>
    <t>99411</t>
  </si>
  <si>
    <t>99125</t>
  </si>
  <si>
    <t>99158</t>
  </si>
  <si>
    <t>99234</t>
  </si>
  <si>
    <t>99240</t>
  </si>
  <si>
    <t>99269</t>
  </si>
  <si>
    <t>99296</t>
  </si>
  <si>
    <t>99311</t>
  </si>
  <si>
    <t>99345</t>
  </si>
  <si>
    <t>99386</t>
  </si>
  <si>
    <t>99409</t>
  </si>
  <si>
    <t>99418</t>
  </si>
  <si>
    <t>99419</t>
  </si>
  <si>
    <t>99423</t>
  </si>
  <si>
    <t>99440</t>
  </si>
  <si>
    <t>99441</t>
  </si>
  <si>
    <t>99188</t>
  </si>
  <si>
    <t>99196</t>
  </si>
  <si>
    <t>99210</t>
  </si>
  <si>
    <t>99215</t>
  </si>
  <si>
    <t>99232</t>
  </si>
  <si>
    <t>99236</t>
  </si>
  <si>
    <t>99239</t>
  </si>
  <si>
    <t>SGSELCAMPO</t>
  </si>
  <si>
    <t>99252</t>
  </si>
  <si>
    <t>99285</t>
  </si>
  <si>
    <t>99293</t>
  </si>
  <si>
    <t>HAWKINSVILLE</t>
  </si>
  <si>
    <t>99312</t>
  </si>
  <si>
    <t>99314</t>
  </si>
  <si>
    <t>99326</t>
  </si>
  <si>
    <t>99343</t>
  </si>
  <si>
    <t>99344</t>
  </si>
  <si>
    <t>AGBASPOPC50#</t>
  </si>
  <si>
    <t>Agri Starter Pop Up for Corn</t>
  </si>
  <si>
    <t>99369</t>
  </si>
  <si>
    <t>99379</t>
  </si>
  <si>
    <t>99406</t>
  </si>
  <si>
    <t>AGBASCORN250#</t>
  </si>
  <si>
    <t>99416</t>
  </si>
  <si>
    <t>99122</t>
  </si>
  <si>
    <t>99197</t>
  </si>
  <si>
    <t>GPCARBFULL02</t>
  </si>
  <si>
    <t>99216</t>
  </si>
  <si>
    <t>99245</t>
  </si>
  <si>
    <t>99277</t>
  </si>
  <si>
    <t>99278</t>
  </si>
  <si>
    <t>99325</t>
  </si>
  <si>
    <t>GPBLACK+30</t>
  </si>
  <si>
    <t>99327</t>
  </si>
  <si>
    <t>GASPARILLAINN</t>
  </si>
  <si>
    <t>99334</t>
  </si>
  <si>
    <t>SOTUHERNCARE</t>
  </si>
  <si>
    <t>99353</t>
  </si>
  <si>
    <t>99354</t>
  </si>
  <si>
    <t>99363</t>
  </si>
  <si>
    <t>MAC1505Z</t>
  </si>
  <si>
    <t>Dyna Flo 15-0-5</t>
  </si>
  <si>
    <t>99376</t>
  </si>
  <si>
    <t>99380</t>
  </si>
  <si>
    <t>99510</t>
  </si>
  <si>
    <t>99529</t>
  </si>
  <si>
    <t>99637</t>
  </si>
  <si>
    <t>99656</t>
  </si>
  <si>
    <t>THE WANDERERS</t>
  </si>
  <si>
    <t>99657</t>
  </si>
  <si>
    <t>99692</t>
  </si>
  <si>
    <t>99741</t>
  </si>
  <si>
    <t>99450</t>
  </si>
  <si>
    <t>99467</t>
  </si>
  <si>
    <t>Repack: Freigtkar</t>
  </si>
  <si>
    <t>99516</t>
  </si>
  <si>
    <t>99527</t>
  </si>
  <si>
    <t>99528</t>
  </si>
  <si>
    <t>99530</t>
  </si>
  <si>
    <t>99589</t>
  </si>
  <si>
    <t>99593</t>
  </si>
  <si>
    <t>99673</t>
  </si>
  <si>
    <t>99698</t>
  </si>
  <si>
    <t>99722</t>
  </si>
  <si>
    <t>99442</t>
  </si>
  <si>
    <t>99458</t>
  </si>
  <si>
    <t>99459</t>
  </si>
  <si>
    <t>99462</t>
  </si>
  <si>
    <t>99482</t>
  </si>
  <si>
    <t>99487</t>
  </si>
  <si>
    <t>IMGCITRUS</t>
  </si>
  <si>
    <t>CHERRYLAKE</t>
  </si>
  <si>
    <t>99488</t>
  </si>
  <si>
    <t>MAC10106L</t>
  </si>
  <si>
    <t>Dyna Flo 10-10-6 L</t>
  </si>
  <si>
    <t>99489</t>
  </si>
  <si>
    <t>99490</t>
  </si>
  <si>
    <t>99504</t>
  </si>
  <si>
    <t>99517</t>
  </si>
  <si>
    <t>99518A</t>
  </si>
  <si>
    <t>99534</t>
  </si>
  <si>
    <t>99535</t>
  </si>
  <si>
    <t>99547</t>
  </si>
  <si>
    <t>99571</t>
  </si>
  <si>
    <t>99605</t>
  </si>
  <si>
    <t>99606</t>
  </si>
  <si>
    <t>99607</t>
  </si>
  <si>
    <t>99625</t>
  </si>
  <si>
    <t>99629</t>
  </si>
  <si>
    <t>99644</t>
  </si>
  <si>
    <t>99646</t>
  </si>
  <si>
    <t>99650</t>
  </si>
  <si>
    <t>99658</t>
  </si>
  <si>
    <t>99661</t>
  </si>
  <si>
    <t>Repack: N Sure</t>
  </si>
  <si>
    <t>THORNBURG RD.</t>
  </si>
  <si>
    <t>99670</t>
  </si>
  <si>
    <t>EDTAK02</t>
  </si>
  <si>
    <t>Tetrapotassium EDTA</t>
  </si>
  <si>
    <t>GAL10.13</t>
  </si>
  <si>
    <t>99681</t>
  </si>
  <si>
    <t>99686</t>
  </si>
  <si>
    <t>99687</t>
  </si>
  <si>
    <t>99694</t>
  </si>
  <si>
    <t>99706</t>
  </si>
  <si>
    <t>99711</t>
  </si>
  <si>
    <t>99715</t>
  </si>
  <si>
    <t>99717</t>
  </si>
  <si>
    <t>99719</t>
  </si>
  <si>
    <t>SOARMIC250</t>
  </si>
  <si>
    <t>99725</t>
  </si>
  <si>
    <t>99727</t>
  </si>
  <si>
    <t>99728</t>
  </si>
  <si>
    <t>99729</t>
  </si>
  <si>
    <t>GRO2415759250</t>
  </si>
  <si>
    <t>Dyna Gro 2515759 (off spec Citra Guard XP)</t>
  </si>
  <si>
    <t>GAL11.91</t>
  </si>
  <si>
    <t>99731</t>
  </si>
  <si>
    <t>99732</t>
  </si>
  <si>
    <t>99733</t>
  </si>
  <si>
    <t>99445</t>
  </si>
  <si>
    <t>99446</t>
  </si>
  <si>
    <t>MAC627YM2</t>
  </si>
  <si>
    <t>Dyna Flo 6-2-7 YM2</t>
  </si>
  <si>
    <t>99451</t>
  </si>
  <si>
    <t>99452</t>
  </si>
  <si>
    <t>99453</t>
  </si>
  <si>
    <t>99455</t>
  </si>
  <si>
    <t>99456</t>
  </si>
  <si>
    <t>99457</t>
  </si>
  <si>
    <t>99463</t>
  </si>
  <si>
    <t>99464</t>
  </si>
  <si>
    <t>99465</t>
  </si>
  <si>
    <t>99466</t>
  </si>
  <si>
    <t>99469</t>
  </si>
  <si>
    <t>99470</t>
  </si>
  <si>
    <t>99471</t>
  </si>
  <si>
    <t>99473</t>
  </si>
  <si>
    <t>99480</t>
  </si>
  <si>
    <t>99481</t>
  </si>
  <si>
    <t>99485</t>
  </si>
  <si>
    <t>99486</t>
  </si>
  <si>
    <t>99491</t>
  </si>
  <si>
    <t>99492</t>
  </si>
  <si>
    <t>99493</t>
  </si>
  <si>
    <t>99494</t>
  </si>
  <si>
    <t>99495</t>
  </si>
  <si>
    <t>99496</t>
  </si>
  <si>
    <t>99499</t>
  </si>
  <si>
    <t>99503</t>
  </si>
  <si>
    <t>99505</t>
  </si>
  <si>
    <t>99507</t>
  </si>
  <si>
    <t>99511</t>
  </si>
  <si>
    <t>NORMFRY</t>
  </si>
  <si>
    <t>99519</t>
  </si>
  <si>
    <t>99520</t>
  </si>
  <si>
    <t>MAC507YF</t>
  </si>
  <si>
    <t>Dyna Flo 5-0-7 YF</t>
  </si>
  <si>
    <t>99521</t>
  </si>
  <si>
    <t>99524</t>
  </si>
  <si>
    <t>99525</t>
  </si>
  <si>
    <t>99526</t>
  </si>
  <si>
    <t>99539</t>
  </si>
  <si>
    <t>99541</t>
  </si>
  <si>
    <t>99542</t>
  </si>
  <si>
    <t>99543</t>
  </si>
  <si>
    <t>99544</t>
  </si>
  <si>
    <t>99545</t>
  </si>
  <si>
    <t>99551</t>
  </si>
  <si>
    <t>99552</t>
  </si>
  <si>
    <t>99553</t>
  </si>
  <si>
    <t>99555</t>
  </si>
  <si>
    <t>99556</t>
  </si>
  <si>
    <t>99557</t>
  </si>
  <si>
    <t>99558</t>
  </si>
  <si>
    <t>99559</t>
  </si>
  <si>
    <t>99563</t>
  </si>
  <si>
    <t>99564</t>
  </si>
  <si>
    <t>99565</t>
  </si>
  <si>
    <t>99566</t>
  </si>
  <si>
    <t>HAPPYGROVES</t>
  </si>
  <si>
    <t>99568</t>
  </si>
  <si>
    <t>99569</t>
  </si>
  <si>
    <t>99570</t>
  </si>
  <si>
    <t>99572</t>
  </si>
  <si>
    <t>99573</t>
  </si>
  <si>
    <t>99580</t>
  </si>
  <si>
    <t>99581</t>
  </si>
  <si>
    <t>99582</t>
  </si>
  <si>
    <t>99583</t>
  </si>
  <si>
    <t>99586</t>
  </si>
  <si>
    <t>99587</t>
  </si>
  <si>
    <t>99588</t>
  </si>
  <si>
    <t>99592</t>
  </si>
  <si>
    <t>99595</t>
  </si>
  <si>
    <t>99598</t>
  </si>
  <si>
    <t>99599</t>
  </si>
  <si>
    <t>99600</t>
  </si>
  <si>
    <t>99602</t>
  </si>
  <si>
    <t>99603</t>
  </si>
  <si>
    <t>99604</t>
  </si>
  <si>
    <t>99608</t>
  </si>
  <si>
    <t>99610</t>
  </si>
  <si>
    <t>99611</t>
  </si>
  <si>
    <t>99618</t>
  </si>
  <si>
    <t>99619</t>
  </si>
  <si>
    <t>SWEATTLP</t>
  </si>
  <si>
    <t>99628</t>
  </si>
  <si>
    <t>99631</t>
  </si>
  <si>
    <t>99632</t>
  </si>
  <si>
    <t>99633</t>
  </si>
  <si>
    <t>99634</t>
  </si>
  <si>
    <t>99639</t>
  </si>
  <si>
    <t>99640</t>
  </si>
  <si>
    <t>99643</t>
  </si>
  <si>
    <t>99645</t>
  </si>
  <si>
    <t>99647</t>
  </si>
  <si>
    <t>99648</t>
  </si>
  <si>
    <t>99649</t>
  </si>
  <si>
    <t>99654</t>
  </si>
  <si>
    <t>99655</t>
  </si>
  <si>
    <t>99659</t>
  </si>
  <si>
    <t>99660</t>
  </si>
  <si>
    <t>99662</t>
  </si>
  <si>
    <t>99668</t>
  </si>
  <si>
    <t>99669</t>
  </si>
  <si>
    <t>99671</t>
  </si>
  <si>
    <t>99675</t>
  </si>
  <si>
    <t>99676</t>
  </si>
  <si>
    <t>99677</t>
  </si>
  <si>
    <t>MAC828YM1</t>
  </si>
  <si>
    <t>Dyna Flo 8-2-8YM1</t>
  </si>
  <si>
    <t>99678</t>
  </si>
  <si>
    <t>99688</t>
  </si>
  <si>
    <t>99689</t>
  </si>
  <si>
    <t>99690</t>
  </si>
  <si>
    <t>TURKEYCREEK</t>
  </si>
  <si>
    <t>99695</t>
  </si>
  <si>
    <t>99696</t>
  </si>
  <si>
    <t>99699</t>
  </si>
  <si>
    <t>99700</t>
  </si>
  <si>
    <t>99701</t>
  </si>
  <si>
    <t>99704</t>
  </si>
  <si>
    <t>99710</t>
  </si>
  <si>
    <t>99712</t>
  </si>
  <si>
    <t>99713</t>
  </si>
  <si>
    <t>99714</t>
  </si>
  <si>
    <t>99716</t>
  </si>
  <si>
    <t>99718</t>
  </si>
  <si>
    <t>99720</t>
  </si>
  <si>
    <t>99721</t>
  </si>
  <si>
    <t>99730</t>
  </si>
  <si>
    <t>99734</t>
  </si>
  <si>
    <t>99735</t>
  </si>
  <si>
    <t>99736</t>
  </si>
  <si>
    <t>99737</t>
  </si>
  <si>
    <t>99738</t>
  </si>
  <si>
    <t>99739</t>
  </si>
  <si>
    <t>99746</t>
  </si>
  <si>
    <t>99747</t>
  </si>
  <si>
    <t>99748</t>
  </si>
  <si>
    <t>99749</t>
  </si>
  <si>
    <t>99750</t>
  </si>
  <si>
    <t>99751</t>
  </si>
  <si>
    <t>99460</t>
  </si>
  <si>
    <t>99461</t>
  </si>
  <si>
    <t>99483</t>
  </si>
  <si>
    <t>99538</t>
  </si>
  <si>
    <t>99609</t>
  </si>
  <si>
    <t>99609A</t>
  </si>
  <si>
    <t>99626</t>
  </si>
  <si>
    <t>99663</t>
  </si>
  <si>
    <t>99666</t>
  </si>
  <si>
    <t>99512</t>
  </si>
  <si>
    <t>99515</t>
  </si>
  <si>
    <t>99522</t>
  </si>
  <si>
    <t>99523</t>
  </si>
  <si>
    <t>99548</t>
  </si>
  <si>
    <t>99549</t>
  </si>
  <si>
    <t>99550</t>
  </si>
  <si>
    <t>99596</t>
  </si>
  <si>
    <t>99620</t>
  </si>
  <si>
    <t>ROBINSONFARMS</t>
  </si>
  <si>
    <t>99627</t>
  </si>
  <si>
    <t>MOULTRIE</t>
  </si>
  <si>
    <t>99635A</t>
  </si>
  <si>
    <t>99641A</t>
  </si>
  <si>
    <t>99642A</t>
  </si>
  <si>
    <t>99653A</t>
  </si>
  <si>
    <t>FLO1500702</t>
  </si>
  <si>
    <t>Dyna Flo 15-0-0 7Ca</t>
  </si>
  <si>
    <t>99691</t>
  </si>
  <si>
    <t>99707</t>
  </si>
  <si>
    <t>99708</t>
  </si>
  <si>
    <t>99709</t>
  </si>
  <si>
    <t>99497</t>
  </si>
  <si>
    <t>99498</t>
  </si>
  <si>
    <t>99508A</t>
  </si>
  <si>
    <t>99513</t>
  </si>
  <si>
    <t>99514</t>
  </si>
  <si>
    <t>99546</t>
  </si>
  <si>
    <t>99567</t>
  </si>
  <si>
    <t>99597</t>
  </si>
  <si>
    <t>99624</t>
  </si>
  <si>
    <t>99651</t>
  </si>
  <si>
    <t>99652</t>
  </si>
  <si>
    <t>99468</t>
  </si>
  <si>
    <t>99506</t>
  </si>
  <si>
    <t>99537</t>
  </si>
  <si>
    <t>99554</t>
  </si>
  <si>
    <t>99560</t>
  </si>
  <si>
    <t>99561</t>
  </si>
  <si>
    <t>MEHERRIN/KINGST</t>
  </si>
  <si>
    <t>99562</t>
  </si>
  <si>
    <t>99575A</t>
  </si>
  <si>
    <t>99577</t>
  </si>
  <si>
    <t>FLOFASST250</t>
  </si>
  <si>
    <t>FLOFASST55</t>
  </si>
  <si>
    <t>GPHUMIC55</t>
  </si>
  <si>
    <t>99578</t>
  </si>
  <si>
    <t>GOLDBOR1055</t>
  </si>
  <si>
    <t>99584</t>
  </si>
  <si>
    <t>99590</t>
  </si>
  <si>
    <t>99591</t>
  </si>
  <si>
    <t>ZONN3030</t>
  </si>
  <si>
    <t>KNOLLWOOD</t>
  </si>
  <si>
    <t>99594</t>
  </si>
  <si>
    <t>GOLD191428902</t>
  </si>
  <si>
    <t>Recover-It</t>
  </si>
  <si>
    <t>GAL10.72</t>
  </si>
  <si>
    <t>99622</t>
  </si>
  <si>
    <t>99623</t>
  </si>
  <si>
    <t>UAP/ORANGEBURG</t>
  </si>
  <si>
    <t>99636</t>
  </si>
  <si>
    <t>99638</t>
  </si>
  <si>
    <t>99664</t>
  </si>
  <si>
    <t>99665</t>
  </si>
  <si>
    <t>99674</t>
  </si>
  <si>
    <t>HOPEVALLEY</t>
  </si>
  <si>
    <t>99679</t>
  </si>
  <si>
    <t>FLOMN1002</t>
  </si>
  <si>
    <t>99693</t>
  </si>
  <si>
    <t>99723</t>
  </si>
  <si>
    <t>Vented Dyna Flo Humic 18%</t>
  </si>
  <si>
    <t>99724</t>
  </si>
  <si>
    <t>99682</t>
  </si>
  <si>
    <t>99443</t>
  </si>
  <si>
    <t>99484</t>
  </si>
  <si>
    <t>99500</t>
  </si>
  <si>
    <t>MAC3200</t>
  </si>
  <si>
    <t>WHITEHERON</t>
  </si>
  <si>
    <t>99531</t>
  </si>
  <si>
    <t>99532</t>
  </si>
  <si>
    <t>99533</t>
  </si>
  <si>
    <t>99536</t>
  </si>
  <si>
    <t>99540</t>
  </si>
  <si>
    <t>99574</t>
  </si>
  <si>
    <t>99579</t>
  </si>
  <si>
    <t>99612</t>
  </si>
  <si>
    <t>99613</t>
  </si>
  <si>
    <t>99614</t>
  </si>
  <si>
    <t>99615</t>
  </si>
  <si>
    <t>99616</t>
  </si>
  <si>
    <t>MIAKKAGC</t>
  </si>
  <si>
    <t>99617</t>
  </si>
  <si>
    <t>99683</t>
  </si>
  <si>
    <t>CEIABIO02</t>
  </si>
  <si>
    <t>Ceia Bio Push</t>
  </si>
  <si>
    <t>99684</t>
  </si>
  <si>
    <t>99685</t>
  </si>
  <si>
    <t>MLK</t>
  </si>
  <si>
    <t>99703</t>
  </si>
  <si>
    <t>99726</t>
  </si>
  <si>
    <t>99740</t>
  </si>
  <si>
    <t>WILLOWLAKES</t>
  </si>
  <si>
    <t>99742</t>
  </si>
  <si>
    <t>99744</t>
  </si>
  <si>
    <t>99761</t>
  </si>
  <si>
    <t>99762</t>
  </si>
  <si>
    <t>99794</t>
  </si>
  <si>
    <t>99871</t>
  </si>
  <si>
    <t>99884</t>
  </si>
  <si>
    <t>99890</t>
  </si>
  <si>
    <t>99907</t>
  </si>
  <si>
    <t>99956</t>
  </si>
  <si>
    <t>99983</t>
  </si>
  <si>
    <t>99985</t>
  </si>
  <si>
    <t>99994</t>
  </si>
  <si>
    <t>00857</t>
  </si>
  <si>
    <t>99767</t>
  </si>
  <si>
    <t>99783</t>
  </si>
  <si>
    <t>99786</t>
  </si>
  <si>
    <t>CARSONDAVID</t>
  </si>
  <si>
    <t>99815</t>
  </si>
  <si>
    <t>99822</t>
  </si>
  <si>
    <t>99846</t>
  </si>
  <si>
    <t>99859</t>
  </si>
  <si>
    <t>99908</t>
  </si>
  <si>
    <t>99931</t>
  </si>
  <si>
    <t>99986</t>
  </si>
  <si>
    <t>99987</t>
  </si>
  <si>
    <t>00897</t>
  </si>
  <si>
    <t>01114A</t>
  </si>
  <si>
    <t>01182</t>
  </si>
  <si>
    <t>99691A</t>
  </si>
  <si>
    <t>99759</t>
  </si>
  <si>
    <t>99777</t>
  </si>
  <si>
    <t>99778</t>
  </si>
  <si>
    <t>99779</t>
  </si>
  <si>
    <t>99781</t>
  </si>
  <si>
    <t>99788</t>
  </si>
  <si>
    <t>99789</t>
  </si>
  <si>
    <t>99791</t>
  </si>
  <si>
    <t>99798</t>
  </si>
  <si>
    <t>99799</t>
  </si>
  <si>
    <t>99820</t>
  </si>
  <si>
    <t>99821</t>
  </si>
  <si>
    <t>99824</t>
  </si>
  <si>
    <t>99829</t>
  </si>
  <si>
    <t>99839</t>
  </si>
  <si>
    <t>99845</t>
  </si>
  <si>
    <t>99853</t>
  </si>
  <si>
    <t>99857</t>
  </si>
  <si>
    <t>99858</t>
  </si>
  <si>
    <t>99879</t>
  </si>
  <si>
    <t>99882</t>
  </si>
  <si>
    <t>99901</t>
  </si>
  <si>
    <t>99932</t>
  </si>
  <si>
    <t>99936</t>
  </si>
  <si>
    <t>99945</t>
  </si>
  <si>
    <t>99946</t>
  </si>
  <si>
    <t>99965</t>
  </si>
  <si>
    <t>99967</t>
  </si>
  <si>
    <t>99974</t>
  </si>
  <si>
    <t>99990</t>
  </si>
  <si>
    <t>99991</t>
  </si>
  <si>
    <t>99992</t>
  </si>
  <si>
    <t>99995</t>
  </si>
  <si>
    <t>99998</t>
  </si>
  <si>
    <t>00449</t>
  </si>
  <si>
    <t>00629</t>
  </si>
  <si>
    <t>00705</t>
  </si>
  <si>
    <t>00708</t>
  </si>
  <si>
    <t>DAD WELDON RD</t>
  </si>
  <si>
    <t>00802</t>
  </si>
  <si>
    <t>00896</t>
  </si>
  <si>
    <t>00917</t>
  </si>
  <si>
    <t>00923</t>
  </si>
  <si>
    <t>01188</t>
  </si>
  <si>
    <t>01406</t>
  </si>
  <si>
    <t>01440</t>
  </si>
  <si>
    <t>01447</t>
  </si>
  <si>
    <t>01777</t>
  </si>
  <si>
    <t>02133</t>
  </si>
  <si>
    <t>MAC727YM2M</t>
  </si>
  <si>
    <t>Dyna Flo 7-2-7YM2M w/Merge</t>
  </si>
  <si>
    <t>02134</t>
  </si>
  <si>
    <t>02136</t>
  </si>
  <si>
    <t>02137</t>
  </si>
  <si>
    <t>02198</t>
  </si>
  <si>
    <t>02282</t>
  </si>
  <si>
    <t>FLO301130</t>
  </si>
  <si>
    <t>02311</t>
  </si>
  <si>
    <t>02358</t>
  </si>
  <si>
    <t>02446</t>
  </si>
  <si>
    <t>98593A</t>
  </si>
  <si>
    <t>98814A</t>
  </si>
  <si>
    <t>99283A</t>
  </si>
  <si>
    <t>99756</t>
  </si>
  <si>
    <t>99757</t>
  </si>
  <si>
    <t>99758</t>
  </si>
  <si>
    <t>99764</t>
  </si>
  <si>
    <t>99765</t>
  </si>
  <si>
    <t>99766</t>
  </si>
  <si>
    <t>99768</t>
  </si>
  <si>
    <t>99770</t>
  </si>
  <si>
    <t>99771</t>
  </si>
  <si>
    <t>99772</t>
  </si>
  <si>
    <t>99780</t>
  </si>
  <si>
    <t>99784</t>
  </si>
  <si>
    <t>99785</t>
  </si>
  <si>
    <t>99795</t>
  </si>
  <si>
    <t>99796</t>
  </si>
  <si>
    <t>99797</t>
  </si>
  <si>
    <t>99800</t>
  </si>
  <si>
    <t>99801</t>
  </si>
  <si>
    <t>99802</t>
  </si>
  <si>
    <t>99811</t>
  </si>
  <si>
    <t>99812</t>
  </si>
  <si>
    <t>99819</t>
  </si>
  <si>
    <t>99830</t>
  </si>
  <si>
    <t>99831</t>
  </si>
  <si>
    <t>99832</t>
  </si>
  <si>
    <t>99833</t>
  </si>
  <si>
    <t>99835</t>
  </si>
  <si>
    <t>99836</t>
  </si>
  <si>
    <t>99841</t>
  </si>
  <si>
    <t>99843</t>
  </si>
  <si>
    <t>99844</t>
  </si>
  <si>
    <t>99847</t>
  </si>
  <si>
    <t>99848</t>
  </si>
  <si>
    <t>99854</t>
  </si>
  <si>
    <t>99855</t>
  </si>
  <si>
    <t>99856</t>
  </si>
  <si>
    <t>99864</t>
  </si>
  <si>
    <t>99867</t>
  </si>
  <si>
    <t>99870</t>
  </si>
  <si>
    <t>99873</t>
  </si>
  <si>
    <t>99874</t>
  </si>
  <si>
    <t>99875</t>
  </si>
  <si>
    <t>99876</t>
  </si>
  <si>
    <t>99878</t>
  </si>
  <si>
    <t>99880</t>
  </si>
  <si>
    <t>99881</t>
  </si>
  <si>
    <t>99885</t>
  </si>
  <si>
    <t>99886</t>
  </si>
  <si>
    <t>99887</t>
  </si>
  <si>
    <t>99888</t>
  </si>
  <si>
    <t>99889</t>
  </si>
  <si>
    <t>99891</t>
  </si>
  <si>
    <t>99892</t>
  </si>
  <si>
    <t>99893</t>
  </si>
  <si>
    <t>99894</t>
  </si>
  <si>
    <t>99898</t>
  </si>
  <si>
    <t>99899</t>
  </si>
  <si>
    <t>99903</t>
  </si>
  <si>
    <t>99904</t>
  </si>
  <si>
    <t>99905</t>
  </si>
  <si>
    <t>99906</t>
  </si>
  <si>
    <t>99911</t>
  </si>
  <si>
    <t>SOUTH MCINTOSH</t>
  </si>
  <si>
    <t>99912</t>
  </si>
  <si>
    <t>99914</t>
  </si>
  <si>
    <t>99916</t>
  </si>
  <si>
    <t>99917</t>
  </si>
  <si>
    <t>99918</t>
  </si>
  <si>
    <t>99922</t>
  </si>
  <si>
    <t>99923</t>
  </si>
  <si>
    <t>99924</t>
  </si>
  <si>
    <t>99925</t>
  </si>
  <si>
    <t>99926</t>
  </si>
  <si>
    <t>99928</t>
  </si>
  <si>
    <t>99929</t>
  </si>
  <si>
    <t>99933</t>
  </si>
  <si>
    <t>99934</t>
  </si>
  <si>
    <t>99935</t>
  </si>
  <si>
    <t>99940</t>
  </si>
  <si>
    <t>99941</t>
  </si>
  <si>
    <t>99942</t>
  </si>
  <si>
    <t>99943</t>
  </si>
  <si>
    <t>99948</t>
  </si>
  <si>
    <t>99949</t>
  </si>
  <si>
    <t>99952</t>
  </si>
  <si>
    <t>99954</t>
  </si>
  <si>
    <t>99958</t>
  </si>
  <si>
    <t>99959</t>
  </si>
  <si>
    <t>99960</t>
  </si>
  <si>
    <t>99961</t>
  </si>
  <si>
    <t>99962</t>
  </si>
  <si>
    <t>99964</t>
  </si>
  <si>
    <t>99968</t>
  </si>
  <si>
    <t>99969</t>
  </si>
  <si>
    <t>99970</t>
  </si>
  <si>
    <t>99971</t>
  </si>
  <si>
    <t>99972</t>
  </si>
  <si>
    <t>99975</t>
  </si>
  <si>
    <t>99976</t>
  </si>
  <si>
    <t>99977</t>
  </si>
  <si>
    <t>99978</t>
  </si>
  <si>
    <t>99981</t>
  </si>
  <si>
    <t>99982</t>
  </si>
  <si>
    <t>99984</t>
  </si>
  <si>
    <t>99996</t>
  </si>
  <si>
    <t>99997</t>
  </si>
  <si>
    <t>99999</t>
  </si>
  <si>
    <t>02232</t>
  </si>
  <si>
    <t>99803</t>
  </si>
  <si>
    <t>99804</t>
  </si>
  <si>
    <t>99805</t>
  </si>
  <si>
    <t>99850</t>
  </si>
  <si>
    <t>99860</t>
  </si>
  <si>
    <t>GROMG6330</t>
  </si>
  <si>
    <t>99927</t>
  </si>
  <si>
    <t>99966</t>
  </si>
  <si>
    <t>99754</t>
  </si>
  <si>
    <t>99776</t>
  </si>
  <si>
    <t>99823</t>
  </si>
  <si>
    <t>99877</t>
  </si>
  <si>
    <t>99910</t>
  </si>
  <si>
    <t>99921</t>
  </si>
  <si>
    <t>99938</t>
  </si>
  <si>
    <t>99973</t>
  </si>
  <si>
    <t>99980</t>
  </si>
  <si>
    <t>99763</t>
  </si>
  <si>
    <t>99816</t>
  </si>
  <si>
    <t>99817</t>
  </si>
  <si>
    <t>99825</t>
  </si>
  <si>
    <t>99834</t>
  </si>
  <si>
    <t>99861</t>
  </si>
  <si>
    <t>99862</t>
  </si>
  <si>
    <t>99863</t>
  </si>
  <si>
    <t>99902</t>
  </si>
  <si>
    <t>99919</t>
  </si>
  <si>
    <t>99957</t>
  </si>
  <si>
    <t>99989</t>
  </si>
  <si>
    <t>01637</t>
  </si>
  <si>
    <t>01798</t>
  </si>
  <si>
    <t>02035</t>
  </si>
  <si>
    <t>99755A</t>
  </si>
  <si>
    <t>JEFFERSONLAND</t>
  </si>
  <si>
    <t>99773</t>
  </si>
  <si>
    <t>GAL11.25</t>
  </si>
  <si>
    <t>SALISBURY</t>
  </si>
  <si>
    <t>99774</t>
  </si>
  <si>
    <t>99775</t>
  </si>
  <si>
    <t>99787</t>
  </si>
  <si>
    <t>99793</t>
  </si>
  <si>
    <t>99810</t>
  </si>
  <si>
    <t>99827</t>
  </si>
  <si>
    <t>99851</t>
  </si>
  <si>
    <t>99852</t>
  </si>
  <si>
    <t>99872</t>
  </si>
  <si>
    <t>99879A</t>
  </si>
  <si>
    <t>99897</t>
  </si>
  <si>
    <t>99909</t>
  </si>
  <si>
    <t>99930</t>
  </si>
  <si>
    <t>99939</t>
  </si>
  <si>
    <t>99944</t>
  </si>
  <si>
    <t>99950</t>
  </si>
  <si>
    <t>GREENPOINTCORDE</t>
  </si>
  <si>
    <t>99955</t>
  </si>
  <si>
    <t>GREENPOINT-SELM</t>
  </si>
  <si>
    <t>99993</t>
  </si>
  <si>
    <t>SOUTHINTEGRITY</t>
  </si>
  <si>
    <t>ZACKSFLYINGSER</t>
  </si>
  <si>
    <t>02131</t>
  </si>
  <si>
    <t>FLOHUMOL250</t>
  </si>
  <si>
    <t>Dyna Flo Humic Molasses</t>
  </si>
  <si>
    <t>GOLDZN250</t>
  </si>
  <si>
    <t>99809</t>
  </si>
  <si>
    <t>99809A</t>
  </si>
  <si>
    <t>00450</t>
  </si>
  <si>
    <t>00898</t>
  </si>
  <si>
    <t>01273</t>
  </si>
  <si>
    <t>99753</t>
  </si>
  <si>
    <t>99782</t>
  </si>
  <si>
    <t>99790</t>
  </si>
  <si>
    <t>99813</t>
  </si>
  <si>
    <t>99826</t>
  </si>
  <si>
    <t>99883</t>
  </si>
  <si>
    <t>99900</t>
  </si>
  <si>
    <t>FLOATS30</t>
  </si>
  <si>
    <t>99915</t>
  </si>
  <si>
    <t>99937A</t>
  </si>
  <si>
    <t>99947</t>
  </si>
  <si>
    <t>99979</t>
  </si>
  <si>
    <t>03517</t>
  </si>
  <si>
    <t>04829</t>
  </si>
  <si>
    <t>09695</t>
  </si>
  <si>
    <t>100000023</t>
  </si>
  <si>
    <t>100000091</t>
  </si>
  <si>
    <t>03937</t>
  </si>
  <si>
    <t>04552</t>
  </si>
  <si>
    <t>04663</t>
  </si>
  <si>
    <t>05782</t>
  </si>
  <si>
    <t>08535</t>
  </si>
  <si>
    <t>100000036</t>
  </si>
  <si>
    <t>100000037</t>
  </si>
  <si>
    <t>GULFCOAST</t>
  </si>
  <si>
    <t>100000081A</t>
  </si>
  <si>
    <t>100000082</t>
  </si>
  <si>
    <t>11426</t>
  </si>
  <si>
    <t>11912</t>
  </si>
  <si>
    <t>12651</t>
  </si>
  <si>
    <t>Xtreme Brix</t>
  </si>
  <si>
    <t>03164</t>
  </si>
  <si>
    <t>03363</t>
  </si>
  <si>
    <t>03383</t>
  </si>
  <si>
    <t>05165</t>
  </si>
  <si>
    <t>05314</t>
  </si>
  <si>
    <t>06256</t>
  </si>
  <si>
    <t>06409</t>
  </si>
  <si>
    <t>07188</t>
  </si>
  <si>
    <t>08146</t>
  </si>
  <si>
    <t>GOLDMZ05</t>
  </si>
  <si>
    <t>09336</t>
  </si>
  <si>
    <t>09589</t>
  </si>
  <si>
    <t>100000005</t>
  </si>
  <si>
    <t>100000006</t>
  </si>
  <si>
    <t>100000016</t>
  </si>
  <si>
    <t>100000020</t>
  </si>
  <si>
    <t>100000039</t>
  </si>
  <si>
    <t>100000051</t>
  </si>
  <si>
    <t>100000070</t>
  </si>
  <si>
    <t>100000071</t>
  </si>
  <si>
    <t>100000073</t>
  </si>
  <si>
    <t>100000084</t>
  </si>
  <si>
    <t>PUNTAGORDA</t>
  </si>
  <si>
    <t>100000090</t>
  </si>
  <si>
    <t>100000092</t>
  </si>
  <si>
    <t>12029</t>
  </si>
  <si>
    <t>02902</t>
  </si>
  <si>
    <t>03020</t>
  </si>
  <si>
    <t>03045</t>
  </si>
  <si>
    <t>03205</t>
  </si>
  <si>
    <t>SORCA30</t>
  </si>
  <si>
    <t>03225</t>
  </si>
  <si>
    <t>03229A</t>
  </si>
  <si>
    <t>03367</t>
  </si>
  <si>
    <t>03374</t>
  </si>
  <si>
    <t>03446</t>
  </si>
  <si>
    <t>03453</t>
  </si>
  <si>
    <t>03516</t>
  </si>
  <si>
    <t>03561</t>
  </si>
  <si>
    <t>03593</t>
  </si>
  <si>
    <t>03617</t>
  </si>
  <si>
    <t>03985</t>
  </si>
  <si>
    <t>03999</t>
  </si>
  <si>
    <t>04744</t>
  </si>
  <si>
    <t>05369</t>
  </si>
  <si>
    <t>05431</t>
  </si>
  <si>
    <t>05440</t>
  </si>
  <si>
    <t>05452</t>
  </si>
  <si>
    <t>05496</t>
  </si>
  <si>
    <t>05974</t>
  </si>
  <si>
    <t>06031</t>
  </si>
  <si>
    <t>06048</t>
  </si>
  <si>
    <t>06056</t>
  </si>
  <si>
    <t>06058</t>
  </si>
  <si>
    <t>06111</t>
  </si>
  <si>
    <t>06437</t>
  </si>
  <si>
    <t>06454</t>
  </si>
  <si>
    <t>07193</t>
  </si>
  <si>
    <t>07246</t>
  </si>
  <si>
    <t>07325</t>
  </si>
  <si>
    <t>07644</t>
  </si>
  <si>
    <t>07820</t>
  </si>
  <si>
    <t>07830</t>
  </si>
  <si>
    <t>08134</t>
  </si>
  <si>
    <t>08440</t>
  </si>
  <si>
    <t>08621</t>
  </si>
  <si>
    <t>WILLIAMSTIM</t>
  </si>
  <si>
    <t>09165</t>
  </si>
  <si>
    <t>09272</t>
  </si>
  <si>
    <t>09414</t>
  </si>
  <si>
    <t>09419</t>
  </si>
  <si>
    <t>09535</t>
  </si>
  <si>
    <t>09640</t>
  </si>
  <si>
    <t>100000003</t>
  </si>
  <si>
    <t>100000007</t>
  </si>
  <si>
    <t>100000008</t>
  </si>
  <si>
    <t>100000014</t>
  </si>
  <si>
    <t>100000017</t>
  </si>
  <si>
    <t>100000018</t>
  </si>
  <si>
    <t>100000019</t>
  </si>
  <si>
    <t>100000024</t>
  </si>
  <si>
    <t>100000025</t>
  </si>
  <si>
    <t>100000028</t>
  </si>
  <si>
    <t>100000030</t>
  </si>
  <si>
    <t>100000031</t>
  </si>
  <si>
    <t>100000032</t>
  </si>
  <si>
    <t>100000033</t>
  </si>
  <si>
    <t>100000034</t>
  </si>
  <si>
    <t>100000038</t>
  </si>
  <si>
    <t>100000040</t>
  </si>
  <si>
    <t>100000041</t>
  </si>
  <si>
    <t>100000042</t>
  </si>
  <si>
    <t>100000043</t>
  </si>
  <si>
    <t>100000045</t>
  </si>
  <si>
    <t>100000046</t>
  </si>
  <si>
    <t>100000047</t>
  </si>
  <si>
    <t>MAC609YB4</t>
  </si>
  <si>
    <t>Dyna Flo 6-0-9YB4</t>
  </si>
  <si>
    <t>100000049</t>
  </si>
  <si>
    <t>100000050</t>
  </si>
  <si>
    <t>100000052</t>
  </si>
  <si>
    <t>100000053</t>
  </si>
  <si>
    <t>100000055</t>
  </si>
  <si>
    <t>100000056</t>
  </si>
  <si>
    <t>100000058</t>
  </si>
  <si>
    <t>100000059</t>
  </si>
  <si>
    <t>100000060</t>
  </si>
  <si>
    <t>100000062</t>
  </si>
  <si>
    <t>100000074</t>
  </si>
  <si>
    <t>100000076</t>
  </si>
  <si>
    <t>MAC5010YB</t>
  </si>
  <si>
    <t>Dyna Flo 5-0-10YB</t>
  </si>
  <si>
    <t>100000077</t>
  </si>
  <si>
    <t>100000078</t>
  </si>
  <si>
    <t>100000079</t>
  </si>
  <si>
    <t>100000080</t>
  </si>
  <si>
    <t>MAC634XH</t>
  </si>
  <si>
    <t>Dyna Flo 6-3-4XH</t>
  </si>
  <si>
    <t>100000089</t>
  </si>
  <si>
    <t>100000096</t>
  </si>
  <si>
    <t>10023</t>
  </si>
  <si>
    <t>10029</t>
  </si>
  <si>
    <t>10133</t>
  </si>
  <si>
    <t>10278</t>
  </si>
  <si>
    <t>10955</t>
  </si>
  <si>
    <t>10963</t>
  </si>
  <si>
    <t>11034</t>
  </si>
  <si>
    <t>11039</t>
  </si>
  <si>
    <t>11061</t>
  </si>
  <si>
    <t>11199</t>
  </si>
  <si>
    <t>11329</t>
  </si>
  <si>
    <t>11357</t>
  </si>
  <si>
    <t>11505</t>
  </si>
  <si>
    <t>11531</t>
  </si>
  <si>
    <t>11555</t>
  </si>
  <si>
    <t>12017</t>
  </si>
  <si>
    <t>12044</t>
  </si>
  <si>
    <t>12228</t>
  </si>
  <si>
    <t>12427</t>
  </si>
  <si>
    <t>12471</t>
  </si>
  <si>
    <t>12472</t>
  </si>
  <si>
    <t>12586</t>
  </si>
  <si>
    <t>12695</t>
  </si>
  <si>
    <t>04624</t>
  </si>
  <si>
    <t>GOLDCAMG02</t>
  </si>
  <si>
    <t>Dyna Gold Calcium-Magnesium</t>
  </si>
  <si>
    <t>GAL11.41</t>
  </si>
  <si>
    <t>09592</t>
  </si>
  <si>
    <t>BOLTON</t>
  </si>
  <si>
    <t>100000085</t>
  </si>
  <si>
    <t>Pro-B 10</t>
  </si>
  <si>
    <t>03965</t>
  </si>
  <si>
    <t>03981</t>
  </si>
  <si>
    <t>03982</t>
  </si>
  <si>
    <t>07679</t>
  </si>
  <si>
    <t>08201</t>
  </si>
  <si>
    <t>08321</t>
  </si>
  <si>
    <t>100000001</t>
  </si>
  <si>
    <t>100000002</t>
  </si>
  <si>
    <t>100000057</t>
  </si>
  <si>
    <t>11056</t>
  </si>
  <si>
    <t>02738</t>
  </si>
  <si>
    <t>03366</t>
  </si>
  <si>
    <t>05497</t>
  </si>
  <si>
    <t>08044</t>
  </si>
  <si>
    <t>08140</t>
  </si>
  <si>
    <t>100000068</t>
  </si>
  <si>
    <t>JIMMYSANDERS/GE</t>
  </si>
  <si>
    <t>05021</t>
  </si>
  <si>
    <t>05061</t>
  </si>
  <si>
    <t>07344</t>
  </si>
  <si>
    <t>08436</t>
  </si>
  <si>
    <t>09859</t>
  </si>
  <si>
    <t>Dyna Flo Humic 18%</t>
  </si>
  <si>
    <t>09961</t>
  </si>
  <si>
    <t>100000022</t>
  </si>
  <si>
    <t>100000026</t>
  </si>
  <si>
    <t>100000035</t>
  </si>
  <si>
    <t>100000044</t>
  </si>
  <si>
    <t>100000061</t>
  </si>
  <si>
    <t>100000072</t>
  </si>
  <si>
    <t>100000083</t>
  </si>
  <si>
    <t>12591</t>
  </si>
  <si>
    <t>ROSEDALE</t>
  </si>
  <si>
    <t>04176</t>
  </si>
  <si>
    <t>CENTFLPEST</t>
  </si>
  <si>
    <t>04454</t>
  </si>
  <si>
    <t>MAC1608</t>
  </si>
  <si>
    <t>Dyna Flo 16-0-8</t>
  </si>
  <si>
    <t>07691</t>
  </si>
  <si>
    <t>GVCAL02</t>
  </si>
  <si>
    <t>Cal Complex</t>
  </si>
  <si>
    <t>GAL10.32</t>
  </si>
  <si>
    <t>GPGRC02</t>
  </si>
  <si>
    <t>N30</t>
  </si>
  <si>
    <t>08537</t>
  </si>
  <si>
    <t>CEDARHAMMOCK</t>
  </si>
  <si>
    <t>08545</t>
  </si>
  <si>
    <t>GV12006250</t>
  </si>
  <si>
    <t>09107</t>
  </si>
  <si>
    <t>Ceia Soil Builder CEC+</t>
  </si>
  <si>
    <t>09968</t>
  </si>
  <si>
    <t>100000013</t>
  </si>
  <si>
    <t>100000015</t>
  </si>
  <si>
    <t>Cal Complete</t>
  </si>
  <si>
    <t>100000027</t>
  </si>
  <si>
    <t>100000054</t>
  </si>
  <si>
    <t>NEWSPRINGLAKE</t>
  </si>
  <si>
    <t>100000063</t>
  </si>
  <si>
    <t>100000064</t>
  </si>
  <si>
    <t>100000065</t>
  </si>
  <si>
    <t>100000066</t>
  </si>
  <si>
    <t>100000067</t>
  </si>
  <si>
    <t>MAC2800XJ</t>
  </si>
  <si>
    <t>Dyna Flo 28-0-0 XJ</t>
  </si>
  <si>
    <t>100000086</t>
  </si>
  <si>
    <t>CEIAPTO02</t>
  </si>
  <si>
    <t>Ceia PTO Palm, Tropical and Ornamental</t>
  </si>
  <si>
    <t>GAL10.03</t>
  </si>
  <si>
    <t>100000087</t>
  </si>
  <si>
    <t>GVGR8THIO02</t>
  </si>
  <si>
    <t>100000088</t>
  </si>
  <si>
    <t>100000098</t>
  </si>
  <si>
    <t>100000110</t>
  </si>
  <si>
    <t>GLEN EAGLES C.C</t>
  </si>
  <si>
    <t>100000115</t>
  </si>
  <si>
    <t>100000116</t>
  </si>
  <si>
    <t>100000164</t>
  </si>
  <si>
    <t>Excel</t>
  </si>
  <si>
    <t>100000199</t>
  </si>
  <si>
    <t>100000228</t>
  </si>
  <si>
    <t>100000229</t>
  </si>
  <si>
    <t>100000123</t>
  </si>
  <si>
    <t>100000144</t>
  </si>
  <si>
    <t>100000147</t>
  </si>
  <si>
    <t>100000160</t>
  </si>
  <si>
    <t>100000161</t>
  </si>
  <si>
    <t>100000163</t>
  </si>
  <si>
    <t>100000189</t>
  </si>
  <si>
    <t>100000215</t>
  </si>
  <si>
    <t>100000217</t>
  </si>
  <si>
    <t>PETROCAN</t>
  </si>
  <si>
    <t>UAP-FT. PIERCE</t>
  </si>
  <si>
    <t>100000221</t>
  </si>
  <si>
    <t>100000227</t>
  </si>
  <si>
    <t>100000243</t>
  </si>
  <si>
    <t>100000129</t>
  </si>
  <si>
    <t>100000138</t>
  </si>
  <si>
    <t>MAC707G</t>
  </si>
  <si>
    <t>Dyna Flo 7-0-7G</t>
  </si>
  <si>
    <t>100000149A</t>
  </si>
  <si>
    <t>Soar Citrus Mix / Soar Pecan</t>
  </si>
  <si>
    <t>100000153</t>
  </si>
  <si>
    <t>100000166</t>
  </si>
  <si>
    <t>100000167</t>
  </si>
  <si>
    <t>100000170</t>
  </si>
  <si>
    <t>100000179</t>
  </si>
  <si>
    <t>GOLDMZF05</t>
  </si>
  <si>
    <t>100000182</t>
  </si>
  <si>
    <t>100000183</t>
  </si>
  <si>
    <t>100000196</t>
  </si>
  <si>
    <t>100000201</t>
  </si>
  <si>
    <t>100000213</t>
  </si>
  <si>
    <t>100000214</t>
  </si>
  <si>
    <t>100000234</t>
  </si>
  <si>
    <t>100000252</t>
  </si>
  <si>
    <t>100000103</t>
  </si>
  <si>
    <t>100000104</t>
  </si>
  <si>
    <t>100000105</t>
  </si>
  <si>
    <t>100000109</t>
  </si>
  <si>
    <t>100000112</t>
  </si>
  <si>
    <t>YANCEYROYCE</t>
  </si>
  <si>
    <t>100000113</t>
  </si>
  <si>
    <t>100000114</t>
  </si>
  <si>
    <t>100000124</t>
  </si>
  <si>
    <t>100000141</t>
  </si>
  <si>
    <t>100000143</t>
  </si>
  <si>
    <t>100000155</t>
  </si>
  <si>
    <t>100000156</t>
  </si>
  <si>
    <t>100000178</t>
  </si>
  <si>
    <t>100000197</t>
  </si>
  <si>
    <t>100000202</t>
  </si>
  <si>
    <t>100000212</t>
  </si>
  <si>
    <t>100000232</t>
  </si>
  <si>
    <t>GONZALEZED</t>
  </si>
  <si>
    <t>100000233</t>
  </si>
  <si>
    <t>100000111</t>
  </si>
  <si>
    <t>FLO1236+02</t>
  </si>
  <si>
    <t>Vented Dyna Flo 12-3-6 Plus</t>
  </si>
  <si>
    <t>100000136</t>
  </si>
  <si>
    <t>100000194</t>
  </si>
  <si>
    <t>GRE06868102</t>
  </si>
  <si>
    <t>Hi Manganese Iron Combo #068681</t>
  </si>
  <si>
    <t>100000195</t>
  </si>
  <si>
    <t>YAZOOCITY</t>
  </si>
  <si>
    <t>100000119</t>
  </si>
  <si>
    <t>100000125</t>
  </si>
  <si>
    <t>100000142</t>
  </si>
  <si>
    <t>100000148</t>
  </si>
  <si>
    <t>100000204</t>
  </si>
  <si>
    <t>100000211</t>
  </si>
  <si>
    <t>CEIASOILMAX02</t>
  </si>
  <si>
    <t>Ceia Soil Builder Max</t>
  </si>
  <si>
    <t>GAL09.83</t>
  </si>
  <si>
    <t>SOARPEA02</t>
  </si>
  <si>
    <t>Soar Peanut</t>
  </si>
  <si>
    <t>GAL10.60</t>
  </si>
  <si>
    <t>CHAMPIONCHEM</t>
  </si>
  <si>
    <t>100000231</t>
  </si>
  <si>
    <t>10000178A</t>
  </si>
  <si>
    <t>100000118</t>
  </si>
  <si>
    <t>KELLYAG</t>
  </si>
  <si>
    <t>100000168</t>
  </si>
  <si>
    <t>100000181</t>
  </si>
  <si>
    <t>100000200A</t>
  </si>
  <si>
    <t>PAINTEDDREAMS</t>
  </si>
  <si>
    <t>100000225</t>
  </si>
  <si>
    <t>100000226</t>
  </si>
  <si>
    <t>MAC309YF</t>
  </si>
  <si>
    <t>Dyna Flo 3-0-9YF</t>
  </si>
  <si>
    <t>100000237</t>
  </si>
  <si>
    <t>100000117</t>
  </si>
  <si>
    <t>100000122</t>
  </si>
  <si>
    <t>100000140</t>
  </si>
  <si>
    <t>100000145</t>
  </si>
  <si>
    <t>100000150</t>
  </si>
  <si>
    <t>100000151</t>
  </si>
  <si>
    <t>100000159</t>
  </si>
  <si>
    <t>100000186</t>
  </si>
  <si>
    <t>100000190</t>
  </si>
  <si>
    <t>100000218</t>
  </si>
  <si>
    <t>WARRIORGOLFCLUB</t>
  </si>
  <si>
    <t>100000230</t>
  </si>
  <si>
    <t>THIRDST</t>
  </si>
  <si>
    <t>100000139</t>
  </si>
  <si>
    <t>LUXORA</t>
  </si>
  <si>
    <t>100000191</t>
  </si>
  <si>
    <t>100000240A</t>
  </si>
  <si>
    <t>100000102</t>
  </si>
  <si>
    <t>SANDPIPERPEST</t>
  </si>
  <si>
    <t>100000107</t>
  </si>
  <si>
    <t>100000108</t>
  </si>
  <si>
    <t>JRMINC</t>
  </si>
  <si>
    <t>VERANDAHCLUB</t>
  </si>
  <si>
    <t>100000126</t>
  </si>
  <si>
    <t>BRADENTONCC</t>
  </si>
  <si>
    <t>100000127</t>
  </si>
  <si>
    <t>FLOKTS00</t>
  </si>
  <si>
    <t>100000128</t>
  </si>
  <si>
    <t>100000130</t>
  </si>
  <si>
    <t>Cal-Nite 9-0-0</t>
  </si>
  <si>
    <t>100000132</t>
  </si>
  <si>
    <t>PALMETTODUNES</t>
  </si>
  <si>
    <t>100000133</t>
  </si>
  <si>
    <t>100000134</t>
  </si>
  <si>
    <t>JRM50102</t>
  </si>
  <si>
    <t>JRM Boost 5-0-1</t>
  </si>
  <si>
    <t>GAL10.93</t>
  </si>
  <si>
    <t>JRMROOT02</t>
  </si>
  <si>
    <t>JRM Root Push 3-12-1</t>
  </si>
  <si>
    <t>JRMSEA02</t>
  </si>
  <si>
    <t>JRM Sea Feed</t>
  </si>
  <si>
    <t>GAL08.77</t>
  </si>
  <si>
    <t>100000135</t>
  </si>
  <si>
    <t>GOLDPCS02</t>
  </si>
  <si>
    <t>JRM Carolina Gold</t>
  </si>
  <si>
    <t>ZON5020ACE02</t>
  </si>
  <si>
    <t>JRM Double K</t>
  </si>
  <si>
    <t>FLOFEHEAVY02</t>
  </si>
  <si>
    <t>JRM Heavy Iron</t>
  </si>
  <si>
    <t>JRM Mg Nite</t>
  </si>
  <si>
    <t>100000137</t>
  </si>
  <si>
    <t>GOLD2415857250</t>
  </si>
  <si>
    <t>Dyna Gold Nut 2415857</t>
  </si>
  <si>
    <t>GAL09.78</t>
  </si>
  <si>
    <t>100000146</t>
  </si>
  <si>
    <t>3-18-18 Liquid Foliar (GV)</t>
  </si>
  <si>
    <t>KTS 0-0-25-17S</t>
  </si>
  <si>
    <t>N30 30-0-0 60% SRN</t>
  </si>
  <si>
    <t>100000154</t>
  </si>
  <si>
    <t>100000158</t>
  </si>
  <si>
    <t>BOBBYWALL</t>
  </si>
  <si>
    <t>100000162</t>
  </si>
  <si>
    <t>Dyna Flo 5-15-1</t>
  </si>
  <si>
    <t>MORGANTON</t>
  </si>
  <si>
    <t>100000172</t>
  </si>
  <si>
    <t>JRM Triad 30</t>
  </si>
  <si>
    <t>100000185</t>
  </si>
  <si>
    <t>FLOSHRUB02</t>
  </si>
  <si>
    <t>100000187</t>
  </si>
  <si>
    <t>100000198</t>
  </si>
  <si>
    <t>JRM Ace 0-0-25</t>
  </si>
  <si>
    <t>STOREITALL</t>
  </si>
  <si>
    <t>100000216</t>
  </si>
  <si>
    <t>JRMCALAM02</t>
  </si>
  <si>
    <t>JRM Cal Amino 6-0-0 8Ca</t>
  </si>
  <si>
    <t>GAL11.09</t>
  </si>
  <si>
    <t>JRMKICK02</t>
  </si>
  <si>
    <t>JRM Kick 18-3-6 50% Slow Release</t>
  </si>
  <si>
    <t>REEMS</t>
  </si>
  <si>
    <t>100000219</t>
  </si>
  <si>
    <t>JRMKICK55</t>
  </si>
  <si>
    <t>100000220</t>
  </si>
  <si>
    <t>100000222</t>
  </si>
  <si>
    <t>FEDEXFREIGHTTER</t>
  </si>
  <si>
    <t>100000223</t>
  </si>
  <si>
    <t>100000224</t>
  </si>
  <si>
    <t>Dyna Flo 32-0-0  (straight U32)</t>
  </si>
  <si>
    <t>100000275</t>
  </si>
  <si>
    <t>100000290</t>
  </si>
  <si>
    <t>100000375</t>
  </si>
  <si>
    <t>100000244</t>
  </si>
  <si>
    <t>CASH SALES</t>
  </si>
  <si>
    <t>STEVESUTTON</t>
  </si>
  <si>
    <t>100000283</t>
  </si>
  <si>
    <t>SO4CU</t>
  </si>
  <si>
    <t>Copper Sulphate 25.2%</t>
  </si>
  <si>
    <t>100000306</t>
  </si>
  <si>
    <t>100000330A</t>
  </si>
  <si>
    <t>INNOVATIVE</t>
  </si>
  <si>
    <t>100000355</t>
  </si>
  <si>
    <t>GOLDCAMG55</t>
  </si>
  <si>
    <t>LiquiLizer Calcium 11%</t>
  </si>
  <si>
    <t>GREPOT55</t>
  </si>
  <si>
    <t>LiquiLizer Potato Mix</t>
  </si>
  <si>
    <t>SOAR7L55</t>
  </si>
  <si>
    <t>SOARBLM55</t>
  </si>
  <si>
    <t>SOARMIC55</t>
  </si>
  <si>
    <t>FLO1236+55</t>
  </si>
  <si>
    <t>100000260</t>
  </si>
  <si>
    <t>100000262</t>
  </si>
  <si>
    <t>100000272</t>
  </si>
  <si>
    <t>100000286</t>
  </si>
  <si>
    <t>100000301</t>
  </si>
  <si>
    <t>100000324</t>
  </si>
  <si>
    <t>100000325</t>
  </si>
  <si>
    <t>100000331</t>
  </si>
  <si>
    <t>100000332</t>
  </si>
  <si>
    <t>100000334</t>
  </si>
  <si>
    <t>100000336</t>
  </si>
  <si>
    <t>100000337</t>
  </si>
  <si>
    <t>100000346</t>
  </si>
  <si>
    <t>100000364</t>
  </si>
  <si>
    <t>100000245</t>
  </si>
  <si>
    <t>100000253</t>
  </si>
  <si>
    <t>100000254</t>
  </si>
  <si>
    <t>100000257</t>
  </si>
  <si>
    <t>100000259</t>
  </si>
  <si>
    <t>100000265</t>
  </si>
  <si>
    <t>100000270</t>
  </si>
  <si>
    <t>100000274</t>
  </si>
  <si>
    <t>100000305</t>
  </si>
  <si>
    <t>100000326</t>
  </si>
  <si>
    <t>100000329</t>
  </si>
  <si>
    <t>100000345</t>
  </si>
  <si>
    <t>100000366A</t>
  </si>
  <si>
    <t>TIGER9000#</t>
  </si>
  <si>
    <t>Tiger 90 Sulfur  Bulk</t>
  </si>
  <si>
    <t>HAMSFARM</t>
  </si>
  <si>
    <t>JOE MCINTOSH W</t>
  </si>
  <si>
    <t>100000374</t>
  </si>
  <si>
    <t>FLO15001600</t>
  </si>
  <si>
    <t>100000266</t>
  </si>
  <si>
    <t>Dyna Gold Ca 8.25%</t>
  </si>
  <si>
    <t>100000271</t>
  </si>
  <si>
    <t>100000288</t>
  </si>
  <si>
    <t>100000310</t>
  </si>
  <si>
    <t>100000344</t>
  </si>
  <si>
    <t>100000347</t>
  </si>
  <si>
    <t>100000348</t>
  </si>
  <si>
    <t>100000349</t>
  </si>
  <si>
    <t>FORTPAYNE</t>
  </si>
  <si>
    <t>100000248</t>
  </si>
  <si>
    <t>100000280</t>
  </si>
  <si>
    <t>100000281</t>
  </si>
  <si>
    <t>100000282</t>
  </si>
  <si>
    <t>100000246</t>
  </si>
  <si>
    <t>100000247</t>
  </si>
  <si>
    <t>100000273</t>
  </si>
  <si>
    <t>100000304</t>
  </si>
  <si>
    <t>100000377</t>
  </si>
  <si>
    <t>100000241</t>
  </si>
  <si>
    <t>100000242</t>
  </si>
  <si>
    <t>100000309</t>
  </si>
  <si>
    <t>100000255</t>
  </si>
  <si>
    <t>100000258</t>
  </si>
  <si>
    <t>100000292</t>
  </si>
  <si>
    <t>100000307</t>
  </si>
  <si>
    <t>100000328</t>
  </si>
  <si>
    <t>100000342</t>
  </si>
  <si>
    <t>AGBAPMN250#</t>
  </si>
  <si>
    <t>100000367</t>
  </si>
  <si>
    <t>N-28</t>
  </si>
  <si>
    <t>100000311</t>
  </si>
  <si>
    <t>100000261</t>
  </si>
  <si>
    <t>100000268</t>
  </si>
  <si>
    <t>100000269</t>
  </si>
  <si>
    <t>GV KTS</t>
  </si>
  <si>
    <t>PINETREEGC</t>
  </si>
  <si>
    <t>100000293</t>
  </si>
  <si>
    <t>100000302</t>
  </si>
  <si>
    <t>N28</t>
  </si>
  <si>
    <t>100000318</t>
  </si>
  <si>
    <t>THEMOORINGSCLUB</t>
  </si>
  <si>
    <t>100000323</t>
  </si>
  <si>
    <t>100000335</t>
  </si>
  <si>
    <t>100000343</t>
  </si>
  <si>
    <t>100000351</t>
  </si>
  <si>
    <t>100000354</t>
  </si>
  <si>
    <t>100000357</t>
  </si>
  <si>
    <t>100000369</t>
  </si>
  <si>
    <t>100000370</t>
  </si>
  <si>
    <t>100000371</t>
  </si>
  <si>
    <t>100000380</t>
  </si>
  <si>
    <t>100000407</t>
  </si>
  <si>
    <t>100000417</t>
  </si>
  <si>
    <t>100000432</t>
  </si>
  <si>
    <t>100000478</t>
  </si>
  <si>
    <t>GRAND HARBOR</t>
  </si>
  <si>
    <t>100000503</t>
  </si>
  <si>
    <t>Neutralizer -- Squat Jugs</t>
  </si>
  <si>
    <t>100000387</t>
  </si>
  <si>
    <t>100000419</t>
  </si>
  <si>
    <t>100000436</t>
  </si>
  <si>
    <t>100000438</t>
  </si>
  <si>
    <t>100000448</t>
  </si>
  <si>
    <t>100000470</t>
  </si>
  <si>
    <t>THECOCONUTMAN</t>
  </si>
  <si>
    <t>BRADENTON</t>
  </si>
  <si>
    <t>100000483</t>
  </si>
  <si>
    <t>Coconut Water</t>
  </si>
  <si>
    <t>Mudslide</t>
  </si>
  <si>
    <t>100000379</t>
  </si>
  <si>
    <t>100000399</t>
  </si>
  <si>
    <t>100000402</t>
  </si>
  <si>
    <t>100000403</t>
  </si>
  <si>
    <t>100000409</t>
  </si>
  <si>
    <t>100000414</t>
  </si>
  <si>
    <t>100000422</t>
  </si>
  <si>
    <t>100000425</t>
  </si>
  <si>
    <t>100000434</t>
  </si>
  <si>
    <t>100000435</t>
  </si>
  <si>
    <t>100000442</t>
  </si>
  <si>
    <t>100000445</t>
  </si>
  <si>
    <t>100000456</t>
  </si>
  <si>
    <t>100000479</t>
  </si>
  <si>
    <t>100000480</t>
  </si>
  <si>
    <t>100000481</t>
  </si>
  <si>
    <t>100000482</t>
  </si>
  <si>
    <t>100000485</t>
  </si>
  <si>
    <t>100000486</t>
  </si>
  <si>
    <t>100000502</t>
  </si>
  <si>
    <t>100000384</t>
  </si>
  <si>
    <t>100000408</t>
  </si>
  <si>
    <t>100000420</t>
  </si>
  <si>
    <t>100000429</t>
  </si>
  <si>
    <t>100000430</t>
  </si>
  <si>
    <t>100000439</t>
  </si>
  <si>
    <t>100000462</t>
  </si>
  <si>
    <t>100000473</t>
  </si>
  <si>
    <t>100000474</t>
  </si>
  <si>
    <t>FOXSQUIRREL</t>
  </si>
  <si>
    <t>100000476</t>
  </si>
  <si>
    <t>100000492</t>
  </si>
  <si>
    <t>100000400</t>
  </si>
  <si>
    <t>100000401</t>
  </si>
  <si>
    <t>100000405</t>
  </si>
  <si>
    <t>100000447</t>
  </si>
  <si>
    <t>100000395</t>
  </si>
  <si>
    <t>100000421</t>
  </si>
  <si>
    <t>100000460</t>
  </si>
  <si>
    <t>100000382</t>
  </si>
  <si>
    <t>100000397</t>
  </si>
  <si>
    <t>100000413A</t>
  </si>
  <si>
    <t>MAC426YM13</t>
  </si>
  <si>
    <t>Dyna Flo 4-2-6YM13</t>
  </si>
  <si>
    <t>100000452</t>
  </si>
  <si>
    <t>100000493</t>
  </si>
  <si>
    <t>100000496</t>
  </si>
  <si>
    <t>100000410</t>
  </si>
  <si>
    <t>100000423</t>
  </si>
  <si>
    <t>100000433</t>
  </si>
  <si>
    <t>100000440</t>
  </si>
  <si>
    <t>100000441</t>
  </si>
  <si>
    <t>FOREST CRK GC</t>
  </si>
  <si>
    <t>100000468</t>
  </si>
  <si>
    <t>100000469</t>
  </si>
  <si>
    <t>100000484</t>
  </si>
  <si>
    <t>100000494</t>
  </si>
  <si>
    <t>100000381</t>
  </si>
  <si>
    <t>AILERONGOLF</t>
  </si>
  <si>
    <t>100000385</t>
  </si>
  <si>
    <t>JRM Humic XV</t>
  </si>
  <si>
    <t>100000386A</t>
  </si>
  <si>
    <t>100000388</t>
  </si>
  <si>
    <t>ZON93602</t>
  </si>
  <si>
    <t>Dyna Zone 9-3-6 with Minors</t>
  </si>
  <si>
    <t>GAL09.98</t>
  </si>
  <si>
    <t>100000396</t>
  </si>
  <si>
    <t>ZON936250</t>
  </si>
  <si>
    <t>100000406</t>
  </si>
  <si>
    <t>100000415</t>
  </si>
  <si>
    <t>GV UAN</t>
  </si>
  <si>
    <t>100000416</t>
  </si>
  <si>
    <t>HIDEAWAY</t>
  </si>
  <si>
    <t>100000424</t>
  </si>
  <si>
    <t>100000426</t>
  </si>
  <si>
    <t>GPGRCMN00</t>
  </si>
  <si>
    <t>100000427</t>
  </si>
  <si>
    <t>GV183655</t>
  </si>
  <si>
    <t>GPGRCMN55</t>
  </si>
  <si>
    <t>100000428</t>
  </si>
  <si>
    <t>CEIACEC+55</t>
  </si>
  <si>
    <t>100000443</t>
  </si>
  <si>
    <t>ZONNKTS00</t>
  </si>
  <si>
    <t>100000444</t>
  </si>
  <si>
    <t>100000449</t>
  </si>
  <si>
    <t>100000450</t>
  </si>
  <si>
    <t>100000453</t>
  </si>
  <si>
    <t>100000454</t>
  </si>
  <si>
    <t>100000455</t>
  </si>
  <si>
    <t>JRM Cal Nite</t>
  </si>
  <si>
    <t>JRMMICRO02</t>
  </si>
  <si>
    <t>JRM Micro Complete</t>
  </si>
  <si>
    <t>GAL10.44</t>
  </si>
  <si>
    <t>100000459</t>
  </si>
  <si>
    <t>100000463</t>
  </si>
  <si>
    <t>100000477</t>
  </si>
  <si>
    <t>100000487</t>
  </si>
  <si>
    <t>100000488</t>
  </si>
  <si>
    <t>100000489</t>
  </si>
  <si>
    <t>100000490</t>
  </si>
  <si>
    <t>100000491</t>
  </si>
  <si>
    <t>100000495</t>
  </si>
  <si>
    <t>100000497</t>
  </si>
  <si>
    <t>AVILAGOLFCLUB</t>
  </si>
  <si>
    <t>100000506</t>
  </si>
  <si>
    <t>100000513</t>
  </si>
  <si>
    <t>100000543</t>
  </si>
  <si>
    <t>100000545</t>
  </si>
  <si>
    <t>100000561</t>
  </si>
  <si>
    <t>100000600</t>
  </si>
  <si>
    <t>100000601</t>
  </si>
  <si>
    <t>100000504</t>
  </si>
  <si>
    <t>100000521</t>
  </si>
  <si>
    <t>100000570</t>
  </si>
  <si>
    <t>100000577</t>
  </si>
  <si>
    <t>100000588</t>
  </si>
  <si>
    <t>Repack: FreightKar</t>
  </si>
  <si>
    <t>100000518</t>
  </si>
  <si>
    <t>100000522</t>
  </si>
  <si>
    <t>100000530</t>
  </si>
  <si>
    <t>100000539</t>
  </si>
  <si>
    <t>100000548</t>
  </si>
  <si>
    <t>100000552</t>
  </si>
  <si>
    <t>100000553</t>
  </si>
  <si>
    <t>100000557</t>
  </si>
  <si>
    <t>100000566</t>
  </si>
  <si>
    <t>100000575</t>
  </si>
  <si>
    <t>100000580</t>
  </si>
  <si>
    <t>100000582</t>
  </si>
  <si>
    <t>100000599</t>
  </si>
  <si>
    <t>100000606</t>
  </si>
  <si>
    <t>100000505</t>
  </si>
  <si>
    <t>100000510</t>
  </si>
  <si>
    <t>100000511</t>
  </si>
  <si>
    <t>100000514</t>
  </si>
  <si>
    <t>100000515</t>
  </si>
  <si>
    <t>100000520</t>
  </si>
  <si>
    <t>100000529</t>
  </si>
  <si>
    <t>100000534</t>
  </si>
  <si>
    <t>100000536</t>
  </si>
  <si>
    <t>100000558</t>
  </si>
  <si>
    <t>100000560</t>
  </si>
  <si>
    <t>100000572</t>
  </si>
  <si>
    <t>100000573</t>
  </si>
  <si>
    <t>100000574</t>
  </si>
  <si>
    <t>100000578</t>
  </si>
  <si>
    <t>100000579</t>
  </si>
  <si>
    <t>100000585</t>
  </si>
  <si>
    <t>100000586</t>
  </si>
  <si>
    <t>100000587</t>
  </si>
  <si>
    <t>100000590</t>
  </si>
  <si>
    <t>100000592</t>
  </si>
  <si>
    <t>100000593</t>
  </si>
  <si>
    <t>100000594</t>
  </si>
  <si>
    <t>COLLARDKING</t>
  </si>
  <si>
    <t>100000595</t>
  </si>
  <si>
    <t>100000602</t>
  </si>
  <si>
    <t>100000603</t>
  </si>
  <si>
    <t>100000607</t>
  </si>
  <si>
    <t>100000608</t>
  </si>
  <si>
    <t>100000616</t>
  </si>
  <si>
    <t>100000517</t>
  </si>
  <si>
    <t>100000533</t>
  </si>
  <si>
    <t>100000535</t>
  </si>
  <si>
    <t>100000538</t>
  </si>
  <si>
    <t>100000555</t>
  </si>
  <si>
    <t>100000507</t>
  </si>
  <si>
    <t>100000508</t>
  </si>
  <si>
    <t>100000531</t>
  </si>
  <si>
    <t>100000556</t>
  </si>
  <si>
    <t>100000570A</t>
  </si>
  <si>
    <t>100000519</t>
  </si>
  <si>
    <t>100000581</t>
  </si>
  <si>
    <t>100000591</t>
  </si>
  <si>
    <t>100000550</t>
  </si>
  <si>
    <t>100000554</t>
  </si>
  <si>
    <t>100000615</t>
  </si>
  <si>
    <t>100000509</t>
  </si>
  <si>
    <t>100000512</t>
  </si>
  <si>
    <t>CEIAGREEN02</t>
  </si>
  <si>
    <t>Ceia Green Up 15-0-0</t>
  </si>
  <si>
    <t>JRMFERRO02</t>
  </si>
  <si>
    <t>JRM FerroMan</t>
  </si>
  <si>
    <t>100000516</t>
  </si>
  <si>
    <t>100000527</t>
  </si>
  <si>
    <t>100000528</t>
  </si>
  <si>
    <t>100000532</t>
  </si>
  <si>
    <t>100000541</t>
  </si>
  <si>
    <t>100000542</t>
  </si>
  <si>
    <t>100000544</t>
  </si>
  <si>
    <t>100000546</t>
  </si>
  <si>
    <t>100000547</t>
  </si>
  <si>
    <t>100000549</t>
  </si>
  <si>
    <t>THEOAKSCLUB</t>
  </si>
  <si>
    <t>100000551</t>
  </si>
  <si>
    <t>100000564</t>
  </si>
  <si>
    <t>100000565</t>
  </si>
  <si>
    <t>100000567</t>
  </si>
  <si>
    <t>100000568</t>
  </si>
  <si>
    <t>100000569</t>
  </si>
  <si>
    <t>100000583</t>
  </si>
  <si>
    <t>100000596</t>
  </si>
  <si>
    <t>JRMSUPERMN02</t>
  </si>
  <si>
    <t>JRM Super Mn</t>
  </si>
  <si>
    <t>GAL10.62</t>
  </si>
  <si>
    <t>100000597</t>
  </si>
  <si>
    <t>GPGRCMN02</t>
  </si>
  <si>
    <t>100000598</t>
  </si>
  <si>
    <t>100000604</t>
  </si>
  <si>
    <t>100000605</t>
  </si>
  <si>
    <t>100000609</t>
  </si>
  <si>
    <t>100000610</t>
  </si>
  <si>
    <t>100000611</t>
  </si>
  <si>
    <t>100000625</t>
  </si>
  <si>
    <t>100000632</t>
  </si>
  <si>
    <t>100000659</t>
  </si>
  <si>
    <t>100000675</t>
  </si>
  <si>
    <t>100000696</t>
  </si>
  <si>
    <t>FLO3181855</t>
  </si>
  <si>
    <t>100000727</t>
  </si>
  <si>
    <t>100000636</t>
  </si>
  <si>
    <t>100000642</t>
  </si>
  <si>
    <t>100000655</t>
  </si>
  <si>
    <t>100000656</t>
  </si>
  <si>
    <t>100000689</t>
  </si>
  <si>
    <t>100000773</t>
  </si>
  <si>
    <t>100000780</t>
  </si>
  <si>
    <t>100000634</t>
  </si>
  <si>
    <t>100000652</t>
  </si>
  <si>
    <t>100000688</t>
  </si>
  <si>
    <t>100000691</t>
  </si>
  <si>
    <t>100000698</t>
  </si>
  <si>
    <t>100000718</t>
  </si>
  <si>
    <t>100000729</t>
  </si>
  <si>
    <t>100000755</t>
  </si>
  <si>
    <t>MCKENNA</t>
  </si>
  <si>
    <t>100000756</t>
  </si>
  <si>
    <t>100000775</t>
  </si>
  <si>
    <t>100000777</t>
  </si>
  <si>
    <t>ROEBUCK</t>
  </si>
  <si>
    <t>100000619</t>
  </si>
  <si>
    <t>100000621</t>
  </si>
  <si>
    <t>100000624</t>
  </si>
  <si>
    <t>100000627</t>
  </si>
  <si>
    <t>MAC628YZ</t>
  </si>
  <si>
    <t>Dyna Flo 6-2-8YZ w Humic Acid</t>
  </si>
  <si>
    <t>100000629</t>
  </si>
  <si>
    <t>100000630</t>
  </si>
  <si>
    <t>100000633</t>
  </si>
  <si>
    <t>100000635</t>
  </si>
  <si>
    <t>100000638</t>
  </si>
  <si>
    <t>100000639A</t>
  </si>
  <si>
    <t>100000641</t>
  </si>
  <si>
    <t>100000643</t>
  </si>
  <si>
    <t>100000645</t>
  </si>
  <si>
    <t>100000646</t>
  </si>
  <si>
    <t>100000647</t>
  </si>
  <si>
    <t>100000648</t>
  </si>
  <si>
    <t>100000650</t>
  </si>
  <si>
    <t>100000651</t>
  </si>
  <si>
    <t>100000653</t>
  </si>
  <si>
    <t>100000658</t>
  </si>
  <si>
    <t>100000660</t>
  </si>
  <si>
    <t>100000661</t>
  </si>
  <si>
    <t>100000664</t>
  </si>
  <si>
    <t>100000665</t>
  </si>
  <si>
    <t>100000666</t>
  </si>
  <si>
    <t>100000667</t>
  </si>
  <si>
    <t>100000670</t>
  </si>
  <si>
    <t>100000671</t>
  </si>
  <si>
    <t>100000672</t>
  </si>
  <si>
    <t>100000673</t>
  </si>
  <si>
    <t>100000682</t>
  </si>
  <si>
    <t>100000684</t>
  </si>
  <si>
    <t>100000685</t>
  </si>
  <si>
    <t>100000686</t>
  </si>
  <si>
    <t>100000687</t>
  </si>
  <si>
    <t>100000692</t>
  </si>
  <si>
    <t>100000693</t>
  </si>
  <si>
    <t>100000694</t>
  </si>
  <si>
    <t>100000695</t>
  </si>
  <si>
    <t>100000697</t>
  </si>
  <si>
    <t>100000699</t>
  </si>
  <si>
    <t>100000700</t>
  </si>
  <si>
    <t>MAC727YM4</t>
  </si>
  <si>
    <t>Dyna Flo 7-2-7YM4</t>
  </si>
  <si>
    <t>100000701</t>
  </si>
  <si>
    <t>100000702</t>
  </si>
  <si>
    <t>100000703</t>
  </si>
  <si>
    <t>100000704</t>
  </si>
  <si>
    <t>100000705</t>
  </si>
  <si>
    <t>100000706</t>
  </si>
  <si>
    <t>100000707</t>
  </si>
  <si>
    <t>100000712</t>
  </si>
  <si>
    <t>100000713</t>
  </si>
  <si>
    <t>100000714</t>
  </si>
  <si>
    <t>100000716</t>
  </si>
  <si>
    <t>100000719</t>
  </si>
  <si>
    <t>100000720</t>
  </si>
  <si>
    <t>100000721</t>
  </si>
  <si>
    <t>100000723</t>
  </si>
  <si>
    <t>100000724</t>
  </si>
  <si>
    <t>100000725</t>
  </si>
  <si>
    <t>100000726</t>
  </si>
  <si>
    <t>100000731</t>
  </si>
  <si>
    <t>MAC1040YI</t>
  </si>
  <si>
    <t>Dyna Flo 10-4-0 YI</t>
  </si>
  <si>
    <t>100000732</t>
  </si>
  <si>
    <t>FLO003030</t>
  </si>
  <si>
    <t>100000733</t>
  </si>
  <si>
    <t>100000734</t>
  </si>
  <si>
    <t>100000735</t>
  </si>
  <si>
    <t>100000737</t>
  </si>
  <si>
    <t>100000738</t>
  </si>
  <si>
    <t>100000742</t>
  </si>
  <si>
    <t>100000743</t>
  </si>
  <si>
    <t>100000744</t>
  </si>
  <si>
    <t>100000745</t>
  </si>
  <si>
    <t>100000746</t>
  </si>
  <si>
    <t>100000747</t>
  </si>
  <si>
    <t>100000750</t>
  </si>
  <si>
    <t>MAC528XG</t>
  </si>
  <si>
    <t>Dyna Flo 5-2-8 XG</t>
  </si>
  <si>
    <t>100000751</t>
  </si>
  <si>
    <t>MAC528YZ5</t>
  </si>
  <si>
    <t>Dyna Flo 5-2-8 YZ5</t>
  </si>
  <si>
    <t>100000752</t>
  </si>
  <si>
    <t>MAC528XE</t>
  </si>
  <si>
    <t>Dyna Flo 5-2-8 XE</t>
  </si>
  <si>
    <t>100000753</t>
  </si>
  <si>
    <t>MAC528YZ4</t>
  </si>
  <si>
    <t>Dyna Flo 5-2-8 YZ4</t>
  </si>
  <si>
    <t>100000754</t>
  </si>
  <si>
    <t>100000757</t>
  </si>
  <si>
    <t>100000758</t>
  </si>
  <si>
    <t>100000759</t>
  </si>
  <si>
    <t>100000760</t>
  </si>
  <si>
    <t>100000761</t>
  </si>
  <si>
    <t>100000762</t>
  </si>
  <si>
    <t>100000763</t>
  </si>
  <si>
    <t>100000767</t>
  </si>
  <si>
    <t>CJABBOTT</t>
  </si>
  <si>
    <t>JOHNGILL</t>
  </si>
  <si>
    <t>100000768</t>
  </si>
  <si>
    <t>100000769</t>
  </si>
  <si>
    <t>100000772</t>
  </si>
  <si>
    <t>100000774</t>
  </si>
  <si>
    <t>RINGDAHL</t>
  </si>
  <si>
    <t>100000781</t>
  </si>
  <si>
    <t>100000783</t>
  </si>
  <si>
    <t>100000784</t>
  </si>
  <si>
    <t>100000785</t>
  </si>
  <si>
    <t>100000668</t>
  </si>
  <si>
    <t>100000676</t>
  </si>
  <si>
    <t>100000628</t>
  </si>
  <si>
    <t>100000708</t>
  </si>
  <si>
    <t>100000709</t>
  </si>
  <si>
    <t>100000618</t>
  </si>
  <si>
    <t>100000622</t>
  </si>
  <si>
    <t>100000623</t>
  </si>
  <si>
    <t>100000662</t>
  </si>
  <si>
    <t>100000669</t>
  </si>
  <si>
    <t>100000715</t>
  </si>
  <si>
    <t>MAC885L</t>
  </si>
  <si>
    <t>Dyna Flo 8-8-5L</t>
  </si>
  <si>
    <t>100000736</t>
  </si>
  <si>
    <t>100000739</t>
  </si>
  <si>
    <t>MAC727YZ1</t>
  </si>
  <si>
    <t>Dyna Flo 7-2-7YZ1</t>
  </si>
  <si>
    <t>100000764</t>
  </si>
  <si>
    <t>100000776</t>
  </si>
  <si>
    <t>100000782</t>
  </si>
  <si>
    <t>100000626</t>
  </si>
  <si>
    <t>100000640</t>
  </si>
  <si>
    <t>100000657</t>
  </si>
  <si>
    <t>100000663</t>
  </si>
  <si>
    <t>100000631</t>
  </si>
  <si>
    <t>100000637</t>
  </si>
  <si>
    <t>JRMSPM02</t>
  </si>
  <si>
    <t>JRM Liquid SPM</t>
  </si>
  <si>
    <t>100000644</t>
  </si>
  <si>
    <t>EAGLESLAKE</t>
  </si>
  <si>
    <t>100000654</t>
  </si>
  <si>
    <t>GCI</t>
  </si>
  <si>
    <t>100000674</t>
  </si>
  <si>
    <t>GPCARBFULL55</t>
  </si>
  <si>
    <t>100000677</t>
  </si>
  <si>
    <t>100000678</t>
  </si>
  <si>
    <t>100000679</t>
  </si>
  <si>
    <t>LAWNWORXUMATILL</t>
  </si>
  <si>
    <t>100000680</t>
  </si>
  <si>
    <t>100000681</t>
  </si>
  <si>
    <t>100000683</t>
  </si>
  <si>
    <t>100000690</t>
  </si>
  <si>
    <t>100000710</t>
  </si>
  <si>
    <t>100000711</t>
  </si>
  <si>
    <t>100000717</t>
  </si>
  <si>
    <t>100000722</t>
  </si>
  <si>
    <t>CEIACEC+02</t>
  </si>
  <si>
    <t>100000728</t>
  </si>
  <si>
    <t>100000740</t>
  </si>
  <si>
    <t>100000741</t>
  </si>
  <si>
    <t>CHEMICALDYNAMIC</t>
  </si>
  <si>
    <t>100000748</t>
  </si>
  <si>
    <t>CEIAKARBUP02</t>
  </si>
  <si>
    <t>Ceia Karb Up</t>
  </si>
  <si>
    <t>GROPASP02</t>
  </si>
  <si>
    <t>Dyna Gro Paspalum Mix</t>
  </si>
  <si>
    <t>100000749</t>
  </si>
  <si>
    <t>100000771</t>
  </si>
  <si>
    <t>GVBIOOAK250</t>
  </si>
  <si>
    <t>100000778</t>
  </si>
  <si>
    <t>100000779</t>
  </si>
  <si>
    <t>GOLD241585702</t>
  </si>
  <si>
    <t>100000794</t>
  </si>
  <si>
    <t>100000829</t>
  </si>
  <si>
    <t>100000852</t>
  </si>
  <si>
    <t>100000950</t>
  </si>
  <si>
    <t>100000963</t>
  </si>
  <si>
    <t>100000965</t>
  </si>
  <si>
    <t>100000808</t>
  </si>
  <si>
    <t>100000815</t>
  </si>
  <si>
    <t>100000867</t>
  </si>
  <si>
    <t>100000881</t>
  </si>
  <si>
    <t>XYLEM128S</t>
  </si>
  <si>
    <t>100000895</t>
  </si>
  <si>
    <t>100000911</t>
  </si>
  <si>
    <t>Repack: N-Sure</t>
  </si>
  <si>
    <t>100000923</t>
  </si>
  <si>
    <t>100000926</t>
  </si>
  <si>
    <t>EWING</t>
  </si>
  <si>
    <t>100000981</t>
  </si>
  <si>
    <t>GRE221517402</t>
  </si>
  <si>
    <t>Grizzly Palm Mix</t>
  </si>
  <si>
    <t>GAL10.01</t>
  </si>
  <si>
    <t>100000983</t>
  </si>
  <si>
    <t>100000989</t>
  </si>
  <si>
    <t>100000786</t>
  </si>
  <si>
    <t>100000787</t>
  </si>
  <si>
    <t>100000799</t>
  </si>
  <si>
    <t>100000817</t>
  </si>
  <si>
    <t>100000868</t>
  </si>
  <si>
    <t>100000885</t>
  </si>
  <si>
    <t>100000927</t>
  </si>
  <si>
    <t>100000942</t>
  </si>
  <si>
    <t>100000943</t>
  </si>
  <si>
    <t>100000947</t>
  </si>
  <si>
    <t>100000955</t>
  </si>
  <si>
    <t>100000968</t>
  </si>
  <si>
    <t>100001032</t>
  </si>
  <si>
    <t>100001041</t>
  </si>
  <si>
    <t>100000788</t>
  </si>
  <si>
    <t>100000789</t>
  </si>
  <si>
    <t>100000790</t>
  </si>
  <si>
    <t>100000792</t>
  </si>
  <si>
    <t>100000793</t>
  </si>
  <si>
    <t>100000795</t>
  </si>
  <si>
    <t>CEDILLO</t>
  </si>
  <si>
    <t>100000796</t>
  </si>
  <si>
    <t>100000797</t>
  </si>
  <si>
    <t>100000798</t>
  </si>
  <si>
    <t>100000800</t>
  </si>
  <si>
    <t>100000801</t>
  </si>
  <si>
    <t>100000802</t>
  </si>
  <si>
    <t>VFW</t>
  </si>
  <si>
    <t>100000803</t>
  </si>
  <si>
    <t>100000805</t>
  </si>
  <si>
    <t>100000809</t>
  </si>
  <si>
    <t>100000810</t>
  </si>
  <si>
    <t>100000811</t>
  </si>
  <si>
    <t>100000812</t>
  </si>
  <si>
    <t>100000813</t>
  </si>
  <si>
    <t>100000814</t>
  </si>
  <si>
    <t>PLANTCIT</t>
  </si>
  <si>
    <t>100000816</t>
  </si>
  <si>
    <t>100000818</t>
  </si>
  <si>
    <t>100000819</t>
  </si>
  <si>
    <t>100000820</t>
  </si>
  <si>
    <t>100000822</t>
  </si>
  <si>
    <t>100000824</t>
  </si>
  <si>
    <t>100000825</t>
  </si>
  <si>
    <t>100000826</t>
  </si>
  <si>
    <t>100000827</t>
  </si>
  <si>
    <t>100000828</t>
  </si>
  <si>
    <t>100000832</t>
  </si>
  <si>
    <t>ENGLISH CREEK</t>
  </si>
  <si>
    <t>100000833</t>
  </si>
  <si>
    <t>100000834</t>
  </si>
  <si>
    <t>100000835</t>
  </si>
  <si>
    <t>100000836</t>
  </si>
  <si>
    <t>100000837</t>
  </si>
  <si>
    <t>100000838A</t>
  </si>
  <si>
    <t>100000839</t>
  </si>
  <si>
    <t>100000840</t>
  </si>
  <si>
    <t>100000841</t>
  </si>
  <si>
    <t>100000842</t>
  </si>
  <si>
    <t>100000845</t>
  </si>
  <si>
    <t>100000846</t>
  </si>
  <si>
    <t>100000849</t>
  </si>
  <si>
    <t>100000850</t>
  </si>
  <si>
    <t>100000851</t>
  </si>
  <si>
    <t>100000853</t>
  </si>
  <si>
    <t>100000854</t>
  </si>
  <si>
    <t>100000855</t>
  </si>
  <si>
    <t>100000856</t>
  </si>
  <si>
    <t>100000857</t>
  </si>
  <si>
    <t>100000858</t>
  </si>
  <si>
    <t>100000859</t>
  </si>
  <si>
    <t>100000860</t>
  </si>
  <si>
    <t>100000861</t>
  </si>
  <si>
    <t>100000862</t>
  </si>
  <si>
    <t>100000863</t>
  </si>
  <si>
    <t>100000864</t>
  </si>
  <si>
    <t>100000865</t>
  </si>
  <si>
    <t>100000866</t>
  </si>
  <si>
    <t>100000869</t>
  </si>
  <si>
    <t>100000870</t>
  </si>
  <si>
    <t>100000871</t>
  </si>
  <si>
    <t>100000872</t>
  </si>
  <si>
    <t>100000873</t>
  </si>
  <si>
    <t>100000875</t>
  </si>
  <si>
    <t>100000876</t>
  </si>
  <si>
    <t>100000877</t>
  </si>
  <si>
    <t>100000878</t>
  </si>
  <si>
    <t>100000879</t>
  </si>
  <si>
    <t>100000880</t>
  </si>
  <si>
    <t>100000883</t>
  </si>
  <si>
    <t>100000886</t>
  </si>
  <si>
    <t>100000887</t>
  </si>
  <si>
    <t>100000888</t>
  </si>
  <si>
    <t>100000891</t>
  </si>
  <si>
    <t>100000892</t>
  </si>
  <si>
    <t>100000893</t>
  </si>
  <si>
    <t>100000894</t>
  </si>
  <si>
    <t>100000896</t>
  </si>
  <si>
    <t>100000898</t>
  </si>
  <si>
    <t>100000899</t>
  </si>
  <si>
    <t>100000900</t>
  </si>
  <si>
    <t>100000901</t>
  </si>
  <si>
    <t>100000902</t>
  </si>
  <si>
    <t>100000903</t>
  </si>
  <si>
    <t>100000904</t>
  </si>
  <si>
    <t>100000905</t>
  </si>
  <si>
    <t>100000906</t>
  </si>
  <si>
    <t>JOHNPOPP</t>
  </si>
  <si>
    <t>CAMERON</t>
  </si>
  <si>
    <t>100000907</t>
  </si>
  <si>
    <t>FLO11100</t>
  </si>
  <si>
    <t>Dyna Flo 1-1-1</t>
  </si>
  <si>
    <t>GAL10.00</t>
  </si>
  <si>
    <t>100000908</t>
  </si>
  <si>
    <t>100000909</t>
  </si>
  <si>
    <t>100000910</t>
  </si>
  <si>
    <t>GALLAGHER RD.</t>
  </si>
  <si>
    <t>100000912</t>
  </si>
  <si>
    <t>100000913</t>
  </si>
  <si>
    <t>100000914</t>
  </si>
  <si>
    <t>100000919</t>
  </si>
  <si>
    <t>100000920</t>
  </si>
  <si>
    <t>100000921</t>
  </si>
  <si>
    <t>100000924</t>
  </si>
  <si>
    <t>100000925</t>
  </si>
  <si>
    <t>100000928</t>
  </si>
  <si>
    <t>100000930</t>
  </si>
  <si>
    <t>100000931</t>
  </si>
  <si>
    <t>100000933</t>
  </si>
  <si>
    <t>100000934</t>
  </si>
  <si>
    <t>100000935</t>
  </si>
  <si>
    <t>100000936</t>
  </si>
  <si>
    <t>100000937</t>
  </si>
  <si>
    <t>100000939</t>
  </si>
  <si>
    <t>100000940</t>
  </si>
  <si>
    <t>100000941</t>
  </si>
  <si>
    <t>100000944</t>
  </si>
  <si>
    <t>100000945</t>
  </si>
  <si>
    <t>100000946</t>
  </si>
  <si>
    <t>100000948</t>
  </si>
  <si>
    <t>CHANDLERCR</t>
  </si>
  <si>
    <t>HOLLOWAY RD</t>
  </si>
  <si>
    <t>100000949</t>
  </si>
  <si>
    <t>100000951</t>
  </si>
  <si>
    <t>100000952</t>
  </si>
  <si>
    <t>100000953</t>
  </si>
  <si>
    <t>100000954</t>
  </si>
  <si>
    <t>100000956</t>
  </si>
  <si>
    <t>100000957</t>
  </si>
  <si>
    <t>100000959</t>
  </si>
  <si>
    <t>100000960</t>
  </si>
  <si>
    <t>100000961</t>
  </si>
  <si>
    <t>100000962</t>
  </si>
  <si>
    <t>100000964</t>
  </si>
  <si>
    <t>100000966</t>
  </si>
  <si>
    <t>100000969</t>
  </si>
  <si>
    <t>100000970</t>
  </si>
  <si>
    <t>100000971</t>
  </si>
  <si>
    <t>100000972</t>
  </si>
  <si>
    <t>100000973</t>
  </si>
  <si>
    <t>100000974</t>
  </si>
  <si>
    <t>KNIGHTS-NE #14</t>
  </si>
  <si>
    <t>100000976</t>
  </si>
  <si>
    <t>100000978</t>
  </si>
  <si>
    <t>100000979</t>
  </si>
  <si>
    <t>CARUTHERS</t>
  </si>
  <si>
    <t>100000980</t>
  </si>
  <si>
    <t>100000982</t>
  </si>
  <si>
    <t>100000986</t>
  </si>
  <si>
    <t>100000987</t>
  </si>
  <si>
    <t>100000988</t>
  </si>
  <si>
    <t>100000992</t>
  </si>
  <si>
    <t>100000993</t>
  </si>
  <si>
    <t>100000994</t>
  </si>
  <si>
    <t>100000995</t>
  </si>
  <si>
    <t>100000998</t>
  </si>
  <si>
    <t>100000999</t>
  </si>
  <si>
    <t>100001000</t>
  </si>
  <si>
    <t>TURKEYCREEKNORT</t>
  </si>
  <si>
    <t>100001001</t>
  </si>
  <si>
    <t>100001002</t>
  </si>
  <si>
    <t>100001003</t>
  </si>
  <si>
    <t>100001004</t>
  </si>
  <si>
    <t>100001005</t>
  </si>
  <si>
    <t>100001006</t>
  </si>
  <si>
    <t>100001007</t>
  </si>
  <si>
    <t>100001008</t>
  </si>
  <si>
    <t>100001009</t>
  </si>
  <si>
    <t>100001010</t>
  </si>
  <si>
    <t>100001011</t>
  </si>
  <si>
    <t>100001012</t>
  </si>
  <si>
    <t>100001013</t>
  </si>
  <si>
    <t>100001017</t>
  </si>
  <si>
    <t>100001019</t>
  </si>
  <si>
    <t>100001020</t>
  </si>
  <si>
    <t>100001021</t>
  </si>
  <si>
    <t>100001022</t>
  </si>
  <si>
    <t>100001023</t>
  </si>
  <si>
    <t>100001024</t>
  </si>
  <si>
    <t>100001025</t>
  </si>
  <si>
    <t>100001026</t>
  </si>
  <si>
    <t>100001027</t>
  </si>
  <si>
    <t>100001028</t>
  </si>
  <si>
    <t>100001029</t>
  </si>
  <si>
    <t>100001030</t>
  </si>
  <si>
    <t>100001031</t>
  </si>
  <si>
    <t>100001033</t>
  </si>
  <si>
    <t>100001034</t>
  </si>
  <si>
    <t>100001035</t>
  </si>
  <si>
    <t>100001036</t>
  </si>
  <si>
    <t>100001037</t>
  </si>
  <si>
    <t>100001038</t>
  </si>
  <si>
    <t>100001039</t>
  </si>
  <si>
    <t>100001040</t>
  </si>
  <si>
    <t>100001042</t>
  </si>
  <si>
    <t>100001043</t>
  </si>
  <si>
    <t>100001044</t>
  </si>
  <si>
    <t>100001046</t>
  </si>
  <si>
    <t>100001047</t>
  </si>
  <si>
    <t>HOLLINGSWORTH</t>
  </si>
  <si>
    <t>100001048</t>
  </si>
  <si>
    <t>100001049</t>
  </si>
  <si>
    <t>100001050</t>
  </si>
  <si>
    <t>100001051</t>
  </si>
  <si>
    <t>100001052</t>
  </si>
  <si>
    <t>100001053</t>
  </si>
  <si>
    <t>100001054</t>
  </si>
  <si>
    <t>100001056</t>
  </si>
  <si>
    <t>100001057</t>
  </si>
  <si>
    <t>100001061</t>
  </si>
  <si>
    <t>100001063</t>
  </si>
  <si>
    <t>100000847</t>
  </si>
  <si>
    <t>100000882</t>
  </si>
  <si>
    <t>100000844</t>
  </si>
  <si>
    <t>100000804</t>
  </si>
  <si>
    <t>100000830</t>
  </si>
  <si>
    <t>100000889</t>
  </si>
  <si>
    <t>100000890</t>
  </si>
  <si>
    <t>100000929</t>
  </si>
  <si>
    <t>100000975</t>
  </si>
  <si>
    <t>100000985</t>
  </si>
  <si>
    <t>100000990</t>
  </si>
  <si>
    <t>100000991</t>
  </si>
  <si>
    <t>100001055</t>
  </si>
  <si>
    <t>100000938</t>
  </si>
  <si>
    <t>100000958A</t>
  </si>
  <si>
    <t>NEWMARKET</t>
  </si>
  <si>
    <t>100000821</t>
  </si>
  <si>
    <t>FLO2416060250</t>
  </si>
  <si>
    <t>Dyna Flo Nut 2416060</t>
  </si>
  <si>
    <t>GAL10.11</t>
  </si>
  <si>
    <t>100000791</t>
  </si>
  <si>
    <t>100000806</t>
  </si>
  <si>
    <t>100000807</t>
  </si>
  <si>
    <t>100000823</t>
  </si>
  <si>
    <t>GV Ace 29</t>
  </si>
  <si>
    <t>100000831</t>
  </si>
  <si>
    <t>100000843</t>
  </si>
  <si>
    <t>Cal Nite 9-0-0 11%</t>
  </si>
  <si>
    <t>100000848</t>
  </si>
  <si>
    <t>100000874</t>
  </si>
  <si>
    <t>BLUFFSGOLF</t>
  </si>
  <si>
    <t>100000884</t>
  </si>
  <si>
    <t>100000897</t>
  </si>
  <si>
    <t>100000922</t>
  </si>
  <si>
    <t>100000996</t>
  </si>
  <si>
    <t>100000997</t>
  </si>
  <si>
    <t>100001018</t>
  </si>
  <si>
    <t>100001045</t>
  </si>
  <si>
    <t>100001095</t>
  </si>
  <si>
    <t>100001147</t>
  </si>
  <si>
    <t>100001150</t>
  </si>
  <si>
    <t>100001202</t>
  </si>
  <si>
    <t>100001203</t>
  </si>
  <si>
    <t>100001341</t>
  </si>
  <si>
    <t>100001073</t>
  </si>
  <si>
    <t>100001112</t>
  </si>
  <si>
    <t>RUSSTECH</t>
  </si>
  <si>
    <t>BELL CHEMICAL</t>
  </si>
  <si>
    <t>100001160</t>
  </si>
  <si>
    <t>CHEGLUCOGR50</t>
  </si>
  <si>
    <t>Consignment Sodium Glucoheptonate /GR-50 NVM</t>
  </si>
  <si>
    <t>100001257</t>
  </si>
  <si>
    <t>100001283</t>
  </si>
  <si>
    <t>NPKKSIO2HI</t>
  </si>
  <si>
    <t>Potassium Silicate 0-0-12</t>
  </si>
  <si>
    <t>100001067</t>
  </si>
  <si>
    <t>100001093</t>
  </si>
  <si>
    <t>100001114</t>
  </si>
  <si>
    <t>100001125</t>
  </si>
  <si>
    <t>100001170</t>
  </si>
  <si>
    <t>100001171</t>
  </si>
  <si>
    <t>100001172</t>
  </si>
  <si>
    <t>100001191</t>
  </si>
  <si>
    <t>100001226</t>
  </si>
  <si>
    <t>100001229</t>
  </si>
  <si>
    <t>MAC527YZ1I</t>
  </si>
  <si>
    <t>Dyna Flo 5-2-7 YZ1I with Integrate 80</t>
  </si>
  <si>
    <t>100001241</t>
  </si>
  <si>
    <t>100001268</t>
  </si>
  <si>
    <t>100001270</t>
  </si>
  <si>
    <t>100001281</t>
  </si>
  <si>
    <t>100001310</t>
  </si>
  <si>
    <t>100001312</t>
  </si>
  <si>
    <t>100001324</t>
  </si>
  <si>
    <t>100001345</t>
  </si>
  <si>
    <t>100001367</t>
  </si>
  <si>
    <t>100001379</t>
  </si>
  <si>
    <t>100001380</t>
  </si>
  <si>
    <t>100001384</t>
  </si>
  <si>
    <t>100001071</t>
  </si>
  <si>
    <t>100001072</t>
  </si>
  <si>
    <t>100001074</t>
  </si>
  <si>
    <t>100001075</t>
  </si>
  <si>
    <t>100001076</t>
  </si>
  <si>
    <t>100001077</t>
  </si>
  <si>
    <t>100001078</t>
  </si>
  <si>
    <t>100001079</t>
  </si>
  <si>
    <t>100001080</t>
  </si>
  <si>
    <t>100001081</t>
  </si>
  <si>
    <t>100001082</t>
  </si>
  <si>
    <t>100001083</t>
  </si>
  <si>
    <t>100001084</t>
  </si>
  <si>
    <t>100001086</t>
  </si>
  <si>
    <t>100001087</t>
  </si>
  <si>
    <t>MAC707YB10M</t>
  </si>
  <si>
    <t>Dyna Flo 7-0-7YB10M w/Merge</t>
  </si>
  <si>
    <t>100001088</t>
  </si>
  <si>
    <t>100001089</t>
  </si>
  <si>
    <t>100001094</t>
  </si>
  <si>
    <t>100001099</t>
  </si>
  <si>
    <t>100001100</t>
  </si>
  <si>
    <t>100001101</t>
  </si>
  <si>
    <t>100001102</t>
  </si>
  <si>
    <t>100001103</t>
  </si>
  <si>
    <t>100001104</t>
  </si>
  <si>
    <t>100001105</t>
  </si>
  <si>
    <t>100001106</t>
  </si>
  <si>
    <t>100001107</t>
  </si>
  <si>
    <t>MAC406XR</t>
  </si>
  <si>
    <t>Dyna Flo 4-0-6 XR</t>
  </si>
  <si>
    <t>100001108</t>
  </si>
  <si>
    <t>100001109</t>
  </si>
  <si>
    <t>100001110</t>
  </si>
  <si>
    <t>100001111</t>
  </si>
  <si>
    <t>FARKAS</t>
  </si>
  <si>
    <t>100001117</t>
  </si>
  <si>
    <t>100001118</t>
  </si>
  <si>
    <t>100001119</t>
  </si>
  <si>
    <t>EBERTBENJIMAN</t>
  </si>
  <si>
    <t>100001120</t>
  </si>
  <si>
    <t>100001121</t>
  </si>
  <si>
    <t>100001122</t>
  </si>
  <si>
    <t>100001123</t>
  </si>
  <si>
    <t>100001124</t>
  </si>
  <si>
    <t>100001126</t>
  </si>
  <si>
    <t>100001127</t>
  </si>
  <si>
    <t>100001128</t>
  </si>
  <si>
    <t>100001129</t>
  </si>
  <si>
    <t>100001130</t>
  </si>
  <si>
    <t>100001131</t>
  </si>
  <si>
    <t>100001132</t>
  </si>
  <si>
    <t>FISHFARM</t>
  </si>
  <si>
    <t>100001133</t>
  </si>
  <si>
    <t>100001134</t>
  </si>
  <si>
    <t>100001135</t>
  </si>
  <si>
    <t>100001142</t>
  </si>
  <si>
    <t>100001143</t>
  </si>
  <si>
    <t>100001144</t>
  </si>
  <si>
    <t>HARVEY TEW ROAD</t>
  </si>
  <si>
    <t>100001145</t>
  </si>
  <si>
    <t>100001146</t>
  </si>
  <si>
    <t>100001148</t>
  </si>
  <si>
    <t>100001151</t>
  </si>
  <si>
    <t>100001152</t>
  </si>
  <si>
    <t>100001153</t>
  </si>
  <si>
    <t>100001156</t>
  </si>
  <si>
    <t>100001157A</t>
  </si>
  <si>
    <t>100001158A</t>
  </si>
  <si>
    <t>100001159</t>
  </si>
  <si>
    <t>100001161</t>
  </si>
  <si>
    <t>100001162</t>
  </si>
  <si>
    <t>100001163</t>
  </si>
  <si>
    <t>100001164</t>
  </si>
  <si>
    <t>100001165</t>
  </si>
  <si>
    <t>100001166</t>
  </si>
  <si>
    <t>100001167</t>
  </si>
  <si>
    <t>100001168</t>
  </si>
  <si>
    <t>100001169</t>
  </si>
  <si>
    <t>100001174</t>
  </si>
  <si>
    <t>100001175</t>
  </si>
  <si>
    <t>100001176</t>
  </si>
  <si>
    <t>100001177</t>
  </si>
  <si>
    <t>100001180</t>
  </si>
  <si>
    <t>100001181</t>
  </si>
  <si>
    <t>100001183</t>
  </si>
  <si>
    <t>100001184</t>
  </si>
  <si>
    <t>100001189</t>
  </si>
  <si>
    <t>100001190</t>
  </si>
  <si>
    <t>100001195</t>
  </si>
  <si>
    <t>100001196</t>
  </si>
  <si>
    <t>100001197</t>
  </si>
  <si>
    <t>100001198</t>
  </si>
  <si>
    <t>100001199</t>
  </si>
  <si>
    <t>100001200</t>
  </si>
  <si>
    <t>100001201</t>
  </si>
  <si>
    <t>100001205</t>
  </si>
  <si>
    <t>100001206</t>
  </si>
  <si>
    <t>100001208</t>
  </si>
  <si>
    <t>100001209</t>
  </si>
  <si>
    <t>100001210</t>
  </si>
  <si>
    <t>100001211</t>
  </si>
  <si>
    <t>100001215</t>
  </si>
  <si>
    <t>100001217</t>
  </si>
  <si>
    <t>100001218</t>
  </si>
  <si>
    <t>100001219</t>
  </si>
  <si>
    <t>100001220</t>
  </si>
  <si>
    <t>100001223</t>
  </si>
  <si>
    <t>DURANTHI</t>
  </si>
  <si>
    <t>100001224</t>
  </si>
  <si>
    <t>100001225</t>
  </si>
  <si>
    <t>100001228</t>
  </si>
  <si>
    <t>100001230</t>
  </si>
  <si>
    <t>100001231</t>
  </si>
  <si>
    <t>100001232</t>
  </si>
  <si>
    <t>100001234</t>
  </si>
  <si>
    <t>100001235</t>
  </si>
  <si>
    <t>100001236</t>
  </si>
  <si>
    <t>100001237</t>
  </si>
  <si>
    <t>100001238</t>
  </si>
  <si>
    <t>100001242</t>
  </si>
  <si>
    <t>100001243</t>
  </si>
  <si>
    <t>100001244</t>
  </si>
  <si>
    <t>100001246</t>
  </si>
  <si>
    <t>100001247</t>
  </si>
  <si>
    <t>100001248</t>
  </si>
  <si>
    <t>100001249</t>
  </si>
  <si>
    <t>100001250</t>
  </si>
  <si>
    <t>100001251</t>
  </si>
  <si>
    <t>100001252</t>
  </si>
  <si>
    <t>100001253</t>
  </si>
  <si>
    <t>100001254</t>
  </si>
  <si>
    <t>100001255</t>
  </si>
  <si>
    <t>100001256</t>
  </si>
  <si>
    <t>100001258</t>
  </si>
  <si>
    <t>100001259</t>
  </si>
  <si>
    <t>100001260</t>
  </si>
  <si>
    <t>100001261</t>
  </si>
  <si>
    <t>100001262</t>
  </si>
  <si>
    <t>100001263</t>
  </si>
  <si>
    <t>100001264</t>
  </si>
  <si>
    <t>100001271</t>
  </si>
  <si>
    <t>100001272</t>
  </si>
  <si>
    <t>100001273</t>
  </si>
  <si>
    <t>100001274</t>
  </si>
  <si>
    <t>100001275</t>
  </si>
  <si>
    <t>100001276</t>
  </si>
  <si>
    <t>100001277</t>
  </si>
  <si>
    <t>100001278</t>
  </si>
  <si>
    <t>100001279</t>
  </si>
  <si>
    <t>100001280</t>
  </si>
  <si>
    <t>100001284</t>
  </si>
  <si>
    <t>100001292</t>
  </si>
  <si>
    <t>100001293</t>
  </si>
  <si>
    <t>100001294</t>
  </si>
  <si>
    <t>100001295</t>
  </si>
  <si>
    <t>100001298</t>
  </si>
  <si>
    <t>100001305</t>
  </si>
  <si>
    <t>100001307</t>
  </si>
  <si>
    <t>100001308</t>
  </si>
  <si>
    <t>100001313</t>
  </si>
  <si>
    <t>100001314</t>
  </si>
  <si>
    <t>100001315</t>
  </si>
  <si>
    <t>100001316</t>
  </si>
  <si>
    <t>100001318</t>
  </si>
  <si>
    <t>100001319</t>
  </si>
  <si>
    <t>100001320</t>
  </si>
  <si>
    <t>100001321</t>
  </si>
  <si>
    <t>GONZALEZFARMS</t>
  </si>
  <si>
    <t>100001322</t>
  </si>
  <si>
    <t>100001323</t>
  </si>
  <si>
    <t>100001325</t>
  </si>
  <si>
    <t>100001326</t>
  </si>
  <si>
    <t>100001327</t>
  </si>
  <si>
    <t>MAC229YM</t>
  </si>
  <si>
    <t>Dyna Flo 2.4-2-9YM</t>
  </si>
  <si>
    <t>100001328</t>
  </si>
  <si>
    <t>MAC229YM1</t>
  </si>
  <si>
    <t>Dyna Flo 2.8-2-9YM1</t>
  </si>
  <si>
    <t>100001329</t>
  </si>
  <si>
    <t>100001330</t>
  </si>
  <si>
    <t>100001333</t>
  </si>
  <si>
    <t>100001334</t>
  </si>
  <si>
    <t>100001335</t>
  </si>
  <si>
    <t>100001336</t>
  </si>
  <si>
    <t>100001337</t>
  </si>
  <si>
    <t>100001338</t>
  </si>
  <si>
    <t>100001339</t>
  </si>
  <si>
    <t>100001340</t>
  </si>
  <si>
    <t>100001342</t>
  </si>
  <si>
    <t>100001343</t>
  </si>
  <si>
    <t>100001346</t>
  </si>
  <si>
    <t>100001347</t>
  </si>
  <si>
    <t>100001348</t>
  </si>
  <si>
    <t>100001349</t>
  </si>
  <si>
    <t>100001350</t>
  </si>
  <si>
    <t>100001353</t>
  </si>
  <si>
    <t>100001354</t>
  </si>
  <si>
    <t>100001355</t>
  </si>
  <si>
    <t>100001356</t>
  </si>
  <si>
    <t>100001357</t>
  </si>
  <si>
    <t>100001358</t>
  </si>
  <si>
    <t>100001359</t>
  </si>
  <si>
    <t>100001360</t>
  </si>
  <si>
    <t>100001361</t>
  </si>
  <si>
    <t>100001362</t>
  </si>
  <si>
    <t>TANK2#B</t>
  </si>
  <si>
    <t>100001368</t>
  </si>
  <si>
    <t>100001369</t>
  </si>
  <si>
    <t>100001370</t>
  </si>
  <si>
    <t>100001371</t>
  </si>
  <si>
    <t>100001372</t>
  </si>
  <si>
    <t>100001373</t>
  </si>
  <si>
    <t>100001374</t>
  </si>
  <si>
    <t>100001375</t>
  </si>
  <si>
    <t>100001387</t>
  </si>
  <si>
    <t>100001388</t>
  </si>
  <si>
    <t>100001389</t>
  </si>
  <si>
    <t>100001390</t>
  </si>
  <si>
    <t>100001192</t>
  </si>
  <si>
    <t>100001290</t>
  </si>
  <si>
    <t>100001331</t>
  </si>
  <si>
    <t>100001332</t>
  </si>
  <si>
    <t>100001070</t>
  </si>
  <si>
    <t>100001173</t>
  </si>
  <si>
    <t>100001297</t>
  </si>
  <si>
    <t>100001317</t>
  </si>
  <si>
    <t>100001085</t>
  </si>
  <si>
    <t>100001097</t>
  </si>
  <si>
    <t>100001179</t>
  </si>
  <si>
    <t>100001204</t>
  </si>
  <si>
    <t>100001207</t>
  </si>
  <si>
    <t>100001213</t>
  </si>
  <si>
    <t>100001214</t>
  </si>
  <si>
    <t>100001216</t>
  </si>
  <si>
    <t>100001291</t>
  </si>
  <si>
    <t>100001296</t>
  </si>
  <si>
    <t>100001299</t>
  </si>
  <si>
    <t>100001309</t>
  </si>
  <si>
    <t>100001352</t>
  </si>
  <si>
    <t>100001383</t>
  </si>
  <si>
    <t>100001245</t>
  </si>
  <si>
    <t>100001096</t>
  </si>
  <si>
    <t>100001098</t>
  </si>
  <si>
    <t>100001113</t>
  </si>
  <si>
    <t>LAKEWOODRANCH</t>
  </si>
  <si>
    <t>100001115</t>
  </si>
  <si>
    <t>100001116</t>
  </si>
  <si>
    <t>100001149</t>
  </si>
  <si>
    <t>JRM164802</t>
  </si>
  <si>
    <t>JRM Active Bio 16-4-8</t>
  </si>
  <si>
    <t>GAL10.87</t>
  </si>
  <si>
    <t>100001154</t>
  </si>
  <si>
    <t>100001155</t>
  </si>
  <si>
    <t>100001178</t>
  </si>
  <si>
    <t>BURNTSTORE</t>
  </si>
  <si>
    <t>100001193</t>
  </si>
  <si>
    <t>GVCAL30</t>
  </si>
  <si>
    <t>FLOTURF30</t>
  </si>
  <si>
    <t>100001194</t>
  </si>
  <si>
    <t>100001221</t>
  </si>
  <si>
    <t>GV N30</t>
  </si>
  <si>
    <t>CRESCENTOAKS</t>
  </si>
  <si>
    <t>100001239</t>
  </si>
  <si>
    <t>JRMFERRO30</t>
  </si>
  <si>
    <t>100001240</t>
  </si>
  <si>
    <t>100001269</t>
  </si>
  <si>
    <t>100001282</t>
  </si>
  <si>
    <t>100001300</t>
  </si>
  <si>
    <t>JRM Mn Nite</t>
  </si>
  <si>
    <t>100001311</t>
  </si>
  <si>
    <t>100001344</t>
  </si>
  <si>
    <t>100001364</t>
  </si>
  <si>
    <t>100001365</t>
  </si>
  <si>
    <t>100001366</t>
  </si>
  <si>
    <t>100001381</t>
  </si>
  <si>
    <t>100001382</t>
  </si>
  <si>
    <t>100001459</t>
  </si>
  <si>
    <t>100001490</t>
  </si>
  <si>
    <t>100001491</t>
  </si>
  <si>
    <t>100001492</t>
  </si>
  <si>
    <t>100001543</t>
  </si>
  <si>
    <t>100001544</t>
  </si>
  <si>
    <t>100001562</t>
  </si>
  <si>
    <t>100001608</t>
  </si>
  <si>
    <t>100001619</t>
  </si>
  <si>
    <t>100001628</t>
  </si>
  <si>
    <t>100001396A</t>
  </si>
  <si>
    <t>100001421</t>
  </si>
  <si>
    <t>CORTEC</t>
  </si>
  <si>
    <t>100001455</t>
  </si>
  <si>
    <t>100001507</t>
  </si>
  <si>
    <t>XYLEM</t>
  </si>
  <si>
    <t>100001511</t>
  </si>
  <si>
    <t>100001569</t>
  </si>
  <si>
    <t>100001597</t>
  </si>
  <si>
    <t>100001598</t>
  </si>
  <si>
    <t>100001656</t>
  </si>
  <si>
    <t>100001395</t>
  </si>
  <si>
    <t>100001405</t>
  </si>
  <si>
    <t>100001435</t>
  </si>
  <si>
    <t>100001460</t>
  </si>
  <si>
    <t>100001464</t>
  </si>
  <si>
    <t>100001469</t>
  </si>
  <si>
    <t>100001479</t>
  </si>
  <si>
    <t>100001489</t>
  </si>
  <si>
    <t>100001503</t>
  </si>
  <si>
    <t>100001504</t>
  </si>
  <si>
    <t>100001521</t>
  </si>
  <si>
    <t>100001531</t>
  </si>
  <si>
    <t>100001553</t>
  </si>
  <si>
    <t>100001561</t>
  </si>
  <si>
    <t>100001585</t>
  </si>
  <si>
    <t>100001586</t>
  </si>
  <si>
    <t>100001587</t>
  </si>
  <si>
    <t>100001591</t>
  </si>
  <si>
    <t>100001592</t>
  </si>
  <si>
    <t>100001603</t>
  </si>
  <si>
    <t>100001610</t>
  </si>
  <si>
    <t>100001611</t>
  </si>
  <si>
    <t>100001615</t>
  </si>
  <si>
    <t>100001616</t>
  </si>
  <si>
    <t>100001617</t>
  </si>
  <si>
    <t>100001620</t>
  </si>
  <si>
    <t>100001635</t>
  </si>
  <si>
    <t>100001639</t>
  </si>
  <si>
    <t>Repack: N-pHuric</t>
  </si>
  <si>
    <t>100001647</t>
  </si>
  <si>
    <t>100001653</t>
  </si>
  <si>
    <t>100001654</t>
  </si>
  <si>
    <t>100001655</t>
  </si>
  <si>
    <t>100001392</t>
  </si>
  <si>
    <t>100001393</t>
  </si>
  <si>
    <t>100001394</t>
  </si>
  <si>
    <t>100001397</t>
  </si>
  <si>
    <t>100001398</t>
  </si>
  <si>
    <t>100001399</t>
  </si>
  <si>
    <t>100001400</t>
  </si>
  <si>
    <t>100001402</t>
  </si>
  <si>
    <t>100001404</t>
  </si>
  <si>
    <t>100001406</t>
  </si>
  <si>
    <t>100001407</t>
  </si>
  <si>
    <t>100001408</t>
  </si>
  <si>
    <t>100001411</t>
  </si>
  <si>
    <t>100001412</t>
  </si>
  <si>
    <t>100001413</t>
  </si>
  <si>
    <t>100001414</t>
  </si>
  <si>
    <t>100001415</t>
  </si>
  <si>
    <t>100001416</t>
  </si>
  <si>
    <t>100001417</t>
  </si>
  <si>
    <t>100001418</t>
  </si>
  <si>
    <t>100001419</t>
  </si>
  <si>
    <t>100001420</t>
  </si>
  <si>
    <t>100001422</t>
  </si>
  <si>
    <t>RANCH 3</t>
  </si>
  <si>
    <t>100001423</t>
  </si>
  <si>
    <t>100001425</t>
  </si>
  <si>
    <t>100001426</t>
  </si>
  <si>
    <t>FLOMG530</t>
  </si>
  <si>
    <t>Dyna Flo Mg 5%</t>
  </si>
  <si>
    <t>100001427</t>
  </si>
  <si>
    <t>100001428</t>
  </si>
  <si>
    <t>100001429</t>
  </si>
  <si>
    <t>100001430</t>
  </si>
  <si>
    <t>KATHLEENRD</t>
  </si>
  <si>
    <t>100001431</t>
  </si>
  <si>
    <t>100001432</t>
  </si>
  <si>
    <t>100001433</t>
  </si>
  <si>
    <t>100001434</t>
  </si>
  <si>
    <t>100001436</t>
  </si>
  <si>
    <t>100001437</t>
  </si>
  <si>
    <t>100001438</t>
  </si>
  <si>
    <t>100001439</t>
  </si>
  <si>
    <t>100001440</t>
  </si>
  <si>
    <t>100001441</t>
  </si>
  <si>
    <t>100001442</t>
  </si>
  <si>
    <t>100001443</t>
  </si>
  <si>
    <t>100001446</t>
  </si>
  <si>
    <t>100001450</t>
  </si>
  <si>
    <t>100001451</t>
  </si>
  <si>
    <t>100001458</t>
  </si>
  <si>
    <t>MAC507YB</t>
  </si>
  <si>
    <t>Dyna Flo 5-0-7YB</t>
  </si>
  <si>
    <t>100001461</t>
  </si>
  <si>
    <t>100001462</t>
  </si>
  <si>
    <t>100001463</t>
  </si>
  <si>
    <t>STANLEY RD.</t>
  </si>
  <si>
    <t>100001466</t>
  </si>
  <si>
    <t>100001467</t>
  </si>
  <si>
    <t>100001470</t>
  </si>
  <si>
    <t>100001474</t>
  </si>
  <si>
    <t>100001475</t>
  </si>
  <si>
    <t>100001477</t>
  </si>
  <si>
    <t>100001478</t>
  </si>
  <si>
    <t>100001480</t>
  </si>
  <si>
    <t>JENT AVE</t>
  </si>
  <si>
    <t>100001481</t>
  </si>
  <si>
    <t>100001482</t>
  </si>
  <si>
    <t>100001483</t>
  </si>
  <si>
    <t>100001484</t>
  </si>
  <si>
    <t>100001487</t>
  </si>
  <si>
    <t>100001488</t>
  </si>
  <si>
    <t>100001493</t>
  </si>
  <si>
    <t>100001494</t>
  </si>
  <si>
    <t>100001495</t>
  </si>
  <si>
    <t>100001497</t>
  </si>
  <si>
    <t>100001498</t>
  </si>
  <si>
    <t>100001499</t>
  </si>
  <si>
    <t>100001500</t>
  </si>
  <si>
    <t>100001502</t>
  </si>
  <si>
    <t>100001505</t>
  </si>
  <si>
    <t>100001506</t>
  </si>
  <si>
    <t>100001508</t>
  </si>
  <si>
    <t>100001509</t>
  </si>
  <si>
    <t>100001513</t>
  </si>
  <si>
    <t>100001514</t>
  </si>
  <si>
    <t>100001515</t>
  </si>
  <si>
    <t>100001516</t>
  </si>
  <si>
    <t>100001517</t>
  </si>
  <si>
    <t>100001519</t>
  </si>
  <si>
    <t>100001526</t>
  </si>
  <si>
    <t>100001527</t>
  </si>
  <si>
    <t>100001528</t>
  </si>
  <si>
    <t>100001534</t>
  </si>
  <si>
    <t>100001535</t>
  </si>
  <si>
    <t>100001536</t>
  </si>
  <si>
    <t>100001537</t>
  </si>
  <si>
    <t>100001538</t>
  </si>
  <si>
    <t>100001539</t>
  </si>
  <si>
    <t>100001542</t>
  </si>
  <si>
    <t>100001545</t>
  </si>
  <si>
    <t>100001546</t>
  </si>
  <si>
    <t>100001548</t>
  </si>
  <si>
    <t>100001549</t>
  </si>
  <si>
    <t>100001550</t>
  </si>
  <si>
    <t>HEIRS</t>
  </si>
  <si>
    <t>100001554</t>
  </si>
  <si>
    <t>100001555</t>
  </si>
  <si>
    <t>100001556</t>
  </si>
  <si>
    <t>100001557</t>
  </si>
  <si>
    <t>100001558</t>
  </si>
  <si>
    <t>100001559</t>
  </si>
  <si>
    <t>100001563</t>
  </si>
  <si>
    <t>100001564</t>
  </si>
  <si>
    <t>100001565</t>
  </si>
  <si>
    <t>100001566</t>
  </si>
  <si>
    <t>100001567</t>
  </si>
  <si>
    <t>100001570</t>
  </si>
  <si>
    <t>100001571</t>
  </si>
  <si>
    <t>100001572</t>
  </si>
  <si>
    <t>100001573</t>
  </si>
  <si>
    <t>100001574</t>
  </si>
  <si>
    <t>100001575</t>
  </si>
  <si>
    <t>100001576</t>
  </si>
  <si>
    <t>100001580</t>
  </si>
  <si>
    <t>100001582</t>
  </si>
  <si>
    <t>100001583</t>
  </si>
  <si>
    <t>100001584</t>
  </si>
  <si>
    <t>100001589</t>
  </si>
  <si>
    <t>100001595</t>
  </si>
  <si>
    <t>100001596</t>
  </si>
  <si>
    <t>100001600</t>
  </si>
  <si>
    <t>PRO251615802</t>
  </si>
  <si>
    <t>Dyna Pro Nutritional 2516158</t>
  </si>
  <si>
    <t>100001601</t>
  </si>
  <si>
    <t>100001602</t>
  </si>
  <si>
    <t>100001605</t>
  </si>
  <si>
    <t>100001606</t>
  </si>
  <si>
    <t>100001607</t>
  </si>
  <si>
    <t>100001612</t>
  </si>
  <si>
    <t>100001613</t>
  </si>
  <si>
    <t>100001614</t>
  </si>
  <si>
    <t>100001618</t>
  </si>
  <si>
    <t>100001621</t>
  </si>
  <si>
    <t>100001622</t>
  </si>
  <si>
    <t>100001623</t>
  </si>
  <si>
    <t>100001624</t>
  </si>
  <si>
    <t>100001625</t>
  </si>
  <si>
    <t>100001626</t>
  </si>
  <si>
    <t>100001629</t>
  </si>
  <si>
    <t>100001630</t>
  </si>
  <si>
    <t>100001631</t>
  </si>
  <si>
    <t>100001632</t>
  </si>
  <si>
    <t>100001633</t>
  </si>
  <si>
    <t>100001637</t>
  </si>
  <si>
    <t>100001638</t>
  </si>
  <si>
    <t>100001641</t>
  </si>
  <si>
    <t>100001642</t>
  </si>
  <si>
    <t>100001643</t>
  </si>
  <si>
    <t>100001644</t>
  </si>
  <si>
    <t>100001646</t>
  </si>
  <si>
    <t>100001648</t>
  </si>
  <si>
    <t>MAC507YB13</t>
  </si>
  <si>
    <t>Dyna Flo 5-0-7YB13</t>
  </si>
  <si>
    <t>100001649</t>
  </si>
  <si>
    <t>100001652</t>
  </si>
  <si>
    <t>100001657</t>
  </si>
  <si>
    <t>100001658</t>
  </si>
  <si>
    <t>100001659</t>
  </si>
  <si>
    <t>100001663</t>
  </si>
  <si>
    <t>100001666</t>
  </si>
  <si>
    <t>100001533</t>
  </si>
  <si>
    <t>100001552</t>
  </si>
  <si>
    <t>100001579</t>
  </si>
  <si>
    <t>100001664</t>
  </si>
  <si>
    <t>100001665</t>
  </si>
  <si>
    <t>100001391</t>
  </si>
  <si>
    <t>SO4ZNSTD</t>
  </si>
  <si>
    <t>Zinc Sulphate 35.5%</t>
  </si>
  <si>
    <t>100001551</t>
  </si>
  <si>
    <t>100001577</t>
  </si>
  <si>
    <t>100001578</t>
  </si>
  <si>
    <t>100001599</t>
  </si>
  <si>
    <t>100001401</t>
  </si>
  <si>
    <t>100001403</t>
  </si>
  <si>
    <t>100001424</t>
  </si>
  <si>
    <t>100001444</t>
  </si>
  <si>
    <t>100001452</t>
  </si>
  <si>
    <t>100001453</t>
  </si>
  <si>
    <t>100001454</t>
  </si>
  <si>
    <t>100001476</t>
  </si>
  <si>
    <t>100001496</t>
  </si>
  <si>
    <t>100001501</t>
  </si>
  <si>
    <t>100001520</t>
  </si>
  <si>
    <t>100001529</t>
  </si>
  <si>
    <t>100001540</t>
  </si>
  <si>
    <t>100001560</t>
  </si>
  <si>
    <t>100001581</t>
  </si>
  <si>
    <t>100001627</t>
  </si>
  <si>
    <t>100001650</t>
  </si>
  <si>
    <t>100001445</t>
  </si>
  <si>
    <t>100001590</t>
  </si>
  <si>
    <t>100001594</t>
  </si>
  <si>
    <t>100001636</t>
  </si>
  <si>
    <t>100001667</t>
  </si>
  <si>
    <t>100001668</t>
  </si>
  <si>
    <t>SOUTHAGSOLUTION</t>
  </si>
  <si>
    <t>FARMERSALLIANCE</t>
  </si>
  <si>
    <t>100001449A</t>
  </si>
  <si>
    <t>100001409</t>
  </si>
  <si>
    <t>100001410</t>
  </si>
  <si>
    <t>100001447</t>
  </si>
  <si>
    <t>100001448</t>
  </si>
  <si>
    <t>CEIAGREEN55</t>
  </si>
  <si>
    <t>RIVERHALL</t>
  </si>
  <si>
    <t>100001468</t>
  </si>
  <si>
    <t>LINKSGREENFIELD</t>
  </si>
  <si>
    <t>100001471</t>
  </si>
  <si>
    <t>MAC4010YA1</t>
  </si>
  <si>
    <t>Dyna Flo 4-0-10YA</t>
  </si>
  <si>
    <t>100001472</t>
  </si>
  <si>
    <t>GVAGSTIM30</t>
  </si>
  <si>
    <t>100001473</t>
  </si>
  <si>
    <t>100001510</t>
  </si>
  <si>
    <t>100001512</t>
  </si>
  <si>
    <t>100001522</t>
  </si>
  <si>
    <t>100001523</t>
  </si>
  <si>
    <t>100001524</t>
  </si>
  <si>
    <t>100001525</t>
  </si>
  <si>
    <t>5-0-20 13S</t>
  </si>
  <si>
    <t>100001530</t>
  </si>
  <si>
    <t>100001532</t>
  </si>
  <si>
    <t>100001588</t>
  </si>
  <si>
    <t>100001593</t>
  </si>
  <si>
    <t>100001634</t>
  </si>
  <si>
    <t>100001640</t>
  </si>
  <si>
    <t>100001645</t>
  </si>
  <si>
    <t>100001755</t>
  </si>
  <si>
    <t>100001888</t>
  </si>
  <si>
    <t>100001889</t>
  </si>
  <si>
    <t>100001940</t>
  </si>
  <si>
    <t>100001704</t>
  </si>
  <si>
    <t>100001709</t>
  </si>
  <si>
    <t>PETRO1300</t>
  </si>
  <si>
    <t>Petro-Canada Spray Oil 13</t>
  </si>
  <si>
    <t>100001710</t>
  </si>
  <si>
    <t>TROPICOIL</t>
  </si>
  <si>
    <t>100001713</t>
  </si>
  <si>
    <t>100001756</t>
  </si>
  <si>
    <t>100001778</t>
  </si>
  <si>
    <t>100001800</t>
  </si>
  <si>
    <t>BIOGENECO</t>
  </si>
  <si>
    <t>100001817</t>
  </si>
  <si>
    <t>GRECU250</t>
  </si>
  <si>
    <t>Dyna Green Copper 5%</t>
  </si>
  <si>
    <t>GAL09.80</t>
  </si>
  <si>
    <t>BGSLUMIN250</t>
  </si>
  <si>
    <t>BioGene Luminous</t>
  </si>
  <si>
    <t>BGSPSY250</t>
  </si>
  <si>
    <t>BioGene Psy-Op</t>
  </si>
  <si>
    <t>GAL10.07</t>
  </si>
  <si>
    <t>100001831</t>
  </si>
  <si>
    <t>100001850</t>
  </si>
  <si>
    <t>100001931</t>
  </si>
  <si>
    <t>100001933</t>
  </si>
  <si>
    <t>VERDESIAN</t>
  </si>
  <si>
    <t>CHEMICAL DYNAMI</t>
  </si>
  <si>
    <t>100001946</t>
  </si>
  <si>
    <t>BIA0252002</t>
  </si>
  <si>
    <t>Nutri Phite Fungi-Phite</t>
  </si>
  <si>
    <t>GAL11.57</t>
  </si>
  <si>
    <t>BIA24016PLUS250</t>
  </si>
  <si>
    <t>Nutri Phite Plus Magnum Plus 2-40-16</t>
  </si>
  <si>
    <t>Gal13.10</t>
  </si>
  <si>
    <t>100001962</t>
  </si>
  <si>
    <t>100001963</t>
  </si>
  <si>
    <t>100001969</t>
  </si>
  <si>
    <t>100001670</t>
  </si>
  <si>
    <t>100001697</t>
  </si>
  <si>
    <t>100001715</t>
  </si>
  <si>
    <t>100001725</t>
  </si>
  <si>
    <t>100001750</t>
  </si>
  <si>
    <t>100001754</t>
  </si>
  <si>
    <t>100001776</t>
  </si>
  <si>
    <t>100001806</t>
  </si>
  <si>
    <t>100001807</t>
  </si>
  <si>
    <t>100001808</t>
  </si>
  <si>
    <t>100001818</t>
  </si>
  <si>
    <t>100001820</t>
  </si>
  <si>
    <t>100001821</t>
  </si>
  <si>
    <t>100001825</t>
  </si>
  <si>
    <t>100001860</t>
  </si>
  <si>
    <t>100001862</t>
  </si>
  <si>
    <t>100001886</t>
  </si>
  <si>
    <t>100001887</t>
  </si>
  <si>
    <t>100001892</t>
  </si>
  <si>
    <t>100001893</t>
  </si>
  <si>
    <t>100001900</t>
  </si>
  <si>
    <t>100001907</t>
  </si>
  <si>
    <t>100001910</t>
  </si>
  <si>
    <t>100001911</t>
  </si>
  <si>
    <t>100001917</t>
  </si>
  <si>
    <t>100001921</t>
  </si>
  <si>
    <t>100001922</t>
  </si>
  <si>
    <t>100001923A</t>
  </si>
  <si>
    <t>100001949</t>
  </si>
  <si>
    <t>100001955</t>
  </si>
  <si>
    <t>100001958</t>
  </si>
  <si>
    <t>100001966</t>
  </si>
  <si>
    <t>100001967</t>
  </si>
  <si>
    <t>100000993B</t>
  </si>
  <si>
    <t>100001683</t>
  </si>
  <si>
    <t>100001684</t>
  </si>
  <si>
    <t>MAC426YE</t>
  </si>
  <si>
    <t>Dyna Flo 4-2-6YE</t>
  </si>
  <si>
    <t>100001686</t>
  </si>
  <si>
    <t>100001688</t>
  </si>
  <si>
    <t>100001689</t>
  </si>
  <si>
    <t>100001690</t>
  </si>
  <si>
    <t>100001691</t>
  </si>
  <si>
    <t>100001692</t>
  </si>
  <si>
    <t>100001693</t>
  </si>
  <si>
    <t>100001694</t>
  </si>
  <si>
    <t>100001695</t>
  </si>
  <si>
    <t>100001696</t>
  </si>
  <si>
    <t>100001700</t>
  </si>
  <si>
    <t>100001701</t>
  </si>
  <si>
    <t>100001702</t>
  </si>
  <si>
    <t>100001705</t>
  </si>
  <si>
    <t>100001706</t>
  </si>
  <si>
    <t>100001707</t>
  </si>
  <si>
    <t>100001708</t>
  </si>
  <si>
    <t>100001711</t>
  </si>
  <si>
    <t>100001712A</t>
  </si>
  <si>
    <t>100001714</t>
  </si>
  <si>
    <t>100001718</t>
  </si>
  <si>
    <t>100001719</t>
  </si>
  <si>
    <t>100001720</t>
  </si>
  <si>
    <t>100001721</t>
  </si>
  <si>
    <t>100001722A</t>
  </si>
  <si>
    <t>100001723</t>
  </si>
  <si>
    <t>100001728</t>
  </si>
  <si>
    <t>100001729</t>
  </si>
  <si>
    <t>100001730</t>
  </si>
  <si>
    <t>100001731</t>
  </si>
  <si>
    <t>100001732</t>
  </si>
  <si>
    <t>100001733</t>
  </si>
  <si>
    <t>100001734</t>
  </si>
  <si>
    <t>100001735</t>
  </si>
  <si>
    <t>100001736</t>
  </si>
  <si>
    <t>100001737</t>
  </si>
  <si>
    <t>100001738</t>
  </si>
  <si>
    <t>100001739</t>
  </si>
  <si>
    <t>100001741</t>
  </si>
  <si>
    <t>100001743</t>
  </si>
  <si>
    <t>100001749</t>
  </si>
  <si>
    <t>100001751</t>
  </si>
  <si>
    <t>100001752</t>
  </si>
  <si>
    <t>100001753</t>
  </si>
  <si>
    <t>100001757</t>
  </si>
  <si>
    <t>100001758</t>
  </si>
  <si>
    <t>100001759</t>
  </si>
  <si>
    <t>100001762</t>
  </si>
  <si>
    <t>100001763</t>
  </si>
  <si>
    <t>100001764</t>
  </si>
  <si>
    <t>100001765</t>
  </si>
  <si>
    <t>100001766</t>
  </si>
  <si>
    <t>100001767</t>
  </si>
  <si>
    <t>100001770</t>
  </si>
  <si>
    <t>100001771</t>
  </si>
  <si>
    <t>100001773</t>
  </si>
  <si>
    <t>100001774</t>
  </si>
  <si>
    <t>100001777</t>
  </si>
  <si>
    <t>100001779</t>
  </si>
  <si>
    <t>100001780</t>
  </si>
  <si>
    <t>100001781</t>
  </si>
  <si>
    <t>100001782</t>
  </si>
  <si>
    <t>100001786</t>
  </si>
  <si>
    <t>100001787</t>
  </si>
  <si>
    <t>BOWLINGGREEN</t>
  </si>
  <si>
    <t>100001790</t>
  </si>
  <si>
    <t>100001794</t>
  </si>
  <si>
    <t>100001795</t>
  </si>
  <si>
    <t>100001796</t>
  </si>
  <si>
    <t>100001797</t>
  </si>
  <si>
    <t>MAC608YB17</t>
  </si>
  <si>
    <t>Dyna Flo 6-0-8 YB17</t>
  </si>
  <si>
    <t>100001801</t>
  </si>
  <si>
    <t>100001802</t>
  </si>
  <si>
    <t>100001803</t>
  </si>
  <si>
    <t>100001804</t>
  </si>
  <si>
    <t>100001805</t>
  </si>
  <si>
    <t>100001811</t>
  </si>
  <si>
    <t>100001812</t>
  </si>
  <si>
    <t>100001813</t>
  </si>
  <si>
    <t>100001819</t>
  </si>
  <si>
    <t>100001822</t>
  </si>
  <si>
    <t>100001823</t>
  </si>
  <si>
    <t>100001826</t>
  </si>
  <si>
    <t>100001827</t>
  </si>
  <si>
    <t>MAC508YB2</t>
  </si>
  <si>
    <t>Dyna Flo 5-0-8YB2</t>
  </si>
  <si>
    <t>100001828</t>
  </si>
  <si>
    <t>100001829</t>
  </si>
  <si>
    <t>MAC407YB1</t>
  </si>
  <si>
    <t>Dyna Flo 4-0-7YB1</t>
  </si>
  <si>
    <t>100001832</t>
  </si>
  <si>
    <t>100001833</t>
  </si>
  <si>
    <t>100001834</t>
  </si>
  <si>
    <t>100001837</t>
  </si>
  <si>
    <t>100001838</t>
  </si>
  <si>
    <t>100001839</t>
  </si>
  <si>
    <t>100001842</t>
  </si>
  <si>
    <t>100001845</t>
  </si>
  <si>
    <t>100001846</t>
  </si>
  <si>
    <t>100001847</t>
  </si>
  <si>
    <t>100001848</t>
  </si>
  <si>
    <t>100001849</t>
  </si>
  <si>
    <t>100001852</t>
  </si>
  <si>
    <t>100001853</t>
  </si>
  <si>
    <t>100001854</t>
  </si>
  <si>
    <t>100001856</t>
  </si>
  <si>
    <t>100001857</t>
  </si>
  <si>
    <t>100001858</t>
  </si>
  <si>
    <t>100001859</t>
  </si>
  <si>
    <t>100001863</t>
  </si>
  <si>
    <t>100001864</t>
  </si>
  <si>
    <t>100001866</t>
  </si>
  <si>
    <t>100001867</t>
  </si>
  <si>
    <t>100001868</t>
  </si>
  <si>
    <t>100001870</t>
  </si>
  <si>
    <t>100001875</t>
  </si>
  <si>
    <t>100001876</t>
  </si>
  <si>
    <t>100001877</t>
  </si>
  <si>
    <t>100001878</t>
  </si>
  <si>
    <t>MAC406YB1</t>
  </si>
  <si>
    <t>Dyna Flo 4-0-6YB1</t>
  </si>
  <si>
    <t>100001879</t>
  </si>
  <si>
    <t>100001881</t>
  </si>
  <si>
    <t>100001882</t>
  </si>
  <si>
    <t>100001883</t>
  </si>
  <si>
    <t>100001885</t>
  </si>
  <si>
    <t>100001894</t>
  </si>
  <si>
    <t>100001896</t>
  </si>
  <si>
    <t>100001897</t>
  </si>
  <si>
    <t>100001898</t>
  </si>
  <si>
    <t>100001899</t>
  </si>
  <si>
    <t>100001901</t>
  </si>
  <si>
    <t>100001902</t>
  </si>
  <si>
    <t>100001903</t>
  </si>
  <si>
    <t>100001904</t>
  </si>
  <si>
    <t>100001914</t>
  </si>
  <si>
    <t>100001915</t>
  </si>
  <si>
    <t>100001918</t>
  </si>
  <si>
    <t>100001919</t>
  </si>
  <si>
    <t>100001924</t>
  </si>
  <si>
    <t>100001926</t>
  </si>
  <si>
    <t>100001927</t>
  </si>
  <si>
    <t>100001928</t>
  </si>
  <si>
    <t>100001929</t>
  </si>
  <si>
    <t>100001930</t>
  </si>
  <si>
    <t>BROWNIVANHOE</t>
  </si>
  <si>
    <t>100001934</t>
  </si>
  <si>
    <t>100001935</t>
  </si>
  <si>
    <t>100001937</t>
  </si>
  <si>
    <t>100001942</t>
  </si>
  <si>
    <t>100001943</t>
  </si>
  <si>
    <t>100001944</t>
  </si>
  <si>
    <t>100001945</t>
  </si>
  <si>
    <t>100001948</t>
  </si>
  <si>
    <t>100001950</t>
  </si>
  <si>
    <t>100001951</t>
  </si>
  <si>
    <t>100001952</t>
  </si>
  <si>
    <t>100001953</t>
  </si>
  <si>
    <t>100001954</t>
  </si>
  <si>
    <t>100001956</t>
  </si>
  <si>
    <t>100001957</t>
  </si>
  <si>
    <t>100001961</t>
  </si>
  <si>
    <t>100001970</t>
  </si>
  <si>
    <t>100001971</t>
  </si>
  <si>
    <t>100001972</t>
  </si>
  <si>
    <t>100001973</t>
  </si>
  <si>
    <t>100001974</t>
  </si>
  <si>
    <t>100001975</t>
  </si>
  <si>
    <t>100001977</t>
  </si>
  <si>
    <t>100001669A</t>
  </si>
  <si>
    <t>100001792</t>
  </si>
  <si>
    <t>100001836</t>
  </si>
  <si>
    <t>100001861</t>
  </si>
  <si>
    <t>GRO2516181250</t>
  </si>
  <si>
    <t>Dyna Gro Nutritional 2516181</t>
  </si>
  <si>
    <t>100001932</t>
  </si>
  <si>
    <t>100001959</t>
  </si>
  <si>
    <t>100001824</t>
  </si>
  <si>
    <t>100001685</t>
  </si>
  <si>
    <t>100001744</t>
  </si>
  <si>
    <t>100001745</t>
  </si>
  <si>
    <t>100001746</t>
  </si>
  <si>
    <t>100001873</t>
  </si>
  <si>
    <t>100001874</t>
  </si>
  <si>
    <t>100001941</t>
  </si>
  <si>
    <t>100001687</t>
  </si>
  <si>
    <t>100001717</t>
  </si>
  <si>
    <t>100001742</t>
  </si>
  <si>
    <t>100001748</t>
  </si>
  <si>
    <t>100001760</t>
  </si>
  <si>
    <t>100001772</t>
  </si>
  <si>
    <t>100001788</t>
  </si>
  <si>
    <t>100001855</t>
  </si>
  <si>
    <t>100001871</t>
  </si>
  <si>
    <t>100001880</t>
  </si>
  <si>
    <t>100001884</t>
  </si>
  <si>
    <t>100001895</t>
  </si>
  <si>
    <t>100001913</t>
  </si>
  <si>
    <t>100001920</t>
  </si>
  <si>
    <t>100001699</t>
  </si>
  <si>
    <t>100001716</t>
  </si>
  <si>
    <t>100001740</t>
  </si>
  <si>
    <t>100001747</t>
  </si>
  <si>
    <t>100001783</t>
  </si>
  <si>
    <t>100001784</t>
  </si>
  <si>
    <t>100001785</t>
  </si>
  <si>
    <t>100001799</t>
  </si>
  <si>
    <t>100001844</t>
  </si>
  <si>
    <t>100001869</t>
  </si>
  <si>
    <t>100001925</t>
  </si>
  <si>
    <t>100001939</t>
  </si>
  <si>
    <t>100001947</t>
  </si>
  <si>
    <t>100001976</t>
  </si>
  <si>
    <t>100001906</t>
  </si>
  <si>
    <t>100001698</t>
  </si>
  <si>
    <t>100001724</t>
  </si>
  <si>
    <t>100001726</t>
  </si>
  <si>
    <t>100001727</t>
  </si>
  <si>
    <t>100001761</t>
  </si>
  <si>
    <t>Bio OAK/Root Driver</t>
  </si>
  <si>
    <t>BAYCOLONY</t>
  </si>
  <si>
    <t>100001775</t>
  </si>
  <si>
    <t>100001789</t>
  </si>
  <si>
    <t>FLOSEA250</t>
  </si>
  <si>
    <t>Dyna Flo Seaweed</t>
  </si>
  <si>
    <t>GAL08.48</t>
  </si>
  <si>
    <t>UPROOTED</t>
  </si>
  <si>
    <t>100001791</t>
  </si>
  <si>
    <t>100001793</t>
  </si>
  <si>
    <t>100001809</t>
  </si>
  <si>
    <t>100001810</t>
  </si>
  <si>
    <t>100001851</t>
  </si>
  <si>
    <t>100001865</t>
  </si>
  <si>
    <t>100001890</t>
  </si>
  <si>
    <t>100001891</t>
  </si>
  <si>
    <t>100001905</t>
  </si>
  <si>
    <t>ROYALWOOD</t>
  </si>
  <si>
    <t>100001908</t>
  </si>
  <si>
    <t>100001909</t>
  </si>
  <si>
    <t>100001912</t>
  </si>
  <si>
    <t>100001916</t>
  </si>
  <si>
    <t>100001936</t>
  </si>
  <si>
    <t>100001938</t>
  </si>
  <si>
    <t>100001960</t>
  </si>
  <si>
    <t>100001964</t>
  </si>
  <si>
    <t>100002064</t>
  </si>
  <si>
    <t>100002076</t>
  </si>
  <si>
    <t>100002192</t>
  </si>
  <si>
    <t>MIAMI</t>
  </si>
  <si>
    <t>100002042</t>
  </si>
  <si>
    <t>100002115</t>
  </si>
  <si>
    <t>FLGROOTTONIC250</t>
  </si>
  <si>
    <t>Root Tonic</t>
  </si>
  <si>
    <t>100002117</t>
  </si>
  <si>
    <t>100002122</t>
  </si>
  <si>
    <t>WINSTON-SALEM</t>
  </si>
  <si>
    <t>100002127</t>
  </si>
  <si>
    <t>100002130</t>
  </si>
  <si>
    <t>100002135</t>
  </si>
  <si>
    <t>100002158</t>
  </si>
  <si>
    <t>100002197</t>
  </si>
  <si>
    <t>100002201</t>
  </si>
  <si>
    <t>100002202</t>
  </si>
  <si>
    <t>100002214</t>
  </si>
  <si>
    <t>100002229</t>
  </si>
  <si>
    <t>REPACK250</t>
  </si>
  <si>
    <t>Repack: Fungi-Phite</t>
  </si>
  <si>
    <t>100002267</t>
  </si>
  <si>
    <t>100002276</t>
  </si>
  <si>
    <t>100002279</t>
  </si>
  <si>
    <t>100002294</t>
  </si>
  <si>
    <t>100001993</t>
  </si>
  <si>
    <t>100001994</t>
  </si>
  <si>
    <t>100001995</t>
  </si>
  <si>
    <t>GRO2114992250</t>
  </si>
  <si>
    <t>Dyna Gro Nut 2114992</t>
  </si>
  <si>
    <t>GAL12.07</t>
  </si>
  <si>
    <t>100001997</t>
  </si>
  <si>
    <t>100001998</t>
  </si>
  <si>
    <t>100001999</t>
  </si>
  <si>
    <t>100002002</t>
  </si>
  <si>
    <t>100002011</t>
  </si>
  <si>
    <t>100002012</t>
  </si>
  <si>
    <t>100002016</t>
  </si>
  <si>
    <t>100002022</t>
  </si>
  <si>
    <t>100002024</t>
  </si>
  <si>
    <t>100002034</t>
  </si>
  <si>
    <t>100002035</t>
  </si>
  <si>
    <t>100002038</t>
  </si>
  <si>
    <t>100002039</t>
  </si>
  <si>
    <t>100002050</t>
  </si>
  <si>
    <t>100002052</t>
  </si>
  <si>
    <t>100002060</t>
  </si>
  <si>
    <t>100002066</t>
  </si>
  <si>
    <t>100002068</t>
  </si>
  <si>
    <t>100002069</t>
  </si>
  <si>
    <t>100002081</t>
  </si>
  <si>
    <t>100002088</t>
  </si>
  <si>
    <t>100002104</t>
  </si>
  <si>
    <t>100002105</t>
  </si>
  <si>
    <t>100002106</t>
  </si>
  <si>
    <t>100002133</t>
  </si>
  <si>
    <t>100002136</t>
  </si>
  <si>
    <t>100002166</t>
  </si>
  <si>
    <t>100002177</t>
  </si>
  <si>
    <t>100002178</t>
  </si>
  <si>
    <t>100002181</t>
  </si>
  <si>
    <t>100002182</t>
  </si>
  <si>
    <t>100002183</t>
  </si>
  <si>
    <t>100002184</t>
  </si>
  <si>
    <t>100002199</t>
  </si>
  <si>
    <t>100002200</t>
  </si>
  <si>
    <t>100002209</t>
  </si>
  <si>
    <t>100002222</t>
  </si>
  <si>
    <t>100002228</t>
  </si>
  <si>
    <t>100002245A</t>
  </si>
  <si>
    <t>100002251</t>
  </si>
  <si>
    <t>100002254</t>
  </si>
  <si>
    <t>JRM Super 8 Mn</t>
  </si>
  <si>
    <t>100002255</t>
  </si>
  <si>
    <t>100002263</t>
  </si>
  <si>
    <t>100002264</t>
  </si>
  <si>
    <t>100002265</t>
  </si>
  <si>
    <t>100002266</t>
  </si>
  <si>
    <t>100002268</t>
  </si>
  <si>
    <t>100002270</t>
  </si>
  <si>
    <t>100002275</t>
  </si>
  <si>
    <t>100002280</t>
  </si>
  <si>
    <t>100002288</t>
  </si>
  <si>
    <t>100002292</t>
  </si>
  <si>
    <t>100001981</t>
  </si>
  <si>
    <t>100001982</t>
  </si>
  <si>
    <t>100001987</t>
  </si>
  <si>
    <t>100001989</t>
  </si>
  <si>
    <t>100001990</t>
  </si>
  <si>
    <t>100001991</t>
  </si>
  <si>
    <t>100001992</t>
  </si>
  <si>
    <t>100002001</t>
  </si>
  <si>
    <t>100002003</t>
  </si>
  <si>
    <t>100002004</t>
  </si>
  <si>
    <t>100002005</t>
  </si>
  <si>
    <t>100002007</t>
  </si>
  <si>
    <t>100002008</t>
  </si>
  <si>
    <t>100002009</t>
  </si>
  <si>
    <t>100002010</t>
  </si>
  <si>
    <t>100002019</t>
  </si>
  <si>
    <t>100002023</t>
  </si>
  <si>
    <t>100002025</t>
  </si>
  <si>
    <t>100002026</t>
  </si>
  <si>
    <t>100002027</t>
  </si>
  <si>
    <t>100002028</t>
  </si>
  <si>
    <t>100002029</t>
  </si>
  <si>
    <t>100002030</t>
  </si>
  <si>
    <t>100002031</t>
  </si>
  <si>
    <t>100002032</t>
  </si>
  <si>
    <t>100002040</t>
  </si>
  <si>
    <t>100002041</t>
  </si>
  <si>
    <t>100002043</t>
  </si>
  <si>
    <t>100002044</t>
  </si>
  <si>
    <t>100002051</t>
  </si>
  <si>
    <t>100002053</t>
  </si>
  <si>
    <t>100002055</t>
  </si>
  <si>
    <t>100002056</t>
  </si>
  <si>
    <t>100002057</t>
  </si>
  <si>
    <t>100002061</t>
  </si>
  <si>
    <t>100002062</t>
  </si>
  <si>
    <t>100002067</t>
  </si>
  <si>
    <t>100002070</t>
  </si>
  <si>
    <t>100002071</t>
  </si>
  <si>
    <t>100002072</t>
  </si>
  <si>
    <t>100002073</t>
  </si>
  <si>
    <t>100002074</t>
  </si>
  <si>
    <t>100002075</t>
  </si>
  <si>
    <t>MCGEERD</t>
  </si>
  <si>
    <t>100002077</t>
  </si>
  <si>
    <t>100002078</t>
  </si>
  <si>
    <t>100002082</t>
  </si>
  <si>
    <t>100002083</t>
  </si>
  <si>
    <t>100002084</t>
  </si>
  <si>
    <t>UNDERGROUNDFARM</t>
  </si>
  <si>
    <t>CAREYRD</t>
  </si>
  <si>
    <t>100002086</t>
  </si>
  <si>
    <t>100002087</t>
  </si>
  <si>
    <t>100002089</t>
  </si>
  <si>
    <t>100002090</t>
  </si>
  <si>
    <t>100002091</t>
  </si>
  <si>
    <t>100002094</t>
  </si>
  <si>
    <t>100002095</t>
  </si>
  <si>
    <t>100002096</t>
  </si>
  <si>
    <t>100002101</t>
  </si>
  <si>
    <t>FLO1137005</t>
  </si>
  <si>
    <t>100002114</t>
  </si>
  <si>
    <t>100002118</t>
  </si>
  <si>
    <t>100002120</t>
  </si>
  <si>
    <t>100002121</t>
  </si>
  <si>
    <t>100002123</t>
  </si>
  <si>
    <t>100002124</t>
  </si>
  <si>
    <t>100002125</t>
  </si>
  <si>
    <t>100002128</t>
  </si>
  <si>
    <t>100002131</t>
  </si>
  <si>
    <t>100002134</t>
  </si>
  <si>
    <t>100002137</t>
  </si>
  <si>
    <t>100002138</t>
  </si>
  <si>
    <t>100002139</t>
  </si>
  <si>
    <t>100002140</t>
  </si>
  <si>
    <t>100002141</t>
  </si>
  <si>
    <t>100002142</t>
  </si>
  <si>
    <t>100002142A</t>
  </si>
  <si>
    <t>100002145</t>
  </si>
  <si>
    <t>100002146</t>
  </si>
  <si>
    <t>100002149</t>
  </si>
  <si>
    <t>100002150</t>
  </si>
  <si>
    <t>100002151</t>
  </si>
  <si>
    <t>100002155</t>
  </si>
  <si>
    <t>100002156</t>
  </si>
  <si>
    <t>100002159</t>
  </si>
  <si>
    <t>100002160</t>
  </si>
  <si>
    <t>100002162</t>
  </si>
  <si>
    <t>100002163</t>
  </si>
  <si>
    <t>100002165</t>
  </si>
  <si>
    <t>100002167</t>
  </si>
  <si>
    <t>100002168</t>
  </si>
  <si>
    <t>100002169</t>
  </si>
  <si>
    <t>100002170</t>
  </si>
  <si>
    <t>100002172</t>
  </si>
  <si>
    <t>100002173</t>
  </si>
  <si>
    <t>100002174</t>
  </si>
  <si>
    <t>100002175</t>
  </si>
  <si>
    <t>HOPEWELL RD N.S</t>
  </si>
  <si>
    <t>100002176</t>
  </si>
  <si>
    <t>100002179</t>
  </si>
  <si>
    <t>100002180</t>
  </si>
  <si>
    <t>100002185</t>
  </si>
  <si>
    <t>100002193</t>
  </si>
  <si>
    <t>100002194</t>
  </si>
  <si>
    <t>100002195</t>
  </si>
  <si>
    <t>100002196</t>
  </si>
  <si>
    <t>100002203</t>
  </si>
  <si>
    <t>100002206</t>
  </si>
  <si>
    <t>100002208</t>
  </si>
  <si>
    <t>100002210</t>
  </si>
  <si>
    <t>100002216</t>
  </si>
  <si>
    <t>100002217</t>
  </si>
  <si>
    <t>100002218</t>
  </si>
  <si>
    <t>100002219</t>
  </si>
  <si>
    <t>100002223</t>
  </si>
  <si>
    <t>100002224</t>
  </si>
  <si>
    <t>100002225</t>
  </si>
  <si>
    <t>100002226</t>
  </si>
  <si>
    <t>100002230</t>
  </si>
  <si>
    <t>100002231</t>
  </si>
  <si>
    <t>100002232</t>
  </si>
  <si>
    <t>100002233</t>
  </si>
  <si>
    <t>100002234</t>
  </si>
  <si>
    <t>100002236</t>
  </si>
  <si>
    <t>100002237</t>
  </si>
  <si>
    <t>100002240</t>
  </si>
  <si>
    <t>100002241</t>
  </si>
  <si>
    <t>100002242</t>
  </si>
  <si>
    <t>100002243</t>
  </si>
  <si>
    <t>100002244</t>
  </si>
  <si>
    <t>100002247</t>
  </si>
  <si>
    <t>100002248</t>
  </si>
  <si>
    <t>100002249</t>
  </si>
  <si>
    <t>100002256</t>
  </si>
  <si>
    <t>100002257</t>
  </si>
  <si>
    <t>100002258</t>
  </si>
  <si>
    <t>100002259</t>
  </si>
  <si>
    <t>100002260</t>
  </si>
  <si>
    <t>100002262</t>
  </si>
  <si>
    <t>100002272</t>
  </si>
  <si>
    <t>100002273</t>
  </si>
  <si>
    <t>100002282</t>
  </si>
  <si>
    <t>100002283</t>
  </si>
  <si>
    <t>100002284</t>
  </si>
  <si>
    <t>100002285</t>
  </si>
  <si>
    <t>100002286</t>
  </si>
  <si>
    <t>100002289</t>
  </si>
  <si>
    <t>100002290</t>
  </si>
  <si>
    <t>100002295</t>
  </si>
  <si>
    <t>100002296</t>
  </si>
  <si>
    <t>100002187</t>
  </si>
  <si>
    <t>100002205</t>
  </si>
  <si>
    <t>100002100</t>
  </si>
  <si>
    <t>ERICSCOTT</t>
  </si>
  <si>
    <t>100002148</t>
  </si>
  <si>
    <t>100001978</t>
  </si>
  <si>
    <t>100001979</t>
  </si>
  <si>
    <t>100001980</t>
  </si>
  <si>
    <t>100002000</t>
  </si>
  <si>
    <t>100002013</t>
  </si>
  <si>
    <t>100002014</t>
  </si>
  <si>
    <t>GRETF05</t>
  </si>
  <si>
    <t>100002015</t>
  </si>
  <si>
    <t>100002018</t>
  </si>
  <si>
    <t>MAC808XS1</t>
  </si>
  <si>
    <t>Dyna Flo 8-0-8 XS1</t>
  </si>
  <si>
    <t>100002046</t>
  </si>
  <si>
    <t>100002047</t>
  </si>
  <si>
    <t>100002048</t>
  </si>
  <si>
    <t>100002049</t>
  </si>
  <si>
    <t>100002102</t>
  </si>
  <si>
    <t>100002103</t>
  </si>
  <si>
    <t>TRIANGLE/BRAN</t>
  </si>
  <si>
    <t>100002113</t>
  </si>
  <si>
    <t>100002152</t>
  </si>
  <si>
    <t>100002153</t>
  </si>
  <si>
    <t>MAC2800YS</t>
  </si>
  <si>
    <t>Dyna Flo 28-0-0 5%S</t>
  </si>
  <si>
    <t>100002198</t>
  </si>
  <si>
    <t>100001986</t>
  </si>
  <si>
    <t>100002020</t>
  </si>
  <si>
    <t>100002033</t>
  </si>
  <si>
    <t>100002111</t>
  </si>
  <si>
    <t>100002112</t>
  </si>
  <si>
    <t>100002132</t>
  </si>
  <si>
    <t>100002144</t>
  </si>
  <si>
    <t>100002164</t>
  </si>
  <si>
    <t>100002171</t>
  </si>
  <si>
    <t>100002215</t>
  </si>
  <si>
    <t>100002252</t>
  </si>
  <si>
    <t>100002274</t>
  </si>
  <si>
    <t>100002281</t>
  </si>
  <si>
    <t>100002291</t>
  </si>
  <si>
    <t>100001983</t>
  </si>
  <si>
    <t>100001988</t>
  </si>
  <si>
    <t>100002054</t>
  </si>
  <si>
    <t>100002058</t>
  </si>
  <si>
    <t>100002059</t>
  </si>
  <si>
    <t>100002092</t>
  </si>
  <si>
    <t>100002093</t>
  </si>
  <si>
    <t>100002097</t>
  </si>
  <si>
    <t>GOLDMN30</t>
  </si>
  <si>
    <t>GOLDMG30</t>
  </si>
  <si>
    <t>100002098</t>
  </si>
  <si>
    <t>100002099</t>
  </si>
  <si>
    <t>100002116</t>
  </si>
  <si>
    <t>100002147</t>
  </si>
  <si>
    <t>100002161</t>
  </si>
  <si>
    <t>100002188</t>
  </si>
  <si>
    <t>100002189</t>
  </si>
  <si>
    <t>100002190</t>
  </si>
  <si>
    <t>100002191</t>
  </si>
  <si>
    <t>100002211</t>
  </si>
  <si>
    <t>100002212</t>
  </si>
  <si>
    <t>100002250</t>
  </si>
  <si>
    <t>100002253</t>
  </si>
  <si>
    <t>100002261</t>
  </si>
  <si>
    <t>100002269</t>
  </si>
  <si>
    <t>100002277</t>
  </si>
  <si>
    <t>100002129A</t>
  </si>
  <si>
    <t>100002221</t>
  </si>
  <si>
    <t>100002006</t>
  </si>
  <si>
    <t>GRECORN250</t>
  </si>
  <si>
    <t>Dyna Green Corn Mix</t>
  </si>
  <si>
    <t>100001996</t>
  </si>
  <si>
    <t>100002021</t>
  </si>
  <si>
    <t>100002036</t>
  </si>
  <si>
    <t>100002037</t>
  </si>
  <si>
    <t>100002063</t>
  </si>
  <si>
    <t>100002065</t>
  </si>
  <si>
    <t>100002079</t>
  </si>
  <si>
    <t>100002080</t>
  </si>
  <si>
    <t>100002107</t>
  </si>
  <si>
    <t>100002108</t>
  </si>
  <si>
    <t>100002154</t>
  </si>
  <si>
    <t>100002207</t>
  </si>
  <si>
    <t>100002213</t>
  </si>
  <si>
    <t>100002220</t>
  </si>
  <si>
    <t>100002235</t>
  </si>
  <si>
    <t>100002238</t>
  </si>
  <si>
    <t>100002239</t>
  </si>
  <si>
    <t>100002271</t>
  </si>
  <si>
    <t>100002332</t>
  </si>
  <si>
    <t>100002367</t>
  </si>
  <si>
    <t>100002447</t>
  </si>
  <si>
    <t>100002448</t>
  </si>
  <si>
    <t>100002497</t>
  </si>
  <si>
    <t>100002500</t>
  </si>
  <si>
    <t>100002501</t>
  </si>
  <si>
    <t>100002308</t>
  </si>
  <si>
    <t>100002321</t>
  </si>
  <si>
    <t>100002324</t>
  </si>
  <si>
    <t>100002327</t>
  </si>
  <si>
    <t>100002329</t>
  </si>
  <si>
    <t>100002343</t>
  </si>
  <si>
    <t>100002406</t>
  </si>
  <si>
    <t>GRIFFIN</t>
  </si>
  <si>
    <t>100002410</t>
  </si>
  <si>
    <t>100002425</t>
  </si>
  <si>
    <t>GRPALGAE</t>
  </si>
  <si>
    <t>OceanGlas</t>
  </si>
  <si>
    <t>100002442</t>
  </si>
  <si>
    <t>100002453</t>
  </si>
  <si>
    <t>Repack: FulviX</t>
  </si>
  <si>
    <t>100002468</t>
  </si>
  <si>
    <t>100002469</t>
  </si>
  <si>
    <t>100002488</t>
  </si>
  <si>
    <t>100002489</t>
  </si>
  <si>
    <t>100002504</t>
  </si>
  <si>
    <t>100002511</t>
  </si>
  <si>
    <t>100002530A</t>
  </si>
  <si>
    <t>DIAMONDR</t>
  </si>
  <si>
    <t>100002539</t>
  </si>
  <si>
    <t>100002545</t>
  </si>
  <si>
    <t>100002562</t>
  </si>
  <si>
    <t>100002578</t>
  </si>
  <si>
    <t>100002303</t>
  </si>
  <si>
    <t>100002305</t>
  </si>
  <si>
    <t>100002307</t>
  </si>
  <si>
    <t>100002320</t>
  </si>
  <si>
    <t>100002322</t>
  </si>
  <si>
    <t>100002323</t>
  </si>
  <si>
    <t>100002334</t>
  </si>
  <si>
    <t>100002335</t>
  </si>
  <si>
    <t>100002338</t>
  </si>
  <si>
    <t>100002349</t>
  </si>
  <si>
    <t>100002357</t>
  </si>
  <si>
    <t>100002360</t>
  </si>
  <si>
    <t>100002371</t>
  </si>
  <si>
    <t>100002372</t>
  </si>
  <si>
    <t>100002376</t>
  </si>
  <si>
    <t>100002379</t>
  </si>
  <si>
    <t>100002392</t>
  </si>
  <si>
    <t>100002393</t>
  </si>
  <si>
    <t>100002394</t>
  </si>
  <si>
    <t>100002396</t>
  </si>
  <si>
    <t>100002405</t>
  </si>
  <si>
    <t>100002418</t>
  </si>
  <si>
    <t>100002419</t>
  </si>
  <si>
    <t>100002426</t>
  </si>
  <si>
    <t>100002427</t>
  </si>
  <si>
    <t>100002458</t>
  </si>
  <si>
    <t>100002459</t>
  </si>
  <si>
    <t>100002461</t>
  </si>
  <si>
    <t>100002462</t>
  </si>
  <si>
    <t>100002475</t>
  </si>
  <si>
    <t>100002487</t>
  </si>
  <si>
    <t>100002518</t>
  </si>
  <si>
    <t>100002522</t>
  </si>
  <si>
    <t>100002525</t>
  </si>
  <si>
    <t>100002527</t>
  </si>
  <si>
    <t>100002528</t>
  </si>
  <si>
    <t>100002548</t>
  </si>
  <si>
    <t>100002556</t>
  </si>
  <si>
    <t>GRO779250</t>
  </si>
  <si>
    <t>GROMG63250</t>
  </si>
  <si>
    <t>100002560</t>
  </si>
  <si>
    <t>100002306</t>
  </si>
  <si>
    <t>100002309</t>
  </si>
  <si>
    <t>100002311</t>
  </si>
  <si>
    <t>100002312</t>
  </si>
  <si>
    <t>100002313</t>
  </si>
  <si>
    <t>100002315</t>
  </si>
  <si>
    <t>100002316</t>
  </si>
  <si>
    <t>100002326</t>
  </si>
  <si>
    <t>100002328</t>
  </si>
  <si>
    <t>100002330</t>
  </si>
  <si>
    <t>100002331</t>
  </si>
  <si>
    <t>100002333</t>
  </si>
  <si>
    <t>100002341</t>
  </si>
  <si>
    <t>100002344</t>
  </si>
  <si>
    <t>100002345</t>
  </si>
  <si>
    <t>100002350</t>
  </si>
  <si>
    <t>100002351</t>
  </si>
  <si>
    <t>100002352</t>
  </si>
  <si>
    <t>100002354</t>
  </si>
  <si>
    <t>100002356</t>
  </si>
  <si>
    <t>100002361</t>
  </si>
  <si>
    <t>100002362</t>
  </si>
  <si>
    <t>100002363</t>
  </si>
  <si>
    <t>100002366</t>
  </si>
  <si>
    <t>100002369</t>
  </si>
  <si>
    <t>100002370</t>
  </si>
  <si>
    <t>100002374</t>
  </si>
  <si>
    <t>NORTHWILDERRD</t>
  </si>
  <si>
    <t>100002377</t>
  </si>
  <si>
    <t>100002381</t>
  </si>
  <si>
    <t>100002382</t>
  </si>
  <si>
    <t>100002383</t>
  </si>
  <si>
    <t>100002386</t>
  </si>
  <si>
    <t>100002387</t>
  </si>
  <si>
    <t>100002388</t>
  </si>
  <si>
    <t>100002389</t>
  </si>
  <si>
    <t>MAC608YB11</t>
  </si>
  <si>
    <t>Dyna Flo 6-0-8YB11</t>
  </si>
  <si>
    <t>100002390</t>
  </si>
  <si>
    <t>100002391</t>
  </si>
  <si>
    <t>100002395</t>
  </si>
  <si>
    <t>100002397</t>
  </si>
  <si>
    <t>100002399</t>
  </si>
  <si>
    <t>100002403</t>
  </si>
  <si>
    <t>100002409</t>
  </si>
  <si>
    <t>100002411</t>
  </si>
  <si>
    <t>100002412</t>
  </si>
  <si>
    <t>100002413</t>
  </si>
  <si>
    <t>100002414</t>
  </si>
  <si>
    <t>100002416</t>
  </si>
  <si>
    <t>100002421</t>
  </si>
  <si>
    <t>100002422</t>
  </si>
  <si>
    <t>100002423</t>
  </si>
  <si>
    <t>100002424</t>
  </si>
  <si>
    <t>100002428</t>
  </si>
  <si>
    <t>100002429</t>
  </si>
  <si>
    <t>100002430</t>
  </si>
  <si>
    <t>100002431</t>
  </si>
  <si>
    <t>100002432</t>
  </si>
  <si>
    <t>100002436</t>
  </si>
  <si>
    <t>100002437</t>
  </si>
  <si>
    <t>100002438</t>
  </si>
  <si>
    <t>100002439</t>
  </si>
  <si>
    <t>100002440</t>
  </si>
  <si>
    <t>100002441</t>
  </si>
  <si>
    <t>100002444</t>
  </si>
  <si>
    <t>100002445</t>
  </si>
  <si>
    <t>100002449</t>
  </si>
  <si>
    <t>100002450</t>
  </si>
  <si>
    <t>100002451</t>
  </si>
  <si>
    <t>100002452</t>
  </si>
  <si>
    <t>100002456</t>
  </si>
  <si>
    <t>100002457</t>
  </si>
  <si>
    <t>MAC5010B</t>
  </si>
  <si>
    <t>Dyna Flo 5-0-10B</t>
  </si>
  <si>
    <t>100002460</t>
  </si>
  <si>
    <t>100002464</t>
  </si>
  <si>
    <t>100002467</t>
  </si>
  <si>
    <t>100002470</t>
  </si>
  <si>
    <t>100002472</t>
  </si>
  <si>
    <t>100002473</t>
  </si>
  <si>
    <t>100002476</t>
  </si>
  <si>
    <t>100002477</t>
  </si>
  <si>
    <t>100002478</t>
  </si>
  <si>
    <t>100002479</t>
  </si>
  <si>
    <t>100002480</t>
  </si>
  <si>
    <t>100002481</t>
  </si>
  <si>
    <t>100002482</t>
  </si>
  <si>
    <t>100002483</t>
  </si>
  <si>
    <t>100002484</t>
  </si>
  <si>
    <t>100002485</t>
  </si>
  <si>
    <t>100002490</t>
  </si>
  <si>
    <t>100002491</t>
  </si>
  <si>
    <t>100002494</t>
  </si>
  <si>
    <t>100002495</t>
  </si>
  <si>
    <t>100002499</t>
  </si>
  <si>
    <t>100002502</t>
  </si>
  <si>
    <t>100002503</t>
  </si>
  <si>
    <t>100002505</t>
  </si>
  <si>
    <t>100002507</t>
  </si>
  <si>
    <t>100002508</t>
  </si>
  <si>
    <t>100002509</t>
  </si>
  <si>
    <t>100002512</t>
  </si>
  <si>
    <t>100002513</t>
  </si>
  <si>
    <t>100002514</t>
  </si>
  <si>
    <t>100002515</t>
  </si>
  <si>
    <t>100002519</t>
  </si>
  <si>
    <t>100002520</t>
  </si>
  <si>
    <t>100002521</t>
  </si>
  <si>
    <t>MAC428XH</t>
  </si>
  <si>
    <t>Dyna Flo 4-2-8  XH</t>
  </si>
  <si>
    <t>100002524</t>
  </si>
  <si>
    <t>100002529</t>
  </si>
  <si>
    <t>100002532</t>
  </si>
  <si>
    <t>100002533</t>
  </si>
  <si>
    <t>100002534</t>
  </si>
  <si>
    <t>100002535</t>
  </si>
  <si>
    <t>100002542</t>
  </si>
  <si>
    <t>100002543</t>
  </si>
  <si>
    <t>100002546</t>
  </si>
  <si>
    <t>100002549</t>
  </si>
  <si>
    <t>100002550</t>
  </si>
  <si>
    <t>100002551</t>
  </si>
  <si>
    <t>100002554</t>
  </si>
  <si>
    <t>100002556A</t>
  </si>
  <si>
    <t>100002567</t>
  </si>
  <si>
    <t>100002568</t>
  </si>
  <si>
    <t>100002569</t>
  </si>
  <si>
    <t>100002575</t>
  </si>
  <si>
    <t>100002576</t>
  </si>
  <si>
    <t>100002577</t>
  </si>
  <si>
    <t>100002579</t>
  </si>
  <si>
    <t>100002580</t>
  </si>
  <si>
    <t>100002582</t>
  </si>
  <si>
    <t>100002583</t>
  </si>
  <si>
    <t>100002584</t>
  </si>
  <si>
    <t>100002337</t>
  </si>
  <si>
    <t>100002347</t>
  </si>
  <si>
    <t>100002348</t>
  </si>
  <si>
    <t>100002404</t>
  </si>
  <si>
    <t>100002547</t>
  </si>
  <si>
    <t>FLO601002</t>
  </si>
  <si>
    <t>Dyna Flo 6-0-10 Palm Mix</t>
  </si>
  <si>
    <t>100002553</t>
  </si>
  <si>
    <t>100002300</t>
  </si>
  <si>
    <t>100002302</t>
  </si>
  <si>
    <t>100002314</t>
  </si>
  <si>
    <t>100002317</t>
  </si>
  <si>
    <t>100002342</t>
  </si>
  <si>
    <t>100002355</t>
  </si>
  <si>
    <t>100002433</t>
  </si>
  <si>
    <t>TYLERPIKE</t>
  </si>
  <si>
    <t>CPSTRENTON</t>
  </si>
  <si>
    <t>100002434</t>
  </si>
  <si>
    <t>100002435</t>
  </si>
  <si>
    <t>Dyna Green Potato Mix / LiquiLizer Potato Mix</t>
  </si>
  <si>
    <t>JERRYMILLS</t>
  </si>
  <si>
    <t>100002486</t>
  </si>
  <si>
    <t>100002492</t>
  </si>
  <si>
    <t>100002516</t>
  </si>
  <si>
    <t>100002517A</t>
  </si>
  <si>
    <t>FLO6200250</t>
  </si>
  <si>
    <t>Dyna Flo 6-20-0</t>
  </si>
  <si>
    <t>100002563</t>
  </si>
  <si>
    <t>100002574</t>
  </si>
  <si>
    <t>100002310</t>
  </si>
  <si>
    <t>100002364</t>
  </si>
  <si>
    <t>100002368</t>
  </si>
  <si>
    <t>100002443</t>
  </si>
  <si>
    <t>100002454</t>
  </si>
  <si>
    <t>100002506</t>
  </si>
  <si>
    <t>100002531</t>
  </si>
  <si>
    <t>100002536</t>
  </si>
  <si>
    <t>100002558A</t>
  </si>
  <si>
    <t>100002573</t>
  </si>
  <si>
    <t>100002287</t>
  </si>
  <si>
    <t>100002301</t>
  </si>
  <si>
    <t>100002325</t>
  </si>
  <si>
    <t>100002346</t>
  </si>
  <si>
    <t>100002353</t>
  </si>
  <si>
    <t>100002384</t>
  </si>
  <si>
    <t>100002385</t>
  </si>
  <si>
    <t>100002398</t>
  </si>
  <si>
    <t>100002446</t>
  </si>
  <si>
    <t>100002466</t>
  </si>
  <si>
    <t>100002471</t>
  </si>
  <si>
    <t>KNOLLWOODGC</t>
  </si>
  <si>
    <t>100002498</t>
  </si>
  <si>
    <t>100002523</t>
  </si>
  <si>
    <t>MEHERRIN/COOLIG</t>
  </si>
  <si>
    <t>100002538</t>
  </si>
  <si>
    <t>SOUTHERNPINES</t>
  </si>
  <si>
    <t>100002552</t>
  </si>
  <si>
    <t>100002415</t>
  </si>
  <si>
    <t>100002304</t>
  </si>
  <si>
    <t>100002318</t>
  </si>
  <si>
    <t>100002336</t>
  </si>
  <si>
    <t>100002339A</t>
  </si>
  <si>
    <t>100002340A</t>
  </si>
  <si>
    <t>100002358</t>
  </si>
  <si>
    <t>FLITECOMP02</t>
  </si>
  <si>
    <t>Flite Flow Complete</t>
  </si>
  <si>
    <t>GAL08.61</t>
  </si>
  <si>
    <t>100002359</t>
  </si>
  <si>
    <t>100002378</t>
  </si>
  <si>
    <t>OLDCORKSCREWGC</t>
  </si>
  <si>
    <t>100002380</t>
  </si>
  <si>
    <t>100002407</t>
  </si>
  <si>
    <t>100002408</t>
  </si>
  <si>
    <t>100002420</t>
  </si>
  <si>
    <t>100002463</t>
  </si>
  <si>
    <t>100002496</t>
  </si>
  <si>
    <t>100002510</t>
  </si>
  <si>
    <t>LELYRESORT</t>
  </si>
  <si>
    <t>100002526</t>
  </si>
  <si>
    <t>100002540</t>
  </si>
  <si>
    <t>100002541</t>
  </si>
  <si>
    <t>100002544</t>
  </si>
  <si>
    <t>100002555</t>
  </si>
  <si>
    <t>100002557</t>
  </si>
  <si>
    <t>100002561</t>
  </si>
  <si>
    <t>100002581</t>
  </si>
  <si>
    <t>100002585</t>
  </si>
  <si>
    <t>100002607</t>
  </si>
  <si>
    <t>100002661</t>
  </si>
  <si>
    <t>100002665</t>
  </si>
  <si>
    <t>100002741</t>
  </si>
  <si>
    <t>100002609</t>
  </si>
  <si>
    <t>100002625</t>
  </si>
  <si>
    <t>UAP-WAUCHULA</t>
  </si>
  <si>
    <t>100002670</t>
  </si>
  <si>
    <t>100002682</t>
  </si>
  <si>
    <t>100002692</t>
  </si>
  <si>
    <t>100002704</t>
  </si>
  <si>
    <t>100002709</t>
  </si>
  <si>
    <t>100002711</t>
  </si>
  <si>
    <t>100002718</t>
  </si>
  <si>
    <t>100002725</t>
  </si>
  <si>
    <t>100002745A</t>
  </si>
  <si>
    <t>100002764</t>
  </si>
  <si>
    <t>100002779</t>
  </si>
  <si>
    <t>100002782</t>
  </si>
  <si>
    <t>100002597</t>
  </si>
  <si>
    <t>100002618</t>
  </si>
  <si>
    <t>100002619</t>
  </si>
  <si>
    <t>100002620</t>
  </si>
  <si>
    <t>100002630</t>
  </si>
  <si>
    <t>100002642</t>
  </si>
  <si>
    <t>KINGSWAYRD</t>
  </si>
  <si>
    <t>100002654</t>
  </si>
  <si>
    <t>100002655A</t>
  </si>
  <si>
    <t>100002664</t>
  </si>
  <si>
    <t>100002672</t>
  </si>
  <si>
    <t>100002674</t>
  </si>
  <si>
    <t>100002676</t>
  </si>
  <si>
    <t>GROMZN02</t>
  </si>
  <si>
    <t>Dyna Gro MZN</t>
  </si>
  <si>
    <t>100002678</t>
  </si>
  <si>
    <t>100002687</t>
  </si>
  <si>
    <t>100002694</t>
  </si>
  <si>
    <t>100002710</t>
  </si>
  <si>
    <t>100002714A</t>
  </si>
  <si>
    <t>100002716</t>
  </si>
  <si>
    <t>100002722</t>
  </si>
  <si>
    <t>100002735</t>
  </si>
  <si>
    <t>100002738</t>
  </si>
  <si>
    <t>100002739</t>
  </si>
  <si>
    <t>GROZN250</t>
  </si>
  <si>
    <t>100002740</t>
  </si>
  <si>
    <t>100002742</t>
  </si>
  <si>
    <t>100002747</t>
  </si>
  <si>
    <t>100002748</t>
  </si>
  <si>
    <t>100002757</t>
  </si>
  <si>
    <t>100002758</t>
  </si>
  <si>
    <t>100002759</t>
  </si>
  <si>
    <t>100002760</t>
  </si>
  <si>
    <t>100002761</t>
  </si>
  <si>
    <t>100002763</t>
  </si>
  <si>
    <t>100002769</t>
  </si>
  <si>
    <t>100002777</t>
  </si>
  <si>
    <t>100002778</t>
  </si>
  <si>
    <t>100002588</t>
  </si>
  <si>
    <t>100002589</t>
  </si>
  <si>
    <t>100002592</t>
  </si>
  <si>
    <t>100002593</t>
  </si>
  <si>
    <t>100002595</t>
  </si>
  <si>
    <t>100002598</t>
  </si>
  <si>
    <t>100002599A</t>
  </si>
  <si>
    <t>100002603</t>
  </si>
  <si>
    <t>100002604</t>
  </si>
  <si>
    <t>100002610</t>
  </si>
  <si>
    <t>100002611</t>
  </si>
  <si>
    <t>100002612</t>
  </si>
  <si>
    <t>100002613</t>
  </si>
  <si>
    <t>100002615</t>
  </si>
  <si>
    <t>100002616</t>
  </si>
  <si>
    <t>100002617</t>
  </si>
  <si>
    <t>LEANING-P</t>
  </si>
  <si>
    <t>BLOUNT RD</t>
  </si>
  <si>
    <t>100002621</t>
  </si>
  <si>
    <t>100002622</t>
  </si>
  <si>
    <t>100002623</t>
  </si>
  <si>
    <t>100002624</t>
  </si>
  <si>
    <t>100002626</t>
  </si>
  <si>
    <t>100002627</t>
  </si>
  <si>
    <t>100002628</t>
  </si>
  <si>
    <t>100002637</t>
  </si>
  <si>
    <t>100002640</t>
  </si>
  <si>
    <t>100002644</t>
  </si>
  <si>
    <t>100002648</t>
  </si>
  <si>
    <t>100002649</t>
  </si>
  <si>
    <t>100002656</t>
  </si>
  <si>
    <t>100002657</t>
  </si>
  <si>
    <t>100002659</t>
  </si>
  <si>
    <t>100002662</t>
  </si>
  <si>
    <t>100002663</t>
  </si>
  <si>
    <t>100002666</t>
  </si>
  <si>
    <t>TRAPNELL/WEST</t>
  </si>
  <si>
    <t>100002667</t>
  </si>
  <si>
    <t>100002668</t>
  </si>
  <si>
    <t>100002683</t>
  </si>
  <si>
    <t>100002684</t>
  </si>
  <si>
    <t>100002688</t>
  </si>
  <si>
    <t>100002689</t>
  </si>
  <si>
    <t>100002690</t>
  </si>
  <si>
    <t>100002691</t>
  </si>
  <si>
    <t>100002697</t>
  </si>
  <si>
    <t>100002698</t>
  </si>
  <si>
    <t>100002699</t>
  </si>
  <si>
    <t>100002701</t>
  </si>
  <si>
    <t>100002705</t>
  </si>
  <si>
    <t>100002715</t>
  </si>
  <si>
    <t>100002719</t>
  </si>
  <si>
    <t>100002720</t>
  </si>
  <si>
    <t>100002730</t>
  </si>
  <si>
    <t>100002732</t>
  </si>
  <si>
    <t>100002737</t>
  </si>
  <si>
    <t>100002749</t>
  </si>
  <si>
    <t>100002762</t>
  </si>
  <si>
    <t>100002768</t>
  </si>
  <si>
    <t>100002783</t>
  </si>
  <si>
    <t>100002786</t>
  </si>
  <si>
    <t>100002601</t>
  </si>
  <si>
    <t>100002635</t>
  </si>
  <si>
    <t>SANCARLOSCC</t>
  </si>
  <si>
    <t>100002695</t>
  </si>
  <si>
    <t>100002754</t>
  </si>
  <si>
    <t>100002781</t>
  </si>
  <si>
    <t>100002590</t>
  </si>
  <si>
    <t>CIRCLEDR</t>
  </si>
  <si>
    <t>100002594</t>
  </si>
  <si>
    <t>100002608</t>
  </si>
  <si>
    <t>MAC608ZK</t>
  </si>
  <si>
    <t>Dyna Flo 6-0-8 ZK</t>
  </si>
  <si>
    <t>100002651</t>
  </si>
  <si>
    <t>FLO1500602</t>
  </si>
  <si>
    <t>Vented Dyna Flo 15-0-0 6Fe</t>
  </si>
  <si>
    <t>100002652</t>
  </si>
  <si>
    <t>MAC1407B</t>
  </si>
  <si>
    <t>Dyna Flo 14-0-7 B</t>
  </si>
  <si>
    <t>100002653</t>
  </si>
  <si>
    <t>100002712</t>
  </si>
  <si>
    <t>100002713</t>
  </si>
  <si>
    <t>100002734</t>
  </si>
  <si>
    <t>100002743</t>
  </si>
  <si>
    <t>100002770</t>
  </si>
  <si>
    <t>100002771</t>
  </si>
  <si>
    <t>100002774</t>
  </si>
  <si>
    <t>100002775</t>
  </si>
  <si>
    <t>100002591</t>
  </si>
  <si>
    <t>100002650</t>
  </si>
  <si>
    <t>100002671</t>
  </si>
  <si>
    <t>100002700</t>
  </si>
  <si>
    <t>100002729</t>
  </si>
  <si>
    <t>100002780</t>
  </si>
  <si>
    <t>MAC1055ZB1</t>
  </si>
  <si>
    <t>Dyna Flo 10-5-5 ZB1</t>
  </si>
  <si>
    <t>100002784</t>
  </si>
  <si>
    <t>100002614</t>
  </si>
  <si>
    <t>THISTLEGC</t>
  </si>
  <si>
    <t>100002646</t>
  </si>
  <si>
    <t>MADISONCOOP</t>
  </si>
  <si>
    <t>100002647</t>
  </si>
  <si>
    <t>100002669</t>
  </si>
  <si>
    <t>PRIMLANDRESORT</t>
  </si>
  <si>
    <t>100002702</t>
  </si>
  <si>
    <t>100002708</t>
  </si>
  <si>
    <t>100002717</t>
  </si>
  <si>
    <t>100002726</t>
  </si>
  <si>
    <t>100002727</t>
  </si>
  <si>
    <t>100002728</t>
  </si>
  <si>
    <t>100002731</t>
  </si>
  <si>
    <t>100002744</t>
  </si>
  <si>
    <t>100002746</t>
  </si>
  <si>
    <t>100002596A</t>
  </si>
  <si>
    <t>100002606</t>
  </si>
  <si>
    <t>CAPUTOPEST</t>
  </si>
  <si>
    <t>100002634</t>
  </si>
  <si>
    <t>GVGR8THIO55</t>
  </si>
  <si>
    <t>SUNTREECC</t>
  </si>
  <si>
    <t>100002636</t>
  </si>
  <si>
    <t>100002638</t>
  </si>
  <si>
    <t>GV 5-0-20-13S Liquid Turf Nutritional</t>
  </si>
  <si>
    <t>100002639</t>
  </si>
  <si>
    <t>100002658</t>
  </si>
  <si>
    <t>100002660</t>
  </si>
  <si>
    <t>100002673</t>
  </si>
  <si>
    <t>MACMG</t>
  </si>
  <si>
    <t>Mag-Nite</t>
  </si>
  <si>
    <t>100002675</t>
  </si>
  <si>
    <t>100002679</t>
  </si>
  <si>
    <t>Dyna Gold Peanut</t>
  </si>
  <si>
    <t>100002680</t>
  </si>
  <si>
    <t>100002681</t>
  </si>
  <si>
    <t>100002686</t>
  </si>
  <si>
    <t>100002703</t>
  </si>
  <si>
    <t>100002707</t>
  </si>
  <si>
    <t>100002721</t>
  </si>
  <si>
    <t>100002723</t>
  </si>
  <si>
    <t>100002724</t>
  </si>
  <si>
    <t>100002733</t>
  </si>
  <si>
    <t>100002752</t>
  </si>
  <si>
    <t>100002753</t>
  </si>
  <si>
    <t>CITYOFLAKEWALES</t>
  </si>
  <si>
    <t>100002755</t>
  </si>
  <si>
    <t>CRYSTALLAKECLUB</t>
  </si>
  <si>
    <t>100002756</t>
  </si>
  <si>
    <t>100002765</t>
  </si>
  <si>
    <t>100002766</t>
  </si>
  <si>
    <t>100002767</t>
  </si>
  <si>
    <t>100002772</t>
  </si>
  <si>
    <t>GOLDFE55</t>
  </si>
  <si>
    <t>VIKINGSLLC</t>
  </si>
  <si>
    <t>100002776</t>
  </si>
  <si>
    <t>100002891</t>
  </si>
  <si>
    <t>100002864</t>
  </si>
  <si>
    <t>100002818</t>
  </si>
  <si>
    <t>DANIELHILLIARD</t>
  </si>
  <si>
    <t>100002836</t>
  </si>
  <si>
    <t>100002795</t>
  </si>
  <si>
    <t>100002892</t>
  </si>
  <si>
    <t>BUFORDGA</t>
  </si>
  <si>
    <t>100002901</t>
  </si>
  <si>
    <t>100002862</t>
  </si>
  <si>
    <t>100002831</t>
  </si>
  <si>
    <t>100002890</t>
  </si>
  <si>
    <t>100002814</t>
  </si>
  <si>
    <t>100002812A</t>
  </si>
  <si>
    <t>100002820</t>
  </si>
  <si>
    <t>100002875</t>
  </si>
  <si>
    <t>100002842</t>
  </si>
  <si>
    <t>100002817</t>
  </si>
  <si>
    <t>CAMPBELLGROVES</t>
  </si>
  <si>
    <t>100002838</t>
  </si>
  <si>
    <t>STORYGROVE</t>
  </si>
  <si>
    <t>HWY 27-W/SIDE</t>
  </si>
  <si>
    <t>100002840</t>
  </si>
  <si>
    <t>100002897</t>
  </si>
  <si>
    <t>100002848</t>
  </si>
  <si>
    <t>100002865</t>
  </si>
  <si>
    <t>100002805</t>
  </si>
  <si>
    <t>100002806</t>
  </si>
  <si>
    <t>100002797</t>
  </si>
  <si>
    <t>100002867</t>
  </si>
  <si>
    <t>100002872</t>
  </si>
  <si>
    <t>100002824</t>
  </si>
  <si>
    <t>100002844</t>
  </si>
  <si>
    <t>100002884</t>
  </si>
  <si>
    <t>100002853</t>
  </si>
  <si>
    <t>100002823</t>
  </si>
  <si>
    <t>100002863</t>
  </si>
  <si>
    <t>100002881</t>
  </si>
  <si>
    <t>100002796</t>
  </si>
  <si>
    <t>100002895</t>
  </si>
  <si>
    <t>100002837</t>
  </si>
  <si>
    <t>100002810</t>
  </si>
  <si>
    <t>100002879</t>
  </si>
  <si>
    <t>100002894</t>
  </si>
  <si>
    <t>100002882</t>
  </si>
  <si>
    <t>100002868</t>
  </si>
  <si>
    <t>100002841</t>
  </si>
  <si>
    <t>GAVIN</t>
  </si>
  <si>
    <t>100002800</t>
  </si>
  <si>
    <t>100002871</t>
  </si>
  <si>
    <t>100002791</t>
  </si>
  <si>
    <t>100002819</t>
  </si>
  <si>
    <t>100002851</t>
  </si>
  <si>
    <t>100002811</t>
  </si>
  <si>
    <t>100002803</t>
  </si>
  <si>
    <t>MAC628YM7</t>
  </si>
  <si>
    <t>Dyna Flo 6-2-8YM7</t>
  </si>
  <si>
    <t>100002861</t>
  </si>
  <si>
    <t>100002833</t>
  </si>
  <si>
    <t>100002900</t>
  </si>
  <si>
    <t>100002893</t>
  </si>
  <si>
    <t>100002807</t>
  </si>
  <si>
    <t>100002799</t>
  </si>
  <si>
    <t>100002869</t>
  </si>
  <si>
    <t>100002860</t>
  </si>
  <si>
    <t>100002852</t>
  </si>
  <si>
    <t>100002885</t>
  </si>
  <si>
    <t>100002802</t>
  </si>
  <si>
    <t>STOCKTON</t>
  </si>
  <si>
    <t>100002870</t>
  </si>
  <si>
    <t>100002816</t>
  </si>
  <si>
    <t>100002827</t>
  </si>
  <si>
    <t>Soar Pecan</t>
  </si>
  <si>
    <t>100002832</t>
  </si>
  <si>
    <t>100002874</t>
  </si>
  <si>
    <t>100002849</t>
  </si>
  <si>
    <t>100002850</t>
  </si>
  <si>
    <t>100002888</t>
  </si>
  <si>
    <t>100002866</t>
  </si>
  <si>
    <t>100002809</t>
  </si>
  <si>
    <t>100002790</t>
  </si>
  <si>
    <t>UAP/GA AG CHEM</t>
  </si>
  <si>
    <t>100002855</t>
  </si>
  <si>
    <t>VILLAGEOFSUGAR</t>
  </si>
  <si>
    <t>100002904</t>
  </si>
  <si>
    <t>100002830</t>
  </si>
  <si>
    <t>100002859</t>
  </si>
  <si>
    <t>100002905</t>
  </si>
  <si>
    <t>100002815</t>
  </si>
  <si>
    <t>100002876</t>
  </si>
  <si>
    <t>100002902</t>
  </si>
  <si>
    <t>100002794</t>
  </si>
  <si>
    <t>100002834</t>
  </si>
  <si>
    <t>100002793</t>
  </si>
  <si>
    <t>100002880</t>
  </si>
  <si>
    <t>FLITEAQLITE250</t>
  </si>
  <si>
    <t>Flite Aqua Lite</t>
  </si>
  <si>
    <t>PIEDMONTINDUSTR</t>
  </si>
  <si>
    <t>100002808</t>
  </si>
  <si>
    <t>ORANGETREE</t>
  </si>
  <si>
    <t>100002804</t>
  </si>
  <si>
    <t>100002873</t>
  </si>
  <si>
    <t>100002883</t>
  </si>
  <si>
    <t>100002887</t>
  </si>
  <si>
    <t>100002792</t>
  </si>
  <si>
    <t>PROGREENLAWN</t>
  </si>
  <si>
    <t>100002826</t>
  </si>
  <si>
    <t>100002898A</t>
  </si>
  <si>
    <t>100002822</t>
  </si>
  <si>
    <t>100002896</t>
  </si>
  <si>
    <t>100002877</t>
  </si>
  <si>
    <t>100002899</t>
  </si>
  <si>
    <t>GPIRONPRO55</t>
  </si>
  <si>
    <t>100002825</t>
  </si>
  <si>
    <t>100002839</t>
  </si>
  <si>
    <t>RIVERHILLS</t>
  </si>
  <si>
    <t>100002801</t>
  </si>
  <si>
    <t>100002886</t>
  </si>
  <si>
    <t>GV -0-20-13S Liquid Turf Nutritional</t>
  </si>
  <si>
    <t>100002821</t>
  </si>
  <si>
    <t>100002927</t>
  </si>
  <si>
    <t>100002928</t>
  </si>
  <si>
    <t>100002959</t>
  </si>
  <si>
    <t>HAWKS NEST</t>
  </si>
  <si>
    <t>100002965</t>
  </si>
  <si>
    <t>100002966</t>
  </si>
  <si>
    <t>100003010</t>
  </si>
  <si>
    <t>100003011</t>
  </si>
  <si>
    <t>100002911</t>
  </si>
  <si>
    <t>UAS</t>
  </si>
  <si>
    <t>100002914</t>
  </si>
  <si>
    <t>Sodium Glucoheptonate /GR-50 NVM</t>
  </si>
  <si>
    <t>100002923</t>
  </si>
  <si>
    <t>100002931</t>
  </si>
  <si>
    <t>100002938</t>
  </si>
  <si>
    <t>100002939</t>
  </si>
  <si>
    <t>100002942</t>
  </si>
  <si>
    <t>100002947</t>
  </si>
  <si>
    <t>100002948A</t>
  </si>
  <si>
    <t>100002958</t>
  </si>
  <si>
    <t>100002972</t>
  </si>
  <si>
    <t>100002985</t>
  </si>
  <si>
    <t>100003025</t>
  </si>
  <si>
    <t>100002909</t>
  </si>
  <si>
    <t>100002913</t>
  </si>
  <si>
    <t>100002916</t>
  </si>
  <si>
    <t>100002917</t>
  </si>
  <si>
    <t>100002932</t>
  </si>
  <si>
    <t>100002937</t>
  </si>
  <si>
    <t>100002944</t>
  </si>
  <si>
    <t>100002945</t>
  </si>
  <si>
    <t>100002961</t>
  </si>
  <si>
    <t>100002964</t>
  </si>
  <si>
    <t>100002971</t>
  </si>
  <si>
    <t>100002986</t>
  </si>
  <si>
    <t>100002993</t>
  </si>
  <si>
    <t>100003003</t>
  </si>
  <si>
    <t>100003004</t>
  </si>
  <si>
    <t>100003005</t>
  </si>
  <si>
    <t>100003021</t>
  </si>
  <si>
    <t>100002974</t>
  </si>
  <si>
    <t>100002978</t>
  </si>
  <si>
    <t>STANLEY ROAD</t>
  </si>
  <si>
    <t>100002989</t>
  </si>
  <si>
    <t>100002995</t>
  </si>
  <si>
    <t>100003007</t>
  </si>
  <si>
    <t>100003020</t>
  </si>
  <si>
    <t>100003024</t>
  </si>
  <si>
    <t>100002943</t>
  </si>
  <si>
    <t>100002950</t>
  </si>
  <si>
    <t>100003006</t>
  </si>
  <si>
    <t>100002930</t>
  </si>
  <si>
    <t>100002941</t>
  </si>
  <si>
    <t>100002952</t>
  </si>
  <si>
    <t>100002991</t>
  </si>
  <si>
    <t>100002994</t>
  </si>
  <si>
    <t>100003019</t>
  </si>
  <si>
    <t>100002957</t>
  </si>
  <si>
    <t>100002960</t>
  </si>
  <si>
    <t>100003008</t>
  </si>
  <si>
    <t>100003014</t>
  </si>
  <si>
    <t>100002924</t>
  </si>
  <si>
    <t>100002935</t>
  </si>
  <si>
    <t>100002953</t>
  </si>
  <si>
    <t>100002954</t>
  </si>
  <si>
    <t>100002976</t>
  </si>
  <si>
    <t>100003022</t>
  </si>
  <si>
    <t>100003023</t>
  </si>
  <si>
    <t>100003027</t>
  </si>
  <si>
    <t>100002907</t>
  </si>
  <si>
    <t>100002908</t>
  </si>
  <si>
    <t>100002910</t>
  </si>
  <si>
    <t>CYPRESSWOODS</t>
  </si>
  <si>
    <t>100002918</t>
  </si>
  <si>
    <t>GPGRC55</t>
  </si>
  <si>
    <t>100002920</t>
  </si>
  <si>
    <t>JRMMICRO55</t>
  </si>
  <si>
    <t>100002925</t>
  </si>
  <si>
    <t>100002929</t>
  </si>
  <si>
    <t>DOWNTOEARTH</t>
  </si>
  <si>
    <t>100002936</t>
  </si>
  <si>
    <t>R&amp;LTERMINAL</t>
  </si>
  <si>
    <t>100002940</t>
  </si>
  <si>
    <t>ZON1201502</t>
  </si>
  <si>
    <t>ZoneAce 12-0-15</t>
  </si>
  <si>
    <t>GAL10.56</t>
  </si>
  <si>
    <t>100002946</t>
  </si>
  <si>
    <t>DTEMOUNTDORA</t>
  </si>
  <si>
    <t>100002949</t>
  </si>
  <si>
    <t>100002951</t>
  </si>
  <si>
    <t>100002962</t>
  </si>
  <si>
    <t>100002963</t>
  </si>
  <si>
    <t>100002968</t>
  </si>
  <si>
    <t>100002969</t>
  </si>
  <si>
    <t>100002970</t>
  </si>
  <si>
    <t>100002987</t>
  </si>
  <si>
    <t>CEIAKARBN02</t>
  </si>
  <si>
    <t>Ceia KarbN</t>
  </si>
  <si>
    <t>GAL10.46</t>
  </si>
  <si>
    <t>100002988</t>
  </si>
  <si>
    <t>ESPLANADESTMARY</t>
  </si>
  <si>
    <t>100002990</t>
  </si>
  <si>
    <t>100002992</t>
  </si>
  <si>
    <t>100003001</t>
  </si>
  <si>
    <t>100003002</t>
  </si>
  <si>
    <t>100003012</t>
  </si>
  <si>
    <t>MISTYCREEKCC</t>
  </si>
  <si>
    <t>100003013</t>
  </si>
  <si>
    <t>100003018</t>
  </si>
  <si>
    <t>100003026</t>
  </si>
  <si>
    <t>FLITEAQLITE02</t>
  </si>
  <si>
    <t>FLITEBIO02</t>
  </si>
  <si>
    <t>Flite Aqua Bio</t>
  </si>
  <si>
    <t>GAL09.15</t>
  </si>
  <si>
    <t>100003035</t>
  </si>
  <si>
    <t>100003066</t>
  </si>
  <si>
    <t>100003098</t>
  </si>
  <si>
    <t>100003114A</t>
  </si>
  <si>
    <t>100003144</t>
  </si>
  <si>
    <t>100003064</t>
  </si>
  <si>
    <t>100003065</t>
  </si>
  <si>
    <t>HIALEAH</t>
  </si>
  <si>
    <t>100003087</t>
  </si>
  <si>
    <t>FLGXTBOOST+55</t>
  </si>
  <si>
    <t>FLGROOTTONIC55</t>
  </si>
  <si>
    <t>100003106</t>
  </si>
  <si>
    <t>100003109</t>
  </si>
  <si>
    <t>100003120</t>
  </si>
  <si>
    <t>FARMLOCATION</t>
  </si>
  <si>
    <t>100003143</t>
  </si>
  <si>
    <t>100003154</t>
  </si>
  <si>
    <t>FLOPHOS8555</t>
  </si>
  <si>
    <t>Phosphoric Acid 85%</t>
  </si>
  <si>
    <t>GAL14.07</t>
  </si>
  <si>
    <t>FLOPHOS85250</t>
  </si>
  <si>
    <t>100003031</t>
  </si>
  <si>
    <t>100003032</t>
  </si>
  <si>
    <t>100003038A</t>
  </si>
  <si>
    <t>100003047</t>
  </si>
  <si>
    <t>100003050</t>
  </si>
  <si>
    <t>100003061</t>
  </si>
  <si>
    <t>100003063</t>
  </si>
  <si>
    <t>100003070</t>
  </si>
  <si>
    <t>100003072</t>
  </si>
  <si>
    <t>100003080</t>
  </si>
  <si>
    <t>100003092A</t>
  </si>
  <si>
    <t>100003095</t>
  </si>
  <si>
    <t>100003102</t>
  </si>
  <si>
    <t>100003113</t>
  </si>
  <si>
    <t>100003116</t>
  </si>
  <si>
    <t>100003117</t>
  </si>
  <si>
    <t>100003118</t>
  </si>
  <si>
    <t>100003127</t>
  </si>
  <si>
    <t>100003128</t>
  </si>
  <si>
    <t>100003131</t>
  </si>
  <si>
    <t>100003132</t>
  </si>
  <si>
    <t>100003138</t>
  </si>
  <si>
    <t>100003139</t>
  </si>
  <si>
    <t>100003140</t>
  </si>
  <si>
    <t>100003148</t>
  </si>
  <si>
    <t>100003151</t>
  </si>
  <si>
    <t>100003155</t>
  </si>
  <si>
    <t>100003157</t>
  </si>
  <si>
    <t>100003034</t>
  </si>
  <si>
    <t>100003045</t>
  </si>
  <si>
    <t>100003085</t>
  </si>
  <si>
    <t>100003094</t>
  </si>
  <si>
    <t>MAC029YU</t>
  </si>
  <si>
    <t>Dyna Flo 0-2-9 YU</t>
  </si>
  <si>
    <t>100003111</t>
  </si>
  <si>
    <t>100003122</t>
  </si>
  <si>
    <t>100003125</t>
  </si>
  <si>
    <t>100003129</t>
  </si>
  <si>
    <t>MAC446XG</t>
  </si>
  <si>
    <t>Dyna Flo 4-4-6 XG</t>
  </si>
  <si>
    <t>100003130</t>
  </si>
  <si>
    <t>MILSOLU02</t>
  </si>
  <si>
    <t>MicroSul 40S</t>
  </si>
  <si>
    <t>100003142</t>
  </si>
  <si>
    <t>100003161</t>
  </si>
  <si>
    <t>100003167</t>
  </si>
  <si>
    <t>100003048A</t>
  </si>
  <si>
    <t>100003051</t>
  </si>
  <si>
    <t>100003078</t>
  </si>
  <si>
    <t>100003086</t>
  </si>
  <si>
    <t>100003101</t>
  </si>
  <si>
    <t>100003103</t>
  </si>
  <si>
    <t>100003110</t>
  </si>
  <si>
    <t>100003042</t>
  </si>
  <si>
    <t>100003049</t>
  </si>
  <si>
    <t>100003083</t>
  </si>
  <si>
    <t>100003119</t>
  </si>
  <si>
    <t>100003147</t>
  </si>
  <si>
    <t>100003149</t>
  </si>
  <si>
    <t>ALACHUA</t>
  </si>
  <si>
    <t>100003158</t>
  </si>
  <si>
    <t>100003159</t>
  </si>
  <si>
    <t>100003160</t>
  </si>
  <si>
    <t>100003044</t>
  </si>
  <si>
    <t>100003062</t>
  </si>
  <si>
    <t>100003071</t>
  </si>
  <si>
    <t>100003074</t>
  </si>
  <si>
    <t>100003060</t>
  </si>
  <si>
    <t>100003075</t>
  </si>
  <si>
    <t>100003088</t>
  </si>
  <si>
    <t>100003104</t>
  </si>
  <si>
    <t>100003145</t>
  </si>
  <si>
    <t>PALMMAGNOLIA</t>
  </si>
  <si>
    <t>100003033A</t>
  </si>
  <si>
    <t>100003037</t>
  </si>
  <si>
    <t>100003039</t>
  </si>
  <si>
    <t>GOLDMICRO755</t>
  </si>
  <si>
    <t>100003040</t>
  </si>
  <si>
    <t>100003041</t>
  </si>
  <si>
    <t>100003043</t>
  </si>
  <si>
    <t>100003046</t>
  </si>
  <si>
    <t>100003067</t>
  </si>
  <si>
    <t>Iron Heavy 8% Fe</t>
  </si>
  <si>
    <t>100003068</t>
  </si>
  <si>
    <t>100003069</t>
  </si>
  <si>
    <t>CEIAPTO55</t>
  </si>
  <si>
    <t>100003079</t>
  </si>
  <si>
    <t>N30 30-0-0 60%</t>
  </si>
  <si>
    <t>N28-0-0 60%</t>
  </si>
  <si>
    <t>100003081</t>
  </si>
  <si>
    <t>ZON180655</t>
  </si>
  <si>
    <t>100003082</t>
  </si>
  <si>
    <t>100003089</t>
  </si>
  <si>
    <t>100003091</t>
  </si>
  <si>
    <t>100003099</t>
  </si>
  <si>
    <t>Cal-Nite 9-0-0 11% Ca</t>
  </si>
  <si>
    <t>100003100</t>
  </si>
  <si>
    <t>ANGELPARKGC</t>
  </si>
  <si>
    <t>100003112</t>
  </si>
  <si>
    <t>100003115</t>
  </si>
  <si>
    <t>100003123</t>
  </si>
  <si>
    <t>100003124</t>
  </si>
  <si>
    <t>FLITEBIO30</t>
  </si>
  <si>
    <t>100003126</t>
  </si>
  <si>
    <t>100003133</t>
  </si>
  <si>
    <t>100003134</t>
  </si>
  <si>
    <t>100003136</t>
  </si>
  <si>
    <t>100003137</t>
  </si>
  <si>
    <t>JRMMICRO250</t>
  </si>
  <si>
    <t>100003141</t>
  </si>
  <si>
    <t>100003146</t>
  </si>
  <si>
    <t>100003152</t>
  </si>
  <si>
    <t>100003166A</t>
  </si>
  <si>
    <t>100003222</t>
  </si>
  <si>
    <t>100003226</t>
  </si>
  <si>
    <t>100003248</t>
  </si>
  <si>
    <t>100003279</t>
  </si>
  <si>
    <t>100003189</t>
  </si>
  <si>
    <t>100003196</t>
  </si>
  <si>
    <t>100003199</t>
  </si>
  <si>
    <t>100003205A</t>
  </si>
  <si>
    <t>100003214</t>
  </si>
  <si>
    <t>100003216</t>
  </si>
  <si>
    <t>100003223</t>
  </si>
  <si>
    <t>100003230</t>
  </si>
  <si>
    <t>100003253</t>
  </si>
  <si>
    <t>100003254</t>
  </si>
  <si>
    <t>100003282</t>
  </si>
  <si>
    <t>100003296</t>
  </si>
  <si>
    <t>100003297</t>
  </si>
  <si>
    <t>100003173</t>
  </si>
  <si>
    <t>100003182</t>
  </si>
  <si>
    <t>100003183</t>
  </si>
  <si>
    <t>100003184</t>
  </si>
  <si>
    <t>100003191</t>
  </si>
  <si>
    <t>100003193</t>
  </si>
  <si>
    <t>100003198</t>
  </si>
  <si>
    <t>100003203</t>
  </si>
  <si>
    <t>100003204</t>
  </si>
  <si>
    <t>100003206</t>
  </si>
  <si>
    <t>100003207</t>
  </si>
  <si>
    <t>100003227</t>
  </si>
  <si>
    <t>100003228</t>
  </si>
  <si>
    <t>100003231</t>
  </si>
  <si>
    <t>100003232</t>
  </si>
  <si>
    <t>100003234</t>
  </si>
  <si>
    <t>100003241</t>
  </si>
  <si>
    <t>100003249</t>
  </si>
  <si>
    <t>100003256</t>
  </si>
  <si>
    <t>100003284</t>
  </si>
  <si>
    <t>MAC725YZ2I</t>
  </si>
  <si>
    <t>Dyna Flo 7-2-5 YZ2I with Integrate 80</t>
  </si>
  <si>
    <t>100003295</t>
  </si>
  <si>
    <t>100003177</t>
  </si>
  <si>
    <t>100003178</t>
  </si>
  <si>
    <t>100003179</t>
  </si>
  <si>
    <t>100003180</t>
  </si>
  <si>
    <t>100003181</t>
  </si>
  <si>
    <t>100003188</t>
  </si>
  <si>
    <t>100003200</t>
  </si>
  <si>
    <t>100003201</t>
  </si>
  <si>
    <t>100003202</t>
  </si>
  <si>
    <t>PUMP7</t>
  </si>
  <si>
    <t>100003210</t>
  </si>
  <si>
    <t>100003212</t>
  </si>
  <si>
    <t>MAC428YM1</t>
  </si>
  <si>
    <t>Dyna Flo 4-2-8YM1</t>
  </si>
  <si>
    <t>100003217</t>
  </si>
  <si>
    <t>100003218</t>
  </si>
  <si>
    <t>100003220</t>
  </si>
  <si>
    <t>100003221</t>
  </si>
  <si>
    <t>100003235</t>
  </si>
  <si>
    <t>100003236</t>
  </si>
  <si>
    <t>100003237</t>
  </si>
  <si>
    <t>100003238</t>
  </si>
  <si>
    <t>100003239</t>
  </si>
  <si>
    <t>100003242</t>
  </si>
  <si>
    <t>100003244</t>
  </si>
  <si>
    <t>100003245</t>
  </si>
  <si>
    <t>100003247</t>
  </si>
  <si>
    <t>ROCKINGSFARMS</t>
  </si>
  <si>
    <t>100003261</t>
  </si>
  <si>
    <t>100003265</t>
  </si>
  <si>
    <t>100003268</t>
  </si>
  <si>
    <t>100003269</t>
  </si>
  <si>
    <t>100003274</t>
  </si>
  <si>
    <t>100003275</t>
  </si>
  <si>
    <t>100003277</t>
  </si>
  <si>
    <t>100003280</t>
  </si>
  <si>
    <t>100003281</t>
  </si>
  <si>
    <t>100003283</t>
  </si>
  <si>
    <t>100003285</t>
  </si>
  <si>
    <t>PHYLO30</t>
  </si>
  <si>
    <t>100003288</t>
  </si>
  <si>
    <t>100003289</t>
  </si>
  <si>
    <t>100003290</t>
  </si>
  <si>
    <t>100003294</t>
  </si>
  <si>
    <t>NATUREFARMS</t>
  </si>
  <si>
    <t>US 1</t>
  </si>
  <si>
    <t>100003192</t>
  </si>
  <si>
    <t>100003219</t>
  </si>
  <si>
    <t>100003240</t>
  </si>
  <si>
    <t>100003260</t>
  </si>
  <si>
    <t>100003174</t>
  </si>
  <si>
    <t>100003208</t>
  </si>
  <si>
    <t>100003209</t>
  </si>
  <si>
    <t>100003250</t>
  </si>
  <si>
    <t>100003270</t>
  </si>
  <si>
    <t>100003213</t>
  </si>
  <si>
    <t>100003215</t>
  </si>
  <si>
    <t>100003299</t>
  </si>
  <si>
    <t>100003176</t>
  </si>
  <si>
    <t>PACKINGHOUSE</t>
  </si>
  <si>
    <t>100003185</t>
  </si>
  <si>
    <t>100003175</t>
  </si>
  <si>
    <t>100003186</t>
  </si>
  <si>
    <t>100003187</t>
  </si>
  <si>
    <t>100003190</t>
  </si>
  <si>
    <t>GLENEAGLES</t>
  </si>
  <si>
    <t>100003194</t>
  </si>
  <si>
    <t>FLITEAQLITE00</t>
  </si>
  <si>
    <t>100003195</t>
  </si>
  <si>
    <t>100003197</t>
  </si>
  <si>
    <t>100003211</t>
  </si>
  <si>
    <t>100003224</t>
  </si>
  <si>
    <t>100003225</t>
  </si>
  <si>
    <t>100003229</t>
  </si>
  <si>
    <t>100003233</t>
  </si>
  <si>
    <t>100003246</t>
  </si>
  <si>
    <t>100003252</t>
  </si>
  <si>
    <t>100003255</t>
  </si>
  <si>
    <t>100003257</t>
  </si>
  <si>
    <t>CYPRESSASSOC</t>
  </si>
  <si>
    <t>100003258</t>
  </si>
  <si>
    <t>HIGHPOINT</t>
  </si>
  <si>
    <t>100003259</t>
  </si>
  <si>
    <t>JIMMYABERNATHY</t>
  </si>
  <si>
    <t>100003262</t>
  </si>
  <si>
    <t>100003263</t>
  </si>
  <si>
    <t>100003264</t>
  </si>
  <si>
    <t>100003266</t>
  </si>
  <si>
    <t>100003271</t>
  </si>
  <si>
    <t>FLO1500655</t>
  </si>
  <si>
    <t>100003272</t>
  </si>
  <si>
    <t>100003276</t>
  </si>
  <si>
    <t>100003287</t>
  </si>
  <si>
    <t>100003293</t>
  </si>
  <si>
    <t>Salesperson ID</t>
  </si>
  <si>
    <t>Sales Territory</t>
  </si>
  <si>
    <t>Customer Number</t>
  </si>
  <si>
    <t>Primary ShipTo</t>
  </si>
  <si>
    <t>Document Date</t>
  </si>
  <si>
    <t>Month</t>
  </si>
  <si>
    <t>Year</t>
  </si>
  <si>
    <t>SOP Type</t>
  </si>
  <si>
    <t>SOP Number</t>
  </si>
  <si>
    <t>Item Number</t>
  </si>
  <si>
    <t>Item Description</t>
  </si>
  <si>
    <t>U Of M</t>
  </si>
  <si>
    <t>Macro / Micro</t>
  </si>
  <si>
    <t>QTY</t>
  </si>
  <si>
    <t>Items</t>
  </si>
  <si>
    <t>Description</t>
  </si>
  <si>
    <t>Sales</t>
  </si>
  <si>
    <t>(All)</t>
  </si>
  <si>
    <t>Column Labels</t>
  </si>
  <si>
    <t>Grand Total</t>
  </si>
  <si>
    <t>Row Labels</t>
  </si>
  <si>
    <t>Sum of QTY</t>
  </si>
  <si>
    <t>(Multiple Items)</t>
  </si>
  <si>
    <t>OCT</t>
  </si>
  <si>
    <t>Nov</t>
  </si>
  <si>
    <t>Dec</t>
  </si>
  <si>
    <t>Jan</t>
  </si>
  <si>
    <t>Feb</t>
  </si>
  <si>
    <t>March</t>
  </si>
  <si>
    <t>April</t>
  </si>
  <si>
    <t>May</t>
  </si>
  <si>
    <t>June</t>
  </si>
  <si>
    <t>July</t>
  </si>
  <si>
    <t>Aug</t>
  </si>
  <si>
    <t>Sep</t>
  </si>
  <si>
    <t>Dyna Gold Manganese</t>
  </si>
  <si>
    <t>Oct</t>
  </si>
  <si>
    <t>ZON1836250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</si>
</sst>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0.0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rgb="FF000000"/>
      <name val="Segoe UI"/>
      <family val="2"/>
    </font>
    <font>
      <sz val="9"/>
      <color rgb="FF0000FF"/>
      <name val="Segoe UI"/>
      <family val="2"/>
    </font>
    <font>
      <sz val="9"/>
      <color rgb="FF3A7224"/>
      <name val="Segoe UI"/>
      <family val="2"/>
    </font>
    <font>
      <b/>
      <sz val="9"/>
      <color theme="0"/>
      <name val="Segoe UI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dashed">
        <color auto="1"/>
      </bottom>
      <diagonal/>
    </border>
    <border>
      <left/>
      <right/>
      <top style="thin">
        <color theme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4" fontId="1" fillId="0" borderId="2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4" fontId="1" fillId="0" borderId="2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4" fillId="0" borderId="2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4" fontId="3" fillId="0" borderId="2" xfId="0" applyNumberFormat="1" applyFont="1" applyBorder="1" applyAlignment="1">
      <alignment vertical="center"/>
    </xf>
    <xf numFmtId="14" fontId="3" fillId="0" borderId="2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4" fontId="1" fillId="0" borderId="5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4" fontId="4" fillId="0" borderId="5" xfId="0" applyNumberFormat="1" applyFont="1" applyBorder="1" applyAlignment="1">
      <alignment vertical="center"/>
    </xf>
    <xf numFmtId="164" fontId="3" fillId="0" borderId="5" xfId="0" applyNumberFormat="1" applyFont="1" applyBorder="1" applyAlignment="1">
      <alignment vertical="center"/>
    </xf>
    <xf numFmtId="4" fontId="1" fillId="0" borderId="5" xfId="0" applyNumberFormat="1" applyFont="1" applyBorder="1" applyAlignment="1">
      <alignment vertical="center"/>
    </xf>
    <xf numFmtId="14" fontId="3" fillId="0" borderId="5" xfId="0" applyNumberFormat="1" applyFont="1" applyBorder="1" applyAlignment="1">
      <alignment vertical="center"/>
    </xf>
    <xf numFmtId="4" fontId="3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4" fontId="1" fillId="0" borderId="6" xfId="0" applyNumberFormat="1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0" borderId="7" xfId="0" applyFont="1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" fontId="0" fillId="3" borderId="0" xfId="0" applyNumberFormat="1" applyFill="1"/>
    <xf numFmtId="2" fontId="0" fillId="0" borderId="0" xfId="0" applyNumberFormat="1"/>
    <xf numFmtId="165" fontId="0" fillId="0" borderId="0" xfId="0" applyNumberForma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applyFill="1"/>
    <xf numFmtId="0" fontId="0" fillId="8" borderId="0" xfId="0" applyFill="1" applyAlignment="1">
      <alignment horizontal="left" indent="1"/>
    </xf>
    <xf numFmtId="0" fontId="0" fillId="9" borderId="0" xfId="0" applyFill="1" applyAlignment="1">
      <alignment horizontal="left" indent="1"/>
    </xf>
    <xf numFmtId="0" fontId="6" fillId="5" borderId="7" xfId="0" applyFont="1" applyFill="1" applyBorder="1" applyAlignment="1">
      <alignment horizontal="left"/>
    </xf>
    <xf numFmtId="0" fontId="6" fillId="6" borderId="7" xfId="0" applyFont="1" applyFill="1" applyBorder="1" applyAlignment="1">
      <alignment horizontal="left"/>
    </xf>
    <xf numFmtId="0" fontId="6" fillId="8" borderId="7" xfId="0" applyFont="1" applyFill="1" applyBorder="1" applyAlignment="1">
      <alignment horizontal="left"/>
    </xf>
    <xf numFmtId="0" fontId="0" fillId="4" borderId="0" xfId="0" applyFill="1"/>
    <xf numFmtId="0" fontId="0" fillId="9" borderId="0" xfId="0" applyFill="1"/>
    <xf numFmtId="0" fontId="6" fillId="9" borderId="0" xfId="0" applyFont="1" applyFill="1"/>
    <xf numFmtId="49" fontId="0" fillId="0" borderId="0" xfId="0" applyNumberFormat="1"/>
    <xf numFmtId="165" fontId="6" fillId="0" borderId="0" xfId="0" applyNumberFormat="1" applyFont="1"/>
    <xf numFmtId="0" fontId="0" fillId="0" borderId="16" xfId="0" applyBorder="1" applyAlignment="1">
      <alignment horizontal="right"/>
    </xf>
    <xf numFmtId="0" fontId="0" fillId="10" borderId="16" xfId="0" applyFill="1" applyBorder="1"/>
    <xf numFmtId="0" fontId="0" fillId="0" borderId="16" xfId="0" applyBorder="1"/>
    <xf numFmtId="165" fontId="6" fillId="0" borderId="17" xfId="0" applyNumberFormat="1" applyFont="1" applyBorder="1"/>
    <xf numFmtId="165" fontId="6" fillId="0" borderId="17" xfId="0" applyNumberFormat="1" applyFont="1" applyBorder="1" applyAlignment="1">
      <alignment horizontal="right"/>
    </xf>
    <xf numFmtId="0" fontId="0" fillId="0" borderId="18" xfId="0" applyBorder="1"/>
    <xf numFmtId="0" fontId="0" fillId="0" borderId="17" xfId="0" applyBorder="1" applyAlignment="1">
      <alignment horizontal="right"/>
    </xf>
    <xf numFmtId="0" fontId="0" fillId="10" borderId="17" xfId="0" applyFill="1" applyBorder="1"/>
    <xf numFmtId="0" fontId="0" fillId="0" borderId="17" xfId="0" applyBorder="1"/>
    <xf numFmtId="165" fontId="6" fillId="0" borderId="20" xfId="0" applyNumberFormat="1" applyFont="1" applyBorder="1"/>
    <xf numFmtId="165" fontId="6" fillId="0" borderId="16" xfId="0" applyNumberFormat="1" applyFont="1" applyBorder="1"/>
    <xf numFmtId="165" fontId="6" fillId="0" borderId="16" xfId="0" applyNumberFormat="1" applyFont="1" applyBorder="1" applyAlignment="1">
      <alignment horizontal="right"/>
    </xf>
    <xf numFmtId="165" fontId="6" fillId="0" borderId="21" xfId="0" applyNumberFormat="1" applyFont="1" applyBorder="1"/>
    <xf numFmtId="0" fontId="0" fillId="0" borderId="22" xfId="0" applyBorder="1" applyAlignment="1">
      <alignment horizontal="right"/>
    </xf>
    <xf numFmtId="0" fontId="0" fillId="0" borderId="23" xfId="0" applyBorder="1" applyAlignment="1">
      <alignment horizontal="right"/>
    </xf>
    <xf numFmtId="0" fontId="0" fillId="0" borderId="18" xfId="0" applyBorder="1" applyAlignment="1">
      <alignment horizontal="left" indent="1"/>
    </xf>
    <xf numFmtId="0" fontId="0" fillId="0" borderId="19" xfId="0" applyBorder="1"/>
    <xf numFmtId="0" fontId="0" fillId="0" borderId="23" xfId="0" applyBorder="1"/>
    <xf numFmtId="0" fontId="6" fillId="0" borderId="24" xfId="0" applyFont="1" applyBorder="1" applyAlignment="1">
      <alignment horizontal="left"/>
    </xf>
  </cellXfs>
  <cellStyles count="1">
    <cellStyle name="Normal" xfId="0" builtinId="0"/>
  </cellStyles>
  <dxfs count="12"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Sheet3!$C$2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0E-4794-9F00-FE64A78B1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0E-4794-9F00-FE64A78B1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50E-4794-9F00-FE64A78B1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50E-4794-9F00-FE64A78B15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50E-4794-9F00-FE64A78B15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50E-4794-9F00-FE64A78B15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50E-4794-9F00-FE64A78B15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50E-4794-9F00-FE64A78B15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50E-4794-9F00-FE64A78B15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50E-4794-9F00-FE64A78B15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50E-4794-9F00-FE64A78B15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50E-4794-9F00-FE64A78B15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50E-4794-9F00-FE64A78B15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50E-4794-9F00-FE64A78B15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50E-4794-9F00-FE64A78B151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50E-4794-9F00-FE64A78B151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350E-4794-9F00-FE64A78B151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350E-4794-9F00-FE64A78B151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350E-4794-9F00-FE64A78B151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350E-4794-9F00-FE64A78B151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350E-4794-9F00-FE64A78B151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350E-4794-9F00-FE64A78B151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350E-4794-9F00-FE64A78B151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350E-4794-9F00-FE64A78B151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350E-4794-9F00-FE64A78B151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350E-4794-9F00-FE64A78B151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350E-4794-9F00-FE64A78B151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350E-4794-9F00-FE64A78B151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350E-4794-9F00-FE64A78B151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350E-4794-9F00-FE64A78B151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350E-4794-9F00-FE64A78B151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350E-4794-9F00-FE64A78B151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350E-4794-9F00-FE64A78B151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350E-4794-9F00-FE64A78B151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350E-4794-9F00-FE64A78B151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350E-4794-9F00-FE64A78B151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350E-4794-9F00-FE64A78B151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350E-4794-9F00-FE64A78B151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350E-4794-9F00-FE64A78B151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350E-4794-9F00-FE64A78B151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350E-4794-9F00-FE64A78B151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350E-4794-9F00-FE64A78B151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350E-4794-9F00-FE64A78B151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350E-4794-9F00-FE64A78B151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350E-4794-9F00-FE64A78B151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350E-4794-9F00-FE64A78B151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350E-4794-9F00-FE64A78B151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350E-4794-9F00-FE64A78B151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350E-4794-9F00-FE64A78B151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350E-4794-9F00-FE64A78B151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350E-4794-9F00-FE64A78B151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350E-4794-9F00-FE64A78B151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350E-4794-9F00-FE64A78B151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350E-4794-9F00-FE64A78B151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350E-4794-9F00-FE64A78B151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350E-4794-9F00-FE64A78B151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350E-4794-9F00-FE64A78B151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350E-4794-9F00-FE64A78B151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350E-4794-9F00-FE64A78B151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350E-4794-9F00-FE64A78B151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350E-4794-9F00-FE64A78B151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350E-4794-9F00-FE64A78B151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350E-4794-9F00-FE64A78B151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350E-4794-9F00-FE64A78B151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350E-4794-9F00-FE64A78B151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350E-4794-9F00-FE64A78B151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350E-4794-9F00-FE64A78B151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350E-4794-9F00-FE64A78B151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350E-4794-9F00-FE64A78B151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350E-4794-9F00-FE64A78B151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350E-4794-9F00-FE64A78B151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350E-4794-9F00-FE64A78B151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350E-4794-9F00-FE64A78B151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350E-4794-9F00-FE64A78B151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350E-4794-9F00-FE64A78B151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350E-4794-9F00-FE64A78B151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350E-4794-9F00-FE64A78B151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350E-4794-9F00-FE64A78B151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350E-4794-9F00-FE64A78B151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350E-4794-9F00-FE64A78B151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350E-4794-9F00-FE64A78B151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350E-4794-9F00-FE64A78B151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350E-4794-9F00-FE64A78B151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350E-4794-9F00-FE64A78B1510}"/>
              </c:ext>
            </c:extLst>
          </c:dPt>
          <c:cat>
            <c:numRef>
              <c:f>Sheet3!$A$3:$A$84</c:f>
              <c:numCache>
                <c:formatCode>General</c:formatCode>
                <c:ptCount val="82"/>
              </c:numCache>
            </c:numRef>
          </c:cat>
          <c:val>
            <c:numRef>
              <c:f>Sheet3!$C$3:$C$84</c:f>
              <c:numCache>
                <c:formatCode>General</c:formatCode>
                <c:ptCount val="8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DA-4D55-8B5A-6AD2668D7B7B}"/>
            </c:ext>
          </c:extLst>
        </c:ser>
        <c:ser>
          <c:idx val="1"/>
          <c:order val="1"/>
          <c:tx>
            <c:strRef>
              <c:f>Sheet3!$D$2</c:f>
              <c:strCache>
                <c:ptCount val="1"/>
                <c:pt idx="0">
                  <c:v>OCT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350E-4794-9F00-FE64A78B1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350E-4794-9F00-FE64A78B1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350E-4794-9F00-FE64A78B1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350E-4794-9F00-FE64A78B15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350E-4794-9F00-FE64A78B15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350E-4794-9F00-FE64A78B15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350E-4794-9F00-FE64A78B15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350E-4794-9F00-FE64A78B15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350E-4794-9F00-FE64A78B15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350E-4794-9F00-FE64A78B15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350E-4794-9F00-FE64A78B15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350E-4794-9F00-FE64A78B15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350E-4794-9F00-FE64A78B15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350E-4794-9F00-FE64A78B15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350E-4794-9F00-FE64A78B151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350E-4794-9F00-FE64A78B151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350E-4794-9F00-FE64A78B151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350E-4794-9F00-FE64A78B151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350E-4794-9F00-FE64A78B151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350E-4794-9F00-FE64A78B151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350E-4794-9F00-FE64A78B151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350E-4794-9F00-FE64A78B151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350E-4794-9F00-FE64A78B151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350E-4794-9F00-FE64A78B151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350E-4794-9F00-FE64A78B151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350E-4794-9F00-FE64A78B151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350E-4794-9F00-FE64A78B151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350E-4794-9F00-FE64A78B151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350E-4794-9F00-FE64A78B151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350E-4794-9F00-FE64A78B151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350E-4794-9F00-FE64A78B151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350E-4794-9F00-FE64A78B151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350E-4794-9F00-FE64A78B151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350E-4794-9F00-FE64A78B151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350E-4794-9F00-FE64A78B151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350E-4794-9F00-FE64A78B151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350E-4794-9F00-FE64A78B151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350E-4794-9F00-FE64A78B151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350E-4794-9F00-FE64A78B151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350E-4794-9F00-FE64A78B151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350E-4794-9F00-FE64A78B151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350E-4794-9F00-FE64A78B151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350E-4794-9F00-FE64A78B151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350E-4794-9F00-FE64A78B151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350E-4794-9F00-FE64A78B151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350E-4794-9F00-FE64A78B151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350E-4794-9F00-FE64A78B151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350E-4794-9F00-FE64A78B151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350E-4794-9F00-FE64A78B151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350E-4794-9F00-FE64A78B151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350E-4794-9F00-FE64A78B151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350E-4794-9F00-FE64A78B151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350E-4794-9F00-FE64A78B151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350E-4794-9F00-FE64A78B151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350E-4794-9F00-FE64A78B151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350E-4794-9F00-FE64A78B151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350E-4794-9F00-FE64A78B151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350E-4794-9F00-FE64A78B151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350E-4794-9F00-FE64A78B151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350E-4794-9F00-FE64A78B151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350E-4794-9F00-FE64A78B151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350E-4794-9F00-FE64A78B151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350E-4794-9F00-FE64A78B151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350E-4794-9F00-FE64A78B151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350E-4794-9F00-FE64A78B151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350E-4794-9F00-FE64A78B151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350E-4794-9F00-FE64A78B151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350E-4794-9F00-FE64A78B151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350E-4794-9F00-FE64A78B151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350E-4794-9F00-FE64A78B151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350E-4794-9F00-FE64A78B151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350E-4794-9F00-FE64A78B151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350E-4794-9F00-FE64A78B151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350E-4794-9F00-FE64A78B151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350E-4794-9F00-FE64A78B151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350E-4794-9F00-FE64A78B151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350E-4794-9F00-FE64A78B151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350E-4794-9F00-FE64A78B151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350E-4794-9F00-FE64A78B151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350E-4794-9F00-FE64A78B151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350E-4794-9F00-FE64A78B151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350E-4794-9F00-FE64A78B151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350E-4794-9F00-FE64A78B151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350E-4794-9F00-FE64A78B1510}"/>
              </c:ext>
            </c:extLst>
          </c:dPt>
          <c:cat>
            <c:numRef>
              <c:f>Sheet3!$A$3:$A$84</c:f>
              <c:numCache>
                <c:formatCode>General</c:formatCode>
                <c:ptCount val="82"/>
              </c:numCache>
            </c:numRef>
          </c:cat>
          <c:val>
            <c:numRef>
              <c:f>Sheet3!$D$3:$D$84</c:f>
              <c:numCache>
                <c:formatCode>0.00</c:formatCode>
                <c:ptCount val="82"/>
                <c:pt idx="0" formatCode="0">
                  <c:v>10</c:v>
                </c:pt>
                <c:pt idx="2" formatCode="0.0">
                  <c:v>0</c:v>
                </c:pt>
                <c:pt idx="3" formatCode="0.0">
                  <c:v>0</c:v>
                </c:pt>
                <c:pt idx="5" formatCode="0.0">
                  <c:v>0</c:v>
                </c:pt>
                <c:pt idx="6" formatCode="0.0">
                  <c:v>0</c:v>
                </c:pt>
                <c:pt idx="8" formatCode="0.0">
                  <c:v>6.0185185185185189E-2</c:v>
                </c:pt>
                <c:pt idx="9" formatCode="0.0">
                  <c:v>0.16666666666666666</c:v>
                </c:pt>
                <c:pt idx="11" formatCode="0.0">
                  <c:v>0</c:v>
                </c:pt>
                <c:pt idx="12" formatCode="0.0">
                  <c:v>2.1851851851851851</c:v>
                </c:pt>
                <c:pt idx="14" formatCode="0.0">
                  <c:v>0</c:v>
                </c:pt>
                <c:pt idx="15" formatCode="0.0">
                  <c:v>0.33333333333333331</c:v>
                </c:pt>
                <c:pt idx="17" formatCode="0.0">
                  <c:v>0</c:v>
                </c:pt>
                <c:pt idx="18" formatCode="0.0">
                  <c:v>2</c:v>
                </c:pt>
                <c:pt idx="20" formatCode="0.0">
                  <c:v>0</c:v>
                </c:pt>
                <c:pt idx="21" formatCode="0.0">
                  <c:v>1.9166666666666667</c:v>
                </c:pt>
                <c:pt idx="23" formatCode="0.0">
                  <c:v>0</c:v>
                </c:pt>
                <c:pt idx="25" formatCode="0.0">
                  <c:v>0.62037037037037035</c:v>
                </c:pt>
                <c:pt idx="26" formatCode="0.0">
                  <c:v>2.1166666666666667</c:v>
                </c:pt>
                <c:pt idx="27" formatCode="0.0">
                  <c:v>2.5633333333333335</c:v>
                </c:pt>
                <c:pt idx="29" formatCode="0.0">
                  <c:v>0.16666666666666666</c:v>
                </c:pt>
                <c:pt idx="30" formatCode="0.0">
                  <c:v>0.33333333333333331</c:v>
                </c:pt>
                <c:pt idx="31" formatCode="0.0">
                  <c:v>0.45333333333333331</c:v>
                </c:pt>
                <c:pt idx="33" formatCode="0.0">
                  <c:v>1.5879629629629628</c:v>
                </c:pt>
                <c:pt idx="34" formatCode="0.0">
                  <c:v>1.3166666666666667</c:v>
                </c:pt>
                <c:pt idx="35" formatCode="0.0">
                  <c:v>2.46</c:v>
                </c:pt>
                <c:pt idx="37" formatCode="0.0">
                  <c:v>1.6666666666666667</c:v>
                </c:pt>
                <c:pt idx="39" formatCode="0.0">
                  <c:v>0.33333333333333331</c:v>
                </c:pt>
                <c:pt idx="40" formatCode="0.0">
                  <c:v>0.75</c:v>
                </c:pt>
                <c:pt idx="42" formatCode="0.0">
                  <c:v>1.3888888888888888E-2</c:v>
                </c:pt>
                <c:pt idx="43" formatCode="0.0">
                  <c:v>2.3333333333333335</c:v>
                </c:pt>
                <c:pt idx="45" formatCode="0.0">
                  <c:v>2.314814814814815E-2</c:v>
                </c:pt>
                <c:pt idx="46" formatCode="0.0">
                  <c:v>0.5</c:v>
                </c:pt>
                <c:pt idx="48" formatCode="0.0">
                  <c:v>0</c:v>
                </c:pt>
                <c:pt idx="49" formatCode="0.0">
                  <c:v>0.16666666666666666</c:v>
                </c:pt>
                <c:pt idx="51" formatCode="0.0">
                  <c:v>0.16666666666666666</c:v>
                </c:pt>
                <c:pt idx="52" formatCode="0.0">
                  <c:v>0.77777777777777779</c:v>
                </c:pt>
                <c:pt idx="54" formatCode="0.0">
                  <c:v>0</c:v>
                </c:pt>
                <c:pt idx="55" formatCode="0.0">
                  <c:v>0.84259259259259256</c:v>
                </c:pt>
                <c:pt idx="57" formatCode="0.0">
                  <c:v>0.27777777777777779</c:v>
                </c:pt>
                <c:pt idx="59" formatCode="0.0">
                  <c:v>9.2592592592592605E-3</c:v>
                </c:pt>
                <c:pt idx="60" formatCode="0.0">
                  <c:v>0</c:v>
                </c:pt>
                <c:pt idx="62" formatCode="0.0">
                  <c:v>0.33333333333333331</c:v>
                </c:pt>
                <c:pt idx="64" formatCode="0.0">
                  <c:v>0</c:v>
                </c:pt>
                <c:pt idx="65" formatCode="0.0">
                  <c:v>0</c:v>
                </c:pt>
                <c:pt idx="67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2" formatCode="0.0">
                  <c:v>0.57870370370370372</c:v>
                </c:pt>
                <c:pt idx="74" formatCode="0.0">
                  <c:v>0</c:v>
                </c:pt>
                <c:pt idx="76" formatCode="0.0">
                  <c:v>0</c:v>
                </c:pt>
                <c:pt idx="77" formatCode="0.0">
                  <c:v>0.5</c:v>
                </c:pt>
                <c:pt idx="79" formatCode="0.0">
                  <c:v>0.35648148148148151</c:v>
                </c:pt>
                <c:pt idx="80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DA-4D55-8B5A-6AD2668D7B7B}"/>
            </c:ext>
          </c:extLst>
        </c:ser>
        <c:ser>
          <c:idx val="2"/>
          <c:order val="2"/>
          <c:tx>
            <c:strRef>
              <c:f>Sheet3!$E$2</c:f>
              <c:strCache>
                <c:ptCount val="1"/>
                <c:pt idx="0">
                  <c:v>Nov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350E-4794-9F00-FE64A78B1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350E-4794-9F00-FE64A78B1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350E-4794-9F00-FE64A78B1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350E-4794-9F00-FE64A78B15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350E-4794-9F00-FE64A78B15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350E-4794-9F00-FE64A78B15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350E-4794-9F00-FE64A78B15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350E-4794-9F00-FE64A78B15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350E-4794-9F00-FE64A78B15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350E-4794-9F00-FE64A78B15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350E-4794-9F00-FE64A78B15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350E-4794-9F00-FE64A78B15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350E-4794-9F00-FE64A78B15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350E-4794-9F00-FE64A78B15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350E-4794-9F00-FE64A78B151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350E-4794-9F00-FE64A78B151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350E-4794-9F00-FE64A78B151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350E-4794-9F00-FE64A78B151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350E-4794-9F00-FE64A78B151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350E-4794-9F00-FE64A78B151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350E-4794-9F00-FE64A78B151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350E-4794-9F00-FE64A78B151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350E-4794-9F00-FE64A78B151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350E-4794-9F00-FE64A78B151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350E-4794-9F00-FE64A78B151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350E-4794-9F00-FE64A78B151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350E-4794-9F00-FE64A78B151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350E-4794-9F00-FE64A78B151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350E-4794-9F00-FE64A78B151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350E-4794-9F00-FE64A78B151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350E-4794-9F00-FE64A78B151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350E-4794-9F00-FE64A78B151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350E-4794-9F00-FE64A78B151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350E-4794-9F00-FE64A78B151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5-350E-4794-9F00-FE64A78B151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7-350E-4794-9F00-FE64A78B151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9-350E-4794-9F00-FE64A78B151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B-350E-4794-9F00-FE64A78B151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D-350E-4794-9F00-FE64A78B151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F-350E-4794-9F00-FE64A78B151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1-350E-4794-9F00-FE64A78B151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3-350E-4794-9F00-FE64A78B151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5-350E-4794-9F00-FE64A78B151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7-350E-4794-9F00-FE64A78B151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9-350E-4794-9F00-FE64A78B151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B-350E-4794-9F00-FE64A78B151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D-350E-4794-9F00-FE64A78B151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F-350E-4794-9F00-FE64A78B151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1-350E-4794-9F00-FE64A78B151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3-350E-4794-9F00-FE64A78B151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350E-4794-9F00-FE64A78B151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350E-4794-9F00-FE64A78B151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9-350E-4794-9F00-FE64A78B151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B-350E-4794-9F00-FE64A78B151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D-350E-4794-9F00-FE64A78B151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F-350E-4794-9F00-FE64A78B151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350E-4794-9F00-FE64A78B151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350E-4794-9F00-FE64A78B151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350E-4794-9F00-FE64A78B151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350E-4794-9F00-FE64A78B151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350E-4794-9F00-FE64A78B151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350E-4794-9F00-FE64A78B151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350E-4794-9F00-FE64A78B151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350E-4794-9F00-FE64A78B151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350E-4794-9F00-FE64A78B151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350E-4794-9F00-FE64A78B151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350E-4794-9F00-FE64A78B151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350E-4794-9F00-FE64A78B151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350E-4794-9F00-FE64A78B151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350E-4794-9F00-FE64A78B151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350E-4794-9F00-FE64A78B151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350E-4794-9F00-FE64A78B151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1-350E-4794-9F00-FE64A78B151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3-350E-4794-9F00-FE64A78B151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5-350E-4794-9F00-FE64A78B151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7-350E-4794-9F00-FE64A78B151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9-350E-4794-9F00-FE64A78B151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B-350E-4794-9F00-FE64A78B151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D-350E-4794-9F00-FE64A78B151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F-350E-4794-9F00-FE64A78B151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1-350E-4794-9F00-FE64A78B151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3-350E-4794-9F00-FE64A78B151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5-350E-4794-9F00-FE64A78B151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7-350E-4794-9F00-FE64A78B1510}"/>
              </c:ext>
            </c:extLst>
          </c:dPt>
          <c:cat>
            <c:numRef>
              <c:f>Sheet3!$A$3:$A$84</c:f>
              <c:numCache>
                <c:formatCode>General</c:formatCode>
                <c:ptCount val="82"/>
              </c:numCache>
            </c:numRef>
          </c:cat>
          <c:val>
            <c:numRef>
              <c:f>Sheet3!$E$3:$E$84</c:f>
              <c:numCache>
                <c:formatCode>0.00</c:formatCode>
                <c:ptCount val="82"/>
                <c:pt idx="0" formatCode="0">
                  <c:v>11</c:v>
                </c:pt>
                <c:pt idx="2" formatCode="0.0">
                  <c:v>0</c:v>
                </c:pt>
                <c:pt idx="3" formatCode="0.0">
                  <c:v>4.9466666666666672</c:v>
                </c:pt>
                <c:pt idx="5" formatCode="0.0">
                  <c:v>0</c:v>
                </c:pt>
                <c:pt idx="6" formatCode="0.0">
                  <c:v>0</c:v>
                </c:pt>
                <c:pt idx="8" formatCode="0.0">
                  <c:v>0</c:v>
                </c:pt>
                <c:pt idx="9" formatCode="0.0">
                  <c:v>2</c:v>
                </c:pt>
                <c:pt idx="11" formatCode="0.0">
                  <c:v>0</c:v>
                </c:pt>
                <c:pt idx="12" formatCode="0.0">
                  <c:v>3.4629629629629632</c:v>
                </c:pt>
                <c:pt idx="14" formatCode="0.0">
                  <c:v>0</c:v>
                </c:pt>
                <c:pt idx="15" formatCode="0.0">
                  <c:v>2.7777777777777776E-2</c:v>
                </c:pt>
                <c:pt idx="17" formatCode="0.0">
                  <c:v>0</c:v>
                </c:pt>
                <c:pt idx="18" formatCode="0.0">
                  <c:v>7.5</c:v>
                </c:pt>
                <c:pt idx="20" formatCode="0.0">
                  <c:v>0</c:v>
                </c:pt>
                <c:pt idx="21" formatCode="0.0">
                  <c:v>2.0787037037037037</c:v>
                </c:pt>
                <c:pt idx="23" formatCode="0.0">
                  <c:v>0</c:v>
                </c:pt>
                <c:pt idx="25" formatCode="0.0">
                  <c:v>1.0046296296296298</c:v>
                </c:pt>
                <c:pt idx="26" formatCode="0.0">
                  <c:v>2.5</c:v>
                </c:pt>
                <c:pt idx="27" formatCode="0.0">
                  <c:v>3.2233333333333336</c:v>
                </c:pt>
                <c:pt idx="29" formatCode="0.0">
                  <c:v>0.2361111111111111</c:v>
                </c:pt>
                <c:pt idx="30" formatCode="0.0">
                  <c:v>0</c:v>
                </c:pt>
                <c:pt idx="31" formatCode="0.0">
                  <c:v>0.17</c:v>
                </c:pt>
                <c:pt idx="33" formatCode="0.0">
                  <c:v>1.3333333333333333</c:v>
                </c:pt>
                <c:pt idx="34" formatCode="0.0">
                  <c:v>0</c:v>
                </c:pt>
                <c:pt idx="35" formatCode="0.0">
                  <c:v>0.96</c:v>
                </c:pt>
                <c:pt idx="37" formatCode="0.0">
                  <c:v>1</c:v>
                </c:pt>
                <c:pt idx="39" formatCode="0.0">
                  <c:v>0.5</c:v>
                </c:pt>
                <c:pt idx="40" formatCode="0.0">
                  <c:v>0.33333333333333331</c:v>
                </c:pt>
                <c:pt idx="42" formatCode="0.0">
                  <c:v>0</c:v>
                </c:pt>
                <c:pt idx="43" formatCode="0.0">
                  <c:v>1</c:v>
                </c:pt>
                <c:pt idx="45" formatCode="0.0">
                  <c:v>9.2592592592592605E-3</c:v>
                </c:pt>
                <c:pt idx="46" formatCode="0.0">
                  <c:v>1.1666666666666667</c:v>
                </c:pt>
                <c:pt idx="48" formatCode="0.0">
                  <c:v>0</c:v>
                </c:pt>
                <c:pt idx="49" formatCode="0.0">
                  <c:v>0.5</c:v>
                </c:pt>
                <c:pt idx="51" formatCode="0.0">
                  <c:v>0.33333333333333331</c:v>
                </c:pt>
                <c:pt idx="52" formatCode="0.0">
                  <c:v>0.51851851851851849</c:v>
                </c:pt>
                <c:pt idx="54" formatCode="0.0">
                  <c:v>0</c:v>
                </c:pt>
                <c:pt idx="55" formatCode="0.0">
                  <c:v>1.0231481481481481</c:v>
                </c:pt>
                <c:pt idx="57" formatCode="0.0">
                  <c:v>0.99074074074074081</c:v>
                </c:pt>
                <c:pt idx="59" formatCode="0.0">
                  <c:v>0</c:v>
                </c:pt>
                <c:pt idx="60" formatCode="0.0">
                  <c:v>0</c:v>
                </c:pt>
                <c:pt idx="62" formatCode="0.0">
                  <c:v>0.5</c:v>
                </c:pt>
                <c:pt idx="64" formatCode="0.0">
                  <c:v>0</c:v>
                </c:pt>
                <c:pt idx="65" formatCode="0.0">
                  <c:v>0.16666666666666666</c:v>
                </c:pt>
                <c:pt idx="67" formatCode="0.0">
                  <c:v>0</c:v>
                </c:pt>
                <c:pt idx="69" formatCode="0.0">
                  <c:v>0</c:v>
                </c:pt>
                <c:pt idx="70" formatCode="0.0">
                  <c:v>4.6296296296296302E-3</c:v>
                </c:pt>
                <c:pt idx="72" formatCode="0.0">
                  <c:v>0.67592592592592593</c:v>
                </c:pt>
                <c:pt idx="74" formatCode="0.0">
                  <c:v>1.5</c:v>
                </c:pt>
                <c:pt idx="76" formatCode="0.0">
                  <c:v>0</c:v>
                </c:pt>
                <c:pt idx="77" formatCode="0.0">
                  <c:v>0.16666666666666666</c:v>
                </c:pt>
                <c:pt idx="79" formatCode="0.0">
                  <c:v>0.16666666666666666</c:v>
                </c:pt>
                <c:pt idx="80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DA-4D55-8B5A-6AD2668D7B7B}"/>
            </c:ext>
          </c:extLst>
        </c:ser>
        <c:ser>
          <c:idx val="3"/>
          <c:order val="3"/>
          <c:tx>
            <c:strRef>
              <c:f>Sheet3!$F$2</c:f>
              <c:strCache>
                <c:ptCount val="1"/>
                <c:pt idx="0">
                  <c:v>Dec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9-350E-4794-9F00-FE64A78B1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B-350E-4794-9F00-FE64A78B1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D-350E-4794-9F00-FE64A78B1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F-350E-4794-9F00-FE64A78B15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1-350E-4794-9F00-FE64A78B15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3-350E-4794-9F00-FE64A78B15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5-350E-4794-9F00-FE64A78B15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7-350E-4794-9F00-FE64A78B15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9-350E-4794-9F00-FE64A78B15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B-350E-4794-9F00-FE64A78B15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D-350E-4794-9F00-FE64A78B15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F-350E-4794-9F00-FE64A78B15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1-350E-4794-9F00-FE64A78B15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3-350E-4794-9F00-FE64A78B15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5-350E-4794-9F00-FE64A78B151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7-350E-4794-9F00-FE64A78B151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9-350E-4794-9F00-FE64A78B151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B-350E-4794-9F00-FE64A78B151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D-350E-4794-9F00-FE64A78B151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F-350E-4794-9F00-FE64A78B151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1-350E-4794-9F00-FE64A78B151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3-350E-4794-9F00-FE64A78B151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5-350E-4794-9F00-FE64A78B151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7-350E-4794-9F00-FE64A78B151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9-350E-4794-9F00-FE64A78B151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B-350E-4794-9F00-FE64A78B151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D-350E-4794-9F00-FE64A78B151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F-350E-4794-9F00-FE64A78B151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1-350E-4794-9F00-FE64A78B151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3-350E-4794-9F00-FE64A78B151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5-350E-4794-9F00-FE64A78B151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7-350E-4794-9F00-FE64A78B151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9-350E-4794-9F00-FE64A78B151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B-350E-4794-9F00-FE64A78B151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D-350E-4794-9F00-FE64A78B151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F-350E-4794-9F00-FE64A78B151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1-350E-4794-9F00-FE64A78B151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3-350E-4794-9F00-FE64A78B151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5-350E-4794-9F00-FE64A78B151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7-350E-4794-9F00-FE64A78B151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9-350E-4794-9F00-FE64A78B151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B-350E-4794-9F00-FE64A78B151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D-350E-4794-9F00-FE64A78B151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F-350E-4794-9F00-FE64A78B151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1-350E-4794-9F00-FE64A78B151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3-350E-4794-9F00-FE64A78B151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5-350E-4794-9F00-FE64A78B151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7-350E-4794-9F00-FE64A78B151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9-350E-4794-9F00-FE64A78B151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B-350E-4794-9F00-FE64A78B151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D-350E-4794-9F00-FE64A78B151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F-350E-4794-9F00-FE64A78B151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1-350E-4794-9F00-FE64A78B151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3-350E-4794-9F00-FE64A78B151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5-350E-4794-9F00-FE64A78B151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7-350E-4794-9F00-FE64A78B151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9-350E-4794-9F00-FE64A78B151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B-350E-4794-9F00-FE64A78B151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D-350E-4794-9F00-FE64A78B151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F-350E-4794-9F00-FE64A78B151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1-350E-4794-9F00-FE64A78B151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3-350E-4794-9F00-FE64A78B151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5-350E-4794-9F00-FE64A78B151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7-350E-4794-9F00-FE64A78B151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9-350E-4794-9F00-FE64A78B151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B-350E-4794-9F00-FE64A78B151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D-350E-4794-9F00-FE64A78B151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F-350E-4794-9F00-FE64A78B151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1-350E-4794-9F00-FE64A78B151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3-350E-4794-9F00-FE64A78B151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5-350E-4794-9F00-FE64A78B151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7-350E-4794-9F00-FE64A78B151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9-350E-4794-9F00-FE64A78B151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B-350E-4794-9F00-FE64A78B151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D-350E-4794-9F00-FE64A78B151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F-350E-4794-9F00-FE64A78B151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1-350E-4794-9F00-FE64A78B151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3-350E-4794-9F00-FE64A78B151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5-350E-4794-9F00-FE64A78B151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7-350E-4794-9F00-FE64A78B151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9-350E-4794-9F00-FE64A78B151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B-350E-4794-9F00-FE64A78B151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D-350E-4794-9F00-FE64A78B151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F-350E-4794-9F00-FE64A78B1510}"/>
              </c:ext>
            </c:extLst>
          </c:dPt>
          <c:cat>
            <c:numRef>
              <c:f>Sheet3!$A$3:$A$84</c:f>
              <c:numCache>
                <c:formatCode>General</c:formatCode>
                <c:ptCount val="82"/>
              </c:numCache>
            </c:numRef>
          </c:cat>
          <c:val>
            <c:numRef>
              <c:f>Sheet3!$F$3:$F$84</c:f>
              <c:numCache>
                <c:formatCode>0.00</c:formatCode>
                <c:ptCount val="82"/>
                <c:pt idx="0" formatCode="0">
                  <c:v>12</c:v>
                </c:pt>
                <c:pt idx="2" formatCode="0.0">
                  <c:v>3.4351851851851856</c:v>
                </c:pt>
                <c:pt idx="3" formatCode="0.0">
                  <c:v>19.786666666666669</c:v>
                </c:pt>
                <c:pt idx="5" formatCode="0.0">
                  <c:v>0</c:v>
                </c:pt>
                <c:pt idx="6" formatCode="0.0">
                  <c:v>0</c:v>
                </c:pt>
                <c:pt idx="8" formatCode="0.0">
                  <c:v>1.8518518518518521E-2</c:v>
                </c:pt>
                <c:pt idx="9" formatCode="0.0">
                  <c:v>0.5</c:v>
                </c:pt>
                <c:pt idx="11" formatCode="0.0">
                  <c:v>0.16666666666666666</c:v>
                </c:pt>
                <c:pt idx="12" formatCode="0.0">
                  <c:v>5.1527777777777777</c:v>
                </c:pt>
                <c:pt idx="14" formatCode="0.0">
                  <c:v>0</c:v>
                </c:pt>
                <c:pt idx="15" formatCode="0.0">
                  <c:v>0</c:v>
                </c:pt>
                <c:pt idx="17" formatCode="0.0">
                  <c:v>0</c:v>
                </c:pt>
                <c:pt idx="18" formatCode="0.0">
                  <c:v>5.166666666666667</c:v>
                </c:pt>
                <c:pt idx="20" formatCode="0.0">
                  <c:v>1</c:v>
                </c:pt>
                <c:pt idx="21" formatCode="0.0">
                  <c:v>3.6134259259259256</c:v>
                </c:pt>
                <c:pt idx="23" formatCode="0.0">
                  <c:v>0</c:v>
                </c:pt>
                <c:pt idx="25" formatCode="0.0">
                  <c:v>0.6342592592592593</c:v>
                </c:pt>
                <c:pt idx="26" formatCode="0.0">
                  <c:v>1.1666666666666667</c:v>
                </c:pt>
                <c:pt idx="27" formatCode="0.0">
                  <c:v>1.6233333333333335</c:v>
                </c:pt>
                <c:pt idx="29" formatCode="0.0">
                  <c:v>0.20370370370370369</c:v>
                </c:pt>
                <c:pt idx="30" formatCode="0.0">
                  <c:v>0</c:v>
                </c:pt>
                <c:pt idx="31" formatCode="0.0">
                  <c:v>0.14666666666666667</c:v>
                </c:pt>
                <c:pt idx="33" formatCode="0.0">
                  <c:v>0.59722222222222221</c:v>
                </c:pt>
                <c:pt idx="34" formatCode="0.0">
                  <c:v>0</c:v>
                </c:pt>
                <c:pt idx="35" formatCode="0.0">
                  <c:v>0.43</c:v>
                </c:pt>
                <c:pt idx="37" formatCode="0.0">
                  <c:v>0.83333333333333337</c:v>
                </c:pt>
                <c:pt idx="39" formatCode="0.0">
                  <c:v>0</c:v>
                </c:pt>
                <c:pt idx="40" formatCode="0.0">
                  <c:v>0.33333333333333331</c:v>
                </c:pt>
                <c:pt idx="42" formatCode="0.0">
                  <c:v>0.16666666666666666</c:v>
                </c:pt>
                <c:pt idx="43" formatCode="0.0">
                  <c:v>0</c:v>
                </c:pt>
                <c:pt idx="45" formatCode="0.0">
                  <c:v>6.4814814814814811E-2</c:v>
                </c:pt>
                <c:pt idx="46" formatCode="0.0">
                  <c:v>0.66666666666666663</c:v>
                </c:pt>
                <c:pt idx="48" formatCode="0.0">
                  <c:v>0</c:v>
                </c:pt>
                <c:pt idx="49" formatCode="0.0">
                  <c:v>0</c:v>
                </c:pt>
                <c:pt idx="51" formatCode="0.0">
                  <c:v>0</c:v>
                </c:pt>
                <c:pt idx="52" formatCode="0.0">
                  <c:v>0.49537037037037041</c:v>
                </c:pt>
                <c:pt idx="54" formatCode="0.0">
                  <c:v>0</c:v>
                </c:pt>
                <c:pt idx="55" formatCode="0.0">
                  <c:v>1.337962962962963</c:v>
                </c:pt>
                <c:pt idx="57" formatCode="0.0">
                  <c:v>1</c:v>
                </c:pt>
                <c:pt idx="59" formatCode="0.0">
                  <c:v>2.3148148148148151E-3</c:v>
                </c:pt>
                <c:pt idx="60" formatCode="0.0">
                  <c:v>0</c:v>
                </c:pt>
                <c:pt idx="62" formatCode="0.0">
                  <c:v>0</c:v>
                </c:pt>
                <c:pt idx="64" formatCode="0.0">
                  <c:v>8.3333333333333329E-2</c:v>
                </c:pt>
                <c:pt idx="65" formatCode="0.0">
                  <c:v>0.33333333333333331</c:v>
                </c:pt>
                <c:pt idx="67" formatCode="0.0">
                  <c:v>0</c:v>
                </c:pt>
                <c:pt idx="69" formatCode="0.0">
                  <c:v>0</c:v>
                </c:pt>
                <c:pt idx="70" formatCode="0.0">
                  <c:v>0.33333333333333331</c:v>
                </c:pt>
                <c:pt idx="72" formatCode="0.0">
                  <c:v>0.78240740740740744</c:v>
                </c:pt>
                <c:pt idx="74" formatCode="0.0">
                  <c:v>0.5</c:v>
                </c:pt>
                <c:pt idx="76" formatCode="0.0">
                  <c:v>0</c:v>
                </c:pt>
                <c:pt idx="77" formatCode="0.0">
                  <c:v>0.5</c:v>
                </c:pt>
                <c:pt idx="79" formatCode="0.0">
                  <c:v>0.59259259259259267</c:v>
                </c:pt>
                <c:pt idx="80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DA-4D55-8B5A-6AD2668D7B7B}"/>
            </c:ext>
          </c:extLst>
        </c:ser>
        <c:ser>
          <c:idx val="4"/>
          <c:order val="4"/>
          <c:tx>
            <c:strRef>
              <c:f>Sheet3!$G$2</c:f>
              <c:strCache>
                <c:ptCount val="1"/>
                <c:pt idx="0">
                  <c:v>Jan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1-350E-4794-9F00-FE64A78B1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3-350E-4794-9F00-FE64A78B1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5-350E-4794-9F00-FE64A78B1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7-350E-4794-9F00-FE64A78B15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9-350E-4794-9F00-FE64A78B15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B-350E-4794-9F00-FE64A78B15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D-350E-4794-9F00-FE64A78B15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F-350E-4794-9F00-FE64A78B15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1-350E-4794-9F00-FE64A78B15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3-350E-4794-9F00-FE64A78B15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5-350E-4794-9F00-FE64A78B15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7-350E-4794-9F00-FE64A78B15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9-350E-4794-9F00-FE64A78B15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B-350E-4794-9F00-FE64A78B15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D-350E-4794-9F00-FE64A78B151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F-350E-4794-9F00-FE64A78B151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1-350E-4794-9F00-FE64A78B151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3-350E-4794-9F00-FE64A78B151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5-350E-4794-9F00-FE64A78B151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7-350E-4794-9F00-FE64A78B151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9-350E-4794-9F00-FE64A78B151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B-350E-4794-9F00-FE64A78B151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D-350E-4794-9F00-FE64A78B151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F-350E-4794-9F00-FE64A78B151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1-350E-4794-9F00-FE64A78B151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3-350E-4794-9F00-FE64A78B151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5-350E-4794-9F00-FE64A78B151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7-350E-4794-9F00-FE64A78B151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9-350E-4794-9F00-FE64A78B151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B-350E-4794-9F00-FE64A78B151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D-350E-4794-9F00-FE64A78B151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F-350E-4794-9F00-FE64A78B151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1-350E-4794-9F00-FE64A78B151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3-350E-4794-9F00-FE64A78B151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5-350E-4794-9F00-FE64A78B151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7-350E-4794-9F00-FE64A78B151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9-350E-4794-9F00-FE64A78B151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B-350E-4794-9F00-FE64A78B151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D-350E-4794-9F00-FE64A78B151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F-350E-4794-9F00-FE64A78B151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1-350E-4794-9F00-FE64A78B151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3-350E-4794-9F00-FE64A78B151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5-350E-4794-9F00-FE64A78B151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7-350E-4794-9F00-FE64A78B151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9-350E-4794-9F00-FE64A78B151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B-350E-4794-9F00-FE64A78B151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D-350E-4794-9F00-FE64A78B151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F-350E-4794-9F00-FE64A78B151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1-350E-4794-9F00-FE64A78B151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3-350E-4794-9F00-FE64A78B151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5-350E-4794-9F00-FE64A78B151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7-350E-4794-9F00-FE64A78B151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9-350E-4794-9F00-FE64A78B151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B-350E-4794-9F00-FE64A78B151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D-350E-4794-9F00-FE64A78B151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F-350E-4794-9F00-FE64A78B151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1-350E-4794-9F00-FE64A78B151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3-350E-4794-9F00-FE64A78B151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5-350E-4794-9F00-FE64A78B151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7-350E-4794-9F00-FE64A78B151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9-350E-4794-9F00-FE64A78B151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B-350E-4794-9F00-FE64A78B151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D-350E-4794-9F00-FE64A78B151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F-350E-4794-9F00-FE64A78B151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1-350E-4794-9F00-FE64A78B151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3-350E-4794-9F00-FE64A78B151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5-350E-4794-9F00-FE64A78B151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7-350E-4794-9F00-FE64A78B151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9-350E-4794-9F00-FE64A78B151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B-350E-4794-9F00-FE64A78B151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D-350E-4794-9F00-FE64A78B151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F-350E-4794-9F00-FE64A78B151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1-350E-4794-9F00-FE64A78B151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3-350E-4794-9F00-FE64A78B151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5-350E-4794-9F00-FE64A78B151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7-350E-4794-9F00-FE64A78B151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9-350E-4794-9F00-FE64A78B151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B-350E-4794-9F00-FE64A78B151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D-350E-4794-9F00-FE64A78B151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F-350E-4794-9F00-FE64A78B151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1-350E-4794-9F00-FE64A78B151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3-350E-4794-9F00-FE64A78B151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5-350E-4794-9F00-FE64A78B151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7-350E-4794-9F00-FE64A78B1510}"/>
              </c:ext>
            </c:extLst>
          </c:dPt>
          <c:cat>
            <c:numRef>
              <c:f>Sheet3!$A$3:$A$84</c:f>
              <c:numCache>
                <c:formatCode>General</c:formatCode>
                <c:ptCount val="82"/>
              </c:numCache>
            </c:numRef>
          </c:cat>
          <c:val>
            <c:numRef>
              <c:f>Sheet3!$G$3:$G$84</c:f>
              <c:numCache>
                <c:formatCode>0.00</c:formatCode>
                <c:ptCount val="82"/>
                <c:pt idx="0" formatCode="0">
                  <c:v>1</c:v>
                </c:pt>
                <c:pt idx="2" formatCode="0.0">
                  <c:v>13.333333333333334</c:v>
                </c:pt>
                <c:pt idx="3" formatCode="0.0">
                  <c:v>29.68</c:v>
                </c:pt>
                <c:pt idx="5" formatCode="0.0">
                  <c:v>0</c:v>
                </c:pt>
                <c:pt idx="6" formatCode="0.0">
                  <c:v>0</c:v>
                </c:pt>
                <c:pt idx="8" formatCode="0.0">
                  <c:v>0</c:v>
                </c:pt>
                <c:pt idx="9" formatCode="0.0">
                  <c:v>2.8333333333333335</c:v>
                </c:pt>
                <c:pt idx="11" formatCode="0.0">
                  <c:v>3</c:v>
                </c:pt>
                <c:pt idx="12" formatCode="0.0">
                  <c:v>8.2152777777777786</c:v>
                </c:pt>
                <c:pt idx="14" formatCode="0.0">
                  <c:v>0</c:v>
                </c:pt>
                <c:pt idx="15" formatCode="0.0">
                  <c:v>0.19444444444444445</c:v>
                </c:pt>
                <c:pt idx="17" formatCode="0.0">
                  <c:v>4.6296296296296302E-3</c:v>
                </c:pt>
                <c:pt idx="18" formatCode="0.0">
                  <c:v>6.166666666666667</c:v>
                </c:pt>
                <c:pt idx="20" formatCode="0.0">
                  <c:v>0.5</c:v>
                </c:pt>
                <c:pt idx="21" formatCode="0.0">
                  <c:v>4.5138888888888893</c:v>
                </c:pt>
                <c:pt idx="23" formatCode="0.0">
                  <c:v>1</c:v>
                </c:pt>
                <c:pt idx="25" formatCode="0.0">
                  <c:v>1.4421296296296295</c:v>
                </c:pt>
                <c:pt idx="26" formatCode="0.0">
                  <c:v>0.66666666666666663</c:v>
                </c:pt>
                <c:pt idx="27" formatCode="0.0">
                  <c:v>1.7050000000000001</c:v>
                </c:pt>
                <c:pt idx="29" formatCode="0.0">
                  <c:v>8.3333333333333329E-2</c:v>
                </c:pt>
                <c:pt idx="30" formatCode="0.0">
                  <c:v>12.166666666666666</c:v>
                </c:pt>
                <c:pt idx="31" formatCode="0.0">
                  <c:v>12.226666666666667</c:v>
                </c:pt>
                <c:pt idx="33" formatCode="0.0">
                  <c:v>1.287037037037037</c:v>
                </c:pt>
                <c:pt idx="34" formatCode="0.0">
                  <c:v>0</c:v>
                </c:pt>
                <c:pt idx="35" formatCode="0.0">
                  <c:v>0.92666666666666664</c:v>
                </c:pt>
                <c:pt idx="37" formatCode="0.0">
                  <c:v>2.5</c:v>
                </c:pt>
                <c:pt idx="39" formatCode="0.0">
                  <c:v>0</c:v>
                </c:pt>
                <c:pt idx="40" formatCode="0.0">
                  <c:v>0.33333333333333331</c:v>
                </c:pt>
                <c:pt idx="42" formatCode="0.0">
                  <c:v>0.22222222222222221</c:v>
                </c:pt>
                <c:pt idx="43" formatCode="0.0">
                  <c:v>1.6666666666666667</c:v>
                </c:pt>
                <c:pt idx="45" formatCode="0.0">
                  <c:v>7.4074074074074084E-2</c:v>
                </c:pt>
                <c:pt idx="46" formatCode="0.0">
                  <c:v>1.62</c:v>
                </c:pt>
                <c:pt idx="48" formatCode="0.0">
                  <c:v>0</c:v>
                </c:pt>
                <c:pt idx="49" formatCode="0.0">
                  <c:v>1</c:v>
                </c:pt>
                <c:pt idx="51" formatCode="0.0">
                  <c:v>0</c:v>
                </c:pt>
                <c:pt idx="52" formatCode="0.0">
                  <c:v>0.1851851851851852</c:v>
                </c:pt>
                <c:pt idx="54" formatCode="0.0">
                  <c:v>0</c:v>
                </c:pt>
                <c:pt idx="55" formatCode="0.0">
                  <c:v>1.0555555555555556</c:v>
                </c:pt>
                <c:pt idx="57" formatCode="0.0">
                  <c:v>1.8333333333333333</c:v>
                </c:pt>
                <c:pt idx="59" formatCode="0.0">
                  <c:v>4.6296296296296302E-3</c:v>
                </c:pt>
                <c:pt idx="60" formatCode="0.0">
                  <c:v>0</c:v>
                </c:pt>
                <c:pt idx="62" formatCode="0.0">
                  <c:v>0.5</c:v>
                </c:pt>
                <c:pt idx="64" formatCode="0.0">
                  <c:v>8.3333333333333329E-2</c:v>
                </c:pt>
                <c:pt idx="65" formatCode="0.0">
                  <c:v>0.18333333333333335</c:v>
                </c:pt>
                <c:pt idx="67" formatCode="0.0">
                  <c:v>0</c:v>
                </c:pt>
                <c:pt idx="69" formatCode="0.0">
                  <c:v>0</c:v>
                </c:pt>
                <c:pt idx="70" formatCode="0.0">
                  <c:v>0.33333333333333331</c:v>
                </c:pt>
                <c:pt idx="72" formatCode="0.0">
                  <c:v>0.9814814814814814</c:v>
                </c:pt>
                <c:pt idx="74" formatCode="0.0">
                  <c:v>1.6666666666666667</c:v>
                </c:pt>
                <c:pt idx="76" formatCode="0.0">
                  <c:v>8.3333333333333329E-2</c:v>
                </c:pt>
                <c:pt idx="77" formatCode="0.0">
                  <c:v>0.5</c:v>
                </c:pt>
                <c:pt idx="79" formatCode="0.0">
                  <c:v>0</c:v>
                </c:pt>
                <c:pt idx="80" formatCode="0.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DA-4D55-8B5A-6AD2668D7B7B}"/>
            </c:ext>
          </c:extLst>
        </c:ser>
        <c:ser>
          <c:idx val="5"/>
          <c:order val="5"/>
          <c:tx>
            <c:strRef>
              <c:f>Sheet3!$H$2</c:f>
              <c:strCache>
                <c:ptCount val="1"/>
                <c:pt idx="0">
                  <c:v>Feb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9-350E-4794-9F00-FE64A78B1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B-350E-4794-9F00-FE64A78B1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D-350E-4794-9F00-FE64A78B1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F-350E-4794-9F00-FE64A78B15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1-350E-4794-9F00-FE64A78B15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3-350E-4794-9F00-FE64A78B15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5-350E-4794-9F00-FE64A78B15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7-350E-4794-9F00-FE64A78B15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9-350E-4794-9F00-FE64A78B15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B-350E-4794-9F00-FE64A78B15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D-350E-4794-9F00-FE64A78B15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F-350E-4794-9F00-FE64A78B15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1-350E-4794-9F00-FE64A78B15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3-350E-4794-9F00-FE64A78B15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5-350E-4794-9F00-FE64A78B151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7-350E-4794-9F00-FE64A78B151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9-350E-4794-9F00-FE64A78B151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B-350E-4794-9F00-FE64A78B151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D-350E-4794-9F00-FE64A78B151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F-350E-4794-9F00-FE64A78B151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1-350E-4794-9F00-FE64A78B151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3-350E-4794-9F00-FE64A78B151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5-350E-4794-9F00-FE64A78B151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7-350E-4794-9F00-FE64A78B151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9-350E-4794-9F00-FE64A78B151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B-350E-4794-9F00-FE64A78B151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D-350E-4794-9F00-FE64A78B151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F-350E-4794-9F00-FE64A78B151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1-350E-4794-9F00-FE64A78B151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3-350E-4794-9F00-FE64A78B151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5-350E-4794-9F00-FE64A78B151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7-350E-4794-9F00-FE64A78B151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9-350E-4794-9F00-FE64A78B151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B-350E-4794-9F00-FE64A78B151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D-350E-4794-9F00-FE64A78B151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F-350E-4794-9F00-FE64A78B151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1-350E-4794-9F00-FE64A78B151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3-350E-4794-9F00-FE64A78B151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5-350E-4794-9F00-FE64A78B151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7-350E-4794-9F00-FE64A78B151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9-350E-4794-9F00-FE64A78B151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B-350E-4794-9F00-FE64A78B151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D-350E-4794-9F00-FE64A78B151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F-350E-4794-9F00-FE64A78B151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1-350E-4794-9F00-FE64A78B151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3-350E-4794-9F00-FE64A78B151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5-350E-4794-9F00-FE64A78B151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7-350E-4794-9F00-FE64A78B151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9-350E-4794-9F00-FE64A78B151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B-350E-4794-9F00-FE64A78B151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D-350E-4794-9F00-FE64A78B151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F-350E-4794-9F00-FE64A78B151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1-350E-4794-9F00-FE64A78B151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3-350E-4794-9F00-FE64A78B151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5-350E-4794-9F00-FE64A78B151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7-350E-4794-9F00-FE64A78B151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9-350E-4794-9F00-FE64A78B151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B-350E-4794-9F00-FE64A78B151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D-350E-4794-9F00-FE64A78B151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F-350E-4794-9F00-FE64A78B151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1-350E-4794-9F00-FE64A78B151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3-350E-4794-9F00-FE64A78B151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5-350E-4794-9F00-FE64A78B151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7-350E-4794-9F00-FE64A78B151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9-350E-4794-9F00-FE64A78B151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B-350E-4794-9F00-FE64A78B151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D-350E-4794-9F00-FE64A78B151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F-350E-4794-9F00-FE64A78B151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1-350E-4794-9F00-FE64A78B151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3-350E-4794-9F00-FE64A78B151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5-350E-4794-9F00-FE64A78B151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7-350E-4794-9F00-FE64A78B151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9-350E-4794-9F00-FE64A78B151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B-350E-4794-9F00-FE64A78B151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D-350E-4794-9F00-FE64A78B151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F-350E-4794-9F00-FE64A78B151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1-350E-4794-9F00-FE64A78B151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3-350E-4794-9F00-FE64A78B151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5-350E-4794-9F00-FE64A78B151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7-350E-4794-9F00-FE64A78B151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9-350E-4794-9F00-FE64A78B151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B-350E-4794-9F00-FE64A78B151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D-350E-4794-9F00-FE64A78B151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F-350E-4794-9F00-FE64A78B1510}"/>
              </c:ext>
            </c:extLst>
          </c:dPt>
          <c:cat>
            <c:numRef>
              <c:f>Sheet3!$A$3:$A$84</c:f>
              <c:numCache>
                <c:formatCode>General</c:formatCode>
                <c:ptCount val="82"/>
              </c:numCache>
            </c:numRef>
          </c:cat>
          <c:val>
            <c:numRef>
              <c:f>Sheet3!$H$3:$H$84</c:f>
              <c:numCache>
                <c:formatCode>0.00</c:formatCode>
                <c:ptCount val="82"/>
                <c:pt idx="0" formatCode="0">
                  <c:v>2</c:v>
                </c:pt>
                <c:pt idx="2" formatCode="0.0">
                  <c:v>30</c:v>
                </c:pt>
                <c:pt idx="3" formatCode="0.0">
                  <c:v>7.42</c:v>
                </c:pt>
                <c:pt idx="5" formatCode="0.0">
                  <c:v>0</c:v>
                </c:pt>
                <c:pt idx="6" formatCode="0.0">
                  <c:v>0</c:v>
                </c:pt>
                <c:pt idx="8" formatCode="0.0">
                  <c:v>8.7962962962962965E-2</c:v>
                </c:pt>
                <c:pt idx="9" formatCode="0.0">
                  <c:v>4.0333333333333332</c:v>
                </c:pt>
                <c:pt idx="11" formatCode="0.0">
                  <c:v>9.3333333333333339</c:v>
                </c:pt>
                <c:pt idx="12" formatCode="0.0">
                  <c:v>9.3564814814814827</c:v>
                </c:pt>
                <c:pt idx="14" formatCode="0.0">
                  <c:v>1</c:v>
                </c:pt>
                <c:pt idx="15" formatCode="0.0">
                  <c:v>0.375</c:v>
                </c:pt>
                <c:pt idx="17" formatCode="0.0">
                  <c:v>0</c:v>
                </c:pt>
                <c:pt idx="18" formatCode="0.0">
                  <c:v>3.5</c:v>
                </c:pt>
                <c:pt idx="20" formatCode="0.0">
                  <c:v>0.5</c:v>
                </c:pt>
                <c:pt idx="21" formatCode="0.0">
                  <c:v>10.833333333333334</c:v>
                </c:pt>
                <c:pt idx="23" formatCode="0.0">
                  <c:v>2.3333333333333335</c:v>
                </c:pt>
                <c:pt idx="25" formatCode="0.0">
                  <c:v>1.3657407407407407</c:v>
                </c:pt>
                <c:pt idx="26" formatCode="0.0">
                  <c:v>1.5786666666666667</c:v>
                </c:pt>
                <c:pt idx="27" formatCode="0.0">
                  <c:v>2.5619999999999998</c:v>
                </c:pt>
                <c:pt idx="29" formatCode="0.0">
                  <c:v>0.30555555555555558</c:v>
                </c:pt>
                <c:pt idx="30" formatCode="0.0">
                  <c:v>0</c:v>
                </c:pt>
                <c:pt idx="31" formatCode="0.0">
                  <c:v>0.22000000000000003</c:v>
                </c:pt>
                <c:pt idx="33" formatCode="0.0">
                  <c:v>2.8796296296296298</c:v>
                </c:pt>
                <c:pt idx="34" formatCode="0.0">
                  <c:v>0</c:v>
                </c:pt>
                <c:pt idx="35" formatCode="0.0">
                  <c:v>2.0733333333333337</c:v>
                </c:pt>
                <c:pt idx="37" formatCode="0.0">
                  <c:v>0.83333333333333337</c:v>
                </c:pt>
                <c:pt idx="39" formatCode="0.0">
                  <c:v>1.9233333333333333</c:v>
                </c:pt>
                <c:pt idx="40" formatCode="0.0">
                  <c:v>0.5</c:v>
                </c:pt>
                <c:pt idx="42" formatCode="0.0">
                  <c:v>0.52777777777777779</c:v>
                </c:pt>
                <c:pt idx="43" formatCode="0.0">
                  <c:v>0</c:v>
                </c:pt>
                <c:pt idx="45" formatCode="0.0">
                  <c:v>7.8703703703703706E-2</c:v>
                </c:pt>
                <c:pt idx="46" formatCode="0.0">
                  <c:v>1.6666666666666667</c:v>
                </c:pt>
                <c:pt idx="48" formatCode="0.0">
                  <c:v>0.33333333333333331</c:v>
                </c:pt>
                <c:pt idx="49" formatCode="0.0">
                  <c:v>1.4444444444444444</c:v>
                </c:pt>
                <c:pt idx="51" formatCode="0.0">
                  <c:v>0</c:v>
                </c:pt>
                <c:pt idx="52" formatCode="0.0">
                  <c:v>1.863425925925926</c:v>
                </c:pt>
                <c:pt idx="54" formatCode="0.0">
                  <c:v>0</c:v>
                </c:pt>
                <c:pt idx="55" formatCode="0.0">
                  <c:v>1.3518518518518519</c:v>
                </c:pt>
                <c:pt idx="57" formatCode="0.0">
                  <c:v>3.5231481481481479</c:v>
                </c:pt>
                <c:pt idx="59" formatCode="0.0">
                  <c:v>0</c:v>
                </c:pt>
                <c:pt idx="60" formatCode="0.0">
                  <c:v>0.33333333333333331</c:v>
                </c:pt>
                <c:pt idx="62" formatCode="0.0">
                  <c:v>0.17666666666666667</c:v>
                </c:pt>
                <c:pt idx="64" formatCode="0.0">
                  <c:v>0</c:v>
                </c:pt>
                <c:pt idx="65" formatCode="0.0">
                  <c:v>1.4166666666666667</c:v>
                </c:pt>
                <c:pt idx="67" formatCode="0.0">
                  <c:v>0</c:v>
                </c:pt>
                <c:pt idx="69" formatCode="0.0">
                  <c:v>0</c:v>
                </c:pt>
                <c:pt idx="70" formatCode="0.0">
                  <c:v>0.66666666666666663</c:v>
                </c:pt>
                <c:pt idx="72" formatCode="0.0">
                  <c:v>0.45370370370370372</c:v>
                </c:pt>
                <c:pt idx="74" formatCode="0.0">
                  <c:v>2</c:v>
                </c:pt>
                <c:pt idx="76" formatCode="0.0">
                  <c:v>4.6296296296296302E-3</c:v>
                </c:pt>
                <c:pt idx="77" formatCode="0.0">
                  <c:v>0.33333333333333331</c:v>
                </c:pt>
                <c:pt idx="79" formatCode="0.0">
                  <c:v>0.68518518518518512</c:v>
                </c:pt>
                <c:pt idx="80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DA-4D55-8B5A-6AD2668D7B7B}"/>
            </c:ext>
          </c:extLst>
        </c:ser>
        <c:ser>
          <c:idx val="6"/>
          <c:order val="6"/>
          <c:tx>
            <c:strRef>
              <c:f>Sheet3!$I$2</c:f>
              <c:strCache>
                <c:ptCount val="1"/>
                <c:pt idx="0">
                  <c:v>March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1-350E-4794-9F00-FE64A78B1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3-350E-4794-9F00-FE64A78B1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5-350E-4794-9F00-FE64A78B1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7-350E-4794-9F00-FE64A78B15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9-350E-4794-9F00-FE64A78B15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B-350E-4794-9F00-FE64A78B15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D-350E-4794-9F00-FE64A78B15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F-350E-4794-9F00-FE64A78B15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1-350E-4794-9F00-FE64A78B15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3-350E-4794-9F00-FE64A78B15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5-350E-4794-9F00-FE64A78B15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7-350E-4794-9F00-FE64A78B15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9-350E-4794-9F00-FE64A78B15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B-350E-4794-9F00-FE64A78B15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D-350E-4794-9F00-FE64A78B151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F-350E-4794-9F00-FE64A78B151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1-350E-4794-9F00-FE64A78B151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3-350E-4794-9F00-FE64A78B151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5-350E-4794-9F00-FE64A78B151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7-350E-4794-9F00-FE64A78B151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9-350E-4794-9F00-FE64A78B151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B-350E-4794-9F00-FE64A78B151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D-350E-4794-9F00-FE64A78B151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F-350E-4794-9F00-FE64A78B151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1-350E-4794-9F00-FE64A78B151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3-350E-4794-9F00-FE64A78B151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5-350E-4794-9F00-FE64A78B151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7-350E-4794-9F00-FE64A78B151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9-350E-4794-9F00-FE64A78B151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B-350E-4794-9F00-FE64A78B151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D-350E-4794-9F00-FE64A78B151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F-350E-4794-9F00-FE64A78B151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1-350E-4794-9F00-FE64A78B151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3-350E-4794-9F00-FE64A78B151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5-350E-4794-9F00-FE64A78B151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7-350E-4794-9F00-FE64A78B151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9-350E-4794-9F00-FE64A78B151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B-350E-4794-9F00-FE64A78B151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D-350E-4794-9F00-FE64A78B151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F-350E-4794-9F00-FE64A78B151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1-350E-4794-9F00-FE64A78B151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3-350E-4794-9F00-FE64A78B151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5-350E-4794-9F00-FE64A78B151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7-350E-4794-9F00-FE64A78B151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9-350E-4794-9F00-FE64A78B151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B-350E-4794-9F00-FE64A78B151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D-350E-4794-9F00-FE64A78B151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F-350E-4794-9F00-FE64A78B151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1-350E-4794-9F00-FE64A78B151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3-350E-4794-9F00-FE64A78B151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5-350E-4794-9F00-FE64A78B151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7-350E-4794-9F00-FE64A78B151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9-350E-4794-9F00-FE64A78B151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B-350E-4794-9F00-FE64A78B151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D-350E-4794-9F00-FE64A78B151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F-350E-4794-9F00-FE64A78B151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1-350E-4794-9F00-FE64A78B151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3-350E-4794-9F00-FE64A78B151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5-350E-4794-9F00-FE64A78B151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7-350E-4794-9F00-FE64A78B151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9-350E-4794-9F00-FE64A78B151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B-350E-4794-9F00-FE64A78B151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D-350E-4794-9F00-FE64A78B151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F-350E-4794-9F00-FE64A78B151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1-350E-4794-9F00-FE64A78B151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3-350E-4794-9F00-FE64A78B151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5-350E-4794-9F00-FE64A78B151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7-350E-4794-9F00-FE64A78B151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9-350E-4794-9F00-FE64A78B151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B-350E-4794-9F00-FE64A78B151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D-350E-4794-9F00-FE64A78B151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F-350E-4794-9F00-FE64A78B151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1-350E-4794-9F00-FE64A78B151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3-350E-4794-9F00-FE64A78B151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5-350E-4794-9F00-FE64A78B151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7-350E-4794-9F00-FE64A78B151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9-350E-4794-9F00-FE64A78B151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B-350E-4794-9F00-FE64A78B151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D-350E-4794-9F00-FE64A78B151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F-350E-4794-9F00-FE64A78B151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1-350E-4794-9F00-FE64A78B151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3-350E-4794-9F00-FE64A78B151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5-350E-4794-9F00-FE64A78B151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7-350E-4794-9F00-FE64A78B1510}"/>
              </c:ext>
            </c:extLst>
          </c:dPt>
          <c:cat>
            <c:numRef>
              <c:f>Sheet3!$A$3:$A$84</c:f>
              <c:numCache>
                <c:formatCode>General</c:formatCode>
                <c:ptCount val="82"/>
              </c:numCache>
            </c:numRef>
          </c:cat>
          <c:val>
            <c:numRef>
              <c:f>Sheet3!$I$3:$I$84</c:f>
              <c:numCache>
                <c:formatCode>0.00</c:formatCode>
                <c:ptCount val="82"/>
                <c:pt idx="0" formatCode="0">
                  <c:v>3</c:v>
                </c:pt>
                <c:pt idx="2" formatCode="0.0">
                  <c:v>20</c:v>
                </c:pt>
                <c:pt idx="3" formatCode="0.0">
                  <c:v>19.786666666666669</c:v>
                </c:pt>
                <c:pt idx="5" formatCode="0.0">
                  <c:v>9.3333333333333339</c:v>
                </c:pt>
                <c:pt idx="6" formatCode="0.0">
                  <c:v>3.8333333333333335</c:v>
                </c:pt>
                <c:pt idx="8" formatCode="0.0">
                  <c:v>0</c:v>
                </c:pt>
                <c:pt idx="9" formatCode="0.0">
                  <c:v>3.5333333333333337</c:v>
                </c:pt>
                <c:pt idx="11" formatCode="0.0">
                  <c:v>4.833333333333333</c:v>
                </c:pt>
                <c:pt idx="12" formatCode="0.0">
                  <c:v>9.8888888888888893</c:v>
                </c:pt>
                <c:pt idx="14" formatCode="0.0">
                  <c:v>2.3333333333333335</c:v>
                </c:pt>
                <c:pt idx="15" formatCode="0.0">
                  <c:v>4.2777777777777777</c:v>
                </c:pt>
                <c:pt idx="17" formatCode="0.0">
                  <c:v>0.19444444444444445</c:v>
                </c:pt>
                <c:pt idx="18" formatCode="0.0">
                  <c:v>1.5</c:v>
                </c:pt>
                <c:pt idx="20" formatCode="0.0">
                  <c:v>0.83333333333333337</c:v>
                </c:pt>
                <c:pt idx="21" formatCode="0.0">
                  <c:v>4.7337962962962967</c:v>
                </c:pt>
                <c:pt idx="23" formatCode="0.0">
                  <c:v>6.5</c:v>
                </c:pt>
                <c:pt idx="25" formatCode="0.0">
                  <c:v>0.75925925925925919</c:v>
                </c:pt>
                <c:pt idx="26" formatCode="0.0">
                  <c:v>0.16666666666666666</c:v>
                </c:pt>
                <c:pt idx="27" formatCode="0.0">
                  <c:v>0.71333333333333326</c:v>
                </c:pt>
                <c:pt idx="29" formatCode="0.0">
                  <c:v>0.19444444444444445</c:v>
                </c:pt>
                <c:pt idx="30" formatCode="0.0">
                  <c:v>1</c:v>
                </c:pt>
                <c:pt idx="31" formatCode="0.0">
                  <c:v>1.1400000000000001</c:v>
                </c:pt>
                <c:pt idx="33" formatCode="0.0">
                  <c:v>2.2662037037037037</c:v>
                </c:pt>
                <c:pt idx="34" formatCode="0.0">
                  <c:v>0.83333333333333337</c:v>
                </c:pt>
                <c:pt idx="35" formatCode="0.0">
                  <c:v>2.4650000000000003</c:v>
                </c:pt>
                <c:pt idx="37" formatCode="0.0">
                  <c:v>2</c:v>
                </c:pt>
                <c:pt idx="39" formatCode="0.0">
                  <c:v>0.66666666666666663</c:v>
                </c:pt>
                <c:pt idx="40" formatCode="0.0">
                  <c:v>0.83333333333333337</c:v>
                </c:pt>
                <c:pt idx="42" formatCode="0.0">
                  <c:v>0.47222222222222221</c:v>
                </c:pt>
                <c:pt idx="43" formatCode="0.0">
                  <c:v>0.33333333333333331</c:v>
                </c:pt>
                <c:pt idx="45" formatCode="0.0">
                  <c:v>9.2592592592592605E-3</c:v>
                </c:pt>
                <c:pt idx="46" formatCode="0.0">
                  <c:v>0.5</c:v>
                </c:pt>
                <c:pt idx="48" formatCode="0.0">
                  <c:v>0.16666666666666666</c:v>
                </c:pt>
                <c:pt idx="49" formatCode="0.0">
                  <c:v>0.5</c:v>
                </c:pt>
                <c:pt idx="51" formatCode="0.0">
                  <c:v>0</c:v>
                </c:pt>
                <c:pt idx="52" formatCode="0.0">
                  <c:v>1.1666666666666667</c:v>
                </c:pt>
                <c:pt idx="54" formatCode="0.0">
                  <c:v>0.5</c:v>
                </c:pt>
                <c:pt idx="55" formatCode="0.0">
                  <c:v>1.3842592592592593</c:v>
                </c:pt>
                <c:pt idx="57" formatCode="0.0">
                  <c:v>2.1111111111111112</c:v>
                </c:pt>
                <c:pt idx="59" formatCode="0.0">
                  <c:v>5.0925925925925923E-2</c:v>
                </c:pt>
                <c:pt idx="60" formatCode="0.0">
                  <c:v>0.5</c:v>
                </c:pt>
                <c:pt idx="62" formatCode="0.0">
                  <c:v>0.83333333333333337</c:v>
                </c:pt>
                <c:pt idx="64" formatCode="0.0">
                  <c:v>0.3888888888888889</c:v>
                </c:pt>
                <c:pt idx="65" formatCode="0.0">
                  <c:v>0</c:v>
                </c:pt>
                <c:pt idx="67" formatCode="0.0">
                  <c:v>1.6666666666666667</c:v>
                </c:pt>
                <c:pt idx="69" formatCode="0.0">
                  <c:v>0</c:v>
                </c:pt>
                <c:pt idx="70" formatCode="0.0">
                  <c:v>0.83333333333333337</c:v>
                </c:pt>
                <c:pt idx="72" formatCode="0.0">
                  <c:v>0.86574074074074081</c:v>
                </c:pt>
                <c:pt idx="74" formatCode="0.0">
                  <c:v>0.5</c:v>
                </c:pt>
                <c:pt idx="76" formatCode="0.0">
                  <c:v>0.37037037037037041</c:v>
                </c:pt>
                <c:pt idx="77" formatCode="0.0">
                  <c:v>0.16666666666666666</c:v>
                </c:pt>
                <c:pt idx="79" formatCode="0.0">
                  <c:v>0.61111111111111116</c:v>
                </c:pt>
                <c:pt idx="80" formatCode="0.0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DA-4D55-8B5A-6AD2668D7B7B}"/>
            </c:ext>
          </c:extLst>
        </c:ser>
        <c:ser>
          <c:idx val="7"/>
          <c:order val="7"/>
          <c:tx>
            <c:strRef>
              <c:f>Sheet3!$J$2</c:f>
              <c:strCache>
                <c:ptCount val="1"/>
                <c:pt idx="0">
                  <c:v>April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9-350E-4794-9F00-FE64A78B1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B-350E-4794-9F00-FE64A78B1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D-350E-4794-9F00-FE64A78B1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F-350E-4794-9F00-FE64A78B15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1-350E-4794-9F00-FE64A78B15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3-350E-4794-9F00-FE64A78B15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5-350E-4794-9F00-FE64A78B15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7-350E-4794-9F00-FE64A78B15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9-350E-4794-9F00-FE64A78B15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B-350E-4794-9F00-FE64A78B15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D-350E-4794-9F00-FE64A78B15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F-350E-4794-9F00-FE64A78B15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1-350E-4794-9F00-FE64A78B15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3-350E-4794-9F00-FE64A78B15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5-350E-4794-9F00-FE64A78B151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7-350E-4794-9F00-FE64A78B151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9-350E-4794-9F00-FE64A78B151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B-350E-4794-9F00-FE64A78B151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D-350E-4794-9F00-FE64A78B151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F-350E-4794-9F00-FE64A78B151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1-350E-4794-9F00-FE64A78B151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3-350E-4794-9F00-FE64A78B151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5-350E-4794-9F00-FE64A78B151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7-350E-4794-9F00-FE64A78B151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9-350E-4794-9F00-FE64A78B151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B-350E-4794-9F00-FE64A78B151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D-350E-4794-9F00-FE64A78B151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F-350E-4794-9F00-FE64A78B151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1-350E-4794-9F00-FE64A78B151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3-350E-4794-9F00-FE64A78B151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5-350E-4794-9F00-FE64A78B151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7-350E-4794-9F00-FE64A78B151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9-350E-4794-9F00-FE64A78B151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B-350E-4794-9F00-FE64A78B151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D-350E-4794-9F00-FE64A78B151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F-350E-4794-9F00-FE64A78B151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1-350E-4794-9F00-FE64A78B151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3-350E-4794-9F00-FE64A78B151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5-350E-4794-9F00-FE64A78B151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7-350E-4794-9F00-FE64A78B151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9-350E-4794-9F00-FE64A78B151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B-350E-4794-9F00-FE64A78B151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D-350E-4794-9F00-FE64A78B151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F-350E-4794-9F00-FE64A78B151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1-350E-4794-9F00-FE64A78B151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3-350E-4794-9F00-FE64A78B151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5-350E-4794-9F00-FE64A78B151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7-350E-4794-9F00-FE64A78B151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9-350E-4794-9F00-FE64A78B151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B-350E-4794-9F00-FE64A78B151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D-350E-4794-9F00-FE64A78B151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F-350E-4794-9F00-FE64A78B151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1-350E-4794-9F00-FE64A78B151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3-350E-4794-9F00-FE64A78B151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5-350E-4794-9F00-FE64A78B151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7-350E-4794-9F00-FE64A78B151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9-350E-4794-9F00-FE64A78B151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B-350E-4794-9F00-FE64A78B151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D-350E-4794-9F00-FE64A78B151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F-350E-4794-9F00-FE64A78B151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1-350E-4794-9F00-FE64A78B151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3-350E-4794-9F00-FE64A78B151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5-350E-4794-9F00-FE64A78B151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7-350E-4794-9F00-FE64A78B151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9-350E-4794-9F00-FE64A78B151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B-350E-4794-9F00-FE64A78B151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D-350E-4794-9F00-FE64A78B151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F-350E-4794-9F00-FE64A78B151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1-350E-4794-9F00-FE64A78B151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3-350E-4794-9F00-FE64A78B151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5-350E-4794-9F00-FE64A78B151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7-350E-4794-9F00-FE64A78B151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9-350E-4794-9F00-FE64A78B151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B-350E-4794-9F00-FE64A78B151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D-350E-4794-9F00-FE64A78B151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F-350E-4794-9F00-FE64A78B151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1-350E-4794-9F00-FE64A78B151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3-350E-4794-9F00-FE64A78B151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5-350E-4794-9F00-FE64A78B151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7-350E-4794-9F00-FE64A78B151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9-350E-4794-9F00-FE64A78B151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B-350E-4794-9F00-FE64A78B151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D-350E-4794-9F00-FE64A78B151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F-350E-4794-9F00-FE64A78B1510}"/>
              </c:ext>
            </c:extLst>
          </c:dPt>
          <c:cat>
            <c:numRef>
              <c:f>Sheet3!$A$3:$A$84</c:f>
              <c:numCache>
                <c:formatCode>General</c:formatCode>
                <c:ptCount val="82"/>
              </c:numCache>
            </c:numRef>
          </c:cat>
          <c:val>
            <c:numRef>
              <c:f>Sheet3!$J$3:$J$84</c:f>
              <c:numCache>
                <c:formatCode>0.00</c:formatCode>
                <c:ptCount val="82"/>
                <c:pt idx="0" formatCode="0">
                  <c:v>4</c:v>
                </c:pt>
                <c:pt idx="2" formatCode="0.0">
                  <c:v>0</c:v>
                </c:pt>
                <c:pt idx="3" formatCode="0.0">
                  <c:v>7.42</c:v>
                </c:pt>
                <c:pt idx="5" formatCode="0.0">
                  <c:v>31.333333333333332</c:v>
                </c:pt>
                <c:pt idx="6" formatCode="0.0">
                  <c:v>13.333333333333334</c:v>
                </c:pt>
                <c:pt idx="8" formatCode="0.0">
                  <c:v>0</c:v>
                </c:pt>
                <c:pt idx="9" formatCode="0.0">
                  <c:v>5.333333333333333</c:v>
                </c:pt>
                <c:pt idx="11" formatCode="0.0">
                  <c:v>1.8533333333333333</c:v>
                </c:pt>
                <c:pt idx="12" formatCode="0.0">
                  <c:v>9.5509259259259256</c:v>
                </c:pt>
                <c:pt idx="14" formatCode="0.0">
                  <c:v>3</c:v>
                </c:pt>
                <c:pt idx="15" formatCode="0.0">
                  <c:v>6.333333333333333</c:v>
                </c:pt>
                <c:pt idx="17" formatCode="0.0">
                  <c:v>4.6296296296296301E-2</c:v>
                </c:pt>
                <c:pt idx="18" formatCode="0.0">
                  <c:v>2</c:v>
                </c:pt>
                <c:pt idx="20" formatCode="0.0">
                  <c:v>0.5</c:v>
                </c:pt>
                <c:pt idx="21" formatCode="0.0">
                  <c:v>4.1111111111111107</c:v>
                </c:pt>
                <c:pt idx="23" formatCode="0.0">
                  <c:v>1.1666666666666667</c:v>
                </c:pt>
                <c:pt idx="25" formatCode="0.0">
                  <c:v>0.57407407407407407</c:v>
                </c:pt>
                <c:pt idx="26" formatCode="0.0">
                  <c:v>0.66666666666666663</c:v>
                </c:pt>
                <c:pt idx="27" formatCode="0.0">
                  <c:v>1.08</c:v>
                </c:pt>
                <c:pt idx="29" formatCode="0.0">
                  <c:v>0.1388888888888889</c:v>
                </c:pt>
                <c:pt idx="30" formatCode="0.0">
                  <c:v>0.16666666666666666</c:v>
                </c:pt>
                <c:pt idx="31" formatCode="0.0">
                  <c:v>0.26666666666666666</c:v>
                </c:pt>
                <c:pt idx="33" formatCode="0.0">
                  <c:v>0.96759259259259256</c:v>
                </c:pt>
                <c:pt idx="34" formatCode="0.0">
                  <c:v>0.16666666666666666</c:v>
                </c:pt>
                <c:pt idx="35" formatCode="0.0">
                  <c:v>0.86333333333333329</c:v>
                </c:pt>
                <c:pt idx="37" formatCode="0.0">
                  <c:v>2</c:v>
                </c:pt>
                <c:pt idx="39" formatCode="0.0">
                  <c:v>0.5</c:v>
                </c:pt>
                <c:pt idx="40" formatCode="0.0">
                  <c:v>1.212962962962963</c:v>
                </c:pt>
                <c:pt idx="42" formatCode="0.0">
                  <c:v>5.0925925925925923E-2</c:v>
                </c:pt>
                <c:pt idx="43" formatCode="0.0">
                  <c:v>1.5266666666666668</c:v>
                </c:pt>
                <c:pt idx="45" formatCode="0.0">
                  <c:v>1.6203703703703703E-2</c:v>
                </c:pt>
                <c:pt idx="46" formatCode="0.0">
                  <c:v>0.66666666666666663</c:v>
                </c:pt>
                <c:pt idx="48" formatCode="0.0">
                  <c:v>0.33333333333333331</c:v>
                </c:pt>
                <c:pt idx="49" formatCode="0.0">
                  <c:v>1.5</c:v>
                </c:pt>
                <c:pt idx="51" formatCode="0.0">
                  <c:v>0</c:v>
                </c:pt>
                <c:pt idx="52" formatCode="0.0">
                  <c:v>1.7314814814814816</c:v>
                </c:pt>
                <c:pt idx="54" formatCode="0.0">
                  <c:v>0.33333333333333331</c:v>
                </c:pt>
                <c:pt idx="55" formatCode="0.0">
                  <c:v>0.82870370370370361</c:v>
                </c:pt>
                <c:pt idx="57" formatCode="0.0">
                  <c:v>0.66666666666666663</c:v>
                </c:pt>
                <c:pt idx="59" formatCode="0.0">
                  <c:v>0</c:v>
                </c:pt>
                <c:pt idx="60" formatCode="0.0">
                  <c:v>0.33333333333333331</c:v>
                </c:pt>
                <c:pt idx="62" formatCode="0.0">
                  <c:v>1</c:v>
                </c:pt>
                <c:pt idx="64" formatCode="0.0">
                  <c:v>0</c:v>
                </c:pt>
                <c:pt idx="65" formatCode="0.0">
                  <c:v>1.2</c:v>
                </c:pt>
                <c:pt idx="67" formatCode="0.0">
                  <c:v>0</c:v>
                </c:pt>
                <c:pt idx="69" formatCode="0.0">
                  <c:v>0.5</c:v>
                </c:pt>
                <c:pt idx="70" formatCode="0.0">
                  <c:v>0.3981481481481482</c:v>
                </c:pt>
                <c:pt idx="72" formatCode="0.0">
                  <c:v>0.82870370370370361</c:v>
                </c:pt>
                <c:pt idx="74" formatCode="0.0">
                  <c:v>1.1666666666666667</c:v>
                </c:pt>
                <c:pt idx="76" formatCode="0.0">
                  <c:v>0.37037037037037041</c:v>
                </c:pt>
                <c:pt idx="77" formatCode="0.0">
                  <c:v>0.33333333333333331</c:v>
                </c:pt>
                <c:pt idx="79" formatCode="0.0">
                  <c:v>0.67592592592592593</c:v>
                </c:pt>
                <c:pt idx="80" formatCode="0.0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DA-4D55-8B5A-6AD2668D7B7B}"/>
            </c:ext>
          </c:extLst>
        </c:ser>
        <c:ser>
          <c:idx val="8"/>
          <c:order val="8"/>
          <c:tx>
            <c:strRef>
              <c:f>Sheet3!$K$2</c:f>
              <c:strCache>
                <c:ptCount val="1"/>
                <c:pt idx="0">
                  <c:v>May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1-350E-4794-9F00-FE64A78B1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3-350E-4794-9F00-FE64A78B1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5-350E-4794-9F00-FE64A78B1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7-350E-4794-9F00-FE64A78B15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9-350E-4794-9F00-FE64A78B15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B-350E-4794-9F00-FE64A78B15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D-350E-4794-9F00-FE64A78B15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F-350E-4794-9F00-FE64A78B15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1-350E-4794-9F00-FE64A78B15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3-350E-4794-9F00-FE64A78B15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5-350E-4794-9F00-FE64A78B15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7-350E-4794-9F00-FE64A78B15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9-350E-4794-9F00-FE64A78B15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B-350E-4794-9F00-FE64A78B15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D-350E-4794-9F00-FE64A78B151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F-350E-4794-9F00-FE64A78B151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1-350E-4794-9F00-FE64A78B151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3-350E-4794-9F00-FE64A78B151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5-350E-4794-9F00-FE64A78B151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7-350E-4794-9F00-FE64A78B151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9-350E-4794-9F00-FE64A78B151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B-350E-4794-9F00-FE64A78B151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D-350E-4794-9F00-FE64A78B151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F-350E-4794-9F00-FE64A78B151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1-350E-4794-9F00-FE64A78B151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3-350E-4794-9F00-FE64A78B151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5-350E-4794-9F00-FE64A78B151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7-350E-4794-9F00-FE64A78B151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9-350E-4794-9F00-FE64A78B151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B-350E-4794-9F00-FE64A78B151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D-350E-4794-9F00-FE64A78B151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F-350E-4794-9F00-FE64A78B151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1-350E-4794-9F00-FE64A78B151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3-350E-4794-9F00-FE64A78B151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5-350E-4794-9F00-FE64A78B151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7-350E-4794-9F00-FE64A78B151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9-350E-4794-9F00-FE64A78B151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B-350E-4794-9F00-FE64A78B151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D-350E-4794-9F00-FE64A78B151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F-350E-4794-9F00-FE64A78B151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1-350E-4794-9F00-FE64A78B151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3-350E-4794-9F00-FE64A78B151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5-350E-4794-9F00-FE64A78B151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7-350E-4794-9F00-FE64A78B151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9-350E-4794-9F00-FE64A78B151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B-350E-4794-9F00-FE64A78B151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D-350E-4794-9F00-FE64A78B151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F-350E-4794-9F00-FE64A78B151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1-350E-4794-9F00-FE64A78B151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3-350E-4794-9F00-FE64A78B151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5-350E-4794-9F00-FE64A78B151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7-350E-4794-9F00-FE64A78B151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9-350E-4794-9F00-FE64A78B151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B-350E-4794-9F00-FE64A78B151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D-350E-4794-9F00-FE64A78B151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F-350E-4794-9F00-FE64A78B151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1-350E-4794-9F00-FE64A78B151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3-350E-4794-9F00-FE64A78B151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5-350E-4794-9F00-FE64A78B151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7-350E-4794-9F00-FE64A78B151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9-350E-4794-9F00-FE64A78B151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B-350E-4794-9F00-FE64A78B151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D-350E-4794-9F00-FE64A78B151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F-350E-4794-9F00-FE64A78B151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1-350E-4794-9F00-FE64A78B151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3-350E-4794-9F00-FE64A78B151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5-350E-4794-9F00-FE64A78B151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7-350E-4794-9F00-FE64A78B151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9-350E-4794-9F00-FE64A78B151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B-350E-4794-9F00-FE64A78B151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D-350E-4794-9F00-FE64A78B151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F-350E-4794-9F00-FE64A78B151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1-350E-4794-9F00-FE64A78B151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3-350E-4794-9F00-FE64A78B151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5-350E-4794-9F00-FE64A78B151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7-350E-4794-9F00-FE64A78B151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9-350E-4794-9F00-FE64A78B151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B-350E-4794-9F00-FE64A78B151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D-350E-4794-9F00-FE64A78B151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F-350E-4794-9F00-FE64A78B151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1-350E-4794-9F00-FE64A78B151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3-350E-4794-9F00-FE64A78B151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5-350E-4794-9F00-FE64A78B151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7-350E-4794-9F00-FE64A78B1510}"/>
              </c:ext>
            </c:extLst>
          </c:dPt>
          <c:cat>
            <c:numRef>
              <c:f>Sheet3!$A$3:$A$84</c:f>
              <c:numCache>
                <c:formatCode>General</c:formatCode>
                <c:ptCount val="82"/>
              </c:numCache>
            </c:numRef>
          </c:cat>
          <c:val>
            <c:numRef>
              <c:f>Sheet3!$K$3:$K$84</c:f>
              <c:numCache>
                <c:formatCode>0.00</c:formatCode>
                <c:ptCount val="82"/>
                <c:pt idx="0" formatCode="0">
                  <c:v>5</c:v>
                </c:pt>
                <c:pt idx="2" formatCode="0.0">
                  <c:v>0</c:v>
                </c:pt>
                <c:pt idx="3" formatCode="0.0">
                  <c:v>0</c:v>
                </c:pt>
                <c:pt idx="5" formatCode="0.0">
                  <c:v>0</c:v>
                </c:pt>
                <c:pt idx="6" formatCode="0.0">
                  <c:v>16.333333333333336</c:v>
                </c:pt>
                <c:pt idx="8" formatCode="0.0">
                  <c:v>0</c:v>
                </c:pt>
                <c:pt idx="9" formatCode="0.0">
                  <c:v>4.5</c:v>
                </c:pt>
                <c:pt idx="11" formatCode="0.0">
                  <c:v>1</c:v>
                </c:pt>
                <c:pt idx="12" formatCode="0.0">
                  <c:v>1.6967592592592593</c:v>
                </c:pt>
                <c:pt idx="14" formatCode="0.0">
                  <c:v>3.1666666666666665</c:v>
                </c:pt>
                <c:pt idx="15" formatCode="0.0">
                  <c:v>7.2129629629629628</c:v>
                </c:pt>
                <c:pt idx="17" formatCode="0.0">
                  <c:v>4.6296296296296302E-3</c:v>
                </c:pt>
                <c:pt idx="18" formatCode="0.0">
                  <c:v>0.33333333333333331</c:v>
                </c:pt>
                <c:pt idx="20" formatCode="0.0">
                  <c:v>0.16666666666666666</c:v>
                </c:pt>
                <c:pt idx="21" formatCode="0.0">
                  <c:v>1.675925925925926</c:v>
                </c:pt>
                <c:pt idx="23" formatCode="0.0">
                  <c:v>0</c:v>
                </c:pt>
                <c:pt idx="25" formatCode="0.0">
                  <c:v>1.2314814814814814</c:v>
                </c:pt>
                <c:pt idx="26" formatCode="0.0">
                  <c:v>3.6666666666666665</c:v>
                </c:pt>
                <c:pt idx="27" formatCode="0.0">
                  <c:v>4.5533333333333328</c:v>
                </c:pt>
                <c:pt idx="29" formatCode="0.0">
                  <c:v>0.16666666666666666</c:v>
                </c:pt>
                <c:pt idx="30" formatCode="0.0">
                  <c:v>0</c:v>
                </c:pt>
                <c:pt idx="31" formatCode="0.0">
                  <c:v>0.12</c:v>
                </c:pt>
                <c:pt idx="33" formatCode="0.0">
                  <c:v>0.43981481481481483</c:v>
                </c:pt>
                <c:pt idx="34" formatCode="0.0">
                  <c:v>1.5</c:v>
                </c:pt>
                <c:pt idx="35" formatCode="0.0">
                  <c:v>1.8166666666666667</c:v>
                </c:pt>
                <c:pt idx="37" formatCode="0.0">
                  <c:v>1.8333333333333333</c:v>
                </c:pt>
                <c:pt idx="39" formatCode="0.0">
                  <c:v>1.1666666666666667</c:v>
                </c:pt>
                <c:pt idx="40" formatCode="0.0">
                  <c:v>0.52777777777777779</c:v>
                </c:pt>
                <c:pt idx="42" formatCode="0.0">
                  <c:v>0.3611111111111111</c:v>
                </c:pt>
                <c:pt idx="43" formatCode="0.0">
                  <c:v>5.5</c:v>
                </c:pt>
                <c:pt idx="45" formatCode="0.0">
                  <c:v>6.9444444444444441E-3</c:v>
                </c:pt>
                <c:pt idx="46" formatCode="0.0">
                  <c:v>0.33333333333333331</c:v>
                </c:pt>
                <c:pt idx="48" formatCode="0.0">
                  <c:v>0.16666666666666666</c:v>
                </c:pt>
                <c:pt idx="49" formatCode="0.0">
                  <c:v>1.1712962962962963</c:v>
                </c:pt>
                <c:pt idx="51" formatCode="0.0">
                  <c:v>0</c:v>
                </c:pt>
                <c:pt idx="52" formatCode="0.0">
                  <c:v>1.9074074074074072</c:v>
                </c:pt>
                <c:pt idx="54" formatCode="0.0">
                  <c:v>1</c:v>
                </c:pt>
                <c:pt idx="55" formatCode="0.0">
                  <c:v>1.1666666666666667</c:v>
                </c:pt>
                <c:pt idx="57" formatCode="0.0">
                  <c:v>0.77777777777777779</c:v>
                </c:pt>
                <c:pt idx="59" formatCode="0.0">
                  <c:v>2.3148148148148151E-3</c:v>
                </c:pt>
                <c:pt idx="60" formatCode="0.0">
                  <c:v>0.16666666666666666</c:v>
                </c:pt>
                <c:pt idx="62" formatCode="0.0">
                  <c:v>0.66666666666666663</c:v>
                </c:pt>
                <c:pt idx="64" formatCode="0.0">
                  <c:v>8.3333333333333329E-2</c:v>
                </c:pt>
                <c:pt idx="65" formatCode="0.0">
                  <c:v>0</c:v>
                </c:pt>
                <c:pt idx="67" formatCode="0.0">
                  <c:v>2</c:v>
                </c:pt>
                <c:pt idx="69" formatCode="0.0">
                  <c:v>0.5</c:v>
                </c:pt>
                <c:pt idx="70" formatCode="0.0">
                  <c:v>0.33564814814814814</c:v>
                </c:pt>
                <c:pt idx="72" formatCode="0.0">
                  <c:v>0.57870370370370372</c:v>
                </c:pt>
                <c:pt idx="74" formatCode="0.0">
                  <c:v>0.16666666666666666</c:v>
                </c:pt>
                <c:pt idx="76" formatCode="0.0">
                  <c:v>5.5555555555555552E-2</c:v>
                </c:pt>
                <c:pt idx="77" formatCode="0.0">
                  <c:v>1.0333333333333332</c:v>
                </c:pt>
                <c:pt idx="79" formatCode="0.0">
                  <c:v>4.6296296296296302E-3</c:v>
                </c:pt>
                <c:pt idx="80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DA-4D55-8B5A-6AD2668D7B7B}"/>
            </c:ext>
          </c:extLst>
        </c:ser>
        <c:ser>
          <c:idx val="9"/>
          <c:order val="9"/>
          <c:tx>
            <c:strRef>
              <c:f>Sheet3!$L$2</c:f>
              <c:strCache>
                <c:ptCount val="1"/>
                <c:pt idx="0">
                  <c:v>June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9-350E-4794-9F00-FE64A78B1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B-350E-4794-9F00-FE64A78B1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D-350E-4794-9F00-FE64A78B1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F-350E-4794-9F00-FE64A78B15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1-350E-4794-9F00-FE64A78B15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3-350E-4794-9F00-FE64A78B15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5-350E-4794-9F00-FE64A78B15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7-350E-4794-9F00-FE64A78B15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9-350E-4794-9F00-FE64A78B15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B-350E-4794-9F00-FE64A78B15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D-350E-4794-9F00-FE64A78B15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F-350E-4794-9F00-FE64A78B15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1-350E-4794-9F00-FE64A78B15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3-350E-4794-9F00-FE64A78B15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5-350E-4794-9F00-FE64A78B151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7-350E-4794-9F00-FE64A78B151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9-350E-4794-9F00-FE64A78B151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B-350E-4794-9F00-FE64A78B151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D-350E-4794-9F00-FE64A78B151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F-350E-4794-9F00-FE64A78B151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1-350E-4794-9F00-FE64A78B151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3-350E-4794-9F00-FE64A78B151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5-350E-4794-9F00-FE64A78B151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7-350E-4794-9F00-FE64A78B151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9-350E-4794-9F00-FE64A78B151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B-350E-4794-9F00-FE64A78B151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D-350E-4794-9F00-FE64A78B151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F-350E-4794-9F00-FE64A78B151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1-350E-4794-9F00-FE64A78B151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3-350E-4794-9F00-FE64A78B151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5-350E-4794-9F00-FE64A78B151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7-350E-4794-9F00-FE64A78B151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9-350E-4794-9F00-FE64A78B151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B-350E-4794-9F00-FE64A78B151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D-350E-4794-9F00-FE64A78B151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F-350E-4794-9F00-FE64A78B151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1-350E-4794-9F00-FE64A78B151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3-350E-4794-9F00-FE64A78B151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5-350E-4794-9F00-FE64A78B151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7-350E-4794-9F00-FE64A78B151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9-350E-4794-9F00-FE64A78B151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B-350E-4794-9F00-FE64A78B151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D-350E-4794-9F00-FE64A78B151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F-350E-4794-9F00-FE64A78B151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1-350E-4794-9F00-FE64A78B151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3-350E-4794-9F00-FE64A78B151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5-350E-4794-9F00-FE64A78B151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7-350E-4794-9F00-FE64A78B151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9-350E-4794-9F00-FE64A78B151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B-350E-4794-9F00-FE64A78B151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D-350E-4794-9F00-FE64A78B151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F-350E-4794-9F00-FE64A78B151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1-350E-4794-9F00-FE64A78B151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3-350E-4794-9F00-FE64A78B151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5-350E-4794-9F00-FE64A78B151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7-350E-4794-9F00-FE64A78B151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9-350E-4794-9F00-FE64A78B151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B-350E-4794-9F00-FE64A78B151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D-350E-4794-9F00-FE64A78B151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F-350E-4794-9F00-FE64A78B151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1-350E-4794-9F00-FE64A78B151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3-350E-4794-9F00-FE64A78B151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5-350E-4794-9F00-FE64A78B151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7-350E-4794-9F00-FE64A78B151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9-350E-4794-9F00-FE64A78B151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B-350E-4794-9F00-FE64A78B151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D-350E-4794-9F00-FE64A78B151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F-350E-4794-9F00-FE64A78B151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1-350E-4794-9F00-FE64A78B151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3-350E-4794-9F00-FE64A78B151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5-350E-4794-9F00-FE64A78B151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7-350E-4794-9F00-FE64A78B151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9-350E-4794-9F00-FE64A78B151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B-350E-4794-9F00-FE64A78B151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D-350E-4794-9F00-FE64A78B151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F-350E-4794-9F00-FE64A78B151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1-350E-4794-9F00-FE64A78B151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3-350E-4794-9F00-FE64A78B151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5-350E-4794-9F00-FE64A78B151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7-350E-4794-9F00-FE64A78B151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9-350E-4794-9F00-FE64A78B151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B-350E-4794-9F00-FE64A78B151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D-350E-4794-9F00-FE64A78B151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F-350E-4794-9F00-FE64A78B1510}"/>
              </c:ext>
            </c:extLst>
          </c:dPt>
          <c:cat>
            <c:numRef>
              <c:f>Sheet3!$A$3:$A$84</c:f>
              <c:numCache>
                <c:formatCode>General</c:formatCode>
                <c:ptCount val="82"/>
              </c:numCache>
            </c:numRef>
          </c:cat>
          <c:val>
            <c:numRef>
              <c:f>Sheet3!$L$3:$L$84</c:f>
              <c:numCache>
                <c:formatCode>0.00</c:formatCode>
                <c:ptCount val="82"/>
                <c:pt idx="0" formatCode="0">
                  <c:v>6</c:v>
                </c:pt>
                <c:pt idx="2" formatCode="0.0">
                  <c:v>0</c:v>
                </c:pt>
                <c:pt idx="3" formatCode="0.0">
                  <c:v>0</c:v>
                </c:pt>
                <c:pt idx="5" formatCode="0.0">
                  <c:v>0</c:v>
                </c:pt>
                <c:pt idx="6" formatCode="0.0">
                  <c:v>13.333333333333334</c:v>
                </c:pt>
                <c:pt idx="8" formatCode="0.0">
                  <c:v>0</c:v>
                </c:pt>
                <c:pt idx="9" formatCode="0.0">
                  <c:v>2.3333333333333335</c:v>
                </c:pt>
                <c:pt idx="11" formatCode="0.0">
                  <c:v>5</c:v>
                </c:pt>
                <c:pt idx="12" formatCode="0.0">
                  <c:v>3.375</c:v>
                </c:pt>
                <c:pt idx="14" formatCode="0.0">
                  <c:v>1.3333333333333333</c:v>
                </c:pt>
                <c:pt idx="15" formatCode="0.0">
                  <c:v>9</c:v>
                </c:pt>
                <c:pt idx="17" formatCode="0.0">
                  <c:v>0</c:v>
                </c:pt>
                <c:pt idx="18" formatCode="0.0">
                  <c:v>0.16666666666666666</c:v>
                </c:pt>
                <c:pt idx="20" formatCode="0.0">
                  <c:v>0.16666666666666666</c:v>
                </c:pt>
                <c:pt idx="21" formatCode="0.0">
                  <c:v>0.88657407407407418</c:v>
                </c:pt>
                <c:pt idx="23" formatCode="0.0">
                  <c:v>0</c:v>
                </c:pt>
                <c:pt idx="25" formatCode="0.0">
                  <c:v>0.63888888888888884</c:v>
                </c:pt>
                <c:pt idx="26" formatCode="0.0">
                  <c:v>3.9833333333333334</c:v>
                </c:pt>
                <c:pt idx="27" formatCode="0.0">
                  <c:v>4.4433333333333334</c:v>
                </c:pt>
                <c:pt idx="29" formatCode="0.0">
                  <c:v>0.11574074074074073</c:v>
                </c:pt>
                <c:pt idx="30" formatCode="0.0">
                  <c:v>0</c:v>
                </c:pt>
                <c:pt idx="31" formatCode="0.0">
                  <c:v>8.3333333333333329E-2</c:v>
                </c:pt>
                <c:pt idx="33" formatCode="0.0">
                  <c:v>0.1111111111111111</c:v>
                </c:pt>
                <c:pt idx="34" formatCode="0.0">
                  <c:v>0.16666666666666666</c:v>
                </c:pt>
                <c:pt idx="35" formatCode="0.0">
                  <c:v>0.24666666666666665</c:v>
                </c:pt>
                <c:pt idx="37" formatCode="0.0">
                  <c:v>1.6666666666666667</c:v>
                </c:pt>
                <c:pt idx="39" formatCode="0.0">
                  <c:v>0</c:v>
                </c:pt>
                <c:pt idx="40" formatCode="0.0">
                  <c:v>0.55555555555555558</c:v>
                </c:pt>
                <c:pt idx="42" formatCode="0.0">
                  <c:v>0.16666666666666666</c:v>
                </c:pt>
                <c:pt idx="43" formatCode="0.0">
                  <c:v>0.16666666666666666</c:v>
                </c:pt>
                <c:pt idx="45" formatCode="0.0">
                  <c:v>0</c:v>
                </c:pt>
                <c:pt idx="46" formatCode="0.0">
                  <c:v>0.16666666666666666</c:v>
                </c:pt>
                <c:pt idx="48" formatCode="0.0">
                  <c:v>0.83333333333333337</c:v>
                </c:pt>
                <c:pt idx="49" formatCode="0.0">
                  <c:v>2.3333333333333335</c:v>
                </c:pt>
                <c:pt idx="51" formatCode="0.0">
                  <c:v>0.16666666666666666</c:v>
                </c:pt>
                <c:pt idx="52" formatCode="0.0">
                  <c:v>2.1018518518518516</c:v>
                </c:pt>
                <c:pt idx="54" formatCode="0.0">
                  <c:v>0</c:v>
                </c:pt>
                <c:pt idx="55" formatCode="0.0">
                  <c:v>0</c:v>
                </c:pt>
                <c:pt idx="57" formatCode="0.0">
                  <c:v>0.20833333333333334</c:v>
                </c:pt>
                <c:pt idx="59" formatCode="0.0">
                  <c:v>0</c:v>
                </c:pt>
                <c:pt idx="60" formatCode="0.0">
                  <c:v>0</c:v>
                </c:pt>
                <c:pt idx="62" formatCode="0.0">
                  <c:v>1</c:v>
                </c:pt>
                <c:pt idx="64" formatCode="0.0">
                  <c:v>0.58333333333333337</c:v>
                </c:pt>
                <c:pt idx="65" formatCode="0.0">
                  <c:v>0</c:v>
                </c:pt>
                <c:pt idx="67" formatCode="0.0">
                  <c:v>3</c:v>
                </c:pt>
                <c:pt idx="69" formatCode="0.0">
                  <c:v>0.83333333333333337</c:v>
                </c:pt>
                <c:pt idx="70" formatCode="0.0">
                  <c:v>0.33333333333333331</c:v>
                </c:pt>
                <c:pt idx="72" formatCode="0.0">
                  <c:v>0.29166666666666669</c:v>
                </c:pt>
                <c:pt idx="74" formatCode="0.0">
                  <c:v>0</c:v>
                </c:pt>
                <c:pt idx="76" formatCode="0.0">
                  <c:v>0.3888888888888889</c:v>
                </c:pt>
                <c:pt idx="77" formatCode="0.0">
                  <c:v>0.16666666666666666</c:v>
                </c:pt>
                <c:pt idx="79" formatCode="0.0">
                  <c:v>6.9444444444444441E-3</c:v>
                </c:pt>
                <c:pt idx="80" formatCode="0.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DA-4D55-8B5A-6AD2668D7B7B}"/>
            </c:ext>
          </c:extLst>
        </c:ser>
        <c:ser>
          <c:idx val="10"/>
          <c:order val="10"/>
          <c:tx>
            <c:strRef>
              <c:f>Sheet3!$M$2</c:f>
              <c:strCache>
                <c:ptCount val="1"/>
                <c:pt idx="0">
                  <c:v>July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1-350E-4794-9F00-FE64A78B1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3-350E-4794-9F00-FE64A78B1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5-350E-4794-9F00-FE64A78B1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7-350E-4794-9F00-FE64A78B15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9-350E-4794-9F00-FE64A78B15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B-350E-4794-9F00-FE64A78B15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D-350E-4794-9F00-FE64A78B15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F-350E-4794-9F00-FE64A78B15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1-350E-4794-9F00-FE64A78B15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3-350E-4794-9F00-FE64A78B15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5-350E-4794-9F00-FE64A78B15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7-350E-4794-9F00-FE64A78B15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9-350E-4794-9F00-FE64A78B15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B-350E-4794-9F00-FE64A78B15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D-350E-4794-9F00-FE64A78B151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F-350E-4794-9F00-FE64A78B151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1-350E-4794-9F00-FE64A78B151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3-350E-4794-9F00-FE64A78B151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5-350E-4794-9F00-FE64A78B151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7-350E-4794-9F00-FE64A78B151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9-350E-4794-9F00-FE64A78B151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B-350E-4794-9F00-FE64A78B151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D-350E-4794-9F00-FE64A78B151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F-350E-4794-9F00-FE64A78B151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1-350E-4794-9F00-FE64A78B151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3-350E-4794-9F00-FE64A78B151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5-350E-4794-9F00-FE64A78B151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7-350E-4794-9F00-FE64A78B151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9-350E-4794-9F00-FE64A78B151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B-350E-4794-9F00-FE64A78B151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D-350E-4794-9F00-FE64A78B151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F-350E-4794-9F00-FE64A78B151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1-350E-4794-9F00-FE64A78B151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3-350E-4794-9F00-FE64A78B151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5-350E-4794-9F00-FE64A78B151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7-350E-4794-9F00-FE64A78B151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9-350E-4794-9F00-FE64A78B151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B-350E-4794-9F00-FE64A78B151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D-350E-4794-9F00-FE64A78B151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F-350E-4794-9F00-FE64A78B151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1-350E-4794-9F00-FE64A78B151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3-350E-4794-9F00-FE64A78B151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5-350E-4794-9F00-FE64A78B151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7-350E-4794-9F00-FE64A78B151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9-350E-4794-9F00-FE64A78B151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B-350E-4794-9F00-FE64A78B151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D-350E-4794-9F00-FE64A78B151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F-350E-4794-9F00-FE64A78B151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1-350E-4794-9F00-FE64A78B151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3-350E-4794-9F00-FE64A78B151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5-350E-4794-9F00-FE64A78B151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7-350E-4794-9F00-FE64A78B151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9-350E-4794-9F00-FE64A78B151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B-350E-4794-9F00-FE64A78B151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D-350E-4794-9F00-FE64A78B151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F-350E-4794-9F00-FE64A78B151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1-350E-4794-9F00-FE64A78B151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3-350E-4794-9F00-FE64A78B151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5-350E-4794-9F00-FE64A78B151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7-350E-4794-9F00-FE64A78B151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9-350E-4794-9F00-FE64A78B151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B-350E-4794-9F00-FE64A78B151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D-350E-4794-9F00-FE64A78B151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F-350E-4794-9F00-FE64A78B151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1-350E-4794-9F00-FE64A78B151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3-350E-4794-9F00-FE64A78B151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5-350E-4794-9F00-FE64A78B151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7-350E-4794-9F00-FE64A78B151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9-350E-4794-9F00-FE64A78B151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B-350E-4794-9F00-FE64A78B151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D-350E-4794-9F00-FE64A78B151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F-350E-4794-9F00-FE64A78B151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1-350E-4794-9F00-FE64A78B151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3-350E-4794-9F00-FE64A78B151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5-350E-4794-9F00-FE64A78B151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7-350E-4794-9F00-FE64A78B151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9-350E-4794-9F00-FE64A78B151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B-350E-4794-9F00-FE64A78B151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D-350E-4794-9F00-FE64A78B151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F-350E-4794-9F00-FE64A78B151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1-350E-4794-9F00-FE64A78B151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3-350E-4794-9F00-FE64A78B151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5-350E-4794-9F00-FE64A78B151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7-350E-4794-9F00-FE64A78B1510}"/>
              </c:ext>
            </c:extLst>
          </c:dPt>
          <c:cat>
            <c:numRef>
              <c:f>Sheet3!$A$3:$A$84</c:f>
              <c:numCache>
                <c:formatCode>General</c:formatCode>
                <c:ptCount val="82"/>
              </c:numCache>
            </c:numRef>
          </c:cat>
          <c:val>
            <c:numRef>
              <c:f>Sheet3!$M$3:$M$84</c:f>
              <c:numCache>
                <c:formatCode>0.00</c:formatCode>
                <c:ptCount val="82"/>
                <c:pt idx="0" formatCode="0">
                  <c:v>7</c:v>
                </c:pt>
                <c:pt idx="2" formatCode="0.0">
                  <c:v>0</c:v>
                </c:pt>
                <c:pt idx="3" formatCode="0.0">
                  <c:v>4.9466666666666672</c:v>
                </c:pt>
                <c:pt idx="5" formatCode="0.0">
                  <c:v>11</c:v>
                </c:pt>
                <c:pt idx="6" formatCode="0.0">
                  <c:v>18.666666666666668</c:v>
                </c:pt>
                <c:pt idx="8" formatCode="0.0">
                  <c:v>0</c:v>
                </c:pt>
                <c:pt idx="9" formatCode="0.0">
                  <c:v>3.04</c:v>
                </c:pt>
                <c:pt idx="11" formatCode="0.0">
                  <c:v>1.5</c:v>
                </c:pt>
                <c:pt idx="12" formatCode="0.0">
                  <c:v>1.0023148148148147</c:v>
                </c:pt>
                <c:pt idx="14" formatCode="0.0">
                  <c:v>3.8333333333333335</c:v>
                </c:pt>
                <c:pt idx="15" formatCode="0.0">
                  <c:v>7.6712962962962958</c:v>
                </c:pt>
                <c:pt idx="17" formatCode="0.0">
                  <c:v>0</c:v>
                </c:pt>
                <c:pt idx="18" formatCode="0.0">
                  <c:v>0</c:v>
                </c:pt>
                <c:pt idx="20" formatCode="0.0">
                  <c:v>0.16666666666666666</c:v>
                </c:pt>
                <c:pt idx="21" formatCode="0.0">
                  <c:v>0.99537037037037035</c:v>
                </c:pt>
                <c:pt idx="23" formatCode="0.0">
                  <c:v>0</c:v>
                </c:pt>
                <c:pt idx="25" formatCode="0.0">
                  <c:v>0.59259259259259267</c:v>
                </c:pt>
                <c:pt idx="26" formatCode="0.0">
                  <c:v>0</c:v>
                </c:pt>
                <c:pt idx="27" formatCode="0.0">
                  <c:v>0.42666666666666675</c:v>
                </c:pt>
                <c:pt idx="29" formatCode="0.0">
                  <c:v>0.10648148148148148</c:v>
                </c:pt>
                <c:pt idx="30" formatCode="0.0">
                  <c:v>0.5</c:v>
                </c:pt>
                <c:pt idx="31" formatCode="0.0">
                  <c:v>0.57666666666666666</c:v>
                </c:pt>
                <c:pt idx="33" formatCode="0.0">
                  <c:v>0.32870370370370366</c:v>
                </c:pt>
                <c:pt idx="34" formatCode="0.0">
                  <c:v>0.83333333333333337</c:v>
                </c:pt>
                <c:pt idx="35" formatCode="0.0">
                  <c:v>1.07</c:v>
                </c:pt>
                <c:pt idx="37" formatCode="0.0">
                  <c:v>1.6666666666666667</c:v>
                </c:pt>
                <c:pt idx="39" formatCode="0.0">
                  <c:v>0.5</c:v>
                </c:pt>
                <c:pt idx="40" formatCode="0.0">
                  <c:v>1.0925925925925926</c:v>
                </c:pt>
                <c:pt idx="42" formatCode="0.0">
                  <c:v>5.5555555555555552E-2</c:v>
                </c:pt>
                <c:pt idx="43" formatCode="0.0">
                  <c:v>1.5</c:v>
                </c:pt>
                <c:pt idx="45" formatCode="0.0">
                  <c:v>9.2592592592592605E-3</c:v>
                </c:pt>
                <c:pt idx="46" formatCode="0.0">
                  <c:v>0.16666666666666666</c:v>
                </c:pt>
                <c:pt idx="48" formatCode="0.0">
                  <c:v>1</c:v>
                </c:pt>
                <c:pt idx="49" formatCode="0.0">
                  <c:v>0</c:v>
                </c:pt>
                <c:pt idx="51" formatCode="0.0">
                  <c:v>0</c:v>
                </c:pt>
                <c:pt idx="52" formatCode="0.0">
                  <c:v>0.41666666666666669</c:v>
                </c:pt>
                <c:pt idx="54" formatCode="0.0">
                  <c:v>0.16666666666666666</c:v>
                </c:pt>
                <c:pt idx="55" formatCode="0.0">
                  <c:v>0.16666666666666666</c:v>
                </c:pt>
                <c:pt idx="57" formatCode="0.0">
                  <c:v>0.66666666666666663</c:v>
                </c:pt>
                <c:pt idx="59" formatCode="0.0">
                  <c:v>0</c:v>
                </c:pt>
                <c:pt idx="60" formatCode="0.0">
                  <c:v>0</c:v>
                </c:pt>
                <c:pt idx="62" formatCode="0.0">
                  <c:v>0.83333333333333337</c:v>
                </c:pt>
                <c:pt idx="64" formatCode="0.0">
                  <c:v>0.10185185185185185</c:v>
                </c:pt>
                <c:pt idx="65" formatCode="0.0">
                  <c:v>2.3733333333333335</c:v>
                </c:pt>
                <c:pt idx="67" formatCode="0.0">
                  <c:v>2</c:v>
                </c:pt>
                <c:pt idx="69" formatCode="0.0">
                  <c:v>0.16666666666666666</c:v>
                </c:pt>
                <c:pt idx="70" formatCode="0.0">
                  <c:v>0.61111111111111116</c:v>
                </c:pt>
                <c:pt idx="72" formatCode="0.0">
                  <c:v>0.45833333333333331</c:v>
                </c:pt>
                <c:pt idx="74" formatCode="0.0">
                  <c:v>0</c:v>
                </c:pt>
                <c:pt idx="76" formatCode="0.0">
                  <c:v>5.5555555555555552E-2</c:v>
                </c:pt>
                <c:pt idx="77" formatCode="0.0">
                  <c:v>0.83333333333333337</c:v>
                </c:pt>
                <c:pt idx="79" formatCode="0.0">
                  <c:v>0.1898148148148148</c:v>
                </c:pt>
                <c:pt idx="80" formatCode="0.0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9DA-4D55-8B5A-6AD2668D7B7B}"/>
            </c:ext>
          </c:extLst>
        </c:ser>
        <c:ser>
          <c:idx val="11"/>
          <c:order val="11"/>
          <c:tx>
            <c:strRef>
              <c:f>Sheet3!$N$2</c:f>
              <c:strCache>
                <c:ptCount val="1"/>
                <c:pt idx="0">
                  <c:v>Aug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9-350E-4794-9F00-FE64A78B1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B-350E-4794-9F00-FE64A78B1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D-350E-4794-9F00-FE64A78B1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F-350E-4794-9F00-FE64A78B15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1-350E-4794-9F00-FE64A78B15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3-350E-4794-9F00-FE64A78B15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5-350E-4794-9F00-FE64A78B15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7-350E-4794-9F00-FE64A78B15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9-350E-4794-9F00-FE64A78B15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B-350E-4794-9F00-FE64A78B15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D-350E-4794-9F00-FE64A78B15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F-350E-4794-9F00-FE64A78B15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1-350E-4794-9F00-FE64A78B15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3-350E-4794-9F00-FE64A78B15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5-350E-4794-9F00-FE64A78B151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7-350E-4794-9F00-FE64A78B151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9-350E-4794-9F00-FE64A78B151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B-350E-4794-9F00-FE64A78B151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D-350E-4794-9F00-FE64A78B151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F-350E-4794-9F00-FE64A78B151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1-350E-4794-9F00-FE64A78B151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3-350E-4794-9F00-FE64A78B151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5-350E-4794-9F00-FE64A78B151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7-350E-4794-9F00-FE64A78B151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9-350E-4794-9F00-FE64A78B151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B-350E-4794-9F00-FE64A78B151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D-350E-4794-9F00-FE64A78B151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F-350E-4794-9F00-FE64A78B151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1-350E-4794-9F00-FE64A78B151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3-350E-4794-9F00-FE64A78B151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5-350E-4794-9F00-FE64A78B151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7-350E-4794-9F00-FE64A78B151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9-350E-4794-9F00-FE64A78B151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B-350E-4794-9F00-FE64A78B151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D-350E-4794-9F00-FE64A78B151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F-350E-4794-9F00-FE64A78B151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1-350E-4794-9F00-FE64A78B151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3-350E-4794-9F00-FE64A78B151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5-350E-4794-9F00-FE64A78B151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7-350E-4794-9F00-FE64A78B151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9-350E-4794-9F00-FE64A78B151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B-350E-4794-9F00-FE64A78B151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D-350E-4794-9F00-FE64A78B151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F-350E-4794-9F00-FE64A78B151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1-350E-4794-9F00-FE64A78B151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3-350E-4794-9F00-FE64A78B151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5-350E-4794-9F00-FE64A78B151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7-350E-4794-9F00-FE64A78B151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9-350E-4794-9F00-FE64A78B151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B-350E-4794-9F00-FE64A78B151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D-350E-4794-9F00-FE64A78B151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F-350E-4794-9F00-FE64A78B151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1-350E-4794-9F00-FE64A78B151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3-350E-4794-9F00-FE64A78B151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5-350E-4794-9F00-FE64A78B151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7-350E-4794-9F00-FE64A78B151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9-350E-4794-9F00-FE64A78B151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B-350E-4794-9F00-FE64A78B151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D-350E-4794-9F00-FE64A78B151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F-350E-4794-9F00-FE64A78B151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1-350E-4794-9F00-FE64A78B151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3-350E-4794-9F00-FE64A78B151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5-350E-4794-9F00-FE64A78B151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7-350E-4794-9F00-FE64A78B151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9-350E-4794-9F00-FE64A78B151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B-350E-4794-9F00-FE64A78B151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D-350E-4794-9F00-FE64A78B151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F-350E-4794-9F00-FE64A78B151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1-350E-4794-9F00-FE64A78B151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3-350E-4794-9F00-FE64A78B151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5-350E-4794-9F00-FE64A78B151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7-350E-4794-9F00-FE64A78B151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9-350E-4794-9F00-FE64A78B151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B-350E-4794-9F00-FE64A78B151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D-350E-4794-9F00-FE64A78B151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F-350E-4794-9F00-FE64A78B151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1-350E-4794-9F00-FE64A78B151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3-350E-4794-9F00-FE64A78B151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5-350E-4794-9F00-FE64A78B151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7-350E-4794-9F00-FE64A78B151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9-350E-4794-9F00-FE64A78B151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B-350E-4794-9F00-FE64A78B151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D-350E-4794-9F00-FE64A78B151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F-350E-4794-9F00-FE64A78B1510}"/>
              </c:ext>
            </c:extLst>
          </c:dPt>
          <c:cat>
            <c:numRef>
              <c:f>Sheet3!$A$3:$A$84</c:f>
              <c:numCache>
                <c:formatCode>General</c:formatCode>
                <c:ptCount val="82"/>
              </c:numCache>
            </c:numRef>
          </c:cat>
          <c:val>
            <c:numRef>
              <c:f>Sheet3!$N$3:$N$84</c:f>
              <c:numCache>
                <c:formatCode>0.00</c:formatCode>
                <c:ptCount val="82"/>
                <c:pt idx="0" formatCode="0">
                  <c:v>8</c:v>
                </c:pt>
                <c:pt idx="2" formatCode="0.0">
                  <c:v>0</c:v>
                </c:pt>
                <c:pt idx="3" formatCode="0.0">
                  <c:v>0</c:v>
                </c:pt>
                <c:pt idx="5" formatCode="0.0">
                  <c:v>0</c:v>
                </c:pt>
                <c:pt idx="6" formatCode="0.0">
                  <c:v>0</c:v>
                </c:pt>
                <c:pt idx="8" formatCode="0.0">
                  <c:v>0</c:v>
                </c:pt>
                <c:pt idx="9" formatCode="0.0">
                  <c:v>2.1666666666666665</c:v>
                </c:pt>
                <c:pt idx="11" formatCode="0.0">
                  <c:v>-0.66666666666666663</c:v>
                </c:pt>
                <c:pt idx="12" formatCode="0.0">
                  <c:v>-0.21990740740740741</c:v>
                </c:pt>
                <c:pt idx="14" formatCode="0.0">
                  <c:v>0.33333333333333331</c:v>
                </c:pt>
                <c:pt idx="15" formatCode="0.0">
                  <c:v>2.6712962962962963</c:v>
                </c:pt>
                <c:pt idx="17" formatCode="0.0">
                  <c:v>0</c:v>
                </c:pt>
                <c:pt idx="18" formatCode="0.0">
                  <c:v>0</c:v>
                </c:pt>
                <c:pt idx="20" formatCode="0.0">
                  <c:v>0</c:v>
                </c:pt>
                <c:pt idx="21" formatCode="0.0">
                  <c:v>0.92824074074074081</c:v>
                </c:pt>
                <c:pt idx="23" formatCode="0.0">
                  <c:v>0</c:v>
                </c:pt>
                <c:pt idx="25" formatCode="0.0">
                  <c:v>2.7129629629629628</c:v>
                </c:pt>
                <c:pt idx="26" formatCode="0.0">
                  <c:v>0.18333333333333335</c:v>
                </c:pt>
                <c:pt idx="27" formatCode="0.0">
                  <c:v>2.1366666666666667</c:v>
                </c:pt>
                <c:pt idx="29" formatCode="0.0">
                  <c:v>0.62037037037037035</c:v>
                </c:pt>
                <c:pt idx="30" formatCode="0.0">
                  <c:v>2.0333333333333332</c:v>
                </c:pt>
                <c:pt idx="31" formatCode="0.0">
                  <c:v>2.48</c:v>
                </c:pt>
                <c:pt idx="33" formatCode="0.0">
                  <c:v>0.73611111111111116</c:v>
                </c:pt>
                <c:pt idx="34" formatCode="0.0">
                  <c:v>0.33333333333333331</c:v>
                </c:pt>
                <c:pt idx="35" formatCode="0.0">
                  <c:v>0.86333333333333329</c:v>
                </c:pt>
                <c:pt idx="37" formatCode="0.0">
                  <c:v>1.5</c:v>
                </c:pt>
                <c:pt idx="39" formatCode="0.0">
                  <c:v>0.33333333333333331</c:v>
                </c:pt>
                <c:pt idx="40" formatCode="0.0">
                  <c:v>1.6435185185185184</c:v>
                </c:pt>
                <c:pt idx="42" formatCode="0.0">
                  <c:v>0</c:v>
                </c:pt>
                <c:pt idx="43" formatCode="0.0">
                  <c:v>0</c:v>
                </c:pt>
                <c:pt idx="45" formatCode="0.0">
                  <c:v>0</c:v>
                </c:pt>
                <c:pt idx="46" formatCode="0.0">
                  <c:v>0</c:v>
                </c:pt>
                <c:pt idx="48" formatCode="0.0">
                  <c:v>0</c:v>
                </c:pt>
                <c:pt idx="49" formatCode="0.0">
                  <c:v>1</c:v>
                </c:pt>
                <c:pt idx="51" formatCode="0.0">
                  <c:v>0</c:v>
                </c:pt>
                <c:pt idx="52" formatCode="0.0">
                  <c:v>1.2800925925925926</c:v>
                </c:pt>
                <c:pt idx="54" formatCode="0.0">
                  <c:v>0</c:v>
                </c:pt>
                <c:pt idx="55" formatCode="0.0">
                  <c:v>1.8518518518518521E-2</c:v>
                </c:pt>
                <c:pt idx="57" formatCode="0.0">
                  <c:v>0.50462962962962965</c:v>
                </c:pt>
                <c:pt idx="59" formatCode="0.0">
                  <c:v>0</c:v>
                </c:pt>
                <c:pt idx="60" formatCode="0.0">
                  <c:v>0.33333333333333331</c:v>
                </c:pt>
                <c:pt idx="62" formatCode="0.0">
                  <c:v>1.5</c:v>
                </c:pt>
                <c:pt idx="64" formatCode="0.0">
                  <c:v>0.33333333333333331</c:v>
                </c:pt>
                <c:pt idx="65" formatCode="0.0">
                  <c:v>0.16666666666666666</c:v>
                </c:pt>
                <c:pt idx="67" formatCode="0.0">
                  <c:v>1.8333333333333333</c:v>
                </c:pt>
                <c:pt idx="69" formatCode="0.0">
                  <c:v>1.1666666666666667</c:v>
                </c:pt>
                <c:pt idx="70" formatCode="0.0">
                  <c:v>0.33333333333333331</c:v>
                </c:pt>
                <c:pt idx="72" formatCode="0.0">
                  <c:v>0.86111111111111116</c:v>
                </c:pt>
                <c:pt idx="74" formatCode="0.0">
                  <c:v>0</c:v>
                </c:pt>
                <c:pt idx="76" formatCode="0.0">
                  <c:v>0.16666666666666666</c:v>
                </c:pt>
                <c:pt idx="77" formatCode="0.0">
                  <c:v>0.33333333333333331</c:v>
                </c:pt>
                <c:pt idx="79" formatCode="0.0">
                  <c:v>0.33333333333333331</c:v>
                </c:pt>
                <c:pt idx="80" formatCode="0.0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9DA-4D55-8B5A-6AD2668D7B7B}"/>
            </c:ext>
          </c:extLst>
        </c:ser>
        <c:ser>
          <c:idx val="12"/>
          <c:order val="12"/>
          <c:tx>
            <c:strRef>
              <c:f>Sheet3!$O$2</c:f>
              <c:strCache>
                <c:ptCount val="1"/>
                <c:pt idx="0">
                  <c:v>Sep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1-350E-4794-9F00-FE64A78B1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3-350E-4794-9F00-FE64A78B1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5-350E-4794-9F00-FE64A78B1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7-350E-4794-9F00-FE64A78B15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9-350E-4794-9F00-FE64A78B15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B-350E-4794-9F00-FE64A78B15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D-350E-4794-9F00-FE64A78B15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F-350E-4794-9F00-FE64A78B15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1-350E-4794-9F00-FE64A78B15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3-350E-4794-9F00-FE64A78B15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5-350E-4794-9F00-FE64A78B15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7-350E-4794-9F00-FE64A78B15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9-350E-4794-9F00-FE64A78B15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B-350E-4794-9F00-FE64A78B15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D-350E-4794-9F00-FE64A78B151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F-350E-4794-9F00-FE64A78B151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1-350E-4794-9F00-FE64A78B151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3-350E-4794-9F00-FE64A78B151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5-350E-4794-9F00-FE64A78B151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7-350E-4794-9F00-FE64A78B151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9-350E-4794-9F00-FE64A78B151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B-350E-4794-9F00-FE64A78B151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D-350E-4794-9F00-FE64A78B151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F-350E-4794-9F00-FE64A78B151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1-350E-4794-9F00-FE64A78B151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3-350E-4794-9F00-FE64A78B151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5-350E-4794-9F00-FE64A78B151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7-350E-4794-9F00-FE64A78B151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9-350E-4794-9F00-FE64A78B151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B-350E-4794-9F00-FE64A78B151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D-350E-4794-9F00-FE64A78B151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F-350E-4794-9F00-FE64A78B151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1-350E-4794-9F00-FE64A78B151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3-350E-4794-9F00-FE64A78B151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5-350E-4794-9F00-FE64A78B151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7-350E-4794-9F00-FE64A78B151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9-350E-4794-9F00-FE64A78B151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B-350E-4794-9F00-FE64A78B151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D-350E-4794-9F00-FE64A78B151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F-350E-4794-9F00-FE64A78B151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1-350E-4794-9F00-FE64A78B151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3-350E-4794-9F00-FE64A78B151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5-350E-4794-9F00-FE64A78B151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7-350E-4794-9F00-FE64A78B151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9-350E-4794-9F00-FE64A78B151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B-350E-4794-9F00-FE64A78B151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D-350E-4794-9F00-FE64A78B151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F-350E-4794-9F00-FE64A78B151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1-350E-4794-9F00-FE64A78B151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3-350E-4794-9F00-FE64A78B151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5-350E-4794-9F00-FE64A78B151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7-350E-4794-9F00-FE64A78B151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9-350E-4794-9F00-FE64A78B151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B-350E-4794-9F00-FE64A78B151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D-350E-4794-9F00-FE64A78B151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F-350E-4794-9F00-FE64A78B151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1-350E-4794-9F00-FE64A78B151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3-350E-4794-9F00-FE64A78B151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5-350E-4794-9F00-FE64A78B151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7-350E-4794-9F00-FE64A78B151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9-350E-4794-9F00-FE64A78B151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B-350E-4794-9F00-FE64A78B151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D-350E-4794-9F00-FE64A78B151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F-350E-4794-9F00-FE64A78B151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1-350E-4794-9F00-FE64A78B151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3-350E-4794-9F00-FE64A78B151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5-350E-4794-9F00-FE64A78B151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7-350E-4794-9F00-FE64A78B151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9-350E-4794-9F00-FE64A78B151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B-350E-4794-9F00-FE64A78B151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D-350E-4794-9F00-FE64A78B151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F-350E-4794-9F00-FE64A78B151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1-350E-4794-9F00-FE64A78B151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3-350E-4794-9F00-FE64A78B151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5-350E-4794-9F00-FE64A78B151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7-350E-4794-9F00-FE64A78B151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9-350E-4794-9F00-FE64A78B151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B-350E-4794-9F00-FE64A78B151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D-350E-4794-9F00-FE64A78B151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F-350E-4794-9F00-FE64A78B151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1-350E-4794-9F00-FE64A78B151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3-350E-4794-9F00-FE64A78B151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5-350E-4794-9F00-FE64A78B151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7-350E-4794-9F00-FE64A78B1510}"/>
              </c:ext>
            </c:extLst>
          </c:dPt>
          <c:cat>
            <c:numRef>
              <c:f>Sheet3!$A$3:$A$84</c:f>
              <c:numCache>
                <c:formatCode>General</c:formatCode>
                <c:ptCount val="82"/>
              </c:numCache>
            </c:numRef>
          </c:cat>
          <c:val>
            <c:numRef>
              <c:f>Sheet3!$O$3:$O$84</c:f>
              <c:numCache>
                <c:formatCode>0.00</c:formatCode>
                <c:ptCount val="82"/>
                <c:pt idx="0" formatCode="0">
                  <c:v>9</c:v>
                </c:pt>
                <c:pt idx="2" formatCode="0.0">
                  <c:v>0</c:v>
                </c:pt>
                <c:pt idx="3" formatCode="0.0">
                  <c:v>0</c:v>
                </c:pt>
                <c:pt idx="5" formatCode="0.0">
                  <c:v>0</c:v>
                </c:pt>
                <c:pt idx="6" formatCode="0.0">
                  <c:v>0</c:v>
                </c:pt>
                <c:pt idx="8" formatCode="0.0">
                  <c:v>2.314814814814815E-2</c:v>
                </c:pt>
                <c:pt idx="9" formatCode="0.0">
                  <c:v>0.5</c:v>
                </c:pt>
                <c:pt idx="11" formatCode="0.0">
                  <c:v>0</c:v>
                </c:pt>
                <c:pt idx="12" formatCode="0.0">
                  <c:v>2.0648148148148149</c:v>
                </c:pt>
                <c:pt idx="14" formatCode="0.0">
                  <c:v>0.33333333333333331</c:v>
                </c:pt>
                <c:pt idx="15" formatCode="0.0">
                  <c:v>0.3888888888888889</c:v>
                </c:pt>
                <c:pt idx="17" formatCode="0.0">
                  <c:v>0</c:v>
                </c:pt>
                <c:pt idx="18" formatCode="0.0">
                  <c:v>5.5</c:v>
                </c:pt>
                <c:pt idx="20" formatCode="0.0">
                  <c:v>0</c:v>
                </c:pt>
                <c:pt idx="21" formatCode="0.0">
                  <c:v>1.1851851851851853</c:v>
                </c:pt>
                <c:pt idx="23" formatCode="0.0">
                  <c:v>0</c:v>
                </c:pt>
                <c:pt idx="25" formatCode="0.0">
                  <c:v>0.81018518518518523</c:v>
                </c:pt>
                <c:pt idx="26" formatCode="0.0">
                  <c:v>0.91666666666666663</c:v>
                </c:pt>
                <c:pt idx="27" formatCode="0.0">
                  <c:v>1.5</c:v>
                </c:pt>
                <c:pt idx="29" formatCode="0.0">
                  <c:v>0.34722222222222221</c:v>
                </c:pt>
                <c:pt idx="30" formatCode="0.0">
                  <c:v>0.5</c:v>
                </c:pt>
                <c:pt idx="31" formatCode="0.0">
                  <c:v>0.75</c:v>
                </c:pt>
                <c:pt idx="33" formatCode="0.0">
                  <c:v>0.12962962962962962</c:v>
                </c:pt>
                <c:pt idx="34" formatCode="0.0">
                  <c:v>2.4</c:v>
                </c:pt>
                <c:pt idx="35" formatCode="0.0">
                  <c:v>2.4933333333333332</c:v>
                </c:pt>
                <c:pt idx="37" formatCode="0.0">
                  <c:v>2</c:v>
                </c:pt>
                <c:pt idx="39" formatCode="0.0">
                  <c:v>0.5</c:v>
                </c:pt>
                <c:pt idx="40" formatCode="0.0">
                  <c:v>1.6666666666666667</c:v>
                </c:pt>
                <c:pt idx="42" formatCode="0.0">
                  <c:v>9.7222222222222224E-2</c:v>
                </c:pt>
                <c:pt idx="43" formatCode="0.0">
                  <c:v>0</c:v>
                </c:pt>
                <c:pt idx="45" formatCode="0.0">
                  <c:v>0</c:v>
                </c:pt>
                <c:pt idx="46" formatCode="0.0">
                  <c:v>0.5</c:v>
                </c:pt>
                <c:pt idx="48" formatCode="0.0">
                  <c:v>0.16666666666666666</c:v>
                </c:pt>
                <c:pt idx="49" formatCode="0.0">
                  <c:v>1.3333333333333333</c:v>
                </c:pt>
                <c:pt idx="51" formatCode="0.0">
                  <c:v>0</c:v>
                </c:pt>
                <c:pt idx="52" formatCode="0.0">
                  <c:v>1.5648148148148149</c:v>
                </c:pt>
                <c:pt idx="54" formatCode="0.0">
                  <c:v>0</c:v>
                </c:pt>
                <c:pt idx="55" formatCode="0.0">
                  <c:v>0.83333333333333337</c:v>
                </c:pt>
                <c:pt idx="57" formatCode="0.0">
                  <c:v>0.22222222222222221</c:v>
                </c:pt>
                <c:pt idx="59" formatCode="0.0">
                  <c:v>0</c:v>
                </c:pt>
                <c:pt idx="60" formatCode="0.0">
                  <c:v>0</c:v>
                </c:pt>
                <c:pt idx="62" formatCode="0.0">
                  <c:v>1</c:v>
                </c:pt>
                <c:pt idx="64" formatCode="0.0">
                  <c:v>0.1111111111111111</c:v>
                </c:pt>
                <c:pt idx="65" formatCode="0.0">
                  <c:v>0.83333333333333337</c:v>
                </c:pt>
                <c:pt idx="67" formatCode="0.0">
                  <c:v>0</c:v>
                </c:pt>
                <c:pt idx="69" formatCode="0.0">
                  <c:v>0.16666666666666666</c:v>
                </c:pt>
                <c:pt idx="70" formatCode="0.0">
                  <c:v>0.66666666666666663</c:v>
                </c:pt>
                <c:pt idx="72" formatCode="0.0">
                  <c:v>0.62037037037037035</c:v>
                </c:pt>
                <c:pt idx="74" formatCode="0.0">
                  <c:v>0</c:v>
                </c:pt>
                <c:pt idx="76" formatCode="0.0">
                  <c:v>0</c:v>
                </c:pt>
                <c:pt idx="77" formatCode="0.0">
                  <c:v>0.51666666666666661</c:v>
                </c:pt>
                <c:pt idx="79" formatCode="0.0">
                  <c:v>0.10648148148148148</c:v>
                </c:pt>
                <c:pt idx="80" formatCode="0.0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9DA-4D55-8B5A-6AD2668D7B7B}"/>
            </c:ext>
          </c:extLst>
        </c:ser>
        <c:ser>
          <c:idx val="13"/>
          <c:order val="13"/>
          <c:tx>
            <c:strRef>
              <c:f>Sheet3!$P$2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9-350E-4794-9F00-FE64A78B1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B-350E-4794-9F00-FE64A78B1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D-350E-4794-9F00-FE64A78B1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F-350E-4794-9F00-FE64A78B15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1-350E-4794-9F00-FE64A78B15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3-350E-4794-9F00-FE64A78B15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5-350E-4794-9F00-FE64A78B15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7-350E-4794-9F00-FE64A78B15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9-350E-4794-9F00-FE64A78B15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B-350E-4794-9F00-FE64A78B15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D-350E-4794-9F00-FE64A78B15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F-350E-4794-9F00-FE64A78B15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1-350E-4794-9F00-FE64A78B15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3-350E-4794-9F00-FE64A78B15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5-350E-4794-9F00-FE64A78B151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7-350E-4794-9F00-FE64A78B151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9-350E-4794-9F00-FE64A78B151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B-350E-4794-9F00-FE64A78B151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D-350E-4794-9F00-FE64A78B151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F-350E-4794-9F00-FE64A78B151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1-350E-4794-9F00-FE64A78B151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3-350E-4794-9F00-FE64A78B151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5-350E-4794-9F00-FE64A78B151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7-350E-4794-9F00-FE64A78B151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9-350E-4794-9F00-FE64A78B151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B-350E-4794-9F00-FE64A78B151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D-350E-4794-9F00-FE64A78B151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F-350E-4794-9F00-FE64A78B151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1-350E-4794-9F00-FE64A78B151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3-350E-4794-9F00-FE64A78B151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5-350E-4794-9F00-FE64A78B151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7-350E-4794-9F00-FE64A78B151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9-350E-4794-9F00-FE64A78B151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B-350E-4794-9F00-FE64A78B151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D-350E-4794-9F00-FE64A78B151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F-350E-4794-9F00-FE64A78B151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1-350E-4794-9F00-FE64A78B151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3-350E-4794-9F00-FE64A78B151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5-350E-4794-9F00-FE64A78B151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7-350E-4794-9F00-FE64A78B151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9-350E-4794-9F00-FE64A78B151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B-350E-4794-9F00-FE64A78B151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D-350E-4794-9F00-FE64A78B151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F-350E-4794-9F00-FE64A78B151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1-350E-4794-9F00-FE64A78B151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3-350E-4794-9F00-FE64A78B151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5-350E-4794-9F00-FE64A78B151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7-350E-4794-9F00-FE64A78B151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9-350E-4794-9F00-FE64A78B151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B-350E-4794-9F00-FE64A78B151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D-350E-4794-9F00-FE64A78B151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F-350E-4794-9F00-FE64A78B151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1-350E-4794-9F00-FE64A78B151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3-350E-4794-9F00-FE64A78B151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5-350E-4794-9F00-FE64A78B151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7-350E-4794-9F00-FE64A78B151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9-350E-4794-9F00-FE64A78B151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B-350E-4794-9F00-FE64A78B151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D-350E-4794-9F00-FE64A78B151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F-350E-4794-9F00-FE64A78B151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1-350E-4794-9F00-FE64A78B151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3-350E-4794-9F00-FE64A78B151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5-350E-4794-9F00-FE64A78B151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7-350E-4794-9F00-FE64A78B151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9-350E-4794-9F00-FE64A78B151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B-350E-4794-9F00-FE64A78B151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D-350E-4794-9F00-FE64A78B151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F-350E-4794-9F00-FE64A78B151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1-350E-4794-9F00-FE64A78B151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3-350E-4794-9F00-FE64A78B151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5-350E-4794-9F00-FE64A78B151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7-350E-4794-9F00-FE64A78B151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9-350E-4794-9F00-FE64A78B151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B-350E-4794-9F00-FE64A78B151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D-350E-4794-9F00-FE64A78B151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F-350E-4794-9F00-FE64A78B151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1-350E-4794-9F00-FE64A78B151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3-350E-4794-9F00-FE64A78B151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5-350E-4794-9F00-FE64A78B151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7-350E-4794-9F00-FE64A78B151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9-350E-4794-9F00-FE64A78B151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B-350E-4794-9F00-FE64A78B151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D-350E-4794-9F00-FE64A78B151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F-350E-4794-9F00-FE64A78B1510}"/>
              </c:ext>
            </c:extLst>
          </c:dPt>
          <c:cat>
            <c:numRef>
              <c:f>Sheet3!$A$3:$A$84</c:f>
              <c:numCache>
                <c:formatCode>General</c:formatCode>
                <c:ptCount val="82"/>
              </c:numCache>
            </c:numRef>
          </c:cat>
          <c:val>
            <c:numRef>
              <c:f>Sheet3!$P$3:$P$84</c:f>
              <c:numCache>
                <c:formatCode>General</c:formatCode>
                <c:ptCount val="82"/>
              </c:numCache>
            </c:numRef>
          </c:val>
          <c:extLst>
            <c:ext xmlns:c16="http://schemas.microsoft.com/office/drawing/2014/chart" uri="{C3380CC4-5D6E-409C-BE32-E72D297353CC}">
              <c16:uniqueId val="{0000000D-E9DA-4D55-8B5A-6AD2668D7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204787</xdr:colOff>
      <xdr:row>8</xdr:row>
      <xdr:rowOff>104775</xdr:rowOff>
    </xdr:from>
    <xdr:to>
      <xdr:col>11</xdr:col>
      <xdr:colOff>509587</xdr:colOff>
      <xdr:row>22</xdr:row>
      <xdr:rowOff>180975</xdr:rowOff>
    </xdr:to>
    <xdr:graphicFrame macro="">
      <xdr:nvGraphicFramePr>
        <xdr:cNvPr id="3" name="Chart 2" hidden="1">
          <a:extLst>
            <a:ext uri="{FF2B5EF4-FFF2-40B4-BE49-F238E27FC236}">
              <a16:creationId xmlns:a16="http://schemas.microsoft.com/office/drawing/2014/main" id="{8CB5046C-B16E-AEAB-DE01-05B8ED6D5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er Haire" refreshedDate="45959.467500925923" createdVersion="8" refreshedVersion="8" minRefreshableVersion="3" recordCount="8883" xr:uid="{03FD6901-7870-4E76-AEF8-715F9CB87683}">
  <cacheSource type="worksheet">
    <worksheetSource ref="B2:O8885" sheet="Sheet1"/>
  </cacheSource>
  <cacheFields count="14">
    <cacheField name="Salesperson ID" numFmtId="0">
      <sharedItems/>
    </cacheField>
    <cacheField name="Sales Territory" numFmtId="0">
      <sharedItems/>
    </cacheField>
    <cacheField name="Customer Number" numFmtId="0">
      <sharedItems/>
    </cacheField>
    <cacheField name="Primary ShipTo" numFmtId="0">
      <sharedItems/>
    </cacheField>
    <cacheField name="Document Date" numFmtId="14">
      <sharedItems containsSemiMixedTypes="0" containsNonDate="0" containsDate="1" containsString="0" minDate="2022-10-03T00:00:00" maxDate="2025-10-01T00:00:00" count="770">
        <d v="2022-10-04T00:00:00"/>
        <d v="2022-10-05T00:00:00"/>
        <d v="2022-10-06T00:00:00"/>
        <d v="2022-10-10T00:00:00"/>
        <d v="2022-10-14T00:00:00"/>
        <d v="2022-10-18T00:00:00"/>
        <d v="2022-10-20T00:00:00"/>
        <d v="2022-10-31T00:00:00"/>
        <d v="2022-10-03T00:00:00"/>
        <d v="2022-10-11T00:00:00"/>
        <d v="2022-10-13T00:00:00"/>
        <d v="2022-10-21T00:00:00"/>
        <d v="2022-10-24T00:00:00"/>
        <d v="2022-10-25T00:00:00"/>
        <d v="2022-10-27T00:00:00"/>
        <d v="2022-10-12T00:00:00"/>
        <d v="2022-10-19T00:00:00"/>
        <d v="2022-10-28T00:00:00"/>
        <d v="2022-10-07T00:00:00"/>
        <d v="2022-10-17T00:00:00"/>
        <d v="2022-10-26T00:00:00"/>
        <d v="2022-10-29T00:00:00"/>
        <d v="2022-11-02T00:00:00"/>
        <d v="2022-11-03T00:00:00"/>
        <d v="2022-11-09T00:00:00"/>
        <d v="2022-11-11T00:00:00"/>
        <d v="2022-11-18T00:00:00"/>
        <d v="2022-11-23T00:00:00"/>
        <d v="2022-11-01T00:00:00"/>
        <d v="2022-11-04T00:00:00"/>
        <d v="2022-11-08T00:00:00"/>
        <d v="2022-11-15T00:00:00"/>
        <d v="2022-11-16T00:00:00"/>
        <d v="2022-11-19T00:00:00"/>
        <d v="2022-11-30T00:00:00"/>
        <d v="2022-11-05T00:00:00"/>
        <d v="2022-11-07T00:00:00"/>
        <d v="2022-11-14T00:00:00"/>
        <d v="2022-11-17T00:00:00"/>
        <d v="2022-11-10T00:00:00"/>
        <d v="2022-11-21T00:00:00"/>
        <d v="2022-11-22T00:00:00"/>
        <d v="2022-11-28T00:00:00"/>
        <d v="2022-11-29T00:00:00"/>
        <d v="2022-12-06T00:00:00"/>
        <d v="2022-12-19T00:00:00"/>
        <d v="2022-12-21T00:00:00"/>
        <d v="2022-12-22T00:00:00"/>
        <d v="2022-12-27T00:00:00"/>
        <d v="2022-12-29T00:00:00"/>
        <d v="2022-12-01T00:00:00"/>
        <d v="2022-12-08T00:00:00"/>
        <d v="2022-12-09T00:00:00"/>
        <d v="2022-12-14T00:00:00"/>
        <d v="2022-12-15T00:00:00"/>
        <d v="2022-12-16T00:00:00"/>
        <d v="2022-12-07T00:00:00"/>
        <d v="2022-12-12T00:00:00"/>
        <d v="2022-12-13T00:00:00"/>
        <d v="2022-12-30T00:00:00"/>
        <d v="2022-12-02T00:00:00"/>
        <d v="2022-12-05T00:00:00"/>
        <d v="2022-12-03T00:00:00"/>
        <d v="2022-12-20T00:00:00"/>
        <d v="2022-12-23T00:00:00"/>
        <d v="2022-12-28T00:00:00"/>
        <d v="2023-01-13T00:00:00"/>
        <d v="2023-01-23T00:00:00"/>
        <d v="2023-01-27T00:00:00"/>
        <d v="2023-01-30T00:00:00"/>
        <d v="2023-01-04T00:00:00"/>
        <d v="2023-01-12T00:00:00"/>
        <d v="2023-01-16T00:00:00"/>
        <d v="2023-01-18T00:00:00"/>
        <d v="2023-01-19T00:00:00"/>
        <d v="2023-01-24T00:00:00"/>
        <d v="2023-01-31T00:00:00"/>
        <d v="2023-01-03T00:00:00"/>
        <d v="2023-01-06T00:00:00"/>
        <d v="2023-01-09T00:00:00"/>
        <d v="2023-01-10T00:00:00"/>
        <d v="2023-01-11T00:00:00"/>
        <d v="2023-01-17T00:00:00"/>
        <d v="2023-01-20T00:00:00"/>
        <d v="2023-01-25T00:00:00"/>
        <d v="2023-01-26T00:00:00"/>
        <d v="2023-01-05T00:00:00"/>
        <d v="2023-01-21T00:00:00"/>
        <d v="2023-02-03T00:00:00"/>
        <d v="2023-02-07T00:00:00"/>
        <d v="2023-02-09T00:00:00"/>
        <d v="2023-02-15T00:00:00"/>
        <d v="2023-02-21T00:00:00"/>
        <d v="2023-02-23T00:00:00"/>
        <d v="2023-02-24T00:00:00"/>
        <d v="2023-02-02T00:00:00"/>
        <d v="2023-02-13T00:00:00"/>
        <d v="2023-02-10T00:00:00"/>
        <d v="2023-02-16T00:00:00"/>
        <d v="2023-02-22T00:00:00"/>
        <d v="2023-02-28T00:00:00"/>
        <d v="2023-02-06T00:00:00"/>
        <d v="2023-02-08T00:00:00"/>
        <d v="2023-02-14T00:00:00"/>
        <d v="2023-02-17T00:00:00"/>
        <d v="2023-02-20T00:00:00"/>
        <d v="2023-02-01T00:00:00"/>
        <d v="2023-02-04T00:00:00"/>
        <d v="2023-02-27T00:00:00"/>
        <d v="2023-02-25T00:00:00"/>
        <d v="2023-03-01T00:00:00"/>
        <d v="2023-03-06T00:00:00"/>
        <d v="2023-03-15T00:00:00"/>
        <d v="2023-03-23T00:00:00"/>
        <d v="2023-03-07T00:00:00"/>
        <d v="2023-03-08T00:00:00"/>
        <d v="2023-03-10T00:00:00"/>
        <d v="2023-03-13T00:00:00"/>
        <d v="2023-03-14T00:00:00"/>
        <d v="2023-03-16T00:00:00"/>
        <d v="2023-03-21T00:00:00"/>
        <d v="2023-03-22T00:00:00"/>
        <d v="2023-03-27T00:00:00"/>
        <d v="2023-03-02T00:00:00"/>
        <d v="2023-03-03T00:00:00"/>
        <d v="2023-03-09T00:00:00"/>
        <d v="2023-03-17T00:00:00"/>
        <d v="2023-03-24T00:00:00"/>
        <d v="2023-03-28T00:00:00"/>
        <d v="2023-03-30T00:00:00"/>
        <d v="2023-03-31T00:00:00"/>
        <d v="2023-03-04T00:00:00"/>
        <d v="2023-03-20T00:00:00"/>
        <d v="2023-03-29T00:00:00"/>
        <d v="2023-04-14T00:00:00"/>
        <d v="2023-04-17T00:00:00"/>
        <d v="2023-04-19T00:00:00"/>
        <d v="2023-04-06T00:00:00"/>
        <d v="2023-04-10T00:00:00"/>
        <d v="2023-04-11T00:00:00"/>
        <d v="2023-04-12T00:00:00"/>
        <d v="2023-04-24T00:00:00"/>
        <d v="2023-04-25T00:00:00"/>
        <d v="2023-04-27T00:00:00"/>
        <d v="2023-04-03T00:00:00"/>
        <d v="2023-04-04T00:00:00"/>
        <d v="2023-04-05T00:00:00"/>
        <d v="2023-04-07T00:00:00"/>
        <d v="2023-04-18T00:00:00"/>
        <d v="2023-04-20T00:00:00"/>
        <d v="2023-04-28T00:00:00"/>
        <d v="2023-04-13T00:00:00"/>
        <d v="2023-04-21T00:00:00"/>
        <d v="2023-04-26T00:00:00"/>
        <d v="2023-05-01T00:00:00"/>
        <d v="2023-05-12T00:00:00"/>
        <d v="2023-05-17T00:00:00"/>
        <d v="2023-05-18T00:00:00"/>
        <d v="2023-05-23T00:00:00"/>
        <d v="2023-05-24T00:00:00"/>
        <d v="2023-05-26T00:00:00"/>
        <d v="2023-05-02T00:00:00"/>
        <d v="2023-05-05T00:00:00"/>
        <d v="2023-05-09T00:00:00"/>
        <d v="2023-05-10T00:00:00"/>
        <d v="2023-05-15T00:00:00"/>
        <d v="2023-05-22T00:00:00"/>
        <d v="2023-05-25T00:00:00"/>
        <d v="2023-05-30T00:00:00"/>
        <d v="2023-05-31T00:00:00"/>
        <d v="2023-05-03T00:00:00"/>
        <d v="2023-05-11T00:00:00"/>
        <d v="2023-05-19T00:00:00"/>
        <d v="2023-05-04T00:00:00"/>
        <d v="2023-05-08T00:00:00"/>
        <d v="2023-05-16T00:00:00"/>
        <d v="2023-06-02T00:00:00"/>
        <d v="2023-06-09T00:00:00"/>
        <d v="2023-06-13T00:00:00"/>
        <d v="2023-06-22T00:00:00"/>
        <d v="2023-06-29T00:00:00"/>
        <d v="2023-06-01T00:00:00"/>
        <d v="2023-06-05T00:00:00"/>
        <d v="2023-06-15T00:00:00"/>
        <d v="2023-06-16T00:00:00"/>
        <d v="2023-06-20T00:00:00"/>
        <d v="2023-06-21T00:00:00"/>
        <d v="2023-06-23T00:00:00"/>
        <d v="2023-06-27T00:00:00"/>
        <d v="2023-06-28T00:00:00"/>
        <d v="2023-06-07T00:00:00"/>
        <d v="2023-06-08T00:00:00"/>
        <d v="2023-06-14T00:00:00"/>
        <d v="2023-06-26T00:00:00"/>
        <d v="2023-06-30T00:00:00"/>
        <d v="2023-06-12T00:00:00"/>
        <d v="2023-06-06T00:00:00"/>
        <d v="2023-06-19T00:00:00"/>
        <d v="2023-07-03T00:00:00"/>
        <d v="2023-07-11T00:00:00"/>
        <d v="2023-07-14T00:00:00"/>
        <d v="2023-07-17T00:00:00"/>
        <d v="2023-07-18T00:00:00"/>
        <d v="2023-07-25T00:00:00"/>
        <d v="2023-07-26T00:00:00"/>
        <d v="2023-07-06T00:00:00"/>
        <d v="2023-07-07T00:00:00"/>
        <d v="2023-07-10T00:00:00"/>
        <d v="2023-07-13T00:00:00"/>
        <d v="2023-07-20T00:00:00"/>
        <d v="2023-07-21T00:00:00"/>
        <d v="2023-07-27T00:00:00"/>
        <d v="2023-07-31T00:00:00"/>
        <d v="2023-07-05T00:00:00"/>
        <d v="2023-07-19T00:00:00"/>
        <d v="2023-07-24T00:00:00"/>
        <d v="2023-07-28T00:00:00"/>
        <d v="2023-07-12T00:00:00"/>
        <d v="2023-08-01T00:00:00"/>
        <d v="2023-08-02T00:00:00"/>
        <d v="2023-08-08T00:00:00"/>
        <d v="2023-08-22T00:00:00"/>
        <d v="2023-08-28T00:00:00"/>
        <d v="2023-08-03T00:00:00"/>
        <d v="2023-08-04T00:00:00"/>
        <d v="2023-08-10T00:00:00"/>
        <d v="2023-08-16T00:00:00"/>
        <d v="2023-08-18T00:00:00"/>
        <d v="2023-08-23T00:00:00"/>
        <d v="2023-08-31T00:00:00"/>
        <d v="2023-08-07T00:00:00"/>
        <d v="2023-08-09T00:00:00"/>
        <d v="2023-08-14T00:00:00"/>
        <d v="2023-08-17T00:00:00"/>
        <d v="2023-08-25T00:00:00"/>
        <d v="2023-08-29T00:00:00"/>
        <d v="2023-08-21T00:00:00"/>
        <d v="2023-08-24T00:00:00"/>
        <d v="2023-08-11T00:00:00"/>
        <d v="2023-08-15T00:00:00"/>
        <d v="2023-09-05T00:00:00"/>
        <d v="2023-09-19T00:00:00"/>
        <d v="2023-09-20T00:00:00"/>
        <d v="2023-09-06T00:00:00"/>
        <d v="2023-09-08T00:00:00"/>
        <d v="2023-09-12T00:00:00"/>
        <d v="2023-09-13T00:00:00"/>
        <d v="2023-09-15T00:00:00"/>
        <d v="2023-09-18T00:00:00"/>
        <d v="2023-09-21T00:00:00"/>
        <d v="2023-09-25T00:00:00"/>
        <d v="2023-09-26T00:00:00"/>
        <d v="2023-09-29T00:00:00"/>
        <d v="2023-09-01T00:00:00"/>
        <d v="2023-09-07T00:00:00"/>
        <d v="2023-09-11T00:00:00"/>
        <d v="2023-09-22T00:00:00"/>
        <d v="2023-09-28T00:00:00"/>
        <d v="2023-09-14T00:00:00"/>
        <d v="2023-09-27T00:00:00"/>
        <d v="2023-10-02T00:00:00"/>
        <d v="2023-10-04T00:00:00"/>
        <d v="2023-10-05T00:00:00"/>
        <d v="2023-10-10T00:00:00"/>
        <d v="2023-10-11T00:00:00"/>
        <d v="2023-10-13T00:00:00"/>
        <d v="2023-10-16T00:00:00"/>
        <d v="2023-10-19T00:00:00"/>
        <d v="2023-10-26T00:00:00"/>
        <d v="2023-10-27T00:00:00"/>
        <d v="2023-10-12T00:00:00"/>
        <d v="2023-10-20T00:00:00"/>
        <d v="2023-10-24T00:00:00"/>
        <d v="2023-10-31T00:00:00"/>
        <d v="2023-10-03T00:00:00"/>
        <d v="2023-10-09T00:00:00"/>
        <d v="2023-10-25T00:00:00"/>
        <d v="2023-10-30T00:00:00"/>
        <d v="2023-10-06T00:00:00"/>
        <d v="2023-10-17T00:00:00"/>
        <d v="2023-10-18T00:00:00"/>
        <d v="2023-10-23T00:00:00"/>
        <d v="2023-10-28T00:00:00"/>
        <d v="2023-11-07T00:00:00"/>
        <d v="2023-11-08T00:00:00"/>
        <d v="2023-11-10T00:00:00"/>
        <d v="2023-11-15T00:00:00"/>
        <d v="2023-11-17T00:00:00"/>
        <d v="2023-11-21T00:00:00"/>
        <d v="2023-11-29T00:00:00"/>
        <d v="2023-11-30T00:00:00"/>
        <d v="2023-11-03T00:00:00"/>
        <d v="2023-11-09T00:00:00"/>
        <d v="2023-11-14T00:00:00"/>
        <d v="2023-11-28T00:00:00"/>
        <d v="2023-11-20T00:00:00"/>
        <d v="2023-11-22T00:00:00"/>
        <d v="2023-11-01T00:00:00"/>
        <d v="2023-11-02T00:00:00"/>
        <d v="2023-11-06T00:00:00"/>
        <d v="2023-11-05T00:00:00"/>
        <d v="2023-11-13T00:00:00"/>
        <d v="2023-11-16T00:00:00"/>
        <d v="2023-11-27T00:00:00"/>
        <d v="2023-12-01T00:00:00"/>
        <d v="2023-12-04T00:00:00"/>
        <d v="2023-12-05T00:00:00"/>
        <d v="2023-12-08T00:00:00"/>
        <d v="2023-12-21T00:00:00"/>
        <d v="2023-12-26T00:00:00"/>
        <d v="2023-12-07T00:00:00"/>
        <d v="2023-12-06T00:00:00"/>
        <d v="2023-12-12T00:00:00"/>
        <d v="2023-12-13T00:00:00"/>
        <d v="2023-12-15T00:00:00"/>
        <d v="2023-12-27T00:00:00"/>
        <d v="2023-12-29T00:00:00"/>
        <d v="2023-12-11T00:00:00"/>
        <d v="2023-12-19T00:00:00"/>
        <d v="2023-12-20T00:00:00"/>
        <d v="2023-12-22T00:00:00"/>
        <d v="2023-12-14T00:00:00"/>
        <d v="2023-12-18T00:00:00"/>
        <d v="2023-12-28T00:00:00"/>
        <d v="2023-12-30T00:00:00"/>
        <d v="2024-01-05T00:00:00"/>
        <d v="2024-01-10T00:00:00"/>
        <d v="2024-01-17T00:00:00"/>
        <d v="2024-01-18T00:00:00"/>
        <d v="2024-01-23T00:00:00"/>
        <d v="2024-01-30T00:00:00"/>
        <d v="2024-01-02T00:00:00"/>
        <d v="2024-01-04T00:00:00"/>
        <d v="2024-01-08T00:00:00"/>
        <d v="2024-01-11T00:00:00"/>
        <d v="2024-01-16T00:00:00"/>
        <d v="2024-01-22T00:00:00"/>
        <d v="2024-01-12T00:00:00"/>
        <d v="2024-01-15T00:00:00"/>
        <d v="2024-01-24T00:00:00"/>
        <d v="2024-01-25T00:00:00"/>
        <d v="2024-01-26T00:00:00"/>
        <d v="2024-01-31T00:00:00"/>
        <d v="2024-01-03T00:00:00"/>
        <d v="2024-01-06T00:00:00"/>
        <d v="2024-01-09T00:00:00"/>
        <d v="2024-01-19T00:00:00"/>
        <d v="2024-01-29T00:00:00"/>
        <d v="2024-02-02T00:00:00"/>
        <d v="2024-02-06T00:00:00"/>
        <d v="2024-02-09T00:00:00"/>
        <d v="2024-02-12T00:00:00"/>
        <d v="2024-02-14T00:00:00"/>
        <d v="2024-02-20T00:00:00"/>
        <d v="2024-02-22T00:00:00"/>
        <d v="2024-02-29T00:00:00"/>
        <d v="2024-02-21T00:00:00"/>
        <d v="2024-02-23T00:00:00"/>
        <d v="2024-02-27T00:00:00"/>
        <d v="2024-02-01T00:00:00"/>
        <d v="2024-02-05T00:00:00"/>
        <d v="2024-02-13T00:00:00"/>
        <d v="2024-02-15T00:00:00"/>
        <d v="2024-02-16T00:00:00"/>
        <d v="2024-02-17T00:00:00"/>
        <d v="2024-02-19T00:00:00"/>
        <d v="2024-02-26T00:00:00"/>
        <d v="2024-02-28T00:00:00"/>
        <d v="2024-02-07T00:00:00"/>
        <d v="2024-02-08T00:00:00"/>
        <d v="2024-03-06T00:00:00"/>
        <d v="2024-03-07T00:00:00"/>
        <d v="2024-03-19T00:00:00"/>
        <d v="2024-03-21T00:00:00"/>
        <d v="2024-03-26T00:00:00"/>
        <d v="2024-03-28T00:00:00"/>
        <d v="2024-03-01T00:00:00"/>
        <d v="2024-03-04T00:00:00"/>
        <d v="2024-03-13T00:00:00"/>
        <d v="2024-03-14T00:00:00"/>
        <d v="2024-03-25T00:00:00"/>
        <d v="2024-03-27T00:00:00"/>
        <d v="2024-03-05T00:00:00"/>
        <d v="2024-03-08T00:00:00"/>
        <d v="2024-03-12T00:00:00"/>
        <d v="2024-03-15T00:00:00"/>
        <d v="2024-03-20T00:00:00"/>
        <d v="2024-03-22T00:00:00"/>
        <d v="2024-03-09T00:00:00"/>
        <d v="2024-03-11T00:00:00"/>
        <d v="2024-03-18T00:00:00"/>
        <d v="2024-03-29T00:00:00"/>
        <d v="2024-04-02T00:00:00"/>
        <d v="2024-04-04T00:00:00"/>
        <d v="2024-04-12T00:00:00"/>
        <d v="2024-04-15T00:00:00"/>
        <d v="2024-04-16T00:00:00"/>
        <d v="2024-04-17T00:00:00"/>
        <d v="2024-04-22T00:00:00"/>
        <d v="2024-04-24T00:00:00"/>
        <d v="2024-04-25T00:00:00"/>
        <d v="2024-04-29T00:00:00"/>
        <d v="2024-04-03T00:00:00"/>
        <d v="2024-04-08T00:00:00"/>
        <d v="2024-04-11T00:00:00"/>
        <d v="2024-04-19T00:00:00"/>
        <d v="2024-04-01T00:00:00"/>
        <d v="2024-04-05T00:00:00"/>
        <d v="2024-04-09T00:00:00"/>
        <d v="2024-04-10T00:00:00"/>
        <d v="2024-04-23T00:00:00"/>
        <d v="2024-04-26T00:00:00"/>
        <d v="2024-04-30T00:00:00"/>
        <d v="2024-04-18T00:00:00"/>
        <d v="2024-05-02T00:00:00"/>
        <d v="2024-05-03T00:00:00"/>
        <d v="2024-05-10T00:00:00"/>
        <d v="2024-05-16T00:00:00"/>
        <d v="2024-05-31T00:00:00"/>
        <d v="2024-05-06T00:00:00"/>
        <d v="2024-05-09T00:00:00"/>
        <d v="2024-05-17T00:00:00"/>
        <d v="2024-05-29T00:00:00"/>
        <d v="2024-05-13T00:00:00"/>
        <d v="2024-05-14T00:00:00"/>
        <d v="2024-05-01T00:00:00"/>
        <d v="2024-05-07T00:00:00"/>
        <d v="2024-05-08T00:00:00"/>
        <d v="2024-05-15T00:00:00"/>
        <d v="2024-05-20T00:00:00"/>
        <d v="2024-05-21T00:00:00"/>
        <d v="2024-05-28T00:00:00"/>
        <d v="2024-05-30T00:00:00"/>
        <d v="2024-05-22T00:00:00"/>
        <d v="2024-05-23T00:00:00"/>
        <d v="2024-05-24T00:00:00"/>
        <d v="2024-06-03T00:00:00"/>
        <d v="2024-06-04T00:00:00"/>
        <d v="2024-06-14T00:00:00"/>
        <d v="2024-06-21T00:00:00"/>
        <d v="2024-06-27T00:00:00"/>
        <d v="2024-06-05T00:00:00"/>
        <d v="2024-06-10T00:00:00"/>
        <d v="2024-06-13T00:00:00"/>
        <d v="2024-06-20T00:00:00"/>
        <d v="2024-06-25T00:00:00"/>
        <d v="2024-06-26T00:00:00"/>
        <d v="2024-06-28T00:00:00"/>
        <d v="2024-06-06T00:00:00"/>
        <d v="2024-06-07T00:00:00"/>
        <d v="2024-06-11T00:00:00"/>
        <d v="2024-06-12T00:00:00"/>
        <d v="2024-06-17T00:00:00"/>
        <d v="2024-06-18T00:00:00"/>
        <d v="2024-06-24T00:00:00"/>
        <d v="2024-06-19T00:00:00"/>
        <d v="2024-07-09T00:00:00"/>
        <d v="2024-07-12T00:00:00"/>
        <d v="2024-07-31T00:00:00"/>
        <d v="2024-07-01T00:00:00"/>
        <d v="2024-07-11T00:00:00"/>
        <d v="2024-07-17T00:00:00"/>
        <d v="2024-07-24T00:00:00"/>
        <d v="2024-07-29T00:00:00"/>
        <d v="2024-07-05T00:00:00"/>
        <d v="2024-07-16T00:00:00"/>
        <d v="2024-07-23T00:00:00"/>
        <d v="2024-07-25T00:00:00"/>
        <d v="2024-07-26T00:00:00"/>
        <d v="2024-07-30T00:00:00"/>
        <d v="2024-07-02T00:00:00"/>
        <d v="2024-07-03T00:00:00"/>
        <d v="2024-07-08T00:00:00"/>
        <d v="2024-07-19T00:00:00"/>
        <d v="2024-07-10T00:00:00"/>
        <d v="2024-07-15T00:00:00"/>
        <d v="2024-07-18T00:00:00"/>
        <d v="2024-07-22T00:00:00"/>
        <d v="2024-08-02T00:00:00"/>
        <d v="2024-08-07T00:00:00"/>
        <d v="2024-08-09T00:00:00"/>
        <d v="2024-08-13T00:00:00"/>
        <d v="2024-08-27T00:00:00"/>
        <d v="2024-08-30T00:00:00"/>
        <d v="2024-08-14T00:00:00"/>
        <d v="2024-08-15T00:00:00"/>
        <d v="2024-08-16T00:00:00"/>
        <d v="2024-08-26T00:00:00"/>
        <d v="2024-08-28T00:00:00"/>
        <d v="2024-08-01T00:00:00"/>
        <d v="2024-08-08T00:00:00"/>
        <d v="2024-08-12T00:00:00"/>
        <d v="2024-08-21T00:00:00"/>
        <d v="2024-08-29T00:00:00"/>
        <d v="2024-08-06T00:00:00"/>
        <d v="2024-08-20T00:00:00"/>
        <d v="2024-08-23T00:00:00"/>
        <d v="2024-08-05T00:00:00"/>
        <d v="2024-08-19T00:00:00"/>
        <d v="2024-08-22T00:00:00"/>
        <d v="2024-09-03T00:00:00"/>
        <d v="2024-09-04T00:00:00"/>
        <d v="2024-09-10T00:00:00"/>
        <d v="2024-09-13T00:00:00"/>
        <d v="2024-09-25T00:00:00"/>
        <d v="2024-09-05T00:00:00"/>
        <d v="2024-09-16T00:00:00"/>
        <d v="2024-09-18T00:00:00"/>
        <d v="2024-09-23T00:00:00"/>
        <d v="2024-09-09T00:00:00"/>
        <d v="2024-09-11T00:00:00"/>
        <d v="2024-09-12T00:00:00"/>
        <d v="2024-09-19T00:00:00"/>
        <d v="2024-09-27T00:00:00"/>
        <d v="2024-09-06T00:00:00"/>
        <d v="2024-09-17T00:00:00"/>
        <d v="2024-09-20T00:00:00"/>
        <d v="2024-09-24T00:00:00"/>
        <d v="2024-09-30T00:00:00"/>
        <d v="2024-10-02T00:00:00"/>
        <d v="2024-10-03T00:00:00"/>
        <d v="2024-10-16T00:00:00"/>
        <d v="2024-10-18T00:00:00"/>
        <d v="2024-10-22T00:00:00"/>
        <d v="2024-10-28T00:00:00"/>
        <d v="2024-10-04T00:00:00"/>
        <d v="2024-10-08T00:00:00"/>
        <d v="2024-10-31T00:00:00"/>
        <d v="2024-10-24T00:00:00"/>
        <d v="2024-10-25T00:00:00"/>
        <d v="2024-10-30T00:00:00"/>
        <d v="2024-10-01T00:00:00"/>
        <d v="2024-10-07T00:00:00"/>
        <d v="2024-10-14T00:00:00"/>
        <d v="2024-10-15T00:00:00"/>
        <d v="2024-10-17T00:00:00"/>
        <d v="2024-10-21T00:00:00"/>
        <d v="2024-10-23T00:00:00"/>
        <d v="2024-10-29T00:00:00"/>
        <d v="2024-11-01T00:00:00"/>
        <d v="2024-11-06T00:00:00"/>
        <d v="2024-11-08T00:00:00"/>
        <d v="2024-11-18T00:00:00"/>
        <d v="2024-11-19T00:00:00"/>
        <d v="2024-11-05T00:00:00"/>
        <d v="2024-11-11T00:00:00"/>
        <d v="2024-11-12T00:00:00"/>
        <d v="2024-11-13T00:00:00"/>
        <d v="2024-11-14T00:00:00"/>
        <d v="2024-11-15T00:00:00"/>
        <d v="2024-11-20T00:00:00"/>
        <d v="2024-11-21T00:00:00"/>
        <d v="2024-11-04T00:00:00"/>
        <d v="2024-11-26T00:00:00"/>
        <d v="2024-11-27T00:00:00"/>
        <d v="2024-11-07T00:00:00"/>
        <d v="2024-11-09T00:00:00"/>
        <d v="2024-11-22T00:00:00"/>
        <d v="2024-11-25T00:00:00"/>
        <d v="2024-12-04T00:00:00"/>
        <d v="2024-12-09T00:00:00"/>
        <d v="2024-12-12T00:00:00"/>
        <d v="2024-12-26T00:00:00"/>
        <d v="2024-12-02T00:00:00"/>
        <d v="2024-12-06T00:00:00"/>
        <d v="2024-12-10T00:00:00"/>
        <d v="2024-12-18T00:00:00"/>
        <d v="2024-12-20T00:00:00"/>
        <d v="2024-12-16T00:00:00"/>
        <d v="2024-12-17T00:00:00"/>
        <d v="2024-12-19T00:00:00"/>
        <d v="2024-12-23T00:00:00"/>
        <d v="2024-12-24T00:00:00"/>
        <d v="2024-12-27T00:00:00"/>
        <d v="2024-12-30T00:00:00"/>
        <d v="2024-12-31T00:00:00"/>
        <d v="2024-12-03T00:00:00"/>
        <d v="2024-12-05T00:00:00"/>
        <d v="2024-12-07T00:00:00"/>
        <d v="2024-12-11T00:00:00"/>
        <d v="2024-12-13T00:00:00"/>
        <d v="2025-01-08T00:00:00"/>
        <d v="2025-01-13T00:00:00"/>
        <d v="2025-01-17T00:00:00"/>
        <d v="2025-01-20T00:00:00"/>
        <d v="2025-01-28T00:00:00"/>
        <d v="2025-01-29T00:00:00"/>
        <d v="2025-01-02T00:00:00"/>
        <d v="2025-01-03T00:00:00"/>
        <d v="2025-01-14T00:00:00"/>
        <d v="2025-01-15T00:00:00"/>
        <d v="2025-01-21T00:00:00"/>
        <d v="2025-01-24T00:00:00"/>
        <d v="2025-01-31T00:00:00"/>
        <d v="2025-01-06T00:00:00"/>
        <d v="2025-01-09T00:00:00"/>
        <d v="2025-01-10T00:00:00"/>
        <d v="2025-01-16T00:00:00"/>
        <d v="2025-01-23T00:00:00"/>
        <d v="2025-01-27T00:00:00"/>
        <d v="2025-01-30T00:00:00"/>
        <d v="2025-01-07T00:00:00"/>
        <d v="2025-01-22T00:00:00"/>
        <d v="2025-02-10T00:00:00"/>
        <d v="2025-02-21T00:00:00"/>
        <d v="2025-02-25T00:00:00"/>
        <d v="2025-02-04T00:00:00"/>
        <d v="2025-02-05T00:00:00"/>
        <d v="2025-02-11T00:00:00"/>
        <d v="2025-02-12T00:00:00"/>
        <d v="2025-02-13T00:00:00"/>
        <d v="2025-02-17T00:00:00"/>
        <d v="2025-02-18T00:00:00"/>
        <d v="2025-02-26T00:00:00"/>
        <d v="2025-02-28T00:00:00"/>
        <d v="2025-02-03T00:00:00"/>
        <d v="2025-02-06T00:00:00"/>
        <d v="2025-02-07T00:00:00"/>
        <d v="2025-02-14T00:00:00"/>
        <d v="2025-02-19T00:00:00"/>
        <d v="2025-02-20T00:00:00"/>
        <d v="2025-02-24T00:00:00"/>
        <d v="2025-02-27T00:00:00"/>
        <d v="2025-03-10T00:00:00"/>
        <d v="2025-03-20T00:00:00"/>
        <d v="2025-03-06T00:00:00"/>
        <d v="2025-03-13T00:00:00"/>
        <d v="2025-03-14T00:00:00"/>
        <d v="2025-03-18T00:00:00"/>
        <d v="2025-03-21T00:00:00"/>
        <d v="2025-03-24T00:00:00"/>
        <d v="2025-03-28T00:00:00"/>
        <d v="2025-03-31T00:00:00"/>
        <d v="2025-03-04T00:00:00"/>
        <d v="2025-03-05T00:00:00"/>
        <d v="2025-03-07T00:00:00"/>
        <d v="2025-03-11T00:00:00"/>
        <d v="2025-03-12T00:00:00"/>
        <d v="2025-03-17T00:00:00"/>
        <d v="2025-03-19T00:00:00"/>
        <d v="2025-03-25T00:00:00"/>
        <d v="2025-03-26T00:00:00"/>
        <d v="2025-03-27T00:00:00"/>
        <d v="2025-03-03T00:00:00"/>
        <d v="2025-04-03T00:00:00"/>
        <d v="2025-04-07T00:00:00"/>
        <d v="2025-04-15T00:00:00"/>
        <d v="2025-04-21T00:00:00"/>
        <d v="2025-04-22T00:00:00"/>
        <d v="2025-04-01T00:00:00"/>
        <d v="2025-04-04T00:00:00"/>
        <d v="2025-04-11T00:00:00"/>
        <d v="2025-04-14T00:00:00"/>
        <d v="2025-04-16T00:00:00"/>
        <d v="2025-04-17T00:00:00"/>
        <d v="2025-04-24T00:00:00"/>
        <d v="2025-04-25T00:00:00"/>
        <d v="2025-04-29T00:00:00"/>
        <d v="2025-04-30T00:00:00"/>
        <d v="2025-04-08T00:00:00"/>
        <d v="2025-04-09T00:00:00"/>
        <d v="2025-04-10T00:00:00"/>
        <d v="2025-04-18T00:00:00"/>
        <d v="2025-04-23T00:00:00"/>
        <d v="2025-04-28T00:00:00"/>
        <d v="2025-04-02T00:00:00"/>
        <d v="2025-05-02T00:00:00"/>
        <d v="2025-05-09T00:00:00"/>
        <d v="2025-05-12T00:00:00"/>
        <d v="2025-05-23T00:00:00"/>
        <d v="2025-05-05T00:00:00"/>
        <d v="2025-05-06T00:00:00"/>
        <d v="2025-05-13T00:00:00"/>
        <d v="2025-05-14T00:00:00"/>
        <d v="2025-05-15T00:00:00"/>
        <d v="2025-05-19T00:00:00"/>
        <d v="2025-05-20T00:00:00"/>
        <d v="2025-05-21T00:00:00"/>
        <d v="2025-05-27T00:00:00"/>
        <d v="2025-05-28T00:00:00"/>
        <d v="2025-05-30T00:00:00"/>
        <d v="2025-05-07T00:00:00"/>
        <d v="2025-05-08T00:00:00"/>
        <d v="2025-05-22T00:00:00"/>
        <d v="2025-05-29T00:00:00"/>
        <d v="2025-05-01T00:00:00"/>
        <d v="2025-05-16T00:00:00"/>
        <d v="2025-06-25T00:00:00"/>
        <d v="2025-06-20T00:00:00"/>
        <d v="2025-06-09T00:00:00"/>
        <d v="2025-06-13T00:00:00"/>
        <d v="2025-06-02T00:00:00"/>
        <d v="2025-06-27T00:00:00"/>
        <d v="2025-06-30T00:00:00"/>
        <d v="2025-06-19T00:00:00"/>
        <d v="2025-06-12T00:00:00"/>
        <d v="2025-06-26T00:00:00"/>
        <d v="2025-06-10T00:00:00"/>
        <d v="2025-06-24T00:00:00"/>
        <d v="2025-06-16T00:00:00"/>
        <d v="2025-06-17T00:00:00"/>
        <d v="2025-06-05T00:00:00"/>
        <d v="2025-06-11T00:00:00"/>
        <d v="2025-06-18T00:00:00"/>
        <d v="2025-06-06T00:00:00"/>
        <d v="2025-06-23T00:00:00"/>
        <d v="2025-06-04T00:00:00"/>
        <d v="2025-07-03T00:00:00"/>
        <d v="2025-07-14T00:00:00"/>
        <d v="2025-07-15T00:00:00"/>
        <d v="2025-07-24T00:00:00"/>
        <d v="2025-07-01T00:00:00"/>
        <d v="2025-07-02T00:00:00"/>
        <d v="2025-07-07T00:00:00"/>
        <d v="2025-07-09T00:00:00"/>
        <d v="2025-07-10T00:00:00"/>
        <d v="2025-07-16T00:00:00"/>
        <d v="2025-07-18T00:00:00"/>
        <d v="2025-07-31T00:00:00"/>
        <d v="2025-07-17T00:00:00"/>
        <d v="2025-07-22T00:00:00"/>
        <d v="2025-07-23T00:00:00"/>
        <d v="2025-07-29T00:00:00"/>
        <d v="2025-07-21T00:00:00"/>
        <d v="2025-07-30T00:00:00"/>
        <d v="2025-07-11T00:00:00"/>
        <d v="2025-07-25T00:00:00"/>
        <d v="2025-07-08T00:00:00"/>
        <d v="2025-07-28T00:00:00"/>
        <d v="2025-08-04T00:00:00"/>
        <d v="2025-08-07T00:00:00"/>
        <d v="2025-08-14T00:00:00"/>
        <d v="2025-08-20T00:00:00"/>
        <d v="2025-08-26T00:00:00"/>
        <d v="2025-08-12T00:00:00"/>
        <d v="2025-08-18T00:00:00"/>
        <d v="2025-08-19T00:00:00"/>
        <d v="2025-08-21T00:00:00"/>
        <d v="2025-08-28T00:00:00"/>
        <d v="2025-08-01T00:00:00"/>
        <d v="2025-08-05T00:00:00"/>
        <d v="2025-08-06T00:00:00"/>
        <d v="2025-08-08T00:00:00"/>
        <d v="2025-08-11T00:00:00"/>
        <d v="2025-08-22T00:00:00"/>
        <d v="2025-08-27T00:00:00"/>
        <d v="2025-08-15T00:00:00"/>
        <d v="2025-08-13T00:00:00"/>
        <d v="2025-08-25T00:00:00"/>
        <d v="2025-08-29T00:00:00"/>
        <d v="2025-09-16T00:00:00"/>
        <d v="2025-09-17T00:00:00"/>
        <d v="2025-09-22T00:00:00"/>
        <d v="2025-09-26T00:00:00"/>
        <d v="2025-09-08T00:00:00"/>
        <d v="2025-09-09T00:00:00"/>
        <d v="2025-09-10T00:00:00"/>
        <d v="2025-09-11T00:00:00"/>
        <d v="2025-09-12T00:00:00"/>
        <d v="2025-09-23T00:00:00"/>
        <d v="2025-09-30T00:00:00"/>
        <d v="2025-09-02T00:00:00"/>
        <d v="2025-09-03T00:00:00"/>
        <d v="2025-09-04T00:00:00"/>
        <d v="2025-09-18T00:00:00"/>
        <d v="2025-09-19T00:00:00"/>
        <d v="2025-09-24T00:00:00"/>
        <d v="2025-09-29T00:00:00"/>
        <d v="2025-09-15T00:00:00"/>
        <d v="2025-09-25T00:00:00"/>
      </sharedItems>
    </cacheField>
    <cacheField name="Month" numFmtId="0">
      <sharedItems containsSemiMixedTypes="0" containsString="0" containsNumber="1" containsInteger="1" minValue="1" maxValue="12" count="12">
        <n v="10"/>
        <n v="11"/>
        <n v="12"/>
        <n v="1"/>
        <n v="2"/>
        <n v="3"/>
        <n v="4"/>
        <n v="5"/>
        <n v="6"/>
        <n v="7"/>
        <n v="8"/>
        <n v="9"/>
      </sharedItems>
    </cacheField>
    <cacheField name="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SOP Type" numFmtId="0">
      <sharedItems/>
    </cacheField>
    <cacheField name="SOP Number" numFmtId="0">
      <sharedItems/>
    </cacheField>
    <cacheField name="Item Number" numFmtId="0">
      <sharedItems count="593">
        <s v="USCMANPLX+55"/>
        <s v="FLO1200655"/>
        <s v="USCMANPLX+02"/>
        <s v="FLOKTS02"/>
        <s v="GPHUMIC02"/>
        <s v="GOLDCA02"/>
        <s v="USCBIOPX02"/>
        <s v="ZON1501002"/>
        <s v="FLO3181802"/>
        <s v="FLOU3202"/>
        <s v="FLO824802"/>
        <s v="GROMG602"/>
        <s v="ZONN2802"/>
        <s v="ALMBGNOFE55"/>
        <s v="USC8FE30"/>
        <s v="ZON1501030"/>
        <s v="FLOKTS30"/>
        <s v="GROMG630"/>
        <s v="GROMN30"/>
        <s v="USCMICRO+30"/>
        <s v="USCMANPLX+30"/>
        <s v="USCMICMIX02"/>
        <s v="ZON183602"/>
        <s v="ZON1806250"/>
        <s v="FLO1137000"/>
        <s v="NPKKOHDRY"/>
        <s v="MRCCCN110"/>
        <s v="MAC428YM8"/>
        <s v="MAC528YZ"/>
        <s v="NPKPHOS75"/>
        <s v="FLO15008CL250"/>
        <s v="CAMMO02"/>
        <s v="REPACK02"/>
        <s v="FLO003002"/>
        <s v="SOARBLM02"/>
        <s v="GOLDMZF02"/>
        <s v="SOARCIT02"/>
        <s v="FLOPHOS30"/>
        <s v="GOLDMZF250"/>
        <s v="ZON180902"/>
        <s v="SOARMIC02"/>
        <s v="SOARPOT250"/>
        <s v="FLO15001602"/>
        <s v="MAC927YM3"/>
        <s v="MAC626YM"/>
        <s v="FLO150016250"/>
        <s v="MAC2510XD"/>
        <s v="MAC626YM11"/>
        <s v="FLOPHOS02"/>
        <s v="MAC425YM"/>
        <s v="MAC528YM1"/>
        <s v="MAC828YM5"/>
        <s v="MAC429YM"/>
        <s v="MAC927YM1"/>
        <s v="MAC1046YM"/>
        <s v="MAC608YB5"/>
        <s v="MAC628YM8M"/>
        <s v="MAC737YM"/>
        <s v="MAC628YM8"/>
        <s v="MAC628YZ1"/>
        <s v="MAC523YP1"/>
        <s v="FLO150002"/>
        <s v="MAC734XH"/>
        <s v="MAC927YM5"/>
        <s v="MAC426YM2"/>
        <s v="MAC707YB13"/>
        <s v="PHURYPHOS30"/>
        <s v="MAC527YM18"/>
        <s v="MAC727YM3"/>
        <s v="MAC727YM15"/>
        <s v="OMFISHEM250"/>
        <s v="MAC628YM19"/>
        <s v="MAC646YM"/>
        <s v="MAC608YB1"/>
        <s v="FLO31818250"/>
        <s v="MAC936XU1"/>
        <s v="MAC848H"/>
        <s v="FLO15001630"/>
        <s v="SORCA55"/>
        <s v="GOLDCA55"/>
        <s v="GOLDCANB55"/>
        <s v="GOLDMG55"/>
        <s v="GOLDMN55"/>
        <s v="ZON1836250"/>
        <s v="ZONN2855"/>
        <s v="FLO515102"/>
        <s v="GOLDVEG250"/>
        <s v="GOLDBOR10250"/>
        <s v="FLOKTS55"/>
        <s v="NPKAWAKEN"/>
        <s v="USC8FE02"/>
        <s v="GROMN02"/>
        <s v="ALMBGRE02"/>
        <s v="ALMKGRE02"/>
        <s v="DYNASURF02"/>
        <s v="CHEGLUCOGR50250"/>
        <s v="PHYLO02"/>
        <s v="GOLD606250"/>
        <s v="BEYETI02"/>
        <s v="MAC628YM5"/>
        <s v="GRO1311619250"/>
        <s v="MRCCCN02"/>
        <s v="SORCA250"/>
        <s v="MAC429L"/>
        <s v="MAC527YM21M"/>
        <s v="FLOCATS30"/>
        <s v="GOLDMG02"/>
        <s v="GOLDZN02"/>
        <s v="PHURYPHOS02"/>
        <s v="FLOKTS250"/>
        <s v="FLOCATS250"/>
        <s v="MAC306X"/>
        <s v="FLOATS250"/>
        <s v="FLOATS55"/>
        <s v="MAC727YM5"/>
        <s v="MAC406YB12"/>
        <s v="GROCA30"/>
        <s v="MAC327YY"/>
        <s v="MAC329YM2"/>
        <s v="FLOQKST02"/>
        <s v="FLOMOLA250"/>
        <s v="FLO1200602"/>
        <s v="OMFISHEM02"/>
        <s v="GOLDFE250"/>
        <s v="CHEGLUCOGR50CDI"/>
        <s v="MAC845YX"/>
        <s v="MAC3410W"/>
        <s v="CHECITRIC"/>
        <s v="DYNABERRY30"/>
        <s v="FLO8216250"/>
        <s v="FLO164802"/>
        <s v="USCMICRO+02"/>
        <s v="MISCAGTHR"/>
        <s v="FLOMOLA02"/>
        <s v="GRO131161900"/>
        <s v="GRO1713036250"/>
        <s v="GOLDFE02"/>
        <s v="GREMN02"/>
        <s v="GRO131161902"/>
        <s v="PHURYMG30"/>
        <s v="GOLDCA250"/>
        <s v="CAMMO250"/>
        <s v="PHURYMG250"/>
        <s v="PHURYFE250"/>
        <s v="PHURYFE30"/>
        <s v="MAC508YF"/>
        <s v="GROCA02"/>
        <s v="MAC608YB19"/>
        <s v="GROMG6302"/>
        <s v="MAC508YF1"/>
        <s v="MAC907YB8"/>
        <s v="MAC529YM"/>
        <s v="MAC406YB13"/>
        <s v="MAC608YF"/>
        <s v="MAC707YB11"/>
        <s v="MAC628YM"/>
        <s v="GREHMSTD02"/>
        <s v="GREHMSTD250"/>
        <s v="GREPOT05"/>
        <s v="FLO821602"/>
        <s v="FLO828+02"/>
        <s v="GPTRAINER02"/>
        <s v="SURFMORWET250"/>
        <s v="FLO002902"/>
        <s v="FLOFASST02"/>
        <s v="GOLDNI+02"/>
        <s v="SOARBLM250"/>
        <s v="SOARPOT02"/>
        <s v="GOLDBOR1002"/>
        <s v="ZON502002"/>
        <s v="FLOPHOS250"/>
        <s v="MAC544L1"/>
        <s v="MAC407ZK"/>
        <s v="MAC407YA2"/>
        <s v="MAC406YB2"/>
        <s v="SOAR7L02"/>
        <s v="ZON500302"/>
        <s v="FLO12006250"/>
        <s v="SAFEFE+02"/>
        <s v="GROZN02"/>
        <s v="MAC727YM21"/>
        <s v="FLOQKST250"/>
        <s v="MAC396H"/>
        <s v="AGBAPZN250#"/>
        <s v="AGBAPZN50#"/>
        <s v="USC8FE55"/>
        <s v="GROMG655"/>
        <s v="GROMN55"/>
        <s v="ZON183655"/>
        <s v="MACCA"/>
        <s v="CHEGLUCOGR50CDI250"/>
        <s v="GROCU02"/>
        <s v="GROCU250"/>
        <s v="MAC428YM5"/>
        <s v="SOARBLM00"/>
        <s v="GOLDMZ02"/>
        <s v="GRO77902"/>
        <s v="SOARCIT250"/>
        <s v="GOLD2014533250"/>
        <s v="MAC544L2"/>
        <s v="MAC628YM6"/>
        <s v="MAC507ZK"/>
        <s v="MAC936XU"/>
        <s v="SOARMIC30"/>
        <s v="MAC508ZK"/>
        <s v="MAC406YB10"/>
        <s v="GREPOT250"/>
        <s v="MAC808Z1"/>
        <s v="MAC1055XG"/>
        <s v="ZONN3002"/>
        <s v="MAC628YM12"/>
        <s v="FLO021202"/>
        <s v="AGBASCORN50#"/>
        <s v="AGBASORG250#"/>
        <s v="AGBASORG50#"/>
        <s v="AGBASZN250#"/>
        <s v="AGBLINK02"/>
        <s v="FLOMN10250"/>
        <s v="GOLDCB02"/>
        <s v="AGBASMN50#"/>
        <s v="AGBASCAR50#"/>
        <s v="AGBASMN250#"/>
        <s v="GRETF02"/>
        <s v="FLO1137002"/>
        <s v="MAC939L"/>
        <s v="NPK11370"/>
        <s v="MAC727YM22"/>
        <s v="MAC927YM13"/>
        <s v="MAC608YA4"/>
        <s v="MAC408YB"/>
        <s v="GOLD60602"/>
        <s v="MAC548YM"/>
        <s v="FLO301102"/>
        <s v="MAC927YM10"/>
        <s v="MAC525YP11M"/>
        <s v="MAC727YM2"/>
        <s v="MAC808YK1"/>
        <s v="GOLDMN02"/>
        <s v="PROEDTAZN02"/>
        <s v="GOLD191416602"/>
        <s v="SORCA02"/>
        <s v="MAC808YB3"/>
        <s v="FLO11370250"/>
        <s v="MAC3010YF"/>
        <s v="MAC507YA8"/>
        <s v="MAC805YF"/>
        <s v="AGBASCAR250#"/>
        <s v="ZONN28250"/>
        <s v="TRITOPS02"/>
        <s v="GPBLACK+02"/>
        <s v="AGBAPMN02"/>
        <s v="FLO003055"/>
        <s v="GOLDHICAL55"/>
        <s v="GOLDMG250"/>
        <s v="GOLDMN250"/>
        <s v="FLO5151250"/>
        <s v="FLO515155"/>
        <s v="GPHUMIC250"/>
        <s v="TRITOPS250"/>
        <s v="CAL8+02"/>
        <s v="PHYLO+02"/>
        <s v="FLOFE6250"/>
        <s v="MAC5110YR"/>
        <s v="MAC727YR5"/>
        <s v="SOAR7L250"/>
        <s v="ZEMOXYTH30"/>
        <s v="ZEMOXYTH250"/>
        <s v="SURFEMT-MULZ"/>
        <s v="MAC727YM7"/>
        <s v="MAC709YK3"/>
        <s v="MAC628YM1"/>
        <s v="PHURYMG02"/>
        <s v="MAC907XK1"/>
        <s v="MAC609XK"/>
        <s v="MAC808XK"/>
        <s v="MAC5010YB5"/>
        <s v="FLO8246250"/>
        <s v="FLO824602"/>
        <s v="AGBAPZN02"/>
        <s v="GOLDCB250"/>
        <s v="NPKU32"/>
        <s v="FLOFE6+250"/>
        <s v="CAMMO55"/>
        <s v="FLO1137055"/>
        <s v="MAC907YB7"/>
        <s v="GROCA55"/>
        <s v="MAC707YB9"/>
        <s v="MAC929XF"/>
        <s v="PROEDTAZN250"/>
        <s v="MAC929XH"/>
        <s v="AGBCB50#"/>
        <s v="AGB2222102"/>
        <s v="AGBTHNB10702"/>
        <s v="AGBAPMG02"/>
        <s v="GREFE55"/>
        <s v="FLO828+30"/>
        <s v="GOLDFE30"/>
        <s v="GOLD131151502"/>
        <s v="FLOMOLA55"/>
        <s v="ZON1441002"/>
        <s v="NIT111024302"/>
        <s v="GPZYME02"/>
        <s v="FLOSHRUB250"/>
        <s v="GOLDMICRO702"/>
        <s v="FLGRHINO250"/>
        <s v="GOLD00602"/>
        <s v="FLO93602"/>
        <s v="BEWATFALL02"/>
        <s v="MAC727XH"/>
        <s v="TIGER9050#"/>
        <s v="FLO0029250"/>
        <s v="ACTIVE8002"/>
        <s v="MAC608Z3"/>
        <s v="FLGSHANTIA250"/>
        <s v="FLGSHANTIB250"/>
        <s v="ZONNKTS250"/>
        <s v="FLOFE6MN2250"/>
        <s v="GOLDMICRO7250"/>
        <s v="FLOATS02"/>
        <s v="GPGRCMN250"/>
        <s v="GOLDT&amp;O250"/>
        <s v="GPIRONPRO250"/>
        <s v="FLOU3200"/>
        <s v="FLO003702"/>
        <s v="NIT1512368250"/>
        <s v="MAC1900XI"/>
        <s v="MAC426YM"/>
        <s v="FLO810802"/>
        <s v="MAC426L"/>
        <s v="GPHUMIC05"/>
        <s v="FLOTURF250"/>
        <s v="GPBLACK+250"/>
        <s v="GPROOTSTIM02"/>
        <s v="GOLDT&amp;O02"/>
        <s v="GOLDMICRO700"/>
        <s v="GPGRC250"/>
        <s v="FLOTURF02"/>
        <s v="GV1836250"/>
        <s v="FLOU32250"/>
        <s v="GVAGSTIM02"/>
        <s v="GRO131161901"/>
        <s v="GRO13116190.5"/>
        <s v="SO4BORON"/>
        <s v="NPKACEK"/>
        <s v="AEFBERRYCR02"/>
        <s v="SOARCIT00"/>
        <s v="PHURYPHOS250"/>
        <s v="MAC527YM1"/>
        <s v="FLO712102"/>
        <s v="H2OHOT"/>
        <s v="FLO002930"/>
        <s v="ZON2500250"/>
        <s v="GVBIOOAK02"/>
        <s v="GPCARBFULL250"/>
        <s v="FLOFEHEAVY250"/>
        <s v="GRETF55"/>
        <s v="MAC028XV"/>
        <s v="GPNZONE"/>
        <s v="ZON180602"/>
        <s v="NPK0015"/>
        <s v="MAC804XS1"/>
        <s v="FLO0037250"/>
        <s v="GOLDVEG55"/>
        <s v="GPNG10250"/>
        <s v="GV1200602"/>
        <s v="GV183602"/>
        <s v="MAC909XS"/>
        <s v="MAC4012ZH"/>
        <s v="FLOTURF55"/>
        <s v="GOLD2315614250"/>
        <s v="GPNG1002"/>
        <s v="GPIRONPRO02"/>
        <s v="GROCA250"/>
        <s v="CEIACEC+250"/>
        <s v="NIT93927250"/>
        <s v="MAC528YM2"/>
        <s v="SYMALLUM"/>
        <s v="MAC406YB11"/>
        <s v="FLOFULVIC02"/>
        <s v="FLOMOLA30"/>
        <s v="GVGR8THIO250"/>
        <s v="MAC801YA"/>
        <s v="MAC3010ZR"/>
        <s v="GPGRCMN30"/>
        <s v="GPNG1030"/>
        <s v="GV1200655"/>
        <s v="MAC508YB3"/>
        <s v="GREFE250"/>
        <s v="FLOPHOS55"/>
        <s v="GRETF250"/>
        <s v="USCMICMIX55"/>
        <s v="ZON183630"/>
        <s v="FLGXTBOOST+250"/>
        <s v="MAC626YM8M"/>
        <s v="MAC3810W"/>
        <s v="ZON5003250"/>
        <s v="ZON500305"/>
        <s v="GROCAHA02"/>
        <s v="MAC927YM14"/>
        <s v="FLO1200630"/>
        <s v="GOLDVEG02"/>
        <s v="MAC408YB13"/>
        <s v="MAC528YM3"/>
        <s v="AGBASPOPC50#"/>
        <s v="AGBASCORN250#"/>
        <s v="GPCARBFULL02"/>
        <s v="GPBLACK+30"/>
        <s v="MAC1505Z"/>
        <s v="MAC10106L"/>
        <s v="EDTAK02"/>
        <s v="SOARMIC250"/>
        <s v="GRO2415759250"/>
        <s v="MAC627YM2"/>
        <s v="MAC507YF"/>
        <s v="MAC828YM1"/>
        <s v="FLO1500702"/>
        <s v="FLOFASST250"/>
        <s v="FLOFASST55"/>
        <s v="GPHUMIC55"/>
        <s v="GOLDBOR1055"/>
        <s v="ZONN3030"/>
        <s v="GOLD191428902"/>
        <s v="FLOMN1002"/>
        <s v="MAC3200"/>
        <s v="CEIABIO02"/>
        <s v="MAC727YM2M"/>
        <s v="FLO301130"/>
        <s v="GROMG6330"/>
        <s v="FLOHUMOL250"/>
        <s v="GOLDZN250"/>
        <s v="FLOATS30"/>
        <s v="GOLDMZ05"/>
        <s v="SORCA30"/>
        <s v="MAC609YB4"/>
        <s v="MAC5010YB"/>
        <s v="MAC634XH"/>
        <s v="GOLDCAMG02"/>
        <s v="MAC1608"/>
        <s v="GVCAL02"/>
        <s v="GPGRC02"/>
        <s v="GV12006250"/>
        <s v="MAC2800XJ"/>
        <s v="CEIAPTO02"/>
        <s v="GVGR8THIO02"/>
        <s v="MAC707G"/>
        <s v="GOLDMZF05"/>
        <s v="FLO1236+02"/>
        <s v="GRE06868102"/>
        <s v="CEIASOILMAX02"/>
        <s v="SOARPEA02"/>
        <s v="MAC309YF"/>
        <s v="FLOKTS00"/>
        <s v="JRM50102"/>
        <s v="JRMROOT02"/>
        <s v="JRMSEA02"/>
        <s v="GOLDPCS02"/>
        <s v="ZON5020ACE02"/>
        <s v="FLOFEHEAVY02"/>
        <s v="GOLD2415857250"/>
        <s v="FLOSHRUB02"/>
        <s v="JRMCALAM02"/>
        <s v="JRMKICK02"/>
        <s v="JRMKICK55"/>
        <s v="SO4CU"/>
        <s v="GOLDCAMG55"/>
        <s v="GREPOT55"/>
        <s v="SOAR7L55"/>
        <s v="SOARBLM55"/>
        <s v="SOARMIC55"/>
        <s v="FLO1236+55"/>
        <s v="TIGER9000#"/>
        <s v="FLO15001600"/>
        <s v="AGBAPMN250#"/>
        <s v="MAC426YM13"/>
        <s v="ZON93602"/>
        <s v="ZON936250"/>
        <s v="GPGRCMN00"/>
        <s v="GV183655"/>
        <s v="GPGRCMN55"/>
        <s v="CEIACEC+55"/>
        <s v="ZONNKTS00"/>
        <s v="JRMMICRO02"/>
        <s v="CEIAGREEN02"/>
        <s v="JRMFERRO02"/>
        <s v="JRMSUPERMN02"/>
        <s v="GPGRCMN02"/>
        <s v="FLO3181855"/>
        <s v="MAC628YZ"/>
        <s v="MAC727YM4"/>
        <s v="MAC1040YI"/>
        <s v="FLO003030"/>
        <s v="MAC528XG"/>
        <s v="MAC528YZ5"/>
        <s v="MAC528XE"/>
        <s v="MAC528YZ4"/>
        <s v="MAC885L"/>
        <s v="MAC727YZ1"/>
        <s v="JRMSPM02"/>
        <s v="GPCARBFULL55"/>
        <s v="CEIACEC+02"/>
        <s v="CEIAKARBUP02"/>
        <s v="GROPASP02"/>
        <s v="GVBIOOAK250"/>
        <s v="GOLD241585702"/>
        <s v="GRE221517402"/>
        <s v="FLO11100"/>
        <s v="FLO2416060250"/>
        <s v="CHEGLUCOGR50"/>
        <s v="NPKKSIO2HI"/>
        <s v="MAC527YZ1I"/>
        <s v="MAC707YB10M"/>
        <s v="MAC406XR"/>
        <s v="MAC229YM"/>
        <s v="MAC229YM1"/>
        <s v="JRM164802"/>
        <s v="GVCAL30"/>
        <s v="FLOTURF30"/>
        <s v="JRMFERRO30"/>
        <s v="FLOMG530"/>
        <s v="MAC507YB"/>
        <s v="PRO251615802"/>
        <s v="MAC507YB13"/>
        <s v="SO4ZNSTD"/>
        <s v="CEIAGREEN55"/>
        <s v="MAC4010YA1"/>
        <s v="GVAGSTIM30"/>
        <s v="PETRO1300"/>
        <s v="GRECU250"/>
        <s v="BGSLUMIN250"/>
        <s v="BGSPSY250"/>
        <s v="BIA0252002"/>
        <s v="BIA24016PLUS250"/>
        <s v="MAC426YE"/>
        <s v="MAC608YB17"/>
        <s v="MAC508YB2"/>
        <s v="MAC407YB1"/>
        <s v="MAC406YB1"/>
        <s v="GRO2516181250"/>
        <s v="FLOSEA250"/>
        <s v="FLGROOTTONIC250"/>
        <s v="REPACK250"/>
        <s v="GRO2114992250"/>
        <s v="FLO1137005"/>
        <s v="GRETF05"/>
        <s v="MAC808XS1"/>
        <s v="MAC2800YS"/>
        <s v="GOLDMN30"/>
        <s v="GOLDMG30"/>
        <s v="GRECORN250"/>
        <s v="GRPALGAE"/>
        <s v="GRO779250"/>
        <s v="GROMG63250"/>
        <s v="MAC608YB11"/>
        <s v="MAC5010B"/>
        <s v="MAC428XH"/>
        <s v="FLO601002"/>
        <s v="FLO6200250"/>
        <s v="FLITECOMP02"/>
        <s v="GROMZN02"/>
        <s v="GROZN250"/>
        <s v="MAC608ZK"/>
        <s v="FLO1500602"/>
        <s v="MAC1407B"/>
        <s v="MAC1055ZB1"/>
        <s v="GVGR8THIO55"/>
        <s v="MACMG"/>
        <s v="GOLDFE55"/>
        <s v="MAC628YM7"/>
        <s v="FLITEAQLITE250"/>
        <s v="GPIRONPRO55"/>
        <s v="GPGRC55"/>
        <s v="JRMMICRO55"/>
        <s v="ZON1201502"/>
        <s v="CEIAKARBN02"/>
        <s v="FLITEAQLITE02"/>
        <s v="FLITEBIO02"/>
        <s v="FLGXTBOOST+55"/>
        <s v="FLGROOTTONIC55"/>
        <s v="FLOPHOS8555"/>
        <s v="FLOPHOS85250"/>
        <s v="MAC029YU"/>
        <s v="MAC446XG"/>
        <s v="MILSOLU02"/>
        <s v="GOLDMICRO755"/>
        <s v="CEIAPTO55"/>
        <s v="ZON180655"/>
        <s v="FLITEBIO30"/>
        <s v="JRMMICRO250"/>
        <s v="MAC725YZ2I"/>
        <s v="MAC428YM1"/>
        <s v="PHYLO30"/>
        <s v="FLITEAQLITE00"/>
        <s v="FLO1500655"/>
      </sharedItems>
    </cacheField>
    <cacheField name="Item Description" numFmtId="0">
      <sharedItems count="518">
        <s v="Vented Manga Plex Plus"/>
        <s v="Green Master 12-0-0"/>
        <s v="Excel 0-0-25"/>
        <s v="Humic Soil Rebuilder"/>
        <s v="Neutra Soil"/>
        <s v="Vented Bio Plex"/>
        <s v="Ever-Green 15-0-10"/>
        <s v="Mega Feed 3-18-18"/>
        <s v="Quick Green"/>
        <s v="Mega Green Starter"/>
        <s v="Mega Mix Mg"/>
        <s v="Ultra Green 28-0-0"/>
        <s v="Beauti Green without Iron"/>
        <s v="8 Iron"/>
        <s v="Mega Mix Mn"/>
        <s v="Micro Plus"/>
        <s v="Micro Mix with Humic"/>
        <s v="Pro Long"/>
        <s v="Dyna Zone 18-0-6 w/ minors"/>
        <s v="Dyna Flo 11-37-0"/>
        <s v="Potassium Hydroxide KOH Dry 90%"/>
        <s v="Copper Count N"/>
        <s v="Dyna Flo 4-2-8YM8"/>
        <s v="Dyna Flo 5-2-8 YZ"/>
        <s v="Phosphoric Acid 75%"/>
        <s v="Dyna Flo 15-0-0 8% Cl"/>
        <s v="Detox"/>
        <s v="Repack: Sulfur Carb 30"/>
        <s v="Dyna Flo 0-0-30"/>
        <s v="Soar Bloom Spray"/>
        <s v="Dyna Gold MZF"/>
        <s v="Soar Citrus Mix"/>
        <s v="Vented Dyna Flo Humic 15%"/>
        <s v="Dyna Phos"/>
        <s v="Dyna Zone 18-0-9"/>
        <s v="Soar Micronutrient Mix"/>
        <s v="Soar Potato"/>
        <s v="Vented pHury"/>
        <s v="Dyna Flo 9-2-7YM3"/>
        <s v="Dyna Flo 6-2-6YM"/>
        <s v="Dyna Flo 2-5-10 XD"/>
        <s v="Dyna Flo 6-2-6YM11"/>
        <s v="Dyna Flo 4-2-5YM"/>
        <s v="Dyna Flo 5-2-8YM1"/>
        <s v="Dyna Flo 8-2-8YM5"/>
        <s v="Dyna Flo 4-2-9YM"/>
        <s v="Dyna Flo 9-2-7YM1"/>
        <s v="Dyna Flo 10-4-6 YM"/>
        <s v="Dyna Flo 6-0-8 YB5"/>
        <s v="Dyna Flo 6-2-8YM8M w/Merge"/>
        <s v="Dyna Flo 7-3-7 YM"/>
        <s v="Dyna Flo 6-2-8YM8"/>
        <s v="Dyna Flo 6-2-8YZ1"/>
        <s v="Dyna Flo 5-2-3 YP1"/>
        <s v="Dyna Flo 15-0-0 with Minors"/>
        <s v="Dyna Flo 7-3-4XH"/>
        <s v="Dyna Flo 9-2-7YM5 w/Merge"/>
        <s v="Dyna Flo 4-2-6YM2"/>
        <s v="Dyna Flo 7-0-7YB13"/>
        <s v="pHury Phos"/>
        <s v="Dyna Flo 5-2-7YM18"/>
        <s v="Dyna Flo 7-2-7YM3"/>
        <s v="Dyna Flo 7-2-7YM15"/>
        <s v="Omega Grow Fish Emulsion Protein 5-1-1"/>
        <s v="Dyna Flo 6-2-8YM19"/>
        <s v="Dyna Flo 6-4-6 YM"/>
        <s v="Dyna Flo 6-0-8YB1"/>
        <s v="Dyna Flo 3-18-18"/>
        <s v="Dyna Flo 9-3-6XU1"/>
        <s v="Dyna Zone 18-3-6"/>
        <s v="Dyna Flo 8-4-8 H"/>
        <s v="Dyna Cal 10.25%"/>
        <s v="Dyna Gold Calcium 8.25%"/>
        <s v="Dyna Gold Cal-N-B"/>
        <s v="Dyna Gold Magnesium 4%"/>
        <s v="Dyna Gold Manganese 5%"/>
        <s v="Dyna Zone N28"/>
        <s v="Vented Dyna Flo 5-15-1"/>
        <s v="Vented Dyna Gold Vegetable Mix"/>
        <s v="Agri Plex Boron 10%"/>
        <s v="Dyna Flo  0-0-25 17"/>
        <s v="Awaken 16-0-2"/>
        <s v="Beauti Green"/>
        <s v="Green Magic"/>
        <s v="K Green"/>
        <s v="Repack: Carbotein"/>
        <s v="Repack: Penterra"/>
        <s v="Dynasurf"/>
        <s v="Dyna Boron 10%"/>
        <s v="Glucoheptonate GR-50 NVM consignment CDI in 250"/>
        <s v="pHylo"/>
        <s v="Dyna Gold 6-0-6 w Minors"/>
        <s v="Yeti Tracks"/>
        <s v="Dyna Flo 6-2-8YM5 w/integrate 80"/>
        <s v="Citra Guard XP"/>
        <s v="Dyna Flo 4-2-9 L"/>
        <s v="Dyna Flo 5-2-7YM21M w/Merge"/>
        <s v="Dyna Flo Calcium Thiosulfate"/>
        <s v="Dyna Gold Zinc 7%"/>
        <s v="Dyna Flo  3-0-6"/>
        <s v="Dyna Flo Ammonium Thiosulfate"/>
        <s v="Dyna Flo 7-2-7YM5"/>
        <s v="Dyna Flo 4-0-6YB12"/>
        <s v="Dyna Gro Calcium 11%"/>
        <s v="Dyna Flo 3-2-7YY"/>
        <s v="Repack: Dyna Flo 3-2-7YY"/>
        <s v="Vented Dyna Flo 32-0-0"/>
        <s v="Dyna Flo 3-2-9YM2"/>
        <s v="Dyna Flo Quik Start 8-31-3"/>
        <s v="Dyna Flo Molasses"/>
        <s v="Vented Dyna Flo 12-0-0 6Fe"/>
        <s v="Dyna Gold Iron 5%"/>
        <s v="Sodium Glucoheptonate"/>
        <s v="Dyna Flo 8-4-5 YX"/>
        <s v="Dyna Flo 3-4-10 W"/>
        <s v="Citric Acid"/>
        <s v="Dyna Berry"/>
        <s v="Thrive 8-21-6"/>
        <s v="Glucoheptonate GR-50 NVM"/>
        <s v="Instant Green +"/>
        <s v="Agro Thrive LFK 3-3-5 Consignment"/>
        <s v="Citra Guard XP without Copper"/>
        <s v="Dyna Green Manganese 5%"/>
        <s v="pHury w/Magnesium"/>
        <s v="Vented Cammo"/>
        <s v="pHury w/Iron"/>
        <s v="Dyna Flo 5-0-8 YF"/>
        <s v="Dyna Flo 6-0-8 YB19"/>
        <s v="Dyna Gro Magnesium 6.3%"/>
        <s v="Dyna Flo 5-0-8 YF1"/>
        <s v="Dyna Flo 9-0-7YB8"/>
        <s v="Dyna Gold Calcium 8.25%il/Grizzly Fortitude/Green CaLite/Turf Cal 8.25"/>
        <s v="Dyna Flo 5-2-9YM"/>
        <s v="Repack: Dyna Flo 3-2-7 YY"/>
        <s v="Dyna Flo 4-0-6YB13"/>
        <s v="Dyna Flo 6-0-8YF"/>
        <s v="Dyna Flo 7-0-7YB11"/>
        <s v="Dyna Flo 6-2-8YM"/>
        <s v="Dyna Green Homestead Mix"/>
        <s v="Dyna Green Potato Mix"/>
        <s v="Kick in the Grass"/>
        <s v="Dyna Flo 8-2-8 with Minors"/>
        <s v="Nutrient Biofilter 8-2-8"/>
        <s v="Trainer Amino Acids 5-0-0"/>
        <s v="Morwet D-425 43%"/>
        <s v="Dyna Flo 0-0-29 Potassium Acetate"/>
        <s v="Grizzly KODIAK"/>
        <s v="Dyna Flo Fas-Start 5-31-3"/>
        <s v="Dyna Gold Nickel Plus"/>
        <s v="pHury"/>
        <s v="Dyna Zone 5-0-20"/>
        <s v="Dyna Flo 5-4-4 L1"/>
        <s v="Dyna Flo 4-0-7 ZK"/>
        <s v="Dyna Green Organics Manganese 5%"/>
        <s v="Dyna Flo 4-0-7YA2"/>
        <s v="Dyna Flo 4-0-6YB2"/>
        <s v="Soar AP"/>
        <s v="Dyna Zone 5-0-0 w/3.33Mg"/>
        <s v="Dyna Flo 12-0-0 6Fe"/>
        <s v="Repack: Dyna Gold Mg 4%"/>
        <s v="Ironman +02"/>
        <s v="Turf Cal 8.25"/>
        <s v="Dyna Gro Zinc 17%"/>
        <s v="Dyna Flo 7-2-7YM21"/>
        <s v="Dyna Flo 3-9-6 H"/>
        <s v="Agri Plex Zinc 10%"/>
        <s v="Mega  Feed 3-18-18"/>
        <s v="Carbotein 6-2-5"/>
        <s v="Sodium Glucoheptonate / GR-50 NVM purchased by CDI in 250's"/>
        <s v="Dyna Gro Copper"/>
        <s v="Dyna Flo 4-2-8YM5 w/int 80"/>
        <s v="Dyna Gold MZ"/>
        <s v="Dyna Gro Citrite 779"/>
        <s v="Dyna Green Manganese 5% Organic"/>
        <s v="Dyna Gro Manganese 15%"/>
        <s v="Dyna Gold Nut 2014533"/>
        <s v="Dyna Flo 5-4-4 L2"/>
        <s v="Dyna Flo 6-2-8YM6"/>
        <s v="Dyna Flo 5-0-7 ZK"/>
        <s v="Dyna Flo 9-3-6XU"/>
        <s v="Dyna Flo 5-0-8 ZK"/>
        <s v="Dyna Flo 4-0-6YB10"/>
        <s v="Safety Iron Plus"/>
        <s v="Dyna Flo 8-0-8Z1"/>
        <s v="Dyna Flo 10-5-5 xg"/>
        <s v="Dyna Zone N30"/>
        <s v="Dyna Flo 6-2-8YM12"/>
        <s v="Dyna Flo K-Sil 0-2-12 w/ silicates"/>
        <s v="Agri Starter Corn Mix"/>
        <s v="Agri Starter Orangeburg Mix"/>
        <s v="Agri Starter Zinc 10%"/>
        <s v="LINK"/>
        <s v="Dyna Flo Mn 10%"/>
        <s v="Dyna Gold CB Mix"/>
        <s v="Agri Starter Manganese 5%"/>
        <s v="Agri Starter Carolina Mix"/>
        <s v="Prevent"/>
        <s v="Head Start 10-34-0"/>
        <s v="Mega  Mix Mn"/>
        <s v="Dyna Flo 9-3-9 L"/>
        <s v="Ammonium Poly Phosphate 11-37-0"/>
        <s v="Sodium Glucoheptonate / GR-50 NVM purchased by CDI"/>
        <s v="Dyna Flo 7-2-7YM22"/>
        <s v="Dyna Flo 16-4-8"/>
        <s v="Dyna Flo 9-2-7YM13"/>
        <s v="Dyna Flo 6-0-8YA4"/>
        <s v="Dyna Flo 4-0-8YB"/>
        <s v="Dyna Flo 5-4-8 YM"/>
        <s v="Dyna Flo Potassium Nitrate Solution"/>
        <s v="Dyna Flo 9-2-7YM10"/>
        <s v="Dyna Flo 5-2-5YP11 w Merge"/>
        <s v="Dyna Flo 7-2-7YM2"/>
        <s v="Dyna Flo 8-0-8YK1"/>
        <s v="Jungle Juice"/>
        <s v="Dyna Pro Zinc EDTA 9%"/>
        <s v="Dyna Gold Fern Mix"/>
        <s v="Dyna Flo 8-0-8YB3"/>
        <s v="Dyna Flo 3-0-10YF"/>
        <s v="Dyna Flo 5-0-7YA8 with Citra Guard"/>
        <s v="Dyna Flo 8-0-5 YF"/>
        <s v="Zinc Nitro"/>
        <s v="Top Side Liquid Boron"/>
        <s v="BlackStrap Plus"/>
        <s v="Agri Plex Manganese 5%"/>
        <s v="Dyna Gold Hi-Cal"/>
        <s v="Dyna Gro Magnesium 6%"/>
        <s v="Cal 8 Plus"/>
        <s v="K-29 Foliar Potassium"/>
        <s v="pHylo Plus"/>
        <s v="Dyna Flo Fe 6%"/>
        <s v="FreightKar"/>
        <s v="Nutrient Biofilter"/>
        <s v="Dyna Flo 5-1-10 YR"/>
        <s v="Dyna Flo 7-2-7YR5"/>
        <s v="Vented Oxygen Therapy"/>
        <s v="T-MULZ FCO IGA Emulsifier"/>
        <s v="Dyna Flo 7-2-7YM7"/>
        <s v="Dyna Flo 7-0-9YK3"/>
        <s v="Dyna Flo 6-2-8YM1"/>
        <s v="Dyna Flo 9-0-7XK1"/>
        <s v="Dyna Flo 6-0-9 XK"/>
        <s v="Dyna Flo 8-0-8 XK"/>
        <s v="Dyna Flo 5-0-10YB5"/>
        <s v="Dyna Zone 15-0-10"/>
        <s v="Threshold Quick Boost 8-24-6"/>
        <s v="Urea Ammonium Nitrate 32%"/>
        <s v="Repack: True Solum"/>
        <s v="Dyna Flo Fe 6% Plus"/>
        <s v="Dyna Flo 9-0-7YB7"/>
        <s v="Dyna Flo 7-0-7YB9"/>
        <s v="Dyna Flo 9-2-9 XF"/>
        <s v="Ironman II"/>
        <s v="Tech Line Magnesium"/>
        <s v="Dyna Flo Starter 8-24-8"/>
        <s v="Dyna Flo 9-2-9 XH"/>
        <s v="Cal Bee"/>
        <s v="Vented Agri Hep All Purpose 22221"/>
        <s v="Threshold NB 107"/>
        <s v="Agri Plex Magnesium 4%"/>
        <s v="Grizzly Iron"/>
        <s v="Grizzly Nitro N-30"/>
        <s v="Dyna Gold Nutritional 1311515"/>
        <s v="Dyna Zone 14-4-10 Tree and Shrub"/>
        <s v="Nitro Gold Nutr #1110243"/>
        <s v="Dyna Zyme"/>
        <s v="Shrub Complete"/>
        <s v="Energy"/>
        <s v="Micro 7"/>
        <s v="Rhino Drive"/>
        <s v="Dyna Gold 0-0-6 w Minors"/>
        <s v="Dyna Flo 9-3-6 with Minors"/>
        <s v="Waterfall with Yeti Trax"/>
        <s v="Dyna Flo 7-2-7 XH"/>
        <s v="Tiger 90 Sulfur 50 LB Bag"/>
        <s v="Active 80"/>
        <s v="Dyna Flo 6-0-8Z3"/>
        <s v="Jungle Juice 5-15-1"/>
        <s v="Shanti A"/>
        <s v="Shanti B"/>
        <s v="N-KTS 2:1 18-0-7"/>
        <s v="Iron Life"/>
        <s v="Green Complete Mn"/>
        <s v="T&amp;O Max"/>
        <s v="Iron Pro 6 Plex"/>
        <s v="Dyna Flo 32-0-0"/>
        <s v="Dyna Flo 0-0-37"/>
        <s v="Nitro Gold Nutritional 1512368"/>
        <s v="Dyna Gold Calcium"/>
        <s v="Dyna Flo 19-0-0"/>
        <s v="Dyna Flo 4-2-6YM"/>
        <s v="Dyna Flo 8-10-8"/>
        <s v="Dyna Flo 4-2-6Y L"/>
        <s v="Dyna Flo 15-0-0-6 Foliar Turf Nutritional"/>
        <s v="Bay Cane"/>
        <s v="Energy+"/>
        <s v="Cal Nite"/>
        <s v="RootStim"/>
        <s v="Green Complete"/>
        <s v="18-3-6 50% Slow Release, no minors"/>
        <s v="Bay Cane Molasses"/>
        <s v="UAN 32-0-0"/>
        <s v="3-18-18"/>
        <s v="Agrastim"/>
        <s v="Boron"/>
        <s v="Potassium Acetate 0-0-29"/>
        <s v="BerryCare"/>
        <s v="Repack: Soil Plex"/>
        <s v="Repack: Vented/White Carbotein 6-2-5"/>
        <s v="Dyna Flo 5-2-7YM1"/>
        <s v="Dyna Flo 7-12-1"/>
        <s v="Hot Water"/>
        <s v="25-0-0"/>
        <s v="Bio OAK"/>
        <s v="Carbon Full"/>
        <s v="Iron Heavy"/>
        <s v="Soar Micronutrient"/>
        <s v="Dyna Flo 0-2-8 XV"/>
        <s v="N Zone"/>
        <s v="KCL Solution 0-0-15.5"/>
        <s v="Dyna Flo 8-0-4 XS1"/>
        <s v="NG 10"/>
        <s v="12-0-0 6 Fe Plus Foliar Turf Nutritional"/>
        <s v="Ace 29"/>
        <s v="Dyna Flo 9-0-9"/>
        <s v="Dyna Flo 4-0-12"/>
        <s v="15-0-0-6 Foliar Turf Nutritional"/>
        <s v="3-0-6Fe, 1Mn"/>
        <s v="CEC+Soil Builder"/>
        <s v="Nitro Gold Premix 93927"/>
        <s v="Dyna Flo 5-2-8YM2"/>
        <s v="Alluma"/>
        <s v="Dyna Flo 4-0-6YB11"/>
        <s v="Dyna Flo Fulvic Acid Liquid 30%"/>
        <s v="Dyna Green TF"/>
        <s v="Gr8 Thio"/>
        <s v="Dyna Flo 8-0-1 YA"/>
        <s v="9-0-9 Fertigation Nutrient"/>
        <s v="K-Nite 3-0-10"/>
        <s v="3-0-6 3Fe, 1MN"/>
        <s v="Dyna Flo 5-0-8YB3"/>
        <s v="Dyna Green Iron 5%"/>
        <s v="Xtreme Boost Plus"/>
        <s v="Dyna Flo 6-2-6YM8M +Merge"/>
        <s v="Dyna Flo 3-8-10 W"/>
        <s v="Dyna Gro Calcium with Humic"/>
        <s v="Dyna Flo 9-2-7YM14"/>
        <s v="Dyna Gro Nut # 1713036 / Citra Guard XP without Copper / Micro Guard"/>
        <s v="Dyna Flo 4-0-8YB13"/>
        <s v="Dyna Flo 5-2-8YM3"/>
        <s v="Agri Starter Pop Up for Corn"/>
        <s v="Dyna Flo 15-0-5"/>
        <s v="Repack: Freigtkar"/>
        <s v="Dyna Flo 10-10-6 L"/>
        <s v="Repack: N Sure"/>
        <s v="Tetrapotassium EDTA"/>
        <s v="Dyna Gro 2515759 (off spec Citra Guard XP)"/>
        <s v="Dyna Flo 6-2-7 YM2"/>
        <s v="Dyna Flo 5-0-7 YF"/>
        <s v="Dyna Flo 8-2-8YM1"/>
        <s v="Dyna Flo 15-0-0 7Ca"/>
        <s v="Recover-It"/>
        <s v="Vented Dyna Flo Humic 18%"/>
        <s v="Ceia Bio Push"/>
        <s v="Dyna Flo 7-2-7YM2M w/Merge"/>
        <s v="Dyna Flo Humic Molasses"/>
        <s v="Xtreme Brix"/>
        <s v="Dyna Flo 6-0-9YB4"/>
        <s v="Dyna Flo 5-0-10YB"/>
        <s v="Dyna Flo 6-3-4XH"/>
        <s v="Dyna Gold Calcium-Magnesium"/>
        <s v="Pro-B 10"/>
        <s v="Dyna Flo Humic 18%"/>
        <s v="Dyna Flo 16-0-8"/>
        <s v="Cal Complex"/>
        <s v="N30"/>
        <s v="Ceia Soil Builder CEC+"/>
        <s v="Cal Complete"/>
        <s v="Dyna Flo 28-0-0 XJ"/>
        <s v="Ceia PTO Palm, Tropical and Ornamental"/>
        <s v="Excel"/>
        <s v="Dyna Flo 7-0-7G"/>
        <s v="Soar Citrus Mix / Soar Pecan"/>
        <s v="Vented Dyna Flo 12-3-6 Plus"/>
        <s v="Hi Manganese Iron Combo #068681"/>
        <s v="Ceia Soil Builder Max"/>
        <s v="Soar Peanut"/>
        <s v="Dyna Flo 3-0-9YF"/>
        <s v="Cal-Nite 9-0-0"/>
        <s v="JRM Boost 5-0-1"/>
        <s v="JRM Root Push 3-12-1"/>
        <s v="JRM Sea Feed"/>
        <s v="JRM Carolina Gold"/>
        <s v="JRM Double K"/>
        <s v="JRM Heavy Iron"/>
        <s v="JRM Mg Nite"/>
        <s v="Dyna Gold Nut 2415857"/>
        <s v="3-18-18 Liquid Foliar (GV)"/>
        <s v="KTS 0-0-25-17S"/>
        <s v="N30 30-0-0 60% SRN"/>
        <s v="Dyna Flo 5-15-1"/>
        <s v="JRM Triad 30"/>
        <s v="JRM Ace 0-0-25"/>
        <s v="JRM Cal Amino 6-0-0 8Ca"/>
        <s v="JRM Kick 18-3-6 50% Slow Release"/>
        <s v="Dyna Flo 32-0-0  (straight U32)"/>
        <s v="Copper Sulphate 25.2%"/>
        <s v="LiquiLizer Calcium 11%"/>
        <s v="LiquiLizer Potato Mix"/>
        <s v="Tiger 90 Sulfur  Bulk"/>
        <s v="Dyna Gold Ca 8.25%"/>
        <s v="N-28"/>
        <s v="GV KTS"/>
        <s v="N28"/>
        <s v="Neutralizer -- Squat Jugs"/>
        <s v="Coconut Water"/>
        <s v="Mudslide"/>
        <s v="Dyna Flo 4-2-6YM13"/>
        <s v="JRM Humic XV"/>
        <s v="Dyna Zone 9-3-6 with Minors"/>
        <s v="GV UAN"/>
        <s v="JRM Cal Nite"/>
        <s v="JRM Micro Complete"/>
        <s v="Repack: FreightKar"/>
        <s v="Ceia Green Up 15-0-0"/>
        <s v="JRM FerroMan"/>
        <s v="JRM Super Mn"/>
        <s v="Dyna Flo 6-2-8YZ w Humic Acid"/>
        <s v="Dyna Flo 7-2-7YM4"/>
        <s v="Dyna Flo 10-4-0 YI"/>
        <s v="Dyna Flo 5-2-8 XG"/>
        <s v="Dyna Flo 5-2-8 YZ5"/>
        <s v="Dyna Flo 5-2-8 XE"/>
        <s v="Dyna Flo 5-2-8 YZ4"/>
        <s v="Dyna Flo 8-8-5L"/>
        <s v="Dyna Flo 7-2-7YZ1"/>
        <s v="JRM Liquid SPM"/>
        <s v="Ceia Karb Up"/>
        <s v="Dyna Gro Paspalum Mix"/>
        <s v="Repack: N-Sure"/>
        <s v="Grizzly Palm Mix"/>
        <s v="Dyna Flo 1-1-1"/>
        <s v="Dyna Flo Nut 2416060"/>
        <s v="GV Ace 29"/>
        <s v="Cal Nite 9-0-0 11%"/>
        <s v="Consignment Sodium Glucoheptonate /GR-50 NVM"/>
        <s v="Potassium Silicate 0-0-12"/>
        <s v="Dyna Flo 5-2-7 YZ1I with Integrate 80"/>
        <s v="Dyna Flo 7-0-7YB10M w/Merge"/>
        <s v="Dyna Flo 4-0-6 XR"/>
        <s v="Dyna Flo 2.4-2-9YM"/>
        <s v="Dyna Flo 2.8-2-9YM1"/>
        <s v="JRM Active Bio 16-4-8"/>
        <s v="GV N30"/>
        <s v="JRM Mn Nite"/>
        <s v="Repack: N-pHuric"/>
        <s v="Dyna Flo Mg 5%"/>
        <s v="Dyna Flo 5-0-7YB"/>
        <s v="Dyna Pro Nutritional 2516158"/>
        <s v="Dyna Flo 5-0-7YB13"/>
        <s v="Zinc Sulphate 35.5%"/>
        <s v="Dyna Flo 4-0-10YA"/>
        <s v="5-0-20 13S"/>
        <s v="Petro-Canada Spray Oil 13"/>
        <s v="Dyna Green Copper 5%"/>
        <s v="BioGene Luminous"/>
        <s v="BioGene Psy-Op"/>
        <s v="Nutri Phite Fungi-Phite"/>
        <s v="Nutri Phite Plus Magnum Plus 2-40-16"/>
        <s v="Dyna Flo 4-2-6YE"/>
        <s v="Dyna Flo 6-0-8 YB17"/>
        <s v="Dyna Flo 5-0-8YB2"/>
        <s v="Dyna Flo 4-0-7YB1"/>
        <s v="Dyna Flo 4-0-6YB1"/>
        <s v="Dyna Gro Nutritional 2516181"/>
        <s v="Bio OAK/Root Driver"/>
        <s v="Dyna Flo Seaweed"/>
        <s v="Root Tonic"/>
        <s v="Repack: Fungi-Phite"/>
        <s v="Dyna Gro Nut 2114992"/>
        <s v="JRM Super 8 Mn"/>
        <s v="Dyna Flo 8-0-8 XS1"/>
        <s v="Dyna Flo 28-0-0 5%S"/>
        <s v="Dyna Green Corn Mix"/>
        <s v="OceanGlas"/>
        <s v="Repack: FulviX"/>
        <s v="Dyna Flo 6-0-8YB11"/>
        <s v="Dyna Flo 5-0-10B"/>
        <s v="Dyna Flo 4-2-8  XH"/>
        <s v="Dyna Flo 6-0-10 Palm Mix"/>
        <s v="Dyna Green Potato Mix / LiquiLizer Potato Mix"/>
        <s v="Dyna Flo 6-20-0"/>
        <s v="Flite Flow Complete"/>
        <s v="Dyna Gro MZN"/>
        <s v="Dyna Flo 6-0-8 ZK"/>
        <s v="Vented Dyna Flo 15-0-0 6Fe"/>
        <s v="Dyna Flo 14-0-7 B"/>
        <s v="Dyna Flo 10-5-5 ZB1"/>
        <s v="GV 5-0-20-13S Liquid Turf Nutritional"/>
        <s v="Mag-Nite"/>
        <s v="Dyna Gold Peanut"/>
        <s v="Dyna Flo 6-2-8YM7"/>
        <s v="Soar Pecan"/>
        <s v="Flite Aqua Lite"/>
        <s v="GV -0-20-13S Liquid Turf Nutritional"/>
        <s v="Sodium Glucoheptonate /GR-50 NVM"/>
        <s v="ZoneAce 12-0-15"/>
        <s v="Ceia KarbN"/>
        <s v="Flite Aqua Bio"/>
        <s v="Phosphoric Acid 85%"/>
        <s v="Dyna Flo 0-2-9 YU"/>
        <s v="Dyna Flo 4-4-6 XG"/>
        <s v="MicroSul 40S"/>
        <s v="Iron Heavy 8% Fe"/>
        <s v="N30 30-0-0 60%"/>
        <s v="N28-0-0 60%"/>
        <s v="Cal-Nite 9-0-0 11% Ca"/>
        <s v="Dyna Flo 7-2-5 YZ2I with Integrate 80"/>
        <s v="Dyna Flo 4-2-8YM1"/>
      </sharedItems>
    </cacheField>
    <cacheField name="U Of M" numFmtId="0">
      <sharedItems count="134">
        <s v="GAL11.90"/>
        <s v="GAL11.80"/>
        <s v="GAL12.24"/>
        <s v="GAL09.65"/>
        <s v="GAL11.60"/>
        <s v="GAL09.70"/>
        <s v="GAL10.95"/>
        <s v="GAL11.72"/>
        <s v="GAL11.05"/>
        <s v="GAL11.70"/>
        <s v="GAL11.24"/>
        <s v="GAL10.63"/>
        <s v="GAL09.42"/>
        <s v="GAL11.30"/>
        <s v="GAL13.12"/>
        <s v="GAL09.40"/>
        <s v="GAL10.35"/>
        <s v="GAL10.65"/>
        <s v="GAL10.37"/>
        <s v="GAL11.98"/>
        <s v="LBS"/>
        <s v="GAL09.68"/>
        <s v="TON"/>
        <s v="GAL09.75"/>
        <s v="GAL10.61"/>
        <s v="GALLON"/>
        <s v="GAL10.80"/>
        <s v="GAL11.20"/>
        <s v="GAL13.15"/>
        <s v="GAL11.35"/>
        <s v="GAL12.64"/>
        <s v="GAL09.38"/>
        <s v="GAL12.95"/>
        <s v="GAL09.50"/>
        <s v="GAL12.00"/>
        <s v="GAL10.10"/>
        <s v="GAL10.90"/>
        <s v="GAL12.20"/>
        <s v="GAL09.55"/>
        <s v="GAL10.40"/>
        <s v="GAL09.07"/>
        <s v="GAL12.66"/>
        <s v="GAL11.12"/>
        <s v="GAL12.23"/>
        <s v="GAL11.65"/>
        <s v="GAL11.55"/>
        <s v="GAL10.70"/>
        <s v="GAL10.52"/>
        <s v="GAL11.33"/>
        <s v="GAL10.30"/>
        <s v="GAL09.81"/>
        <s v="GAL12.31"/>
        <s v="GAL12.40"/>
        <s v="GAL10.50"/>
        <s v="GAL10.05"/>
        <s v="GAL09.88"/>
        <s v="GAL11.10"/>
        <s v="GAL11.75"/>
        <s v="GAL10.23"/>
        <s v="GAL10.20"/>
        <s v="GAL13.25"/>
        <s v="GAL12.30"/>
        <s v="GAL11.37"/>
        <s v="GAL10.45"/>
        <s v="GAL09.95"/>
        <s v="GAL11.15"/>
        <s v="GAL09.72"/>
        <s v="GAL11.00"/>
        <s v="GAL11.02"/>
        <s v="GAL10.15"/>
        <s v="GAL10.67"/>
        <s v="GAL11.40"/>
        <s v="GAL09.90"/>
        <s v="GAL09.85"/>
        <s v="GAL09.43"/>
        <s v="GAL08.60"/>
        <s v="GAL10.38"/>
        <s v="GAL10.55"/>
        <s v="GAL12.15"/>
        <s v="GAL09.91"/>
        <s v="GAL10.16"/>
        <s v="GAL09.79"/>
        <s v="GAL09.05"/>
        <s v="Gal08.45"/>
        <s v="GAL10.06"/>
        <s v="GAL09.37"/>
        <s v="GAL10.47"/>
        <s v="GAL11.07"/>
        <s v="GAL10.31"/>
        <s v="GAL12.16"/>
        <s v="GAL09.17"/>
        <s v="GAL10.74"/>
        <s v="GAL08.86"/>
        <s v="GAL09.56"/>
        <s v="GAL09.87"/>
        <s v="GAL10.59"/>
        <s v="GAL11.52"/>
        <s v="GAL11.03"/>
        <s v="GAL09.29"/>
        <s v="GAL07.10"/>
        <s v="GAL11.77"/>
        <s v="GAL08.65"/>
        <s v="GAL10.82"/>
        <s v="GAL10.13"/>
        <s v="GAL11.91"/>
        <s v="GAL10.72"/>
        <s v="GAL11.25"/>
        <s v="GAL11.41"/>
        <s v="GAL10.32"/>
        <s v="GAL10.03"/>
        <s v="GAL09.83"/>
        <s v="GAL10.60"/>
        <s v="GAL10.93"/>
        <s v="GAL08.77"/>
        <s v="GAL09.78"/>
        <s v="GAL11.09"/>
        <s v="GAL09.98"/>
        <s v="GAL10.44"/>
        <s v="GAL10.62"/>
        <s v="GAL10.01"/>
        <s v="GAL10.00"/>
        <s v="GAL10.11"/>
        <s v="GAL10.87"/>
        <s v="GAL09.80"/>
        <s v="GAL10.07"/>
        <s v="GAL11.57"/>
        <s v="Gal13.10"/>
        <s v="GAL08.48"/>
        <s v="GAL12.07"/>
        <s v="GAL08.61"/>
        <s v="GAL10.56"/>
        <s v="GAL10.46"/>
        <s v="GAL09.15"/>
        <s v="GAL14.07"/>
      </sharedItems>
    </cacheField>
    <cacheField name="Macro / Micro" numFmtId="0">
      <sharedItems count="3">
        <s v="GAL"/>
        <s v="LBS"/>
        <s v="TON"/>
      </sharedItems>
    </cacheField>
    <cacheField name="QTY" numFmtId="0">
      <sharedItems containsSemiMixedTypes="0" containsString="0" containsNumber="1" minValue="-500" maxValue="588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83">
  <r>
    <s v="HAP"/>
    <s v="01"/>
    <s v="GREENWAY"/>
    <s v="WINDSOR POLO"/>
    <x v="0"/>
    <x v="0"/>
    <x v="0"/>
    <s v="Invoice"/>
    <s v="95927"/>
    <x v="0"/>
    <x v="0"/>
    <x v="0"/>
    <x v="0"/>
    <n v="55"/>
  </r>
  <r>
    <s v="HAP"/>
    <s v="01"/>
    <s v="GREENWAY"/>
    <s v="LAWN HARMONY"/>
    <x v="1"/>
    <x v="0"/>
    <x v="0"/>
    <s v="Invoice"/>
    <s v="95929"/>
    <x v="1"/>
    <x v="1"/>
    <x v="1"/>
    <x v="0"/>
    <n v="110"/>
  </r>
  <r>
    <s v="HAP"/>
    <s v="01"/>
    <s v="GREENWAY"/>
    <s v="COUNTRY CLUB"/>
    <x v="1"/>
    <x v="0"/>
    <x v="0"/>
    <s v="Invoice"/>
    <s v="95930"/>
    <x v="2"/>
    <x v="0"/>
    <x v="0"/>
    <x v="0"/>
    <n v="30"/>
  </r>
  <r>
    <s v="HAP"/>
    <s v="01"/>
    <s v="GREENWAY"/>
    <s v="THECLUBSHOUSTON"/>
    <x v="1"/>
    <x v="0"/>
    <x v="0"/>
    <s v="Invoice"/>
    <s v="95931"/>
    <x v="3"/>
    <x v="2"/>
    <x v="2"/>
    <x v="0"/>
    <n v="40"/>
  </r>
  <r>
    <s v="HAP"/>
    <s v="01"/>
    <s v="GREENWAY"/>
    <s v="THECLUBSHOUSTON"/>
    <x v="1"/>
    <x v="0"/>
    <x v="0"/>
    <s v="Invoice"/>
    <s v="95931"/>
    <x v="4"/>
    <x v="3"/>
    <x v="3"/>
    <x v="0"/>
    <n v="40"/>
  </r>
  <r>
    <s v="HAP"/>
    <s v="01"/>
    <s v="GREENWAY"/>
    <s v="THECLUBSHOUSTON"/>
    <x v="1"/>
    <x v="0"/>
    <x v="0"/>
    <s v="Invoice"/>
    <s v="95931"/>
    <x v="5"/>
    <x v="4"/>
    <x v="4"/>
    <x v="0"/>
    <n v="40"/>
  </r>
  <r>
    <s v="HAP"/>
    <s v="01"/>
    <s v="GREENWAY"/>
    <s v="THECLUBSHOUSTON"/>
    <x v="1"/>
    <x v="0"/>
    <x v="0"/>
    <s v="Invoice"/>
    <s v="95931"/>
    <x v="6"/>
    <x v="5"/>
    <x v="5"/>
    <x v="0"/>
    <n v="40"/>
  </r>
  <r>
    <s v="HAP"/>
    <s v="01"/>
    <s v="GREENWAY"/>
    <s v="THECLUBSHOUSTON"/>
    <x v="1"/>
    <x v="0"/>
    <x v="0"/>
    <s v="Invoice"/>
    <s v="95931"/>
    <x v="2"/>
    <x v="0"/>
    <x v="0"/>
    <x v="0"/>
    <n v="40"/>
  </r>
  <r>
    <s v="HAP"/>
    <s v="01"/>
    <s v="GREENWAY"/>
    <s v="INDIAN RIVER CL"/>
    <x v="2"/>
    <x v="0"/>
    <x v="0"/>
    <s v="Invoice"/>
    <s v="95939"/>
    <x v="7"/>
    <x v="6"/>
    <x v="6"/>
    <x v="0"/>
    <n v="20"/>
  </r>
  <r>
    <s v="HAP"/>
    <s v="01"/>
    <s v="GREENWAY"/>
    <s v="INDIAN RIVER CL"/>
    <x v="2"/>
    <x v="0"/>
    <x v="0"/>
    <s v="Invoice"/>
    <s v="95939"/>
    <x v="3"/>
    <x v="2"/>
    <x v="2"/>
    <x v="0"/>
    <n v="20"/>
  </r>
  <r>
    <s v="HAP"/>
    <s v="01"/>
    <s v="GREENWAY"/>
    <s v="INDIAN RIVER CL"/>
    <x v="2"/>
    <x v="0"/>
    <x v="0"/>
    <s v="Invoice"/>
    <s v="95939"/>
    <x v="4"/>
    <x v="3"/>
    <x v="3"/>
    <x v="0"/>
    <n v="20"/>
  </r>
  <r>
    <s v="HAP"/>
    <s v="01"/>
    <s v="GREENWAY"/>
    <s v="INDIAN RIVER CL"/>
    <x v="2"/>
    <x v="0"/>
    <x v="0"/>
    <s v="Invoice"/>
    <s v="95939"/>
    <x v="8"/>
    <x v="7"/>
    <x v="7"/>
    <x v="0"/>
    <n v="20"/>
  </r>
  <r>
    <s v="HAP"/>
    <s v="01"/>
    <s v="GREENWAY"/>
    <s v="INDIAN RIVER CL"/>
    <x v="2"/>
    <x v="0"/>
    <x v="0"/>
    <s v="Invoice"/>
    <s v="95939"/>
    <x v="9"/>
    <x v="8"/>
    <x v="8"/>
    <x v="0"/>
    <n v="10"/>
  </r>
  <r>
    <s v="HAP"/>
    <s v="01"/>
    <s v="GREENWAY"/>
    <s v="INDIAN RIVER CL"/>
    <x v="2"/>
    <x v="0"/>
    <x v="0"/>
    <s v="Invoice"/>
    <s v="95939"/>
    <x v="6"/>
    <x v="5"/>
    <x v="5"/>
    <x v="0"/>
    <n v="20"/>
  </r>
  <r>
    <s v="HAP"/>
    <s v="01"/>
    <s v="GREENWAY"/>
    <s v="INDIAN RIVER CL"/>
    <x v="2"/>
    <x v="0"/>
    <x v="0"/>
    <s v="Invoice"/>
    <s v="95939"/>
    <x v="2"/>
    <x v="0"/>
    <x v="0"/>
    <x v="0"/>
    <n v="15"/>
  </r>
  <r>
    <s v="HAP"/>
    <s v="01"/>
    <s v="GREENWAY"/>
    <s v="MAILING-WPBCH"/>
    <x v="2"/>
    <x v="0"/>
    <x v="0"/>
    <s v="Invoice"/>
    <s v="95940"/>
    <x v="3"/>
    <x v="2"/>
    <x v="2"/>
    <x v="0"/>
    <n v="120"/>
  </r>
  <r>
    <s v="HAP"/>
    <s v="01"/>
    <s v="GREENWAY"/>
    <s v="MAILING-WPBCH"/>
    <x v="2"/>
    <x v="0"/>
    <x v="0"/>
    <s v="Invoice"/>
    <s v="95940"/>
    <x v="8"/>
    <x v="7"/>
    <x v="7"/>
    <x v="0"/>
    <n v="60"/>
  </r>
  <r>
    <s v="HAP"/>
    <s v="01"/>
    <s v="GREENWAY"/>
    <s v="MAILING-WPBCH"/>
    <x v="2"/>
    <x v="0"/>
    <x v="0"/>
    <s v="Invoice"/>
    <s v="95940"/>
    <x v="10"/>
    <x v="9"/>
    <x v="9"/>
    <x v="0"/>
    <n v="30"/>
  </r>
  <r>
    <s v="HAP"/>
    <s v="01"/>
    <s v="GREENWAY"/>
    <s v="MAILING-WPBCH"/>
    <x v="2"/>
    <x v="0"/>
    <x v="0"/>
    <s v="Invoice"/>
    <s v="95940"/>
    <x v="11"/>
    <x v="10"/>
    <x v="10"/>
    <x v="0"/>
    <n v="30"/>
  </r>
  <r>
    <s v="HAP"/>
    <s v="01"/>
    <s v="GREENWAY"/>
    <s v="MAILING-WPBCH"/>
    <x v="2"/>
    <x v="0"/>
    <x v="0"/>
    <s v="Invoice"/>
    <s v="95940"/>
    <x v="12"/>
    <x v="11"/>
    <x v="11"/>
    <x v="0"/>
    <n v="120"/>
  </r>
  <r>
    <s v="HAP"/>
    <s v="01"/>
    <s v="GREENWAY"/>
    <s v="MAILING-WPBCH"/>
    <x v="2"/>
    <x v="0"/>
    <x v="0"/>
    <s v="Invoice"/>
    <s v="95940"/>
    <x v="2"/>
    <x v="0"/>
    <x v="0"/>
    <x v="0"/>
    <n v="120"/>
  </r>
  <r>
    <s v="HAP"/>
    <s v="01"/>
    <s v="GREENWAY"/>
    <s v="LOXAHATCHEE CLB"/>
    <x v="3"/>
    <x v="0"/>
    <x v="0"/>
    <s v="Invoice"/>
    <s v="95953"/>
    <x v="1"/>
    <x v="1"/>
    <x v="1"/>
    <x v="0"/>
    <n v="55"/>
  </r>
  <r>
    <s v="HAP"/>
    <s v="01"/>
    <s v="ALMARCH"/>
    <s v="THONOTOSASSA"/>
    <x v="4"/>
    <x v="0"/>
    <x v="0"/>
    <s v="Invoice"/>
    <s v="95978"/>
    <x v="13"/>
    <x v="12"/>
    <x v="12"/>
    <x v="0"/>
    <n v="165"/>
  </r>
  <r>
    <s v="HAP"/>
    <s v="01"/>
    <s v="GREENWAY"/>
    <s v="MIZNER C. CLUB"/>
    <x v="4"/>
    <x v="0"/>
    <x v="0"/>
    <s v="Invoice"/>
    <s v="95984"/>
    <x v="3"/>
    <x v="2"/>
    <x v="2"/>
    <x v="0"/>
    <n v="35"/>
  </r>
  <r>
    <s v="HAP"/>
    <s v="01"/>
    <s v="GREENWAY"/>
    <s v="MIZNER C. CLUB"/>
    <x v="4"/>
    <x v="0"/>
    <x v="0"/>
    <s v="Invoice"/>
    <s v="95984"/>
    <x v="5"/>
    <x v="4"/>
    <x v="4"/>
    <x v="0"/>
    <n v="70"/>
  </r>
  <r>
    <s v="HAP"/>
    <s v="01"/>
    <s v="GREENWAY"/>
    <s v="MIZNER C. CLUB"/>
    <x v="4"/>
    <x v="0"/>
    <x v="0"/>
    <s v="Invoice"/>
    <s v="95984"/>
    <x v="6"/>
    <x v="5"/>
    <x v="5"/>
    <x v="0"/>
    <n v="35"/>
  </r>
  <r>
    <s v="HAP"/>
    <s v="01"/>
    <s v="GREENWAY"/>
    <s v="MIZNER C. CLUB"/>
    <x v="4"/>
    <x v="0"/>
    <x v="0"/>
    <s v="Invoice"/>
    <s v="95984"/>
    <x v="2"/>
    <x v="0"/>
    <x v="0"/>
    <x v="0"/>
    <n v="70"/>
  </r>
  <r>
    <s v="HAP"/>
    <s v="01"/>
    <s v="GREENWAY"/>
    <s v="EMERALDHILLS"/>
    <x v="5"/>
    <x v="0"/>
    <x v="0"/>
    <s v="Invoice"/>
    <s v="96002"/>
    <x v="14"/>
    <x v="13"/>
    <x v="13"/>
    <x v="0"/>
    <n v="30"/>
  </r>
  <r>
    <s v="HAP"/>
    <s v="01"/>
    <s v="GREENWAY"/>
    <s v="EMERALDHILLS"/>
    <x v="5"/>
    <x v="0"/>
    <x v="0"/>
    <s v="Invoice"/>
    <s v="96002"/>
    <x v="15"/>
    <x v="6"/>
    <x v="6"/>
    <x v="0"/>
    <n v="30"/>
  </r>
  <r>
    <s v="HAP"/>
    <s v="01"/>
    <s v="GREENWAY"/>
    <s v="EMERALDHILLS"/>
    <x v="5"/>
    <x v="0"/>
    <x v="0"/>
    <s v="Invoice"/>
    <s v="96002"/>
    <x v="16"/>
    <x v="2"/>
    <x v="2"/>
    <x v="0"/>
    <n v="30"/>
  </r>
  <r>
    <s v="HAP"/>
    <s v="01"/>
    <s v="GREENWAY"/>
    <s v="EMERALDHILLS"/>
    <x v="5"/>
    <x v="0"/>
    <x v="0"/>
    <s v="Invoice"/>
    <s v="96002"/>
    <x v="17"/>
    <x v="10"/>
    <x v="10"/>
    <x v="0"/>
    <n v="30"/>
  </r>
  <r>
    <s v="HAP"/>
    <s v="01"/>
    <s v="GREENWAY"/>
    <s v="EMERALDHILLS"/>
    <x v="5"/>
    <x v="0"/>
    <x v="0"/>
    <s v="Invoice"/>
    <s v="96002"/>
    <x v="18"/>
    <x v="14"/>
    <x v="14"/>
    <x v="0"/>
    <n v="30"/>
  </r>
  <r>
    <s v="HAP"/>
    <s v="01"/>
    <s v="GREENWAY"/>
    <s v="EMERALDHILLS"/>
    <x v="5"/>
    <x v="0"/>
    <x v="0"/>
    <s v="Invoice"/>
    <s v="96002"/>
    <x v="19"/>
    <x v="15"/>
    <x v="15"/>
    <x v="0"/>
    <n v="30"/>
  </r>
  <r>
    <s v="HAP"/>
    <s v="01"/>
    <s v="GREENWAY"/>
    <s v="EMERALDHILLS"/>
    <x v="5"/>
    <x v="0"/>
    <x v="0"/>
    <s v="Invoice"/>
    <s v="96002"/>
    <x v="20"/>
    <x v="0"/>
    <x v="0"/>
    <x v="0"/>
    <n v="30"/>
  </r>
  <r>
    <s v="HAP"/>
    <s v="01"/>
    <s v="GREENWAY"/>
    <s v="W.PALM BCH MAIN"/>
    <x v="6"/>
    <x v="0"/>
    <x v="0"/>
    <s v="Invoice"/>
    <s v="96019"/>
    <x v="4"/>
    <x v="3"/>
    <x v="3"/>
    <x v="0"/>
    <n v="60"/>
  </r>
  <r>
    <s v="HAP"/>
    <s v="01"/>
    <s v="GREENWAY"/>
    <s v="W.PALM BCH MAIN"/>
    <x v="6"/>
    <x v="0"/>
    <x v="0"/>
    <s v="Invoice"/>
    <s v="96019"/>
    <x v="21"/>
    <x v="16"/>
    <x v="16"/>
    <x v="0"/>
    <n v="60"/>
  </r>
  <r>
    <s v="HAP"/>
    <s v="01"/>
    <s v="GREENWAY"/>
    <s v="W.PALM BCH MAIN"/>
    <x v="6"/>
    <x v="0"/>
    <x v="0"/>
    <s v="Invoice"/>
    <s v="96019"/>
    <x v="5"/>
    <x v="4"/>
    <x v="4"/>
    <x v="0"/>
    <n v="120"/>
  </r>
  <r>
    <s v="HAP"/>
    <s v="01"/>
    <s v="GREENWAY"/>
    <s v="W.PALM BCH MAIN"/>
    <x v="6"/>
    <x v="0"/>
    <x v="0"/>
    <s v="Invoice"/>
    <s v="96019"/>
    <x v="22"/>
    <x v="17"/>
    <x v="17"/>
    <x v="0"/>
    <n v="120"/>
  </r>
  <r>
    <s v="HAP"/>
    <s v="01"/>
    <s v="GREENWAY"/>
    <s v="W.PALM BCH MAIN"/>
    <x v="6"/>
    <x v="0"/>
    <x v="0"/>
    <s v="Invoice"/>
    <s v="96019"/>
    <x v="6"/>
    <x v="5"/>
    <x v="5"/>
    <x v="0"/>
    <n v="120"/>
  </r>
  <r>
    <s v="HAP"/>
    <s v="01"/>
    <s v="GREENWAY"/>
    <s v="W.PALM BCH MAIN"/>
    <x v="6"/>
    <x v="0"/>
    <x v="0"/>
    <s v="Invoice"/>
    <s v="96019"/>
    <x v="2"/>
    <x v="0"/>
    <x v="0"/>
    <x v="0"/>
    <n v="120"/>
  </r>
  <r>
    <s v="HAP"/>
    <s v="01"/>
    <s v="GREENWAY"/>
    <s v="IRON HORSE G.C."/>
    <x v="7"/>
    <x v="0"/>
    <x v="0"/>
    <s v="Invoice"/>
    <s v="96082"/>
    <x v="1"/>
    <x v="1"/>
    <x v="1"/>
    <x v="0"/>
    <n v="110"/>
  </r>
  <r>
    <s v="DAVID"/>
    <s v="02"/>
    <s v="OHARAPEST"/>
    <s v="MAILIING"/>
    <x v="8"/>
    <x v="0"/>
    <x v="0"/>
    <s v="Invoice"/>
    <s v="95922"/>
    <x v="23"/>
    <x v="18"/>
    <x v="18"/>
    <x v="0"/>
    <n v="125"/>
  </r>
  <r>
    <s v="DAVID"/>
    <s v="02"/>
    <s v="JHBIOTECH"/>
    <s v="JHBIOTECH"/>
    <x v="1"/>
    <x v="0"/>
    <x v="0"/>
    <s v="Invoice"/>
    <s v="95932"/>
    <x v="24"/>
    <x v="19"/>
    <x v="19"/>
    <x v="0"/>
    <n v="4038"/>
  </r>
  <r>
    <s v="DAVID"/>
    <s v="02"/>
    <s v="BIOGRO"/>
    <s v="MAIN"/>
    <x v="3"/>
    <x v="0"/>
    <x v="0"/>
    <s v="Invoice"/>
    <s v="95949"/>
    <x v="25"/>
    <x v="20"/>
    <x v="20"/>
    <x v="1"/>
    <n v="500"/>
  </r>
  <r>
    <s v="DAVID"/>
    <s v="02"/>
    <s v="COUNCILO"/>
    <s v="COUNCIL-OXFORD"/>
    <x v="9"/>
    <x v="0"/>
    <x v="0"/>
    <s v="Invoice"/>
    <s v="95955"/>
    <x v="26"/>
    <x v="21"/>
    <x v="21"/>
    <x v="0"/>
    <n v="600"/>
  </r>
  <r>
    <s v="DAVID"/>
    <s v="02"/>
    <s v="JHBIOTECH"/>
    <s v="JHBIOTECH"/>
    <x v="9"/>
    <x v="0"/>
    <x v="0"/>
    <s v="Invoice"/>
    <s v="95960"/>
    <x v="24"/>
    <x v="19"/>
    <x v="19"/>
    <x v="0"/>
    <n v="4125"/>
  </r>
  <r>
    <s v="DAVID"/>
    <s v="02"/>
    <s v="MIDWAYF"/>
    <s v="KNIGHTSGRIFFIN"/>
    <x v="10"/>
    <x v="0"/>
    <x v="0"/>
    <s v="Invoice"/>
    <s v="95973"/>
    <x v="27"/>
    <x v="22"/>
    <x v="22"/>
    <x v="2"/>
    <n v="2.5"/>
  </r>
  <r>
    <s v="DAVID"/>
    <s v="02"/>
    <s v="FFA"/>
    <s v="MAIN"/>
    <x v="6"/>
    <x v="0"/>
    <x v="0"/>
    <s v="Invoice"/>
    <s v="96016"/>
    <x v="28"/>
    <x v="23"/>
    <x v="22"/>
    <x v="2"/>
    <n v="2.4900000000000002"/>
  </r>
  <r>
    <s v="DAVID"/>
    <s v="02"/>
    <s v="MAYO"/>
    <s v="MAYO"/>
    <x v="11"/>
    <x v="0"/>
    <x v="0"/>
    <s v="Invoice"/>
    <s v="96025"/>
    <x v="29"/>
    <x v="24"/>
    <x v="20"/>
    <x v="1"/>
    <n v="52040"/>
  </r>
  <r>
    <s v="DAVID"/>
    <s v="02"/>
    <s v="OHARAPEST"/>
    <s v="MAILIING"/>
    <x v="12"/>
    <x v="0"/>
    <x v="0"/>
    <s v="Invoice"/>
    <s v="96034"/>
    <x v="30"/>
    <x v="25"/>
    <x v="23"/>
    <x v="0"/>
    <n v="250"/>
  </r>
  <r>
    <s v="DAVID"/>
    <s v="02"/>
    <s v="MIDWAYF"/>
    <s v="KNIGHTSGRIFFIN"/>
    <x v="13"/>
    <x v="0"/>
    <x v="0"/>
    <s v="Invoice"/>
    <s v="96037"/>
    <x v="27"/>
    <x v="22"/>
    <x v="22"/>
    <x v="2"/>
    <n v="2.5024999999999999"/>
  </r>
  <r>
    <s v="DAVID"/>
    <s v="02"/>
    <s v="COUNCILO"/>
    <s v="COUNCIL-OXFORD"/>
    <x v="13"/>
    <x v="0"/>
    <x v="0"/>
    <s v="Invoice"/>
    <s v="96040"/>
    <x v="26"/>
    <x v="21"/>
    <x v="21"/>
    <x v="0"/>
    <n v="330"/>
  </r>
  <r>
    <s v="DAVID"/>
    <s v="02"/>
    <s v="GEOPONICSCORP"/>
    <s v="NAPLES UNIT-105"/>
    <x v="13"/>
    <x v="0"/>
    <x v="0"/>
    <s v="Invoice"/>
    <s v="96046"/>
    <x v="31"/>
    <x v="26"/>
    <x v="24"/>
    <x v="0"/>
    <n v="50"/>
  </r>
  <r>
    <s v="DAVID"/>
    <s v="02"/>
    <s v="TERRAFEED"/>
    <s v="MAILING"/>
    <x v="14"/>
    <x v="0"/>
    <x v="0"/>
    <s v="Invoice"/>
    <s v="96063"/>
    <x v="32"/>
    <x v="27"/>
    <x v="25"/>
    <x v="0"/>
    <n v="255"/>
  </r>
  <r>
    <s v="DAVID"/>
    <s v="02"/>
    <s v="UNIVAR"/>
    <s v="ORLANDO"/>
    <x v="14"/>
    <x v="0"/>
    <x v="0"/>
    <s v="Invoice"/>
    <s v="96066"/>
    <x v="33"/>
    <x v="28"/>
    <x v="2"/>
    <x v="0"/>
    <n v="85"/>
  </r>
  <r>
    <s v="DAVID"/>
    <s v="02"/>
    <s v="TRUE"/>
    <s v="LAKE PANA"/>
    <x v="7"/>
    <x v="0"/>
    <x v="0"/>
    <s v="Invoice"/>
    <s v="96081A"/>
    <x v="25"/>
    <x v="20"/>
    <x v="20"/>
    <x v="1"/>
    <n v="2000"/>
  </r>
  <r>
    <s v="JUSTIN"/>
    <s v="03"/>
    <s v="CAINGROV"/>
    <s v="MAILING"/>
    <x v="0"/>
    <x v="0"/>
    <x v="0"/>
    <s v="Invoice"/>
    <s v="95925"/>
    <x v="34"/>
    <x v="29"/>
    <x v="26"/>
    <x v="0"/>
    <n v="5"/>
  </r>
  <r>
    <s v="JUSTIN"/>
    <s v="03"/>
    <s v="CPSWAVER"/>
    <s v="WAVERLY"/>
    <x v="15"/>
    <x v="0"/>
    <x v="0"/>
    <s v="Invoice"/>
    <s v="95967"/>
    <x v="35"/>
    <x v="30"/>
    <x v="27"/>
    <x v="0"/>
    <n v="180"/>
  </r>
  <r>
    <s v="JUSTIN"/>
    <s v="03"/>
    <s v="CPSWACHU"/>
    <s v="WAUCHULA"/>
    <x v="15"/>
    <x v="0"/>
    <x v="0"/>
    <s v="Invoice"/>
    <s v="95968"/>
    <x v="35"/>
    <x v="30"/>
    <x v="27"/>
    <x v="0"/>
    <n v="180"/>
  </r>
  <r>
    <s v="JUSTIN"/>
    <s v="03"/>
    <s v="CPSWAVER"/>
    <s v="WAVERLY"/>
    <x v="4"/>
    <x v="0"/>
    <x v="0"/>
    <s v="Invoice"/>
    <s v="95980"/>
    <x v="35"/>
    <x v="30"/>
    <x v="27"/>
    <x v="0"/>
    <n v="180"/>
  </r>
  <r>
    <s v="JUSTIN"/>
    <s v="03"/>
    <s v="CPSWAVER"/>
    <s v="WAVERLY"/>
    <x v="4"/>
    <x v="0"/>
    <x v="0"/>
    <s v="Invoice"/>
    <s v="95980"/>
    <x v="36"/>
    <x v="31"/>
    <x v="4"/>
    <x v="0"/>
    <n v="180"/>
  </r>
  <r>
    <s v="JUSTIN"/>
    <s v="03"/>
    <s v="CPSIMMOK"/>
    <s v="IMMOKALEE"/>
    <x v="5"/>
    <x v="0"/>
    <x v="0"/>
    <s v="Invoice"/>
    <s v="95996"/>
    <x v="4"/>
    <x v="32"/>
    <x v="3"/>
    <x v="0"/>
    <n v="180"/>
  </r>
  <r>
    <s v="JUSTIN"/>
    <s v="03"/>
    <s v="JHBIOTECH"/>
    <s v="JHBIOTECH"/>
    <x v="16"/>
    <x v="0"/>
    <x v="0"/>
    <s v="Invoice"/>
    <s v="96008"/>
    <x v="24"/>
    <x v="19"/>
    <x v="19"/>
    <x v="0"/>
    <n v="4150"/>
  </r>
  <r>
    <s v="JUSTIN"/>
    <s v="03"/>
    <s v="CPSPARRI"/>
    <s v="PARRISH"/>
    <x v="6"/>
    <x v="0"/>
    <x v="0"/>
    <s v="Invoice"/>
    <s v="96013"/>
    <x v="37"/>
    <x v="33"/>
    <x v="28"/>
    <x v="0"/>
    <n v="60"/>
  </r>
  <r>
    <s v="JUSTIN"/>
    <s v="03"/>
    <s v="CPSWAVER"/>
    <s v="WAVERLY"/>
    <x v="17"/>
    <x v="0"/>
    <x v="0"/>
    <s v="Invoice"/>
    <s v="96074"/>
    <x v="35"/>
    <x v="30"/>
    <x v="27"/>
    <x v="0"/>
    <n v="180"/>
  </r>
  <r>
    <s v="JUSTIN"/>
    <s v="03"/>
    <s v="CPSWAVER"/>
    <s v="WAVERLY"/>
    <x v="17"/>
    <x v="0"/>
    <x v="0"/>
    <s v="Invoice"/>
    <s v="96074"/>
    <x v="38"/>
    <x v="30"/>
    <x v="27"/>
    <x v="0"/>
    <n v="250"/>
  </r>
  <r>
    <s v="JUSTIN"/>
    <s v="03"/>
    <s v="COUNCILO"/>
    <s v="COUNCIL-OXFORD"/>
    <x v="17"/>
    <x v="0"/>
    <x v="0"/>
    <s v="Invoice"/>
    <s v="96076"/>
    <x v="39"/>
    <x v="34"/>
    <x v="26"/>
    <x v="0"/>
    <n v="75"/>
  </r>
  <r>
    <s v="JUSTIN"/>
    <s v="03"/>
    <s v="COUNCILO"/>
    <s v="COUNCIL-OXFORD"/>
    <x v="17"/>
    <x v="0"/>
    <x v="0"/>
    <s v="Invoice"/>
    <s v="96076"/>
    <x v="40"/>
    <x v="35"/>
    <x v="29"/>
    <x v="0"/>
    <n v="180"/>
  </r>
  <r>
    <s v="JUSTIN"/>
    <s v="03"/>
    <s v="COUNCILO"/>
    <s v="COUNCIL-OXFORD"/>
    <x v="17"/>
    <x v="0"/>
    <x v="0"/>
    <s v="Invoice"/>
    <s v="96076"/>
    <x v="41"/>
    <x v="36"/>
    <x v="26"/>
    <x v="0"/>
    <n v="500"/>
  </r>
  <r>
    <s v="JUSTIN"/>
    <s v="03"/>
    <s v="CPSWACHU"/>
    <s v="WAUCHULA"/>
    <x v="7"/>
    <x v="0"/>
    <x v="0"/>
    <s v="Invoice"/>
    <s v="96091"/>
    <x v="38"/>
    <x v="30"/>
    <x v="27"/>
    <x v="0"/>
    <n v="250"/>
  </r>
  <r>
    <s v="PARKER, JERROD"/>
    <s v="04"/>
    <s v="SPIVEYFA"/>
    <s v="HOPEWELL"/>
    <x v="0"/>
    <x v="0"/>
    <x v="0"/>
    <s v="Invoice"/>
    <s v="95923"/>
    <x v="34"/>
    <x v="29"/>
    <x v="26"/>
    <x v="0"/>
    <n v="10"/>
  </r>
  <r>
    <s v="PARKER, JERROD"/>
    <s v="04"/>
    <s v="SPIVEYFA"/>
    <s v="HOPEWELL"/>
    <x v="0"/>
    <x v="0"/>
    <x v="0"/>
    <s v="Invoice"/>
    <s v="95923"/>
    <x v="42"/>
    <x v="37"/>
    <x v="30"/>
    <x v="0"/>
    <n v="10"/>
  </r>
  <r>
    <s v="PARKER, JERROD"/>
    <s v="04"/>
    <s v="VELASCONAZARIO"/>
    <s v="MAIN"/>
    <x v="1"/>
    <x v="0"/>
    <x v="0"/>
    <s v="Invoice"/>
    <s v="95928"/>
    <x v="43"/>
    <x v="38"/>
    <x v="22"/>
    <x v="2"/>
    <n v="1"/>
  </r>
  <r>
    <s v="PARKER, JERROD"/>
    <s v="04"/>
    <s v="SOUTHERNHILL"/>
    <s v="SCHOFIELD"/>
    <x v="1"/>
    <x v="0"/>
    <x v="0"/>
    <s v="Invoice"/>
    <s v="95933"/>
    <x v="43"/>
    <x v="38"/>
    <x v="22"/>
    <x v="2"/>
    <n v="2.5"/>
  </r>
  <r>
    <s v="PARKER, JERROD"/>
    <s v="04"/>
    <s v="FERRISFA"/>
    <s v="TOMATOES"/>
    <x v="2"/>
    <x v="0"/>
    <x v="0"/>
    <s v="Invoice"/>
    <s v="95934"/>
    <x v="44"/>
    <x v="39"/>
    <x v="22"/>
    <x v="2"/>
    <n v="15"/>
  </r>
  <r>
    <s v="PARKER, JERROD"/>
    <s v="04"/>
    <s v="GUTIERREZA"/>
    <s v="AL SIMMONS RD"/>
    <x v="2"/>
    <x v="0"/>
    <x v="0"/>
    <s v="Invoice"/>
    <s v="95935"/>
    <x v="43"/>
    <x v="38"/>
    <x v="22"/>
    <x v="2"/>
    <n v="1.875"/>
  </r>
  <r>
    <s v="PARKER, JERROD"/>
    <s v="04"/>
    <s v="WISHFARMS"/>
    <s v="MAILING"/>
    <x v="2"/>
    <x v="0"/>
    <x v="0"/>
    <s v="Invoice"/>
    <s v="95936"/>
    <x v="45"/>
    <x v="37"/>
    <x v="30"/>
    <x v="0"/>
    <n v="250"/>
  </r>
  <r>
    <s v="PARKER, JERROD"/>
    <s v="04"/>
    <s v="GERALDWI"/>
    <s v="JAUDON RD"/>
    <x v="2"/>
    <x v="0"/>
    <x v="0"/>
    <s v="Invoice"/>
    <s v="95937"/>
    <x v="43"/>
    <x v="38"/>
    <x v="22"/>
    <x v="2"/>
    <n v="2.5"/>
  </r>
  <r>
    <s v="PARKER, JERROD"/>
    <s v="04"/>
    <s v="MIKELOTT"/>
    <s v="SHADY ACRE"/>
    <x v="2"/>
    <x v="0"/>
    <x v="0"/>
    <s v="Invoice"/>
    <s v="95938"/>
    <x v="28"/>
    <x v="23"/>
    <x v="22"/>
    <x v="2"/>
    <n v="1.25"/>
  </r>
  <r>
    <s v="PARKER, JERROD"/>
    <s v="04"/>
    <s v="FRANKLIN"/>
    <s v="FRANKLIN FARM"/>
    <x v="18"/>
    <x v="0"/>
    <x v="0"/>
    <s v="Invoice"/>
    <s v="95941"/>
    <x v="46"/>
    <x v="40"/>
    <x v="22"/>
    <x v="2"/>
    <n v="3.75"/>
  </r>
  <r>
    <s v="PARKER, JERROD"/>
    <s v="04"/>
    <s v="ROQUEFARMS"/>
    <s v="MEEKHORIZON"/>
    <x v="18"/>
    <x v="0"/>
    <x v="0"/>
    <s v="Invoice"/>
    <s v="95943"/>
    <x v="46"/>
    <x v="40"/>
    <x v="22"/>
    <x v="2"/>
    <n v="1.5"/>
  </r>
  <r>
    <s v="PARKER, JERROD"/>
    <s v="04"/>
    <s v="SOUTHERNHILL"/>
    <s v="SCHOFIELD"/>
    <x v="18"/>
    <x v="0"/>
    <x v="0"/>
    <s v="Invoice"/>
    <s v="95944"/>
    <x v="47"/>
    <x v="41"/>
    <x v="22"/>
    <x v="2"/>
    <n v="2.5"/>
  </r>
  <r>
    <s v="PARKER, JERROD"/>
    <s v="04"/>
    <s v="PEPPERBERRY"/>
    <s v="NESMITH-E.SIDE"/>
    <x v="3"/>
    <x v="0"/>
    <x v="0"/>
    <s v="Invoice"/>
    <s v="95945"/>
    <x v="43"/>
    <x v="38"/>
    <x v="22"/>
    <x v="2"/>
    <n v="10.029999999999999"/>
  </r>
  <r>
    <s v="PARKER, JERROD"/>
    <s v="04"/>
    <s v="FLORIDAAG"/>
    <s v="DOVER"/>
    <x v="3"/>
    <x v="0"/>
    <x v="0"/>
    <s v="Invoice"/>
    <s v="95946"/>
    <x v="48"/>
    <x v="33"/>
    <x v="28"/>
    <x v="0"/>
    <n v="5"/>
  </r>
  <r>
    <s v="PARKER, JERROD"/>
    <s v="04"/>
    <s v="FLORIDAAG"/>
    <s v="DOVER"/>
    <x v="3"/>
    <x v="0"/>
    <x v="0"/>
    <s v="Invoice"/>
    <s v="95947"/>
    <x v="49"/>
    <x v="42"/>
    <x v="22"/>
    <x v="2"/>
    <n v="2.5000000000000001E-2"/>
  </r>
  <r>
    <s v="PARKER, JERROD"/>
    <s v="04"/>
    <s v="FANCYFAR"/>
    <s v="FUTCH LOOP-CTR."/>
    <x v="3"/>
    <x v="0"/>
    <x v="0"/>
    <s v="Invoice"/>
    <s v="95948"/>
    <x v="50"/>
    <x v="43"/>
    <x v="22"/>
    <x v="2"/>
    <n v="15"/>
  </r>
  <r>
    <s v="PARKER, JERROD"/>
    <s v="04"/>
    <s v="CHANFARM"/>
    <s v="KNIGHTS GRIFFIN"/>
    <x v="3"/>
    <x v="0"/>
    <x v="0"/>
    <s v="Invoice"/>
    <s v="95950"/>
    <x v="51"/>
    <x v="44"/>
    <x v="22"/>
    <x v="2"/>
    <n v="2.5"/>
  </r>
  <r>
    <s v="PARKER, JERROD"/>
    <s v="04"/>
    <s v="FLORIDAAG"/>
    <s v="KINGSWAY"/>
    <x v="3"/>
    <x v="0"/>
    <x v="0"/>
    <s v="Invoice"/>
    <s v="95951"/>
    <x v="52"/>
    <x v="45"/>
    <x v="22"/>
    <x v="2"/>
    <n v="2"/>
  </r>
  <r>
    <s v="PARKER, JERROD"/>
    <s v="04"/>
    <s v="GUTIERREZDAN"/>
    <s v="FRUIT STAND"/>
    <x v="3"/>
    <x v="0"/>
    <x v="0"/>
    <s v="Invoice"/>
    <s v="95952"/>
    <x v="43"/>
    <x v="38"/>
    <x v="22"/>
    <x v="2"/>
    <n v="4.5025000000000004"/>
  </r>
  <r>
    <s v="PARKER, JERROD"/>
    <s v="04"/>
    <s v="CHAVEZJOR"/>
    <s v="JOSE' CHAV- COD"/>
    <x v="3"/>
    <x v="0"/>
    <x v="0"/>
    <s v="Invoice"/>
    <s v="95954"/>
    <x v="53"/>
    <x v="46"/>
    <x v="22"/>
    <x v="2"/>
    <n v="0.15"/>
  </r>
  <r>
    <s v="PARKER, JERROD"/>
    <s v="04"/>
    <s v="ELIASCEDILLO"/>
    <s v="TRAPNELL"/>
    <x v="3"/>
    <x v="0"/>
    <x v="0"/>
    <s v="Invoice"/>
    <s v="95956"/>
    <x v="43"/>
    <x v="38"/>
    <x v="22"/>
    <x v="2"/>
    <n v="1.25"/>
  </r>
  <r>
    <s v="PARKER, JERROD"/>
    <s v="04"/>
    <s v="GILLMANBUDD"/>
    <s v="FORBES"/>
    <x v="3"/>
    <x v="0"/>
    <x v="0"/>
    <s v="Invoice"/>
    <s v="95957"/>
    <x v="43"/>
    <x v="38"/>
    <x v="22"/>
    <x v="2"/>
    <n v="7.7575000000000003"/>
  </r>
  <r>
    <s v="PARKER, JERROD"/>
    <s v="04"/>
    <s v="JOSEHERN"/>
    <s v="TRAPNELL RD/E"/>
    <x v="3"/>
    <x v="0"/>
    <x v="0"/>
    <s v="Invoice"/>
    <s v="95958"/>
    <x v="43"/>
    <x v="38"/>
    <x v="22"/>
    <x v="2"/>
    <n v="1.9975000000000001"/>
  </r>
  <r>
    <s v="PARKER, JERROD"/>
    <s v="04"/>
    <s v="FANCYFAR"/>
    <s v="FUTCH LOOP-CTR."/>
    <x v="9"/>
    <x v="0"/>
    <x v="0"/>
    <s v="Invoice"/>
    <s v="95959"/>
    <x v="50"/>
    <x v="43"/>
    <x v="22"/>
    <x v="2"/>
    <n v="15.005000000000001"/>
  </r>
  <r>
    <s v="PARKER, JERROD"/>
    <s v="04"/>
    <s v="SWEETLIFE"/>
    <s v="SWINDLES"/>
    <x v="9"/>
    <x v="0"/>
    <x v="0"/>
    <s v="Invoice"/>
    <s v="95962"/>
    <x v="27"/>
    <x v="22"/>
    <x v="22"/>
    <x v="2"/>
    <n v="15"/>
  </r>
  <r>
    <s v="PARKER, JERROD"/>
    <s v="04"/>
    <s v="VENTURAFARMS"/>
    <s v="MAIN"/>
    <x v="9"/>
    <x v="0"/>
    <x v="0"/>
    <s v="Invoice"/>
    <s v="95963"/>
    <x v="46"/>
    <x v="40"/>
    <x v="22"/>
    <x v="2"/>
    <n v="0.27500000000000002"/>
  </r>
  <r>
    <s v="PARKER, JERROD"/>
    <s v="04"/>
    <s v="MERCEDCH"/>
    <s v="FORBES"/>
    <x v="9"/>
    <x v="0"/>
    <x v="0"/>
    <s v="Invoice"/>
    <s v="95964"/>
    <x v="54"/>
    <x v="47"/>
    <x v="22"/>
    <x v="2"/>
    <n v="5"/>
  </r>
  <r>
    <s v="PARKER, JERROD"/>
    <s v="04"/>
    <s v="JOEPENA"/>
    <s v="HWY 92"/>
    <x v="9"/>
    <x v="0"/>
    <x v="0"/>
    <s v="Invoice"/>
    <s v="95965"/>
    <x v="55"/>
    <x v="48"/>
    <x v="22"/>
    <x v="2"/>
    <n v="2"/>
  </r>
  <r>
    <s v="PARKER, JERROD"/>
    <s v="04"/>
    <s v="IFASGULF"/>
    <s v="BALM-STRAWBERRY"/>
    <x v="15"/>
    <x v="0"/>
    <x v="0"/>
    <s v="Invoice"/>
    <s v="95970"/>
    <x v="28"/>
    <x v="23"/>
    <x v="22"/>
    <x v="2"/>
    <n v="7.4924999999999997"/>
  </r>
  <r>
    <s v="PARKER, JERROD"/>
    <s v="04"/>
    <s v="MERCEDCH"/>
    <s v="HWY62"/>
    <x v="10"/>
    <x v="0"/>
    <x v="0"/>
    <s v="Invoice"/>
    <s v="95972"/>
    <x v="43"/>
    <x v="38"/>
    <x v="22"/>
    <x v="2"/>
    <n v="11.9975"/>
  </r>
  <r>
    <s v="PARKER, JERROD"/>
    <s v="04"/>
    <s v="CIRCLEGF&amp;R LLC"/>
    <s v="KNIGHTS-N-#16"/>
    <x v="10"/>
    <x v="0"/>
    <x v="0"/>
    <s v="Invoice"/>
    <s v="95974"/>
    <x v="27"/>
    <x v="22"/>
    <x v="22"/>
    <x v="2"/>
    <n v="1.5"/>
  </r>
  <r>
    <s v="PARKER, JERROD"/>
    <s v="04"/>
    <s v="CIRCLEGF&amp;R LLC"/>
    <s v="KNIGHTS-N-#16"/>
    <x v="10"/>
    <x v="0"/>
    <x v="0"/>
    <s v="Invoice"/>
    <s v="95975"/>
    <x v="27"/>
    <x v="22"/>
    <x v="22"/>
    <x v="2"/>
    <n v="3.9874999999999998"/>
  </r>
  <r>
    <s v="PARKER, JERROD"/>
    <s v="04"/>
    <s v="EWSIMMON"/>
    <s v="DRAWDY ROAD"/>
    <x v="10"/>
    <x v="0"/>
    <x v="0"/>
    <s v="Invoice"/>
    <s v="95976"/>
    <x v="28"/>
    <x v="23"/>
    <x v="22"/>
    <x v="2"/>
    <n v="5"/>
  </r>
  <r>
    <s v="PARKER, JERROD"/>
    <s v="04"/>
    <s v="SPIVEYFA"/>
    <s v="HOPEWELL"/>
    <x v="10"/>
    <x v="0"/>
    <x v="0"/>
    <s v="Invoice"/>
    <s v="95977"/>
    <x v="56"/>
    <x v="49"/>
    <x v="22"/>
    <x v="2"/>
    <n v="4.5"/>
  </r>
  <r>
    <s v="PARKER, JERROD"/>
    <s v="04"/>
    <s v="FLORIDAAG"/>
    <s v="DOVER"/>
    <x v="4"/>
    <x v="0"/>
    <x v="0"/>
    <s v="Invoice"/>
    <s v="95979"/>
    <x v="49"/>
    <x v="42"/>
    <x v="22"/>
    <x v="2"/>
    <n v="0.3"/>
  </r>
  <r>
    <s v="PARKER, JERROD"/>
    <s v="04"/>
    <s v="ALVAREZJ"/>
    <s v="MOORESLAKE"/>
    <x v="4"/>
    <x v="0"/>
    <x v="0"/>
    <s v="Invoice"/>
    <s v="95981"/>
    <x v="43"/>
    <x v="38"/>
    <x v="22"/>
    <x v="2"/>
    <n v="1.5"/>
  </r>
  <r>
    <s v="PARKER, JERROD"/>
    <s v="04"/>
    <s v="GUTIERREZA"/>
    <s v="JOE KING RD"/>
    <x v="4"/>
    <x v="0"/>
    <x v="0"/>
    <s v="Invoice"/>
    <s v="95983"/>
    <x v="43"/>
    <x v="38"/>
    <x v="22"/>
    <x v="2"/>
    <n v="3.7450000000000001"/>
  </r>
  <r>
    <s v="PARKER, JERROD"/>
    <s v="04"/>
    <s v="GUTIERREZA"/>
    <s v="WASHINGTON"/>
    <x v="4"/>
    <x v="0"/>
    <x v="0"/>
    <s v="Invoice"/>
    <s v="95985"/>
    <x v="43"/>
    <x v="38"/>
    <x v="22"/>
    <x v="2"/>
    <n v="4.0175000000000001"/>
  </r>
  <r>
    <s v="PARKER, JERROD"/>
    <s v="04"/>
    <s v="CHARLIEG-LLC"/>
    <s v="KNIGHTS GRIFFIN"/>
    <x v="4"/>
    <x v="0"/>
    <x v="0"/>
    <s v="Invoice"/>
    <s v="95986"/>
    <x v="27"/>
    <x v="22"/>
    <x v="22"/>
    <x v="2"/>
    <n v="5"/>
  </r>
  <r>
    <s v="PARKER, JERROD"/>
    <s v="04"/>
    <s v="CHARLIEG-LLC"/>
    <s v="LAMPP ROAD"/>
    <x v="4"/>
    <x v="0"/>
    <x v="0"/>
    <s v="Invoice"/>
    <s v="95987"/>
    <x v="27"/>
    <x v="22"/>
    <x v="22"/>
    <x v="2"/>
    <n v="2.5"/>
  </r>
  <r>
    <s v="PARKER, JERROD"/>
    <s v="04"/>
    <s v="PARKESDA"/>
    <s v="RANDALL"/>
    <x v="19"/>
    <x v="0"/>
    <x v="0"/>
    <s v="Invoice"/>
    <s v="95990"/>
    <x v="57"/>
    <x v="50"/>
    <x v="22"/>
    <x v="2"/>
    <n v="5"/>
  </r>
  <r>
    <s v="PARKER, JERROD"/>
    <s v="04"/>
    <s v="ELIASGUT"/>
    <s v="WALLACE BRANCH"/>
    <x v="19"/>
    <x v="0"/>
    <x v="0"/>
    <s v="Invoice"/>
    <s v="95992"/>
    <x v="58"/>
    <x v="51"/>
    <x v="22"/>
    <x v="2"/>
    <n v="2.5049999999999999"/>
  </r>
  <r>
    <s v="PARKER, JERROD"/>
    <s v="04"/>
    <s v="FAVORITE"/>
    <s v="MCINTOSH ROAD"/>
    <x v="19"/>
    <x v="0"/>
    <x v="0"/>
    <s v="Invoice"/>
    <s v="95993"/>
    <x v="59"/>
    <x v="52"/>
    <x v="22"/>
    <x v="2"/>
    <n v="10"/>
  </r>
  <r>
    <s v="PARKER, JERROD"/>
    <s v="04"/>
    <s v="MIDWAYF"/>
    <s v="SAMALLEN"/>
    <x v="19"/>
    <x v="0"/>
    <x v="0"/>
    <s v="Invoice"/>
    <s v="95995"/>
    <x v="27"/>
    <x v="22"/>
    <x v="22"/>
    <x v="2"/>
    <n v="4.01"/>
  </r>
  <r>
    <s v="PARKER, JERROD"/>
    <s v="04"/>
    <s v="FANCYFAR"/>
    <s v="FUTCH LOOP-CTR."/>
    <x v="5"/>
    <x v="0"/>
    <x v="0"/>
    <s v="Invoice"/>
    <s v="95997"/>
    <x v="60"/>
    <x v="53"/>
    <x v="22"/>
    <x v="2"/>
    <n v="15"/>
  </r>
  <r>
    <s v="PARKER, JERROD"/>
    <s v="04"/>
    <s v="TRUEALGAE"/>
    <s v="MAILIING"/>
    <x v="5"/>
    <x v="0"/>
    <x v="0"/>
    <s v="Invoice"/>
    <s v="95998"/>
    <x v="53"/>
    <x v="46"/>
    <x v="22"/>
    <x v="2"/>
    <n v="2.5000000000000001E-2"/>
  </r>
  <r>
    <s v="PARKER, JERROD"/>
    <s v="04"/>
    <s v="TRUEALGAE"/>
    <s v="MAILIING"/>
    <x v="5"/>
    <x v="0"/>
    <x v="0"/>
    <s v="Invoice"/>
    <s v="95999"/>
    <x v="61"/>
    <x v="54"/>
    <x v="31"/>
    <x v="0"/>
    <n v="50"/>
  </r>
  <r>
    <s v="PARKER, JERROD"/>
    <s v="04"/>
    <s v="TRUEALGAE"/>
    <s v="MAILIING"/>
    <x v="5"/>
    <x v="0"/>
    <x v="0"/>
    <s v="Invoice"/>
    <s v="96000"/>
    <x v="42"/>
    <x v="37"/>
    <x v="30"/>
    <x v="0"/>
    <n v="5"/>
  </r>
  <r>
    <s v="PARKER, JERROD"/>
    <s v="04"/>
    <s v="STEVEMAT"/>
    <s v="DRAWDY"/>
    <x v="5"/>
    <x v="0"/>
    <x v="0"/>
    <s v="Invoice"/>
    <s v="96001"/>
    <x v="62"/>
    <x v="55"/>
    <x v="22"/>
    <x v="2"/>
    <n v="1.25"/>
  </r>
  <r>
    <s v="PARKER, JERROD"/>
    <s v="04"/>
    <s v="PARKESDA"/>
    <s v="BILOXI"/>
    <x v="5"/>
    <x v="0"/>
    <x v="0"/>
    <s v="Invoice"/>
    <s v="96003"/>
    <x v="57"/>
    <x v="50"/>
    <x v="22"/>
    <x v="2"/>
    <n v="10.025"/>
  </r>
  <r>
    <s v="PARKER, JERROD"/>
    <s v="04"/>
    <s v="GERALDWI"/>
    <s v="SYDNEY RD"/>
    <x v="5"/>
    <x v="0"/>
    <x v="0"/>
    <s v="Invoice"/>
    <s v="96004"/>
    <x v="43"/>
    <x v="38"/>
    <x v="22"/>
    <x v="2"/>
    <n v="2.4900000000000002"/>
  </r>
  <r>
    <s v="PARKER, JERROD"/>
    <s v="04"/>
    <s v="FRANKLIN"/>
    <s v="MCGEE RD. SOUTH"/>
    <x v="16"/>
    <x v="0"/>
    <x v="0"/>
    <s v="Invoice"/>
    <s v="96005"/>
    <x v="28"/>
    <x v="23"/>
    <x v="22"/>
    <x v="2"/>
    <n v="5.04"/>
  </r>
  <r>
    <s v="PARKER, JERROD"/>
    <s v="04"/>
    <s v="JOSEHERN"/>
    <s v="SPRINGHEAD"/>
    <x v="16"/>
    <x v="0"/>
    <x v="0"/>
    <s v="Invoice"/>
    <s v="96006"/>
    <x v="55"/>
    <x v="48"/>
    <x v="22"/>
    <x v="2"/>
    <n v="2"/>
  </r>
  <r>
    <s v="PARKER, JERROD"/>
    <s v="04"/>
    <s v="MIKELOTT"/>
    <s v="HILLSBOROUGH"/>
    <x v="16"/>
    <x v="0"/>
    <x v="0"/>
    <s v="Invoice"/>
    <s v="96007"/>
    <x v="28"/>
    <x v="23"/>
    <x v="22"/>
    <x v="2"/>
    <n v="9.9875000000000007"/>
  </r>
  <r>
    <s v="PARKER, JERROD"/>
    <s v="04"/>
    <s v="FLORIDAAG"/>
    <s v="DOVER"/>
    <x v="16"/>
    <x v="0"/>
    <x v="0"/>
    <s v="Invoice"/>
    <s v="96009"/>
    <x v="33"/>
    <x v="28"/>
    <x v="2"/>
    <x v="0"/>
    <n v="5"/>
  </r>
  <r>
    <s v="PARKER, JERROD"/>
    <s v="04"/>
    <s v="SWEETLIFE"/>
    <s v="SWINDLEN"/>
    <x v="16"/>
    <x v="0"/>
    <x v="0"/>
    <s v="Invoice"/>
    <s v="96010"/>
    <x v="27"/>
    <x v="22"/>
    <x v="22"/>
    <x v="2"/>
    <n v="12.51"/>
  </r>
  <r>
    <s v="PARKER, JERROD"/>
    <s v="04"/>
    <s v="CHARLIEG-LLC"/>
    <s v="WILDER LOOP"/>
    <x v="16"/>
    <x v="0"/>
    <x v="0"/>
    <s v="Invoice"/>
    <s v="96011"/>
    <x v="27"/>
    <x v="22"/>
    <x v="22"/>
    <x v="2"/>
    <n v="4.0025000000000004"/>
  </r>
  <r>
    <s v="PARKER, JERROD"/>
    <s v="04"/>
    <s v="SPIVEYFA"/>
    <s v="MAILING"/>
    <x v="6"/>
    <x v="0"/>
    <x v="0"/>
    <s v="Invoice"/>
    <s v="96012"/>
    <x v="42"/>
    <x v="37"/>
    <x v="30"/>
    <x v="0"/>
    <n v="10"/>
  </r>
  <r>
    <s v="PARKER, JERROD"/>
    <s v="04"/>
    <s v="MIDWAYF"/>
    <s v="WILDER RD."/>
    <x v="6"/>
    <x v="0"/>
    <x v="0"/>
    <s v="Invoice"/>
    <s v="96014"/>
    <x v="27"/>
    <x v="22"/>
    <x v="22"/>
    <x v="2"/>
    <n v="3.25"/>
  </r>
  <r>
    <s v="PARKER, JERROD"/>
    <s v="04"/>
    <s v="SWEETLIFE"/>
    <s v="MCGEE RD."/>
    <x v="6"/>
    <x v="0"/>
    <x v="0"/>
    <s v="Invoice"/>
    <s v="96015"/>
    <x v="27"/>
    <x v="22"/>
    <x v="22"/>
    <x v="2"/>
    <n v="5.0075000000000003"/>
  </r>
  <r>
    <s v="PARKER, JERROD"/>
    <s v="04"/>
    <s v="MERCEDCH"/>
    <s v="HWY62"/>
    <x v="6"/>
    <x v="0"/>
    <x v="0"/>
    <s v="Invoice"/>
    <s v="96017"/>
    <x v="43"/>
    <x v="38"/>
    <x v="22"/>
    <x v="2"/>
    <n v="10.0425"/>
  </r>
  <r>
    <s v="PARKER, JERROD"/>
    <s v="04"/>
    <s v="M&amp;GFARMS"/>
    <s v="ALLENRD"/>
    <x v="6"/>
    <x v="0"/>
    <x v="0"/>
    <s v="Invoice"/>
    <s v="96018"/>
    <x v="58"/>
    <x v="51"/>
    <x v="22"/>
    <x v="2"/>
    <n v="4.9974999999999996"/>
  </r>
  <r>
    <s v="PARKER, JERROD"/>
    <s v="04"/>
    <s v="MIDWAYF"/>
    <s v="FRAZIER"/>
    <x v="6"/>
    <x v="0"/>
    <x v="0"/>
    <s v="Invoice"/>
    <s v="96020"/>
    <x v="27"/>
    <x v="22"/>
    <x v="22"/>
    <x v="2"/>
    <n v="6.0225"/>
  </r>
  <r>
    <s v="PARKER, JERROD"/>
    <s v="04"/>
    <s v="M&amp;GFARMS"/>
    <s v="RED BARN"/>
    <x v="6"/>
    <x v="0"/>
    <x v="0"/>
    <s v="Invoice"/>
    <s v="96021"/>
    <x v="28"/>
    <x v="23"/>
    <x v="22"/>
    <x v="2"/>
    <n v="8.0150000000000006"/>
  </r>
  <r>
    <s v="PARKER, JERROD"/>
    <s v="04"/>
    <s v="MERCEDCH"/>
    <s v="HWY62"/>
    <x v="6"/>
    <x v="0"/>
    <x v="0"/>
    <s v="Invoice"/>
    <s v="96022"/>
    <x v="58"/>
    <x v="51"/>
    <x v="22"/>
    <x v="2"/>
    <n v="7.0075000000000003"/>
  </r>
  <r>
    <s v="PARKER, JERROD"/>
    <s v="04"/>
    <s v="VENTURAFARMS"/>
    <s v="HOUSE"/>
    <x v="11"/>
    <x v="0"/>
    <x v="0"/>
    <s v="Invoice"/>
    <s v="96023"/>
    <x v="63"/>
    <x v="56"/>
    <x v="22"/>
    <x v="2"/>
    <n v="1.25"/>
  </r>
  <r>
    <s v="PARKER, JERROD"/>
    <s v="04"/>
    <s v="IFASGULF"/>
    <s v="BALM-STRAWBERRY"/>
    <x v="11"/>
    <x v="0"/>
    <x v="0"/>
    <s v="Invoice"/>
    <s v="96024"/>
    <x v="28"/>
    <x v="23"/>
    <x v="22"/>
    <x v="2"/>
    <n v="7.5"/>
  </r>
  <r>
    <s v="PARKER, JERROD"/>
    <s v="04"/>
    <s v="THREESTA"/>
    <s v="BILLY GREEN"/>
    <x v="11"/>
    <x v="0"/>
    <x v="0"/>
    <s v="Invoice"/>
    <s v="96026A"/>
    <x v="64"/>
    <x v="57"/>
    <x v="22"/>
    <x v="2"/>
    <n v="11.15"/>
  </r>
  <r>
    <s v="PARKER, JERROD"/>
    <s v="04"/>
    <s v="PARKESDA"/>
    <s v="BLACKBERRIES"/>
    <x v="11"/>
    <x v="0"/>
    <x v="0"/>
    <s v="Invoice"/>
    <s v="96027"/>
    <x v="65"/>
    <x v="58"/>
    <x v="22"/>
    <x v="2"/>
    <n v="1.25"/>
  </r>
  <r>
    <s v="PARKER, JERROD"/>
    <s v="04"/>
    <s v="JOSEHERN"/>
    <s v="COLSON RD"/>
    <x v="11"/>
    <x v="0"/>
    <x v="0"/>
    <s v="Invoice"/>
    <s v="96028"/>
    <x v="55"/>
    <x v="48"/>
    <x v="22"/>
    <x v="2"/>
    <n v="1.99"/>
  </r>
  <r>
    <s v="PARKER, JERROD"/>
    <s v="04"/>
    <s v="CIRCLEGF&amp;R LLC"/>
    <s v="KNIGHTS-N-#12"/>
    <x v="11"/>
    <x v="0"/>
    <x v="0"/>
    <s v="Invoice"/>
    <s v="96029"/>
    <x v="27"/>
    <x v="22"/>
    <x v="22"/>
    <x v="2"/>
    <n v="8.9949999999999992"/>
  </r>
  <r>
    <s v="PARKER, JERROD"/>
    <s v="04"/>
    <s v="ELIASCEDILLO"/>
    <s v="JESS WALDEN"/>
    <x v="11"/>
    <x v="0"/>
    <x v="0"/>
    <s v="Invoice"/>
    <s v="96030"/>
    <x v="43"/>
    <x v="38"/>
    <x v="22"/>
    <x v="2"/>
    <n v="1.25"/>
  </r>
  <r>
    <s v="PARKER, JERROD"/>
    <s v="04"/>
    <s v="MIDWAYF"/>
    <s v="ALS - NORTH"/>
    <x v="11"/>
    <x v="0"/>
    <x v="0"/>
    <s v="Invoice"/>
    <s v="96031"/>
    <x v="27"/>
    <x v="22"/>
    <x v="22"/>
    <x v="2"/>
    <n v="3.9950000000000001"/>
  </r>
  <r>
    <s v="PARKER, JERROD"/>
    <s v="04"/>
    <s v="JGRANCH"/>
    <s v="WISCON RD."/>
    <x v="12"/>
    <x v="0"/>
    <x v="0"/>
    <s v="Invoice"/>
    <s v="96032"/>
    <x v="28"/>
    <x v="23"/>
    <x v="22"/>
    <x v="2"/>
    <n v="2.4674999999999998"/>
  </r>
  <r>
    <s v="PARKER, JERROD"/>
    <s v="04"/>
    <s v="PARKESDA"/>
    <s v="SOUTH DOVER"/>
    <x v="12"/>
    <x v="0"/>
    <x v="0"/>
    <s v="Invoice"/>
    <s v="96033"/>
    <x v="57"/>
    <x v="50"/>
    <x v="22"/>
    <x v="2"/>
    <n v="2.5024999999999999"/>
  </r>
  <r>
    <s v="PARKER, JERROD"/>
    <s v="04"/>
    <s v="FANCYFAR"/>
    <s v="DRANE FIELD"/>
    <x v="12"/>
    <x v="0"/>
    <x v="0"/>
    <s v="Invoice"/>
    <s v="96035"/>
    <x v="60"/>
    <x v="53"/>
    <x v="22"/>
    <x v="2"/>
    <n v="13.0275"/>
  </r>
  <r>
    <s v="PARKER, JERROD"/>
    <s v="04"/>
    <s v="CHARLIEG-LLC"/>
    <s v="LAMPP ROAD"/>
    <x v="12"/>
    <x v="0"/>
    <x v="0"/>
    <s v="Invoice"/>
    <s v="96036"/>
    <x v="27"/>
    <x v="22"/>
    <x v="22"/>
    <x v="2"/>
    <n v="2.5"/>
  </r>
  <r>
    <s v="PARKER, JERROD"/>
    <s v="04"/>
    <s v="MERCEDCH"/>
    <s v="TURKEY CREEK"/>
    <x v="13"/>
    <x v="0"/>
    <x v="0"/>
    <s v="Invoice"/>
    <s v="96038"/>
    <x v="58"/>
    <x v="51"/>
    <x v="22"/>
    <x v="2"/>
    <n v="7.0175000000000001"/>
  </r>
  <r>
    <s v="PARKER, JERROD"/>
    <s v="04"/>
    <s v="MERCEDCH"/>
    <s v="HWY62"/>
    <x v="13"/>
    <x v="0"/>
    <x v="0"/>
    <s v="Invoice"/>
    <s v="96039"/>
    <x v="66"/>
    <x v="59"/>
    <x v="32"/>
    <x v="0"/>
    <n v="90"/>
  </r>
  <r>
    <s v="PARKER, JERROD"/>
    <s v="04"/>
    <s v="SANCHEZFARM"/>
    <s v="WACHULA"/>
    <x v="13"/>
    <x v="0"/>
    <x v="0"/>
    <s v="Invoice"/>
    <s v="96041"/>
    <x v="59"/>
    <x v="52"/>
    <x v="22"/>
    <x v="2"/>
    <n v="7.5"/>
  </r>
  <r>
    <s v="PARKER, JERROD"/>
    <s v="04"/>
    <s v="SANCHEZFARM"/>
    <s v="WACHULA"/>
    <x v="13"/>
    <x v="0"/>
    <x v="0"/>
    <s v="Invoice"/>
    <s v="96042"/>
    <x v="67"/>
    <x v="60"/>
    <x v="22"/>
    <x v="2"/>
    <n v="7.5"/>
  </r>
  <r>
    <s v="PARKER, JERROD"/>
    <s v="04"/>
    <s v="M&amp;GFARMS"/>
    <s v="COUNTY LINE RD"/>
    <x v="13"/>
    <x v="0"/>
    <x v="0"/>
    <s v="Invoice"/>
    <s v="96043"/>
    <x v="58"/>
    <x v="51"/>
    <x v="22"/>
    <x v="2"/>
    <n v="2.5"/>
  </r>
  <r>
    <s v="PARKER, JERROD"/>
    <s v="04"/>
    <s v="ALVAREZJ"/>
    <s v="ROGERS"/>
    <x v="13"/>
    <x v="0"/>
    <x v="0"/>
    <s v="Invoice"/>
    <s v="96044"/>
    <x v="68"/>
    <x v="61"/>
    <x v="22"/>
    <x v="2"/>
    <n v="2"/>
  </r>
  <r>
    <s v="PARKER, JERROD"/>
    <s v="04"/>
    <s v="CIRCLEGF&amp;R LLC"/>
    <s v="KNIGHTS-N-#12"/>
    <x v="13"/>
    <x v="0"/>
    <x v="0"/>
    <s v="Invoice"/>
    <s v="96045"/>
    <x v="27"/>
    <x v="22"/>
    <x v="22"/>
    <x v="2"/>
    <n v="15"/>
  </r>
  <r>
    <s v="PARKER, JERROD"/>
    <s v="04"/>
    <s v="CHARLIEG-LLC"/>
    <s v="WILDER LOOP"/>
    <x v="20"/>
    <x v="0"/>
    <x v="0"/>
    <s v="Invoice"/>
    <s v="96049"/>
    <x v="27"/>
    <x v="22"/>
    <x v="22"/>
    <x v="2"/>
    <n v="12.55"/>
  </r>
  <r>
    <s v="PARKER, JERROD"/>
    <s v="04"/>
    <s v="FAVORITE"/>
    <s v="BETHLEHEM ROAD"/>
    <x v="20"/>
    <x v="0"/>
    <x v="0"/>
    <s v="Invoice"/>
    <s v="96050"/>
    <x v="59"/>
    <x v="52"/>
    <x v="22"/>
    <x v="2"/>
    <n v="5.0199999999999996"/>
  </r>
  <r>
    <s v="PARKER, JERROD"/>
    <s v="04"/>
    <s v="SWEETLIFE"/>
    <s v="BRYANT S"/>
    <x v="20"/>
    <x v="0"/>
    <x v="0"/>
    <s v="Invoice"/>
    <s v="96051"/>
    <x v="27"/>
    <x v="22"/>
    <x v="22"/>
    <x v="2"/>
    <n v="7.5"/>
  </r>
  <r>
    <s v="PARKER, JERROD"/>
    <s v="04"/>
    <s v="GUTIERREZDAN"/>
    <s v="FRUIT STAND"/>
    <x v="20"/>
    <x v="0"/>
    <x v="0"/>
    <s v="Invoice"/>
    <s v="96052"/>
    <x v="58"/>
    <x v="51"/>
    <x v="22"/>
    <x v="2"/>
    <n v="10.7425"/>
  </r>
  <r>
    <s v="PARKER, JERROD"/>
    <s v="04"/>
    <s v="COLORFULH"/>
    <s v="SMITH RYALS"/>
    <x v="20"/>
    <x v="0"/>
    <x v="0"/>
    <s v="Invoice"/>
    <s v="96053"/>
    <x v="43"/>
    <x v="38"/>
    <x v="22"/>
    <x v="2"/>
    <n v="2.5"/>
  </r>
  <r>
    <s v="PARKER, JERROD"/>
    <s v="04"/>
    <s v="SYDNEYFA"/>
    <s v="FORBES ROAD"/>
    <x v="20"/>
    <x v="0"/>
    <x v="0"/>
    <s v="Invoice"/>
    <s v="96054"/>
    <x v="28"/>
    <x v="23"/>
    <x v="22"/>
    <x v="2"/>
    <n v="7.5324999999999998"/>
  </r>
  <r>
    <s v="PARKER, JERROD"/>
    <s v="04"/>
    <s v="GUTIERREZA"/>
    <s v="AL SIMMONS RD"/>
    <x v="20"/>
    <x v="0"/>
    <x v="0"/>
    <s v="Invoice"/>
    <s v="96056"/>
    <x v="58"/>
    <x v="51"/>
    <x v="22"/>
    <x v="2"/>
    <n v="1.2749999999999999"/>
  </r>
  <r>
    <s v="PARKER, JERROD"/>
    <s v="04"/>
    <s v="CENFLO ORGANICS"/>
    <s v="MCINTOSH"/>
    <x v="20"/>
    <x v="0"/>
    <x v="0"/>
    <s v="Invoice"/>
    <s v="96057"/>
    <x v="69"/>
    <x v="62"/>
    <x v="22"/>
    <x v="2"/>
    <n v="2.5249999999999999"/>
  </r>
  <r>
    <s v="PARKER, JERROD"/>
    <s v="04"/>
    <s v="LARRYENN"/>
    <s v="TRAPNELL ROAD"/>
    <x v="20"/>
    <x v="0"/>
    <x v="0"/>
    <s v="Invoice"/>
    <s v="96058"/>
    <x v="58"/>
    <x v="51"/>
    <x v="22"/>
    <x v="2"/>
    <n v="2.5024999999999999"/>
  </r>
  <r>
    <s v="PARKER, JERROD"/>
    <s v="04"/>
    <s v="MENDOZAHEC"/>
    <s v="HWY60"/>
    <x v="14"/>
    <x v="0"/>
    <x v="0"/>
    <s v="Invoice"/>
    <s v="96061"/>
    <x v="43"/>
    <x v="38"/>
    <x v="22"/>
    <x v="2"/>
    <n v="2.5074999999999998"/>
  </r>
  <r>
    <s v="PARKER, JERROD"/>
    <s v="04"/>
    <s v="M&amp;GFARMS"/>
    <s v="SR-674"/>
    <x v="14"/>
    <x v="0"/>
    <x v="0"/>
    <s v="Invoice"/>
    <s v="96062"/>
    <x v="28"/>
    <x v="23"/>
    <x v="22"/>
    <x v="2"/>
    <n v="8.0350000000000001"/>
  </r>
  <r>
    <s v="PARKER, JERROD"/>
    <s v="04"/>
    <s v="SOUTHERNHILL"/>
    <s v="SCHOFIELD"/>
    <x v="14"/>
    <x v="0"/>
    <x v="0"/>
    <s v="Invoice"/>
    <s v="96064"/>
    <x v="43"/>
    <x v="38"/>
    <x v="22"/>
    <x v="2"/>
    <n v="2.4975000000000001"/>
  </r>
  <r>
    <s v="PARKER, JERROD"/>
    <s v="04"/>
    <s v="ALONSOFARMS"/>
    <s v="SCARPO"/>
    <x v="14"/>
    <x v="0"/>
    <x v="0"/>
    <s v="Invoice"/>
    <s v="96065"/>
    <x v="69"/>
    <x v="62"/>
    <x v="22"/>
    <x v="2"/>
    <n v="10"/>
  </r>
  <r>
    <s v="PARKER, JERROD"/>
    <s v="04"/>
    <s v="CHAVEZJOR"/>
    <s v="JOSE' CHAV- COD"/>
    <x v="14"/>
    <x v="0"/>
    <x v="0"/>
    <s v="Invoice"/>
    <s v="96067"/>
    <x v="53"/>
    <x v="46"/>
    <x v="22"/>
    <x v="2"/>
    <n v="0.15"/>
  </r>
  <r>
    <s v="PARKER, JERROD"/>
    <s v="04"/>
    <s v="SWEETLIFE"/>
    <s v="KEENE RD."/>
    <x v="14"/>
    <x v="0"/>
    <x v="0"/>
    <s v="Invoice"/>
    <s v="96068"/>
    <x v="27"/>
    <x v="22"/>
    <x v="22"/>
    <x v="2"/>
    <n v="2.4975000000000001"/>
  </r>
  <r>
    <s v="PARKER, JERROD"/>
    <s v="04"/>
    <s v="SWEETLIFE"/>
    <s v="SAMALLEN-NORTH"/>
    <x v="14"/>
    <x v="0"/>
    <x v="0"/>
    <s v="Invoice"/>
    <s v="96069"/>
    <x v="27"/>
    <x v="22"/>
    <x v="22"/>
    <x v="2"/>
    <n v="10.005000000000001"/>
  </r>
  <r>
    <s v="PARKER, JERROD"/>
    <s v="04"/>
    <s v="GERALDWI"/>
    <s v="MCINTOSH ROAD"/>
    <x v="17"/>
    <x v="0"/>
    <x v="0"/>
    <s v="Invoice"/>
    <s v="96070"/>
    <x v="43"/>
    <x v="38"/>
    <x v="22"/>
    <x v="2"/>
    <n v="5.0075000000000003"/>
  </r>
  <r>
    <s v="PARKER, JERROD"/>
    <s v="04"/>
    <s v="SWEETLIFE"/>
    <s v="KNIGHTS GRIFFIN"/>
    <x v="17"/>
    <x v="0"/>
    <x v="0"/>
    <s v="Invoice"/>
    <s v="96071"/>
    <x v="27"/>
    <x v="22"/>
    <x v="22"/>
    <x v="2"/>
    <n v="15.015000000000001"/>
  </r>
  <r>
    <s v="PARKER, JERROD"/>
    <s v="04"/>
    <s v="FFA"/>
    <s v="SIMMONS"/>
    <x v="17"/>
    <x v="0"/>
    <x v="0"/>
    <s v="Invoice"/>
    <s v="96072"/>
    <x v="28"/>
    <x v="23"/>
    <x v="22"/>
    <x v="2"/>
    <n v="0.15"/>
  </r>
  <r>
    <s v="PARKER, JERROD"/>
    <s v="04"/>
    <s v="IFASGULF"/>
    <s v="BALM-STRAWBERRY"/>
    <x v="17"/>
    <x v="0"/>
    <x v="0"/>
    <s v="Invoice"/>
    <s v="96075"/>
    <x v="70"/>
    <x v="63"/>
    <x v="33"/>
    <x v="0"/>
    <n v="250"/>
  </r>
  <r>
    <s v="PARKER, JERROD"/>
    <s v="04"/>
    <s v="GUTIERREZA"/>
    <s v="JOE KING RD"/>
    <x v="17"/>
    <x v="0"/>
    <x v="0"/>
    <s v="Invoice"/>
    <s v="96077"/>
    <x v="58"/>
    <x v="51"/>
    <x v="22"/>
    <x v="2"/>
    <n v="3.7475000000000001"/>
  </r>
  <r>
    <s v="PARKER, JERROD"/>
    <s v="04"/>
    <s v="CARLTONTHOMAS"/>
    <s v="GRANGEHALL"/>
    <x v="17"/>
    <x v="0"/>
    <x v="0"/>
    <s v="Invoice"/>
    <s v="96078"/>
    <x v="71"/>
    <x v="64"/>
    <x v="22"/>
    <x v="2"/>
    <n v="10.005000000000001"/>
  </r>
  <r>
    <s v="PARKER, JERROD"/>
    <s v="04"/>
    <s v="MIDWAYF"/>
    <s v="ALS - NORTH"/>
    <x v="17"/>
    <x v="0"/>
    <x v="0"/>
    <s v="Invoice"/>
    <s v="96080"/>
    <x v="27"/>
    <x v="22"/>
    <x v="22"/>
    <x v="2"/>
    <n v="15.0025"/>
  </r>
  <r>
    <s v="PARKER, JERROD"/>
    <s v="04"/>
    <s v="MIDWAYF"/>
    <s v="WILDER RD."/>
    <x v="21"/>
    <x v="0"/>
    <x v="0"/>
    <s v="Invoice"/>
    <s v="96083"/>
    <x v="27"/>
    <x v="22"/>
    <x v="22"/>
    <x v="2"/>
    <n v="10.02"/>
  </r>
  <r>
    <s v="PARKER, JERROD"/>
    <s v="04"/>
    <s v="MIDWAYF"/>
    <s v="WILDER RD."/>
    <x v="21"/>
    <x v="0"/>
    <x v="0"/>
    <s v="Invoice"/>
    <s v="96084"/>
    <x v="27"/>
    <x v="22"/>
    <x v="22"/>
    <x v="2"/>
    <n v="2"/>
  </r>
  <r>
    <s v="PARKER, JERROD"/>
    <s v="04"/>
    <s v="CIRCLEGF&amp;R LLC"/>
    <s v="KNIGHTS-N-#16"/>
    <x v="21"/>
    <x v="0"/>
    <x v="0"/>
    <s v="Invoice"/>
    <s v="96085"/>
    <x v="27"/>
    <x v="22"/>
    <x v="22"/>
    <x v="2"/>
    <n v="10.015000000000001"/>
  </r>
  <r>
    <s v="PARKER, JERROD"/>
    <s v="04"/>
    <s v="CHARLIEG-LLC"/>
    <s v="FORBES RD"/>
    <x v="21"/>
    <x v="0"/>
    <x v="0"/>
    <s v="Invoice"/>
    <s v="96086"/>
    <x v="27"/>
    <x v="22"/>
    <x v="22"/>
    <x v="2"/>
    <n v="5.0075000000000003"/>
  </r>
  <r>
    <s v="PARKER, JERROD"/>
    <s v="04"/>
    <s v="SOUTHERNHILL"/>
    <s v="SCHOFIELD"/>
    <x v="21"/>
    <x v="0"/>
    <x v="0"/>
    <s v="Invoice"/>
    <s v="96087"/>
    <x v="47"/>
    <x v="41"/>
    <x v="22"/>
    <x v="2"/>
    <n v="2.4"/>
  </r>
  <r>
    <s v="PARKER, JERROD"/>
    <s v="04"/>
    <s v="FERRISFA"/>
    <s v="THE HILL/SMALL"/>
    <x v="17"/>
    <x v="0"/>
    <x v="0"/>
    <s v="Invoice"/>
    <s v="96088"/>
    <x v="72"/>
    <x v="65"/>
    <x v="22"/>
    <x v="2"/>
    <n v="15.012499999999999"/>
  </r>
  <r>
    <s v="PARKER, JERROD"/>
    <s v="04"/>
    <s v="MIDWAYF"/>
    <s v="ALS - SOUTH"/>
    <x v="17"/>
    <x v="0"/>
    <x v="0"/>
    <s v="Invoice"/>
    <s v="96089"/>
    <x v="27"/>
    <x v="22"/>
    <x v="22"/>
    <x v="2"/>
    <n v="5"/>
  </r>
  <r>
    <s v="PARKER, JERROD"/>
    <s v="04"/>
    <s v="MIDWAYF"/>
    <s v="SAMALLEN"/>
    <x v="17"/>
    <x v="0"/>
    <x v="0"/>
    <s v="Invoice"/>
    <s v="96090"/>
    <x v="27"/>
    <x v="22"/>
    <x v="22"/>
    <x v="2"/>
    <n v="6.25"/>
  </r>
  <r>
    <s v="PARKER, JERROD"/>
    <s v="04"/>
    <s v="MERCEDCH"/>
    <s v="HWY62"/>
    <x v="7"/>
    <x v="0"/>
    <x v="0"/>
    <s v="Invoice"/>
    <s v="96093"/>
    <x v="43"/>
    <x v="38"/>
    <x v="22"/>
    <x v="2"/>
    <n v="7.9775"/>
  </r>
  <r>
    <s v="BHALL"/>
    <s v="04"/>
    <s v="UFPSUNIT"/>
    <s v="CITRA FARM"/>
    <x v="7"/>
    <x v="0"/>
    <x v="0"/>
    <s v="Invoice"/>
    <s v="96094"/>
    <x v="73"/>
    <x v="66"/>
    <x v="22"/>
    <x v="2"/>
    <n v="5"/>
  </r>
  <r>
    <s v="PARKER, JERROD"/>
    <s v="04"/>
    <s v="EWSIMMON"/>
    <s v="JERRY SMITH RD"/>
    <x v="7"/>
    <x v="0"/>
    <x v="0"/>
    <s v="Invoice"/>
    <s v="96095"/>
    <x v="28"/>
    <x v="23"/>
    <x v="22"/>
    <x v="2"/>
    <n v="5.0250000000000004"/>
  </r>
  <r>
    <s v="PARKER, JERROD"/>
    <s v="04"/>
    <s v="SPIVEYFA"/>
    <s v="HOPEWELL"/>
    <x v="7"/>
    <x v="0"/>
    <x v="0"/>
    <s v="Invoice"/>
    <s v="96096"/>
    <x v="56"/>
    <x v="49"/>
    <x v="22"/>
    <x v="2"/>
    <n v="3.5"/>
  </r>
  <r>
    <s v="PARKER, JERROD"/>
    <s v="04"/>
    <s v="FLORIDAAG"/>
    <s v="DOVER"/>
    <x v="7"/>
    <x v="0"/>
    <x v="0"/>
    <s v="Invoice"/>
    <s v="96104"/>
    <x v="52"/>
    <x v="45"/>
    <x v="22"/>
    <x v="2"/>
    <n v="2.5"/>
  </r>
  <r>
    <s v="PARKER, JERROD"/>
    <s v="04"/>
    <s v="FLORIDAAG"/>
    <s v="KINGSWAY"/>
    <x v="7"/>
    <x v="0"/>
    <x v="0"/>
    <s v="Invoice"/>
    <s v="96105"/>
    <x v="52"/>
    <x v="45"/>
    <x v="22"/>
    <x v="2"/>
    <n v="2.0150000000000001"/>
  </r>
  <r>
    <s v="HOUSE"/>
    <s v="05"/>
    <s v="COASTALAGSUPPLY"/>
    <s v="MULBERRY"/>
    <x v="0"/>
    <x v="0"/>
    <x v="0"/>
    <s v="Invoice"/>
    <s v="95924"/>
    <x v="74"/>
    <x v="67"/>
    <x v="7"/>
    <x v="0"/>
    <n v="500"/>
  </r>
  <r>
    <s v="HOUSE"/>
    <s v="05"/>
    <s v="COASTALAGSUPPLY"/>
    <s v="MAILING"/>
    <x v="0"/>
    <x v="0"/>
    <x v="0"/>
    <s v="Invoice"/>
    <s v="95926"/>
    <x v="75"/>
    <x v="68"/>
    <x v="22"/>
    <x v="2"/>
    <n v="1.25"/>
  </r>
  <r>
    <s v="HOUSE"/>
    <s v="05"/>
    <s v="SOUTHERN"/>
    <s v="SOUTHERN AG"/>
    <x v="18"/>
    <x v="0"/>
    <x v="0"/>
    <s v="Invoice"/>
    <s v="95942"/>
    <x v="22"/>
    <x v="69"/>
    <x v="17"/>
    <x v="0"/>
    <n v="900"/>
  </r>
  <r>
    <s v="HOUSE"/>
    <s v="05"/>
    <s v="COASTALAGSUPPLY"/>
    <s v="MULBERRY"/>
    <x v="19"/>
    <x v="0"/>
    <x v="0"/>
    <s v="Invoice"/>
    <s v="95988"/>
    <x v="35"/>
    <x v="30"/>
    <x v="27"/>
    <x v="0"/>
    <n v="90"/>
  </r>
  <r>
    <s v="HOUSE"/>
    <s v="05"/>
    <s v="COASTALAGSUPPLY"/>
    <s v="MULBERRY"/>
    <x v="13"/>
    <x v="0"/>
    <x v="0"/>
    <s v="Invoice"/>
    <s v="96047"/>
    <x v="58"/>
    <x v="51"/>
    <x v="22"/>
    <x v="2"/>
    <n v="1.25"/>
  </r>
  <r>
    <s v="HOUSE"/>
    <s v="05"/>
    <s v="CPSHOMES"/>
    <s v="HOMESTEAD"/>
    <x v="17"/>
    <x v="0"/>
    <x v="0"/>
    <s v="Invoice"/>
    <s v="96073"/>
    <x v="48"/>
    <x v="33"/>
    <x v="28"/>
    <x v="0"/>
    <n v="180"/>
  </r>
  <r>
    <s v="PARKER,J."/>
    <s v="08"/>
    <s v="MAYO"/>
    <s v="PLANTCITY"/>
    <x v="19"/>
    <x v="0"/>
    <x v="0"/>
    <s v="Invoice"/>
    <s v="95991"/>
    <x v="76"/>
    <x v="70"/>
    <x v="22"/>
    <x v="2"/>
    <n v="1.25"/>
  </r>
  <r>
    <s v="PARKER,J."/>
    <s v="08"/>
    <s v="MAYO"/>
    <s v="PLANTCITY"/>
    <x v="20"/>
    <x v="0"/>
    <x v="0"/>
    <s v="Invoice"/>
    <s v="96055"/>
    <x v="77"/>
    <x v="37"/>
    <x v="30"/>
    <x v="0"/>
    <n v="30"/>
  </r>
  <r>
    <s v="KEVIN"/>
    <s v="09"/>
    <s v="NUTRATURF"/>
    <s v="CRUMP ST, NC"/>
    <x v="8"/>
    <x v="0"/>
    <x v="0"/>
    <s v="Invoice"/>
    <s v="95921"/>
    <x v="78"/>
    <x v="71"/>
    <x v="34"/>
    <x v="0"/>
    <n v="110"/>
  </r>
  <r>
    <s v="KEVIN"/>
    <s v="09"/>
    <s v="NUTRATURF"/>
    <s v="CRUMP ST, NC"/>
    <x v="8"/>
    <x v="0"/>
    <x v="0"/>
    <s v="Invoice"/>
    <s v="95921"/>
    <x v="33"/>
    <x v="28"/>
    <x v="2"/>
    <x v="0"/>
    <n v="20"/>
  </r>
  <r>
    <s v="KEVIN"/>
    <s v="09"/>
    <s v="NUTRATURF"/>
    <s v="CRUMP ST, NC"/>
    <x v="8"/>
    <x v="0"/>
    <x v="0"/>
    <s v="Invoice"/>
    <s v="95921"/>
    <x v="79"/>
    <x v="72"/>
    <x v="4"/>
    <x v="0"/>
    <n v="165"/>
  </r>
  <r>
    <s v="KEVIN"/>
    <s v="09"/>
    <s v="NUTRATURF"/>
    <s v="CRUMP ST, NC"/>
    <x v="8"/>
    <x v="0"/>
    <x v="0"/>
    <s v="Invoice"/>
    <s v="95921"/>
    <x v="80"/>
    <x v="73"/>
    <x v="4"/>
    <x v="0"/>
    <n v="55"/>
  </r>
  <r>
    <s v="KEVIN"/>
    <s v="09"/>
    <s v="NUTRATURF"/>
    <s v="CRUMP ST, NC"/>
    <x v="8"/>
    <x v="0"/>
    <x v="0"/>
    <s v="Invoice"/>
    <s v="95921"/>
    <x v="81"/>
    <x v="74"/>
    <x v="13"/>
    <x v="0"/>
    <n v="110"/>
  </r>
  <r>
    <s v="KEVIN"/>
    <s v="09"/>
    <s v="NUTRATURF"/>
    <s v="CRUMP ST, NC"/>
    <x v="8"/>
    <x v="0"/>
    <x v="0"/>
    <s v="Invoice"/>
    <s v="95921"/>
    <x v="82"/>
    <x v="75"/>
    <x v="26"/>
    <x v="0"/>
    <n v="110"/>
  </r>
  <r>
    <s v="KEVIN"/>
    <s v="09"/>
    <s v="NUTRATURF"/>
    <s v="CRUMP ST, NC"/>
    <x v="8"/>
    <x v="0"/>
    <x v="0"/>
    <s v="Invoice"/>
    <s v="95921"/>
    <x v="83"/>
    <x v="69"/>
    <x v="17"/>
    <x v="0"/>
    <n v="250"/>
  </r>
  <r>
    <s v="KEVIN"/>
    <s v="09"/>
    <s v="NUTRATURF"/>
    <s v="CRUMP ST, NC"/>
    <x v="8"/>
    <x v="0"/>
    <x v="0"/>
    <s v="Invoice"/>
    <s v="95921"/>
    <x v="84"/>
    <x v="76"/>
    <x v="11"/>
    <x v="0"/>
    <n v="110"/>
  </r>
  <r>
    <s v="KEVIN"/>
    <s v="09"/>
    <s v="NUTRATURF"/>
    <s v="CRUMP ST, NC"/>
    <x v="8"/>
    <x v="0"/>
    <x v="0"/>
    <s v="Invoice"/>
    <s v="95921"/>
    <x v="85"/>
    <x v="77"/>
    <x v="35"/>
    <x v="0"/>
    <n v="165"/>
  </r>
  <r>
    <s v="KEVIN"/>
    <s v="09"/>
    <s v="NUTRATURF"/>
    <s v="CRUMP ST, NC"/>
    <x v="8"/>
    <x v="0"/>
    <x v="0"/>
    <s v="Invoice"/>
    <s v="95921"/>
    <x v="4"/>
    <x v="32"/>
    <x v="3"/>
    <x v="0"/>
    <n v="110"/>
  </r>
  <r>
    <s v="KEVIN"/>
    <s v="09"/>
    <s v="NUTRATURF"/>
    <s v="CRUMP ST, NC"/>
    <x v="8"/>
    <x v="0"/>
    <x v="0"/>
    <s v="Invoice"/>
    <s v="95921"/>
    <x v="86"/>
    <x v="78"/>
    <x v="36"/>
    <x v="0"/>
    <n v="250"/>
  </r>
  <r>
    <s v="KEVIN"/>
    <s v="09"/>
    <s v="AGRIBUSI"/>
    <s v="GREENPOINTAG"/>
    <x v="15"/>
    <x v="0"/>
    <x v="0"/>
    <s v="Invoice"/>
    <s v="95969"/>
    <x v="87"/>
    <x v="79"/>
    <x v="8"/>
    <x v="0"/>
    <n v="3500"/>
  </r>
  <r>
    <s v="KEVIN"/>
    <s v="09"/>
    <s v="GREENRES"/>
    <s v="OCEAN HWY-NC"/>
    <x v="13"/>
    <x v="0"/>
    <x v="0"/>
    <s v="Invoice"/>
    <s v="96048"/>
    <x v="3"/>
    <x v="80"/>
    <x v="2"/>
    <x v="0"/>
    <n v="180"/>
  </r>
  <r>
    <s v="KEVIN"/>
    <s v="09"/>
    <s v="GREENRES"/>
    <s v="OCEAN HWY-NC"/>
    <x v="13"/>
    <x v="0"/>
    <x v="0"/>
    <s v="Invoice"/>
    <s v="96048"/>
    <x v="88"/>
    <x v="80"/>
    <x v="2"/>
    <x v="0"/>
    <n v="220"/>
  </r>
  <r>
    <s v="KEVIN"/>
    <s v="09"/>
    <s v="AGRIBUSI"/>
    <s v="CDI"/>
    <x v="17"/>
    <x v="0"/>
    <x v="0"/>
    <s v="Invoice"/>
    <s v="96079"/>
    <x v="89"/>
    <x v="81"/>
    <x v="20"/>
    <x v="1"/>
    <n v="3000"/>
  </r>
  <r>
    <s v="HAP"/>
    <s v="01"/>
    <s v="GREENWAY"/>
    <s v="POINTEWEST"/>
    <x v="22"/>
    <x v="1"/>
    <x v="0"/>
    <s v="Invoice"/>
    <s v="96128"/>
    <x v="1"/>
    <x v="1"/>
    <x v="1"/>
    <x v="0"/>
    <n v="55"/>
  </r>
  <r>
    <s v="HAP"/>
    <s v="01"/>
    <s v="GREENWAY"/>
    <s v="POINTEWEST"/>
    <x v="22"/>
    <x v="1"/>
    <x v="0"/>
    <s v="Invoice"/>
    <s v="96128"/>
    <x v="2"/>
    <x v="0"/>
    <x v="0"/>
    <x v="0"/>
    <n v="30"/>
  </r>
  <r>
    <s v="HAP"/>
    <s v="01"/>
    <s v="GREENWAY"/>
    <s v="MAILING-WPBCH"/>
    <x v="23"/>
    <x v="1"/>
    <x v="0"/>
    <s v="Invoice"/>
    <s v="96140"/>
    <x v="90"/>
    <x v="13"/>
    <x v="13"/>
    <x v="0"/>
    <n v="120"/>
  </r>
  <r>
    <s v="HAP"/>
    <s v="01"/>
    <s v="GREENWAY"/>
    <s v="MAILING-WPBCH"/>
    <x v="23"/>
    <x v="1"/>
    <x v="0"/>
    <s v="Invoice"/>
    <s v="96140"/>
    <x v="7"/>
    <x v="6"/>
    <x v="6"/>
    <x v="0"/>
    <n v="60"/>
  </r>
  <r>
    <s v="HAP"/>
    <s v="01"/>
    <s v="GREENWAY"/>
    <s v="MAILING-WPBCH"/>
    <x v="23"/>
    <x v="1"/>
    <x v="0"/>
    <s v="Invoice"/>
    <s v="96140"/>
    <x v="3"/>
    <x v="2"/>
    <x v="2"/>
    <x v="0"/>
    <n v="120"/>
  </r>
  <r>
    <s v="HAP"/>
    <s v="01"/>
    <s v="GREENWAY"/>
    <s v="MAILING-WPBCH"/>
    <x v="23"/>
    <x v="1"/>
    <x v="0"/>
    <s v="Invoice"/>
    <s v="96140"/>
    <x v="8"/>
    <x v="7"/>
    <x v="7"/>
    <x v="0"/>
    <n v="120"/>
  </r>
  <r>
    <s v="HAP"/>
    <s v="01"/>
    <s v="GREENWAY"/>
    <s v="MAILING-WPBCH"/>
    <x v="23"/>
    <x v="1"/>
    <x v="0"/>
    <s v="Invoice"/>
    <s v="96140"/>
    <x v="6"/>
    <x v="5"/>
    <x v="5"/>
    <x v="0"/>
    <n v="120"/>
  </r>
  <r>
    <s v="HAP"/>
    <s v="01"/>
    <s v="GREENWAY"/>
    <s v="MAILING-WPBCH"/>
    <x v="23"/>
    <x v="1"/>
    <x v="0"/>
    <s v="Invoice"/>
    <s v="96140"/>
    <x v="2"/>
    <x v="0"/>
    <x v="0"/>
    <x v="0"/>
    <n v="60"/>
  </r>
  <r>
    <s v="HAP"/>
    <s v="01"/>
    <s v="GREENWAY"/>
    <s v="WINDSOR POLO"/>
    <x v="24"/>
    <x v="1"/>
    <x v="0"/>
    <s v="Invoice"/>
    <s v="96190"/>
    <x v="88"/>
    <x v="2"/>
    <x v="2"/>
    <x v="0"/>
    <n v="55"/>
  </r>
  <r>
    <s v="HAP"/>
    <s v="01"/>
    <s v="GREENWAY"/>
    <s v="LEGACYCC"/>
    <x v="25"/>
    <x v="1"/>
    <x v="0"/>
    <s v="Invoice"/>
    <s v="96215"/>
    <x v="91"/>
    <x v="14"/>
    <x v="14"/>
    <x v="0"/>
    <n v="20"/>
  </r>
  <r>
    <s v="HAP"/>
    <s v="01"/>
    <s v="GREENWAY"/>
    <s v="MIZNER C. CLUB"/>
    <x v="26"/>
    <x v="1"/>
    <x v="0"/>
    <s v="Invoice"/>
    <s v="96282"/>
    <x v="3"/>
    <x v="2"/>
    <x v="2"/>
    <x v="0"/>
    <n v="30"/>
  </r>
  <r>
    <s v="HAP"/>
    <s v="01"/>
    <s v="GREENWAY"/>
    <s v="MIZNER C. CLUB"/>
    <x v="26"/>
    <x v="1"/>
    <x v="0"/>
    <s v="Invoice"/>
    <s v="96282"/>
    <x v="5"/>
    <x v="4"/>
    <x v="4"/>
    <x v="0"/>
    <n v="60"/>
  </r>
  <r>
    <s v="HAP"/>
    <s v="01"/>
    <s v="GREENWAY"/>
    <s v="MIZNER C. CLUB"/>
    <x v="26"/>
    <x v="1"/>
    <x v="0"/>
    <s v="Invoice"/>
    <s v="96282"/>
    <x v="6"/>
    <x v="5"/>
    <x v="5"/>
    <x v="0"/>
    <n v="30"/>
  </r>
  <r>
    <s v="HAP"/>
    <s v="01"/>
    <s v="GREENWAY"/>
    <s v="MIZNER C. CLUB"/>
    <x v="26"/>
    <x v="1"/>
    <x v="0"/>
    <s v="Invoice"/>
    <s v="96282"/>
    <x v="2"/>
    <x v="0"/>
    <x v="0"/>
    <x v="0"/>
    <n v="60"/>
  </r>
  <r>
    <s v="HAP"/>
    <s v="01"/>
    <s v="GREENWAY"/>
    <s v="WINDSOR POLO"/>
    <x v="26"/>
    <x v="1"/>
    <x v="0"/>
    <s v="Invoice"/>
    <s v="96283"/>
    <x v="0"/>
    <x v="0"/>
    <x v="0"/>
    <x v="0"/>
    <n v="55"/>
  </r>
  <r>
    <s v="HAP"/>
    <s v="01"/>
    <s v="ALMARCH"/>
    <s v="THONOTOSASSA"/>
    <x v="27"/>
    <x v="1"/>
    <x v="0"/>
    <s v="Invoice"/>
    <s v="96329"/>
    <x v="92"/>
    <x v="82"/>
    <x v="35"/>
    <x v="0"/>
    <n v="180"/>
  </r>
  <r>
    <s v="HAP"/>
    <s v="01"/>
    <s v="ALMARCH"/>
    <s v="THONOTOSASSA"/>
    <x v="27"/>
    <x v="1"/>
    <x v="0"/>
    <s v="Invoice"/>
    <s v="96329"/>
    <x v="22"/>
    <x v="83"/>
    <x v="17"/>
    <x v="0"/>
    <n v="90"/>
  </r>
  <r>
    <s v="HAP"/>
    <s v="01"/>
    <s v="ALMARCH"/>
    <s v="THONOTOSASSA"/>
    <x v="27"/>
    <x v="1"/>
    <x v="0"/>
    <s v="Invoice"/>
    <s v="96329"/>
    <x v="93"/>
    <x v="84"/>
    <x v="37"/>
    <x v="0"/>
    <n v="90"/>
  </r>
  <r>
    <s v="DAVID"/>
    <s v="02"/>
    <s v="GEOPONICSCORP"/>
    <s v="NAPLES UNIT-105"/>
    <x v="28"/>
    <x v="1"/>
    <x v="0"/>
    <s v="Invoice"/>
    <s v="96116"/>
    <x v="32"/>
    <x v="85"/>
    <x v="25"/>
    <x v="0"/>
    <n v="210"/>
  </r>
  <r>
    <s v="DAVID"/>
    <s v="02"/>
    <s v="GEOPONICSCORP"/>
    <s v="NAPLES UNIT-105"/>
    <x v="28"/>
    <x v="1"/>
    <x v="0"/>
    <s v="Invoice"/>
    <s v="96116"/>
    <x v="32"/>
    <x v="86"/>
    <x v="25"/>
    <x v="0"/>
    <n v="135"/>
  </r>
  <r>
    <s v="DAVID"/>
    <s v="02"/>
    <s v="CPSOKEE"/>
    <s v="OKEE-LIQ PLANT"/>
    <x v="23"/>
    <x v="1"/>
    <x v="0"/>
    <s v="Invoice"/>
    <s v="96135"/>
    <x v="29"/>
    <x v="24"/>
    <x v="20"/>
    <x v="1"/>
    <n v="45380"/>
  </r>
  <r>
    <s v="DAVID"/>
    <s v="02"/>
    <s v="CHEMDYNA"/>
    <s v="R&amp;D"/>
    <x v="29"/>
    <x v="1"/>
    <x v="0"/>
    <s v="Invoice"/>
    <s v="96156"/>
    <x v="94"/>
    <x v="87"/>
    <x v="38"/>
    <x v="0"/>
    <n v="5"/>
  </r>
  <r>
    <s v="DAVID"/>
    <s v="02"/>
    <s v="COASTALAGSUPPLY"/>
    <s v="TRENTON"/>
    <x v="30"/>
    <x v="1"/>
    <x v="0"/>
    <s v="Invoice"/>
    <s v="96176"/>
    <x v="87"/>
    <x v="88"/>
    <x v="8"/>
    <x v="0"/>
    <n v="1500"/>
  </r>
  <r>
    <s v="DAVID"/>
    <s v="02"/>
    <s v="JHBIOTECH"/>
    <s v="JHBIOTECH"/>
    <x v="25"/>
    <x v="1"/>
    <x v="0"/>
    <s v="Invoice"/>
    <s v="96218"/>
    <x v="24"/>
    <x v="19"/>
    <x v="19"/>
    <x v="0"/>
    <n v="2684"/>
  </r>
  <r>
    <s v="DAVID"/>
    <s v="02"/>
    <s v="GLADESFORM"/>
    <s v="MAIN"/>
    <x v="31"/>
    <x v="1"/>
    <x v="0"/>
    <s v="Invoice"/>
    <s v="96235A"/>
    <x v="95"/>
    <x v="89"/>
    <x v="20"/>
    <x v="1"/>
    <n v="2647.5"/>
  </r>
  <r>
    <s v="DAVID"/>
    <s v="02"/>
    <s v="UNIVAR"/>
    <s v="ORLANDO"/>
    <x v="31"/>
    <x v="1"/>
    <x v="0"/>
    <s v="Invoice"/>
    <s v="96240"/>
    <x v="33"/>
    <x v="28"/>
    <x v="2"/>
    <x v="0"/>
    <n v="35"/>
  </r>
  <r>
    <s v="DAVID"/>
    <s v="02"/>
    <s v="UNIVAR"/>
    <s v="ORLANDO"/>
    <x v="31"/>
    <x v="1"/>
    <x v="0"/>
    <s v="Invoice"/>
    <s v="96240"/>
    <x v="96"/>
    <x v="90"/>
    <x v="39"/>
    <x v="0"/>
    <n v="5"/>
  </r>
  <r>
    <s v="DAVID"/>
    <s v="02"/>
    <s v="MIDWAYF"/>
    <s v="KNIGHTSGRIFFIN"/>
    <x v="32"/>
    <x v="1"/>
    <x v="0"/>
    <s v="Invoice"/>
    <s v="96255"/>
    <x v="27"/>
    <x v="22"/>
    <x v="22"/>
    <x v="2"/>
    <n v="2.4925000000000002"/>
  </r>
  <r>
    <s v="DAVID"/>
    <s v="02"/>
    <s v="OHARAPEST"/>
    <s v="MAILIING"/>
    <x v="33"/>
    <x v="1"/>
    <x v="0"/>
    <s v="Invoice"/>
    <s v="96286"/>
    <x v="97"/>
    <x v="91"/>
    <x v="8"/>
    <x v="0"/>
    <n v="250"/>
  </r>
  <r>
    <s v="DAVID"/>
    <s v="02"/>
    <s v="BIGEARTH"/>
    <s v="TAMPA"/>
    <x v="34"/>
    <x v="1"/>
    <x v="0"/>
    <s v="Invoice"/>
    <s v="96381"/>
    <x v="98"/>
    <x v="92"/>
    <x v="40"/>
    <x v="0"/>
    <n v="360"/>
  </r>
  <r>
    <s v="DAVID"/>
    <s v="02"/>
    <s v="BIGEARTH"/>
    <s v="TAMPA"/>
    <x v="34"/>
    <x v="1"/>
    <x v="0"/>
    <s v="Invoice"/>
    <s v="96382"/>
    <x v="3"/>
    <x v="80"/>
    <x v="2"/>
    <x v="0"/>
    <n v="100"/>
  </r>
  <r>
    <s v="JUSTIN"/>
    <s v="03"/>
    <s v="G&amp;DFARMS"/>
    <s v="MIDDLE"/>
    <x v="28"/>
    <x v="1"/>
    <x v="0"/>
    <s v="Invoice"/>
    <s v="96106"/>
    <x v="99"/>
    <x v="93"/>
    <x v="22"/>
    <x v="2"/>
    <n v="10"/>
  </r>
  <r>
    <s v="JUSTIN"/>
    <s v="03"/>
    <s v="TRIANGLE"/>
    <s v="TRIANGLE/LAKEPL"/>
    <x v="22"/>
    <x v="1"/>
    <x v="0"/>
    <s v="Invoice"/>
    <s v="96123"/>
    <x v="100"/>
    <x v="94"/>
    <x v="41"/>
    <x v="0"/>
    <n v="250"/>
  </r>
  <r>
    <s v="JUSTIN"/>
    <s v="03"/>
    <s v="G&amp;DFARMS"/>
    <s v="POWER LINE"/>
    <x v="23"/>
    <x v="1"/>
    <x v="0"/>
    <s v="Invoice"/>
    <s v="96142"/>
    <x v="99"/>
    <x v="93"/>
    <x v="22"/>
    <x v="2"/>
    <n v="20.015000000000001"/>
  </r>
  <r>
    <s v="JUSTIN"/>
    <s v="03"/>
    <s v="CPSWAVER"/>
    <s v="WAVERLY"/>
    <x v="29"/>
    <x v="1"/>
    <x v="0"/>
    <s v="Invoice"/>
    <s v="96148"/>
    <x v="38"/>
    <x v="30"/>
    <x v="27"/>
    <x v="0"/>
    <n v="500"/>
  </r>
  <r>
    <s v="JUSTIN"/>
    <s v="03"/>
    <s v="G&amp;DFARMS"/>
    <s v="MIDDLE"/>
    <x v="35"/>
    <x v="1"/>
    <x v="0"/>
    <s v="Invoice"/>
    <s v="96159"/>
    <x v="99"/>
    <x v="93"/>
    <x v="22"/>
    <x v="2"/>
    <n v="10"/>
  </r>
  <r>
    <s v="JUSTIN"/>
    <s v="03"/>
    <s v="CPSWACHU"/>
    <s v="WAUCHULA"/>
    <x v="36"/>
    <x v="1"/>
    <x v="0"/>
    <s v="Invoice"/>
    <s v="96169"/>
    <x v="38"/>
    <x v="30"/>
    <x v="27"/>
    <x v="0"/>
    <n v="250"/>
  </r>
  <r>
    <s v="JUSTIN"/>
    <s v="03"/>
    <s v="HOWARDFE"/>
    <s v="HOWARD/BOYNTON"/>
    <x v="37"/>
    <x v="1"/>
    <x v="0"/>
    <s v="Invoice"/>
    <s v="96231"/>
    <x v="101"/>
    <x v="21"/>
    <x v="21"/>
    <x v="0"/>
    <n v="360"/>
  </r>
  <r>
    <s v="JUSTIN"/>
    <s v="03"/>
    <s v="CPSWAVER"/>
    <s v="WAVERLY"/>
    <x v="38"/>
    <x v="1"/>
    <x v="0"/>
    <s v="Invoice"/>
    <s v="96260"/>
    <x v="35"/>
    <x v="30"/>
    <x v="27"/>
    <x v="0"/>
    <n v="180"/>
  </r>
  <r>
    <s v="JUSTIN"/>
    <s v="03"/>
    <s v="COUNCILO"/>
    <s v="COUNCIL-OXFORD"/>
    <x v="38"/>
    <x v="1"/>
    <x v="0"/>
    <s v="Invoice"/>
    <s v="96261"/>
    <x v="36"/>
    <x v="31"/>
    <x v="4"/>
    <x v="0"/>
    <n v="30"/>
  </r>
  <r>
    <s v="JUSTIN"/>
    <s v="03"/>
    <s v="COUNCILO"/>
    <s v="COUNCIL-OXFORD"/>
    <x v="38"/>
    <x v="1"/>
    <x v="0"/>
    <s v="Invoice"/>
    <s v="96261"/>
    <x v="41"/>
    <x v="36"/>
    <x v="26"/>
    <x v="0"/>
    <n v="500"/>
  </r>
  <r>
    <s v=""/>
    <s v="03"/>
    <s v="CPSMULB"/>
    <s v="UAP/MULBERRY"/>
    <x v="38"/>
    <x v="1"/>
    <x v="0"/>
    <s v="Invoice"/>
    <s v="96272"/>
    <x v="102"/>
    <x v="71"/>
    <x v="34"/>
    <x v="0"/>
    <n v="2000"/>
  </r>
  <r>
    <s v="JUSTIN"/>
    <s v="03"/>
    <s v="CPSWACHU"/>
    <s v="WAUCHULA"/>
    <x v="27"/>
    <x v="1"/>
    <x v="0"/>
    <s v="Invoice"/>
    <s v="96333"/>
    <x v="35"/>
    <x v="30"/>
    <x v="27"/>
    <x v="0"/>
    <n v="180"/>
  </r>
  <r>
    <s v=""/>
    <s v="03"/>
    <s v="CPSMULB"/>
    <s v="UAP/MULBERRY"/>
    <x v="27"/>
    <x v="1"/>
    <x v="0"/>
    <s v="Invoice"/>
    <s v="96335"/>
    <x v="34"/>
    <x v="29"/>
    <x v="26"/>
    <x v="0"/>
    <n v="360"/>
  </r>
  <r>
    <s v="JUSTIN"/>
    <s v="03"/>
    <s v="G&amp;DFARMS"/>
    <s v="NORTH TANK"/>
    <x v="26"/>
    <x v="1"/>
    <x v="0"/>
    <s v="Invoice"/>
    <s v="96343"/>
    <x v="99"/>
    <x v="93"/>
    <x v="22"/>
    <x v="2"/>
    <n v="20.002500000000001"/>
  </r>
  <r>
    <s v="JUSTIN"/>
    <s v="03"/>
    <s v="CPSPARRI"/>
    <s v="PARRISH"/>
    <x v="34"/>
    <x v="1"/>
    <x v="0"/>
    <s v="Invoice"/>
    <s v="96379"/>
    <x v="5"/>
    <x v="72"/>
    <x v="4"/>
    <x v="0"/>
    <n v="180"/>
  </r>
  <r>
    <s v="JUSTIN"/>
    <s v="03"/>
    <s v="CPSPARRI"/>
    <s v="PARRISH"/>
    <x v="34"/>
    <x v="1"/>
    <x v="0"/>
    <s v="Invoice"/>
    <s v="96379"/>
    <x v="40"/>
    <x v="35"/>
    <x v="29"/>
    <x v="0"/>
    <n v="180"/>
  </r>
  <r>
    <s v="JUSTIN"/>
    <s v="03"/>
    <s v="G&amp;DFARMS"/>
    <s v="MIDDLE"/>
    <x v="34"/>
    <x v="1"/>
    <x v="0"/>
    <s v="Invoice"/>
    <s v="96383"/>
    <x v="99"/>
    <x v="93"/>
    <x v="22"/>
    <x v="2"/>
    <n v="15"/>
  </r>
  <r>
    <s v="PARKER, JERROD"/>
    <s v="04"/>
    <s v="JOSEHERN"/>
    <s v="TRAPNELL RD/E"/>
    <x v="28"/>
    <x v="1"/>
    <x v="0"/>
    <s v="Invoice"/>
    <s v="96101"/>
    <x v="55"/>
    <x v="48"/>
    <x v="22"/>
    <x v="2"/>
    <n v="2.0049999999999999"/>
  </r>
  <r>
    <s v="PARKER, JERROD"/>
    <s v="04"/>
    <s v="FLORIDAAG"/>
    <s v="KINGSWAY"/>
    <x v="28"/>
    <x v="1"/>
    <x v="0"/>
    <s v="Invoice"/>
    <s v="96102"/>
    <x v="103"/>
    <x v="95"/>
    <x v="22"/>
    <x v="2"/>
    <n v="0.15"/>
  </r>
  <r>
    <s v="PARKER, JERROD"/>
    <s v="04"/>
    <s v="FCFARMS"/>
    <s v="PEEPLES"/>
    <x v="28"/>
    <x v="1"/>
    <x v="0"/>
    <s v="Invoice"/>
    <s v="96103"/>
    <x v="58"/>
    <x v="51"/>
    <x v="22"/>
    <x v="2"/>
    <n v="2.5225"/>
  </r>
  <r>
    <s v="PARKER, JERROD"/>
    <s v="04"/>
    <s v="PALMAJOSE"/>
    <s v="JAUDON RD"/>
    <x v="28"/>
    <x v="1"/>
    <x v="0"/>
    <s v="Invoice"/>
    <s v="96107"/>
    <x v="63"/>
    <x v="56"/>
    <x v="22"/>
    <x v="2"/>
    <n v="2.5"/>
  </r>
  <r>
    <s v="PARKER, JERROD"/>
    <s v="04"/>
    <s v="MERCEDCH"/>
    <s v="HWY62"/>
    <x v="28"/>
    <x v="1"/>
    <x v="0"/>
    <s v="Invoice"/>
    <s v="96109"/>
    <x v="66"/>
    <x v="59"/>
    <x v="32"/>
    <x v="0"/>
    <n v="90"/>
  </r>
  <r>
    <s v="PARKER, JERROD"/>
    <s v="04"/>
    <s v="GILLMANBUDD"/>
    <s v="CORK"/>
    <x v="28"/>
    <x v="1"/>
    <x v="0"/>
    <s v="Invoice"/>
    <s v="96110"/>
    <x v="43"/>
    <x v="38"/>
    <x v="22"/>
    <x v="2"/>
    <n v="2.5"/>
  </r>
  <r>
    <s v="PARKER, JERROD"/>
    <s v="04"/>
    <s v="EWSIMMON"/>
    <s v="DRAWDY ROAD"/>
    <x v="28"/>
    <x v="1"/>
    <x v="0"/>
    <s v="Invoice"/>
    <s v="96111"/>
    <x v="28"/>
    <x v="23"/>
    <x v="22"/>
    <x v="2"/>
    <n v="10.02"/>
  </r>
  <r>
    <s v="PARKER, JERROD"/>
    <s v="04"/>
    <s v="LEE GILLM"/>
    <s v="COW PENS/WEST"/>
    <x v="28"/>
    <x v="1"/>
    <x v="0"/>
    <s v="Invoice"/>
    <s v="96112"/>
    <x v="43"/>
    <x v="38"/>
    <x v="22"/>
    <x v="2"/>
    <n v="2.4925000000000002"/>
  </r>
  <r>
    <s v="PARKER, JERROD"/>
    <s v="04"/>
    <s v="BEAUCHAMP"/>
    <s v="ONION FIELD"/>
    <x v="28"/>
    <x v="1"/>
    <x v="0"/>
    <s v="Invoice"/>
    <s v="96114"/>
    <x v="104"/>
    <x v="96"/>
    <x v="22"/>
    <x v="2"/>
    <n v="5"/>
  </r>
  <r>
    <s v="PARKER, JERROD"/>
    <s v="04"/>
    <s v="CHARLIEG-LLC"/>
    <s v="DAIRY"/>
    <x v="22"/>
    <x v="1"/>
    <x v="0"/>
    <s v="Invoice"/>
    <s v="96115"/>
    <x v="27"/>
    <x v="22"/>
    <x v="22"/>
    <x v="2"/>
    <n v="10.015000000000001"/>
  </r>
  <r>
    <s v="PARKER, JERROD"/>
    <s v="04"/>
    <s v="SWEETFARMS"/>
    <s v="JIMJOHNSON"/>
    <x v="22"/>
    <x v="1"/>
    <x v="0"/>
    <s v="Invoice"/>
    <s v="96117"/>
    <x v="28"/>
    <x v="23"/>
    <x v="22"/>
    <x v="2"/>
    <n v="2.5"/>
  </r>
  <r>
    <s v="PARKER, JERROD"/>
    <s v="04"/>
    <s v="JOSEHERN"/>
    <s v="KEYSVILLE N"/>
    <x v="22"/>
    <x v="1"/>
    <x v="0"/>
    <s v="Invoice"/>
    <s v="96119"/>
    <x v="28"/>
    <x v="23"/>
    <x v="22"/>
    <x v="2"/>
    <n v="8.0250000000000004"/>
  </r>
  <r>
    <s v="PARKER, JERROD"/>
    <s v="04"/>
    <s v="JOSEHERN"/>
    <s v="HWY 39"/>
    <x v="22"/>
    <x v="1"/>
    <x v="0"/>
    <s v="Invoice"/>
    <s v="96120"/>
    <x v="43"/>
    <x v="38"/>
    <x v="22"/>
    <x v="2"/>
    <n v="7"/>
  </r>
  <r>
    <s v="PARKER, JERROD"/>
    <s v="04"/>
    <s v="CENFLO ORGANICS"/>
    <s v="HWY92"/>
    <x v="22"/>
    <x v="1"/>
    <x v="0"/>
    <s v="Invoice"/>
    <s v="96121"/>
    <x v="57"/>
    <x v="50"/>
    <x v="22"/>
    <x v="2"/>
    <n v="2.5024999999999999"/>
  </r>
  <r>
    <s v="PARKER, JERROD"/>
    <s v="04"/>
    <s v="MENDOZAHEC"/>
    <s v="JAUDON RD"/>
    <x v="22"/>
    <x v="1"/>
    <x v="0"/>
    <s v="Invoice"/>
    <s v="96122"/>
    <x v="43"/>
    <x v="38"/>
    <x v="22"/>
    <x v="2"/>
    <n v="3"/>
  </r>
  <r>
    <s v="PARKER, JERROD"/>
    <s v="04"/>
    <s v="CIRCLEGF&amp;R LLC"/>
    <s v="KNIGHTS-N-#13"/>
    <x v="22"/>
    <x v="1"/>
    <x v="0"/>
    <s v="Invoice"/>
    <s v="96124"/>
    <x v="27"/>
    <x v="22"/>
    <x v="22"/>
    <x v="2"/>
    <n v="10"/>
  </r>
  <r>
    <s v="PARKER, JERROD"/>
    <s v="04"/>
    <s v="FRANKLIN"/>
    <s v="MCGEE RD. SOUTH"/>
    <x v="22"/>
    <x v="1"/>
    <x v="0"/>
    <s v="Invoice"/>
    <s v="96125"/>
    <x v="28"/>
    <x v="23"/>
    <x v="22"/>
    <x v="2"/>
    <n v="5"/>
  </r>
  <r>
    <s v="PARKER, JERROD"/>
    <s v="04"/>
    <s v="JOSEHERN"/>
    <s v="SPARKMAN"/>
    <x v="22"/>
    <x v="1"/>
    <x v="0"/>
    <s v="Invoice"/>
    <s v="96126"/>
    <x v="28"/>
    <x v="23"/>
    <x v="22"/>
    <x v="2"/>
    <n v="9.9975000000000005"/>
  </r>
  <r>
    <s v="PARKER, JERROD"/>
    <s v="04"/>
    <s v="COLORFULH"/>
    <s v="SMITH RYALS"/>
    <x v="22"/>
    <x v="1"/>
    <x v="0"/>
    <s v="Invoice"/>
    <s v="96127"/>
    <x v="43"/>
    <x v="38"/>
    <x v="22"/>
    <x v="2"/>
    <n v="2.4874999999999998"/>
  </r>
  <r>
    <s v="PARKER, JERROD"/>
    <s v="04"/>
    <s v="MERCEDCH"/>
    <s v="BOBCAT"/>
    <x v="22"/>
    <x v="1"/>
    <x v="0"/>
    <s v="Invoice"/>
    <s v="96130"/>
    <x v="58"/>
    <x v="51"/>
    <x v="22"/>
    <x v="2"/>
    <n v="5.0274999999999999"/>
  </r>
  <r>
    <s v="PARKER, JERROD"/>
    <s v="04"/>
    <s v="PARKESDA"/>
    <s v="HILL"/>
    <x v="22"/>
    <x v="1"/>
    <x v="0"/>
    <s v="Invoice"/>
    <s v="96131"/>
    <x v="57"/>
    <x v="50"/>
    <x v="22"/>
    <x v="2"/>
    <n v="10.029999999999999"/>
  </r>
  <r>
    <s v="PARKER, JERROD"/>
    <s v="04"/>
    <s v="FCFARMS"/>
    <s v="GALLAGHER"/>
    <x v="22"/>
    <x v="1"/>
    <x v="0"/>
    <s v="Invoice"/>
    <s v="96132"/>
    <x v="69"/>
    <x v="62"/>
    <x v="22"/>
    <x v="2"/>
    <n v="2.4950000000000001"/>
  </r>
  <r>
    <s v="PARKER, JERROD"/>
    <s v="04"/>
    <s v="GUTIERREZA"/>
    <s v="TOMGALLAGHER"/>
    <x v="22"/>
    <x v="1"/>
    <x v="0"/>
    <s v="Invoice"/>
    <s v="96133"/>
    <x v="69"/>
    <x v="62"/>
    <x v="22"/>
    <x v="2"/>
    <n v="5.0274999999999999"/>
  </r>
  <r>
    <s v="PARKER, JERROD"/>
    <s v="04"/>
    <s v="SWEETLIFE"/>
    <s v="SWINDLES"/>
    <x v="23"/>
    <x v="1"/>
    <x v="0"/>
    <s v="Invoice"/>
    <s v="96134"/>
    <x v="27"/>
    <x v="22"/>
    <x v="22"/>
    <x v="2"/>
    <n v="14.5"/>
  </r>
  <r>
    <s v="PARKER, JERROD"/>
    <s v="04"/>
    <s v="HINTONFA"/>
    <s v="SYDNEY NORTH"/>
    <x v="23"/>
    <x v="1"/>
    <x v="0"/>
    <s v="Invoice"/>
    <s v="96136"/>
    <x v="57"/>
    <x v="50"/>
    <x v="22"/>
    <x v="2"/>
    <n v="10.012499999999999"/>
  </r>
  <r>
    <s v="PARKER, JERROD"/>
    <s v="04"/>
    <s v="MIKELOTT"/>
    <s v="GALLAGHER ROAD"/>
    <x v="23"/>
    <x v="1"/>
    <x v="0"/>
    <s v="Invoice"/>
    <s v="96137"/>
    <x v="28"/>
    <x v="23"/>
    <x v="22"/>
    <x v="2"/>
    <n v="1.2175"/>
  </r>
  <r>
    <s v="PARKER, JERROD"/>
    <s v="04"/>
    <s v="BEAUCHAMP"/>
    <s v="GALLAGHER"/>
    <x v="23"/>
    <x v="1"/>
    <x v="0"/>
    <s v="Invoice"/>
    <s v="96138"/>
    <x v="104"/>
    <x v="96"/>
    <x v="22"/>
    <x v="2"/>
    <n v="5.5"/>
  </r>
  <r>
    <s v="PARKER, JERROD"/>
    <s v="04"/>
    <s v="M&amp;GFARMS"/>
    <s v="HWY 640"/>
    <x v="23"/>
    <x v="1"/>
    <x v="0"/>
    <s v="Invoice"/>
    <s v="96139"/>
    <x v="28"/>
    <x v="23"/>
    <x v="22"/>
    <x v="2"/>
    <n v="4.0199999999999996"/>
  </r>
  <r>
    <s v="PARKER, JERROD"/>
    <s v="04"/>
    <s v="CHARLIEG-LLC"/>
    <s v="DAIRY"/>
    <x v="23"/>
    <x v="1"/>
    <x v="0"/>
    <s v="Invoice"/>
    <s v="96141"/>
    <x v="27"/>
    <x v="22"/>
    <x v="22"/>
    <x v="2"/>
    <n v="5.0049999999999999"/>
  </r>
  <r>
    <s v="PARKER, JERROD"/>
    <s v="04"/>
    <s v="CIRCLEGF&amp;R LLC"/>
    <s v="PUMP4"/>
    <x v="23"/>
    <x v="1"/>
    <x v="0"/>
    <s v="Invoice"/>
    <s v="96144"/>
    <x v="27"/>
    <x v="22"/>
    <x v="22"/>
    <x v="2"/>
    <n v="7.4974999999999996"/>
  </r>
  <r>
    <s v="PARKER, JERROD"/>
    <s v="04"/>
    <s v="GEORGESP"/>
    <s v="TRAPNELL ROAD"/>
    <x v="23"/>
    <x v="1"/>
    <x v="0"/>
    <s v="Invoice"/>
    <s v="96145"/>
    <x v="58"/>
    <x v="51"/>
    <x v="22"/>
    <x v="2"/>
    <n v="7.5250000000000004"/>
  </r>
  <r>
    <s v="PARKER, JERROD"/>
    <s v="04"/>
    <s v="M&amp;GFARMS"/>
    <s v="HAREFAMILYLN"/>
    <x v="23"/>
    <x v="1"/>
    <x v="0"/>
    <s v="Invoice"/>
    <s v="96146"/>
    <x v="28"/>
    <x v="23"/>
    <x v="22"/>
    <x v="2"/>
    <n v="10.0275"/>
  </r>
  <r>
    <s v="PARKER, JERROD"/>
    <s v="04"/>
    <s v="ELIASGUT"/>
    <s v="TURKEYCREEKHILL"/>
    <x v="23"/>
    <x v="1"/>
    <x v="0"/>
    <s v="Invoice"/>
    <s v="96147"/>
    <x v="58"/>
    <x v="51"/>
    <x v="22"/>
    <x v="2"/>
    <n v="7.0025000000000004"/>
  </r>
  <r>
    <s v="PARKER, JERROD"/>
    <s v="04"/>
    <s v="BONIFACIO"/>
    <s v="CORONET"/>
    <x v="29"/>
    <x v="1"/>
    <x v="0"/>
    <s v="Invoice"/>
    <s v="96149"/>
    <x v="67"/>
    <x v="60"/>
    <x v="22"/>
    <x v="2"/>
    <n v="2.5"/>
  </r>
  <r>
    <s v="PARKER, JERROD"/>
    <s v="04"/>
    <s v="IFASGULF"/>
    <s v="BALM-STRAWBERRY"/>
    <x v="29"/>
    <x v="1"/>
    <x v="0"/>
    <s v="Invoice"/>
    <s v="96150"/>
    <x v="28"/>
    <x v="23"/>
    <x v="22"/>
    <x v="2"/>
    <n v="7.5075000000000003"/>
  </r>
  <r>
    <s v="PARKER, JERROD"/>
    <s v="04"/>
    <s v="PARKESDA"/>
    <s v="SLATEN"/>
    <x v="29"/>
    <x v="1"/>
    <x v="0"/>
    <s v="Invoice"/>
    <s v="96151"/>
    <x v="57"/>
    <x v="50"/>
    <x v="22"/>
    <x v="2"/>
    <n v="9.9924999999999997"/>
  </r>
  <r>
    <s v="PARKER, JERROD"/>
    <s v="04"/>
    <s v="CHAVEZJOR"/>
    <s v="JOSE' CHAV- COD"/>
    <x v="29"/>
    <x v="1"/>
    <x v="0"/>
    <s v="Invoice"/>
    <s v="96152"/>
    <x v="53"/>
    <x v="46"/>
    <x v="22"/>
    <x v="2"/>
    <n v="0.15"/>
  </r>
  <r>
    <s v="PARKER, JERROD"/>
    <s v="04"/>
    <s v="GUTIERREZDAN"/>
    <s v="THEHILL"/>
    <x v="29"/>
    <x v="1"/>
    <x v="0"/>
    <s v="Invoice"/>
    <s v="96153"/>
    <x v="58"/>
    <x v="51"/>
    <x v="22"/>
    <x v="2"/>
    <n v="12.7525"/>
  </r>
  <r>
    <s v="PARKER, JERROD"/>
    <s v="04"/>
    <s v="MIDWAYF"/>
    <s v="SAMALLEN"/>
    <x v="29"/>
    <x v="1"/>
    <x v="0"/>
    <s v="Invoice"/>
    <s v="96154"/>
    <x v="27"/>
    <x v="22"/>
    <x v="22"/>
    <x v="2"/>
    <n v="7.5049999999999999"/>
  </r>
  <r>
    <s v="PARKER, JERROD"/>
    <s v="04"/>
    <s v="JOEPENA"/>
    <s v="HWY 92"/>
    <x v="29"/>
    <x v="1"/>
    <x v="0"/>
    <s v="Invoice"/>
    <s v="96157"/>
    <x v="55"/>
    <x v="48"/>
    <x v="22"/>
    <x v="2"/>
    <n v="1.5"/>
  </r>
  <r>
    <s v="PARKER, JERROD"/>
    <s v="04"/>
    <s v="SYDNEYFA"/>
    <s v="FORBES ROAD"/>
    <x v="35"/>
    <x v="1"/>
    <x v="0"/>
    <s v="Invoice"/>
    <s v="96158"/>
    <x v="28"/>
    <x v="23"/>
    <x v="22"/>
    <x v="2"/>
    <n v="15.035"/>
  </r>
  <r>
    <s v="PARKER, JERROD"/>
    <s v="04"/>
    <s v="FRANKLIN"/>
    <s v="THONOTOSASSA"/>
    <x v="35"/>
    <x v="1"/>
    <x v="0"/>
    <s v="Invoice"/>
    <s v="96160"/>
    <x v="58"/>
    <x v="51"/>
    <x v="22"/>
    <x v="2"/>
    <n v="1.0049999999999999"/>
  </r>
  <r>
    <s v="PARKER, JERROD"/>
    <s v="04"/>
    <s v="MIDWAYF"/>
    <s v="ALS - NORTH"/>
    <x v="35"/>
    <x v="1"/>
    <x v="0"/>
    <s v="Invoice"/>
    <s v="96161"/>
    <x v="27"/>
    <x v="22"/>
    <x v="22"/>
    <x v="2"/>
    <n v="9.5024999999999995"/>
  </r>
  <r>
    <s v="PARKER, JERROD"/>
    <s v="04"/>
    <s v="FANCYFAR"/>
    <s v="THE HILL"/>
    <x v="35"/>
    <x v="1"/>
    <x v="0"/>
    <s v="Invoice"/>
    <s v="96162"/>
    <x v="60"/>
    <x v="53"/>
    <x v="22"/>
    <x v="2"/>
    <n v="14.987500000000001"/>
  </r>
  <r>
    <s v="PARKER, JERROD"/>
    <s v="04"/>
    <s v="ALVAREZJ"/>
    <s v="SYDNEY RD"/>
    <x v="35"/>
    <x v="1"/>
    <x v="0"/>
    <s v="Invoice"/>
    <s v="96163"/>
    <x v="58"/>
    <x v="51"/>
    <x v="22"/>
    <x v="2"/>
    <n v="1.9850000000000001"/>
  </r>
  <r>
    <s v="PARKER, JERROD"/>
    <s v="04"/>
    <s v="COLORFULH"/>
    <s v="TRAPNELL RD."/>
    <x v="35"/>
    <x v="1"/>
    <x v="0"/>
    <s v="Invoice"/>
    <s v="96164"/>
    <x v="43"/>
    <x v="38"/>
    <x v="22"/>
    <x v="2"/>
    <n v="2.5125000000000002"/>
  </r>
  <r>
    <s v="PARKER, JERROD"/>
    <s v="04"/>
    <s v="ROQUEFARMS"/>
    <s v="MEEKHORIZON"/>
    <x v="35"/>
    <x v="1"/>
    <x v="0"/>
    <s v="Invoice"/>
    <s v="96165"/>
    <x v="43"/>
    <x v="38"/>
    <x v="22"/>
    <x v="2"/>
    <n v="5"/>
  </r>
  <r>
    <s v="PARKER, JERROD"/>
    <s v="04"/>
    <s v="ELIASCEDILLO"/>
    <s v="GALLAGHER"/>
    <x v="36"/>
    <x v="1"/>
    <x v="0"/>
    <s v="Invoice"/>
    <s v="96166"/>
    <x v="43"/>
    <x v="38"/>
    <x v="22"/>
    <x v="2"/>
    <n v="2.25"/>
  </r>
  <r>
    <s v="PARKER, JERROD"/>
    <s v="04"/>
    <s v="MIDWAYF"/>
    <s v="WILDER RD."/>
    <x v="36"/>
    <x v="1"/>
    <x v="0"/>
    <s v="Invoice"/>
    <s v="96167"/>
    <x v="27"/>
    <x v="22"/>
    <x v="22"/>
    <x v="2"/>
    <n v="10"/>
  </r>
  <r>
    <s v="PARKER, JERROD"/>
    <s v="04"/>
    <s v="MIDWAYF"/>
    <s v="FORBES"/>
    <x v="36"/>
    <x v="1"/>
    <x v="0"/>
    <s v="Invoice"/>
    <s v="96171"/>
    <x v="27"/>
    <x v="22"/>
    <x v="22"/>
    <x v="2"/>
    <n v="4"/>
  </r>
  <r>
    <s v="PARKER, JERROD"/>
    <s v="04"/>
    <s v="CHARLIEG-LLC"/>
    <s v="WILDER RD/WEST"/>
    <x v="36"/>
    <x v="1"/>
    <x v="0"/>
    <s v="Invoice"/>
    <s v="96172"/>
    <x v="27"/>
    <x v="22"/>
    <x v="22"/>
    <x v="2"/>
    <n v="5.0049999999999999"/>
  </r>
  <r>
    <s v="PARKER, JERROD"/>
    <s v="04"/>
    <s v="FRANKLIN"/>
    <s v="FRANKLIN FARM"/>
    <x v="36"/>
    <x v="1"/>
    <x v="0"/>
    <s v="Invoice"/>
    <s v="96173"/>
    <x v="58"/>
    <x v="51"/>
    <x v="22"/>
    <x v="2"/>
    <n v="5"/>
  </r>
  <r>
    <s v="PARKER, JERROD"/>
    <s v="04"/>
    <s v="GUTIERREZDAN"/>
    <s v="FORBES/SLATON"/>
    <x v="30"/>
    <x v="1"/>
    <x v="0"/>
    <s v="Invoice"/>
    <s v="96174"/>
    <x v="58"/>
    <x v="51"/>
    <x v="22"/>
    <x v="2"/>
    <n v="8.5374999999999996"/>
  </r>
  <r>
    <s v="PARKER, JERROD"/>
    <s v="04"/>
    <s v="CIRCLEGF&amp;R LLC"/>
    <s v="KNIGHTS-N-#16"/>
    <x v="30"/>
    <x v="1"/>
    <x v="0"/>
    <s v="Invoice"/>
    <s v="96175"/>
    <x v="27"/>
    <x v="22"/>
    <x v="22"/>
    <x v="2"/>
    <n v="10.02"/>
  </r>
  <r>
    <s v="PARKER, JERROD"/>
    <s v="04"/>
    <s v="LEE GILLM"/>
    <s v="THONOTOSASSA"/>
    <x v="30"/>
    <x v="1"/>
    <x v="0"/>
    <s v="Invoice"/>
    <s v="96180"/>
    <x v="43"/>
    <x v="38"/>
    <x v="22"/>
    <x v="2"/>
    <n v="6.5049999999999999"/>
  </r>
  <r>
    <s v="PARKER, JERROD"/>
    <s v="04"/>
    <s v="LARRYENN"/>
    <s v="NESMITH ROAD"/>
    <x v="30"/>
    <x v="1"/>
    <x v="0"/>
    <s v="Invoice"/>
    <s v="96181"/>
    <x v="58"/>
    <x v="51"/>
    <x v="22"/>
    <x v="2"/>
    <n v="2.5125000000000002"/>
  </r>
  <r>
    <s v="PARKER, JERROD"/>
    <s v="04"/>
    <s v="MIDWAYF"/>
    <s v="SAMALLEN"/>
    <x v="30"/>
    <x v="1"/>
    <x v="0"/>
    <s v="Invoice"/>
    <s v="96182"/>
    <x v="27"/>
    <x v="22"/>
    <x v="22"/>
    <x v="2"/>
    <n v="4.5"/>
  </r>
  <r>
    <s v="PARKER, JERROD"/>
    <s v="04"/>
    <s v="PARKESDA"/>
    <s v="SOUTH DOVER"/>
    <x v="30"/>
    <x v="1"/>
    <x v="0"/>
    <s v="Invoice"/>
    <s v="96183"/>
    <x v="57"/>
    <x v="50"/>
    <x v="22"/>
    <x v="2"/>
    <n v="2.5049999999999999"/>
  </r>
  <r>
    <s v="PARKER, JERROD"/>
    <s v="04"/>
    <s v="CENFLO ORGANICS"/>
    <s v="MCINTOSH"/>
    <x v="30"/>
    <x v="1"/>
    <x v="0"/>
    <s v="Invoice"/>
    <s v="96185"/>
    <x v="57"/>
    <x v="50"/>
    <x v="22"/>
    <x v="2"/>
    <n v="2.5074999999999998"/>
  </r>
  <r>
    <s v="PARKER, JERROD"/>
    <s v="04"/>
    <s v="PARKESDA"/>
    <s v="BILOXI"/>
    <x v="24"/>
    <x v="1"/>
    <x v="0"/>
    <s v="Invoice"/>
    <s v="96187"/>
    <x v="57"/>
    <x v="50"/>
    <x v="22"/>
    <x v="2"/>
    <n v="10.0175"/>
  </r>
  <r>
    <s v="PARKER, JERROD"/>
    <s v="04"/>
    <s v="FRANKLIN"/>
    <s v="MCGEE RD. NORTH"/>
    <x v="24"/>
    <x v="1"/>
    <x v="0"/>
    <s v="Invoice"/>
    <s v="96188"/>
    <x v="28"/>
    <x v="23"/>
    <x v="22"/>
    <x v="2"/>
    <n v="4.9850000000000003"/>
  </r>
  <r>
    <s v="PARKER, JERROD"/>
    <s v="04"/>
    <s v="MERCEDCH"/>
    <s v="SOUTHTANK"/>
    <x v="24"/>
    <x v="1"/>
    <x v="0"/>
    <s v="Invoice"/>
    <s v="96189"/>
    <x v="43"/>
    <x v="38"/>
    <x v="22"/>
    <x v="2"/>
    <n v="10.015000000000001"/>
  </r>
  <r>
    <s v="PARKER, JERROD"/>
    <s v="04"/>
    <s v="SOUTHERNHILL"/>
    <s v="SCHOFIELD"/>
    <x v="24"/>
    <x v="1"/>
    <x v="0"/>
    <s v="Invoice"/>
    <s v="96191"/>
    <x v="43"/>
    <x v="38"/>
    <x v="22"/>
    <x v="2"/>
    <n v="2.25"/>
  </r>
  <r>
    <s v="PARKER, JERROD"/>
    <s v="04"/>
    <s v="SOUTHERNHILL"/>
    <s v="SCHOFIELD"/>
    <x v="24"/>
    <x v="1"/>
    <x v="0"/>
    <s v="Invoice"/>
    <s v="96192"/>
    <x v="47"/>
    <x v="41"/>
    <x v="22"/>
    <x v="2"/>
    <n v="2.4649999999999999"/>
  </r>
  <r>
    <s v="PARKER, JERROD"/>
    <s v="04"/>
    <s v="GUTIERREZA"/>
    <s v="WASHINGTON"/>
    <x v="24"/>
    <x v="1"/>
    <x v="0"/>
    <s v="Invoice"/>
    <s v="96193"/>
    <x v="69"/>
    <x v="62"/>
    <x v="22"/>
    <x v="2"/>
    <n v="9.5075000000000003"/>
  </r>
  <r>
    <s v="PARKER, JERROD"/>
    <s v="04"/>
    <s v="SPIVEYFA"/>
    <s v="HOPEWELL"/>
    <x v="24"/>
    <x v="1"/>
    <x v="0"/>
    <s v="Invoice"/>
    <s v="96194"/>
    <x v="56"/>
    <x v="49"/>
    <x v="22"/>
    <x v="2"/>
    <n v="3.4950000000000001"/>
  </r>
  <r>
    <s v="PARKER, JERROD"/>
    <s v="04"/>
    <s v="M&amp;GFARMS"/>
    <s v="COUNTY LINE RD"/>
    <x v="24"/>
    <x v="1"/>
    <x v="0"/>
    <s v="Invoice"/>
    <s v="96195"/>
    <x v="58"/>
    <x v="51"/>
    <x v="22"/>
    <x v="2"/>
    <n v="4.0049999999999999"/>
  </r>
  <r>
    <s v="PARKER, JERROD"/>
    <s v="04"/>
    <s v="EWSIMMON"/>
    <s v="JERRY SMITH RD"/>
    <x v="24"/>
    <x v="1"/>
    <x v="0"/>
    <s v="Invoice"/>
    <s v="96196"/>
    <x v="28"/>
    <x v="23"/>
    <x v="22"/>
    <x v="2"/>
    <n v="5"/>
  </r>
  <r>
    <s v="PARKER, JERROD"/>
    <s v="04"/>
    <s v="JOSEHERN"/>
    <s v="KEYSVILLE N"/>
    <x v="24"/>
    <x v="1"/>
    <x v="0"/>
    <s v="Invoice"/>
    <s v="96197"/>
    <x v="28"/>
    <x v="23"/>
    <x v="22"/>
    <x v="2"/>
    <n v="8"/>
  </r>
  <r>
    <s v="PARKER, JERROD"/>
    <s v="04"/>
    <s v="SWEETLIFE"/>
    <s v="KNIGHTS GRIFFIN"/>
    <x v="24"/>
    <x v="1"/>
    <x v="0"/>
    <s v="Invoice"/>
    <s v="96198"/>
    <x v="27"/>
    <x v="22"/>
    <x v="22"/>
    <x v="2"/>
    <n v="15"/>
  </r>
  <r>
    <s v="PARKER, JERROD"/>
    <s v="04"/>
    <s v="JOSEHERN"/>
    <s v="SPRINGHEAD"/>
    <x v="39"/>
    <x v="1"/>
    <x v="0"/>
    <s v="Invoice"/>
    <s v="96199"/>
    <x v="55"/>
    <x v="48"/>
    <x v="22"/>
    <x v="2"/>
    <n v="4.0025000000000004"/>
  </r>
  <r>
    <s v="PARKER, JERROD"/>
    <s v="04"/>
    <s v="SANCHEZFARM"/>
    <s v="FORBES RD/SOUTH"/>
    <x v="24"/>
    <x v="1"/>
    <x v="0"/>
    <s v="Invoice"/>
    <s v="96200"/>
    <x v="43"/>
    <x v="38"/>
    <x v="22"/>
    <x v="2"/>
    <n v="2.4900000000000002"/>
  </r>
  <r>
    <s v="PARKER, JERROD"/>
    <s v="04"/>
    <s v="MENDOZAHEC"/>
    <s v="JAUDON RD"/>
    <x v="24"/>
    <x v="1"/>
    <x v="0"/>
    <s v="Invoice"/>
    <s v="96201"/>
    <x v="43"/>
    <x v="38"/>
    <x v="22"/>
    <x v="2"/>
    <n v="2.4950000000000001"/>
  </r>
  <r>
    <s v="PARKER, JERROD"/>
    <s v="04"/>
    <s v="GERALDWI"/>
    <s v="MCINTOSH ROAD"/>
    <x v="39"/>
    <x v="1"/>
    <x v="0"/>
    <s v="Invoice"/>
    <s v="96202"/>
    <x v="43"/>
    <x v="38"/>
    <x v="22"/>
    <x v="2"/>
    <n v="15.0275"/>
  </r>
  <r>
    <s v="PARKER, JERROD"/>
    <s v="04"/>
    <s v="GUTIERREZA"/>
    <s v="AL SIMMONS RD"/>
    <x v="39"/>
    <x v="1"/>
    <x v="0"/>
    <s v="Invoice"/>
    <s v="96203"/>
    <x v="16"/>
    <x v="80"/>
    <x v="2"/>
    <x v="0"/>
    <n v="30"/>
  </r>
  <r>
    <s v="PARKER, JERROD"/>
    <s v="04"/>
    <s v="GUTIERREZA"/>
    <s v="AL SIMMONS RD"/>
    <x v="39"/>
    <x v="1"/>
    <x v="0"/>
    <s v="Invoice"/>
    <s v="96203"/>
    <x v="105"/>
    <x v="97"/>
    <x v="16"/>
    <x v="0"/>
    <n v="30"/>
  </r>
  <r>
    <s v="PARKER, JERROD"/>
    <s v="04"/>
    <s v="ELIASCEDILLO"/>
    <s v="JESS WALDEN"/>
    <x v="39"/>
    <x v="1"/>
    <x v="0"/>
    <s v="Invoice"/>
    <s v="96204"/>
    <x v="43"/>
    <x v="38"/>
    <x v="22"/>
    <x v="2"/>
    <n v="2"/>
  </r>
  <r>
    <s v="PARKER, JERROD"/>
    <s v="04"/>
    <s v="ROQUEFARMS"/>
    <s v="SWEETWATER"/>
    <x v="25"/>
    <x v="1"/>
    <x v="0"/>
    <s v="Invoice"/>
    <s v="96205"/>
    <x v="58"/>
    <x v="51"/>
    <x v="22"/>
    <x v="2"/>
    <n v="4"/>
  </r>
  <r>
    <s v="PARKER, JERROD"/>
    <s v="04"/>
    <s v="LARRYENN"/>
    <s v="CASON ROAD"/>
    <x v="25"/>
    <x v="1"/>
    <x v="0"/>
    <s v="Invoice"/>
    <s v="96206"/>
    <x v="58"/>
    <x v="51"/>
    <x v="22"/>
    <x v="2"/>
    <n v="2"/>
  </r>
  <r>
    <s v="PARKER, JERROD"/>
    <s v="04"/>
    <s v="PEPPERBERRY"/>
    <s v="BRIDGE"/>
    <x v="25"/>
    <x v="1"/>
    <x v="0"/>
    <s v="Invoice"/>
    <s v="96207"/>
    <x v="28"/>
    <x v="23"/>
    <x v="22"/>
    <x v="2"/>
    <n v="8.0399999999999991"/>
  </r>
  <r>
    <s v="PARKER, JERROD"/>
    <s v="04"/>
    <s v="M&amp;GFARMS"/>
    <s v="ALLENRD"/>
    <x v="25"/>
    <x v="1"/>
    <x v="0"/>
    <s v="Invoice"/>
    <s v="96208"/>
    <x v="58"/>
    <x v="51"/>
    <x v="22"/>
    <x v="2"/>
    <n v="6"/>
  </r>
  <r>
    <s v="PARKER, JERROD"/>
    <s v="04"/>
    <s v="FANCYFAR"/>
    <s v="JOHN DEER POND"/>
    <x v="25"/>
    <x v="1"/>
    <x v="0"/>
    <s v="Invoice"/>
    <s v="96209"/>
    <x v="60"/>
    <x v="53"/>
    <x v="22"/>
    <x v="2"/>
    <n v="15"/>
  </r>
  <r>
    <s v="PARKER, JERROD"/>
    <s v="04"/>
    <s v="CHANFARM"/>
    <s v="KNIGHTS GRIFFIN"/>
    <x v="25"/>
    <x v="1"/>
    <x v="0"/>
    <s v="Invoice"/>
    <s v="96210"/>
    <x v="51"/>
    <x v="44"/>
    <x v="22"/>
    <x v="2"/>
    <n v="2.5"/>
  </r>
  <r>
    <s v="PARKER, JERROD"/>
    <s v="04"/>
    <s v="SANCHEZFARM"/>
    <s v="FORBES RD/SOUTH"/>
    <x v="25"/>
    <x v="1"/>
    <x v="0"/>
    <s v="Invoice"/>
    <s v="96213"/>
    <x v="67"/>
    <x v="60"/>
    <x v="22"/>
    <x v="2"/>
    <n v="4.5049999999999999"/>
  </r>
  <r>
    <s v="PARKER, JERROD"/>
    <s v="04"/>
    <s v="ELIASGUT"/>
    <s v="WALLACE BRANCH"/>
    <x v="25"/>
    <x v="1"/>
    <x v="0"/>
    <s v="Invoice"/>
    <s v="96216"/>
    <x v="58"/>
    <x v="51"/>
    <x v="22"/>
    <x v="2"/>
    <n v="2.5"/>
  </r>
  <r>
    <s v="PARKER, JERROD"/>
    <s v="04"/>
    <s v="PORTER HA"/>
    <s v="PASTURE"/>
    <x v="25"/>
    <x v="1"/>
    <x v="0"/>
    <s v="Invoice"/>
    <s v="96217"/>
    <x v="28"/>
    <x v="23"/>
    <x v="22"/>
    <x v="2"/>
    <n v="13.5425"/>
  </r>
  <r>
    <s v="PARKER, JERROD"/>
    <s v="04"/>
    <s v="FRANKLIN"/>
    <s v="THONOTOSASSA"/>
    <x v="37"/>
    <x v="1"/>
    <x v="0"/>
    <s v="Invoice"/>
    <s v="96219"/>
    <x v="58"/>
    <x v="51"/>
    <x v="22"/>
    <x v="2"/>
    <n v="5.0075000000000003"/>
  </r>
  <r>
    <s v="PARKER, JERROD"/>
    <s v="04"/>
    <s v="MERCEDCH"/>
    <s v="TURKEY CREEK"/>
    <x v="37"/>
    <x v="1"/>
    <x v="0"/>
    <s v="Invoice"/>
    <s v="96220"/>
    <x v="55"/>
    <x v="48"/>
    <x v="22"/>
    <x v="2"/>
    <n v="7.0125000000000002"/>
  </r>
  <r>
    <s v="PARKER, JERROD"/>
    <s v="04"/>
    <s v="MIDWAYF"/>
    <s v="FRAZIER"/>
    <x v="37"/>
    <x v="1"/>
    <x v="0"/>
    <s v="Invoice"/>
    <s v="96221"/>
    <x v="27"/>
    <x v="22"/>
    <x v="22"/>
    <x v="2"/>
    <n v="4.9950000000000001"/>
  </r>
  <r>
    <s v="PARKER, JERROD"/>
    <s v="04"/>
    <s v="GERALDWI"/>
    <s v="TRAPNELL"/>
    <x v="37"/>
    <x v="1"/>
    <x v="0"/>
    <s v="Invoice"/>
    <s v="96222"/>
    <x v="43"/>
    <x v="38"/>
    <x v="22"/>
    <x v="2"/>
    <n v="5"/>
  </r>
  <r>
    <s v="PARKER, JERROD"/>
    <s v="04"/>
    <s v="THREESTA"/>
    <s v="WALDEN-SHEFFIEL"/>
    <x v="37"/>
    <x v="1"/>
    <x v="0"/>
    <s v="Invoice"/>
    <s v="96223"/>
    <x v="28"/>
    <x v="23"/>
    <x v="22"/>
    <x v="2"/>
    <n v="12"/>
  </r>
  <r>
    <s v="PARKER, JERROD"/>
    <s v="04"/>
    <s v="FLORIDAAG"/>
    <s v="KINGSWAY"/>
    <x v="37"/>
    <x v="1"/>
    <x v="0"/>
    <s v="Invoice"/>
    <s v="96224"/>
    <x v="52"/>
    <x v="45"/>
    <x v="22"/>
    <x v="2"/>
    <n v="1.9924999999999999"/>
  </r>
  <r>
    <s v="PARKER, JERROD"/>
    <s v="04"/>
    <s v="GAONA, ESPER"/>
    <s v="SMOKINACES"/>
    <x v="37"/>
    <x v="1"/>
    <x v="0"/>
    <s v="Invoice"/>
    <s v="96226"/>
    <x v="58"/>
    <x v="51"/>
    <x v="22"/>
    <x v="2"/>
    <n v="2"/>
  </r>
  <r>
    <s v="PARKER, JERROD"/>
    <s v="04"/>
    <s v="GERALDWI"/>
    <s v="MAILING"/>
    <x v="37"/>
    <x v="1"/>
    <x v="0"/>
    <s v="Invoice"/>
    <s v="96227"/>
    <x v="43"/>
    <x v="38"/>
    <x v="22"/>
    <x v="2"/>
    <n v="2.4950000000000001"/>
  </r>
  <r>
    <s v="PARKER, JERROD"/>
    <s v="04"/>
    <s v="COLORFULH"/>
    <s v="SMITH RYALS"/>
    <x v="37"/>
    <x v="1"/>
    <x v="0"/>
    <s v="Invoice"/>
    <s v="96228"/>
    <x v="69"/>
    <x v="62"/>
    <x v="22"/>
    <x v="2"/>
    <n v="5.0075000000000003"/>
  </r>
  <r>
    <s v="PARKER, JERROD"/>
    <s v="04"/>
    <s v="GUTIERREZA"/>
    <s v="JOE KING RD"/>
    <x v="37"/>
    <x v="1"/>
    <x v="0"/>
    <s v="Invoice"/>
    <s v="96229"/>
    <x v="43"/>
    <x v="38"/>
    <x v="22"/>
    <x v="2"/>
    <n v="3.76"/>
  </r>
  <r>
    <s v="PARKER, JERROD"/>
    <s v="04"/>
    <s v="CHAVEZJOR"/>
    <s v="JOSE' CHAV- COD"/>
    <x v="37"/>
    <x v="1"/>
    <x v="0"/>
    <s v="Invoice"/>
    <s v="96230"/>
    <x v="53"/>
    <x v="46"/>
    <x v="22"/>
    <x v="2"/>
    <n v="0.15"/>
  </r>
  <r>
    <s v="PARKER, JERROD"/>
    <s v="04"/>
    <s v="CHARLIEG-LLC"/>
    <s v="CHANCY"/>
    <x v="31"/>
    <x v="1"/>
    <x v="0"/>
    <s v="Invoice"/>
    <s v="96236"/>
    <x v="27"/>
    <x v="22"/>
    <x v="22"/>
    <x v="2"/>
    <n v="2.5"/>
  </r>
  <r>
    <s v="PARKER, JERROD"/>
    <s v="04"/>
    <s v="PARKESDA"/>
    <s v="HILL"/>
    <x v="31"/>
    <x v="1"/>
    <x v="0"/>
    <s v="Invoice"/>
    <s v="96237"/>
    <x v="57"/>
    <x v="50"/>
    <x v="22"/>
    <x v="2"/>
    <n v="10.012499999999999"/>
  </r>
  <r>
    <s v="PARKER, JERROD"/>
    <s v="04"/>
    <s v="MIKELOTT"/>
    <s v="HILLSBOROUGH"/>
    <x v="31"/>
    <x v="1"/>
    <x v="0"/>
    <s v="Invoice"/>
    <s v="96238"/>
    <x v="28"/>
    <x v="23"/>
    <x v="22"/>
    <x v="2"/>
    <n v="5"/>
  </r>
  <r>
    <s v="PARKER, JERROD"/>
    <s v="04"/>
    <s v="SWEETLIFE"/>
    <s v="SAMALLEN-SOUTH"/>
    <x v="31"/>
    <x v="1"/>
    <x v="0"/>
    <s v="Invoice"/>
    <s v="96239"/>
    <x v="27"/>
    <x v="22"/>
    <x v="22"/>
    <x v="2"/>
    <n v="12.54"/>
  </r>
  <r>
    <s v="PARKER, JERROD"/>
    <s v="04"/>
    <s v="SWEETLIFE"/>
    <s v="MCGEE RD."/>
    <x v="31"/>
    <x v="1"/>
    <x v="0"/>
    <s v="Invoice"/>
    <s v="96241"/>
    <x v="27"/>
    <x v="22"/>
    <x v="22"/>
    <x v="2"/>
    <n v="12.026999999999999"/>
  </r>
  <r>
    <s v="PARKER, JERROD"/>
    <s v="04"/>
    <s v="PARKESDA"/>
    <s v="RANDALL"/>
    <x v="32"/>
    <x v="1"/>
    <x v="0"/>
    <s v="Invoice"/>
    <s v="96242"/>
    <x v="57"/>
    <x v="50"/>
    <x v="22"/>
    <x v="2"/>
    <n v="5.0549999999999997"/>
  </r>
  <r>
    <s v="PARKER, JERROD"/>
    <s v="04"/>
    <s v="PALMAJOSE"/>
    <s v="MAIN"/>
    <x v="32"/>
    <x v="1"/>
    <x v="0"/>
    <s v="Invoice"/>
    <s v="96243"/>
    <x v="8"/>
    <x v="67"/>
    <x v="7"/>
    <x v="0"/>
    <n v="5"/>
  </r>
  <r>
    <s v="PARKER, JERROD"/>
    <s v="04"/>
    <s v="PALMAJOSE"/>
    <s v="MAIN"/>
    <x v="32"/>
    <x v="1"/>
    <x v="0"/>
    <s v="Invoice"/>
    <s v="96243"/>
    <x v="5"/>
    <x v="72"/>
    <x v="4"/>
    <x v="0"/>
    <n v="5"/>
  </r>
  <r>
    <s v="PARKER, JERROD"/>
    <s v="04"/>
    <s v="PALMAJOSE"/>
    <s v="MAIN"/>
    <x v="32"/>
    <x v="1"/>
    <x v="0"/>
    <s v="Invoice"/>
    <s v="96243"/>
    <x v="106"/>
    <x v="74"/>
    <x v="13"/>
    <x v="0"/>
    <n v="5"/>
  </r>
  <r>
    <s v="PARKER, JERROD"/>
    <s v="04"/>
    <s v="PALMAJOSE"/>
    <s v="MAIN"/>
    <x v="32"/>
    <x v="1"/>
    <x v="0"/>
    <s v="Invoice"/>
    <s v="96243"/>
    <x v="107"/>
    <x v="98"/>
    <x v="36"/>
    <x v="0"/>
    <n v="5"/>
  </r>
  <r>
    <s v="PARKER, JERROD"/>
    <s v="04"/>
    <s v="BEAUCHAMP"/>
    <s v="ONION FIELD"/>
    <x v="32"/>
    <x v="1"/>
    <x v="0"/>
    <s v="Invoice"/>
    <s v="96244"/>
    <x v="108"/>
    <x v="59"/>
    <x v="32"/>
    <x v="0"/>
    <n v="30"/>
  </r>
  <r>
    <s v="PARKER, JERROD"/>
    <s v="04"/>
    <s v="BEAUCHAMP"/>
    <s v="ONION FIELD"/>
    <x v="32"/>
    <x v="1"/>
    <x v="0"/>
    <s v="Invoice"/>
    <s v="96244"/>
    <x v="66"/>
    <x v="59"/>
    <x v="32"/>
    <x v="0"/>
    <n v="180"/>
  </r>
  <r>
    <s v="PARKER, JERROD"/>
    <s v="04"/>
    <s v="FRANKLIN"/>
    <s v="MCGEE RD. SOUTH"/>
    <x v="32"/>
    <x v="1"/>
    <x v="0"/>
    <s v="Invoice"/>
    <s v="96245"/>
    <x v="109"/>
    <x v="80"/>
    <x v="2"/>
    <x v="0"/>
    <n v="500"/>
  </r>
  <r>
    <s v="PARKER, JERROD"/>
    <s v="04"/>
    <s v="FRANKLIN"/>
    <s v="MCGEE RD. SOUTH"/>
    <x v="32"/>
    <x v="1"/>
    <x v="0"/>
    <s v="Invoice"/>
    <s v="96245"/>
    <x v="110"/>
    <x v="97"/>
    <x v="16"/>
    <x v="0"/>
    <n v="500"/>
  </r>
  <r>
    <s v="PARKER, JERROD"/>
    <s v="04"/>
    <s v="FERRISFA"/>
    <s v="THEBARN"/>
    <x v="32"/>
    <x v="1"/>
    <x v="0"/>
    <s v="Invoice"/>
    <s v="96246"/>
    <x v="72"/>
    <x v="65"/>
    <x v="22"/>
    <x v="2"/>
    <n v="10.012499999999999"/>
  </r>
  <r>
    <s v="PARKER, JERROD"/>
    <s v="04"/>
    <s v="GUTIERREZA"/>
    <s v="AL SIMMONS RD"/>
    <x v="32"/>
    <x v="1"/>
    <x v="0"/>
    <s v="Invoice"/>
    <s v="96248"/>
    <x v="58"/>
    <x v="51"/>
    <x v="22"/>
    <x v="2"/>
    <n v="1.25"/>
  </r>
  <r>
    <s v="PARKER, JERROD"/>
    <s v="04"/>
    <s v="FERRISFA"/>
    <s v="BLUEBERRY-NEW"/>
    <x v="32"/>
    <x v="1"/>
    <x v="0"/>
    <s v="Invoice"/>
    <s v="96249"/>
    <x v="62"/>
    <x v="55"/>
    <x v="22"/>
    <x v="2"/>
    <n v="5"/>
  </r>
  <r>
    <s v="PARKER, JERROD"/>
    <s v="04"/>
    <s v="CHARLIEG-LLC"/>
    <s v="ALBRITTON"/>
    <x v="32"/>
    <x v="1"/>
    <x v="0"/>
    <s v="Invoice"/>
    <s v="96250"/>
    <x v="27"/>
    <x v="22"/>
    <x v="22"/>
    <x v="2"/>
    <n v="15.035"/>
  </r>
  <r>
    <s v="PARKER, JERROD"/>
    <s v="04"/>
    <s v="CIRCLEGF&amp;R LLC"/>
    <s v="KNIGHTS-N-#16"/>
    <x v="32"/>
    <x v="1"/>
    <x v="0"/>
    <s v="Invoice"/>
    <s v="96251"/>
    <x v="27"/>
    <x v="22"/>
    <x v="22"/>
    <x v="2"/>
    <n v="15.01"/>
  </r>
  <r>
    <s v="PARKER, JERROD"/>
    <s v="04"/>
    <s v="STEVEMAT"/>
    <s v="DRAWDY"/>
    <x v="32"/>
    <x v="1"/>
    <x v="0"/>
    <s v="Invoice"/>
    <s v="96253"/>
    <x v="110"/>
    <x v="97"/>
    <x v="16"/>
    <x v="0"/>
    <n v="250"/>
  </r>
  <r>
    <s v="PARKER, JERROD"/>
    <s v="04"/>
    <s v="IFASGULF"/>
    <s v="BALM-STRAWBERRY"/>
    <x v="32"/>
    <x v="1"/>
    <x v="0"/>
    <s v="Invoice"/>
    <s v="96254"/>
    <x v="111"/>
    <x v="99"/>
    <x v="22"/>
    <x v="2"/>
    <n v="1.25"/>
  </r>
  <r>
    <s v="PARKER, JERROD"/>
    <s v="04"/>
    <s v="FAVORITE"/>
    <s v="MCINTOSH ROAD"/>
    <x v="38"/>
    <x v="1"/>
    <x v="0"/>
    <s v="Invoice"/>
    <s v="96256"/>
    <x v="59"/>
    <x v="52"/>
    <x v="22"/>
    <x v="2"/>
    <n v="10.005000000000001"/>
  </r>
  <r>
    <s v="PARKER, JERROD"/>
    <s v="04"/>
    <s v="GUILLERMOV"/>
    <s v="MAIN"/>
    <x v="38"/>
    <x v="1"/>
    <x v="0"/>
    <s v="Invoice"/>
    <s v="96257"/>
    <x v="53"/>
    <x v="46"/>
    <x v="22"/>
    <x v="2"/>
    <n v="0.15"/>
  </r>
  <r>
    <s v="PARKER, JERROD"/>
    <s v="04"/>
    <s v="EWSIMMON"/>
    <s v="JERRY SMITH RD"/>
    <x v="38"/>
    <x v="1"/>
    <x v="0"/>
    <s v="Invoice"/>
    <s v="96258"/>
    <x v="28"/>
    <x v="23"/>
    <x v="22"/>
    <x v="2"/>
    <n v="5.03"/>
  </r>
  <r>
    <s v="PARKER, JERROD"/>
    <s v="04"/>
    <s v="PORTER HA"/>
    <s v="DOWNING/NS"/>
    <x v="38"/>
    <x v="1"/>
    <x v="0"/>
    <s v="Invoice"/>
    <s v="96262"/>
    <x v="112"/>
    <x v="100"/>
    <x v="42"/>
    <x v="0"/>
    <n v="250"/>
  </r>
  <r>
    <s v="PARKER, JERROD"/>
    <s v="04"/>
    <s v="PORTER HA"/>
    <s v="DOWNING/NS"/>
    <x v="38"/>
    <x v="1"/>
    <x v="0"/>
    <s v="Invoice"/>
    <s v="96262"/>
    <x v="113"/>
    <x v="100"/>
    <x v="42"/>
    <x v="0"/>
    <n v="110"/>
  </r>
  <r>
    <s v="PARKER, JERROD"/>
    <s v="04"/>
    <s v="MERCEDCH"/>
    <s v="HWY62"/>
    <x v="38"/>
    <x v="1"/>
    <x v="0"/>
    <s v="Invoice"/>
    <s v="96263"/>
    <x v="58"/>
    <x v="51"/>
    <x v="22"/>
    <x v="2"/>
    <n v="10.0275"/>
  </r>
  <r>
    <s v="PARKER, JERROD"/>
    <s v="04"/>
    <s v="MERCEDCH"/>
    <s v="HWY62"/>
    <x v="38"/>
    <x v="1"/>
    <x v="0"/>
    <s v="Invoice"/>
    <s v="96264"/>
    <x v="43"/>
    <x v="38"/>
    <x v="22"/>
    <x v="2"/>
    <n v="5.0025000000000004"/>
  </r>
  <r>
    <s v="PARKER, JERROD"/>
    <s v="04"/>
    <s v="CHAVEZMARTINEZ"/>
    <s v="MAIN"/>
    <x v="38"/>
    <x v="1"/>
    <x v="0"/>
    <s v="Invoice"/>
    <s v="96265"/>
    <x v="59"/>
    <x v="52"/>
    <x v="22"/>
    <x v="2"/>
    <n v="1"/>
  </r>
  <r>
    <s v="PARKER, JERROD"/>
    <s v="04"/>
    <s v="FFA"/>
    <s v="BARRINGTON"/>
    <x v="38"/>
    <x v="1"/>
    <x v="0"/>
    <s v="Invoice"/>
    <s v="96267"/>
    <x v="58"/>
    <x v="51"/>
    <x v="22"/>
    <x v="2"/>
    <n v="1.25"/>
  </r>
  <r>
    <s v="PARKER, JERROD"/>
    <s v="04"/>
    <s v="ALVAREZJ"/>
    <s v="MOORESLAKE"/>
    <x v="38"/>
    <x v="1"/>
    <x v="0"/>
    <s v="Invoice"/>
    <s v="96268"/>
    <x v="43"/>
    <x v="38"/>
    <x v="22"/>
    <x v="2"/>
    <n v="2.0049999999999999"/>
  </r>
  <r>
    <s v="PARKER, JERROD"/>
    <s v="04"/>
    <s v="MENDOZAHEC"/>
    <s v="HWY60"/>
    <x v="38"/>
    <x v="1"/>
    <x v="0"/>
    <s v="Invoice"/>
    <s v="96273"/>
    <x v="69"/>
    <x v="62"/>
    <x v="22"/>
    <x v="2"/>
    <n v="2.5099999999999998"/>
  </r>
  <r>
    <s v="PARKER, JERROD"/>
    <s v="04"/>
    <s v="MIDWAYF"/>
    <s v="FORBES"/>
    <x v="38"/>
    <x v="1"/>
    <x v="0"/>
    <s v="Invoice"/>
    <s v="96274"/>
    <x v="27"/>
    <x v="22"/>
    <x v="22"/>
    <x v="2"/>
    <n v="8.7550000000000008"/>
  </r>
  <r>
    <s v="PARKER, JERROD"/>
    <s v="04"/>
    <s v="FANCYFAR"/>
    <s v="FUTCH LOOP-CTR."/>
    <x v="38"/>
    <x v="1"/>
    <x v="0"/>
    <s v="Invoice"/>
    <s v="96275"/>
    <x v="27"/>
    <x v="22"/>
    <x v="22"/>
    <x v="2"/>
    <n v="15.0075"/>
  </r>
  <r>
    <s v="PARKER, JERROD"/>
    <s v="04"/>
    <s v="CENFLO ORGANICS"/>
    <s v="MCINTOSH"/>
    <x v="38"/>
    <x v="1"/>
    <x v="0"/>
    <s v="Invoice"/>
    <s v="96276"/>
    <x v="57"/>
    <x v="50"/>
    <x v="22"/>
    <x v="2"/>
    <n v="5.0025000000000004"/>
  </r>
  <r>
    <s v="PARKER, JERROD"/>
    <s v="04"/>
    <s v="ROQUEFARMS"/>
    <s v="SWEETWATER"/>
    <x v="26"/>
    <x v="1"/>
    <x v="0"/>
    <s v="Invoice"/>
    <s v="96279"/>
    <x v="58"/>
    <x v="51"/>
    <x v="22"/>
    <x v="2"/>
    <n v="5"/>
  </r>
  <r>
    <s v="PARKER, JERROD"/>
    <s v="04"/>
    <s v="GUTIERREZA"/>
    <s v="WIAMAUMA"/>
    <x v="26"/>
    <x v="1"/>
    <x v="0"/>
    <s v="Invoice"/>
    <s v="96280"/>
    <x v="43"/>
    <x v="38"/>
    <x v="22"/>
    <x v="2"/>
    <n v="5.0025000000000004"/>
  </r>
  <r>
    <s v="PARKER, JERROD"/>
    <s v="04"/>
    <s v="GUTIERREZDAN"/>
    <s v="THEHILL"/>
    <x v="26"/>
    <x v="1"/>
    <x v="0"/>
    <s v="Invoice"/>
    <s v="96281"/>
    <x v="58"/>
    <x v="51"/>
    <x v="22"/>
    <x v="2"/>
    <n v="13.5"/>
  </r>
  <r>
    <s v="PARKER, JERROD"/>
    <s v="04"/>
    <s v="LEE GILLM"/>
    <s v="PASTUREPUMP"/>
    <x v="26"/>
    <x v="1"/>
    <x v="0"/>
    <s v="Invoice"/>
    <s v="96284"/>
    <x v="43"/>
    <x v="38"/>
    <x v="22"/>
    <x v="2"/>
    <n v="2.0125000000000002"/>
  </r>
  <r>
    <s v="PARKER, JERROD"/>
    <s v="04"/>
    <s v="MIDWAYF"/>
    <s v="WILDER RD."/>
    <x v="26"/>
    <x v="1"/>
    <x v="0"/>
    <s v="Invoice"/>
    <s v="96285"/>
    <x v="27"/>
    <x v="22"/>
    <x v="22"/>
    <x v="2"/>
    <n v="11.515000000000001"/>
  </r>
  <r>
    <s v="PARKER, JERROD"/>
    <s v="04"/>
    <s v="JOEPENA"/>
    <s v="HWY 92"/>
    <x v="40"/>
    <x v="1"/>
    <x v="0"/>
    <s v="Invoice"/>
    <s v="96287"/>
    <x v="114"/>
    <x v="101"/>
    <x v="22"/>
    <x v="2"/>
    <n v="1"/>
  </r>
  <r>
    <s v="PARKER, JERROD"/>
    <s v="04"/>
    <s v="SWEETLIFE"/>
    <s v="SWINDLES"/>
    <x v="26"/>
    <x v="1"/>
    <x v="0"/>
    <s v="Invoice"/>
    <s v="96288"/>
    <x v="27"/>
    <x v="22"/>
    <x v="22"/>
    <x v="2"/>
    <n v="14.54"/>
  </r>
  <r>
    <s v="PARKER, JERROD"/>
    <s v="04"/>
    <s v="SWEETLIFE"/>
    <s v="FOSTERDUKES"/>
    <x v="26"/>
    <x v="1"/>
    <x v="0"/>
    <s v="Invoice"/>
    <s v="96289"/>
    <x v="27"/>
    <x v="22"/>
    <x v="22"/>
    <x v="2"/>
    <n v="5.0525000000000002"/>
  </r>
  <r>
    <s v="PARKER, JERROD"/>
    <s v="04"/>
    <s v="THREESTA"/>
    <s v="WALDEN-SHEFFIEL"/>
    <x v="26"/>
    <x v="1"/>
    <x v="0"/>
    <s v="Invoice"/>
    <s v="96290"/>
    <x v="115"/>
    <x v="102"/>
    <x v="22"/>
    <x v="2"/>
    <n v="10.01"/>
  </r>
  <r>
    <s v="PARKER, JERROD"/>
    <s v="04"/>
    <s v="BEAUCHAMP"/>
    <s v="GALLAGHER"/>
    <x v="40"/>
    <x v="1"/>
    <x v="0"/>
    <s v="Invoice"/>
    <s v="96292"/>
    <x v="104"/>
    <x v="96"/>
    <x v="22"/>
    <x v="2"/>
    <n v="4"/>
  </r>
  <r>
    <s v="PARKER, JERROD"/>
    <s v="04"/>
    <s v="SWEETLIFE"/>
    <s v="KNIGHTS GRIFFIN"/>
    <x v="40"/>
    <x v="1"/>
    <x v="0"/>
    <s v="Invoice"/>
    <s v="96293"/>
    <x v="27"/>
    <x v="22"/>
    <x v="22"/>
    <x v="2"/>
    <n v="5"/>
  </r>
  <r>
    <s v="PARKER, JERROD"/>
    <s v="04"/>
    <s v="ELIASCEDILLO"/>
    <s v="LITHIA"/>
    <x v="40"/>
    <x v="1"/>
    <x v="0"/>
    <s v="Invoice"/>
    <s v="96294"/>
    <x v="43"/>
    <x v="38"/>
    <x v="22"/>
    <x v="2"/>
    <n v="1.25"/>
  </r>
  <r>
    <s v="PARKER, JERROD"/>
    <s v="04"/>
    <s v="EWSIMMON"/>
    <s v="DRAWDY ROAD"/>
    <x v="40"/>
    <x v="1"/>
    <x v="0"/>
    <s v="Invoice"/>
    <s v="96295"/>
    <x v="28"/>
    <x v="23"/>
    <x v="22"/>
    <x v="2"/>
    <n v="7.5"/>
  </r>
  <r>
    <s v="PARKER, JERROD"/>
    <s v="04"/>
    <s v="JOSEHERN"/>
    <s v="DURANT"/>
    <x v="40"/>
    <x v="1"/>
    <x v="0"/>
    <s v="Invoice"/>
    <s v="96296"/>
    <x v="43"/>
    <x v="38"/>
    <x v="22"/>
    <x v="2"/>
    <n v="5"/>
  </r>
  <r>
    <s v="PARKER, JERROD"/>
    <s v="04"/>
    <s v="MENDOZAHEC"/>
    <s v="JAUDON RD"/>
    <x v="40"/>
    <x v="1"/>
    <x v="0"/>
    <s v="Invoice"/>
    <s v="96297"/>
    <x v="43"/>
    <x v="38"/>
    <x v="22"/>
    <x v="2"/>
    <n v="3.75"/>
  </r>
  <r>
    <s v="PARKER, JERROD"/>
    <s v="04"/>
    <s v="BONIFACIO"/>
    <s v="NEWSOME"/>
    <x v="40"/>
    <x v="1"/>
    <x v="0"/>
    <s v="Invoice"/>
    <s v="96298"/>
    <x v="67"/>
    <x v="60"/>
    <x v="22"/>
    <x v="2"/>
    <n v="2.5"/>
  </r>
  <r>
    <s v="PARKER, JERROD"/>
    <s v="04"/>
    <s v="FRANKLIN"/>
    <s v="MCGEE RD. SOUTH"/>
    <x v="40"/>
    <x v="1"/>
    <x v="0"/>
    <s v="Invoice"/>
    <s v="96299"/>
    <x v="59"/>
    <x v="52"/>
    <x v="22"/>
    <x v="2"/>
    <n v="5.0175000000000001"/>
  </r>
  <r>
    <s v="PARKER, JERROD"/>
    <s v="04"/>
    <s v="FILEMONMARTINEZ"/>
    <s v="MAILING"/>
    <x v="40"/>
    <x v="1"/>
    <x v="0"/>
    <s v="Invoice"/>
    <s v="96300"/>
    <x v="5"/>
    <x v="72"/>
    <x v="4"/>
    <x v="0"/>
    <n v="15"/>
  </r>
  <r>
    <s v="PARKER, JERROD"/>
    <s v="04"/>
    <s v="FRANKLIN"/>
    <s v="MCGEE RD. NORTH"/>
    <x v="40"/>
    <x v="1"/>
    <x v="0"/>
    <s v="Invoice"/>
    <s v="96301"/>
    <x v="28"/>
    <x v="23"/>
    <x v="22"/>
    <x v="2"/>
    <n v="2.4775"/>
  </r>
  <r>
    <s v="PARKER, JERROD"/>
    <s v="04"/>
    <s v="CIRCLEGF&amp;R LLC"/>
    <s v="KNIGHTS-N-#12"/>
    <x v="40"/>
    <x v="1"/>
    <x v="0"/>
    <s v="Invoice"/>
    <s v="96302"/>
    <x v="27"/>
    <x v="22"/>
    <x v="22"/>
    <x v="2"/>
    <n v="2.9874999999999998"/>
  </r>
  <r>
    <s v="PARKER, JERROD"/>
    <s v="04"/>
    <s v="SOTERO"/>
    <s v="SOTERO"/>
    <x v="40"/>
    <x v="1"/>
    <x v="0"/>
    <s v="Invoice"/>
    <s v="96303"/>
    <x v="53"/>
    <x v="46"/>
    <x v="22"/>
    <x v="2"/>
    <n v="0.3"/>
  </r>
  <r>
    <s v="PARKER, JERROD"/>
    <s v="04"/>
    <s v="DESHONGK"/>
    <s v="KNIGHTS/SCHOOL"/>
    <x v="40"/>
    <x v="1"/>
    <x v="0"/>
    <s v="Invoice"/>
    <s v="96304"/>
    <x v="43"/>
    <x v="38"/>
    <x v="22"/>
    <x v="2"/>
    <n v="7.0225"/>
  </r>
  <r>
    <s v="PARKER, JERROD"/>
    <s v="04"/>
    <s v="GEORGESP"/>
    <s v="TURKEY CREEK/EA"/>
    <x v="40"/>
    <x v="1"/>
    <x v="0"/>
    <s v="Invoice"/>
    <s v="96305"/>
    <x v="58"/>
    <x v="51"/>
    <x v="22"/>
    <x v="2"/>
    <n v="2.5074999999999998"/>
  </r>
  <r>
    <s v="PARKER, JERROD"/>
    <s v="04"/>
    <s v="MIKELOTT"/>
    <s v="HILLSBOROUGH/E"/>
    <x v="41"/>
    <x v="1"/>
    <x v="0"/>
    <s v="Invoice"/>
    <s v="96307"/>
    <x v="28"/>
    <x v="23"/>
    <x v="22"/>
    <x v="2"/>
    <n v="5.03"/>
  </r>
  <r>
    <s v="PARKER, JERROD"/>
    <s v="04"/>
    <s v="COLORFULH"/>
    <s v="SMITH RYALS"/>
    <x v="41"/>
    <x v="1"/>
    <x v="0"/>
    <s v="Invoice"/>
    <s v="96308"/>
    <x v="69"/>
    <x v="62"/>
    <x v="22"/>
    <x v="2"/>
    <n v="5.0225"/>
  </r>
  <r>
    <s v="PARKER, JERROD"/>
    <s v="04"/>
    <s v="TGFARMS"/>
    <s v="MAIN"/>
    <x v="41"/>
    <x v="1"/>
    <x v="0"/>
    <s v="Invoice"/>
    <s v="96309"/>
    <x v="69"/>
    <x v="62"/>
    <x v="22"/>
    <x v="2"/>
    <n v="15.02"/>
  </r>
  <r>
    <s v="PARKER, JERROD"/>
    <s v="04"/>
    <s v="GUTIERREZDAN"/>
    <s v="HWY 92"/>
    <x v="41"/>
    <x v="1"/>
    <x v="0"/>
    <s v="Invoice"/>
    <s v="96310"/>
    <x v="58"/>
    <x v="51"/>
    <x v="22"/>
    <x v="2"/>
    <n v="6.0049999999999999"/>
  </r>
  <r>
    <s v="PARKER, JERROD"/>
    <s v="04"/>
    <s v="SWEETLIFE"/>
    <s v="KNIGHTS GRIFFIN"/>
    <x v="41"/>
    <x v="1"/>
    <x v="0"/>
    <s v="Invoice"/>
    <s v="96311"/>
    <x v="64"/>
    <x v="57"/>
    <x v="22"/>
    <x v="2"/>
    <n v="15.01"/>
  </r>
  <r>
    <s v="PARKER, JERROD"/>
    <s v="04"/>
    <s v="SOUTHERNHILL"/>
    <s v="SCHOFIELD"/>
    <x v="41"/>
    <x v="1"/>
    <x v="0"/>
    <s v="Invoice"/>
    <s v="96312"/>
    <x v="43"/>
    <x v="38"/>
    <x v="22"/>
    <x v="2"/>
    <n v="2"/>
  </r>
  <r>
    <s v="PARKER, JERROD"/>
    <s v="04"/>
    <s v="BONIFACIO"/>
    <s v="MAILING"/>
    <x v="41"/>
    <x v="1"/>
    <x v="0"/>
    <s v="Invoice"/>
    <s v="96313"/>
    <x v="5"/>
    <x v="72"/>
    <x v="4"/>
    <x v="0"/>
    <n v="25"/>
  </r>
  <r>
    <s v="PARKER, JERROD"/>
    <s v="04"/>
    <s v="BONIFACIO"/>
    <s v="MAILING"/>
    <x v="41"/>
    <x v="1"/>
    <x v="0"/>
    <s v="Invoice"/>
    <s v="96313"/>
    <x v="77"/>
    <x v="37"/>
    <x v="30"/>
    <x v="0"/>
    <n v="60"/>
  </r>
  <r>
    <s v="PARKER, JERROD"/>
    <s v="04"/>
    <s v="MANUELCH"/>
    <s v="MAILING"/>
    <x v="41"/>
    <x v="1"/>
    <x v="0"/>
    <s v="Invoice"/>
    <s v="96314"/>
    <x v="66"/>
    <x v="59"/>
    <x v="32"/>
    <x v="0"/>
    <n v="120"/>
  </r>
  <r>
    <s v="PARKER, JERROD"/>
    <s v="04"/>
    <s v="CIRCLEGF&amp;R LLC"/>
    <s v="KNIGHTS-N-#16"/>
    <x v="41"/>
    <x v="1"/>
    <x v="0"/>
    <s v="Invoice"/>
    <s v="96315"/>
    <x v="64"/>
    <x v="57"/>
    <x v="22"/>
    <x v="2"/>
    <n v="14.525"/>
  </r>
  <r>
    <s v="PARKER, JERROD"/>
    <s v="04"/>
    <s v="GAONA, ESPER"/>
    <s v="WILLIAMSRD"/>
    <x v="41"/>
    <x v="1"/>
    <x v="0"/>
    <s v="Invoice"/>
    <s v="96316"/>
    <x v="58"/>
    <x v="51"/>
    <x v="22"/>
    <x v="2"/>
    <n v="3.0049999999999999"/>
  </r>
  <r>
    <s v="PARKER, JERROD"/>
    <s v="04"/>
    <s v="FILEMONMARTINEZ"/>
    <s v="REDMAN"/>
    <x v="41"/>
    <x v="1"/>
    <x v="0"/>
    <s v="Invoice"/>
    <s v="96317"/>
    <x v="67"/>
    <x v="60"/>
    <x v="22"/>
    <x v="2"/>
    <n v="2.5"/>
  </r>
  <r>
    <s v="PARKER, JERROD"/>
    <s v="04"/>
    <s v="GAONA, ESPER"/>
    <s v="STRAUSS RD."/>
    <x v="41"/>
    <x v="1"/>
    <x v="0"/>
    <s v="Invoice"/>
    <s v="96318"/>
    <x v="58"/>
    <x v="51"/>
    <x v="22"/>
    <x v="2"/>
    <n v="0.99750000000000005"/>
  </r>
  <r>
    <s v="PARKER, JERROD"/>
    <s v="04"/>
    <s v="GAONA, ESPER"/>
    <s v="STRAUSS RD."/>
    <x v="41"/>
    <x v="1"/>
    <x v="0"/>
    <s v="Invoice"/>
    <s v="96319"/>
    <x v="28"/>
    <x v="23"/>
    <x v="22"/>
    <x v="2"/>
    <n v="1.0049999999999999"/>
  </r>
  <r>
    <s v="PARKER, JERROD"/>
    <s v="04"/>
    <s v="FRANKLIN"/>
    <s v="MCGEE RD. NORTH"/>
    <x v="41"/>
    <x v="1"/>
    <x v="0"/>
    <s v="Invoice"/>
    <s v="96320"/>
    <x v="116"/>
    <x v="103"/>
    <x v="43"/>
    <x v="0"/>
    <n v="60"/>
  </r>
  <r>
    <s v="PARKER, JERROD"/>
    <s v="04"/>
    <s v="CHARLIEG-LLC"/>
    <s v="DAIRY"/>
    <x v="27"/>
    <x v="1"/>
    <x v="0"/>
    <s v="Invoice"/>
    <s v="96321"/>
    <x v="64"/>
    <x v="57"/>
    <x v="22"/>
    <x v="2"/>
    <n v="10.0175"/>
  </r>
  <r>
    <s v="PARKER, JERROD"/>
    <s v="04"/>
    <s v="CARLTONTHOMAS"/>
    <s v="GRANGEHALL"/>
    <x v="27"/>
    <x v="1"/>
    <x v="0"/>
    <s v="Invoice"/>
    <s v="96322"/>
    <x v="71"/>
    <x v="64"/>
    <x v="22"/>
    <x v="2"/>
    <n v="5"/>
  </r>
  <r>
    <s v="PARKER, JERROD"/>
    <s v="04"/>
    <s v="IFASGULF"/>
    <s v="BALM-STRAWBERRY"/>
    <x v="27"/>
    <x v="1"/>
    <x v="0"/>
    <s v="Invoice"/>
    <s v="96323"/>
    <x v="28"/>
    <x v="23"/>
    <x v="22"/>
    <x v="2"/>
    <n v="7.5324999999999998"/>
  </r>
  <r>
    <s v="PARKER, JERROD"/>
    <s v="04"/>
    <s v="ROQUEFARMS"/>
    <s v="SWEETWATER"/>
    <x v="27"/>
    <x v="1"/>
    <x v="0"/>
    <s v="Invoice"/>
    <s v="96325"/>
    <x v="58"/>
    <x v="51"/>
    <x v="22"/>
    <x v="2"/>
    <n v="2.5"/>
  </r>
  <r>
    <s v="PARKER, JERROD"/>
    <s v="04"/>
    <s v="CHANFARM"/>
    <s v="HIGHWAY 39 N"/>
    <x v="27"/>
    <x v="1"/>
    <x v="0"/>
    <s v="Invoice"/>
    <s v="96326"/>
    <x v="117"/>
    <x v="104"/>
    <x v="22"/>
    <x v="2"/>
    <n v="1.9875"/>
  </r>
  <r>
    <s v="PARKER, JERROD"/>
    <s v="04"/>
    <s v="CHANFARM"/>
    <s v="HIGHWAY 39 N"/>
    <x v="27"/>
    <x v="1"/>
    <x v="0"/>
    <s v="Invoice"/>
    <s v="96326"/>
    <x v="32"/>
    <x v="105"/>
    <x v="25"/>
    <x v="0"/>
    <n v="400"/>
  </r>
  <r>
    <s v="PARKER, JERROD"/>
    <s v="04"/>
    <s v="MIDWAYF"/>
    <s v="HAGGERTY ROAD"/>
    <x v="27"/>
    <x v="1"/>
    <x v="0"/>
    <s v="Invoice"/>
    <s v="96328"/>
    <x v="64"/>
    <x v="57"/>
    <x v="22"/>
    <x v="2"/>
    <n v="8.0075000000000003"/>
  </r>
  <r>
    <s v="PARKER, JERROD"/>
    <s v="04"/>
    <s v="MIDWAYF"/>
    <s v="ALS - NORTH"/>
    <x v="27"/>
    <x v="1"/>
    <x v="0"/>
    <s v="Invoice"/>
    <s v="96330"/>
    <x v="64"/>
    <x v="57"/>
    <x v="22"/>
    <x v="2"/>
    <n v="4.4024999999999999"/>
  </r>
  <r>
    <s v="PARKER, JERROD"/>
    <s v="04"/>
    <s v="PARKESDA"/>
    <s v="SLATEN"/>
    <x v="27"/>
    <x v="1"/>
    <x v="0"/>
    <s v="Invoice"/>
    <s v="96332"/>
    <x v="65"/>
    <x v="58"/>
    <x v="22"/>
    <x v="2"/>
    <n v="12.5"/>
  </r>
  <r>
    <s v="PARKER, JERROD"/>
    <s v="04"/>
    <s v="FLORIDAAG"/>
    <s v="DOVER"/>
    <x v="27"/>
    <x v="1"/>
    <x v="0"/>
    <s v="Invoice"/>
    <s v="96336"/>
    <x v="9"/>
    <x v="106"/>
    <x v="8"/>
    <x v="0"/>
    <n v="5"/>
  </r>
  <r>
    <s v="PARKER, JERROD"/>
    <s v="04"/>
    <s v="FLORIDAAG"/>
    <s v="DOVER"/>
    <x v="27"/>
    <x v="1"/>
    <x v="0"/>
    <s v="Invoice"/>
    <s v="96337"/>
    <x v="118"/>
    <x v="107"/>
    <x v="22"/>
    <x v="2"/>
    <n v="0.05"/>
  </r>
  <r>
    <s v="PARKER, JERROD"/>
    <s v="04"/>
    <s v="FLORIDAAG"/>
    <s v="DOVER"/>
    <x v="27"/>
    <x v="1"/>
    <x v="0"/>
    <s v="Invoice"/>
    <s v="96338"/>
    <x v="52"/>
    <x v="45"/>
    <x v="22"/>
    <x v="2"/>
    <n v="0.3"/>
  </r>
  <r>
    <s v="PARKER, JERROD"/>
    <s v="04"/>
    <s v="MENDOZAHEC"/>
    <s v="HWY60"/>
    <x v="27"/>
    <x v="1"/>
    <x v="0"/>
    <s v="Invoice"/>
    <s v="96340"/>
    <x v="27"/>
    <x v="22"/>
    <x v="22"/>
    <x v="2"/>
    <n v="2.5"/>
  </r>
  <r>
    <s v="PARKER, JERROD"/>
    <s v="04"/>
    <s v="ALVAREZJ"/>
    <s v="ROGERS"/>
    <x v="27"/>
    <x v="1"/>
    <x v="0"/>
    <s v="Invoice"/>
    <s v="96341"/>
    <x v="43"/>
    <x v="38"/>
    <x v="22"/>
    <x v="2"/>
    <n v="1"/>
  </r>
  <r>
    <s v="PARKER, JERROD"/>
    <s v="04"/>
    <s v="SYDNEYFA"/>
    <s v="FORBES ROAD"/>
    <x v="27"/>
    <x v="1"/>
    <x v="0"/>
    <s v="Invoice"/>
    <s v="96342"/>
    <x v="64"/>
    <x v="57"/>
    <x v="22"/>
    <x v="2"/>
    <n v="2.5125000000000002"/>
  </r>
  <r>
    <s v="PARKER, JERROD"/>
    <s v="04"/>
    <s v="FANCYFAR"/>
    <s v="DRANE FIELD"/>
    <x v="42"/>
    <x v="1"/>
    <x v="0"/>
    <s v="Invoice"/>
    <s v="96345"/>
    <x v="27"/>
    <x v="22"/>
    <x v="22"/>
    <x v="2"/>
    <n v="10"/>
  </r>
  <r>
    <s v="PARKER, JERROD"/>
    <s v="04"/>
    <s v="GUTIERREZA"/>
    <s v="JOE KING RD"/>
    <x v="42"/>
    <x v="1"/>
    <x v="0"/>
    <s v="Invoice"/>
    <s v="96346"/>
    <x v="58"/>
    <x v="51"/>
    <x v="22"/>
    <x v="2"/>
    <n v="3.75"/>
  </r>
  <r>
    <s v="PARKER, JERROD"/>
    <s v="04"/>
    <s v="GERALDWI"/>
    <s v="TURKEY CRK"/>
    <x v="42"/>
    <x v="1"/>
    <x v="0"/>
    <s v="Invoice"/>
    <s v="96347"/>
    <x v="43"/>
    <x v="38"/>
    <x v="22"/>
    <x v="2"/>
    <n v="7.5125000000000002"/>
  </r>
  <r>
    <s v="PARKER, JERROD"/>
    <s v="04"/>
    <s v="THREESTA"/>
    <s v="WALDEN-SHEFFIEL"/>
    <x v="27"/>
    <x v="1"/>
    <x v="0"/>
    <s v="Invoice"/>
    <s v="96348"/>
    <x v="64"/>
    <x v="57"/>
    <x v="22"/>
    <x v="2"/>
    <n v="15"/>
  </r>
  <r>
    <s v="PARKER, JERROD"/>
    <s v="04"/>
    <s v="MERCEDCH"/>
    <s v="SOUTHTANK"/>
    <x v="27"/>
    <x v="1"/>
    <x v="0"/>
    <s v="Invoice"/>
    <s v="96349"/>
    <x v="43"/>
    <x v="38"/>
    <x v="22"/>
    <x v="2"/>
    <n v="15.022500000000001"/>
  </r>
  <r>
    <s v="PARKER, JERROD"/>
    <s v="04"/>
    <s v="SOUTHERNHILL"/>
    <s v="SCHOFIELD"/>
    <x v="27"/>
    <x v="1"/>
    <x v="0"/>
    <s v="Invoice"/>
    <s v="96350"/>
    <x v="47"/>
    <x v="41"/>
    <x v="22"/>
    <x v="2"/>
    <n v="2.5125000000000002"/>
  </r>
  <r>
    <s v="PARKER, JERROD"/>
    <s v="04"/>
    <s v="BONIFACIO"/>
    <s v="BONIFACIO"/>
    <x v="42"/>
    <x v="1"/>
    <x v="0"/>
    <s v="Invoice"/>
    <s v="96351"/>
    <x v="42"/>
    <x v="37"/>
    <x v="30"/>
    <x v="0"/>
    <n v="10"/>
  </r>
  <r>
    <s v="PARKER, JERROD"/>
    <s v="04"/>
    <s v="SWEETLIFE"/>
    <s v="KNIGHTS GRIFFIN"/>
    <x v="42"/>
    <x v="1"/>
    <x v="0"/>
    <s v="Invoice"/>
    <s v="96352"/>
    <x v="64"/>
    <x v="57"/>
    <x v="22"/>
    <x v="2"/>
    <n v="5"/>
  </r>
  <r>
    <s v="PARKER, JERROD"/>
    <s v="04"/>
    <s v="PARKESDA"/>
    <s v="SLATEN"/>
    <x v="42"/>
    <x v="1"/>
    <x v="0"/>
    <s v="Invoice"/>
    <s v="96353"/>
    <x v="65"/>
    <x v="58"/>
    <x v="22"/>
    <x v="2"/>
    <n v="10"/>
  </r>
  <r>
    <s v="PARKER, JERROD"/>
    <s v="04"/>
    <s v="MIKELOTT"/>
    <s v="HILLSBOROUGH"/>
    <x v="42"/>
    <x v="1"/>
    <x v="0"/>
    <s v="Invoice"/>
    <s v="96356"/>
    <x v="28"/>
    <x v="23"/>
    <x v="22"/>
    <x v="2"/>
    <n v="5"/>
  </r>
  <r>
    <s v="PARKER, JERROD"/>
    <s v="04"/>
    <s v="GUTIERREZA"/>
    <s v="WASHINGTON"/>
    <x v="42"/>
    <x v="1"/>
    <x v="0"/>
    <s v="Invoice"/>
    <s v="96357"/>
    <x v="69"/>
    <x v="62"/>
    <x v="22"/>
    <x v="2"/>
    <n v="8"/>
  </r>
  <r>
    <s v="PARKER, JERROD"/>
    <s v="04"/>
    <s v="IFASGULF"/>
    <s v="BALM-STRAWBERRY"/>
    <x v="42"/>
    <x v="1"/>
    <x v="0"/>
    <s v="Invoice"/>
    <s v="96358"/>
    <x v="111"/>
    <x v="99"/>
    <x v="22"/>
    <x v="2"/>
    <n v="1.25"/>
  </r>
  <r>
    <s v="PARKER, JERROD"/>
    <s v="04"/>
    <s v="PORTER HA"/>
    <s v="PASTURE"/>
    <x v="42"/>
    <x v="1"/>
    <x v="0"/>
    <s v="Invoice"/>
    <s v="96359"/>
    <x v="28"/>
    <x v="23"/>
    <x v="22"/>
    <x v="2"/>
    <n v="5.0199999999999996"/>
  </r>
  <r>
    <s v="PARKER, JERROD"/>
    <s v="04"/>
    <s v="FAVORITE"/>
    <s v="BETHLEHEM ROAD"/>
    <x v="42"/>
    <x v="1"/>
    <x v="0"/>
    <s v="Invoice"/>
    <s v="96360"/>
    <x v="59"/>
    <x v="52"/>
    <x v="22"/>
    <x v="2"/>
    <n v="5.0125000000000002"/>
  </r>
  <r>
    <s v="PARKER, JERROD"/>
    <s v="04"/>
    <s v="GUTIERREZA"/>
    <s v="WIAMAUMA"/>
    <x v="42"/>
    <x v="1"/>
    <x v="0"/>
    <s v="Invoice"/>
    <s v="96361"/>
    <x v="69"/>
    <x v="62"/>
    <x v="22"/>
    <x v="2"/>
    <n v="3.9975000000000001"/>
  </r>
  <r>
    <s v="PARKER, JERROD"/>
    <s v="04"/>
    <s v="M&amp;GFARMS"/>
    <s v="ALLENRD"/>
    <x v="42"/>
    <x v="1"/>
    <x v="0"/>
    <s v="Invoice"/>
    <s v="96362"/>
    <x v="43"/>
    <x v="38"/>
    <x v="22"/>
    <x v="2"/>
    <n v="5.0125000000000002"/>
  </r>
  <r>
    <s v="PARKER, JERROD"/>
    <s v="04"/>
    <s v="SPIVEYFA"/>
    <s v="HOPEWELL"/>
    <x v="42"/>
    <x v="1"/>
    <x v="0"/>
    <s v="Invoice"/>
    <s v="96363"/>
    <x v="56"/>
    <x v="49"/>
    <x v="22"/>
    <x v="2"/>
    <n v="4.0075000000000003"/>
  </r>
  <r>
    <s v="PARKER, JERROD"/>
    <s v="04"/>
    <s v="BEAUCHAMP"/>
    <s v="ONION FIELD"/>
    <x v="42"/>
    <x v="1"/>
    <x v="0"/>
    <s v="Invoice"/>
    <s v="96364"/>
    <x v="104"/>
    <x v="96"/>
    <x v="22"/>
    <x v="2"/>
    <n v="5.0049999999999999"/>
  </r>
  <r>
    <s v="PARKER, JERROD"/>
    <s v="04"/>
    <s v="MERCEDCH"/>
    <s v="HWY62"/>
    <x v="43"/>
    <x v="1"/>
    <x v="0"/>
    <s v="Invoice"/>
    <s v="96365"/>
    <x v="55"/>
    <x v="48"/>
    <x v="22"/>
    <x v="2"/>
    <n v="10"/>
  </r>
  <r>
    <s v="PARKER, JERROD"/>
    <s v="04"/>
    <s v="MERCEDCH"/>
    <s v="SOUTHTANK"/>
    <x v="43"/>
    <x v="1"/>
    <x v="0"/>
    <s v="Invoice"/>
    <s v="96366"/>
    <x v="43"/>
    <x v="38"/>
    <x v="22"/>
    <x v="2"/>
    <n v="2.5024999999999999"/>
  </r>
  <r>
    <s v="PARKER, JERROD"/>
    <s v="04"/>
    <s v="MERCEDCH"/>
    <s v="HWY62"/>
    <x v="43"/>
    <x v="1"/>
    <x v="0"/>
    <s v="Invoice"/>
    <s v="96367"/>
    <x v="43"/>
    <x v="38"/>
    <x v="22"/>
    <x v="2"/>
    <n v="2.5"/>
  </r>
  <r>
    <s v="PARKER, JERROD"/>
    <s v="04"/>
    <s v="FERRISFA"/>
    <s v="STRABERRIES"/>
    <x v="43"/>
    <x v="1"/>
    <x v="0"/>
    <s v="Invoice"/>
    <s v="96368"/>
    <x v="72"/>
    <x v="65"/>
    <x v="22"/>
    <x v="2"/>
    <n v="15.0425"/>
  </r>
  <r>
    <s v="PARKER, JERROD"/>
    <s v="04"/>
    <s v="PARKESDA"/>
    <s v="BLACKBERRIES"/>
    <x v="43"/>
    <x v="1"/>
    <x v="0"/>
    <s v="Invoice"/>
    <s v="96369"/>
    <x v="65"/>
    <x v="58"/>
    <x v="22"/>
    <x v="2"/>
    <n v="1.25"/>
  </r>
  <r>
    <s v="PARKER, JERROD"/>
    <s v="04"/>
    <s v="PARKESDA"/>
    <s v="HILL"/>
    <x v="43"/>
    <x v="1"/>
    <x v="0"/>
    <s v="Invoice"/>
    <s v="96370"/>
    <x v="65"/>
    <x v="58"/>
    <x v="22"/>
    <x v="2"/>
    <n v="10"/>
  </r>
  <r>
    <s v="PARKER, JERROD"/>
    <s v="04"/>
    <s v="CIRCLEGF&amp;R LLC"/>
    <s v="PUMP4"/>
    <x v="43"/>
    <x v="1"/>
    <x v="0"/>
    <s v="Invoice"/>
    <s v="96371"/>
    <x v="64"/>
    <x v="57"/>
    <x v="22"/>
    <x v="2"/>
    <n v="15"/>
  </r>
  <r>
    <s v="PARKER, JERROD"/>
    <s v="04"/>
    <s v="MERCEDCH"/>
    <s v="TURKEY CREEK"/>
    <x v="43"/>
    <x v="1"/>
    <x v="0"/>
    <s v="Invoice"/>
    <s v="96372"/>
    <x v="55"/>
    <x v="48"/>
    <x v="22"/>
    <x v="2"/>
    <n v="10"/>
  </r>
  <r>
    <s v="PARKER, JERROD"/>
    <s v="04"/>
    <s v="MERCEDCH"/>
    <s v="BOBCAT"/>
    <x v="43"/>
    <x v="1"/>
    <x v="0"/>
    <s v="Invoice"/>
    <s v="96373"/>
    <x v="55"/>
    <x v="48"/>
    <x v="22"/>
    <x v="2"/>
    <n v="4"/>
  </r>
  <r>
    <s v="PARKER, JERROD"/>
    <s v="04"/>
    <s v="LARRYENN"/>
    <s v="WOODIES"/>
    <x v="43"/>
    <x v="1"/>
    <x v="0"/>
    <s v="Invoice"/>
    <s v="96374"/>
    <x v="58"/>
    <x v="51"/>
    <x v="22"/>
    <x v="2"/>
    <n v="7.51"/>
  </r>
  <r>
    <s v="PARKER, JERROD"/>
    <s v="04"/>
    <s v="GEORGESP"/>
    <s v="PANDORA"/>
    <x v="43"/>
    <x v="1"/>
    <x v="0"/>
    <s v="Invoice"/>
    <s v="96375"/>
    <x v="58"/>
    <x v="51"/>
    <x v="22"/>
    <x v="2"/>
    <n v="2.5150000000000001"/>
  </r>
  <r>
    <s v="PARKER, JERROD"/>
    <s v="04"/>
    <s v="LAWSONFA"/>
    <s v="CARUTHERS RD."/>
    <x v="43"/>
    <x v="1"/>
    <x v="0"/>
    <s v="Invoice"/>
    <s v="96376"/>
    <x v="28"/>
    <x v="23"/>
    <x v="22"/>
    <x v="2"/>
    <n v="1.0449999999999999"/>
  </r>
  <r>
    <s v="PARKER, JERROD"/>
    <s v="04"/>
    <s v="GILLMANBUDD"/>
    <s v="BENNETT RD"/>
    <x v="43"/>
    <x v="1"/>
    <x v="0"/>
    <s v="Invoice"/>
    <s v="96377"/>
    <x v="43"/>
    <x v="38"/>
    <x v="22"/>
    <x v="2"/>
    <n v="2.4975000000000001"/>
  </r>
  <r>
    <s v="PARKER, JERROD"/>
    <s v="04"/>
    <s v="MENDOZAHEC"/>
    <s v="JAUDON RD"/>
    <x v="43"/>
    <x v="1"/>
    <x v="0"/>
    <s v="Invoice"/>
    <s v="96378"/>
    <x v="69"/>
    <x v="62"/>
    <x v="22"/>
    <x v="2"/>
    <n v="2.5150000000000001"/>
  </r>
  <r>
    <s v="PARKER, JERROD"/>
    <s v="04"/>
    <s v="JOSEHERN"/>
    <s v="KEYSVILLE N"/>
    <x v="34"/>
    <x v="1"/>
    <x v="0"/>
    <s v="Invoice"/>
    <s v="96387"/>
    <x v="28"/>
    <x v="23"/>
    <x v="22"/>
    <x v="2"/>
    <n v="15"/>
  </r>
  <r>
    <s v="PARKER, JERROD"/>
    <s v="04"/>
    <s v="GUTIERREZDAN"/>
    <s v="FRUIT STAND"/>
    <x v="34"/>
    <x v="1"/>
    <x v="0"/>
    <s v="Invoice"/>
    <s v="96392"/>
    <x v="55"/>
    <x v="48"/>
    <x v="22"/>
    <x v="2"/>
    <n v="4.5225"/>
  </r>
  <r>
    <s v="PARKER, JERROD"/>
    <s v="04"/>
    <s v="EWSIMMON"/>
    <s v="JERRYSMITH/SO"/>
    <x v="34"/>
    <x v="1"/>
    <x v="0"/>
    <s v="Invoice"/>
    <s v="96393"/>
    <x v="28"/>
    <x v="23"/>
    <x v="22"/>
    <x v="2"/>
    <n v="7.4824999999999999"/>
  </r>
  <r>
    <s v="PARKER, JERROD"/>
    <s v="04"/>
    <s v="JOSEHERN"/>
    <s v="DURANT"/>
    <x v="34"/>
    <x v="1"/>
    <x v="0"/>
    <s v="Invoice"/>
    <s v="96394"/>
    <x v="43"/>
    <x v="38"/>
    <x v="22"/>
    <x v="2"/>
    <n v="8.0024999999999995"/>
  </r>
  <r>
    <s v="HOUSE"/>
    <s v="05"/>
    <s v="COASTALAGSUPPLY"/>
    <s v="MULBERRY"/>
    <x v="22"/>
    <x v="1"/>
    <x v="0"/>
    <s v="Invoice"/>
    <s v="96118"/>
    <x v="58"/>
    <x v="51"/>
    <x v="22"/>
    <x v="2"/>
    <n v="1.25"/>
  </r>
  <r>
    <s v="HOUSE"/>
    <s v="05"/>
    <s v="SOUTHERN"/>
    <s v="SOUTHERN AG"/>
    <x v="29"/>
    <x v="1"/>
    <x v="0"/>
    <s v="Invoice"/>
    <s v="96143"/>
    <x v="33"/>
    <x v="28"/>
    <x v="2"/>
    <x v="0"/>
    <n v="180"/>
  </r>
  <r>
    <s v="HOUSE"/>
    <s v="05"/>
    <s v="SOUTHERN"/>
    <s v="SOUTHERN AG"/>
    <x v="29"/>
    <x v="1"/>
    <x v="0"/>
    <s v="Invoice"/>
    <s v="96143"/>
    <x v="119"/>
    <x v="108"/>
    <x v="44"/>
    <x v="0"/>
    <n v="60"/>
  </r>
  <r>
    <s v="HOUSE"/>
    <s v="05"/>
    <s v="SOUTHERN"/>
    <s v="SOUTHERN AG"/>
    <x v="29"/>
    <x v="1"/>
    <x v="0"/>
    <s v="Invoice"/>
    <s v="96143"/>
    <x v="5"/>
    <x v="72"/>
    <x v="4"/>
    <x v="0"/>
    <n v="180"/>
  </r>
  <r>
    <s v="HOUSE"/>
    <s v="05"/>
    <s v="DYEADDICTROPE"/>
    <s v="PRIMARY"/>
    <x v="30"/>
    <x v="1"/>
    <x v="0"/>
    <s v="Invoice"/>
    <s v="96178"/>
    <x v="96"/>
    <x v="90"/>
    <x v="39"/>
    <x v="0"/>
    <n v="15"/>
  </r>
  <r>
    <s v="HOUSE"/>
    <s v="05"/>
    <s v="COASTALAGSUPPLY"/>
    <s v="MULBERRY"/>
    <x v="30"/>
    <x v="1"/>
    <x v="0"/>
    <s v="Invoice"/>
    <s v="96179"/>
    <x v="5"/>
    <x v="72"/>
    <x v="4"/>
    <x v="0"/>
    <n v="100"/>
  </r>
  <r>
    <s v="HOUSE"/>
    <s v="05"/>
    <s v="COASTALAGSUPPLY"/>
    <s v="IMMOK/ALACHUA"/>
    <x v="31"/>
    <x v="1"/>
    <x v="0"/>
    <s v="Invoice"/>
    <s v="96234"/>
    <x v="34"/>
    <x v="29"/>
    <x v="26"/>
    <x v="0"/>
    <n v="360"/>
  </r>
  <r>
    <s v="HOUSE"/>
    <s v="05"/>
    <s v="SOUTHEASTTURF"/>
    <s v="EAGLECREEK"/>
    <x v="32"/>
    <x v="1"/>
    <x v="0"/>
    <s v="Invoice"/>
    <s v="96252"/>
    <x v="120"/>
    <x v="109"/>
    <x v="45"/>
    <x v="0"/>
    <n v="250"/>
  </r>
  <r>
    <s v="HOUSE"/>
    <s v="05"/>
    <s v="NATURALEARTH"/>
    <s v="OVIEDO"/>
    <x v="38"/>
    <x v="1"/>
    <x v="0"/>
    <s v="Invoice"/>
    <s v="96269"/>
    <x v="101"/>
    <x v="21"/>
    <x v="21"/>
    <x v="0"/>
    <n v="5"/>
  </r>
  <r>
    <s v="HOUSE"/>
    <s v="05"/>
    <s v="NATURALEARTH"/>
    <s v="OVIEDO"/>
    <x v="38"/>
    <x v="1"/>
    <x v="0"/>
    <s v="Invoice"/>
    <s v="96269"/>
    <x v="8"/>
    <x v="67"/>
    <x v="7"/>
    <x v="0"/>
    <n v="70"/>
  </r>
  <r>
    <s v="HOUSE"/>
    <s v="05"/>
    <s v="COASTALAGSUPPLY"/>
    <s v="MULBERRY"/>
    <x v="26"/>
    <x v="1"/>
    <x v="0"/>
    <s v="Invoice"/>
    <s v="96278"/>
    <x v="58"/>
    <x v="51"/>
    <x v="22"/>
    <x v="2"/>
    <n v="1.2350000000000001"/>
  </r>
  <r>
    <s v="HOUSE"/>
    <s v="05"/>
    <s v="COASTALAGSUPPLY"/>
    <s v="MULBERRY"/>
    <x v="27"/>
    <x v="1"/>
    <x v="0"/>
    <s v="Invoice"/>
    <s v="96327"/>
    <x v="58"/>
    <x v="51"/>
    <x v="22"/>
    <x v="2"/>
    <n v="1.25"/>
  </r>
  <r>
    <s v="HOUSE"/>
    <s v="05"/>
    <s v="CPSBOYNTON"/>
    <s v="BOYNTON BCH"/>
    <x v="27"/>
    <x v="1"/>
    <x v="0"/>
    <s v="Invoice"/>
    <s v="96334"/>
    <x v="121"/>
    <x v="110"/>
    <x v="1"/>
    <x v="0"/>
    <n v="180"/>
  </r>
  <r>
    <s v="HOUSE"/>
    <s v="05"/>
    <s v="SOUTHEASTTURF"/>
    <s v="HIGHLANDWOODS"/>
    <x v="42"/>
    <x v="1"/>
    <x v="0"/>
    <s v="Invoice"/>
    <s v="96354"/>
    <x v="120"/>
    <x v="109"/>
    <x v="45"/>
    <x v="0"/>
    <n v="250"/>
  </r>
  <r>
    <s v="HOUSE"/>
    <s v="05"/>
    <s v="SOUTHERN"/>
    <s v="SOUTHERN AG"/>
    <x v="34"/>
    <x v="1"/>
    <x v="0"/>
    <s v="Invoice"/>
    <s v="96385"/>
    <x v="101"/>
    <x v="21"/>
    <x v="21"/>
    <x v="0"/>
    <n v="30"/>
  </r>
  <r>
    <s v="HOUSE"/>
    <s v="05"/>
    <s v="SOUTHERN"/>
    <s v="SOUTHERN AG"/>
    <x v="34"/>
    <x v="1"/>
    <x v="0"/>
    <s v="Invoice"/>
    <s v="96385"/>
    <x v="5"/>
    <x v="72"/>
    <x v="4"/>
    <x v="0"/>
    <n v="360"/>
  </r>
  <r>
    <s v="HOUSE"/>
    <s v="05"/>
    <s v="SOUTHERN"/>
    <s v="SOUTHERN AG"/>
    <x v="34"/>
    <x v="1"/>
    <x v="0"/>
    <s v="Invoice"/>
    <s v="96385"/>
    <x v="122"/>
    <x v="63"/>
    <x v="33"/>
    <x v="0"/>
    <n v="30"/>
  </r>
  <r>
    <s v="HOUSE"/>
    <s v="05"/>
    <s v="SOUTHERN"/>
    <s v="SOUTHERN AG"/>
    <x v="34"/>
    <x v="1"/>
    <x v="0"/>
    <s v="Invoice"/>
    <s v="96386"/>
    <x v="22"/>
    <x v="69"/>
    <x v="17"/>
    <x v="0"/>
    <n v="900"/>
  </r>
  <r>
    <s v="HOUSE"/>
    <s v="05"/>
    <s v="COASTALAGSUPPLY"/>
    <s v="IMMOK/ALACHUA"/>
    <x v="34"/>
    <x v="1"/>
    <x v="0"/>
    <s v="Invoice"/>
    <s v="96395"/>
    <x v="96"/>
    <x v="90"/>
    <x v="39"/>
    <x v="0"/>
    <n v="180"/>
  </r>
  <r>
    <s v="COBB"/>
    <s v="06"/>
    <s v="SIGMAORG"/>
    <s v="BRANSFORD AVE."/>
    <x v="38"/>
    <x v="1"/>
    <x v="0"/>
    <s v="Invoice"/>
    <s v="96266"/>
    <x v="123"/>
    <x v="111"/>
    <x v="46"/>
    <x v="0"/>
    <n v="500"/>
  </r>
  <r>
    <s v="BHALL"/>
    <s v="07"/>
    <s v="SUNNILAND"/>
    <s v="MAIN"/>
    <x v="34"/>
    <x v="1"/>
    <x v="0"/>
    <s v="Invoice"/>
    <s v="96380"/>
    <x v="124"/>
    <x v="112"/>
    <x v="20"/>
    <x v="1"/>
    <n v="22239"/>
  </r>
  <r>
    <s v="PARKER,J."/>
    <s v="08"/>
    <s v="MAYO"/>
    <s v="PLANTCITY"/>
    <x v="28"/>
    <x v="1"/>
    <x v="0"/>
    <s v="Invoice"/>
    <s v="96108A"/>
    <x v="125"/>
    <x v="113"/>
    <x v="22"/>
    <x v="2"/>
    <n v="12"/>
  </r>
  <r>
    <s v="PARKER,J."/>
    <s v="08"/>
    <s v="MAYO"/>
    <s v="PLANTCITY"/>
    <x v="36"/>
    <x v="1"/>
    <x v="0"/>
    <s v="Invoice"/>
    <s v="96168"/>
    <x v="126"/>
    <x v="114"/>
    <x v="22"/>
    <x v="2"/>
    <n v="5"/>
  </r>
  <r>
    <s v="PARKER,J."/>
    <s v="08"/>
    <s v="TRIANGLE"/>
    <s v="TRIANGLE/PC"/>
    <x v="30"/>
    <x v="1"/>
    <x v="0"/>
    <s v="Invoice"/>
    <s v="96177"/>
    <x v="67"/>
    <x v="60"/>
    <x v="22"/>
    <x v="2"/>
    <n v="1.25"/>
  </r>
  <r>
    <s v="PARKER,J."/>
    <s v="08"/>
    <s v="TRIANGLE"/>
    <s v="TRIANGLE/PC"/>
    <x v="25"/>
    <x v="1"/>
    <x v="0"/>
    <s v="Invoice"/>
    <s v="96214"/>
    <x v="34"/>
    <x v="29"/>
    <x v="26"/>
    <x v="0"/>
    <n v="180"/>
  </r>
  <r>
    <s v="PARKER,J."/>
    <s v="08"/>
    <s v="COASTALAGSUPPLY"/>
    <s v="MULBERRY"/>
    <x v="31"/>
    <x v="1"/>
    <x v="0"/>
    <s v="Invoice"/>
    <s v="96233"/>
    <x v="34"/>
    <x v="29"/>
    <x v="26"/>
    <x v="0"/>
    <n v="360"/>
  </r>
  <r>
    <s v="PARKER,J."/>
    <s v="08"/>
    <s v="TRIANGLE"/>
    <s v="TRIANGLE/PC"/>
    <x v="38"/>
    <x v="1"/>
    <x v="0"/>
    <s v="Invoice"/>
    <s v="96259"/>
    <x v="127"/>
    <x v="115"/>
    <x v="20"/>
    <x v="1"/>
    <n v="1000"/>
  </r>
  <r>
    <s v="PARKER,J."/>
    <s v="08"/>
    <s v="TRIANGLE"/>
    <s v="TRIANGLE/PC"/>
    <x v="38"/>
    <x v="1"/>
    <x v="0"/>
    <s v="Invoice"/>
    <s v="96259"/>
    <x v="96"/>
    <x v="90"/>
    <x v="39"/>
    <x v="0"/>
    <n v="180"/>
  </r>
  <r>
    <s v="PARKER,J."/>
    <s v="08"/>
    <s v="TRIANGLE"/>
    <s v="TRIANGLE/PC"/>
    <x v="34"/>
    <x v="1"/>
    <x v="0"/>
    <s v="Invoice"/>
    <s v="96384"/>
    <x v="128"/>
    <x v="116"/>
    <x v="47"/>
    <x v="0"/>
    <n v="60"/>
  </r>
  <r>
    <s v="KEVIN"/>
    <s v="09"/>
    <s v="CAROLINATU"/>
    <s v="GREENSBORO CC"/>
    <x v="28"/>
    <x v="1"/>
    <x v="0"/>
    <s v="Invoice"/>
    <s v="93072A"/>
    <x v="22"/>
    <x v="69"/>
    <x v="17"/>
    <x v="0"/>
    <n v="40"/>
  </r>
  <r>
    <s v="GEORGIA"/>
    <s v="09"/>
    <s v="GREENRES"/>
    <s v="LADSON"/>
    <x v="22"/>
    <x v="1"/>
    <x v="0"/>
    <s v="Invoice"/>
    <s v="96129"/>
    <x v="109"/>
    <x v="80"/>
    <x v="2"/>
    <x v="0"/>
    <n v="750"/>
  </r>
  <r>
    <s v="GEORGIA"/>
    <s v="09"/>
    <s v="GREENRES"/>
    <s v="LADSON"/>
    <x v="36"/>
    <x v="1"/>
    <x v="0"/>
    <s v="Invoice"/>
    <s v="96170"/>
    <x v="109"/>
    <x v="80"/>
    <x v="2"/>
    <x v="0"/>
    <n v="1000"/>
  </r>
  <r>
    <s v="DAVID"/>
    <s v="09"/>
    <s v="AGRIBUSI"/>
    <s v="INNVICTISINDIAN"/>
    <x v="25"/>
    <x v="1"/>
    <x v="0"/>
    <s v="Invoice"/>
    <s v="96211"/>
    <x v="129"/>
    <x v="117"/>
    <x v="48"/>
    <x v="0"/>
    <n v="3710"/>
  </r>
  <r>
    <s v="GEORGIA"/>
    <s v="09"/>
    <s v="AGRIBUSI"/>
    <s v="INTREPID/TUNICA"/>
    <x v="25"/>
    <x v="1"/>
    <x v="0"/>
    <s v="Invoice"/>
    <s v="96212"/>
    <x v="129"/>
    <x v="117"/>
    <x v="48"/>
    <x v="0"/>
    <n v="3710"/>
  </r>
  <r>
    <s v="KEVIN"/>
    <s v="09"/>
    <s v="AGRIBUSI"/>
    <s v="MAILING"/>
    <x v="26"/>
    <x v="1"/>
    <x v="0"/>
    <s v="Invoice"/>
    <s v="96291"/>
    <x v="89"/>
    <x v="81"/>
    <x v="20"/>
    <x v="1"/>
    <n v="1500"/>
  </r>
  <r>
    <s v=""/>
    <s v="09"/>
    <s v="GLADESFORM"/>
    <s v="MAIN"/>
    <x v="42"/>
    <x v="1"/>
    <x v="0"/>
    <s v="Invoice"/>
    <s v="96355"/>
    <x v="95"/>
    <x v="118"/>
    <x v="20"/>
    <x v="1"/>
    <n v="500"/>
  </r>
  <r>
    <s v="HAP"/>
    <s v="01"/>
    <s v="GREENWAY"/>
    <s v="MAILING-WPBCH"/>
    <x v="44"/>
    <x v="2"/>
    <x v="0"/>
    <s v="Invoice"/>
    <s v="96457"/>
    <x v="3"/>
    <x v="2"/>
    <x v="2"/>
    <x v="0"/>
    <n v="120"/>
  </r>
  <r>
    <s v="HAP"/>
    <s v="01"/>
    <s v="GREENWAY"/>
    <s v="MAILING-WPBCH"/>
    <x v="44"/>
    <x v="2"/>
    <x v="0"/>
    <s v="Invoice"/>
    <s v="96457"/>
    <x v="10"/>
    <x v="9"/>
    <x v="9"/>
    <x v="0"/>
    <n v="30"/>
  </r>
  <r>
    <s v="HAP"/>
    <s v="01"/>
    <s v="GREENWAY"/>
    <s v="MAILING-WPBCH"/>
    <x v="44"/>
    <x v="2"/>
    <x v="0"/>
    <s v="Invoice"/>
    <s v="96457"/>
    <x v="11"/>
    <x v="10"/>
    <x v="10"/>
    <x v="0"/>
    <n v="60"/>
  </r>
  <r>
    <s v="HAP"/>
    <s v="01"/>
    <s v="GREENWAY"/>
    <s v="MAILING-WPBCH"/>
    <x v="44"/>
    <x v="2"/>
    <x v="0"/>
    <s v="Invoice"/>
    <s v="96457"/>
    <x v="91"/>
    <x v="14"/>
    <x v="14"/>
    <x v="0"/>
    <n v="30"/>
  </r>
  <r>
    <s v="HAP"/>
    <s v="01"/>
    <s v="GREENWAY"/>
    <s v="MAILING-WPBCH"/>
    <x v="44"/>
    <x v="2"/>
    <x v="0"/>
    <s v="Invoice"/>
    <s v="96457"/>
    <x v="22"/>
    <x v="17"/>
    <x v="17"/>
    <x v="0"/>
    <n v="60"/>
  </r>
  <r>
    <s v="HAP"/>
    <s v="01"/>
    <s v="GREENWAY"/>
    <s v="MAILING-WPBCH"/>
    <x v="44"/>
    <x v="2"/>
    <x v="0"/>
    <s v="Invoice"/>
    <s v="96457"/>
    <x v="12"/>
    <x v="11"/>
    <x v="11"/>
    <x v="0"/>
    <n v="60"/>
  </r>
  <r>
    <s v="HAP"/>
    <s v="01"/>
    <s v="GREENWAY"/>
    <s v="MAILING-WPBCH"/>
    <x v="44"/>
    <x v="2"/>
    <x v="0"/>
    <s v="Invoice"/>
    <s v="96457"/>
    <x v="6"/>
    <x v="5"/>
    <x v="5"/>
    <x v="0"/>
    <n v="120"/>
  </r>
  <r>
    <s v="HAP"/>
    <s v="01"/>
    <s v="GREENWAY"/>
    <s v="MAILING-WPBCH"/>
    <x v="44"/>
    <x v="2"/>
    <x v="0"/>
    <s v="Invoice"/>
    <s v="96457"/>
    <x v="2"/>
    <x v="0"/>
    <x v="0"/>
    <x v="0"/>
    <n v="120"/>
  </r>
  <r>
    <s v="HAP"/>
    <s v="01"/>
    <s v="GREENWAY"/>
    <s v="EMERALDHILLS"/>
    <x v="45"/>
    <x v="2"/>
    <x v="0"/>
    <s v="Invoice"/>
    <s v="96579"/>
    <x v="14"/>
    <x v="13"/>
    <x v="13"/>
    <x v="0"/>
    <n v="30"/>
  </r>
  <r>
    <s v="HAP"/>
    <s v="01"/>
    <s v="GREENWAY"/>
    <s v="EMERALDHILLS"/>
    <x v="45"/>
    <x v="2"/>
    <x v="0"/>
    <s v="Invoice"/>
    <s v="96579"/>
    <x v="15"/>
    <x v="6"/>
    <x v="6"/>
    <x v="0"/>
    <n v="30"/>
  </r>
  <r>
    <s v="HAP"/>
    <s v="01"/>
    <s v="GREENWAY"/>
    <s v="EMERALDHILLS"/>
    <x v="45"/>
    <x v="2"/>
    <x v="0"/>
    <s v="Invoice"/>
    <s v="96579"/>
    <x v="16"/>
    <x v="2"/>
    <x v="2"/>
    <x v="0"/>
    <n v="30"/>
  </r>
  <r>
    <s v="HAP"/>
    <s v="01"/>
    <s v="GREENWAY"/>
    <s v="EMERALDHILLS"/>
    <x v="45"/>
    <x v="2"/>
    <x v="0"/>
    <s v="Invoice"/>
    <s v="96579"/>
    <x v="17"/>
    <x v="10"/>
    <x v="10"/>
    <x v="0"/>
    <n v="30"/>
  </r>
  <r>
    <s v="HAP"/>
    <s v="01"/>
    <s v="GREENWAY"/>
    <s v="EMERALDHILLS"/>
    <x v="45"/>
    <x v="2"/>
    <x v="0"/>
    <s v="Invoice"/>
    <s v="96579"/>
    <x v="18"/>
    <x v="14"/>
    <x v="14"/>
    <x v="0"/>
    <n v="30"/>
  </r>
  <r>
    <s v="HAP"/>
    <s v="01"/>
    <s v="GREENWAY"/>
    <s v="EMERALDHILLS"/>
    <x v="45"/>
    <x v="2"/>
    <x v="0"/>
    <s v="Invoice"/>
    <s v="96579"/>
    <x v="19"/>
    <x v="15"/>
    <x v="15"/>
    <x v="0"/>
    <n v="30"/>
  </r>
  <r>
    <s v="HAP"/>
    <s v="01"/>
    <s v="GREENWAY"/>
    <s v="EMERALDHILLS"/>
    <x v="45"/>
    <x v="2"/>
    <x v="0"/>
    <s v="Invoice"/>
    <s v="96579"/>
    <x v="20"/>
    <x v="0"/>
    <x v="0"/>
    <x v="0"/>
    <n v="30"/>
  </r>
  <r>
    <s v="HAP"/>
    <s v="01"/>
    <s v="GREENWAY"/>
    <s v="WINDSOR POLO"/>
    <x v="45"/>
    <x v="2"/>
    <x v="0"/>
    <s v="Invoice"/>
    <s v="96580"/>
    <x v="88"/>
    <x v="2"/>
    <x v="2"/>
    <x v="0"/>
    <n v="55"/>
  </r>
  <r>
    <s v="HAP"/>
    <s v="01"/>
    <s v="GREENWAY"/>
    <s v="WELLINGTON"/>
    <x v="45"/>
    <x v="2"/>
    <x v="0"/>
    <s v="Invoice"/>
    <s v="96581"/>
    <x v="90"/>
    <x v="13"/>
    <x v="13"/>
    <x v="0"/>
    <n v="5"/>
  </r>
  <r>
    <s v="HAP"/>
    <s v="01"/>
    <s v="GREENWAY"/>
    <s v="WELLINGTON"/>
    <x v="45"/>
    <x v="2"/>
    <x v="0"/>
    <s v="Invoice"/>
    <s v="96581"/>
    <x v="3"/>
    <x v="2"/>
    <x v="2"/>
    <x v="0"/>
    <n v="10"/>
  </r>
  <r>
    <s v="HAP"/>
    <s v="01"/>
    <s v="GREENWAY"/>
    <s v="WELLINGTON"/>
    <x v="45"/>
    <x v="2"/>
    <x v="0"/>
    <s v="Invoice"/>
    <s v="96581"/>
    <x v="130"/>
    <x v="119"/>
    <x v="49"/>
    <x v="0"/>
    <n v="5"/>
  </r>
  <r>
    <s v="HAP"/>
    <s v="01"/>
    <s v="GREENWAY"/>
    <s v="WELLINGTON"/>
    <x v="45"/>
    <x v="2"/>
    <x v="0"/>
    <s v="Invoice"/>
    <s v="96581"/>
    <x v="131"/>
    <x v="15"/>
    <x v="15"/>
    <x v="0"/>
    <n v="10"/>
  </r>
  <r>
    <s v="HAP"/>
    <s v="01"/>
    <s v="GREENWAY"/>
    <s v="WELLINGTON"/>
    <x v="45"/>
    <x v="2"/>
    <x v="0"/>
    <s v="Invoice"/>
    <s v="96581"/>
    <x v="5"/>
    <x v="4"/>
    <x v="4"/>
    <x v="0"/>
    <n v="10"/>
  </r>
  <r>
    <s v="HAP"/>
    <s v="01"/>
    <s v="GREENWAY"/>
    <s v="W.PALM BCH MAIN"/>
    <x v="46"/>
    <x v="2"/>
    <x v="0"/>
    <s v="Invoice"/>
    <s v="96596"/>
    <x v="4"/>
    <x v="3"/>
    <x v="3"/>
    <x v="0"/>
    <n v="60"/>
  </r>
  <r>
    <s v="HAP"/>
    <s v="01"/>
    <s v="GREENWAY"/>
    <s v="W.PALM BCH MAIN"/>
    <x v="46"/>
    <x v="2"/>
    <x v="0"/>
    <s v="Invoice"/>
    <s v="96596"/>
    <x v="8"/>
    <x v="7"/>
    <x v="7"/>
    <x v="0"/>
    <n v="60"/>
  </r>
  <r>
    <s v="HAP"/>
    <s v="01"/>
    <s v="GREENWAY"/>
    <s v="W.PALM BCH MAIN"/>
    <x v="46"/>
    <x v="2"/>
    <x v="0"/>
    <s v="Invoice"/>
    <s v="96596"/>
    <x v="21"/>
    <x v="16"/>
    <x v="16"/>
    <x v="0"/>
    <n v="120"/>
  </r>
  <r>
    <s v="HAP"/>
    <s v="01"/>
    <s v="GREENWAY"/>
    <s v="W.PALM BCH MAIN"/>
    <x v="46"/>
    <x v="2"/>
    <x v="0"/>
    <s v="Invoice"/>
    <s v="96596"/>
    <x v="5"/>
    <x v="4"/>
    <x v="4"/>
    <x v="0"/>
    <n v="120"/>
  </r>
  <r>
    <s v="HAP"/>
    <s v="01"/>
    <s v="GREENWAY"/>
    <s v="W.PALM BCH MAIN"/>
    <x v="46"/>
    <x v="2"/>
    <x v="0"/>
    <s v="Invoice"/>
    <s v="96596"/>
    <x v="2"/>
    <x v="0"/>
    <x v="0"/>
    <x v="0"/>
    <n v="120"/>
  </r>
  <r>
    <s v="HAP"/>
    <s v="01"/>
    <s v="GREENWAY"/>
    <s v="WINDSOR POLO"/>
    <x v="46"/>
    <x v="2"/>
    <x v="0"/>
    <s v="Invoice"/>
    <s v="96597"/>
    <x v="0"/>
    <x v="0"/>
    <x v="0"/>
    <x v="0"/>
    <n v="55"/>
  </r>
  <r>
    <s v="HAP"/>
    <s v="01"/>
    <s v="GREENWAY"/>
    <s v="IRON HORSE G.C."/>
    <x v="47"/>
    <x v="2"/>
    <x v="0"/>
    <s v="Invoice"/>
    <s v="96617"/>
    <x v="1"/>
    <x v="1"/>
    <x v="1"/>
    <x v="0"/>
    <n v="110"/>
  </r>
  <r>
    <s v="HAP"/>
    <s v="01"/>
    <s v="GREENWAY"/>
    <s v="MIZNER C. CLUB"/>
    <x v="48"/>
    <x v="2"/>
    <x v="0"/>
    <s v="Invoice"/>
    <s v="96633"/>
    <x v="3"/>
    <x v="2"/>
    <x v="2"/>
    <x v="0"/>
    <n v="25"/>
  </r>
  <r>
    <s v="HAP"/>
    <s v="01"/>
    <s v="GREENWAY"/>
    <s v="MIZNER C. CLUB"/>
    <x v="48"/>
    <x v="2"/>
    <x v="0"/>
    <s v="Invoice"/>
    <s v="96633"/>
    <x v="5"/>
    <x v="4"/>
    <x v="4"/>
    <x v="0"/>
    <n v="50"/>
  </r>
  <r>
    <s v="HAP"/>
    <s v="01"/>
    <s v="GREENWAY"/>
    <s v="MIZNER C. CLUB"/>
    <x v="48"/>
    <x v="2"/>
    <x v="0"/>
    <s v="Invoice"/>
    <s v="96633"/>
    <x v="6"/>
    <x v="5"/>
    <x v="5"/>
    <x v="0"/>
    <n v="25"/>
  </r>
  <r>
    <s v="HAP"/>
    <s v="01"/>
    <s v="GREENWAY"/>
    <s v="MIZNER C. CLUB"/>
    <x v="48"/>
    <x v="2"/>
    <x v="0"/>
    <s v="Invoice"/>
    <s v="96633"/>
    <x v="2"/>
    <x v="0"/>
    <x v="0"/>
    <x v="0"/>
    <n v="50"/>
  </r>
  <r>
    <s v="DAVID"/>
    <s v="02"/>
    <s v="COUNCILO"/>
    <s v="COUNCIL-OXFORD"/>
    <x v="49"/>
    <x v="2"/>
    <x v="0"/>
    <s v="Invoice"/>
    <s v="93850A"/>
    <x v="132"/>
    <x v="120"/>
    <x v="50"/>
    <x v="0"/>
    <n v="890.92"/>
  </r>
  <r>
    <s v="DAVID"/>
    <s v="02"/>
    <s v="TRUE"/>
    <s v="LAKE PANA"/>
    <x v="50"/>
    <x v="2"/>
    <x v="0"/>
    <s v="Invoice"/>
    <s v="96398"/>
    <x v="25"/>
    <x v="20"/>
    <x v="20"/>
    <x v="1"/>
    <n v="8000"/>
  </r>
  <r>
    <s v="DAVID"/>
    <s v="02"/>
    <s v="PATHWAY"/>
    <s v="TEVER"/>
    <x v="51"/>
    <x v="2"/>
    <x v="0"/>
    <s v="Invoice"/>
    <s v="96478"/>
    <x v="133"/>
    <x v="109"/>
    <x v="45"/>
    <x v="0"/>
    <n v="25"/>
  </r>
  <r>
    <s v="DAVID"/>
    <s v="02"/>
    <s v="PATHWAY"/>
    <s v="TEVER"/>
    <x v="51"/>
    <x v="2"/>
    <x v="0"/>
    <s v="Invoice"/>
    <s v="96478"/>
    <x v="48"/>
    <x v="33"/>
    <x v="28"/>
    <x v="0"/>
    <n v="50"/>
  </r>
  <r>
    <s v="DAVID"/>
    <s v="02"/>
    <s v="BIGEARTH"/>
    <s v="TAMPA"/>
    <x v="52"/>
    <x v="2"/>
    <x v="0"/>
    <s v="Invoice"/>
    <s v="96493"/>
    <x v="12"/>
    <x v="76"/>
    <x v="11"/>
    <x v="0"/>
    <n v="10"/>
  </r>
  <r>
    <s v="DAVID"/>
    <s v="02"/>
    <s v="MIDWAYF"/>
    <s v="KNIGHTSGRIFFIN"/>
    <x v="52"/>
    <x v="2"/>
    <x v="0"/>
    <s v="Invoice"/>
    <s v="96505"/>
    <x v="64"/>
    <x v="57"/>
    <x v="22"/>
    <x v="2"/>
    <n v="12.015000000000001"/>
  </r>
  <r>
    <s v="DAVID"/>
    <s v="02"/>
    <s v="TRUE"/>
    <s v="LAKE PANA"/>
    <x v="53"/>
    <x v="2"/>
    <x v="0"/>
    <s v="Invoice"/>
    <s v="96541"/>
    <x v="25"/>
    <x v="20"/>
    <x v="20"/>
    <x v="1"/>
    <n v="6000"/>
  </r>
  <r>
    <s v="DAVID"/>
    <s v="02"/>
    <s v="MIDWAYF"/>
    <s v="KNIGHTSGRIFFIN"/>
    <x v="54"/>
    <x v="2"/>
    <x v="0"/>
    <s v="Invoice"/>
    <s v="96556"/>
    <x v="64"/>
    <x v="57"/>
    <x v="22"/>
    <x v="2"/>
    <n v="2.5"/>
  </r>
  <r>
    <s v="DAVID"/>
    <s v="02"/>
    <s v="AGRIBUSI"/>
    <s v="AGB/ROOSEVELT"/>
    <x v="55"/>
    <x v="2"/>
    <x v="0"/>
    <s v="Invoice"/>
    <s v="96566"/>
    <x v="89"/>
    <x v="81"/>
    <x v="20"/>
    <x v="1"/>
    <n v="3000"/>
  </r>
  <r>
    <s v="DAVID"/>
    <s v="02"/>
    <s v="SHININGLIGHT"/>
    <s v="MAILING"/>
    <x v="49"/>
    <x v="2"/>
    <x v="0"/>
    <s v="Invoice"/>
    <s v="96658"/>
    <x v="122"/>
    <x v="63"/>
    <x v="33"/>
    <x v="0"/>
    <n v="25"/>
  </r>
  <r>
    <s v="JUSTIN"/>
    <s v="03"/>
    <s v="G&amp;DFARMS"/>
    <s v="POWER LINE"/>
    <x v="50"/>
    <x v="2"/>
    <x v="0"/>
    <s v="Invoice"/>
    <s v="96396"/>
    <x v="99"/>
    <x v="93"/>
    <x v="22"/>
    <x v="2"/>
    <n v="15.0175"/>
  </r>
  <r>
    <s v="JUSTIN"/>
    <s v="03"/>
    <s v="CPSWAVER"/>
    <s v="WAVERLY"/>
    <x v="51"/>
    <x v="2"/>
    <x v="0"/>
    <s v="Invoice"/>
    <s v="96444"/>
    <x v="96"/>
    <x v="90"/>
    <x v="39"/>
    <x v="0"/>
    <n v="180"/>
  </r>
  <r>
    <s v="JUSTIN"/>
    <s v="03"/>
    <s v="CPSWAVER"/>
    <s v="WAVERLY"/>
    <x v="44"/>
    <x v="2"/>
    <x v="0"/>
    <s v="Invoice"/>
    <s v="96445"/>
    <x v="35"/>
    <x v="30"/>
    <x v="27"/>
    <x v="0"/>
    <n v="180"/>
  </r>
  <r>
    <s v="JUSTIN"/>
    <s v="03"/>
    <s v="CPSOKEE"/>
    <s v="OKEE-LIQ PLANT"/>
    <x v="56"/>
    <x v="2"/>
    <x v="0"/>
    <s v="Invoice"/>
    <s v="96471"/>
    <x v="134"/>
    <x v="94"/>
    <x v="41"/>
    <x v="0"/>
    <n v="3402.84"/>
  </r>
  <r>
    <s v="JUSTIN"/>
    <s v="03"/>
    <s v="G&amp;DFARMS"/>
    <s v="HWY39/62-SOUTH"/>
    <x v="56"/>
    <x v="2"/>
    <x v="0"/>
    <s v="Invoice"/>
    <s v="96473"/>
    <x v="99"/>
    <x v="93"/>
    <x v="22"/>
    <x v="2"/>
    <n v="19.989999999999998"/>
  </r>
  <r>
    <s v="JUSTIN"/>
    <s v="03"/>
    <s v="GREENRES"/>
    <s v="MGMT WAY-NC"/>
    <x v="56"/>
    <x v="2"/>
    <x v="0"/>
    <s v="Invoice"/>
    <s v="96475"/>
    <x v="109"/>
    <x v="80"/>
    <x v="2"/>
    <x v="0"/>
    <n v="500"/>
  </r>
  <r>
    <s v="JUSTIN"/>
    <s v="03"/>
    <s v="FLORIDAF"/>
    <s v="FLORIDA FERTILI"/>
    <x v="51"/>
    <x v="2"/>
    <x v="0"/>
    <s v="Invoice"/>
    <s v="96476"/>
    <x v="135"/>
    <x v="121"/>
    <x v="51"/>
    <x v="0"/>
    <n v="1500"/>
  </r>
  <r>
    <s v="JUSTIN"/>
    <s v="03"/>
    <s v="CPSWACHU"/>
    <s v="WAUCHULA"/>
    <x v="51"/>
    <x v="2"/>
    <x v="0"/>
    <s v="Invoice"/>
    <s v="96477"/>
    <x v="35"/>
    <x v="30"/>
    <x v="27"/>
    <x v="0"/>
    <n v="180"/>
  </r>
  <r>
    <s v=""/>
    <s v="03"/>
    <s v="CPSMULB"/>
    <s v="UAP/MULBERRY"/>
    <x v="52"/>
    <x v="2"/>
    <x v="0"/>
    <s v="Invoice"/>
    <s v="96501"/>
    <x v="102"/>
    <x v="71"/>
    <x v="34"/>
    <x v="0"/>
    <n v="1000"/>
  </r>
  <r>
    <s v="JUSTIN"/>
    <s v="03"/>
    <s v="CPSFTPIE"/>
    <s v="FT. PIERCE"/>
    <x v="52"/>
    <x v="2"/>
    <x v="0"/>
    <s v="Invoice"/>
    <s v="96502"/>
    <x v="34"/>
    <x v="29"/>
    <x v="26"/>
    <x v="0"/>
    <n v="180"/>
  </r>
  <r>
    <s v=""/>
    <s v="03"/>
    <s v="CPSMULB"/>
    <s v="UAP/MULBERRY"/>
    <x v="57"/>
    <x v="2"/>
    <x v="0"/>
    <s v="Invoice"/>
    <s v="96513"/>
    <x v="34"/>
    <x v="29"/>
    <x v="26"/>
    <x v="0"/>
    <n v="180"/>
  </r>
  <r>
    <s v="JUSTIN"/>
    <s v="03"/>
    <s v="TRIANGLE"/>
    <s v="STARKEY"/>
    <x v="58"/>
    <x v="2"/>
    <x v="0"/>
    <s v="Invoice"/>
    <s v="96536"/>
    <x v="67"/>
    <x v="60"/>
    <x v="22"/>
    <x v="2"/>
    <n v="2.4950000000000001"/>
  </r>
  <r>
    <s v=""/>
    <s v="03"/>
    <s v="CPSMULB"/>
    <s v="UAP/MULBERRY"/>
    <x v="53"/>
    <x v="2"/>
    <x v="0"/>
    <s v="Invoice"/>
    <s v="96548"/>
    <x v="34"/>
    <x v="29"/>
    <x v="26"/>
    <x v="0"/>
    <n v="540"/>
  </r>
  <r>
    <s v="JUSTIN"/>
    <s v="03"/>
    <s v="COUNCILO"/>
    <s v="COUNCIL-OXFORD"/>
    <x v="45"/>
    <x v="2"/>
    <x v="0"/>
    <s v="Invoice"/>
    <s v="96578"/>
    <x v="136"/>
    <x v="111"/>
    <x v="46"/>
    <x v="0"/>
    <n v="125"/>
  </r>
  <r>
    <s v="JUSTIN"/>
    <s v="03"/>
    <s v="COUNCILO"/>
    <s v="COUNCIL-OXFORD"/>
    <x v="45"/>
    <x v="2"/>
    <x v="0"/>
    <s v="Invoice"/>
    <s v="96578"/>
    <x v="137"/>
    <x v="122"/>
    <x v="23"/>
    <x v="0"/>
    <n v="180"/>
  </r>
  <r>
    <s v="JUSTIN"/>
    <s v="03"/>
    <s v="COUNCILO"/>
    <s v="COUNCIL-OXFORD"/>
    <x v="45"/>
    <x v="2"/>
    <x v="0"/>
    <s v="Invoice"/>
    <s v="96578"/>
    <x v="41"/>
    <x v="36"/>
    <x v="26"/>
    <x v="0"/>
    <n v="500"/>
  </r>
  <r>
    <s v="JUSTIN"/>
    <s v="03"/>
    <s v="G&amp;DFARMS"/>
    <s v="MIDDLE"/>
    <x v="47"/>
    <x v="2"/>
    <x v="0"/>
    <s v="Invoice"/>
    <s v="96613"/>
    <x v="99"/>
    <x v="93"/>
    <x v="22"/>
    <x v="2"/>
    <n v="19.984999999999999"/>
  </r>
  <r>
    <s v="JUSTIN"/>
    <s v="03"/>
    <s v="G&amp;DFARMS"/>
    <s v="MIDDLE"/>
    <x v="47"/>
    <x v="2"/>
    <x v="0"/>
    <s v="Invoice"/>
    <s v="96615"/>
    <x v="99"/>
    <x v="93"/>
    <x v="22"/>
    <x v="2"/>
    <n v="15.035"/>
  </r>
  <r>
    <s v="JUSTIN"/>
    <s v="03"/>
    <s v="HOWARDFE"/>
    <s v="HOWARD/BOYNTON"/>
    <x v="48"/>
    <x v="2"/>
    <x v="0"/>
    <s v="Invoice"/>
    <s v="96628"/>
    <x v="101"/>
    <x v="21"/>
    <x v="21"/>
    <x v="0"/>
    <n v="360"/>
  </r>
  <r>
    <s v="JUSTIN"/>
    <s v="03"/>
    <s v="G&amp;DFARMS"/>
    <s v="MIDDLE"/>
    <x v="49"/>
    <x v="2"/>
    <x v="0"/>
    <s v="Invoice"/>
    <s v="96651"/>
    <x v="99"/>
    <x v="93"/>
    <x v="22"/>
    <x v="2"/>
    <n v="5.0075000000000003"/>
  </r>
  <r>
    <s v=""/>
    <s v="03"/>
    <s v="CPSMULB"/>
    <s v="UAP/MULBERRY"/>
    <x v="49"/>
    <x v="2"/>
    <x v="0"/>
    <s v="Invoice"/>
    <s v="96653"/>
    <x v="102"/>
    <x v="71"/>
    <x v="34"/>
    <x v="0"/>
    <n v="1500"/>
  </r>
  <r>
    <s v="JUSTIN"/>
    <s v="03"/>
    <s v="AMERICANAG"/>
    <s v="NUTRIEN/IMMOK"/>
    <x v="49"/>
    <x v="2"/>
    <x v="0"/>
    <s v="Invoice"/>
    <s v="96655"/>
    <x v="138"/>
    <x v="94"/>
    <x v="41"/>
    <x v="0"/>
    <n v="20"/>
  </r>
  <r>
    <s v="JUSTIN"/>
    <s v="03"/>
    <s v="COUNCILO"/>
    <s v="COUNCIL-OXFORD"/>
    <x v="45"/>
    <x v="2"/>
    <x v="0"/>
    <s v="Invoice"/>
    <s v="96661"/>
    <x v="132"/>
    <x v="120"/>
    <x v="50"/>
    <x v="0"/>
    <n v="1000"/>
  </r>
  <r>
    <s v="JUSTIN"/>
    <s v="03"/>
    <s v="COUNCILO"/>
    <s v="G&amp;D FARMS"/>
    <x v="59"/>
    <x v="2"/>
    <x v="0"/>
    <s v="Invoice"/>
    <s v="96666"/>
    <x v="132"/>
    <x v="120"/>
    <x v="50"/>
    <x v="0"/>
    <n v="2037"/>
  </r>
  <r>
    <s v="PARKER, JERROD"/>
    <s v="04"/>
    <s v="GAONA, ESPER"/>
    <s v="KEENE"/>
    <x v="50"/>
    <x v="2"/>
    <x v="0"/>
    <s v="Invoice"/>
    <s v="96397"/>
    <x v="28"/>
    <x v="23"/>
    <x v="22"/>
    <x v="2"/>
    <n v="2"/>
  </r>
  <r>
    <s v="PARKER, JERROD"/>
    <s v="04"/>
    <s v="FLORIDAAG"/>
    <s v="DOVER"/>
    <x v="50"/>
    <x v="2"/>
    <x v="0"/>
    <s v="Invoice"/>
    <s v="96401"/>
    <x v="52"/>
    <x v="45"/>
    <x v="22"/>
    <x v="2"/>
    <n v="2.5099999999999998"/>
  </r>
  <r>
    <s v="PARKER, JERROD"/>
    <s v="04"/>
    <s v="CIRCLEGF&amp;R LLC"/>
    <s v="KNIGHTS-N-#16"/>
    <x v="50"/>
    <x v="2"/>
    <x v="0"/>
    <s v="Invoice"/>
    <s v="96402"/>
    <x v="64"/>
    <x v="57"/>
    <x v="22"/>
    <x v="2"/>
    <n v="15"/>
  </r>
  <r>
    <s v="PARKER, JERROD"/>
    <s v="04"/>
    <s v="MIDWAYF"/>
    <s v="FRAZIER"/>
    <x v="50"/>
    <x v="2"/>
    <x v="0"/>
    <s v="Invoice"/>
    <s v="96403"/>
    <x v="64"/>
    <x v="57"/>
    <x v="22"/>
    <x v="2"/>
    <n v="10.015000000000001"/>
  </r>
  <r>
    <s v="PARKER, JERROD"/>
    <s v="04"/>
    <s v="COLORFULH"/>
    <s v="TRAPNELL RD."/>
    <x v="50"/>
    <x v="2"/>
    <x v="0"/>
    <s v="Invoice"/>
    <s v="96404"/>
    <x v="69"/>
    <x v="62"/>
    <x v="22"/>
    <x v="2"/>
    <n v="2.5"/>
  </r>
  <r>
    <s v="PARKER, JERROD"/>
    <s v="04"/>
    <s v="CIRCLEGF&amp;R LLC"/>
    <s v="KNIGHTS-N/NORTH"/>
    <x v="50"/>
    <x v="2"/>
    <x v="0"/>
    <s v="Invoice"/>
    <s v="96405"/>
    <x v="64"/>
    <x v="57"/>
    <x v="22"/>
    <x v="2"/>
    <n v="2.5"/>
  </r>
  <r>
    <s v="PARKER, JERROD"/>
    <s v="04"/>
    <s v="ALVAREZJ"/>
    <s v="ROGERS"/>
    <x v="60"/>
    <x v="2"/>
    <x v="0"/>
    <s v="Invoice"/>
    <s v="96408"/>
    <x v="68"/>
    <x v="61"/>
    <x v="22"/>
    <x v="2"/>
    <n v="3.0125000000000002"/>
  </r>
  <r>
    <s v="PARKER, JERROD"/>
    <s v="04"/>
    <s v="SYDNEYFA"/>
    <s v="FORBES ROAD"/>
    <x v="60"/>
    <x v="2"/>
    <x v="0"/>
    <s v="Invoice"/>
    <s v="96409"/>
    <x v="64"/>
    <x v="57"/>
    <x v="22"/>
    <x v="2"/>
    <n v="15.0075"/>
  </r>
  <r>
    <s v="PARKER, JERROD"/>
    <s v="04"/>
    <s v="JOSEHERN"/>
    <s v="SPRINGHEAD"/>
    <x v="60"/>
    <x v="2"/>
    <x v="0"/>
    <s v="Invoice"/>
    <s v="96410"/>
    <x v="55"/>
    <x v="48"/>
    <x v="22"/>
    <x v="2"/>
    <n v="2.0350000000000001"/>
  </r>
  <r>
    <s v="PARKER, JERROD"/>
    <s v="04"/>
    <s v="JOSEHERN"/>
    <s v="TRAPNELL RD/E"/>
    <x v="60"/>
    <x v="2"/>
    <x v="0"/>
    <s v="Invoice"/>
    <s v="96411"/>
    <x v="55"/>
    <x v="48"/>
    <x v="22"/>
    <x v="2"/>
    <n v="2.0099999999999998"/>
  </r>
  <r>
    <s v="PARKER, JERROD"/>
    <s v="04"/>
    <s v="JOSEHERN"/>
    <s v="SPARKMAN"/>
    <x v="60"/>
    <x v="2"/>
    <x v="0"/>
    <s v="Invoice"/>
    <s v="96412"/>
    <x v="28"/>
    <x v="23"/>
    <x v="22"/>
    <x v="2"/>
    <n v="10.045"/>
  </r>
  <r>
    <s v="PARKER, JERROD"/>
    <s v="04"/>
    <s v="GUTIERREZA"/>
    <s v="WIAMAUMA"/>
    <x v="60"/>
    <x v="2"/>
    <x v="0"/>
    <s v="Invoice"/>
    <s v="96417"/>
    <x v="69"/>
    <x v="62"/>
    <x v="22"/>
    <x v="2"/>
    <n v="4.01"/>
  </r>
  <r>
    <s v="PARKER, JERROD"/>
    <s v="04"/>
    <s v="ROQUEFARMS"/>
    <s v="SWEETWATER"/>
    <x v="60"/>
    <x v="2"/>
    <x v="0"/>
    <s v="Invoice"/>
    <s v="96418"/>
    <x v="58"/>
    <x v="51"/>
    <x v="22"/>
    <x v="2"/>
    <n v="5"/>
  </r>
  <r>
    <s v="PARKER, JERROD"/>
    <s v="04"/>
    <s v="MERCEDCH"/>
    <s v="MAILING"/>
    <x v="60"/>
    <x v="2"/>
    <x v="0"/>
    <s v="Invoice"/>
    <s v="96421"/>
    <x v="139"/>
    <x v="123"/>
    <x v="0"/>
    <x v="0"/>
    <n v="60"/>
  </r>
  <r>
    <s v="PARKER, JERROD"/>
    <s v="04"/>
    <s v="FILEMONMARTINEZ"/>
    <s v="MAILING"/>
    <x v="61"/>
    <x v="2"/>
    <x v="0"/>
    <s v="Invoice"/>
    <s v="96422"/>
    <x v="77"/>
    <x v="37"/>
    <x v="30"/>
    <x v="0"/>
    <n v="30"/>
  </r>
  <r>
    <s v="PARKER, JERROD"/>
    <s v="04"/>
    <s v="CHAVEZJOR"/>
    <s v="JOSE' CHAV- COD"/>
    <x v="60"/>
    <x v="2"/>
    <x v="0"/>
    <s v="Invoice"/>
    <s v="96424"/>
    <x v="53"/>
    <x v="46"/>
    <x v="22"/>
    <x v="2"/>
    <n v="0.15"/>
  </r>
  <r>
    <s v="PARKER, JERROD"/>
    <s v="04"/>
    <s v="PEPPERBERRY"/>
    <s v="SPARKMAN RD/S"/>
    <x v="61"/>
    <x v="2"/>
    <x v="0"/>
    <s v="Invoice"/>
    <s v="96426"/>
    <x v="28"/>
    <x v="23"/>
    <x v="22"/>
    <x v="2"/>
    <n v="2.9824999999999999"/>
  </r>
  <r>
    <s v="PARKER, JERROD"/>
    <s v="04"/>
    <s v="PEPPERBERRY"/>
    <s v="THE GROVE"/>
    <x v="61"/>
    <x v="2"/>
    <x v="0"/>
    <s v="Invoice"/>
    <s v="96427"/>
    <x v="28"/>
    <x v="23"/>
    <x v="22"/>
    <x v="2"/>
    <n v="4.0075000000000003"/>
  </r>
  <r>
    <s v="PARKER, JERROD"/>
    <s v="04"/>
    <s v="SWEETLIFE"/>
    <s v="FOSTERDUKES"/>
    <x v="61"/>
    <x v="2"/>
    <x v="0"/>
    <s v="Invoice"/>
    <s v="96428"/>
    <x v="64"/>
    <x v="57"/>
    <x v="22"/>
    <x v="2"/>
    <n v="4.5125000000000002"/>
  </r>
  <r>
    <s v="PARKER, JERROD"/>
    <s v="04"/>
    <s v="PORTER HA"/>
    <s v="DOWNING/SS"/>
    <x v="61"/>
    <x v="2"/>
    <x v="0"/>
    <s v="Invoice"/>
    <s v="96429"/>
    <x v="28"/>
    <x v="23"/>
    <x v="22"/>
    <x v="2"/>
    <n v="5.0350000000000001"/>
  </r>
  <r>
    <s v="PARKER, JERROD"/>
    <s v="04"/>
    <s v="FANCYFAR"/>
    <s v="FUTCH LOOP-CTR."/>
    <x v="62"/>
    <x v="2"/>
    <x v="0"/>
    <s v="Invoice"/>
    <s v="96430"/>
    <x v="27"/>
    <x v="22"/>
    <x v="22"/>
    <x v="2"/>
    <n v="15.047499999999999"/>
  </r>
  <r>
    <s v="PARKER, JERROD"/>
    <s v="04"/>
    <s v="MIDWAYF"/>
    <s v="FORBES"/>
    <x v="62"/>
    <x v="2"/>
    <x v="0"/>
    <s v="Invoice"/>
    <s v="96431"/>
    <x v="64"/>
    <x v="57"/>
    <x v="22"/>
    <x v="2"/>
    <n v="3.53"/>
  </r>
  <r>
    <s v="PARKER, JERROD"/>
    <s v="04"/>
    <s v="MIDWAYF"/>
    <s v="SAMALLEN"/>
    <x v="62"/>
    <x v="2"/>
    <x v="0"/>
    <s v="Invoice"/>
    <s v="96432"/>
    <x v="64"/>
    <x v="57"/>
    <x v="22"/>
    <x v="2"/>
    <n v="2.5525000000000002"/>
  </r>
  <r>
    <s v="PARKER, JERROD"/>
    <s v="04"/>
    <s v="MIDWAYF"/>
    <s v="ALS - SOUTH"/>
    <x v="62"/>
    <x v="2"/>
    <x v="0"/>
    <s v="Invoice"/>
    <s v="96433"/>
    <x v="64"/>
    <x v="57"/>
    <x v="22"/>
    <x v="2"/>
    <n v="2.9975000000000001"/>
  </r>
  <r>
    <s v="PARKER, JERROD"/>
    <s v="04"/>
    <s v="SWEETLIFE"/>
    <s v="KNIGHTS GRIFFIN"/>
    <x v="62"/>
    <x v="2"/>
    <x v="0"/>
    <s v="Invoice"/>
    <s v="96434"/>
    <x v="64"/>
    <x v="57"/>
    <x v="22"/>
    <x v="2"/>
    <n v="5.01"/>
  </r>
  <r>
    <s v="PARKER, JERROD"/>
    <s v="04"/>
    <s v="GEORGESP"/>
    <s v="PANDORA"/>
    <x v="61"/>
    <x v="2"/>
    <x v="0"/>
    <s v="Invoice"/>
    <s v="96435"/>
    <x v="58"/>
    <x v="51"/>
    <x v="22"/>
    <x v="2"/>
    <n v="1.2450000000000001"/>
  </r>
  <r>
    <s v="PARKER, JERROD"/>
    <s v="04"/>
    <s v="MENDOZAHEC"/>
    <s v="OLIVERRD"/>
    <x v="61"/>
    <x v="2"/>
    <x v="0"/>
    <s v="Invoice"/>
    <s v="96436"/>
    <x v="69"/>
    <x v="62"/>
    <x v="22"/>
    <x v="2"/>
    <n v="1.4824999999999999"/>
  </r>
  <r>
    <s v="PARKER, JERROD"/>
    <s v="04"/>
    <s v="MENDOZAHEC"/>
    <s v="HWY60"/>
    <x v="61"/>
    <x v="2"/>
    <x v="0"/>
    <s v="Invoice"/>
    <s v="96437"/>
    <x v="27"/>
    <x v="22"/>
    <x v="22"/>
    <x v="2"/>
    <n v="2.5125000000000002"/>
  </r>
  <r>
    <s v="PARKER, JERROD"/>
    <s v="04"/>
    <s v="GUTIERREZDAN"/>
    <s v="TANNER RD."/>
    <x v="61"/>
    <x v="2"/>
    <x v="0"/>
    <s v="Invoice"/>
    <s v="96438"/>
    <x v="58"/>
    <x v="51"/>
    <x v="22"/>
    <x v="2"/>
    <n v="15.0025"/>
  </r>
  <r>
    <s v="PARKER, JERROD"/>
    <s v="04"/>
    <s v="CHAVEZJOR"/>
    <s v="BROCK RD."/>
    <x v="61"/>
    <x v="2"/>
    <x v="0"/>
    <s v="Invoice"/>
    <s v="96441"/>
    <x v="53"/>
    <x v="46"/>
    <x v="22"/>
    <x v="2"/>
    <n v="1"/>
  </r>
  <r>
    <s v="PARKER, JERROD"/>
    <s v="04"/>
    <s v="CHARLIEG-LLC"/>
    <s v="LAMPP ROAD"/>
    <x v="61"/>
    <x v="2"/>
    <x v="0"/>
    <s v="Invoice"/>
    <s v="96442"/>
    <x v="64"/>
    <x v="57"/>
    <x v="22"/>
    <x v="2"/>
    <n v="10.01"/>
  </r>
  <r>
    <s v="PARKER, JERROD"/>
    <s v="04"/>
    <s v="JOEPENA"/>
    <s v="HWY 92"/>
    <x v="61"/>
    <x v="2"/>
    <x v="0"/>
    <s v="Invoice"/>
    <s v="96443"/>
    <x v="114"/>
    <x v="101"/>
    <x v="22"/>
    <x v="2"/>
    <n v="1.25"/>
  </r>
  <r>
    <s v="PARKER, JERROD"/>
    <s v="04"/>
    <s v="SWEETLIFE"/>
    <s v="KNIGHTS GRIFFIN"/>
    <x v="44"/>
    <x v="2"/>
    <x v="0"/>
    <s v="Invoice"/>
    <s v="96446"/>
    <x v="64"/>
    <x v="57"/>
    <x v="22"/>
    <x v="2"/>
    <n v="15.0275"/>
  </r>
  <r>
    <s v="PARKER, JERROD"/>
    <s v="04"/>
    <s v="ALONSOFARMS"/>
    <s v="SUMNER"/>
    <x v="44"/>
    <x v="2"/>
    <x v="0"/>
    <s v="Invoice"/>
    <s v="96447"/>
    <x v="58"/>
    <x v="51"/>
    <x v="22"/>
    <x v="2"/>
    <n v="4.0149999999999997"/>
  </r>
  <r>
    <s v="PARKER, JERROD"/>
    <s v="04"/>
    <s v="ALONSOFARMS"/>
    <s v="GALLAGHER"/>
    <x v="44"/>
    <x v="2"/>
    <x v="0"/>
    <s v="Invoice"/>
    <s v="96448"/>
    <x v="28"/>
    <x v="23"/>
    <x v="22"/>
    <x v="2"/>
    <n v="5.0125000000000002"/>
  </r>
  <r>
    <s v="PARKER, JERROD"/>
    <s v="04"/>
    <s v="ROQUEFARMS"/>
    <s v="MEEKHORIZON"/>
    <x v="44"/>
    <x v="2"/>
    <x v="0"/>
    <s v="Invoice"/>
    <s v="96449"/>
    <x v="58"/>
    <x v="51"/>
    <x v="22"/>
    <x v="2"/>
    <n v="5"/>
  </r>
  <r>
    <s v="PARKER, JERROD"/>
    <s v="04"/>
    <s v="VENTURAFARMS"/>
    <s v="HOUSE"/>
    <x v="44"/>
    <x v="2"/>
    <x v="0"/>
    <s v="Invoice"/>
    <s v="96450"/>
    <x v="58"/>
    <x v="51"/>
    <x v="22"/>
    <x v="2"/>
    <n v="1.75"/>
  </r>
  <r>
    <s v="PARKER, JERROD"/>
    <s v="04"/>
    <s v="SOUTHERNHILL"/>
    <s v="SCHOFIELD"/>
    <x v="44"/>
    <x v="2"/>
    <x v="0"/>
    <s v="Invoice"/>
    <s v="96451"/>
    <x v="47"/>
    <x v="41"/>
    <x v="22"/>
    <x v="2"/>
    <n v="5"/>
  </r>
  <r>
    <s v="PARKER, JERROD"/>
    <s v="04"/>
    <s v="SOUTHERNHILL"/>
    <s v="SCHOFIELD"/>
    <x v="44"/>
    <x v="2"/>
    <x v="0"/>
    <s v="Invoice"/>
    <s v="96452"/>
    <x v="43"/>
    <x v="38"/>
    <x v="22"/>
    <x v="2"/>
    <n v="2.2650000000000001"/>
  </r>
  <r>
    <s v="PARKER, JERROD"/>
    <s v="04"/>
    <s v="JOSEHERN"/>
    <s v="COLSON RD"/>
    <x v="44"/>
    <x v="2"/>
    <x v="0"/>
    <s v="Invoice"/>
    <s v="96453"/>
    <x v="55"/>
    <x v="48"/>
    <x v="22"/>
    <x v="2"/>
    <n v="2.0175000000000001"/>
  </r>
  <r>
    <s v="PARKER, JERROD"/>
    <s v="04"/>
    <s v="MIDWAYF"/>
    <s v="ALS - NORTH"/>
    <x v="44"/>
    <x v="2"/>
    <x v="0"/>
    <s v="Invoice"/>
    <s v="96454"/>
    <x v="64"/>
    <x v="57"/>
    <x v="22"/>
    <x v="2"/>
    <n v="4.5075000000000003"/>
  </r>
  <r>
    <s v="PARKER, JERROD"/>
    <s v="04"/>
    <s v="MIDWAYF"/>
    <s v="WILDER RD."/>
    <x v="44"/>
    <x v="2"/>
    <x v="0"/>
    <s v="Invoice"/>
    <s v="96455"/>
    <x v="64"/>
    <x v="57"/>
    <x v="22"/>
    <x v="2"/>
    <n v="12.26"/>
  </r>
  <r>
    <s v="PARKER, JERROD"/>
    <s v="04"/>
    <s v="SWEETLIFE"/>
    <s v="MAILING"/>
    <x v="44"/>
    <x v="2"/>
    <x v="0"/>
    <s v="Invoice"/>
    <s v="96456"/>
    <x v="140"/>
    <x v="72"/>
    <x v="4"/>
    <x v="0"/>
    <n v="250"/>
  </r>
  <r>
    <s v="PARKER, JERROD"/>
    <s v="04"/>
    <s v="SWEETLIFE"/>
    <s v="MAILING"/>
    <x v="44"/>
    <x v="2"/>
    <x v="0"/>
    <s v="Invoice"/>
    <s v="96456"/>
    <x v="141"/>
    <x v="124"/>
    <x v="24"/>
    <x v="0"/>
    <n v="250"/>
  </r>
  <r>
    <s v="PARKER, JERROD"/>
    <s v="04"/>
    <s v="GEORGESP"/>
    <s v="TURKEY CREEK/EA"/>
    <x v="44"/>
    <x v="2"/>
    <x v="0"/>
    <s v="Invoice"/>
    <s v="96459"/>
    <x v="58"/>
    <x v="51"/>
    <x v="22"/>
    <x v="2"/>
    <n v="2.5049999999999999"/>
  </r>
  <r>
    <s v="PARKER, JERROD"/>
    <s v="04"/>
    <s v="FCFARMS"/>
    <s v="KNIGHTSGRIFFIN"/>
    <x v="44"/>
    <x v="2"/>
    <x v="0"/>
    <s v="Invoice"/>
    <s v="96460"/>
    <x v="28"/>
    <x v="23"/>
    <x v="22"/>
    <x v="2"/>
    <n v="2.9925000000000002"/>
  </r>
  <r>
    <s v="PARKER, JERROD"/>
    <s v="04"/>
    <s v="BEAUCHAMP"/>
    <s v="HAGGERTY-NORTH"/>
    <x v="44"/>
    <x v="2"/>
    <x v="0"/>
    <s v="Invoice"/>
    <s v="96461"/>
    <x v="104"/>
    <x v="96"/>
    <x v="22"/>
    <x v="2"/>
    <n v="4.01"/>
  </r>
  <r>
    <s v="PARKER, JERROD"/>
    <s v="04"/>
    <s v="SWEETLIFE"/>
    <s v="SWINDLEN"/>
    <x v="56"/>
    <x v="2"/>
    <x v="0"/>
    <s v="Invoice"/>
    <s v="96462"/>
    <x v="64"/>
    <x v="57"/>
    <x v="22"/>
    <x v="2"/>
    <n v="9.5225000000000009"/>
  </r>
  <r>
    <s v="PARKER, JERROD"/>
    <s v="04"/>
    <s v="MIKELOTT"/>
    <s v="HILLSBOROUGH"/>
    <x v="56"/>
    <x v="2"/>
    <x v="0"/>
    <s v="Invoice"/>
    <s v="96463"/>
    <x v="28"/>
    <x v="23"/>
    <x v="22"/>
    <x v="2"/>
    <n v="4.9874999999999998"/>
  </r>
  <r>
    <s v="PARKER, JERROD"/>
    <s v="04"/>
    <s v="SWEETLIFE"/>
    <s v="SWINDLES"/>
    <x v="56"/>
    <x v="2"/>
    <x v="0"/>
    <s v="Invoice"/>
    <s v="96464"/>
    <x v="64"/>
    <x v="57"/>
    <x v="22"/>
    <x v="2"/>
    <n v="12.512499999999999"/>
  </r>
  <r>
    <s v="PARKER, JERROD"/>
    <s v="04"/>
    <s v="CHANFARM"/>
    <s v="HIGHWAY 39 N"/>
    <x v="56"/>
    <x v="2"/>
    <x v="0"/>
    <s v="Invoice"/>
    <s v="96465"/>
    <x v="117"/>
    <x v="104"/>
    <x v="22"/>
    <x v="2"/>
    <n v="2.02"/>
  </r>
  <r>
    <s v="PARKER, JERROD"/>
    <s v="04"/>
    <s v="CHANFARM"/>
    <s v="HIGHWAY 39 N"/>
    <x v="56"/>
    <x v="2"/>
    <x v="0"/>
    <s v="Invoice"/>
    <s v="96465"/>
    <x v="32"/>
    <x v="105"/>
    <x v="25"/>
    <x v="0"/>
    <n v="400"/>
  </r>
  <r>
    <s v="PARKER, JERROD"/>
    <s v="04"/>
    <s v="PORTER HA"/>
    <s v="PASTURE"/>
    <x v="56"/>
    <x v="2"/>
    <x v="0"/>
    <s v="Invoice"/>
    <s v="96466"/>
    <x v="28"/>
    <x v="23"/>
    <x v="22"/>
    <x v="2"/>
    <n v="5.5425000000000004"/>
  </r>
  <r>
    <s v="PARKER, JERROD"/>
    <s v="04"/>
    <s v="PARKESDA"/>
    <s v="I-4"/>
    <x v="56"/>
    <x v="2"/>
    <x v="0"/>
    <s v="Invoice"/>
    <s v="96467"/>
    <x v="65"/>
    <x v="58"/>
    <x v="22"/>
    <x v="2"/>
    <n v="2.5"/>
  </r>
  <r>
    <s v="PARKER, JERROD"/>
    <s v="04"/>
    <s v="PARKESDA"/>
    <s v="SOUTH DOVER"/>
    <x v="56"/>
    <x v="2"/>
    <x v="0"/>
    <s v="Invoice"/>
    <s v="96468"/>
    <x v="65"/>
    <x v="58"/>
    <x v="22"/>
    <x v="2"/>
    <n v="2.5049999999999999"/>
  </r>
  <r>
    <s v="PARKER, JERROD"/>
    <s v="04"/>
    <s v="GUTIERREZA"/>
    <s v="WASHINGTON"/>
    <x v="56"/>
    <x v="2"/>
    <x v="0"/>
    <s v="Invoice"/>
    <s v="96469"/>
    <x v="109"/>
    <x v="80"/>
    <x v="2"/>
    <x v="0"/>
    <n v="250"/>
  </r>
  <r>
    <s v="PARKER, JERROD"/>
    <s v="04"/>
    <s v="GUTIERREZA"/>
    <s v="WASHINGTON"/>
    <x v="56"/>
    <x v="2"/>
    <x v="0"/>
    <s v="Invoice"/>
    <s v="96469"/>
    <x v="110"/>
    <x v="97"/>
    <x v="16"/>
    <x v="0"/>
    <n v="250"/>
  </r>
  <r>
    <s v="PARKER, JERROD"/>
    <s v="04"/>
    <s v="GUTIERREZA"/>
    <s v="WASHINGTON"/>
    <x v="56"/>
    <x v="2"/>
    <x v="0"/>
    <s v="Invoice"/>
    <s v="96469"/>
    <x v="142"/>
    <x v="123"/>
    <x v="0"/>
    <x v="0"/>
    <n v="500"/>
  </r>
  <r>
    <s v="PARKER, JERROD"/>
    <s v="04"/>
    <s v="PORTER HA"/>
    <s v="BILLS PLACE"/>
    <x v="56"/>
    <x v="2"/>
    <x v="0"/>
    <s v="Invoice"/>
    <s v="96470"/>
    <x v="113"/>
    <x v="100"/>
    <x v="42"/>
    <x v="0"/>
    <n v="55"/>
  </r>
  <r>
    <s v="PARKER, JERROD"/>
    <s v="04"/>
    <s v="CIRCLEGF&amp;R LLC"/>
    <s v="KNIGHTS-N-#13"/>
    <x v="56"/>
    <x v="2"/>
    <x v="0"/>
    <s v="Invoice"/>
    <s v="96472"/>
    <x v="64"/>
    <x v="57"/>
    <x v="22"/>
    <x v="2"/>
    <n v="10"/>
  </r>
  <r>
    <s v="PARKER, JERROD"/>
    <s v="04"/>
    <s v="FAVORITE"/>
    <s v="MCINTOSH ROAD"/>
    <x v="56"/>
    <x v="2"/>
    <x v="0"/>
    <s v="Invoice"/>
    <s v="96474"/>
    <x v="59"/>
    <x v="52"/>
    <x v="22"/>
    <x v="2"/>
    <n v="10.015000000000001"/>
  </r>
  <r>
    <s v="PARKER, JERROD"/>
    <s v="04"/>
    <s v="THREESTA"/>
    <s v="WALDEN-SHEFFIEL"/>
    <x v="51"/>
    <x v="2"/>
    <x v="0"/>
    <s v="Invoice"/>
    <s v="96479"/>
    <x v="64"/>
    <x v="57"/>
    <x v="22"/>
    <x v="2"/>
    <n v="15.0375"/>
  </r>
  <r>
    <s v="PARKER, JERROD"/>
    <s v="04"/>
    <s v="SWEETLIFE"/>
    <s v="SAMALLEN-NORTH"/>
    <x v="56"/>
    <x v="2"/>
    <x v="0"/>
    <s v="Invoice"/>
    <s v="96480"/>
    <x v="64"/>
    <x v="57"/>
    <x v="22"/>
    <x v="2"/>
    <n v="12.487500000000001"/>
  </r>
  <r>
    <s v="PARKER, JERROD"/>
    <s v="04"/>
    <s v="SWEETLIFE"/>
    <s v="KEENE RD."/>
    <x v="51"/>
    <x v="2"/>
    <x v="0"/>
    <s v="Invoice"/>
    <s v="96481"/>
    <x v="64"/>
    <x v="57"/>
    <x v="22"/>
    <x v="2"/>
    <n v="4.0025000000000004"/>
  </r>
  <r>
    <s v="PARKER, JERROD"/>
    <s v="04"/>
    <s v="GAONA, ESPER"/>
    <s v="WILLIAMSRD"/>
    <x v="56"/>
    <x v="2"/>
    <x v="0"/>
    <s v="Invoice"/>
    <s v="96482"/>
    <x v="28"/>
    <x v="23"/>
    <x v="22"/>
    <x v="2"/>
    <n v="2.9725000000000001"/>
  </r>
  <r>
    <s v="PARKER, JERROD"/>
    <s v="04"/>
    <s v="HINTONFA"/>
    <s v="SYDNEY NORTH"/>
    <x v="51"/>
    <x v="2"/>
    <x v="0"/>
    <s v="Invoice"/>
    <s v="96483"/>
    <x v="57"/>
    <x v="50"/>
    <x v="22"/>
    <x v="2"/>
    <n v="9.0425000000000004"/>
  </r>
  <r>
    <s v="PARKER, JERROD"/>
    <s v="04"/>
    <s v="FANCYFAR"/>
    <s v="CAT POND"/>
    <x v="56"/>
    <x v="2"/>
    <x v="0"/>
    <s v="Invoice"/>
    <s v="96484"/>
    <x v="27"/>
    <x v="22"/>
    <x v="22"/>
    <x v="2"/>
    <n v="14.987500000000001"/>
  </r>
  <r>
    <s v="PARKER, JERROD"/>
    <s v="04"/>
    <s v="KATHLEEN FARMS"/>
    <s v="BY THE SCHOOL"/>
    <x v="51"/>
    <x v="2"/>
    <x v="0"/>
    <s v="Invoice"/>
    <s v="96485"/>
    <x v="143"/>
    <x v="125"/>
    <x v="52"/>
    <x v="0"/>
    <n v="250"/>
  </r>
  <r>
    <s v="PARKER, JERROD"/>
    <s v="04"/>
    <s v="KATHLEEN FARMS"/>
    <s v="BY THE SCHOOL"/>
    <x v="51"/>
    <x v="2"/>
    <x v="0"/>
    <s v="Invoice"/>
    <s v="96485"/>
    <x v="144"/>
    <x v="125"/>
    <x v="52"/>
    <x v="0"/>
    <n v="30"/>
  </r>
  <r>
    <s v="PARKER, JERROD"/>
    <s v="04"/>
    <s v="CARLTONTHOMAS"/>
    <s v="GRANGEHALL"/>
    <x v="51"/>
    <x v="2"/>
    <x v="0"/>
    <s v="Invoice"/>
    <s v="96486"/>
    <x v="71"/>
    <x v="64"/>
    <x v="22"/>
    <x v="2"/>
    <n v="5.0199999999999996"/>
  </r>
  <r>
    <s v="PARKER, JERROD"/>
    <s v="04"/>
    <s v="GERALDWI"/>
    <s v="TRAPNELL"/>
    <x v="51"/>
    <x v="2"/>
    <x v="0"/>
    <s v="Invoice"/>
    <s v="96487"/>
    <x v="59"/>
    <x v="52"/>
    <x v="22"/>
    <x v="2"/>
    <n v="5.0175000000000001"/>
  </r>
  <r>
    <s v="PARKER, JERROD"/>
    <s v="04"/>
    <s v="SWEETFARMS"/>
    <s v="JIMJOHNSON"/>
    <x v="51"/>
    <x v="2"/>
    <x v="0"/>
    <s v="Invoice"/>
    <s v="96488"/>
    <x v="28"/>
    <x v="23"/>
    <x v="22"/>
    <x v="2"/>
    <n v="1.98"/>
  </r>
  <r>
    <s v="PARKER, JERROD"/>
    <s v="04"/>
    <s v="GUTIERREZDAN"/>
    <s v="AL SIMMONS"/>
    <x v="52"/>
    <x v="2"/>
    <x v="0"/>
    <s v="Invoice"/>
    <s v="96489"/>
    <x v="55"/>
    <x v="48"/>
    <x v="22"/>
    <x v="2"/>
    <n v="2.5724999999999998"/>
  </r>
  <r>
    <s v="PARKER, JERROD"/>
    <s v="04"/>
    <s v="MENDOZAHEC"/>
    <s v="HWY60"/>
    <x v="52"/>
    <x v="2"/>
    <x v="0"/>
    <s v="Invoice"/>
    <s v="96490"/>
    <x v="69"/>
    <x v="62"/>
    <x v="22"/>
    <x v="2"/>
    <n v="4.0075000000000003"/>
  </r>
  <r>
    <s v="PARKER, JERROD"/>
    <s v="04"/>
    <s v="MERCEDCH"/>
    <s v="SOUTHTANK"/>
    <x v="52"/>
    <x v="2"/>
    <x v="0"/>
    <s v="Invoice"/>
    <s v="96491"/>
    <x v="43"/>
    <x v="38"/>
    <x v="22"/>
    <x v="2"/>
    <n v="15.005000000000001"/>
  </r>
  <r>
    <s v="PARKER, JERROD"/>
    <s v="04"/>
    <s v="PARKESDA"/>
    <s v="HILL"/>
    <x v="52"/>
    <x v="2"/>
    <x v="0"/>
    <s v="Invoice"/>
    <s v="96492"/>
    <x v="65"/>
    <x v="58"/>
    <x v="22"/>
    <x v="2"/>
    <n v="10.0025"/>
  </r>
  <r>
    <s v="PARKER, JERROD"/>
    <s v="04"/>
    <s v="FRANKLIN"/>
    <s v="MCGEE RD. NORTH"/>
    <x v="52"/>
    <x v="2"/>
    <x v="0"/>
    <s v="Invoice"/>
    <s v="96494"/>
    <x v="145"/>
    <x v="126"/>
    <x v="22"/>
    <x v="2"/>
    <n v="7.5149999999999997"/>
  </r>
  <r>
    <s v="PARKER, JERROD"/>
    <s v="04"/>
    <s v="LEE GILLM"/>
    <s v="COW PENS/WEST"/>
    <x v="52"/>
    <x v="2"/>
    <x v="0"/>
    <s v="Invoice"/>
    <s v="96495"/>
    <x v="43"/>
    <x v="38"/>
    <x v="22"/>
    <x v="2"/>
    <n v="3"/>
  </r>
  <r>
    <s v="PARKER, JERROD"/>
    <s v="04"/>
    <s v="ELIASCEDILLO"/>
    <s v="JESS WALDEN"/>
    <x v="52"/>
    <x v="2"/>
    <x v="0"/>
    <s v="Invoice"/>
    <s v="96498"/>
    <x v="58"/>
    <x v="51"/>
    <x v="22"/>
    <x v="2"/>
    <n v="3.5"/>
  </r>
  <r>
    <s v="PARKER, JERROD"/>
    <s v="04"/>
    <s v="MIKELOTT"/>
    <s v="HILLSBOROUGH/E"/>
    <x v="52"/>
    <x v="2"/>
    <x v="0"/>
    <s v="Invoice"/>
    <s v="96499"/>
    <x v="28"/>
    <x v="23"/>
    <x v="22"/>
    <x v="2"/>
    <n v="5.0125000000000002"/>
  </r>
  <r>
    <s v="PARKER, JERROD"/>
    <s v="04"/>
    <s v="COLORFULH"/>
    <s v="SMITH RYALS"/>
    <x v="52"/>
    <x v="2"/>
    <x v="0"/>
    <s v="Invoice"/>
    <s v="96500"/>
    <x v="55"/>
    <x v="48"/>
    <x v="22"/>
    <x v="2"/>
    <n v="2.5049999999999999"/>
  </r>
  <r>
    <s v="PARKER, JERROD"/>
    <s v="04"/>
    <s v="SOTERO"/>
    <s v="SOTERO"/>
    <x v="52"/>
    <x v="2"/>
    <x v="0"/>
    <s v="Invoice"/>
    <s v="96503"/>
    <x v="146"/>
    <x v="103"/>
    <x v="43"/>
    <x v="0"/>
    <n v="5"/>
  </r>
  <r>
    <s v="PARKER, JERROD"/>
    <s v="04"/>
    <s v="SOTERO"/>
    <s v="SOTERO"/>
    <x v="52"/>
    <x v="2"/>
    <x v="0"/>
    <s v="Invoice"/>
    <s v="96504"/>
    <x v="53"/>
    <x v="46"/>
    <x v="22"/>
    <x v="2"/>
    <n v="0.3"/>
  </r>
  <r>
    <s v="PARKER, JERROD"/>
    <s v="04"/>
    <s v="M&amp;GFARMS"/>
    <s v="HAREFAMILYLN"/>
    <x v="57"/>
    <x v="2"/>
    <x v="0"/>
    <s v="Invoice"/>
    <s v="96507"/>
    <x v="28"/>
    <x v="23"/>
    <x v="22"/>
    <x v="2"/>
    <n v="8"/>
  </r>
  <r>
    <s v="PARKER, JERROD"/>
    <s v="04"/>
    <s v="CHARLIEG-LLC"/>
    <s v="CHANCY"/>
    <x v="57"/>
    <x v="2"/>
    <x v="0"/>
    <s v="Invoice"/>
    <s v="96508"/>
    <x v="64"/>
    <x v="57"/>
    <x v="22"/>
    <x v="2"/>
    <n v="15"/>
  </r>
  <r>
    <s v="PARKER, JERROD"/>
    <s v="04"/>
    <s v="SANCHEZFARM"/>
    <s v="574"/>
    <x v="58"/>
    <x v="2"/>
    <x v="0"/>
    <s v="Invoice"/>
    <s v="96509"/>
    <x v="67"/>
    <x v="60"/>
    <x v="22"/>
    <x v="2"/>
    <n v="12"/>
  </r>
  <r>
    <s v="PARKER, JERROD"/>
    <s v="04"/>
    <s v="EWSIMMON"/>
    <s v="JERRY SMITH RD"/>
    <x v="52"/>
    <x v="2"/>
    <x v="0"/>
    <s v="Invoice"/>
    <s v="96510"/>
    <x v="28"/>
    <x v="23"/>
    <x v="22"/>
    <x v="2"/>
    <n v="5"/>
  </r>
  <r>
    <s v="PARKER, JERROD"/>
    <s v="04"/>
    <s v="MIDWAYF"/>
    <s v="FORBES"/>
    <x v="52"/>
    <x v="2"/>
    <x v="0"/>
    <s v="Invoice"/>
    <s v="96511"/>
    <x v="64"/>
    <x v="57"/>
    <x v="22"/>
    <x v="2"/>
    <n v="3.52"/>
  </r>
  <r>
    <s v="PARKER, JERROD"/>
    <s v="04"/>
    <s v="LARRYENN"/>
    <s v="NESMITH ROAD"/>
    <x v="57"/>
    <x v="2"/>
    <x v="0"/>
    <s v="Invoice"/>
    <s v="96514"/>
    <x v="58"/>
    <x v="51"/>
    <x v="22"/>
    <x v="2"/>
    <n v="2.5"/>
  </r>
  <r>
    <s v="PARKER, JERROD"/>
    <s v="04"/>
    <s v="PEPPERBERRY"/>
    <s v="MAILING"/>
    <x v="58"/>
    <x v="2"/>
    <x v="0"/>
    <s v="Invoice"/>
    <s v="96524"/>
    <x v="34"/>
    <x v="29"/>
    <x v="26"/>
    <x v="0"/>
    <n v="20"/>
  </r>
  <r>
    <s v="PARKER, JERROD"/>
    <s v="04"/>
    <s v="FRANKLIN"/>
    <s v="FRANKLIN FARM"/>
    <x v="57"/>
    <x v="2"/>
    <x v="0"/>
    <s v="Invoice"/>
    <s v="96525"/>
    <x v="58"/>
    <x v="51"/>
    <x v="22"/>
    <x v="2"/>
    <n v="4.9974999999999996"/>
  </r>
  <r>
    <s v="PARKER, JERROD"/>
    <s v="04"/>
    <s v="CENFLO ORGANICS"/>
    <s v="MCINTOSH"/>
    <x v="57"/>
    <x v="2"/>
    <x v="0"/>
    <s v="Invoice"/>
    <s v="96526"/>
    <x v="57"/>
    <x v="50"/>
    <x v="22"/>
    <x v="2"/>
    <n v="5.0049999999999999"/>
  </r>
  <r>
    <s v="PARKER, JERROD"/>
    <s v="04"/>
    <s v="MIDWAYF"/>
    <s v="HAGGERTY ROAD"/>
    <x v="57"/>
    <x v="2"/>
    <x v="0"/>
    <s v="Invoice"/>
    <s v="96527"/>
    <x v="64"/>
    <x v="57"/>
    <x v="22"/>
    <x v="2"/>
    <n v="4.5149999999999997"/>
  </r>
  <r>
    <s v="PARKER, JERROD"/>
    <s v="04"/>
    <s v="IFASGULF"/>
    <s v="BALM-STRAWBERRY"/>
    <x v="57"/>
    <x v="2"/>
    <x v="0"/>
    <s v="Invoice"/>
    <s v="96528"/>
    <x v="28"/>
    <x v="23"/>
    <x v="22"/>
    <x v="2"/>
    <n v="7.5250000000000004"/>
  </r>
  <r>
    <s v="PARKER, JERROD"/>
    <s v="04"/>
    <s v="MENDOZAHEC"/>
    <s v="HWY60"/>
    <x v="57"/>
    <x v="2"/>
    <x v="0"/>
    <s v="Invoice"/>
    <s v="96529"/>
    <x v="27"/>
    <x v="22"/>
    <x v="22"/>
    <x v="2"/>
    <n v="3.4925000000000002"/>
  </r>
  <r>
    <s v="PARKER, JERROD"/>
    <s v="04"/>
    <s v="FRANKLIN"/>
    <s v="MCGEE RD. NORTH"/>
    <x v="57"/>
    <x v="2"/>
    <x v="0"/>
    <s v="Invoice"/>
    <s v="96531"/>
    <x v="116"/>
    <x v="103"/>
    <x v="43"/>
    <x v="0"/>
    <n v="30"/>
  </r>
  <r>
    <s v="PARKER, JERROD"/>
    <s v="04"/>
    <s v="FRANKLIN"/>
    <s v="MCGEE RD. NORTH"/>
    <x v="57"/>
    <x v="2"/>
    <x v="0"/>
    <s v="Invoice"/>
    <s v="96532"/>
    <x v="45"/>
    <x v="37"/>
    <x v="30"/>
    <x v="0"/>
    <n v="250"/>
  </r>
  <r>
    <s v="PARKER, JERROD"/>
    <s v="04"/>
    <s v="FERRISFA"/>
    <s v="BLUEBERRY-NEW"/>
    <x v="58"/>
    <x v="2"/>
    <x v="0"/>
    <s v="Invoice"/>
    <s v="96533"/>
    <x v="44"/>
    <x v="39"/>
    <x v="22"/>
    <x v="2"/>
    <n v="15"/>
  </r>
  <r>
    <s v="PARKER, JERROD"/>
    <s v="04"/>
    <s v="BAYSIDE"/>
    <s v="MAIN"/>
    <x v="58"/>
    <x v="2"/>
    <x v="0"/>
    <s v="Invoice"/>
    <s v="96535"/>
    <x v="111"/>
    <x v="99"/>
    <x v="22"/>
    <x v="2"/>
    <n v="1.25"/>
  </r>
  <r>
    <s v="PARKER, JERROD"/>
    <s v="04"/>
    <s v="ELIASCEDILLO"/>
    <s v="ELIASCEDILLO"/>
    <x v="53"/>
    <x v="2"/>
    <x v="0"/>
    <s v="Invoice"/>
    <s v="96537"/>
    <x v="77"/>
    <x v="37"/>
    <x v="30"/>
    <x v="0"/>
    <n v="60"/>
  </r>
  <r>
    <s v="PARKER, JERROD"/>
    <s v="04"/>
    <s v="GUTIERREZA"/>
    <s v="TOMGALLAGHER"/>
    <x v="53"/>
    <x v="2"/>
    <x v="0"/>
    <s v="Invoice"/>
    <s v="96538"/>
    <x v="69"/>
    <x v="62"/>
    <x v="22"/>
    <x v="2"/>
    <n v="10.0175"/>
  </r>
  <r>
    <s v="PARKER, JERROD"/>
    <s v="04"/>
    <s v="TGFARMS"/>
    <s v="MAIN"/>
    <x v="53"/>
    <x v="2"/>
    <x v="0"/>
    <s v="Invoice"/>
    <s v="96539"/>
    <x v="69"/>
    <x v="62"/>
    <x v="22"/>
    <x v="2"/>
    <n v="15.03"/>
  </r>
  <r>
    <s v="BHALL"/>
    <s v="04"/>
    <s v="UFPSUNIT"/>
    <s v="CITRA FARM"/>
    <x v="53"/>
    <x v="2"/>
    <x v="0"/>
    <s v="Invoice"/>
    <s v="96540"/>
    <x v="147"/>
    <x v="127"/>
    <x v="22"/>
    <x v="2"/>
    <n v="5.0025000000000004"/>
  </r>
  <r>
    <s v="BHALL"/>
    <s v="04"/>
    <s v="UFPSUNIT"/>
    <s v="CITRA FARM"/>
    <x v="53"/>
    <x v="2"/>
    <x v="0"/>
    <s v="Invoice"/>
    <s v="96542"/>
    <x v="148"/>
    <x v="128"/>
    <x v="29"/>
    <x v="0"/>
    <n v="10"/>
  </r>
  <r>
    <s v="PARKER, JERROD"/>
    <s v="04"/>
    <s v="JOSEHERN"/>
    <s v="KEYSVILLE N"/>
    <x v="53"/>
    <x v="2"/>
    <x v="0"/>
    <s v="Invoice"/>
    <s v="96543"/>
    <x v="28"/>
    <x v="23"/>
    <x v="22"/>
    <x v="2"/>
    <n v="15.03"/>
  </r>
  <r>
    <s v="PARKER, JERROD"/>
    <s v="04"/>
    <s v="MERCEDCH"/>
    <s v="HWY62"/>
    <x v="55"/>
    <x v="2"/>
    <x v="0"/>
    <s v="Invoice"/>
    <s v="96544"/>
    <x v="55"/>
    <x v="48"/>
    <x v="22"/>
    <x v="2"/>
    <n v="7.5"/>
  </r>
  <r>
    <s v="PARKER, JERROD"/>
    <s v="04"/>
    <s v="PEPPERBERRY"/>
    <s v="BARN"/>
    <x v="53"/>
    <x v="2"/>
    <x v="0"/>
    <s v="Invoice"/>
    <s v="96545"/>
    <x v="28"/>
    <x v="23"/>
    <x v="22"/>
    <x v="2"/>
    <n v="7"/>
  </r>
  <r>
    <s v="PARKER, JERROD"/>
    <s v="04"/>
    <s v="MIKELOTT"/>
    <s v="GALLAGHER ROAD"/>
    <x v="53"/>
    <x v="2"/>
    <x v="0"/>
    <s v="Invoice"/>
    <s v="96546"/>
    <x v="28"/>
    <x v="23"/>
    <x v="22"/>
    <x v="2"/>
    <n v="1.25"/>
  </r>
  <r>
    <s v="PARKER, JERROD"/>
    <s v="04"/>
    <s v="CENFLO ORGANICS"/>
    <s v="HWY92"/>
    <x v="53"/>
    <x v="2"/>
    <x v="0"/>
    <s v="Invoice"/>
    <s v="96549"/>
    <x v="65"/>
    <x v="58"/>
    <x v="22"/>
    <x v="2"/>
    <n v="1.25"/>
  </r>
  <r>
    <s v="PARKER, JERROD"/>
    <s v="04"/>
    <s v="SYDNEYFA"/>
    <s v="SYDNEY-WASHER"/>
    <x v="53"/>
    <x v="2"/>
    <x v="0"/>
    <s v="Invoice"/>
    <s v="96550"/>
    <x v="64"/>
    <x v="57"/>
    <x v="22"/>
    <x v="2"/>
    <n v="9.9924999999999997"/>
  </r>
  <r>
    <s v="PARKER, JERROD"/>
    <s v="04"/>
    <s v="SRISAIAY"/>
    <s v="SYDNEY DOVER"/>
    <x v="53"/>
    <x v="2"/>
    <x v="0"/>
    <s v="Invoice"/>
    <s v="96551"/>
    <x v="28"/>
    <x v="23"/>
    <x v="22"/>
    <x v="2"/>
    <n v="3.99"/>
  </r>
  <r>
    <s v="PARKER, JERROD"/>
    <s v="04"/>
    <s v="CHARLIEG-LLC"/>
    <s v="DAIRY"/>
    <x v="53"/>
    <x v="2"/>
    <x v="0"/>
    <s v="Invoice"/>
    <s v="96552"/>
    <x v="64"/>
    <x v="57"/>
    <x v="22"/>
    <x v="2"/>
    <n v="5.0175000000000001"/>
  </r>
  <r>
    <s v="PARKER, JERROD"/>
    <s v="04"/>
    <s v="GERALDWI"/>
    <s v="MCINTOSH ROAD"/>
    <x v="53"/>
    <x v="2"/>
    <x v="0"/>
    <s v="Invoice"/>
    <s v="96553"/>
    <x v="59"/>
    <x v="52"/>
    <x v="22"/>
    <x v="2"/>
    <n v="5.0250000000000004"/>
  </r>
  <r>
    <s v="PARKER, JERROD"/>
    <s v="04"/>
    <s v="ELIASGUT"/>
    <s v="WALLACE BRANCH"/>
    <x v="53"/>
    <x v="2"/>
    <x v="0"/>
    <s v="Invoice"/>
    <s v="96554"/>
    <x v="58"/>
    <x v="51"/>
    <x v="22"/>
    <x v="2"/>
    <n v="2.0125000000000002"/>
  </r>
  <r>
    <s v="PARKER, JERROD"/>
    <s v="04"/>
    <s v="JOSEHERN"/>
    <s v="DURANT"/>
    <x v="53"/>
    <x v="2"/>
    <x v="0"/>
    <s v="Invoice"/>
    <s v="96555"/>
    <x v="43"/>
    <x v="38"/>
    <x v="22"/>
    <x v="2"/>
    <n v="8.0075000000000003"/>
  </r>
  <r>
    <s v="PARKER, JERROD"/>
    <s v="04"/>
    <s v="BEAUCHAMP"/>
    <s v="SAM ALLEN"/>
    <x v="54"/>
    <x v="2"/>
    <x v="0"/>
    <s v="Invoice"/>
    <s v="96557"/>
    <x v="104"/>
    <x v="96"/>
    <x v="22"/>
    <x v="2"/>
    <n v="2.0049999999999999"/>
  </r>
  <r>
    <s v="PARKER, JERROD"/>
    <s v="04"/>
    <s v="BEAUCHAMP"/>
    <s v="GALLAGHER"/>
    <x v="55"/>
    <x v="2"/>
    <x v="0"/>
    <s v="Invoice"/>
    <s v="96558"/>
    <x v="104"/>
    <x v="96"/>
    <x v="22"/>
    <x v="2"/>
    <n v="3.9975000000000001"/>
  </r>
  <r>
    <s v="PARKER, JERROD"/>
    <s v="04"/>
    <s v="LEE GILLM"/>
    <s v="THONOTOSASSA"/>
    <x v="54"/>
    <x v="2"/>
    <x v="0"/>
    <s v="Invoice"/>
    <s v="96559"/>
    <x v="43"/>
    <x v="38"/>
    <x v="22"/>
    <x v="2"/>
    <n v="2.0299999999999998"/>
  </r>
  <r>
    <s v="PARKER, JERROD"/>
    <s v="04"/>
    <s v="FANCYFAR"/>
    <s v="FUTCH LOOP-S/E"/>
    <x v="54"/>
    <x v="2"/>
    <x v="0"/>
    <s v="Invoice"/>
    <s v="96560"/>
    <x v="45"/>
    <x v="37"/>
    <x v="30"/>
    <x v="0"/>
    <n v="250"/>
  </r>
  <r>
    <s v="PARKER, JERROD"/>
    <s v="04"/>
    <s v="FAVORITE"/>
    <s v="BETHLEHEM ROAD"/>
    <x v="54"/>
    <x v="2"/>
    <x v="0"/>
    <s v="Invoice"/>
    <s v="96561"/>
    <x v="59"/>
    <x v="52"/>
    <x v="22"/>
    <x v="2"/>
    <n v="5.0075000000000003"/>
  </r>
  <r>
    <s v="PARKER, JERROD"/>
    <s v="04"/>
    <s v="COLORFULH"/>
    <s v="TRAPNELL RD."/>
    <x v="54"/>
    <x v="2"/>
    <x v="0"/>
    <s v="Invoice"/>
    <s v="96562"/>
    <x v="149"/>
    <x v="129"/>
    <x v="22"/>
    <x v="2"/>
    <n v="2.4975000000000001"/>
  </r>
  <r>
    <s v="PARKER, JERROD"/>
    <s v="04"/>
    <s v="GEORGESP"/>
    <s v="TURKEY CREEK/WE"/>
    <x v="54"/>
    <x v="2"/>
    <x v="0"/>
    <s v="Invoice"/>
    <s v="96563"/>
    <x v="58"/>
    <x v="51"/>
    <x v="22"/>
    <x v="2"/>
    <n v="2.4900000000000002"/>
  </r>
  <r>
    <s v="PARKER, JERROD"/>
    <s v="04"/>
    <s v="CIRCLEGF&amp;R LLC"/>
    <s v="PUMP4"/>
    <x v="55"/>
    <x v="2"/>
    <x v="0"/>
    <s v="Invoice"/>
    <s v="96568"/>
    <x v="64"/>
    <x v="57"/>
    <x v="22"/>
    <x v="2"/>
    <n v="12.525"/>
  </r>
  <r>
    <s v="PARKER, JERROD"/>
    <s v="04"/>
    <s v="EWSIMMON"/>
    <s v="JERRYSMITH/SO"/>
    <x v="55"/>
    <x v="2"/>
    <x v="0"/>
    <s v="Invoice"/>
    <s v="96569"/>
    <x v="28"/>
    <x v="23"/>
    <x v="22"/>
    <x v="2"/>
    <n v="5"/>
  </r>
  <r>
    <s v="PARKER, JERROD"/>
    <s v="04"/>
    <s v="SPIVEYFA"/>
    <s v="HOPEWELL"/>
    <x v="55"/>
    <x v="2"/>
    <x v="0"/>
    <s v="Invoice"/>
    <s v="96570"/>
    <x v="56"/>
    <x v="49"/>
    <x v="22"/>
    <x v="2"/>
    <n v="4"/>
  </r>
  <r>
    <s v="PARKER, JERROD"/>
    <s v="04"/>
    <s v="M&amp;GFARMS"/>
    <s v="RED BARN"/>
    <x v="55"/>
    <x v="2"/>
    <x v="0"/>
    <s v="Invoice"/>
    <s v="96571"/>
    <x v="28"/>
    <x v="23"/>
    <x v="22"/>
    <x v="2"/>
    <n v="11"/>
  </r>
  <r>
    <s v="PARKER, JERROD"/>
    <s v="04"/>
    <s v="THREESTA"/>
    <s v="WALDEN-SHEFFIEL"/>
    <x v="55"/>
    <x v="2"/>
    <x v="0"/>
    <s v="Invoice"/>
    <s v="96572"/>
    <x v="115"/>
    <x v="102"/>
    <x v="22"/>
    <x v="2"/>
    <n v="10.01"/>
  </r>
  <r>
    <s v="PARKER, JERROD"/>
    <s v="04"/>
    <s v="M&amp;GFARMS"/>
    <s v="ALLENRD"/>
    <x v="55"/>
    <x v="2"/>
    <x v="0"/>
    <s v="Invoice"/>
    <s v="96573"/>
    <x v="150"/>
    <x v="130"/>
    <x v="22"/>
    <x v="2"/>
    <n v="4"/>
  </r>
  <r>
    <s v="PARKER, JERROD"/>
    <s v="04"/>
    <s v="LARRYENN"/>
    <s v="CASON ROAD"/>
    <x v="55"/>
    <x v="2"/>
    <x v="0"/>
    <s v="Invoice"/>
    <s v="96574"/>
    <x v="58"/>
    <x v="51"/>
    <x v="22"/>
    <x v="2"/>
    <n v="3.0225"/>
  </r>
  <r>
    <s v="PARKER, JERROD"/>
    <s v="04"/>
    <s v="MIDWAYF"/>
    <s v="WILLIAMS RD-N"/>
    <x v="55"/>
    <x v="2"/>
    <x v="0"/>
    <s v="Invoice"/>
    <s v="96575"/>
    <x v="64"/>
    <x v="57"/>
    <x v="22"/>
    <x v="2"/>
    <n v="8.0024999999999995"/>
  </r>
  <r>
    <s v="PARKER, JERROD"/>
    <s v="04"/>
    <s v="GUTIERREZA"/>
    <s v="WIAMAUMA"/>
    <x v="45"/>
    <x v="2"/>
    <x v="0"/>
    <s v="Invoice"/>
    <s v="96577"/>
    <x v="109"/>
    <x v="80"/>
    <x v="2"/>
    <x v="0"/>
    <n v="250"/>
  </r>
  <r>
    <s v="PARKER, JERROD"/>
    <s v="04"/>
    <s v="GUTIERREZA"/>
    <s v="WIAMAUMA"/>
    <x v="45"/>
    <x v="2"/>
    <x v="0"/>
    <s v="Invoice"/>
    <s v="96577"/>
    <x v="110"/>
    <x v="97"/>
    <x v="16"/>
    <x v="0"/>
    <n v="250"/>
  </r>
  <r>
    <s v="PARKER, JERROD"/>
    <s v="04"/>
    <s v="GUTIERREZA"/>
    <s v="WIAMAUMA"/>
    <x v="45"/>
    <x v="2"/>
    <x v="0"/>
    <s v="Invoice"/>
    <s v="96577"/>
    <x v="142"/>
    <x v="123"/>
    <x v="0"/>
    <x v="0"/>
    <n v="250"/>
  </r>
  <r>
    <s v="PARKER, JERROD"/>
    <s v="04"/>
    <s v="PORTER HA"/>
    <s v="DOWNING/SS"/>
    <x v="63"/>
    <x v="2"/>
    <x v="0"/>
    <s v="Invoice"/>
    <s v="96586"/>
    <x v="28"/>
    <x v="23"/>
    <x v="22"/>
    <x v="2"/>
    <n v="7"/>
  </r>
  <r>
    <s v="PARKER, JERROD"/>
    <s v="04"/>
    <s v="SWEETLIFE"/>
    <s v="FOSTER DUKES N"/>
    <x v="63"/>
    <x v="2"/>
    <x v="0"/>
    <s v="Invoice"/>
    <s v="96587"/>
    <x v="64"/>
    <x v="57"/>
    <x v="22"/>
    <x v="2"/>
    <n v="5.0025000000000004"/>
  </r>
  <r>
    <s v="PARKER, JERROD"/>
    <s v="04"/>
    <s v="BONIFACIO"/>
    <s v="MAILING"/>
    <x v="50"/>
    <x v="2"/>
    <x v="0"/>
    <s v="Invoice"/>
    <s v="96588"/>
    <x v="5"/>
    <x v="131"/>
    <x v="4"/>
    <x v="0"/>
    <n v="5"/>
  </r>
  <r>
    <s v="PARKER, JERROD"/>
    <s v="04"/>
    <s v="MIDWAYF"/>
    <s v="SAMALLEN"/>
    <x v="63"/>
    <x v="2"/>
    <x v="0"/>
    <s v="Invoice"/>
    <s v="96589"/>
    <x v="64"/>
    <x v="57"/>
    <x v="22"/>
    <x v="2"/>
    <n v="7.5175000000000001"/>
  </r>
  <r>
    <s v="PARKER, JERROD"/>
    <s v="04"/>
    <s v="JOEPENA"/>
    <s v="HWY 92"/>
    <x v="63"/>
    <x v="2"/>
    <x v="0"/>
    <s v="Invoice"/>
    <s v="96590"/>
    <x v="114"/>
    <x v="101"/>
    <x v="22"/>
    <x v="2"/>
    <n v="1"/>
  </r>
  <r>
    <s v="PARKER, JERROD"/>
    <s v="04"/>
    <s v="ROQUEFARMS"/>
    <s v="SWEETWATER"/>
    <x v="63"/>
    <x v="2"/>
    <x v="0"/>
    <s v="Invoice"/>
    <s v="96591"/>
    <x v="58"/>
    <x v="51"/>
    <x v="22"/>
    <x v="2"/>
    <n v="5"/>
  </r>
  <r>
    <s v="PARKER, JERROD"/>
    <s v="04"/>
    <s v="MERCEDCH"/>
    <s v="BOBCAT"/>
    <x v="63"/>
    <x v="2"/>
    <x v="0"/>
    <s v="Invoice"/>
    <s v="96592"/>
    <x v="55"/>
    <x v="48"/>
    <x v="22"/>
    <x v="2"/>
    <n v="10.5025"/>
  </r>
  <r>
    <s v="PARKER, JERROD"/>
    <s v="04"/>
    <s v="MIDWAYF"/>
    <s v="FRAZIER"/>
    <x v="46"/>
    <x v="2"/>
    <x v="0"/>
    <s v="Invoice"/>
    <s v="96593"/>
    <x v="64"/>
    <x v="57"/>
    <x v="22"/>
    <x v="2"/>
    <n v="13.022500000000001"/>
  </r>
  <r>
    <s v="PARKER, JERROD"/>
    <s v="04"/>
    <s v="DESHONGK"/>
    <s v="KNIGHTS/SCHOOL"/>
    <x v="46"/>
    <x v="2"/>
    <x v="0"/>
    <s v="Invoice"/>
    <s v="96594"/>
    <x v="43"/>
    <x v="38"/>
    <x v="22"/>
    <x v="2"/>
    <n v="6.0250000000000004"/>
  </r>
  <r>
    <s v="PARKER, JERROD"/>
    <s v="04"/>
    <s v="JOSEHERN"/>
    <s v="SPARKMAN"/>
    <x v="46"/>
    <x v="2"/>
    <x v="0"/>
    <s v="Invoice"/>
    <s v="96595"/>
    <x v="28"/>
    <x v="23"/>
    <x v="22"/>
    <x v="2"/>
    <n v="10.0175"/>
  </r>
  <r>
    <s v="PARKER, JERROD"/>
    <s v="04"/>
    <s v="CHARLIEG-LLC"/>
    <s v="LAMPP ROAD"/>
    <x v="46"/>
    <x v="2"/>
    <x v="0"/>
    <s v="Invoice"/>
    <s v="96599"/>
    <x v="64"/>
    <x v="57"/>
    <x v="22"/>
    <x v="2"/>
    <n v="15.02"/>
  </r>
  <r>
    <s v="PARKER, JERROD"/>
    <s v="04"/>
    <s v="FANCYFAR"/>
    <s v="FUTCH LOOP-CTR."/>
    <x v="46"/>
    <x v="2"/>
    <x v="0"/>
    <s v="Invoice"/>
    <s v="96600"/>
    <x v="27"/>
    <x v="22"/>
    <x v="22"/>
    <x v="2"/>
    <n v="15.02"/>
  </r>
  <r>
    <s v="PARKER, JERROD"/>
    <s v="04"/>
    <s v="GUTIERREZA"/>
    <s v="WASHINGTON"/>
    <x v="63"/>
    <x v="2"/>
    <x v="0"/>
    <s v="Invoice"/>
    <s v="96601"/>
    <x v="69"/>
    <x v="62"/>
    <x v="22"/>
    <x v="2"/>
    <n v="5.0175000000000001"/>
  </r>
  <r>
    <s v="PARKER, JERROD"/>
    <s v="04"/>
    <s v="GUTIERREZA"/>
    <s v="JOE KING RD"/>
    <x v="63"/>
    <x v="2"/>
    <x v="0"/>
    <s v="Invoice"/>
    <s v="96602"/>
    <x v="43"/>
    <x v="38"/>
    <x v="22"/>
    <x v="2"/>
    <n v="3.0150000000000001"/>
  </r>
  <r>
    <s v="PARKER, JERROD"/>
    <s v="04"/>
    <s v="GUTIERREZDAN"/>
    <s v="TANNER RD."/>
    <x v="63"/>
    <x v="2"/>
    <x v="0"/>
    <s v="Invoice"/>
    <s v="96603"/>
    <x v="58"/>
    <x v="51"/>
    <x v="22"/>
    <x v="2"/>
    <n v="2.9950000000000001"/>
  </r>
  <r>
    <s v="PARKER, JERROD"/>
    <s v="04"/>
    <s v="FANCYFAR"/>
    <s v="DRANE FIELD"/>
    <x v="63"/>
    <x v="2"/>
    <x v="0"/>
    <s v="Invoice"/>
    <s v="96604"/>
    <x v="27"/>
    <x v="22"/>
    <x v="22"/>
    <x v="2"/>
    <n v="15.0275"/>
  </r>
  <r>
    <s v="PARKER, JERROD"/>
    <s v="04"/>
    <s v="CIRCLEGF&amp;R LLC"/>
    <s v="PUMP4"/>
    <x v="46"/>
    <x v="2"/>
    <x v="0"/>
    <s v="Invoice"/>
    <s v="96605"/>
    <x v="64"/>
    <x v="57"/>
    <x v="22"/>
    <x v="2"/>
    <n v="15.09"/>
  </r>
  <r>
    <s v="PARKER, JERROD"/>
    <s v="04"/>
    <s v="SWEETLIFE"/>
    <s v="KNIGHTS GRIFFIN"/>
    <x v="46"/>
    <x v="2"/>
    <x v="0"/>
    <s v="Invoice"/>
    <s v="96606"/>
    <x v="64"/>
    <x v="57"/>
    <x v="22"/>
    <x v="2"/>
    <n v="15.022500000000001"/>
  </r>
  <r>
    <s v="PARKER, JERROD"/>
    <s v="04"/>
    <s v="CARLTONTHOMAS"/>
    <s v="GRANGEHALL"/>
    <x v="46"/>
    <x v="2"/>
    <x v="0"/>
    <s v="Invoice"/>
    <s v="96607"/>
    <x v="71"/>
    <x v="64"/>
    <x v="22"/>
    <x v="2"/>
    <n v="5.0075000000000003"/>
  </r>
  <r>
    <s v="PARKER, JERROD"/>
    <s v="04"/>
    <s v="SWEETLIFE"/>
    <s v="KNIGHTS GRIFFIN"/>
    <x v="46"/>
    <x v="2"/>
    <x v="0"/>
    <s v="Invoice"/>
    <s v="96608"/>
    <x v="64"/>
    <x v="57"/>
    <x v="22"/>
    <x v="2"/>
    <n v="5.01"/>
  </r>
  <r>
    <s v="PARKER, JERROD"/>
    <s v="04"/>
    <s v="M&amp;GFARMS"/>
    <s v="HWY 640"/>
    <x v="46"/>
    <x v="2"/>
    <x v="0"/>
    <s v="Invoice"/>
    <s v="96609"/>
    <x v="28"/>
    <x v="23"/>
    <x v="22"/>
    <x v="2"/>
    <n v="3.9674999999999998"/>
  </r>
  <r>
    <s v="PARKER, JERROD"/>
    <s v="04"/>
    <s v="GUTIERREZA"/>
    <s v="WIAMAUMA"/>
    <x v="46"/>
    <x v="2"/>
    <x v="0"/>
    <s v="Invoice"/>
    <s v="96610"/>
    <x v="58"/>
    <x v="51"/>
    <x v="22"/>
    <x v="2"/>
    <n v="3.0074999999999998"/>
  </r>
  <r>
    <s v="PARKER, JERROD"/>
    <s v="04"/>
    <s v="GUTIERREZDAN"/>
    <s v="THEHILL"/>
    <x v="46"/>
    <x v="2"/>
    <x v="0"/>
    <s v="Invoice"/>
    <s v="96611"/>
    <x v="58"/>
    <x v="51"/>
    <x v="22"/>
    <x v="2"/>
    <n v="14.0275"/>
  </r>
  <r>
    <s v="PARKER, JERROD"/>
    <s v="04"/>
    <s v="MIDWAYF"/>
    <s v="SAM WILDER RD"/>
    <x v="47"/>
    <x v="2"/>
    <x v="0"/>
    <s v="Invoice"/>
    <s v="96612"/>
    <x v="64"/>
    <x v="57"/>
    <x v="22"/>
    <x v="2"/>
    <n v="12.5275"/>
  </r>
  <r>
    <s v="PARKER, JERROD"/>
    <s v="04"/>
    <s v="CHARLIEG-LLC"/>
    <s v="ALBRITTON"/>
    <x v="47"/>
    <x v="2"/>
    <x v="0"/>
    <s v="Invoice"/>
    <s v="96616"/>
    <x v="64"/>
    <x v="57"/>
    <x v="22"/>
    <x v="2"/>
    <n v="9.5"/>
  </r>
  <r>
    <s v="PARKER, JERROD"/>
    <s v="04"/>
    <s v="ALVAREZJ"/>
    <s v="ROGERS"/>
    <x v="47"/>
    <x v="2"/>
    <x v="0"/>
    <s v="Invoice"/>
    <s v="96618"/>
    <x v="68"/>
    <x v="61"/>
    <x v="22"/>
    <x v="2"/>
    <n v="3.0024999999999999"/>
  </r>
  <r>
    <s v="PARKER, JERROD"/>
    <s v="04"/>
    <s v="LEE GILLM"/>
    <s v="COW PENS/WEST"/>
    <x v="47"/>
    <x v="2"/>
    <x v="0"/>
    <s v="Invoice"/>
    <s v="96619"/>
    <x v="63"/>
    <x v="56"/>
    <x v="22"/>
    <x v="2"/>
    <n v="7"/>
  </r>
  <r>
    <s v="PARKER, JERROD"/>
    <s v="04"/>
    <s v="SWEETLIFE"/>
    <s v="MAILING"/>
    <x v="64"/>
    <x v="2"/>
    <x v="0"/>
    <s v="Invoice"/>
    <s v="96621"/>
    <x v="141"/>
    <x v="124"/>
    <x v="24"/>
    <x v="0"/>
    <n v="250"/>
  </r>
  <r>
    <s v="PARKER, JERROD"/>
    <s v="04"/>
    <s v="MENDOZAHEC"/>
    <s v="WALLACERD"/>
    <x v="64"/>
    <x v="2"/>
    <x v="0"/>
    <s v="Invoice"/>
    <s v="96622"/>
    <x v="27"/>
    <x v="22"/>
    <x v="22"/>
    <x v="2"/>
    <n v="1.25"/>
  </r>
  <r>
    <s v="PARKER, JERROD"/>
    <s v="04"/>
    <s v="MERCEDCH"/>
    <s v="HWY62"/>
    <x v="64"/>
    <x v="2"/>
    <x v="0"/>
    <s v="Invoice"/>
    <s v="96623"/>
    <x v="43"/>
    <x v="38"/>
    <x v="22"/>
    <x v="2"/>
    <n v="3"/>
  </r>
  <r>
    <s v="PARKER, JERROD"/>
    <s v="04"/>
    <s v="SWEETLIFE"/>
    <s v="SWINDLES"/>
    <x v="64"/>
    <x v="2"/>
    <x v="0"/>
    <s v="Invoice"/>
    <s v="96624"/>
    <x v="64"/>
    <x v="57"/>
    <x v="22"/>
    <x v="2"/>
    <n v="8.5500000000000007"/>
  </r>
  <r>
    <s v="PARKER, JERROD"/>
    <s v="04"/>
    <s v="COLORFULH"/>
    <s v="SMITH RYALS"/>
    <x v="64"/>
    <x v="2"/>
    <x v="0"/>
    <s v="Invoice"/>
    <s v="96625"/>
    <x v="149"/>
    <x v="129"/>
    <x v="22"/>
    <x v="2"/>
    <n v="5.0125000000000002"/>
  </r>
  <r>
    <s v="PARKER, JERROD"/>
    <s v="04"/>
    <s v="STRAWBERRYR"/>
    <s v="SYDNEY-WASHER"/>
    <x v="64"/>
    <x v="2"/>
    <x v="0"/>
    <s v="Invoice"/>
    <s v="96626"/>
    <x v="143"/>
    <x v="125"/>
    <x v="52"/>
    <x v="0"/>
    <n v="500"/>
  </r>
  <r>
    <s v="PARKER, JERROD"/>
    <s v="04"/>
    <s v="TECHFARM"/>
    <s v="SYDNEYDOVER"/>
    <x v="64"/>
    <x v="2"/>
    <x v="0"/>
    <s v="Invoice"/>
    <s v="96627"/>
    <x v="28"/>
    <x v="23"/>
    <x v="22"/>
    <x v="2"/>
    <n v="3.7574999999999998"/>
  </r>
  <r>
    <s v="PARKER, JERROD"/>
    <s v="04"/>
    <s v="MERCEDCH"/>
    <s v="BOBCAT"/>
    <x v="48"/>
    <x v="2"/>
    <x v="0"/>
    <s v="Invoice"/>
    <s v="96629"/>
    <x v="55"/>
    <x v="48"/>
    <x v="22"/>
    <x v="2"/>
    <n v="5"/>
  </r>
  <r>
    <s v="PARKER, JERROD"/>
    <s v="04"/>
    <s v="MERCEDCH"/>
    <s v="TURKEY CREEK"/>
    <x v="48"/>
    <x v="2"/>
    <x v="0"/>
    <s v="Invoice"/>
    <s v="96630"/>
    <x v="43"/>
    <x v="38"/>
    <x v="22"/>
    <x v="2"/>
    <n v="5"/>
  </r>
  <r>
    <s v="PARKER, JERROD"/>
    <s v="04"/>
    <s v="ELIASGUT"/>
    <s v="TURKEYCREEKHILL"/>
    <x v="48"/>
    <x v="2"/>
    <x v="0"/>
    <s v="Invoice"/>
    <s v="96631"/>
    <x v="151"/>
    <x v="132"/>
    <x v="22"/>
    <x v="2"/>
    <n v="9.0574999999999992"/>
  </r>
  <r>
    <s v="PARKER, JERROD"/>
    <s v="04"/>
    <s v="MIKELOTT"/>
    <s v="HILLSBOROUGH"/>
    <x v="48"/>
    <x v="2"/>
    <x v="0"/>
    <s v="Invoice"/>
    <s v="96632"/>
    <x v="28"/>
    <x v="23"/>
    <x v="22"/>
    <x v="2"/>
    <n v="5"/>
  </r>
  <r>
    <s v="PARKER, JERROD"/>
    <s v="04"/>
    <s v="CHANFARM"/>
    <s v="HIGHWAY 39 N"/>
    <x v="48"/>
    <x v="2"/>
    <x v="0"/>
    <s v="Invoice"/>
    <s v="96634"/>
    <x v="117"/>
    <x v="104"/>
    <x v="22"/>
    <x v="2"/>
    <n v="2.0024999999999999"/>
  </r>
  <r>
    <s v="PARKER, JERROD"/>
    <s v="04"/>
    <s v="CHANFARM"/>
    <s v="HIGHWAY 39 N"/>
    <x v="48"/>
    <x v="2"/>
    <x v="0"/>
    <s v="Invoice"/>
    <s v="96634"/>
    <x v="32"/>
    <x v="133"/>
    <x v="25"/>
    <x v="0"/>
    <n v="400"/>
  </r>
  <r>
    <s v="PARKER, JERROD"/>
    <s v="04"/>
    <s v="THREESTA"/>
    <s v="WALDEN-SHEFFIEL"/>
    <x v="65"/>
    <x v="2"/>
    <x v="0"/>
    <s v="Invoice"/>
    <s v="96635"/>
    <x v="115"/>
    <x v="102"/>
    <x v="22"/>
    <x v="2"/>
    <n v="7.5175000000000001"/>
  </r>
  <r>
    <s v="PARKER, JERROD"/>
    <s v="04"/>
    <s v="THREESTA"/>
    <s v="BILLY GREEN"/>
    <x v="65"/>
    <x v="2"/>
    <x v="0"/>
    <s v="Invoice"/>
    <s v="96636"/>
    <x v="152"/>
    <x v="134"/>
    <x v="22"/>
    <x v="2"/>
    <n v="3.51"/>
  </r>
  <r>
    <s v="PARKER, JERROD"/>
    <s v="04"/>
    <s v="GERALDWI"/>
    <s v="TRAPNELL"/>
    <x v="65"/>
    <x v="2"/>
    <x v="0"/>
    <s v="Invoice"/>
    <s v="96637"/>
    <x v="59"/>
    <x v="52"/>
    <x v="22"/>
    <x v="2"/>
    <n v="9.25"/>
  </r>
  <r>
    <s v="PARKER, JERROD"/>
    <s v="04"/>
    <s v="MIKELOTT"/>
    <s v="MAILING"/>
    <x v="65"/>
    <x v="2"/>
    <x v="0"/>
    <s v="Invoice"/>
    <s v="96638"/>
    <x v="112"/>
    <x v="100"/>
    <x v="42"/>
    <x v="0"/>
    <n v="250"/>
  </r>
  <r>
    <s v="PARKER, JERROD"/>
    <s v="04"/>
    <s v="GEORGESP"/>
    <s v="TURKEY CREEK/EA"/>
    <x v="65"/>
    <x v="2"/>
    <x v="0"/>
    <s v="Invoice"/>
    <s v="96639"/>
    <x v="59"/>
    <x v="52"/>
    <x v="22"/>
    <x v="2"/>
    <n v="0.75"/>
  </r>
  <r>
    <s v="PARKER, JERROD"/>
    <s v="04"/>
    <s v="FRANKLIN"/>
    <s v="MCGEE RD. SOUTH"/>
    <x v="65"/>
    <x v="2"/>
    <x v="0"/>
    <s v="Invoice"/>
    <s v="96640"/>
    <x v="153"/>
    <x v="135"/>
    <x v="22"/>
    <x v="2"/>
    <n v="5"/>
  </r>
  <r>
    <s v="PARKER, JERROD"/>
    <s v="04"/>
    <s v="FRANKLIN"/>
    <s v="MCGEE RD. NORTH"/>
    <x v="65"/>
    <x v="2"/>
    <x v="0"/>
    <s v="Invoice"/>
    <s v="96641"/>
    <x v="145"/>
    <x v="126"/>
    <x v="22"/>
    <x v="2"/>
    <n v="4"/>
  </r>
  <r>
    <s v="PARKER, JERROD"/>
    <s v="04"/>
    <s v="PARKESDA"/>
    <s v="BILOXI"/>
    <x v="65"/>
    <x v="2"/>
    <x v="0"/>
    <s v="Invoice"/>
    <s v="96643"/>
    <x v="65"/>
    <x v="58"/>
    <x v="22"/>
    <x v="2"/>
    <n v="10"/>
  </r>
  <r>
    <s v="PARKER, JERROD"/>
    <s v="04"/>
    <s v="PARKESDA"/>
    <s v="HILL"/>
    <x v="65"/>
    <x v="2"/>
    <x v="0"/>
    <s v="Invoice"/>
    <s v="96644"/>
    <x v="65"/>
    <x v="58"/>
    <x v="22"/>
    <x v="2"/>
    <n v="10"/>
  </r>
  <r>
    <s v="PARKER, JERROD"/>
    <s v="04"/>
    <s v="SYDNEYFA"/>
    <s v="FORBES/NORTH"/>
    <x v="65"/>
    <x v="2"/>
    <x v="0"/>
    <s v="Invoice"/>
    <s v="96645"/>
    <x v="115"/>
    <x v="102"/>
    <x v="22"/>
    <x v="2"/>
    <n v="5"/>
  </r>
  <r>
    <s v="PARKER, JERROD"/>
    <s v="04"/>
    <s v="JOSEHERN"/>
    <s v="SPRINGHEAD"/>
    <x v="65"/>
    <x v="2"/>
    <x v="0"/>
    <s v="Invoice"/>
    <s v="96647"/>
    <x v="55"/>
    <x v="48"/>
    <x v="22"/>
    <x v="2"/>
    <n v="2"/>
  </r>
  <r>
    <s v="PARKER, JERROD"/>
    <s v="04"/>
    <s v="MERCEDCH"/>
    <s v="FORBES"/>
    <x v="65"/>
    <x v="2"/>
    <x v="0"/>
    <s v="Invoice"/>
    <s v="96648"/>
    <x v="54"/>
    <x v="47"/>
    <x v="22"/>
    <x v="2"/>
    <n v="5"/>
  </r>
  <r>
    <s v="PARKER, JERROD"/>
    <s v="04"/>
    <s v="GEORGESP"/>
    <s v="PANDORA"/>
    <x v="65"/>
    <x v="2"/>
    <x v="0"/>
    <s v="Invoice"/>
    <s v="96649"/>
    <x v="58"/>
    <x v="51"/>
    <x v="22"/>
    <x v="2"/>
    <n v="2.5"/>
  </r>
  <r>
    <s v="PARKER, JERROD"/>
    <s v="04"/>
    <s v="MIDWAYF"/>
    <s v="ALS - NORTH"/>
    <x v="49"/>
    <x v="2"/>
    <x v="0"/>
    <s v="Invoice"/>
    <s v="96650"/>
    <x v="64"/>
    <x v="57"/>
    <x v="22"/>
    <x v="2"/>
    <n v="4"/>
  </r>
  <r>
    <s v="PARKER, JERROD"/>
    <s v="04"/>
    <s v="GARCIAFARMS"/>
    <s v="MAIN"/>
    <x v="49"/>
    <x v="2"/>
    <x v="0"/>
    <s v="Invoice"/>
    <s v="96652"/>
    <x v="43"/>
    <x v="38"/>
    <x v="22"/>
    <x v="2"/>
    <n v="5"/>
  </r>
  <r>
    <s v="PARKER, JERROD"/>
    <s v="04"/>
    <s v="BONIFACIO"/>
    <s v="MAILING"/>
    <x v="49"/>
    <x v="2"/>
    <x v="0"/>
    <s v="Invoice"/>
    <s v="96654"/>
    <x v="42"/>
    <x v="37"/>
    <x v="30"/>
    <x v="0"/>
    <n v="25"/>
  </r>
  <r>
    <s v="PARKER, JERROD"/>
    <s v="04"/>
    <s v="FERRISFA"/>
    <s v="BLUEBERRY-NEW"/>
    <x v="59"/>
    <x v="2"/>
    <x v="0"/>
    <s v="Invoice"/>
    <s v="96659"/>
    <x v="154"/>
    <x v="136"/>
    <x v="22"/>
    <x v="2"/>
    <n v="10.0075"/>
  </r>
  <r>
    <s v="PARKER, JERROD"/>
    <s v="04"/>
    <s v="FERRISFA"/>
    <s v="STRABERRIES"/>
    <x v="59"/>
    <x v="2"/>
    <x v="0"/>
    <s v="Invoice"/>
    <s v="96660"/>
    <x v="62"/>
    <x v="55"/>
    <x v="22"/>
    <x v="2"/>
    <n v="5"/>
  </r>
  <r>
    <s v="PARKER, JERROD"/>
    <s v="04"/>
    <s v="BEAUCHAMP"/>
    <s v="ONION FIELD"/>
    <x v="59"/>
    <x v="2"/>
    <x v="0"/>
    <s v="Invoice"/>
    <s v="96664"/>
    <x v="104"/>
    <x v="96"/>
    <x v="22"/>
    <x v="2"/>
    <n v="5.4924999999999997"/>
  </r>
  <r>
    <s v="PARKER, JERROD"/>
    <s v="04"/>
    <s v="MENDOZAHEC"/>
    <s v="HWY60"/>
    <x v="59"/>
    <x v="2"/>
    <x v="0"/>
    <s v="Invoice"/>
    <s v="96665"/>
    <x v="27"/>
    <x v="22"/>
    <x v="22"/>
    <x v="2"/>
    <n v="6.4950000000000001"/>
  </r>
  <r>
    <s v="PARKER, JERROD"/>
    <s v="04"/>
    <s v="JOSEHERN"/>
    <s v="KEYSVILLE N"/>
    <x v="59"/>
    <x v="2"/>
    <x v="0"/>
    <s v="Invoice"/>
    <s v="96667"/>
    <x v="28"/>
    <x v="23"/>
    <x v="22"/>
    <x v="2"/>
    <n v="13.9825"/>
  </r>
  <r>
    <s v="PARKER, JERROD"/>
    <s v="04"/>
    <s v="BLUEGOLD"/>
    <s v="MAIN"/>
    <x v="59"/>
    <x v="2"/>
    <x v="0"/>
    <s v="Invoice"/>
    <s v="96668"/>
    <x v="155"/>
    <x v="137"/>
    <x v="22"/>
    <x v="2"/>
    <n v="1.25"/>
  </r>
  <r>
    <s v="PARKER, JERROD"/>
    <s v="04"/>
    <s v="CIRCLEGF&amp;R LLC"/>
    <s v="KNIGHTS-N-#16"/>
    <x v="59"/>
    <x v="2"/>
    <x v="0"/>
    <s v="Invoice"/>
    <s v="96670"/>
    <x v="64"/>
    <x v="57"/>
    <x v="22"/>
    <x v="2"/>
    <n v="14.05"/>
  </r>
  <r>
    <s v="HOUSE"/>
    <s v="05"/>
    <s v="CPSBOYNTON"/>
    <s v="BOYNTON BCH"/>
    <x v="50"/>
    <x v="2"/>
    <x v="0"/>
    <s v="Invoice"/>
    <s v="96399"/>
    <x v="101"/>
    <x v="21"/>
    <x v="21"/>
    <x v="0"/>
    <n v="180"/>
  </r>
  <r>
    <s v="HOUSE"/>
    <s v="05"/>
    <s v="COASTALAGSUPPLY"/>
    <s v="MULBERRY"/>
    <x v="60"/>
    <x v="2"/>
    <x v="0"/>
    <s v="Invoice"/>
    <s v="96416"/>
    <x v="141"/>
    <x v="124"/>
    <x v="24"/>
    <x v="0"/>
    <n v="500"/>
  </r>
  <r>
    <s v="HOUSE"/>
    <s v="05"/>
    <s v="SOUTHERN"/>
    <s v="SOUTHERN AG"/>
    <x v="60"/>
    <x v="2"/>
    <x v="0"/>
    <s v="Invoice"/>
    <s v="96423"/>
    <x v="133"/>
    <x v="109"/>
    <x v="45"/>
    <x v="0"/>
    <n v="30"/>
  </r>
  <r>
    <s v="HOUSE"/>
    <s v="05"/>
    <s v="SOUTHERN"/>
    <s v="SOUTHERN AG"/>
    <x v="60"/>
    <x v="2"/>
    <x v="0"/>
    <s v="Invoice"/>
    <s v="96423"/>
    <x v="48"/>
    <x v="33"/>
    <x v="28"/>
    <x v="0"/>
    <n v="180"/>
  </r>
  <r>
    <s v="HOUSE"/>
    <s v="05"/>
    <s v="SOUTHERN"/>
    <s v="SOUTHERN AG"/>
    <x v="57"/>
    <x v="2"/>
    <x v="0"/>
    <s v="Invoice"/>
    <s v="96530"/>
    <x v="33"/>
    <x v="28"/>
    <x v="2"/>
    <x v="0"/>
    <n v="360"/>
  </r>
  <r>
    <s v="HOUSE"/>
    <s v="05"/>
    <s v="CPSHOMES"/>
    <s v="HOMESTEAD"/>
    <x v="53"/>
    <x v="2"/>
    <x v="0"/>
    <s v="Invoice"/>
    <s v="96547"/>
    <x v="156"/>
    <x v="138"/>
    <x v="53"/>
    <x v="0"/>
    <n v="180"/>
  </r>
  <r>
    <s v="HOUSE"/>
    <s v="05"/>
    <s v="CPSHOMES"/>
    <s v="HOMESTEAD"/>
    <x v="53"/>
    <x v="2"/>
    <x v="0"/>
    <s v="Invoice"/>
    <s v="96547"/>
    <x v="148"/>
    <x v="128"/>
    <x v="29"/>
    <x v="0"/>
    <n v="180"/>
  </r>
  <r>
    <s v="HOUSE"/>
    <s v="05"/>
    <s v="COASTALAGSUPPLY"/>
    <s v="MAILING"/>
    <x v="45"/>
    <x v="2"/>
    <x v="0"/>
    <s v="Invoice"/>
    <s v="96582"/>
    <x v="96"/>
    <x v="90"/>
    <x v="39"/>
    <x v="0"/>
    <n v="180"/>
  </r>
  <r>
    <s v="HOUSE"/>
    <s v="05"/>
    <s v="CPSHOMES"/>
    <s v="HOMESTEAD"/>
    <x v="59"/>
    <x v="2"/>
    <x v="0"/>
    <s v="Invoice"/>
    <s v="96669"/>
    <x v="157"/>
    <x v="138"/>
    <x v="53"/>
    <x v="0"/>
    <n v="500"/>
  </r>
  <r>
    <s v="HOUSE"/>
    <s v="05"/>
    <s v="CPSHOMES"/>
    <s v="HOMESTEAD"/>
    <x v="59"/>
    <x v="2"/>
    <x v="0"/>
    <s v="Invoice"/>
    <s v="96669"/>
    <x v="48"/>
    <x v="33"/>
    <x v="28"/>
    <x v="0"/>
    <n v="180"/>
  </r>
  <r>
    <s v="BHALL"/>
    <s v="07"/>
    <s v="BARNESFE"/>
    <s v="HASTINGS"/>
    <x v="63"/>
    <x v="2"/>
    <x v="0"/>
    <s v="Invoice"/>
    <s v="96585"/>
    <x v="101"/>
    <x v="21"/>
    <x v="21"/>
    <x v="0"/>
    <n v="180"/>
  </r>
  <r>
    <s v="BHALL"/>
    <s v="07"/>
    <s v="BARNESFE"/>
    <s v="HASTINGS"/>
    <x v="63"/>
    <x v="2"/>
    <x v="0"/>
    <s v="Invoice"/>
    <s v="96585"/>
    <x v="158"/>
    <x v="139"/>
    <x v="53"/>
    <x v="0"/>
    <n v="240"/>
  </r>
  <r>
    <s v="PARKER,J."/>
    <s v="08"/>
    <s v="CPSMULB"/>
    <s v="UAP/MULBERRY"/>
    <x v="48"/>
    <x v="2"/>
    <x v="0"/>
    <s v="Invoice"/>
    <s v="93827A"/>
    <x v="34"/>
    <x v="29"/>
    <x v="26"/>
    <x v="0"/>
    <n v="360"/>
  </r>
  <r>
    <s v="PARKER,J."/>
    <s v="08"/>
    <s v="TRIANGLE"/>
    <s v="TRIANGLE/PC"/>
    <x v="61"/>
    <x v="2"/>
    <x v="0"/>
    <s v="Invoice"/>
    <s v="96425"/>
    <x v="34"/>
    <x v="29"/>
    <x v="26"/>
    <x v="0"/>
    <n v="180"/>
  </r>
  <r>
    <s v="PARKER,J."/>
    <s v="08"/>
    <s v="TRIANGLE"/>
    <s v="PLANT CITY"/>
    <x v="57"/>
    <x v="2"/>
    <x v="0"/>
    <s v="Invoice"/>
    <s v="96515"/>
    <x v="40"/>
    <x v="35"/>
    <x v="29"/>
    <x v="0"/>
    <n v="180"/>
  </r>
  <r>
    <s v="DPOPPELL1"/>
    <s v="08"/>
    <s v="MAYO"/>
    <s v="PLANTCITY"/>
    <x v="58"/>
    <x v="2"/>
    <x v="0"/>
    <s v="Invoice"/>
    <s v="96534"/>
    <x v="77"/>
    <x v="37"/>
    <x v="30"/>
    <x v="0"/>
    <n v="30"/>
  </r>
  <r>
    <s v="PARKER,J."/>
    <s v="08"/>
    <s v="MAYO"/>
    <s v="PLANTCITY"/>
    <x v="49"/>
    <x v="2"/>
    <x v="0"/>
    <s v="Invoice"/>
    <s v="96657"/>
    <x v="77"/>
    <x v="37"/>
    <x v="30"/>
    <x v="0"/>
    <n v="60"/>
  </r>
  <r>
    <s v="GEORGIA"/>
    <s v="09"/>
    <s v="AGRIBUSI"/>
    <s v="SGSCWHSGP"/>
    <x v="50"/>
    <x v="2"/>
    <x v="0"/>
    <s v="Invoice"/>
    <s v="96400"/>
    <x v="129"/>
    <x v="117"/>
    <x v="48"/>
    <x v="0"/>
    <n v="3710"/>
  </r>
  <r>
    <s v="KEVIN"/>
    <s v="09"/>
    <s v="AGRIBUSI"/>
    <s v="AGB/ROOSEVELT"/>
    <x v="60"/>
    <x v="2"/>
    <x v="0"/>
    <s v="Invoice"/>
    <s v="96406"/>
    <x v="89"/>
    <x v="81"/>
    <x v="20"/>
    <x v="1"/>
    <n v="3000"/>
  </r>
  <r>
    <s v="GEORGIA"/>
    <s v="09"/>
    <s v="AGRIBUSI"/>
    <s v="SGSND"/>
    <x v="60"/>
    <x v="2"/>
    <x v="0"/>
    <s v="Invoice"/>
    <s v="96414"/>
    <x v="129"/>
    <x v="117"/>
    <x v="48"/>
    <x v="0"/>
    <n v="3710"/>
  </r>
  <r>
    <s v="GEORGIA"/>
    <s v="09"/>
    <s v="AGRIBUSI"/>
    <s v="INNVICTISINDIAN"/>
    <x v="60"/>
    <x v="2"/>
    <x v="0"/>
    <s v="Invoice"/>
    <s v="96415A"/>
    <x v="129"/>
    <x v="117"/>
    <x v="48"/>
    <x v="0"/>
    <n v="3710"/>
  </r>
  <r>
    <s v="GEORGIA"/>
    <s v="09"/>
    <s v="AGRIBUSI"/>
    <s v="SGSLEACHVILLE"/>
    <x v="44"/>
    <x v="2"/>
    <x v="0"/>
    <s v="Invoice"/>
    <s v="96458"/>
    <x v="129"/>
    <x v="117"/>
    <x v="48"/>
    <x v="0"/>
    <n v="3710"/>
  </r>
  <r>
    <s v="KEVIN"/>
    <s v="09"/>
    <s v="AGRIBUSI"/>
    <s v="SIMPLOTWYNNE"/>
    <x v="52"/>
    <x v="2"/>
    <x v="0"/>
    <s v="Invoice"/>
    <s v="96497"/>
    <x v="129"/>
    <x v="117"/>
    <x v="48"/>
    <x v="0"/>
    <n v="3710"/>
  </r>
  <r>
    <s v="GEORGIA"/>
    <s v="09"/>
    <s v="AGRIBUSI"/>
    <s v="SGSLEACHVILLE"/>
    <x v="57"/>
    <x v="2"/>
    <x v="0"/>
    <s v="Invoice"/>
    <s v="96506"/>
    <x v="159"/>
    <x v="117"/>
    <x v="48"/>
    <x v="0"/>
    <n v="3710"/>
  </r>
  <r>
    <s v="KEVIN"/>
    <s v="09"/>
    <s v="AGRIBUSI"/>
    <s v="CDI"/>
    <x v="57"/>
    <x v="2"/>
    <x v="0"/>
    <s v="Invoice"/>
    <s v="96512"/>
    <x v="89"/>
    <x v="81"/>
    <x v="20"/>
    <x v="1"/>
    <n v="3000"/>
  </r>
  <r>
    <s v="GEORGIA"/>
    <s v="09"/>
    <s v="AGRIBUSI"/>
    <s v="INNVICTISINDIAN"/>
    <x v="55"/>
    <x v="2"/>
    <x v="0"/>
    <s v="Invoice"/>
    <s v="96564A"/>
    <x v="129"/>
    <x v="117"/>
    <x v="48"/>
    <x v="0"/>
    <n v="3710"/>
  </r>
  <r>
    <s v="GEORGIA"/>
    <s v="09"/>
    <s v="AGRIBUSI"/>
    <s v="INNVICTIS/PERFO"/>
    <x v="55"/>
    <x v="2"/>
    <x v="0"/>
    <s v="Invoice"/>
    <s v="96565"/>
    <x v="129"/>
    <x v="117"/>
    <x v="48"/>
    <x v="0"/>
    <n v="3710"/>
  </r>
  <r>
    <s v="GEORGIA"/>
    <s v="09"/>
    <s v="AGRIBUSI"/>
    <s v="SGSND"/>
    <x v="64"/>
    <x v="2"/>
    <x v="0"/>
    <s v="Invoice"/>
    <s v="96620"/>
    <x v="129"/>
    <x v="117"/>
    <x v="48"/>
    <x v="0"/>
    <n v="3710"/>
  </r>
  <r>
    <s v="HAP"/>
    <s v="01"/>
    <s v="ALMARCH"/>
    <s v="THONOTOSASSA"/>
    <x v="66"/>
    <x v="3"/>
    <x v="1"/>
    <s v="Invoice"/>
    <s v="21375"/>
    <x v="9"/>
    <x v="140"/>
    <x v="8"/>
    <x v="0"/>
    <n v="55"/>
  </r>
  <r>
    <s v="HAP"/>
    <s v="01"/>
    <s v="GREENWAY"/>
    <s v="CORALCREEK"/>
    <x v="67"/>
    <x v="3"/>
    <x v="1"/>
    <s v="Invoice"/>
    <s v="27022"/>
    <x v="1"/>
    <x v="1"/>
    <x v="1"/>
    <x v="0"/>
    <n v="55"/>
  </r>
  <r>
    <s v="HAP"/>
    <s v="01"/>
    <s v="GREENWAY"/>
    <s v="W.PALM BCH MAIN"/>
    <x v="68"/>
    <x v="3"/>
    <x v="1"/>
    <s v="Invoice"/>
    <s v="32339"/>
    <x v="3"/>
    <x v="2"/>
    <x v="2"/>
    <x v="0"/>
    <n v="120"/>
  </r>
  <r>
    <s v="HAP"/>
    <s v="01"/>
    <s v="GREENWAY"/>
    <s v="W.PALM BCH MAIN"/>
    <x v="68"/>
    <x v="3"/>
    <x v="1"/>
    <s v="Invoice"/>
    <s v="32339"/>
    <x v="22"/>
    <x v="17"/>
    <x v="17"/>
    <x v="0"/>
    <n v="120"/>
  </r>
  <r>
    <s v="HAP"/>
    <s v="01"/>
    <s v="GREENWAY"/>
    <s v="W.PALM BCH MAIN"/>
    <x v="68"/>
    <x v="3"/>
    <x v="1"/>
    <s v="Invoice"/>
    <s v="32339"/>
    <x v="12"/>
    <x v="11"/>
    <x v="11"/>
    <x v="0"/>
    <n v="60"/>
  </r>
  <r>
    <s v="HAP"/>
    <s v="01"/>
    <s v="GREENWAY"/>
    <s v="W.PALM BCH MAIN"/>
    <x v="68"/>
    <x v="3"/>
    <x v="1"/>
    <s v="Invoice"/>
    <s v="32339"/>
    <x v="6"/>
    <x v="5"/>
    <x v="5"/>
    <x v="0"/>
    <n v="60"/>
  </r>
  <r>
    <s v="HAP"/>
    <s v="01"/>
    <s v="GREENWAY"/>
    <s v="W.PALM BCH MAIN"/>
    <x v="68"/>
    <x v="3"/>
    <x v="1"/>
    <s v="Invoice"/>
    <s v="32339"/>
    <x v="2"/>
    <x v="0"/>
    <x v="0"/>
    <x v="0"/>
    <n v="240"/>
  </r>
  <r>
    <s v="HAP"/>
    <s v="01"/>
    <s v="GREENWAY"/>
    <s v="MIZNER C. CLUB"/>
    <x v="69"/>
    <x v="3"/>
    <x v="1"/>
    <s v="Invoice"/>
    <s v="34952"/>
    <x v="3"/>
    <x v="2"/>
    <x v="2"/>
    <x v="0"/>
    <n v="50"/>
  </r>
  <r>
    <s v="HAP"/>
    <s v="01"/>
    <s v="GREENWAY"/>
    <s v="MIZNER C. CLUB"/>
    <x v="69"/>
    <x v="3"/>
    <x v="1"/>
    <s v="Invoice"/>
    <s v="34952"/>
    <x v="5"/>
    <x v="4"/>
    <x v="4"/>
    <x v="0"/>
    <n v="100"/>
  </r>
  <r>
    <s v="HAP"/>
    <s v="01"/>
    <s v="GREENWAY"/>
    <s v="MIZNER C. CLUB"/>
    <x v="69"/>
    <x v="3"/>
    <x v="1"/>
    <s v="Invoice"/>
    <s v="34952"/>
    <x v="6"/>
    <x v="5"/>
    <x v="5"/>
    <x v="0"/>
    <n v="50"/>
  </r>
  <r>
    <s v="HAP"/>
    <s v="01"/>
    <s v="GREENWAY"/>
    <s v="MIZNER C. CLUB"/>
    <x v="69"/>
    <x v="3"/>
    <x v="1"/>
    <s v="Invoice"/>
    <s v="34952"/>
    <x v="2"/>
    <x v="0"/>
    <x v="0"/>
    <x v="0"/>
    <n v="100"/>
  </r>
  <r>
    <s v="HAP"/>
    <s v="01"/>
    <s v="GREENWAY"/>
    <s v="VILLAGE CLUB"/>
    <x v="69"/>
    <x v="3"/>
    <x v="1"/>
    <s v="Invoice"/>
    <s v="35072"/>
    <x v="1"/>
    <x v="1"/>
    <x v="1"/>
    <x v="0"/>
    <n v="110"/>
  </r>
  <r>
    <s v="HAP"/>
    <s v="01"/>
    <s v="GREENWAY"/>
    <s v="LOXAHATCHEE CLB"/>
    <x v="70"/>
    <x v="3"/>
    <x v="1"/>
    <s v="Invoice"/>
    <s v="96693"/>
    <x v="1"/>
    <x v="1"/>
    <x v="1"/>
    <x v="0"/>
    <n v="110"/>
  </r>
  <r>
    <s v="HAP"/>
    <s v="01"/>
    <s v="GREENWAY"/>
    <s v="MAILING-WPBCH"/>
    <x v="70"/>
    <x v="3"/>
    <x v="1"/>
    <s v="Invoice"/>
    <s v="96694"/>
    <x v="90"/>
    <x v="13"/>
    <x v="13"/>
    <x v="0"/>
    <n v="120"/>
  </r>
  <r>
    <s v="HAP"/>
    <s v="01"/>
    <s v="GREENWAY"/>
    <s v="MAILING-WPBCH"/>
    <x v="70"/>
    <x v="3"/>
    <x v="1"/>
    <s v="Invoice"/>
    <s v="96694"/>
    <x v="3"/>
    <x v="2"/>
    <x v="2"/>
    <x v="0"/>
    <n v="120"/>
  </r>
  <r>
    <s v="HAP"/>
    <s v="01"/>
    <s v="GREENWAY"/>
    <s v="MAILING-WPBCH"/>
    <x v="70"/>
    <x v="3"/>
    <x v="1"/>
    <s v="Invoice"/>
    <s v="96694"/>
    <x v="130"/>
    <x v="119"/>
    <x v="49"/>
    <x v="0"/>
    <n v="30"/>
  </r>
  <r>
    <s v="HAP"/>
    <s v="01"/>
    <s v="GREENWAY"/>
    <s v="MAILING-WPBCH"/>
    <x v="70"/>
    <x v="3"/>
    <x v="1"/>
    <s v="Invoice"/>
    <s v="96694"/>
    <x v="22"/>
    <x v="17"/>
    <x v="17"/>
    <x v="0"/>
    <n v="120"/>
  </r>
  <r>
    <s v="HAP"/>
    <s v="01"/>
    <s v="GREENWAY"/>
    <s v="MAILING-WPBCH"/>
    <x v="70"/>
    <x v="3"/>
    <x v="1"/>
    <s v="Invoice"/>
    <s v="96694"/>
    <x v="6"/>
    <x v="5"/>
    <x v="5"/>
    <x v="0"/>
    <n v="120"/>
  </r>
  <r>
    <s v="HAP"/>
    <s v="01"/>
    <s v="GREENWAY"/>
    <s v="MAILING-WPBCH"/>
    <x v="70"/>
    <x v="3"/>
    <x v="1"/>
    <s v="Invoice"/>
    <s v="96694"/>
    <x v="2"/>
    <x v="0"/>
    <x v="0"/>
    <x v="0"/>
    <n v="120"/>
  </r>
  <r>
    <s v="DAVID"/>
    <s v="02"/>
    <s v="GLADESFORM"/>
    <s v="MAIN"/>
    <x v="71"/>
    <x v="3"/>
    <x v="1"/>
    <s v="Invoice"/>
    <s v="20181"/>
    <x v="95"/>
    <x v="118"/>
    <x v="20"/>
    <x v="1"/>
    <n v="10590"/>
  </r>
  <r>
    <s v="DAVID"/>
    <s v="02"/>
    <s v="FLORIDAF"/>
    <s v="FLORIDA FERTILI"/>
    <x v="66"/>
    <x v="3"/>
    <x v="1"/>
    <s v="Invoice"/>
    <s v="21066"/>
    <x v="29"/>
    <x v="24"/>
    <x v="20"/>
    <x v="1"/>
    <n v="15520"/>
  </r>
  <r>
    <s v="DAVID"/>
    <s v="02"/>
    <s v="COUNCILO"/>
    <s v="COUNCIL-OXFORD"/>
    <x v="72"/>
    <x v="3"/>
    <x v="1"/>
    <s v="Invoice"/>
    <s v="21909"/>
    <x v="132"/>
    <x v="120"/>
    <x v="50"/>
    <x v="0"/>
    <n v="1310.9"/>
  </r>
  <r>
    <s v="DAVID"/>
    <s v="02"/>
    <s v="TRUE"/>
    <s v="LAKE PANA"/>
    <x v="73"/>
    <x v="3"/>
    <x v="1"/>
    <s v="Invoice"/>
    <s v="22269"/>
    <x v="25"/>
    <x v="20"/>
    <x v="20"/>
    <x v="1"/>
    <n v="4000"/>
  </r>
  <r>
    <s v="DAVID"/>
    <s v="02"/>
    <s v="EVOQUAWATER"/>
    <s v="MAIN"/>
    <x v="73"/>
    <x v="3"/>
    <x v="1"/>
    <s v="Invoice"/>
    <s v="22621"/>
    <x v="160"/>
    <x v="141"/>
    <x v="54"/>
    <x v="0"/>
    <n v="360"/>
  </r>
  <r>
    <s v="DAVID"/>
    <s v="02"/>
    <s v="COUNCILO"/>
    <s v="COUNCIL-OXFORD"/>
    <x v="74"/>
    <x v="3"/>
    <x v="1"/>
    <s v="Invoice"/>
    <s v="24020A"/>
    <x v="132"/>
    <x v="120"/>
    <x v="50"/>
    <x v="0"/>
    <n v="2073"/>
  </r>
  <r>
    <s v="DAVID"/>
    <s v="02"/>
    <s v="COUNCILO"/>
    <s v="COUNCIL-OXFORD"/>
    <x v="75"/>
    <x v="3"/>
    <x v="1"/>
    <s v="Invoice"/>
    <s v="27374A"/>
    <x v="132"/>
    <x v="120"/>
    <x v="50"/>
    <x v="0"/>
    <n v="4340"/>
  </r>
  <r>
    <s v="DAVID"/>
    <s v="02"/>
    <s v="SOUTHERN"/>
    <s v="SOUTHERN AG"/>
    <x v="75"/>
    <x v="3"/>
    <x v="1"/>
    <s v="Invoice"/>
    <s v="27428"/>
    <x v="26"/>
    <x v="21"/>
    <x v="21"/>
    <x v="0"/>
    <n v="1509"/>
  </r>
  <r>
    <s v="DAVID"/>
    <s v="02"/>
    <s v="EVOQUAWATER"/>
    <s v="MAIN"/>
    <x v="75"/>
    <x v="3"/>
    <x v="1"/>
    <s v="Invoice"/>
    <s v="27879"/>
    <x v="160"/>
    <x v="142"/>
    <x v="54"/>
    <x v="0"/>
    <n v="180"/>
  </r>
  <r>
    <s v="DAVID"/>
    <s v="02"/>
    <s v="EVOQUAWATER"/>
    <s v="MAIN"/>
    <x v="75"/>
    <x v="3"/>
    <x v="1"/>
    <s v="Invoice"/>
    <s v="27880"/>
    <x v="160"/>
    <x v="142"/>
    <x v="54"/>
    <x v="0"/>
    <n v="360"/>
  </r>
  <r>
    <s v="DAVID"/>
    <s v="02"/>
    <s v="EVOQUAWATER"/>
    <s v="MAIN"/>
    <x v="75"/>
    <x v="3"/>
    <x v="1"/>
    <s v="Invoice"/>
    <s v="27895"/>
    <x v="160"/>
    <x v="142"/>
    <x v="54"/>
    <x v="0"/>
    <n v="180"/>
  </r>
  <r>
    <s v="DAVID"/>
    <s v="02"/>
    <s v="AGRIBUSI"/>
    <s v="AGB/ROOSEVELT"/>
    <x v="68"/>
    <x v="3"/>
    <x v="1"/>
    <s v="Invoice"/>
    <s v="32632"/>
    <x v="89"/>
    <x v="81"/>
    <x v="20"/>
    <x v="1"/>
    <n v="2573"/>
  </r>
  <r>
    <s v="DAVID"/>
    <s v="02"/>
    <s v="COUNCILO"/>
    <s v="COUNCIL-OXFORD"/>
    <x v="76"/>
    <x v="3"/>
    <x v="1"/>
    <s v="Invoice"/>
    <s v="37858"/>
    <x v="132"/>
    <x v="120"/>
    <x v="50"/>
    <x v="0"/>
    <n v="1531"/>
  </r>
  <r>
    <s v="DAVID"/>
    <s v="02"/>
    <s v="BIGEARTH"/>
    <s v="TAMPA"/>
    <x v="77"/>
    <x v="3"/>
    <x v="1"/>
    <s v="Invoice"/>
    <s v="96671"/>
    <x v="3"/>
    <x v="80"/>
    <x v="2"/>
    <x v="0"/>
    <n v="100"/>
  </r>
  <r>
    <s v="DAVID"/>
    <s v="02"/>
    <s v="BIGEARTH"/>
    <s v="TAMPA"/>
    <x v="77"/>
    <x v="3"/>
    <x v="1"/>
    <s v="Invoice"/>
    <s v="96672"/>
    <x v="161"/>
    <x v="143"/>
    <x v="35"/>
    <x v="0"/>
    <n v="5"/>
  </r>
  <r>
    <s v="DAVID"/>
    <s v="02"/>
    <s v="COUNCILO"/>
    <s v="G&amp;D FARMS"/>
    <x v="78"/>
    <x v="3"/>
    <x v="1"/>
    <s v="Invoice"/>
    <s v="96708"/>
    <x v="132"/>
    <x v="120"/>
    <x v="50"/>
    <x v="0"/>
    <n v="4138.63"/>
  </r>
  <r>
    <s v="DAVID"/>
    <s v="02"/>
    <s v="TERRAFEED"/>
    <s v="MAILING"/>
    <x v="79"/>
    <x v="3"/>
    <x v="1"/>
    <s v="Invoice"/>
    <s v="96729"/>
    <x v="162"/>
    <x v="144"/>
    <x v="55"/>
    <x v="0"/>
    <n v="250"/>
  </r>
  <r>
    <s v="DAVID"/>
    <s v="02"/>
    <s v="COUNCILO"/>
    <s v="COUNCIL-OXFORD"/>
    <x v="79"/>
    <x v="3"/>
    <x v="1"/>
    <s v="Invoice"/>
    <s v="96731"/>
    <x v="132"/>
    <x v="120"/>
    <x v="50"/>
    <x v="0"/>
    <n v="783"/>
  </r>
  <r>
    <s v="DAVID"/>
    <s v="02"/>
    <s v="CAROLINATU"/>
    <s v="GRANDOVER RESOR"/>
    <x v="80"/>
    <x v="3"/>
    <x v="1"/>
    <s v="Invoice"/>
    <s v="96751"/>
    <x v="163"/>
    <x v="145"/>
    <x v="56"/>
    <x v="0"/>
    <n v="80"/>
  </r>
  <r>
    <s v="DAVID"/>
    <s v="02"/>
    <s v="CAROLINATU"/>
    <s v="GRANDOVER RESOR"/>
    <x v="80"/>
    <x v="3"/>
    <x v="1"/>
    <s v="Invoice"/>
    <s v="96751"/>
    <x v="22"/>
    <x v="69"/>
    <x v="17"/>
    <x v="0"/>
    <n v="150"/>
  </r>
  <r>
    <s v="DAVID"/>
    <s v="02"/>
    <s v="GEOPONICSCORP"/>
    <s v="NAPLES UNIT-105"/>
    <x v="81"/>
    <x v="3"/>
    <x v="1"/>
    <s v="Invoice"/>
    <s v="96758"/>
    <x v="3"/>
    <x v="146"/>
    <x v="2"/>
    <x v="0"/>
    <n v="100"/>
  </r>
  <r>
    <s v="JUSTIN"/>
    <s v="03"/>
    <s v="CPSFTPIE"/>
    <s v="FT. PIERCE"/>
    <x v="66"/>
    <x v="3"/>
    <x v="1"/>
    <s v="Invoice"/>
    <s v="20530"/>
    <x v="74"/>
    <x v="67"/>
    <x v="7"/>
    <x v="0"/>
    <n v="1500"/>
  </r>
  <r>
    <s v="JUSTIN"/>
    <s v="03"/>
    <s v="CPSWAVER"/>
    <s v="WAVERLY"/>
    <x v="66"/>
    <x v="3"/>
    <x v="1"/>
    <s v="Invoice"/>
    <s v="20564"/>
    <x v="35"/>
    <x v="30"/>
    <x v="27"/>
    <x v="0"/>
    <n v="180"/>
  </r>
  <r>
    <s v="JUSTIN"/>
    <s v="03"/>
    <s v="CPSWAVER"/>
    <s v="WAVERLY"/>
    <x v="66"/>
    <x v="3"/>
    <x v="1"/>
    <s v="Invoice"/>
    <s v="20564"/>
    <x v="34"/>
    <x v="29"/>
    <x v="26"/>
    <x v="0"/>
    <n v="180"/>
  </r>
  <r>
    <s v="JUSTIN"/>
    <s v="03"/>
    <s v="COUNCILO"/>
    <s v="COUNCIL-OXFORD"/>
    <x v="66"/>
    <x v="3"/>
    <x v="1"/>
    <s v="Invoice"/>
    <s v="20690"/>
    <x v="41"/>
    <x v="36"/>
    <x v="26"/>
    <x v="0"/>
    <n v="500"/>
  </r>
  <r>
    <s v="JUSTIN"/>
    <s v="03"/>
    <s v="CPSFTPIE"/>
    <s v="FT. PIERCE"/>
    <x v="82"/>
    <x v="3"/>
    <x v="1"/>
    <s v="Invoice"/>
    <s v="21991"/>
    <x v="74"/>
    <x v="67"/>
    <x v="7"/>
    <x v="0"/>
    <n v="3000"/>
  </r>
  <r>
    <s v="JUSTIN"/>
    <s v="03"/>
    <s v="CPSFTPIE"/>
    <s v="FT. PIERCE"/>
    <x v="73"/>
    <x v="3"/>
    <x v="1"/>
    <s v="Invoice"/>
    <s v="22238"/>
    <x v="74"/>
    <x v="67"/>
    <x v="7"/>
    <x v="0"/>
    <n v="2250"/>
  </r>
  <r>
    <s v="JUSTIN"/>
    <s v="03"/>
    <s v="CPSFTPIE"/>
    <s v="FT. PIERCE"/>
    <x v="73"/>
    <x v="3"/>
    <x v="1"/>
    <s v="Invoice"/>
    <s v="22266"/>
    <x v="74"/>
    <x v="67"/>
    <x v="7"/>
    <x v="0"/>
    <n v="500"/>
  </r>
  <r>
    <s v="JUSTIN"/>
    <s v="03"/>
    <s v="FLORIDAF"/>
    <s v="FLORIDA FERTILI"/>
    <x v="73"/>
    <x v="3"/>
    <x v="1"/>
    <s v="Invoice"/>
    <s v="22281"/>
    <x v="164"/>
    <x v="147"/>
    <x v="57"/>
    <x v="0"/>
    <n v="120"/>
  </r>
  <r>
    <s v="JUSTIN"/>
    <s v="03"/>
    <s v="CPSPARRI"/>
    <s v="PARRISH"/>
    <x v="73"/>
    <x v="3"/>
    <x v="1"/>
    <s v="Invoice"/>
    <s v="22384"/>
    <x v="34"/>
    <x v="29"/>
    <x v="26"/>
    <x v="0"/>
    <n v="180"/>
  </r>
  <r>
    <s v="JUSTIN"/>
    <s v="03"/>
    <s v="CPSPARRI"/>
    <s v="PARRISH"/>
    <x v="73"/>
    <x v="3"/>
    <x v="1"/>
    <s v="Invoice"/>
    <s v="22384"/>
    <x v="40"/>
    <x v="35"/>
    <x v="29"/>
    <x v="0"/>
    <n v="180"/>
  </r>
  <r>
    <s v="JUSTIN"/>
    <s v="03"/>
    <s v="G&amp;DFARMS"/>
    <s v="HWY39/62-SOUTH"/>
    <x v="83"/>
    <x v="3"/>
    <x v="1"/>
    <s v="Invoice"/>
    <s v="26291"/>
    <x v="99"/>
    <x v="93"/>
    <x v="22"/>
    <x v="2"/>
    <n v="15.0525"/>
  </r>
  <r>
    <s v=""/>
    <s v="03"/>
    <s v="CPSMULB"/>
    <s v="UAP/MULBERRY"/>
    <x v="83"/>
    <x v="3"/>
    <x v="1"/>
    <s v="Invoice"/>
    <s v="26425"/>
    <x v="102"/>
    <x v="71"/>
    <x v="34"/>
    <x v="0"/>
    <n v="1000"/>
  </r>
  <r>
    <s v="JUSTIN"/>
    <s v="03"/>
    <s v="TRIANGLE"/>
    <s v="TRIANGLE/LAKEPL"/>
    <x v="67"/>
    <x v="3"/>
    <x v="1"/>
    <s v="Invoice"/>
    <s v="26932"/>
    <x v="165"/>
    <x v="148"/>
    <x v="58"/>
    <x v="0"/>
    <n v="360"/>
  </r>
  <r>
    <s v="JUSTIN"/>
    <s v="03"/>
    <s v="CPSPARRI"/>
    <s v="PARRISH"/>
    <x v="84"/>
    <x v="3"/>
    <x v="1"/>
    <s v="Invoice"/>
    <s v="28389"/>
    <x v="42"/>
    <x v="149"/>
    <x v="30"/>
    <x v="0"/>
    <n v="60"/>
  </r>
  <r>
    <s v="JUSTIN"/>
    <s v="03"/>
    <s v="CPSPARRI"/>
    <s v="PARRISH"/>
    <x v="84"/>
    <x v="3"/>
    <x v="1"/>
    <s v="Invoice"/>
    <s v="28409"/>
    <x v="37"/>
    <x v="33"/>
    <x v="28"/>
    <x v="0"/>
    <n v="60"/>
  </r>
  <r>
    <s v="JUSTIN"/>
    <s v="03"/>
    <s v="CPSFTPIE"/>
    <s v="FT. PIERCE"/>
    <x v="84"/>
    <x v="3"/>
    <x v="1"/>
    <s v="Invoice"/>
    <s v="28888"/>
    <x v="34"/>
    <x v="29"/>
    <x v="26"/>
    <x v="0"/>
    <n v="180"/>
  </r>
  <r>
    <s v="JUSTIN"/>
    <s v="03"/>
    <s v="CPSFTPIE"/>
    <s v="FT. PIERCE"/>
    <x v="84"/>
    <x v="3"/>
    <x v="1"/>
    <s v="Invoice"/>
    <s v="28888"/>
    <x v="166"/>
    <x v="29"/>
    <x v="26"/>
    <x v="0"/>
    <n v="1500"/>
  </r>
  <r>
    <s v="JUSTIN"/>
    <s v="03"/>
    <s v="G&amp;DFARMS"/>
    <s v="MIDDLE"/>
    <x v="85"/>
    <x v="3"/>
    <x v="1"/>
    <s v="Invoice"/>
    <s v="30827"/>
    <x v="99"/>
    <x v="93"/>
    <x v="22"/>
    <x v="2"/>
    <n v="15.0425"/>
  </r>
  <r>
    <s v="JUSTIN"/>
    <s v="03"/>
    <s v="COUNCILO"/>
    <s v="COUNCIL-OXFORD"/>
    <x v="68"/>
    <x v="3"/>
    <x v="1"/>
    <s v="Invoice"/>
    <s v="32193"/>
    <x v="167"/>
    <x v="36"/>
    <x v="26"/>
    <x v="0"/>
    <n v="180"/>
  </r>
  <r>
    <s v="JUSTIN"/>
    <s v="03"/>
    <s v="COUNCILO"/>
    <s v="COUNCIL-OXFORD"/>
    <x v="68"/>
    <x v="3"/>
    <x v="1"/>
    <s v="Invoice"/>
    <s v="32217"/>
    <x v="168"/>
    <x v="88"/>
    <x v="8"/>
    <x v="0"/>
    <n v="60"/>
  </r>
  <r>
    <s v="JUSTIN"/>
    <s v="03"/>
    <s v="COUNCILO"/>
    <s v="COUNCIL-OXFORD"/>
    <x v="68"/>
    <x v="3"/>
    <x v="1"/>
    <s v="Invoice"/>
    <s v="32217"/>
    <x v="39"/>
    <x v="34"/>
    <x v="26"/>
    <x v="0"/>
    <n v="75"/>
  </r>
  <r>
    <s v="JUSTIN"/>
    <s v="03"/>
    <s v="COUNCILO"/>
    <s v="COUNCIL-OXFORD"/>
    <x v="68"/>
    <x v="3"/>
    <x v="1"/>
    <s v="Invoice"/>
    <s v="32217"/>
    <x v="169"/>
    <x v="150"/>
    <x v="0"/>
    <x v="0"/>
    <n v="75"/>
  </r>
  <r>
    <s v="JUSTIN"/>
    <s v="03"/>
    <s v="COUNCILO"/>
    <s v="COUNCIL-OXFORD"/>
    <x v="68"/>
    <x v="3"/>
    <x v="1"/>
    <s v="Invoice"/>
    <s v="32217"/>
    <x v="40"/>
    <x v="35"/>
    <x v="29"/>
    <x v="0"/>
    <n v="180"/>
  </r>
  <r>
    <s v="JUSTIN"/>
    <s v="03"/>
    <s v="TRIANGLE"/>
    <s v="TRIANGLE/LAKEPL"/>
    <x v="68"/>
    <x v="3"/>
    <x v="1"/>
    <s v="Invoice"/>
    <s v="32545"/>
    <x v="170"/>
    <x v="33"/>
    <x v="28"/>
    <x v="0"/>
    <n v="750"/>
  </r>
  <r>
    <s v=""/>
    <s v="03"/>
    <s v="CPSMULB"/>
    <s v="UAP/MULBERRY"/>
    <x v="68"/>
    <x v="3"/>
    <x v="1"/>
    <s v="Invoice"/>
    <s v="32727"/>
    <x v="34"/>
    <x v="29"/>
    <x v="26"/>
    <x v="0"/>
    <n v="180"/>
  </r>
  <r>
    <s v=""/>
    <s v="03"/>
    <s v="CPSMULB"/>
    <s v="UAP/MULBERRY"/>
    <x v="76"/>
    <x v="3"/>
    <x v="1"/>
    <s v="Invoice"/>
    <s v="35830"/>
    <x v="5"/>
    <x v="72"/>
    <x v="4"/>
    <x v="0"/>
    <n v="360"/>
  </r>
  <r>
    <s v="JUSTIN"/>
    <s v="03"/>
    <s v="G&amp;DFARMS"/>
    <s v="HWY39/62-SOUTH"/>
    <x v="77"/>
    <x v="3"/>
    <x v="1"/>
    <s v="Invoice"/>
    <s v="96676"/>
    <x v="99"/>
    <x v="93"/>
    <x v="22"/>
    <x v="2"/>
    <n v="10.005000000000001"/>
  </r>
  <r>
    <s v="JUSTIN"/>
    <s v="03"/>
    <s v="COUNCILO"/>
    <s v="COUNCIL-OXFORD"/>
    <x v="77"/>
    <x v="3"/>
    <x v="1"/>
    <s v="Invoice"/>
    <s v="96677"/>
    <x v="132"/>
    <x v="120"/>
    <x v="50"/>
    <x v="0"/>
    <n v="1044"/>
  </r>
  <r>
    <s v="JUSTIN"/>
    <s v="03"/>
    <s v="CPSPARRI"/>
    <s v="PARRISH"/>
    <x v="70"/>
    <x v="3"/>
    <x v="1"/>
    <s v="Invoice"/>
    <s v="96685"/>
    <x v="96"/>
    <x v="90"/>
    <x v="39"/>
    <x v="0"/>
    <n v="60"/>
  </r>
  <r>
    <s v="JUSTIN"/>
    <s v="03"/>
    <s v="G&amp;DFARMS"/>
    <s v="HWY39/62-SOUTH"/>
    <x v="70"/>
    <x v="3"/>
    <x v="1"/>
    <s v="Invoice"/>
    <s v="96688"/>
    <x v="99"/>
    <x v="93"/>
    <x v="22"/>
    <x v="2"/>
    <n v="15.022500000000001"/>
  </r>
  <r>
    <s v="JUSTIN"/>
    <s v="03"/>
    <s v="G&amp;DFARMS"/>
    <s v="HWY39/62-SOUTH"/>
    <x v="86"/>
    <x v="3"/>
    <x v="1"/>
    <s v="Invoice"/>
    <s v="96704"/>
    <x v="99"/>
    <x v="93"/>
    <x v="22"/>
    <x v="2"/>
    <n v="15.01"/>
  </r>
  <r>
    <s v="JUSTIN"/>
    <s v="03"/>
    <s v="CPSWACHU"/>
    <s v="WAUCHULA"/>
    <x v="78"/>
    <x v="3"/>
    <x v="1"/>
    <s v="Invoice"/>
    <s v="96713"/>
    <x v="34"/>
    <x v="29"/>
    <x v="26"/>
    <x v="0"/>
    <n v="180"/>
  </r>
  <r>
    <s v="JUSTIN"/>
    <s v="03"/>
    <s v="G&amp;DFARMS"/>
    <s v="MIDDLE"/>
    <x v="79"/>
    <x v="3"/>
    <x v="1"/>
    <s v="Invoice"/>
    <s v="96723"/>
    <x v="99"/>
    <x v="93"/>
    <x v="22"/>
    <x v="2"/>
    <n v="15.03"/>
  </r>
  <r>
    <s v="JUSTIN"/>
    <s v="03"/>
    <s v="COUNCILO"/>
    <s v="COUNCIL-OXFORD"/>
    <x v="80"/>
    <x v="3"/>
    <x v="1"/>
    <s v="Invoice"/>
    <s v="96744"/>
    <x v="99"/>
    <x v="93"/>
    <x v="22"/>
    <x v="2"/>
    <n v="2.5074999999999998"/>
  </r>
  <r>
    <s v="JUSTIN"/>
    <s v="03"/>
    <s v="GREENRES"/>
    <s v="MGMT WAY-NC"/>
    <x v="80"/>
    <x v="3"/>
    <x v="1"/>
    <s v="Invoice"/>
    <s v="96750"/>
    <x v="3"/>
    <x v="80"/>
    <x v="2"/>
    <x v="0"/>
    <n v="180"/>
  </r>
  <r>
    <s v="JUSTIN"/>
    <s v="03"/>
    <s v="G&amp;DFARMS"/>
    <s v="HWY39/62-SOUTH"/>
    <x v="81"/>
    <x v="3"/>
    <x v="1"/>
    <s v="Invoice"/>
    <s v="96754"/>
    <x v="99"/>
    <x v="93"/>
    <x v="22"/>
    <x v="2"/>
    <n v="15.015000000000001"/>
  </r>
  <r>
    <s v="JUSTIN"/>
    <s v="03"/>
    <s v="TRIANGLE"/>
    <s v="TRIANGLE/LAKEPL"/>
    <x v="71"/>
    <x v="3"/>
    <x v="1"/>
    <s v="Invoice"/>
    <s v="96768"/>
    <x v="165"/>
    <x v="148"/>
    <x v="58"/>
    <x v="0"/>
    <n v="180"/>
  </r>
  <r>
    <s v=""/>
    <s v="04"/>
    <s v="SOUTHERNHILL"/>
    <s v="SCHOFIELD"/>
    <x v="71"/>
    <x v="3"/>
    <x v="1"/>
    <s v="Invoice"/>
    <s v="19980"/>
    <x v="43"/>
    <x v="38"/>
    <x v="22"/>
    <x v="2"/>
    <n v="2.0099999999999998"/>
  </r>
  <r>
    <s v="DPOPPELL"/>
    <s v="04"/>
    <s v="FLORIDAAG"/>
    <s v="DOVER"/>
    <x v="66"/>
    <x v="3"/>
    <x v="1"/>
    <s v="Invoice"/>
    <s v="21286"/>
    <x v="171"/>
    <x v="151"/>
    <x v="22"/>
    <x v="2"/>
    <n v="0.15"/>
  </r>
  <r>
    <s v="DPOPPELL"/>
    <s v="04"/>
    <s v="BEAUCHAMP"/>
    <s v="GALLAGHER"/>
    <x v="66"/>
    <x v="3"/>
    <x v="1"/>
    <s v="Invoice"/>
    <s v="21288"/>
    <x v="104"/>
    <x v="96"/>
    <x v="22"/>
    <x v="2"/>
    <n v="4"/>
  </r>
  <r>
    <s v="DPOPPELL"/>
    <s v="04"/>
    <s v="FANCYFAR"/>
    <s v="JOHN DEER POND"/>
    <x v="66"/>
    <x v="3"/>
    <x v="1"/>
    <s v="Invoice"/>
    <s v="21339"/>
    <x v="64"/>
    <x v="57"/>
    <x v="22"/>
    <x v="2"/>
    <n v="15"/>
  </r>
  <r>
    <s v="DPOPPELL"/>
    <s v="04"/>
    <s v="STEVEMAT"/>
    <s v="DRAWDY"/>
    <x v="66"/>
    <x v="3"/>
    <x v="1"/>
    <s v="Invoice"/>
    <s v="21582"/>
    <x v="110"/>
    <x v="97"/>
    <x v="16"/>
    <x v="0"/>
    <n v="500"/>
  </r>
  <r>
    <s v="DPOPPELL"/>
    <s v="04"/>
    <s v="VENTURAFARMS"/>
    <s v="HOUSE"/>
    <x v="82"/>
    <x v="3"/>
    <x v="1"/>
    <s v="Invoice"/>
    <s v="22048"/>
    <x v="42"/>
    <x v="37"/>
    <x v="30"/>
    <x v="0"/>
    <n v="5"/>
  </r>
  <r>
    <s v=""/>
    <s v="04"/>
    <s v="THREESTA"/>
    <s v="WALDEN-SHEFFIEL"/>
    <x v="82"/>
    <x v="3"/>
    <x v="1"/>
    <s v="Invoice"/>
    <s v="22147"/>
    <x v="172"/>
    <x v="152"/>
    <x v="22"/>
    <x v="2"/>
    <n v="14"/>
  </r>
  <r>
    <s v="DPOPPELL"/>
    <s v="04"/>
    <s v="HINTONFA"/>
    <s v="SYDNEY NORTH"/>
    <x v="82"/>
    <x v="3"/>
    <x v="1"/>
    <s v="Invoice"/>
    <s v="22193"/>
    <x v="57"/>
    <x v="50"/>
    <x v="22"/>
    <x v="2"/>
    <n v="7.5"/>
  </r>
  <r>
    <s v="DPOPPELL"/>
    <s v="04"/>
    <s v="JOEPENA"/>
    <s v="HWY 92"/>
    <x v="73"/>
    <x v="3"/>
    <x v="1"/>
    <s v="Invoice"/>
    <s v="22385"/>
    <x v="114"/>
    <x v="101"/>
    <x v="22"/>
    <x v="2"/>
    <n v="1"/>
  </r>
  <r>
    <s v="DPOPPELL"/>
    <s v="04"/>
    <s v="FRANKLIN"/>
    <s v="FRANKLIN FARM"/>
    <x v="73"/>
    <x v="3"/>
    <x v="1"/>
    <s v="Invoice"/>
    <s v="22397"/>
    <x v="58"/>
    <x v="51"/>
    <x v="22"/>
    <x v="2"/>
    <n v="10"/>
  </r>
  <r>
    <s v="DPOPPELL"/>
    <s v="04"/>
    <s v="SYDNEYFA"/>
    <s v="FORBES/NORTH"/>
    <x v="73"/>
    <x v="3"/>
    <x v="1"/>
    <s v="Invoice"/>
    <s v="22428"/>
    <x v="172"/>
    <x v="152"/>
    <x v="22"/>
    <x v="2"/>
    <n v="5"/>
  </r>
  <r>
    <s v="DPOPPELL"/>
    <s v="04"/>
    <s v="FERRISFA"/>
    <s v="BLUEBERRY-NEW"/>
    <x v="73"/>
    <x v="3"/>
    <x v="1"/>
    <s v="Invoice"/>
    <s v="22429"/>
    <x v="154"/>
    <x v="136"/>
    <x v="22"/>
    <x v="2"/>
    <n v="10"/>
  </r>
  <r>
    <s v="DPOPPELL"/>
    <s v="04"/>
    <s v="FERRISFA"/>
    <s v="BLUEBERRY-NEW"/>
    <x v="73"/>
    <x v="3"/>
    <x v="1"/>
    <s v="Invoice"/>
    <s v="22575"/>
    <x v="62"/>
    <x v="55"/>
    <x v="22"/>
    <x v="2"/>
    <n v="5"/>
  </r>
  <r>
    <s v="DPOPPELL"/>
    <s v="04"/>
    <s v="MERCEDCH"/>
    <s v="BOBCAT"/>
    <x v="73"/>
    <x v="3"/>
    <x v="1"/>
    <s v="Invoice"/>
    <s v="22692"/>
    <x v="55"/>
    <x v="48"/>
    <x v="22"/>
    <x v="2"/>
    <n v="4.0075000000000003"/>
  </r>
  <r>
    <s v="DPOPPELL"/>
    <s v="04"/>
    <s v="MENDOZAHEC"/>
    <s v="JAUDON RD"/>
    <x v="73"/>
    <x v="3"/>
    <x v="1"/>
    <s v="Invoice"/>
    <s v="22801"/>
    <x v="27"/>
    <x v="22"/>
    <x v="22"/>
    <x v="2"/>
    <n v="4.0049999999999999"/>
  </r>
  <r>
    <s v="DPOPPELL"/>
    <s v="04"/>
    <s v="SWEETLIFE"/>
    <s v="BRYANT S"/>
    <x v="73"/>
    <x v="3"/>
    <x v="1"/>
    <s v="Invoice"/>
    <s v="23050"/>
    <x v="64"/>
    <x v="57"/>
    <x v="22"/>
    <x v="2"/>
    <n v="8.5"/>
  </r>
  <r>
    <s v="DPOPPELL"/>
    <s v="04"/>
    <s v="ROQUEFARMS"/>
    <s v="SWEETWATER"/>
    <x v="73"/>
    <x v="3"/>
    <x v="1"/>
    <s v="Invoice"/>
    <s v="23185"/>
    <x v="58"/>
    <x v="51"/>
    <x v="22"/>
    <x v="2"/>
    <n v="2.5"/>
  </r>
  <r>
    <s v="DPOPPELL"/>
    <s v="04"/>
    <s v="SWEETLIFE"/>
    <s v="FOSTERDUKES"/>
    <x v="73"/>
    <x v="3"/>
    <x v="1"/>
    <s v="Invoice"/>
    <s v="23200"/>
    <x v="64"/>
    <x v="57"/>
    <x v="22"/>
    <x v="2"/>
    <n v="15"/>
  </r>
  <r>
    <s v="DPOPPELL"/>
    <s v="04"/>
    <s v="ROQUEFARMS"/>
    <s v="MEEKHORIZON"/>
    <x v="74"/>
    <x v="3"/>
    <x v="1"/>
    <s v="Invoice"/>
    <s v="24122"/>
    <x v="58"/>
    <x v="51"/>
    <x v="22"/>
    <x v="2"/>
    <n v="5"/>
  </r>
  <r>
    <s v="DPOPPELL"/>
    <s v="04"/>
    <s v="FAVORITE"/>
    <s v="BETHLEHEM ROAD"/>
    <x v="74"/>
    <x v="3"/>
    <x v="1"/>
    <s v="Invoice"/>
    <s v="24167"/>
    <x v="59"/>
    <x v="52"/>
    <x v="22"/>
    <x v="2"/>
    <n v="5"/>
  </r>
  <r>
    <s v="DPOPPELL"/>
    <s v="04"/>
    <s v="COLORFULH"/>
    <s v="TRAPNELL RD."/>
    <x v="74"/>
    <x v="3"/>
    <x v="1"/>
    <s v="Invoice"/>
    <s v="24253"/>
    <x v="149"/>
    <x v="129"/>
    <x v="22"/>
    <x v="2"/>
    <n v="2.5"/>
  </r>
  <r>
    <s v="DPOPPELL"/>
    <s v="04"/>
    <s v="GAONA, ESPER"/>
    <s v="WILLIAMSRD"/>
    <x v="74"/>
    <x v="3"/>
    <x v="1"/>
    <s v="Invoice"/>
    <s v="24298"/>
    <x v="28"/>
    <x v="23"/>
    <x v="22"/>
    <x v="2"/>
    <n v="2.0125000000000002"/>
  </r>
  <r>
    <s v="DPOPPELL"/>
    <s v="04"/>
    <s v="FLORIDAAG"/>
    <s v="KINGSWAY"/>
    <x v="74"/>
    <x v="3"/>
    <x v="1"/>
    <s v="Invoice"/>
    <s v="24677"/>
    <x v="52"/>
    <x v="45"/>
    <x v="22"/>
    <x v="2"/>
    <n v="1.25"/>
  </r>
  <r>
    <s v="DPOPPELL"/>
    <s v="04"/>
    <s v="GERALDWI"/>
    <s v="TURKEY CRK"/>
    <x v="74"/>
    <x v="3"/>
    <x v="1"/>
    <s v="Invoice"/>
    <s v="24718"/>
    <x v="59"/>
    <x v="52"/>
    <x v="22"/>
    <x v="2"/>
    <n v="2.4874999999999998"/>
  </r>
  <r>
    <s v="DPOPPELL"/>
    <s v="04"/>
    <s v="GUTIERREZA"/>
    <s v="WIAMAUMA"/>
    <x v="74"/>
    <x v="3"/>
    <x v="1"/>
    <s v="Invoice"/>
    <s v="24735"/>
    <x v="58"/>
    <x v="51"/>
    <x v="22"/>
    <x v="2"/>
    <n v="5"/>
  </r>
  <r>
    <s v="DPOPPELL"/>
    <s v="04"/>
    <s v="SRISAIAY"/>
    <s v="SYDNEY DOVER"/>
    <x v="74"/>
    <x v="3"/>
    <x v="1"/>
    <s v="Invoice"/>
    <s v="24736"/>
    <x v="28"/>
    <x v="23"/>
    <x v="22"/>
    <x v="2"/>
    <n v="3.7149999999999999"/>
  </r>
  <r>
    <s v="DPOPPELL"/>
    <s v="04"/>
    <s v="TECHFARM"/>
    <s v="SYDNEYDOVER"/>
    <x v="74"/>
    <x v="3"/>
    <x v="1"/>
    <s v="Invoice"/>
    <s v="24785"/>
    <x v="28"/>
    <x v="23"/>
    <x v="22"/>
    <x v="2"/>
    <n v="6.25"/>
  </r>
  <r>
    <s v="DPOPPELL"/>
    <s v="04"/>
    <s v="PORTER HA"/>
    <s v="PASTURE"/>
    <x v="74"/>
    <x v="3"/>
    <x v="1"/>
    <s v="Invoice"/>
    <s v="24786"/>
    <x v="28"/>
    <x v="23"/>
    <x v="22"/>
    <x v="2"/>
    <n v="5.0274999999999999"/>
  </r>
  <r>
    <s v="DPOPPELL"/>
    <s v="04"/>
    <s v="SANCHEZFARM"/>
    <s v="FORBES RD/SOUTH"/>
    <x v="74"/>
    <x v="3"/>
    <x v="1"/>
    <s v="Invoice"/>
    <s v="24974"/>
    <x v="67"/>
    <x v="60"/>
    <x v="22"/>
    <x v="2"/>
    <n v="4.5"/>
  </r>
  <r>
    <s v="DPOPPELL"/>
    <s v="04"/>
    <s v="PARKESDA"/>
    <s v="HILL"/>
    <x v="74"/>
    <x v="3"/>
    <x v="1"/>
    <s v="Invoice"/>
    <s v="25240"/>
    <x v="65"/>
    <x v="58"/>
    <x v="22"/>
    <x v="2"/>
    <n v="10.0175"/>
  </r>
  <r>
    <s v="DPOPPELL"/>
    <s v="04"/>
    <s v="GUTIERREZA"/>
    <s v="WASHINGTON"/>
    <x v="74"/>
    <x v="3"/>
    <x v="1"/>
    <s v="Invoice"/>
    <s v="25345"/>
    <x v="69"/>
    <x v="62"/>
    <x v="22"/>
    <x v="2"/>
    <n v="2.52"/>
  </r>
  <r>
    <s v="DPOPPELL"/>
    <s v="04"/>
    <s v="MERCEDCH"/>
    <s v="HWY62"/>
    <x v="83"/>
    <x v="3"/>
    <x v="1"/>
    <s v="Invoice"/>
    <s v="25428"/>
    <x v="55"/>
    <x v="48"/>
    <x v="22"/>
    <x v="2"/>
    <n v="8"/>
  </r>
  <r>
    <s v="DPOPPELL"/>
    <s v="04"/>
    <s v="CHARLIEG-LLC"/>
    <s v="DAIRY"/>
    <x v="83"/>
    <x v="3"/>
    <x v="1"/>
    <s v="Invoice"/>
    <s v="25446"/>
    <x v="64"/>
    <x v="57"/>
    <x v="22"/>
    <x v="2"/>
    <n v="15"/>
  </r>
  <r>
    <s v="DPOPPELL"/>
    <s v="04"/>
    <s v="SWEETLIFE"/>
    <s v="SWINDLES"/>
    <x v="83"/>
    <x v="3"/>
    <x v="1"/>
    <s v="Invoice"/>
    <s v="25474"/>
    <x v="64"/>
    <x v="57"/>
    <x v="22"/>
    <x v="2"/>
    <n v="10.02"/>
  </r>
  <r>
    <s v="DPOPPELL"/>
    <s v="04"/>
    <s v="ALVAREZJ"/>
    <s v="ROGERS"/>
    <x v="83"/>
    <x v="3"/>
    <x v="1"/>
    <s v="Invoice"/>
    <s v="25598"/>
    <x v="68"/>
    <x v="61"/>
    <x v="22"/>
    <x v="2"/>
    <n v="2"/>
  </r>
  <r>
    <s v="DPOPPELL"/>
    <s v="04"/>
    <s v="CARLTONTHOMAS"/>
    <s v="GRANGEHALL"/>
    <x v="83"/>
    <x v="3"/>
    <x v="1"/>
    <s v="Invoice"/>
    <s v="25846"/>
    <x v="71"/>
    <x v="64"/>
    <x v="22"/>
    <x v="2"/>
    <n v="2.5024999999999999"/>
  </r>
  <r>
    <s v="DPOPPELL"/>
    <s v="04"/>
    <s v="MENDOZAHEC"/>
    <s v="HWY60"/>
    <x v="83"/>
    <x v="3"/>
    <x v="1"/>
    <s v="Invoice"/>
    <s v="25923"/>
    <x v="27"/>
    <x v="22"/>
    <x v="22"/>
    <x v="2"/>
    <n v="3.5"/>
  </r>
  <r>
    <s v=""/>
    <s v="04"/>
    <s v="SYDNEYFA"/>
    <s v="FORBES ROAD"/>
    <x v="83"/>
    <x v="3"/>
    <x v="1"/>
    <s v="Invoice"/>
    <s v="26051"/>
    <x v="172"/>
    <x v="152"/>
    <x v="22"/>
    <x v="2"/>
    <n v="10"/>
  </r>
  <r>
    <s v="DPOPPELL"/>
    <s v="04"/>
    <s v="MIKELOTT"/>
    <s v="HILLSBOROUGH/E"/>
    <x v="83"/>
    <x v="3"/>
    <x v="1"/>
    <s v="Invoice"/>
    <s v="26211"/>
    <x v="43"/>
    <x v="38"/>
    <x v="22"/>
    <x v="2"/>
    <n v="6.2725"/>
  </r>
  <r>
    <s v="DPOPPELL"/>
    <s v="04"/>
    <s v="GUTIERREZDAN"/>
    <s v="COOLER"/>
    <x v="83"/>
    <x v="3"/>
    <x v="1"/>
    <s v="Invoice"/>
    <s v="26417"/>
    <x v="55"/>
    <x v="48"/>
    <x v="22"/>
    <x v="2"/>
    <n v="2.5"/>
  </r>
  <r>
    <s v="DPOPPELL"/>
    <s v="04"/>
    <s v="TRAN FARM"/>
    <s v="RIVERVIEW"/>
    <x v="83"/>
    <x v="3"/>
    <x v="1"/>
    <s v="Invoice"/>
    <s v="26495"/>
    <x v="137"/>
    <x v="153"/>
    <x v="23"/>
    <x v="0"/>
    <n v="50"/>
  </r>
  <r>
    <s v="DPOPPELL"/>
    <s v="04"/>
    <s v="TRAN FARM"/>
    <s v="RIVERVIEW"/>
    <x v="83"/>
    <x v="3"/>
    <x v="1"/>
    <s v="Invoice"/>
    <s v="26495"/>
    <x v="40"/>
    <x v="35"/>
    <x v="29"/>
    <x v="0"/>
    <n v="50"/>
  </r>
  <r>
    <s v="DPOPPELL"/>
    <s v="04"/>
    <s v="FILEMONMARTINEZ"/>
    <s v="REDMAN"/>
    <x v="83"/>
    <x v="3"/>
    <x v="1"/>
    <s v="Invoice"/>
    <s v="26777"/>
    <x v="67"/>
    <x v="60"/>
    <x v="22"/>
    <x v="2"/>
    <n v="2.5"/>
  </r>
  <r>
    <s v="DPOPPELL"/>
    <s v="04"/>
    <s v="FRANKLIN"/>
    <s v="MCGEE RD. NORTH"/>
    <x v="83"/>
    <x v="3"/>
    <x v="1"/>
    <s v="Invoice"/>
    <s v="26861"/>
    <x v="145"/>
    <x v="126"/>
    <x v="22"/>
    <x v="2"/>
    <n v="5.0199999999999996"/>
  </r>
  <r>
    <s v="DPOPPELL"/>
    <s v="04"/>
    <s v="FRANKLIN"/>
    <s v="MCGEE RD. SOUTH"/>
    <x v="83"/>
    <x v="3"/>
    <x v="1"/>
    <s v="Invoice"/>
    <s v="26886"/>
    <x v="153"/>
    <x v="135"/>
    <x v="22"/>
    <x v="2"/>
    <n v="5.0075000000000003"/>
  </r>
  <r>
    <s v="DPOPPELL"/>
    <s v="04"/>
    <s v="ALONSOFARMS"/>
    <s v="SCARPO"/>
    <x v="83"/>
    <x v="3"/>
    <x v="1"/>
    <s v="Invoice"/>
    <s v="26887"/>
    <x v="28"/>
    <x v="23"/>
    <x v="22"/>
    <x v="2"/>
    <n v="7.5274999999999999"/>
  </r>
  <r>
    <s v="DPOPPELL"/>
    <s v="04"/>
    <s v="BONIFACIO"/>
    <s v="CORONET"/>
    <x v="83"/>
    <x v="3"/>
    <x v="1"/>
    <s v="Invoice"/>
    <s v="26888"/>
    <x v="67"/>
    <x v="60"/>
    <x v="22"/>
    <x v="2"/>
    <n v="2.5"/>
  </r>
  <r>
    <s v="DPOPPELL"/>
    <s v="04"/>
    <s v="JOSEHERN"/>
    <s v="SPARKMAN"/>
    <x v="83"/>
    <x v="3"/>
    <x v="1"/>
    <s v="Invoice"/>
    <s v="26889"/>
    <x v="28"/>
    <x v="23"/>
    <x v="22"/>
    <x v="2"/>
    <n v="4.9924999999999997"/>
  </r>
  <r>
    <s v="DPOPPELL"/>
    <s v="04"/>
    <s v="LARRYENN"/>
    <s v="CASON ROAD"/>
    <x v="83"/>
    <x v="3"/>
    <x v="1"/>
    <s v="Invoice"/>
    <s v="26890"/>
    <x v="58"/>
    <x v="51"/>
    <x v="22"/>
    <x v="2"/>
    <n v="4.0025000000000004"/>
  </r>
  <r>
    <s v="DPOPPELL"/>
    <s v="04"/>
    <s v="CHARLIEG-LLC"/>
    <s v="LAMPP ROAD"/>
    <x v="83"/>
    <x v="3"/>
    <x v="1"/>
    <s v="Invoice"/>
    <s v="26891"/>
    <x v="64"/>
    <x v="57"/>
    <x v="22"/>
    <x v="2"/>
    <n v="5.01"/>
  </r>
  <r>
    <s v="DPOPPELL"/>
    <s v="04"/>
    <s v="GUTIERREZDAN"/>
    <s v="TANNER RD."/>
    <x v="83"/>
    <x v="3"/>
    <x v="1"/>
    <s v="Invoice"/>
    <s v="26892"/>
    <x v="55"/>
    <x v="48"/>
    <x v="22"/>
    <x v="2"/>
    <n v="14.775"/>
  </r>
  <r>
    <s v="DPOPPELL"/>
    <s v="04"/>
    <s v="GERALDWI"/>
    <s v="TRAPNELL"/>
    <x v="87"/>
    <x v="3"/>
    <x v="1"/>
    <s v="Invoice"/>
    <s v="26893"/>
    <x v="59"/>
    <x v="52"/>
    <x v="22"/>
    <x v="2"/>
    <n v="5.0049999999999999"/>
  </r>
  <r>
    <s v="DPOPPELL"/>
    <s v="04"/>
    <s v="MIDWAYF"/>
    <s v="FRAZIER"/>
    <x v="87"/>
    <x v="3"/>
    <x v="1"/>
    <s v="Invoice"/>
    <s v="26916"/>
    <x v="64"/>
    <x v="57"/>
    <x v="22"/>
    <x v="2"/>
    <n v="5.01"/>
  </r>
  <r>
    <s v="DPOPPELL"/>
    <s v="04"/>
    <s v="EWSIMMON"/>
    <s v="JERRYSMITH/SO"/>
    <x v="87"/>
    <x v="3"/>
    <x v="1"/>
    <s v="Invoice"/>
    <s v="26927"/>
    <x v="173"/>
    <x v="154"/>
    <x v="22"/>
    <x v="2"/>
    <n v="5.01"/>
  </r>
  <r>
    <s v="DPOPPELL"/>
    <s v="04"/>
    <s v="M&amp;GFARMS"/>
    <s v="RED BARN"/>
    <x v="87"/>
    <x v="3"/>
    <x v="1"/>
    <s v="Invoice"/>
    <s v="26928"/>
    <x v="28"/>
    <x v="23"/>
    <x v="22"/>
    <x v="2"/>
    <n v="4.99"/>
  </r>
  <r>
    <s v="DPOPPELL"/>
    <s v="04"/>
    <s v="CHANFARM"/>
    <s v="HIGHWAY 39 N"/>
    <x v="67"/>
    <x v="3"/>
    <x v="1"/>
    <s v="Invoice"/>
    <s v="26929"/>
    <x v="117"/>
    <x v="104"/>
    <x v="22"/>
    <x v="2"/>
    <n v="3.01"/>
  </r>
  <r>
    <s v="DPOPPELL"/>
    <s v="04"/>
    <s v="CHANFARM"/>
    <s v="HIGHWAY 39 N"/>
    <x v="67"/>
    <x v="3"/>
    <x v="1"/>
    <s v="Invoice"/>
    <s v="26929"/>
    <x v="32"/>
    <x v="105"/>
    <x v="25"/>
    <x v="0"/>
    <n v="600"/>
  </r>
  <r>
    <s v="DPOPPELL"/>
    <s v="04"/>
    <s v="MIDWAYF"/>
    <s v="EKNIGHTS"/>
    <x v="67"/>
    <x v="3"/>
    <x v="1"/>
    <s v="Invoice"/>
    <s v="26930"/>
    <x v="64"/>
    <x v="57"/>
    <x v="22"/>
    <x v="2"/>
    <n v="2.5"/>
  </r>
  <r>
    <s v="DPOPPELL"/>
    <s v="04"/>
    <s v="SWEETLIFE"/>
    <s v="FOSTER DUKES N"/>
    <x v="67"/>
    <x v="3"/>
    <x v="1"/>
    <s v="Invoice"/>
    <s v="26931"/>
    <x v="64"/>
    <x v="57"/>
    <x v="22"/>
    <x v="2"/>
    <n v="4.5"/>
  </r>
  <r>
    <s v="DPOPPELL"/>
    <s v="04"/>
    <s v="GILLMANBUDD"/>
    <s v="BENNETT RD"/>
    <x v="67"/>
    <x v="3"/>
    <x v="1"/>
    <s v="Invoice"/>
    <s v="27092"/>
    <x v="43"/>
    <x v="38"/>
    <x v="22"/>
    <x v="2"/>
    <n v="2.5"/>
  </r>
  <r>
    <s v="DPOPPELL"/>
    <s v="04"/>
    <s v="BEAUCHAMP"/>
    <s v="HAGGERTY-NORTH"/>
    <x v="67"/>
    <x v="3"/>
    <x v="1"/>
    <s v="Invoice"/>
    <s v="27139"/>
    <x v="104"/>
    <x v="96"/>
    <x v="22"/>
    <x v="2"/>
    <n v="4"/>
  </r>
  <r>
    <s v="DPOPPELL"/>
    <s v="04"/>
    <s v="CIRCLEGF&amp;R LLC"/>
    <s v="KNIGHTS-N-#16"/>
    <x v="67"/>
    <x v="3"/>
    <x v="1"/>
    <s v="Invoice"/>
    <s v="27289"/>
    <x v="64"/>
    <x v="57"/>
    <x v="22"/>
    <x v="2"/>
    <n v="15"/>
  </r>
  <r>
    <s v="DPOPPELL"/>
    <s v="04"/>
    <s v="COLORFULH"/>
    <s v="SMITH RYALS"/>
    <x v="67"/>
    <x v="3"/>
    <x v="1"/>
    <s v="Invoice"/>
    <s v="27301"/>
    <x v="149"/>
    <x v="129"/>
    <x v="22"/>
    <x v="2"/>
    <n v="2.5024999999999999"/>
  </r>
  <r>
    <s v="DPOPPELL"/>
    <s v="04"/>
    <s v="GEORGESP"/>
    <s v="MAILING"/>
    <x v="67"/>
    <x v="3"/>
    <x v="1"/>
    <s v="Invoice"/>
    <s v="27338"/>
    <x v="58"/>
    <x v="51"/>
    <x v="22"/>
    <x v="2"/>
    <n v="2.4874999999999998"/>
  </r>
  <r>
    <s v="DPOPPELL"/>
    <s v="04"/>
    <s v="FFA"/>
    <s v="SIMMONS"/>
    <x v="75"/>
    <x v="3"/>
    <x v="1"/>
    <s v="Invoice"/>
    <s v="27344"/>
    <x v="28"/>
    <x v="23"/>
    <x v="22"/>
    <x v="2"/>
    <n v="0.15"/>
  </r>
  <r>
    <s v="DPOPPELL"/>
    <s v="04"/>
    <s v="MERCEDCH"/>
    <s v="TURKEY CREEK"/>
    <x v="75"/>
    <x v="3"/>
    <x v="1"/>
    <s v="Invoice"/>
    <s v="27507"/>
    <x v="55"/>
    <x v="48"/>
    <x v="22"/>
    <x v="2"/>
    <n v="8"/>
  </r>
  <r>
    <s v="DPOPPELL"/>
    <s v="04"/>
    <s v="SANCHEZFARM"/>
    <s v="SOUTH FORBES"/>
    <x v="75"/>
    <x v="3"/>
    <x v="1"/>
    <s v="Invoice"/>
    <s v="27571"/>
    <x v="43"/>
    <x v="38"/>
    <x v="22"/>
    <x v="2"/>
    <n v="1.25"/>
  </r>
  <r>
    <s v="DPOPPELL"/>
    <s v="04"/>
    <s v="ROQUEFARMS"/>
    <s v="SWEETWATER"/>
    <x v="75"/>
    <x v="3"/>
    <x v="1"/>
    <s v="Invoice"/>
    <s v="27595"/>
    <x v="58"/>
    <x v="51"/>
    <x v="22"/>
    <x v="2"/>
    <n v="4.9924999999999997"/>
  </r>
  <r>
    <s v="DPOPPELL"/>
    <s v="04"/>
    <s v="GUTIERREZA"/>
    <s v="WIAMAUMA"/>
    <x v="75"/>
    <x v="3"/>
    <x v="1"/>
    <s v="Invoice"/>
    <s v="27613"/>
    <x v="69"/>
    <x v="62"/>
    <x v="22"/>
    <x v="2"/>
    <n v="4.9924999999999997"/>
  </r>
  <r>
    <s v="DPOPPELL"/>
    <s v="04"/>
    <s v="GUTIERREZARN"/>
    <s v="MCGEE"/>
    <x v="75"/>
    <x v="3"/>
    <x v="1"/>
    <s v="Invoice"/>
    <s v="28189"/>
    <x v="110"/>
    <x v="97"/>
    <x v="16"/>
    <x v="0"/>
    <n v="250"/>
  </r>
  <r>
    <s v="DPOPPELL"/>
    <s v="04"/>
    <s v="MIDWAYF"/>
    <s v="HAGGERTY ROAD"/>
    <x v="75"/>
    <x v="3"/>
    <x v="1"/>
    <s v="Invoice"/>
    <s v="28693"/>
    <x v="64"/>
    <x v="57"/>
    <x v="22"/>
    <x v="2"/>
    <n v="8.5250000000000004"/>
  </r>
  <r>
    <s v="DPOPPELL"/>
    <s v="04"/>
    <s v="TGFARMS"/>
    <s v="MAIN"/>
    <x v="75"/>
    <x v="3"/>
    <x v="1"/>
    <s v="Invoice"/>
    <s v="28919"/>
    <x v="69"/>
    <x v="62"/>
    <x v="22"/>
    <x v="2"/>
    <n v="10.0075"/>
  </r>
  <r>
    <s v="DPOPPELL"/>
    <s v="04"/>
    <s v="SWEETLIFE"/>
    <s v="KNIGHTS GRIFFIN"/>
    <x v="84"/>
    <x v="3"/>
    <x v="1"/>
    <s v="Invoice"/>
    <s v="29179"/>
    <x v="64"/>
    <x v="57"/>
    <x v="22"/>
    <x v="2"/>
    <n v="15.03"/>
  </r>
  <r>
    <s v="DPOPPELL"/>
    <s v="04"/>
    <s v="STEVEMAT"/>
    <s v="DRAWDY"/>
    <x v="84"/>
    <x v="3"/>
    <x v="1"/>
    <s v="Invoice"/>
    <s v="29204"/>
    <x v="62"/>
    <x v="55"/>
    <x v="22"/>
    <x v="2"/>
    <n v="1.25"/>
  </r>
  <r>
    <s v="DPOPPELL"/>
    <s v="04"/>
    <s v="BEAUCHAMP"/>
    <s v="ONION FIELD"/>
    <x v="84"/>
    <x v="3"/>
    <x v="1"/>
    <s v="Invoice"/>
    <s v="29341"/>
    <x v="104"/>
    <x v="96"/>
    <x v="22"/>
    <x v="2"/>
    <n v="4.5149999999999997"/>
  </r>
  <r>
    <s v="DPOPPELL"/>
    <s v="04"/>
    <s v="PORTER HA"/>
    <s v="PASTURE"/>
    <x v="84"/>
    <x v="3"/>
    <x v="1"/>
    <s v="Invoice"/>
    <s v="29508"/>
    <x v="113"/>
    <x v="100"/>
    <x v="42"/>
    <x v="0"/>
    <n v="55"/>
  </r>
  <r>
    <s v="DPOPPELL"/>
    <s v="04"/>
    <s v="FCFARMS"/>
    <s v="PEEPLES"/>
    <x v="84"/>
    <x v="3"/>
    <x v="1"/>
    <s v="Invoice"/>
    <s v="29553"/>
    <x v="58"/>
    <x v="51"/>
    <x v="22"/>
    <x v="2"/>
    <n v="6"/>
  </r>
  <r>
    <s v="DPOPPELL"/>
    <s v="04"/>
    <s v="FCFARMS"/>
    <s v="GALLAGHER"/>
    <x v="84"/>
    <x v="3"/>
    <x v="1"/>
    <s v="Invoice"/>
    <s v="29614"/>
    <x v="69"/>
    <x v="62"/>
    <x v="22"/>
    <x v="2"/>
    <n v="3"/>
  </r>
  <r>
    <s v="DPOPPELL"/>
    <s v="04"/>
    <s v="EWSIMMON"/>
    <s v="JERRYSMITH/SO"/>
    <x v="85"/>
    <x v="3"/>
    <x v="1"/>
    <s v="Invoice"/>
    <s v="29986"/>
    <x v="173"/>
    <x v="154"/>
    <x v="22"/>
    <x v="2"/>
    <n v="12.525"/>
  </r>
  <r>
    <s v="DPOPPELL"/>
    <s v="04"/>
    <s v="MENDOZAHEC"/>
    <s v="LONEOAK"/>
    <x v="85"/>
    <x v="3"/>
    <x v="1"/>
    <s v="Invoice"/>
    <s v="30123"/>
    <x v="27"/>
    <x v="22"/>
    <x v="22"/>
    <x v="2"/>
    <n v="1.26"/>
  </r>
  <r>
    <s v="DPOPPELL"/>
    <s v="04"/>
    <s v="BLUEGOLD"/>
    <s v="MAIN"/>
    <x v="84"/>
    <x v="3"/>
    <x v="1"/>
    <s v="Invoice"/>
    <s v="30186"/>
    <x v="155"/>
    <x v="137"/>
    <x v="22"/>
    <x v="2"/>
    <n v="1"/>
  </r>
  <r>
    <s v="DPOPPELL"/>
    <s v="04"/>
    <s v="SWEETLIFE"/>
    <s v="KNIGHTS GRIFFIN"/>
    <x v="84"/>
    <x v="3"/>
    <x v="1"/>
    <s v="Invoice"/>
    <s v="30312"/>
    <x v="64"/>
    <x v="57"/>
    <x v="22"/>
    <x v="2"/>
    <n v="5.0175000000000001"/>
  </r>
  <r>
    <s v="DPOPPELL"/>
    <s v="04"/>
    <s v="FLORIDAAG"/>
    <s v="DOVER"/>
    <x v="84"/>
    <x v="3"/>
    <x v="1"/>
    <s v="Invoice"/>
    <s v="30457"/>
    <x v="52"/>
    <x v="45"/>
    <x v="22"/>
    <x v="2"/>
    <n v="2.0175000000000001"/>
  </r>
  <r>
    <s v="DPOPPELL"/>
    <s v="04"/>
    <s v="MERCEDCH"/>
    <s v="BOBCAT"/>
    <x v="85"/>
    <x v="3"/>
    <x v="1"/>
    <s v="Invoice"/>
    <s v="30754"/>
    <x v="55"/>
    <x v="48"/>
    <x v="22"/>
    <x v="2"/>
    <n v="4.0250000000000004"/>
  </r>
  <r>
    <s v="DPOPPELL"/>
    <s v="04"/>
    <s v="MENDOZAHEC"/>
    <s v="JAUDON RD"/>
    <x v="85"/>
    <x v="3"/>
    <x v="1"/>
    <s v="Invoice"/>
    <s v="31164"/>
    <x v="27"/>
    <x v="22"/>
    <x v="22"/>
    <x v="2"/>
    <n v="4"/>
  </r>
  <r>
    <s v="DPOPPELL"/>
    <s v="04"/>
    <s v="PORTER HA"/>
    <s v="PASTURE"/>
    <x v="85"/>
    <x v="3"/>
    <x v="1"/>
    <s v="Invoice"/>
    <s v="31338"/>
    <x v="28"/>
    <x v="23"/>
    <x v="22"/>
    <x v="2"/>
    <n v="5"/>
  </r>
  <r>
    <s v="DPOPPELL"/>
    <s v="04"/>
    <s v="CARLTONTHOMAS"/>
    <s v="GRANGEHALL"/>
    <x v="85"/>
    <x v="3"/>
    <x v="1"/>
    <s v="Invoice"/>
    <s v="31357"/>
    <x v="71"/>
    <x v="64"/>
    <x v="22"/>
    <x v="2"/>
    <n v="5"/>
  </r>
  <r>
    <s v="DPOPPELL"/>
    <s v="04"/>
    <s v="FANCYFAR"/>
    <s v="VOLVO"/>
    <x v="85"/>
    <x v="3"/>
    <x v="1"/>
    <s v="Invoice"/>
    <s v="31492"/>
    <x v="174"/>
    <x v="155"/>
    <x v="22"/>
    <x v="2"/>
    <n v="15"/>
  </r>
  <r>
    <s v="DPOPPELL"/>
    <s v="04"/>
    <s v="THREESTA"/>
    <s v="WALDEN-SHEFFIEL"/>
    <x v="85"/>
    <x v="3"/>
    <x v="1"/>
    <s v="Invoice"/>
    <s v="31520"/>
    <x v="172"/>
    <x v="152"/>
    <x v="22"/>
    <x v="2"/>
    <n v="10"/>
  </r>
  <r>
    <s v="DPOPPELL"/>
    <s v="04"/>
    <s v="TRAN FARM"/>
    <s v="RIVERVIEW"/>
    <x v="85"/>
    <x v="3"/>
    <x v="1"/>
    <s v="Invoice"/>
    <s v="32019"/>
    <x v="119"/>
    <x v="108"/>
    <x v="44"/>
    <x v="0"/>
    <n v="10"/>
  </r>
  <r>
    <s v="DPOPPELL"/>
    <s v="04"/>
    <s v="CHAVEZJOR"/>
    <s v="BROCK RD."/>
    <x v="68"/>
    <x v="3"/>
    <x v="1"/>
    <s v="Invoice"/>
    <s v="32754"/>
    <x v="53"/>
    <x v="46"/>
    <x v="22"/>
    <x v="2"/>
    <n v="1"/>
  </r>
  <r>
    <s v="DPOPPELL"/>
    <s v="04"/>
    <s v="SWEETFARMS"/>
    <s v="JIMJOHNSON"/>
    <x v="68"/>
    <x v="3"/>
    <x v="1"/>
    <s v="Invoice"/>
    <s v="32864"/>
    <x v="28"/>
    <x v="23"/>
    <x v="22"/>
    <x v="2"/>
    <n v="2"/>
  </r>
  <r>
    <s v="DPOPPELL"/>
    <s v="04"/>
    <s v="COLORFULH"/>
    <s v="TRAPNELL RD."/>
    <x v="68"/>
    <x v="3"/>
    <x v="1"/>
    <s v="Invoice"/>
    <s v="33059"/>
    <x v="149"/>
    <x v="129"/>
    <x v="22"/>
    <x v="2"/>
    <n v="2.5"/>
  </r>
  <r>
    <s v="DPOPPELL"/>
    <s v="04"/>
    <s v="M&amp;GFARMS"/>
    <s v="HAREFAMILYLN"/>
    <x v="68"/>
    <x v="3"/>
    <x v="1"/>
    <s v="Invoice"/>
    <s v="33437"/>
    <x v="28"/>
    <x v="23"/>
    <x v="22"/>
    <x v="2"/>
    <n v="8.9949999999999992"/>
  </r>
  <r>
    <s v="DPOPPELL"/>
    <s v="04"/>
    <s v="GUTIERREZA"/>
    <s v="TOMGALLAGHER"/>
    <x v="68"/>
    <x v="3"/>
    <x v="1"/>
    <s v="Invoice"/>
    <s v="33751"/>
    <x v="69"/>
    <x v="62"/>
    <x v="22"/>
    <x v="2"/>
    <n v="5.5"/>
  </r>
  <r>
    <s v="DPOPPELL"/>
    <s v="04"/>
    <s v="GUTIERREZA"/>
    <s v="WASHINGTON"/>
    <x v="68"/>
    <x v="3"/>
    <x v="1"/>
    <s v="Invoice"/>
    <s v="33935"/>
    <x v="69"/>
    <x v="62"/>
    <x v="22"/>
    <x v="2"/>
    <n v="4"/>
  </r>
  <r>
    <s v="DPOPPELL"/>
    <s v="04"/>
    <s v="MIDWAYF"/>
    <s v="KNIGHTSGRIFFIN"/>
    <x v="68"/>
    <x v="3"/>
    <x v="1"/>
    <s v="Invoice"/>
    <s v="34202"/>
    <x v="64"/>
    <x v="57"/>
    <x v="22"/>
    <x v="2"/>
    <n v="9"/>
  </r>
  <r>
    <s v="DPOPPELL"/>
    <s v="04"/>
    <s v="LEE GILLM"/>
    <s v="STAFFORD/HOME"/>
    <x v="68"/>
    <x v="3"/>
    <x v="1"/>
    <s v="Invoice"/>
    <s v="34391"/>
    <x v="63"/>
    <x v="56"/>
    <x v="22"/>
    <x v="2"/>
    <n v="4"/>
  </r>
  <r>
    <s v="DPOPPELL"/>
    <s v="04"/>
    <s v="MIDWAYF"/>
    <s v="WILDER RD."/>
    <x v="69"/>
    <x v="3"/>
    <x v="1"/>
    <s v="Invoice"/>
    <s v="34574"/>
    <x v="64"/>
    <x v="57"/>
    <x v="22"/>
    <x v="2"/>
    <n v="2"/>
  </r>
  <r>
    <s v="DPOPPELL"/>
    <s v="04"/>
    <s v="MIKELOTT"/>
    <s v="HILLSBOROUGH"/>
    <x v="69"/>
    <x v="3"/>
    <x v="1"/>
    <s v="Invoice"/>
    <s v="34631"/>
    <x v="43"/>
    <x v="38"/>
    <x v="22"/>
    <x v="2"/>
    <n v="5.01"/>
  </r>
  <r>
    <s v="DPOPPELL"/>
    <s v="04"/>
    <s v="SPIVEYFA"/>
    <s v="HOPEWELL"/>
    <x v="69"/>
    <x v="3"/>
    <x v="1"/>
    <s v="Invoice"/>
    <s v="34632"/>
    <x v="56"/>
    <x v="49"/>
    <x v="22"/>
    <x v="2"/>
    <n v="3.53"/>
  </r>
  <r>
    <s v="DPOPPELL"/>
    <s v="04"/>
    <s v="MERCEDCH"/>
    <s v="HWY62"/>
    <x v="69"/>
    <x v="3"/>
    <x v="1"/>
    <s v="Invoice"/>
    <s v="34641"/>
    <x v="55"/>
    <x v="48"/>
    <x v="22"/>
    <x v="2"/>
    <n v="8.0250000000000004"/>
  </r>
  <r>
    <s v="DPOPPELL"/>
    <s v="04"/>
    <s v="ROQUEFARMS"/>
    <s v="SWEETWATER"/>
    <x v="69"/>
    <x v="3"/>
    <x v="1"/>
    <s v="Invoice"/>
    <s v="34893"/>
    <x v="58"/>
    <x v="51"/>
    <x v="22"/>
    <x v="2"/>
    <n v="5"/>
  </r>
  <r>
    <s v="DPOPPELL"/>
    <s v="04"/>
    <s v="MIDWAYF"/>
    <s v="ALS - NORTH"/>
    <x v="69"/>
    <x v="3"/>
    <x v="1"/>
    <s v="Invoice"/>
    <s v="35210"/>
    <x v="64"/>
    <x v="57"/>
    <x v="22"/>
    <x v="2"/>
    <n v="5.0125000000000002"/>
  </r>
  <r>
    <s v="DPOPPELL"/>
    <s v="04"/>
    <s v="GUTIERREZA"/>
    <s v="TOMGALLAGHER"/>
    <x v="69"/>
    <x v="3"/>
    <x v="1"/>
    <s v="Invoice"/>
    <s v="35244"/>
    <x v="69"/>
    <x v="62"/>
    <x v="22"/>
    <x v="2"/>
    <n v="2.5024999999999999"/>
  </r>
  <r>
    <s v="DPOPPELL"/>
    <s v="04"/>
    <s v="JGRANCH"/>
    <s v="WISCON RD."/>
    <x v="76"/>
    <x v="3"/>
    <x v="1"/>
    <s v="Invoice"/>
    <s v="35834"/>
    <x v="175"/>
    <x v="156"/>
    <x v="9"/>
    <x v="0"/>
    <n v="5"/>
  </r>
  <r>
    <s v="DPOPPELL"/>
    <s v="04"/>
    <s v="JGRANCH"/>
    <s v="WISCON RD."/>
    <x v="76"/>
    <x v="3"/>
    <x v="1"/>
    <s v="Invoice"/>
    <s v="35834"/>
    <x v="42"/>
    <x v="37"/>
    <x v="30"/>
    <x v="0"/>
    <n v="10"/>
  </r>
  <r>
    <s v="DPOPPELL"/>
    <s v="04"/>
    <s v="THREESTA"/>
    <s v="WALDEN-SHEFFIEL"/>
    <x v="76"/>
    <x v="3"/>
    <x v="1"/>
    <s v="Invoice"/>
    <s v="36071"/>
    <x v="172"/>
    <x v="152"/>
    <x v="22"/>
    <x v="2"/>
    <n v="13.01"/>
  </r>
  <r>
    <s v="DPOPPELL"/>
    <s v="04"/>
    <s v="JGRANCH"/>
    <s v="WISCON RD."/>
    <x v="76"/>
    <x v="3"/>
    <x v="1"/>
    <s v="Invoice"/>
    <s v="37133"/>
    <x v="28"/>
    <x v="23"/>
    <x v="22"/>
    <x v="2"/>
    <n v="2.5074999999999998"/>
  </r>
  <r>
    <s v="DPOPPELL"/>
    <s v="04"/>
    <s v="CIRCLEGF&amp;R LLC"/>
    <s v="PUMP4"/>
    <x v="76"/>
    <x v="3"/>
    <x v="1"/>
    <s v="Invoice"/>
    <s v="38233"/>
    <x v="64"/>
    <x v="57"/>
    <x v="22"/>
    <x v="2"/>
    <n v="5"/>
  </r>
  <r>
    <s v="DPOPPELL"/>
    <s v="04"/>
    <s v="MIDWAYF"/>
    <s v="ALS - SOUTH"/>
    <x v="76"/>
    <x v="3"/>
    <x v="1"/>
    <s v="Invoice"/>
    <s v="38411"/>
    <x v="64"/>
    <x v="57"/>
    <x v="22"/>
    <x v="2"/>
    <n v="6.25"/>
  </r>
  <r>
    <s v="DPOPPELL"/>
    <s v="04"/>
    <s v="CIRCLEGF&amp;R LLC"/>
    <s v="KNIGHTS-N-#16"/>
    <x v="76"/>
    <x v="3"/>
    <x v="1"/>
    <s v="Invoice"/>
    <s v="38613"/>
    <x v="64"/>
    <x v="57"/>
    <x v="22"/>
    <x v="2"/>
    <n v="14.494999999999999"/>
  </r>
  <r>
    <s v="DPOPPELL"/>
    <s v="04"/>
    <s v="FAVORITE"/>
    <s v="MCINTOSH ROAD"/>
    <x v="76"/>
    <x v="3"/>
    <x v="1"/>
    <s v="Invoice"/>
    <s v="38641"/>
    <x v="59"/>
    <x v="52"/>
    <x v="22"/>
    <x v="2"/>
    <n v="10.0075"/>
  </r>
  <r>
    <s v="DPOPPELL"/>
    <s v="04"/>
    <s v="LAWSONFA"/>
    <s v="CARUTHERS RD."/>
    <x v="76"/>
    <x v="3"/>
    <x v="1"/>
    <s v="Invoice"/>
    <s v="38642"/>
    <x v="108"/>
    <x v="59"/>
    <x v="32"/>
    <x v="0"/>
    <n v="5"/>
  </r>
  <r>
    <s v="DPOPPELL"/>
    <s v="04"/>
    <s v="LAWSONFA"/>
    <s v="CARUTHERS RD."/>
    <x v="76"/>
    <x v="3"/>
    <x v="1"/>
    <s v="Invoice"/>
    <s v="38726"/>
    <x v="145"/>
    <x v="126"/>
    <x v="22"/>
    <x v="2"/>
    <n v="0.63500000000000001"/>
  </r>
  <r>
    <s v="PARKER, JERROD"/>
    <s v="04"/>
    <s v="FAVORITE"/>
    <s v="BETHLEHEM ROAD"/>
    <x v="77"/>
    <x v="3"/>
    <x v="1"/>
    <s v="Invoice"/>
    <s v="96679"/>
    <x v="59"/>
    <x v="52"/>
    <x v="22"/>
    <x v="2"/>
    <n v="5"/>
  </r>
  <r>
    <s v="PARKER, JERROD"/>
    <s v="04"/>
    <s v="CIRCLEGF&amp;R LLC"/>
    <s v="KNIGHTS-N-#12"/>
    <x v="77"/>
    <x v="3"/>
    <x v="1"/>
    <s v="Invoice"/>
    <s v="96680"/>
    <x v="64"/>
    <x v="57"/>
    <x v="22"/>
    <x v="2"/>
    <n v="8"/>
  </r>
  <r>
    <s v="PARKER, JERROD"/>
    <s v="04"/>
    <s v="FAVORITE"/>
    <s v="MCINTOSH ROAD"/>
    <x v="77"/>
    <x v="3"/>
    <x v="1"/>
    <s v="Invoice"/>
    <s v="96682"/>
    <x v="59"/>
    <x v="52"/>
    <x v="22"/>
    <x v="2"/>
    <n v="10"/>
  </r>
  <r>
    <s v="PARKER, JERROD"/>
    <s v="04"/>
    <s v="PORTER HA"/>
    <s v="PASTURE"/>
    <x v="77"/>
    <x v="3"/>
    <x v="1"/>
    <s v="Invoice"/>
    <s v="96683"/>
    <x v="28"/>
    <x v="23"/>
    <x v="22"/>
    <x v="2"/>
    <n v="5"/>
  </r>
  <r>
    <s v="PARKER, JERROD"/>
    <s v="04"/>
    <s v="TECHFARM"/>
    <s v="SYDNEYDOVER"/>
    <x v="77"/>
    <x v="3"/>
    <x v="1"/>
    <s v="Invoice"/>
    <s v="96684"/>
    <x v="28"/>
    <x v="23"/>
    <x v="22"/>
    <x v="2"/>
    <n v="3.7250000000000001"/>
  </r>
  <r>
    <s v="PARKER, JERROD"/>
    <s v="04"/>
    <s v="SANCHEZFARM"/>
    <s v="WACHULA"/>
    <x v="70"/>
    <x v="3"/>
    <x v="1"/>
    <s v="Invoice"/>
    <s v="96686"/>
    <x v="67"/>
    <x v="60"/>
    <x v="22"/>
    <x v="2"/>
    <n v="7.5"/>
  </r>
  <r>
    <s v="PARKER, JERROD"/>
    <s v="04"/>
    <s v="SANCHEZFARM"/>
    <s v="WACHULA"/>
    <x v="70"/>
    <x v="3"/>
    <x v="1"/>
    <s v="Invoice"/>
    <s v="96687"/>
    <x v="59"/>
    <x v="52"/>
    <x v="22"/>
    <x v="2"/>
    <n v="7.5"/>
  </r>
  <r>
    <s v="PARKER, JERROD"/>
    <s v="04"/>
    <s v="STEVEMAT"/>
    <s v="DRAWDY"/>
    <x v="70"/>
    <x v="3"/>
    <x v="1"/>
    <s v="Invoice"/>
    <s v="96689"/>
    <x v="110"/>
    <x v="97"/>
    <x v="16"/>
    <x v="0"/>
    <n v="250"/>
  </r>
  <r>
    <s v="PARKER, JERROD"/>
    <s v="04"/>
    <s v="PORTER HA"/>
    <s v="PASTURE"/>
    <x v="70"/>
    <x v="3"/>
    <x v="1"/>
    <s v="Invoice"/>
    <s v="96690"/>
    <x v="113"/>
    <x v="100"/>
    <x v="42"/>
    <x v="0"/>
    <n v="55"/>
  </r>
  <r>
    <s v="PARKER, JERROD"/>
    <s v="04"/>
    <s v="SYDNEYFA"/>
    <s v="FORBES ROAD"/>
    <x v="70"/>
    <x v="3"/>
    <x v="1"/>
    <s v="Invoice"/>
    <s v="96691"/>
    <x v="115"/>
    <x v="102"/>
    <x v="22"/>
    <x v="2"/>
    <n v="10"/>
  </r>
  <r>
    <s v="PARKER, JERROD"/>
    <s v="04"/>
    <s v="GEORGESP"/>
    <s v="TRAPNELL ROAD"/>
    <x v="70"/>
    <x v="3"/>
    <x v="1"/>
    <s v="Invoice"/>
    <s v="96692"/>
    <x v="58"/>
    <x v="51"/>
    <x v="22"/>
    <x v="2"/>
    <n v="5"/>
  </r>
  <r>
    <s v="PARKER, JERROD"/>
    <s v="04"/>
    <s v="GAONA, ESPER"/>
    <s v="SMOKINACES"/>
    <x v="70"/>
    <x v="3"/>
    <x v="1"/>
    <s v="Invoice"/>
    <s v="96695A"/>
    <x v="28"/>
    <x v="23"/>
    <x v="22"/>
    <x v="2"/>
    <n v="1.9850000000000001"/>
  </r>
  <r>
    <s v="PARKER, JERROD"/>
    <s v="04"/>
    <s v="GUTIERREZA"/>
    <s v="WIAMAUMA"/>
    <x v="70"/>
    <x v="3"/>
    <x v="1"/>
    <s v="Invoice"/>
    <s v="96696"/>
    <x v="69"/>
    <x v="62"/>
    <x v="22"/>
    <x v="2"/>
    <n v="4.9974999999999996"/>
  </r>
  <r>
    <s v="PARKER, JERROD"/>
    <s v="04"/>
    <s v="IFASGULF"/>
    <s v="BALM-STRAWBERRY"/>
    <x v="70"/>
    <x v="3"/>
    <x v="1"/>
    <s v="Invoice"/>
    <s v="96697"/>
    <x v="28"/>
    <x v="23"/>
    <x v="22"/>
    <x v="2"/>
    <n v="7.4924999999999997"/>
  </r>
  <r>
    <s v="PARKER, JERROD"/>
    <s v="04"/>
    <s v="SWEETLIFE"/>
    <s v="FOSTERDUKES"/>
    <x v="70"/>
    <x v="3"/>
    <x v="1"/>
    <s v="Invoice"/>
    <s v="96698"/>
    <x v="64"/>
    <x v="57"/>
    <x v="22"/>
    <x v="2"/>
    <n v="5.0049999999999999"/>
  </r>
  <r>
    <s v="PARKER, JERROD"/>
    <s v="04"/>
    <s v="COLORFULH"/>
    <s v="TRAPNELL RD."/>
    <x v="70"/>
    <x v="3"/>
    <x v="1"/>
    <s v="Invoice"/>
    <s v="96699"/>
    <x v="149"/>
    <x v="129"/>
    <x v="22"/>
    <x v="2"/>
    <n v="2.5099999999999998"/>
  </r>
  <r>
    <s v="PARKER, JERROD"/>
    <s v="04"/>
    <s v="ALVAREZJ"/>
    <s v="MOORESLAKE"/>
    <x v="70"/>
    <x v="3"/>
    <x v="1"/>
    <s v="Invoice"/>
    <s v="96700"/>
    <x v="43"/>
    <x v="38"/>
    <x v="22"/>
    <x v="2"/>
    <n v="1.0024999999999999"/>
  </r>
  <r>
    <s v="PARKER, JERROD"/>
    <s v="04"/>
    <s v="MIKELOTT"/>
    <s v="MAILING"/>
    <x v="86"/>
    <x v="3"/>
    <x v="1"/>
    <s v="Invoice"/>
    <s v="96701"/>
    <x v="45"/>
    <x v="37"/>
    <x v="30"/>
    <x v="0"/>
    <n v="180"/>
  </r>
  <r>
    <s v="PARKER, JERROD"/>
    <s v="04"/>
    <s v="GAONA, ESPER"/>
    <s v="STRAUSS RD."/>
    <x v="86"/>
    <x v="3"/>
    <x v="1"/>
    <s v="Invoice"/>
    <s v="96702"/>
    <x v="28"/>
    <x v="23"/>
    <x v="22"/>
    <x v="2"/>
    <n v="1.0425"/>
  </r>
  <r>
    <s v="PARKER, JERROD"/>
    <s v="04"/>
    <s v="M&amp;GFARMS"/>
    <s v="RED BARN"/>
    <x v="86"/>
    <x v="3"/>
    <x v="1"/>
    <s v="Invoice"/>
    <s v="96703"/>
    <x v="28"/>
    <x v="23"/>
    <x v="22"/>
    <x v="2"/>
    <n v="8.0050000000000008"/>
  </r>
  <r>
    <s v="PARKER, JERROD"/>
    <s v="04"/>
    <s v="SWEETLIFE"/>
    <s v="STRAWBERRY STAT"/>
    <x v="86"/>
    <x v="3"/>
    <x v="1"/>
    <s v="Invoice"/>
    <s v="96705"/>
    <x v="140"/>
    <x v="72"/>
    <x v="4"/>
    <x v="0"/>
    <n v="250"/>
  </r>
  <r>
    <s v="PARKER, JERROD"/>
    <s v="04"/>
    <s v="SWEETLIFE"/>
    <s v="STRAWBERRY STAT"/>
    <x v="86"/>
    <x v="3"/>
    <x v="1"/>
    <s v="Invoice"/>
    <s v="96705"/>
    <x v="141"/>
    <x v="124"/>
    <x v="24"/>
    <x v="0"/>
    <n v="250"/>
  </r>
  <r>
    <s v="PARKER, JERROD"/>
    <s v="04"/>
    <s v="M&amp;GFARMS"/>
    <s v="ALLENRD"/>
    <x v="86"/>
    <x v="3"/>
    <x v="1"/>
    <s v="Invoice"/>
    <s v="96706"/>
    <x v="58"/>
    <x v="51"/>
    <x v="22"/>
    <x v="2"/>
    <n v="5"/>
  </r>
  <r>
    <s v="BHALL"/>
    <s v="04"/>
    <s v="UFPSUNIT"/>
    <s v="CITRA FARM"/>
    <x v="78"/>
    <x v="3"/>
    <x v="1"/>
    <s v="Invoice"/>
    <s v="96707"/>
    <x v="3"/>
    <x v="80"/>
    <x v="2"/>
    <x v="0"/>
    <n v="27.5"/>
  </r>
  <r>
    <s v="BHALL"/>
    <s v="04"/>
    <s v="UFPSUNIT"/>
    <s v="CITRA FARM"/>
    <x v="78"/>
    <x v="3"/>
    <x v="1"/>
    <s v="Invoice"/>
    <s v="96707"/>
    <x v="34"/>
    <x v="29"/>
    <x v="26"/>
    <x v="0"/>
    <n v="5"/>
  </r>
  <r>
    <s v="PARKER, JERROD"/>
    <s v="04"/>
    <s v="ROQUEFARMS"/>
    <s v="SWEETWATER"/>
    <x v="78"/>
    <x v="3"/>
    <x v="1"/>
    <s v="Invoice"/>
    <s v="96709"/>
    <x v="58"/>
    <x v="51"/>
    <x v="22"/>
    <x v="2"/>
    <n v="5"/>
  </r>
  <r>
    <s v="PARKER, JERROD"/>
    <s v="04"/>
    <s v="MERCEDCH"/>
    <s v="HWY62"/>
    <x v="78"/>
    <x v="3"/>
    <x v="1"/>
    <s v="Invoice"/>
    <s v="96710"/>
    <x v="55"/>
    <x v="48"/>
    <x v="22"/>
    <x v="2"/>
    <n v="8"/>
  </r>
  <r>
    <s v="PARKER, JERROD"/>
    <s v="04"/>
    <s v="PEPPERBERRY"/>
    <s v="SPARKMAN RD/S"/>
    <x v="78"/>
    <x v="3"/>
    <x v="1"/>
    <s v="Invoice"/>
    <s v="96711"/>
    <x v="149"/>
    <x v="129"/>
    <x v="22"/>
    <x v="2"/>
    <n v="3.5225"/>
  </r>
  <r>
    <s v="PARKER, JERROD"/>
    <s v="04"/>
    <s v="SPIVEYFA"/>
    <s v="HOPEWELL"/>
    <x v="78"/>
    <x v="3"/>
    <x v="1"/>
    <s v="Invoice"/>
    <s v="96712"/>
    <x v="56"/>
    <x v="49"/>
    <x v="22"/>
    <x v="2"/>
    <n v="3.5175000000000001"/>
  </r>
  <r>
    <s v="PARKER, JERROD"/>
    <s v="04"/>
    <s v="THREESTA"/>
    <s v="WALDEN-SHEFFIEL"/>
    <x v="78"/>
    <x v="3"/>
    <x v="1"/>
    <s v="Invoice"/>
    <s v="96714"/>
    <x v="115"/>
    <x v="102"/>
    <x v="22"/>
    <x v="2"/>
    <n v="12.025"/>
  </r>
  <r>
    <s v="DPOPPELL"/>
    <s v="04"/>
    <s v="GUTIERREZA"/>
    <s v="TOMGALLAGHER"/>
    <x v="78"/>
    <x v="3"/>
    <x v="1"/>
    <s v="Invoice"/>
    <s v="96716"/>
    <x v="69"/>
    <x v="62"/>
    <x v="22"/>
    <x v="2"/>
    <n v="3.5074999999999998"/>
  </r>
  <r>
    <s v="PARKER, JERROD"/>
    <s v="04"/>
    <s v="LARRYENN"/>
    <s v="WOODIES"/>
    <x v="79"/>
    <x v="3"/>
    <x v="1"/>
    <s v="Invoice"/>
    <s v="96717"/>
    <x v="58"/>
    <x v="51"/>
    <x v="22"/>
    <x v="2"/>
    <n v="7"/>
  </r>
  <r>
    <s v="DPOPPELL"/>
    <s v="04"/>
    <s v="MENDOZAHEC"/>
    <s v="OLIVERRD"/>
    <x v="79"/>
    <x v="3"/>
    <x v="1"/>
    <s v="Invoice"/>
    <s v="96720"/>
    <x v="27"/>
    <x v="22"/>
    <x v="22"/>
    <x v="2"/>
    <n v="4"/>
  </r>
  <r>
    <s v="DPOPPELL"/>
    <s v="04"/>
    <s v="GERALDWI"/>
    <s v="TURKEY CRK"/>
    <x v="79"/>
    <x v="3"/>
    <x v="1"/>
    <s v="Invoice"/>
    <s v="96721"/>
    <x v="59"/>
    <x v="52"/>
    <x v="22"/>
    <x v="2"/>
    <n v="2.5"/>
  </r>
  <r>
    <s v="DPOPPELL"/>
    <s v="04"/>
    <s v="BEAUCHAMP"/>
    <s v="HAGGERTY-NORTH"/>
    <x v="79"/>
    <x v="3"/>
    <x v="1"/>
    <s v="Invoice"/>
    <s v="96724"/>
    <x v="104"/>
    <x v="96"/>
    <x v="22"/>
    <x v="2"/>
    <n v="3.0125000000000002"/>
  </r>
  <r>
    <s v="DPOPPELL"/>
    <s v="04"/>
    <s v="GEORGESP"/>
    <s v="TURKEY CREEK/WE"/>
    <x v="79"/>
    <x v="3"/>
    <x v="1"/>
    <s v="Invoice"/>
    <s v="96725"/>
    <x v="58"/>
    <x v="51"/>
    <x v="22"/>
    <x v="2"/>
    <n v="2.5"/>
  </r>
  <r>
    <s v="DPOPPELL"/>
    <s v="04"/>
    <s v="JOSEHERN"/>
    <s v="COLSON RD"/>
    <x v="79"/>
    <x v="3"/>
    <x v="1"/>
    <s v="Invoice"/>
    <s v="96726"/>
    <x v="55"/>
    <x v="48"/>
    <x v="22"/>
    <x v="2"/>
    <n v="2.0099999999999998"/>
  </r>
  <r>
    <s v="DPOPPELL"/>
    <s v="04"/>
    <s v="MIDWAYF"/>
    <s v="FORBES"/>
    <x v="79"/>
    <x v="3"/>
    <x v="1"/>
    <s v="Invoice"/>
    <s v="96727"/>
    <x v="64"/>
    <x v="57"/>
    <x v="22"/>
    <x v="2"/>
    <n v="4.0025000000000004"/>
  </r>
  <r>
    <s v="DPOPPELL"/>
    <s v="04"/>
    <s v="SWEETLIFE"/>
    <s v="MCGEE RD."/>
    <x v="79"/>
    <x v="3"/>
    <x v="1"/>
    <s v="Invoice"/>
    <s v="96730"/>
    <x v="64"/>
    <x v="57"/>
    <x v="22"/>
    <x v="2"/>
    <n v="10.0025"/>
  </r>
  <r>
    <s v=""/>
    <s v="04"/>
    <s v="MIDWAYF"/>
    <s v="HAGGERTY ROAD"/>
    <x v="79"/>
    <x v="3"/>
    <x v="1"/>
    <s v="Invoice"/>
    <s v="96732"/>
    <x v="64"/>
    <x v="57"/>
    <x v="22"/>
    <x v="2"/>
    <n v="13.025"/>
  </r>
  <r>
    <s v="DPOPPELL"/>
    <s v="04"/>
    <s v="SWEETLIFE"/>
    <s v="SAMALLEN-NORTH"/>
    <x v="79"/>
    <x v="3"/>
    <x v="1"/>
    <s v="Invoice"/>
    <s v="96733"/>
    <x v="64"/>
    <x v="57"/>
    <x v="22"/>
    <x v="2"/>
    <n v="11.025"/>
  </r>
  <r>
    <s v="DPOPPELL"/>
    <s v="04"/>
    <s v="EWSIMMON"/>
    <s v="JERRY SMITH RD"/>
    <x v="80"/>
    <x v="3"/>
    <x v="1"/>
    <s v="Invoice"/>
    <s v="96738"/>
    <x v="173"/>
    <x v="154"/>
    <x v="22"/>
    <x v="2"/>
    <n v="11.4975"/>
  </r>
  <r>
    <s v="DPOPPELL"/>
    <s v="04"/>
    <s v="CHARLIEG-LLC"/>
    <s v="LAMPP ROAD"/>
    <x v="80"/>
    <x v="3"/>
    <x v="1"/>
    <s v="Invoice"/>
    <s v="96739"/>
    <x v="64"/>
    <x v="57"/>
    <x v="22"/>
    <x v="2"/>
    <n v="9.9875000000000007"/>
  </r>
  <r>
    <s v=""/>
    <s v="04"/>
    <s v="SWEETLIFE"/>
    <s v="KNIGHTS GRIFFIN"/>
    <x v="80"/>
    <x v="3"/>
    <x v="1"/>
    <s v="Invoice"/>
    <s v="96740"/>
    <x v="64"/>
    <x v="57"/>
    <x v="22"/>
    <x v="2"/>
    <n v="5.0199999999999996"/>
  </r>
  <r>
    <s v="DPOPPELL"/>
    <s v="04"/>
    <s v="SWEETLIFE"/>
    <s v="KNIGHTS GRIFFIN"/>
    <x v="80"/>
    <x v="3"/>
    <x v="1"/>
    <s v="Invoice"/>
    <s v="96741"/>
    <x v="64"/>
    <x v="57"/>
    <x v="22"/>
    <x v="2"/>
    <n v="15.02"/>
  </r>
  <r>
    <s v="DPOPPELL"/>
    <s v="04"/>
    <s v="M&amp;GFARMS"/>
    <s v="HWY 640"/>
    <x v="80"/>
    <x v="3"/>
    <x v="1"/>
    <s v="Invoice"/>
    <s v="96742"/>
    <x v="28"/>
    <x v="23"/>
    <x v="22"/>
    <x v="2"/>
    <n v="5.0149999999999997"/>
  </r>
  <r>
    <s v=""/>
    <s v="04"/>
    <s v="COLORFULH"/>
    <s v="SMITH RYALS"/>
    <x v="80"/>
    <x v="3"/>
    <x v="1"/>
    <s v="Invoice"/>
    <s v="96743"/>
    <x v="149"/>
    <x v="129"/>
    <x v="22"/>
    <x v="2"/>
    <n v="2.5150000000000001"/>
  </r>
  <r>
    <s v="DPOPPELL"/>
    <s v="04"/>
    <s v="CARLTONTHOMAS"/>
    <s v="GRANGEHALL"/>
    <x v="80"/>
    <x v="3"/>
    <x v="1"/>
    <s v="Invoice"/>
    <s v="96745"/>
    <x v="71"/>
    <x v="64"/>
    <x v="22"/>
    <x v="2"/>
    <n v="5.0075000000000003"/>
  </r>
  <r>
    <s v=""/>
    <s v="04"/>
    <s v="MIKELOTT"/>
    <s v="HILLSBOROUGH"/>
    <x v="80"/>
    <x v="3"/>
    <x v="1"/>
    <s v="Invoice"/>
    <s v="96746"/>
    <x v="43"/>
    <x v="38"/>
    <x v="22"/>
    <x v="2"/>
    <n v="5.03"/>
  </r>
  <r>
    <s v="DPOPPELL"/>
    <s v="04"/>
    <s v="BEAUCHAMP"/>
    <s v="BEAUCHAMP"/>
    <x v="80"/>
    <x v="3"/>
    <x v="1"/>
    <s v="Invoice"/>
    <s v="96752"/>
    <x v="176"/>
    <x v="157"/>
    <x v="49"/>
    <x v="0"/>
    <n v="25"/>
  </r>
  <r>
    <s v="DPOPPELL"/>
    <s v="04"/>
    <s v="EWSIMMON"/>
    <s v="JERRY SMITH RD"/>
    <x v="81"/>
    <x v="3"/>
    <x v="1"/>
    <s v="Invoice"/>
    <s v="96753"/>
    <x v="142"/>
    <x v="123"/>
    <x v="0"/>
    <x v="0"/>
    <n v="250"/>
  </r>
  <r>
    <s v="DPOPPELL"/>
    <s v="04"/>
    <s v="LEE GILLM"/>
    <s v="THONOTOSASSA"/>
    <x v="81"/>
    <x v="3"/>
    <x v="1"/>
    <s v="Invoice"/>
    <s v="96755"/>
    <x v="63"/>
    <x v="56"/>
    <x v="22"/>
    <x v="2"/>
    <n v="2"/>
  </r>
  <r>
    <s v="DPOPPELL"/>
    <s v="04"/>
    <s v="RAILROADCITY"/>
    <s v="MAIN"/>
    <x v="81"/>
    <x v="3"/>
    <x v="1"/>
    <s v="Invoice"/>
    <s v="96756"/>
    <x v="58"/>
    <x v="51"/>
    <x v="22"/>
    <x v="2"/>
    <n v="1.25"/>
  </r>
  <r>
    <s v="DPOPPELL"/>
    <s v="04"/>
    <s v="CIRCLEGF&amp;R LLC"/>
    <s v="KNIGHTS-N-#12"/>
    <x v="81"/>
    <x v="3"/>
    <x v="1"/>
    <s v="Invoice"/>
    <s v="96757"/>
    <x v="64"/>
    <x v="57"/>
    <x v="22"/>
    <x v="2"/>
    <n v="9.0175000000000001"/>
  </r>
  <r>
    <s v=""/>
    <s v="04"/>
    <s v="ALVAREZJ"/>
    <s v="SYDNEY RD"/>
    <x v="81"/>
    <x v="3"/>
    <x v="1"/>
    <s v="Invoice"/>
    <s v="96760"/>
    <x v="58"/>
    <x v="51"/>
    <x v="22"/>
    <x v="2"/>
    <n v="2"/>
  </r>
  <r>
    <s v=""/>
    <s v="04"/>
    <s v="GUTIERREZA"/>
    <s v="TOMGALLAGHER"/>
    <x v="81"/>
    <x v="3"/>
    <x v="1"/>
    <s v="Invoice"/>
    <s v="96761"/>
    <x v="69"/>
    <x v="62"/>
    <x v="22"/>
    <x v="2"/>
    <n v="4"/>
  </r>
  <r>
    <s v="DPOPPELL"/>
    <s v="04"/>
    <s v="MERCEDCH"/>
    <s v="TURKEY CREEK"/>
    <x v="71"/>
    <x v="3"/>
    <x v="1"/>
    <s v="Invoice"/>
    <s v="96763"/>
    <x v="55"/>
    <x v="48"/>
    <x v="22"/>
    <x v="2"/>
    <n v="8.02"/>
  </r>
  <r>
    <s v=""/>
    <s v="04"/>
    <s v="CIRCLEGF&amp;R LLC"/>
    <s v="KNIGHTS-N-#16"/>
    <x v="71"/>
    <x v="3"/>
    <x v="1"/>
    <s v="Invoice"/>
    <s v="96764"/>
    <x v="64"/>
    <x v="57"/>
    <x v="22"/>
    <x v="2"/>
    <n v="15.015000000000001"/>
  </r>
  <r>
    <s v=""/>
    <s v="04"/>
    <s v="MIDWAYF"/>
    <s v="ALS - NORTH"/>
    <x v="71"/>
    <x v="3"/>
    <x v="1"/>
    <s v="Invoice"/>
    <s v="96765"/>
    <x v="64"/>
    <x v="57"/>
    <x v="22"/>
    <x v="2"/>
    <n v="8.01"/>
  </r>
  <r>
    <s v="DPOPPELL"/>
    <s v="04"/>
    <s v="CENFLO ORGANICS"/>
    <s v="HWY92"/>
    <x v="71"/>
    <x v="3"/>
    <x v="1"/>
    <s v="Invoice"/>
    <s v="96766"/>
    <x v="65"/>
    <x v="58"/>
    <x v="22"/>
    <x v="2"/>
    <n v="1.2675000000000001"/>
  </r>
  <r>
    <s v="DPOPPELL"/>
    <s v="04"/>
    <s v="MIDWAYF"/>
    <s v="WILDER RD."/>
    <x v="71"/>
    <x v="3"/>
    <x v="1"/>
    <s v="Invoice"/>
    <s v="96767"/>
    <x v="64"/>
    <x v="57"/>
    <x v="22"/>
    <x v="2"/>
    <n v="11.0375"/>
  </r>
  <r>
    <s v="DPOPPELL"/>
    <s v="04"/>
    <s v="FILEMONMARTINEZ"/>
    <s v="NEWSOME"/>
    <x v="71"/>
    <x v="3"/>
    <x v="1"/>
    <s v="Invoice"/>
    <s v="96769"/>
    <x v="28"/>
    <x v="23"/>
    <x v="22"/>
    <x v="2"/>
    <n v="1.25"/>
  </r>
  <r>
    <s v=""/>
    <s v="04"/>
    <s v="MERCEDCH"/>
    <s v="HWY62"/>
    <x v="71"/>
    <x v="3"/>
    <x v="1"/>
    <s v="Invoice"/>
    <s v="96770"/>
    <x v="55"/>
    <x v="48"/>
    <x v="22"/>
    <x v="2"/>
    <n v="8.0075000000000003"/>
  </r>
  <r>
    <s v=""/>
    <s v="04"/>
    <s v="SOUTHERNHILL"/>
    <s v="SCHOFIELD"/>
    <x v="71"/>
    <x v="3"/>
    <x v="1"/>
    <s v="Invoice"/>
    <s v="96772"/>
    <x v="47"/>
    <x v="41"/>
    <x v="22"/>
    <x v="2"/>
    <n v="3.5175000000000001"/>
  </r>
  <r>
    <s v="HOUSE"/>
    <s v="05"/>
    <s v="COASTALAGSUPPLY"/>
    <s v="MULBERRY"/>
    <x v="66"/>
    <x v="3"/>
    <x v="1"/>
    <s v="Invoice"/>
    <s v="20957"/>
    <x v="165"/>
    <x v="148"/>
    <x v="58"/>
    <x v="0"/>
    <n v="25"/>
  </r>
  <r>
    <s v="HOUSE"/>
    <s v="05"/>
    <s v="COASTALAGSUPPLY"/>
    <s v="MULBERRY"/>
    <x v="66"/>
    <x v="3"/>
    <x v="1"/>
    <s v="Invoice"/>
    <s v="20977"/>
    <x v="87"/>
    <x v="88"/>
    <x v="8"/>
    <x v="0"/>
    <n v="250"/>
  </r>
  <r>
    <s v="HOUSE"/>
    <s v="05"/>
    <s v="SOUTHEASTTURF"/>
    <s v="SARABAYCC"/>
    <x v="66"/>
    <x v="3"/>
    <x v="1"/>
    <s v="Invoice"/>
    <s v="21047"/>
    <x v="177"/>
    <x v="158"/>
    <x v="1"/>
    <x v="0"/>
    <n v="250"/>
  </r>
  <r>
    <s v="HOUSE"/>
    <s v="05"/>
    <s v="SOUTHERN"/>
    <s v="SOUTHERN AG"/>
    <x v="66"/>
    <x v="3"/>
    <x v="1"/>
    <s v="Invoice"/>
    <s v="21207"/>
    <x v="32"/>
    <x v="159"/>
    <x v="25"/>
    <x v="0"/>
    <n v="255"/>
  </r>
  <r>
    <s v="HOUSE"/>
    <s v="05"/>
    <s v="HITECHTU"/>
    <s v="MAILING"/>
    <x v="66"/>
    <x v="3"/>
    <x v="1"/>
    <s v="Invoice"/>
    <s v="21484"/>
    <x v="178"/>
    <x v="160"/>
    <x v="59"/>
    <x v="0"/>
    <n v="60"/>
  </r>
  <r>
    <s v="HOUSE"/>
    <s v="05"/>
    <s v="HITECHTU"/>
    <s v="MAILING"/>
    <x v="66"/>
    <x v="3"/>
    <x v="1"/>
    <s v="Invoice"/>
    <s v="21484"/>
    <x v="5"/>
    <x v="161"/>
    <x v="4"/>
    <x v="0"/>
    <n v="60"/>
  </r>
  <r>
    <s v="HOUSE"/>
    <s v="05"/>
    <s v="COASTALAGSUPPLY"/>
    <s v="MULBERRY"/>
    <x v="83"/>
    <x v="3"/>
    <x v="1"/>
    <s v="Invoice"/>
    <s v="25747"/>
    <x v="179"/>
    <x v="162"/>
    <x v="60"/>
    <x v="0"/>
    <n v="75"/>
  </r>
  <r>
    <s v="HOUSE"/>
    <s v="05"/>
    <s v="CPSHOMES"/>
    <s v="HOMESTEAD"/>
    <x v="83"/>
    <x v="3"/>
    <x v="1"/>
    <s v="Invoice"/>
    <s v="26296"/>
    <x v="157"/>
    <x v="138"/>
    <x v="53"/>
    <x v="0"/>
    <n v="750"/>
  </r>
  <r>
    <s v="HOUSE"/>
    <s v="05"/>
    <s v="CPSHOMES"/>
    <s v="HOMESTEAD"/>
    <x v="83"/>
    <x v="3"/>
    <x v="1"/>
    <s v="Invoice"/>
    <s v="26296"/>
    <x v="156"/>
    <x v="138"/>
    <x v="53"/>
    <x v="0"/>
    <n v="180"/>
  </r>
  <r>
    <s v="HOUSE"/>
    <s v="05"/>
    <s v="COASTALAGSUPPLY"/>
    <s v="MULBERRY"/>
    <x v="83"/>
    <x v="3"/>
    <x v="1"/>
    <s v="Invoice"/>
    <s v="26603"/>
    <x v="165"/>
    <x v="148"/>
    <x v="58"/>
    <x v="0"/>
    <n v="25"/>
  </r>
  <r>
    <s v="HOUSE"/>
    <s v="05"/>
    <s v="COASTALAGSUPPLY"/>
    <s v="MULBERRY"/>
    <x v="83"/>
    <x v="3"/>
    <x v="1"/>
    <s v="Invoice"/>
    <s v="26603"/>
    <x v="179"/>
    <x v="162"/>
    <x v="60"/>
    <x v="0"/>
    <n v="30"/>
  </r>
  <r>
    <s v="HOUSE"/>
    <s v="05"/>
    <s v="COASTALAGSUPPLY"/>
    <s v="MULBERRY"/>
    <x v="83"/>
    <x v="3"/>
    <x v="1"/>
    <s v="Invoice"/>
    <s v="26603"/>
    <x v="34"/>
    <x v="29"/>
    <x v="26"/>
    <x v="0"/>
    <n v="540"/>
  </r>
  <r>
    <s v="HOUSE"/>
    <s v="05"/>
    <s v="SOUTHERN"/>
    <s v="SOUTHERN AG"/>
    <x v="79"/>
    <x v="3"/>
    <x v="1"/>
    <s v="Invoice"/>
    <s v="96722"/>
    <x v="101"/>
    <x v="21"/>
    <x v="21"/>
    <x v="0"/>
    <n v="60"/>
  </r>
  <r>
    <s v="HOUSE"/>
    <s v="05"/>
    <s v="SOUTHERN"/>
    <s v="SOUTHERN AG"/>
    <x v="79"/>
    <x v="3"/>
    <x v="1"/>
    <s v="Invoice"/>
    <s v="96722"/>
    <x v="122"/>
    <x v="63"/>
    <x v="33"/>
    <x v="0"/>
    <n v="30"/>
  </r>
  <r>
    <s v="BHALL"/>
    <s v="07"/>
    <s v="SOUTHERNGRACE"/>
    <s v="MAIN"/>
    <x v="77"/>
    <x v="3"/>
    <x v="1"/>
    <s v="Invoice"/>
    <s v="96678"/>
    <x v="3"/>
    <x v="80"/>
    <x v="2"/>
    <x v="0"/>
    <n v="30"/>
  </r>
  <r>
    <s v="BHALL"/>
    <s v="07"/>
    <s v="SOUTHERNGRACE"/>
    <s v="MAIN"/>
    <x v="77"/>
    <x v="3"/>
    <x v="1"/>
    <s v="Invoice"/>
    <s v="96678"/>
    <x v="5"/>
    <x v="72"/>
    <x v="4"/>
    <x v="0"/>
    <n v="30"/>
  </r>
  <r>
    <s v="BHALL"/>
    <s v="07"/>
    <s v="SOUTHERNGRACE"/>
    <s v="MAIN"/>
    <x v="77"/>
    <x v="3"/>
    <x v="1"/>
    <s v="Invoice"/>
    <s v="96678"/>
    <x v="34"/>
    <x v="29"/>
    <x v="26"/>
    <x v="0"/>
    <n v="30"/>
  </r>
  <r>
    <s v="CHEAD"/>
    <s v="07"/>
    <s v="UFPSUNIT"/>
    <s v="CITRA FARM"/>
    <x v="78"/>
    <x v="3"/>
    <x v="1"/>
    <s v="Invoice"/>
    <s v="96718"/>
    <x v="180"/>
    <x v="163"/>
    <x v="22"/>
    <x v="2"/>
    <n v="1.25"/>
  </r>
  <r>
    <s v="CHEAD"/>
    <s v="07"/>
    <s v="LONGANDSCOTT"/>
    <s v="MAIN"/>
    <x v="71"/>
    <x v="3"/>
    <x v="1"/>
    <s v="Invoice"/>
    <s v="96762"/>
    <x v="181"/>
    <x v="108"/>
    <x v="44"/>
    <x v="0"/>
    <n v="250"/>
  </r>
  <r>
    <s v="DPOPPELL1"/>
    <s v="08"/>
    <s v="CPSMULB"/>
    <s v="UAP/MULBERRY"/>
    <x v="66"/>
    <x v="3"/>
    <x v="1"/>
    <s v="Invoice"/>
    <s v="21190"/>
    <x v="102"/>
    <x v="71"/>
    <x v="34"/>
    <x v="0"/>
    <n v="750"/>
  </r>
  <r>
    <s v="DPOPPELL1"/>
    <s v="08"/>
    <s v="MAYO"/>
    <s v="PLANTCITY"/>
    <x v="73"/>
    <x v="3"/>
    <x v="1"/>
    <s v="Invoice"/>
    <s v="22361"/>
    <x v="77"/>
    <x v="149"/>
    <x v="30"/>
    <x v="0"/>
    <n v="30"/>
  </r>
  <r>
    <s v="DPOPPELL1"/>
    <s v="08"/>
    <s v="MAYO"/>
    <s v="PLANTCITY"/>
    <x v="83"/>
    <x v="3"/>
    <x v="1"/>
    <s v="Invoice"/>
    <s v="25626A"/>
    <x v="126"/>
    <x v="114"/>
    <x v="22"/>
    <x v="2"/>
    <n v="12.48"/>
  </r>
  <r>
    <s v="DPOPPELL1"/>
    <s v="08"/>
    <s v="COASTALAGSUPPLY"/>
    <s v="MULBERRY"/>
    <x v="84"/>
    <x v="3"/>
    <x v="1"/>
    <s v="Invoice"/>
    <s v="28905"/>
    <x v="165"/>
    <x v="148"/>
    <x v="58"/>
    <x v="0"/>
    <n v="92.5"/>
  </r>
  <r>
    <s v="DPOPPELL1"/>
    <s v="08"/>
    <s v="COASTALAGSUPPLY"/>
    <s v="MULBERRY"/>
    <x v="84"/>
    <x v="3"/>
    <x v="1"/>
    <s v="Invoice"/>
    <s v="29066"/>
    <x v="87"/>
    <x v="88"/>
    <x v="8"/>
    <x v="0"/>
    <n v="500"/>
  </r>
  <r>
    <s v="DPOPPELL1"/>
    <s v="08"/>
    <s v="MAYO"/>
    <s v="PLANTCITY"/>
    <x v="76"/>
    <x v="3"/>
    <x v="1"/>
    <s v="Invoice"/>
    <s v="36075"/>
    <x v="76"/>
    <x v="70"/>
    <x v="22"/>
    <x v="2"/>
    <n v="1.25"/>
  </r>
  <r>
    <s v="DPOPPELL1"/>
    <s v="08"/>
    <s v="MAYO"/>
    <s v="PLANTCITY"/>
    <x v="76"/>
    <x v="3"/>
    <x v="1"/>
    <s v="Invoice"/>
    <s v="36500"/>
    <x v="182"/>
    <x v="164"/>
    <x v="22"/>
    <x v="2"/>
    <n v="1.25"/>
  </r>
  <r>
    <s v="DPOPPELL1"/>
    <s v="08"/>
    <s v="TRIANGLE"/>
    <s v="STARKEY"/>
    <x v="76"/>
    <x v="3"/>
    <x v="1"/>
    <s v="Invoice"/>
    <s v="36762"/>
    <x v="67"/>
    <x v="60"/>
    <x v="22"/>
    <x v="2"/>
    <n v="3.7450000000000001"/>
  </r>
  <r>
    <s v="PARKER,J."/>
    <s v="08"/>
    <s v="TRIANGLE"/>
    <s v="TRIANGLE/PC"/>
    <x v="78"/>
    <x v="3"/>
    <x v="1"/>
    <s v="Invoice"/>
    <s v="96715"/>
    <x v="5"/>
    <x v="72"/>
    <x v="4"/>
    <x v="0"/>
    <n v="180"/>
  </r>
  <r>
    <s v="BRIDGE"/>
    <s v="08"/>
    <s v="TRIANGLE"/>
    <s v="TRIANGLE/PC"/>
    <x v="80"/>
    <x v="3"/>
    <x v="1"/>
    <s v="Invoice"/>
    <s v="96747"/>
    <x v="96"/>
    <x v="90"/>
    <x v="39"/>
    <x v="0"/>
    <n v="180"/>
  </r>
  <r>
    <s v="DPOPPELL1"/>
    <s v="08"/>
    <s v="TRIANGLE"/>
    <s v="TRIANGLE/PC"/>
    <x v="80"/>
    <x v="3"/>
    <x v="1"/>
    <s v="Invoice"/>
    <s v="96748"/>
    <x v="34"/>
    <x v="29"/>
    <x v="26"/>
    <x v="0"/>
    <n v="180"/>
  </r>
  <r>
    <s v="DPOPPELL1"/>
    <s v="08"/>
    <s v="TRIANGLE"/>
    <s v="TRIANGLE/PC"/>
    <x v="80"/>
    <x v="3"/>
    <x v="1"/>
    <s v="Invoice"/>
    <s v="96748"/>
    <x v="77"/>
    <x v="37"/>
    <x v="30"/>
    <x v="0"/>
    <n v="300"/>
  </r>
  <r>
    <s v="DPOPPELL1"/>
    <s v="08"/>
    <s v="TRIANGLE"/>
    <s v="TRIANGLE/PC"/>
    <x v="80"/>
    <x v="3"/>
    <x v="1"/>
    <s v="Invoice"/>
    <s v="96749"/>
    <x v="165"/>
    <x v="148"/>
    <x v="58"/>
    <x v="0"/>
    <n v="180"/>
  </r>
  <r>
    <s v="GEORGIA"/>
    <s v="09"/>
    <s v="AGRIBUSI"/>
    <s v="SGSHELM"/>
    <x v="72"/>
    <x v="3"/>
    <x v="1"/>
    <s v="Invoice"/>
    <s v="21962"/>
    <x v="129"/>
    <x v="117"/>
    <x v="48"/>
    <x v="0"/>
    <n v="3710"/>
  </r>
  <r>
    <s v="GEORGIA"/>
    <s v="09"/>
    <s v="AGRIBUSI"/>
    <s v="SGSPOCOMOKE"/>
    <x v="83"/>
    <x v="3"/>
    <x v="1"/>
    <s v="Invoice"/>
    <s v="26557"/>
    <x v="129"/>
    <x v="117"/>
    <x v="48"/>
    <x v="0"/>
    <n v="3710"/>
  </r>
  <r>
    <s v="GEORGIA"/>
    <s v="09"/>
    <s v="AGRIBUSI"/>
    <s v="SIMPLOT/PERU"/>
    <x v="75"/>
    <x v="3"/>
    <x v="1"/>
    <s v="Invoice"/>
    <s v="27616"/>
    <x v="129"/>
    <x v="117"/>
    <x v="48"/>
    <x v="0"/>
    <n v="3710"/>
  </r>
  <r>
    <s v="GEORGIA"/>
    <s v="09"/>
    <s v="AGRIBUSI"/>
    <s v="SIMPLOT/PERU"/>
    <x v="84"/>
    <x v="3"/>
    <x v="1"/>
    <s v="Invoice"/>
    <s v="29053"/>
    <x v="129"/>
    <x v="117"/>
    <x v="48"/>
    <x v="0"/>
    <n v="3710"/>
  </r>
  <r>
    <s v="GEORGIA"/>
    <s v="09"/>
    <s v="AGRIBUSI"/>
    <s v="SIMPLOT/PERU"/>
    <x v="85"/>
    <x v="3"/>
    <x v="1"/>
    <s v="Invoice"/>
    <s v="31953"/>
    <x v="129"/>
    <x v="117"/>
    <x v="48"/>
    <x v="0"/>
    <n v="3710"/>
  </r>
  <r>
    <s v="GEORGIA"/>
    <s v="09"/>
    <s v="AGRIBUSI"/>
    <s v="GREENPOINTAG"/>
    <x v="69"/>
    <x v="3"/>
    <x v="1"/>
    <s v="Invoice"/>
    <s v="35120"/>
    <x v="183"/>
    <x v="165"/>
    <x v="20"/>
    <x v="1"/>
    <n v="2500"/>
  </r>
  <r>
    <s v="GEORGIA"/>
    <s v="09"/>
    <s v="AGRIBUSI"/>
    <s v="GREENPOINTAG"/>
    <x v="69"/>
    <x v="3"/>
    <x v="1"/>
    <s v="Invoice"/>
    <s v="35120"/>
    <x v="184"/>
    <x v="165"/>
    <x v="20"/>
    <x v="1"/>
    <n v="1800"/>
  </r>
  <r>
    <s v="HAP"/>
    <s v="01"/>
    <s v="GREENWAY"/>
    <s v="COUNTRY CLUB"/>
    <x v="88"/>
    <x v="4"/>
    <x v="1"/>
    <s v="Invoice"/>
    <s v="44789"/>
    <x v="11"/>
    <x v="10"/>
    <x v="10"/>
    <x v="0"/>
    <n v="35"/>
  </r>
  <r>
    <s v="HAP"/>
    <s v="01"/>
    <s v="GREENWAY"/>
    <s v="MADISONGREEN"/>
    <x v="89"/>
    <x v="4"/>
    <x v="1"/>
    <s v="Invoice"/>
    <s v="54786"/>
    <x v="185"/>
    <x v="13"/>
    <x v="13"/>
    <x v="0"/>
    <n v="55"/>
  </r>
  <r>
    <s v="HAP"/>
    <s v="01"/>
    <s v="GREENWAY"/>
    <s v="MADISONGREEN"/>
    <x v="89"/>
    <x v="4"/>
    <x v="1"/>
    <s v="Invoice"/>
    <s v="54786"/>
    <x v="186"/>
    <x v="10"/>
    <x v="13"/>
    <x v="0"/>
    <n v="55"/>
  </r>
  <r>
    <s v="HAP"/>
    <s v="01"/>
    <s v="GREENWAY"/>
    <s v="MADISONGREEN"/>
    <x v="89"/>
    <x v="4"/>
    <x v="1"/>
    <s v="Invoice"/>
    <s v="54786"/>
    <x v="187"/>
    <x v="14"/>
    <x v="14"/>
    <x v="0"/>
    <n v="55"/>
  </r>
  <r>
    <s v="HAP"/>
    <s v="01"/>
    <s v="GREENWAY"/>
    <s v="MAILING-WPBCH"/>
    <x v="90"/>
    <x v="4"/>
    <x v="1"/>
    <s v="Invoice"/>
    <s v="59836"/>
    <x v="7"/>
    <x v="6"/>
    <x v="6"/>
    <x v="0"/>
    <n v="120"/>
  </r>
  <r>
    <s v="HAP"/>
    <s v="01"/>
    <s v="GREENWAY"/>
    <s v="MAILING-WPBCH"/>
    <x v="90"/>
    <x v="4"/>
    <x v="1"/>
    <s v="Invoice"/>
    <s v="59836"/>
    <x v="8"/>
    <x v="166"/>
    <x v="7"/>
    <x v="0"/>
    <n v="60"/>
  </r>
  <r>
    <s v="HAP"/>
    <s v="01"/>
    <s v="GREENWAY"/>
    <s v="MAILING-WPBCH"/>
    <x v="90"/>
    <x v="4"/>
    <x v="1"/>
    <s v="Invoice"/>
    <s v="59836"/>
    <x v="10"/>
    <x v="9"/>
    <x v="9"/>
    <x v="0"/>
    <n v="60"/>
  </r>
  <r>
    <s v="HAP"/>
    <s v="01"/>
    <s v="GREENWAY"/>
    <s v="MAILING-WPBCH"/>
    <x v="90"/>
    <x v="4"/>
    <x v="1"/>
    <s v="Invoice"/>
    <s v="59836"/>
    <x v="11"/>
    <x v="10"/>
    <x v="10"/>
    <x v="0"/>
    <n v="60"/>
  </r>
  <r>
    <s v="HAP"/>
    <s v="01"/>
    <s v="GREENWAY"/>
    <s v="MAILING-WPBCH"/>
    <x v="90"/>
    <x v="4"/>
    <x v="1"/>
    <s v="Invoice"/>
    <s v="59836"/>
    <x v="21"/>
    <x v="16"/>
    <x v="16"/>
    <x v="0"/>
    <n v="120"/>
  </r>
  <r>
    <s v="HAP"/>
    <s v="01"/>
    <s v="GREENWAY"/>
    <s v="MAILING-WPBCH"/>
    <x v="90"/>
    <x v="4"/>
    <x v="1"/>
    <s v="Invoice"/>
    <s v="59836"/>
    <x v="6"/>
    <x v="5"/>
    <x v="5"/>
    <x v="0"/>
    <n v="60"/>
  </r>
  <r>
    <s v="HAP"/>
    <s v="01"/>
    <s v="GREENWAY"/>
    <s v="WINDSOR POLO"/>
    <x v="91"/>
    <x v="4"/>
    <x v="1"/>
    <s v="Invoice"/>
    <s v="69746"/>
    <x v="88"/>
    <x v="2"/>
    <x v="2"/>
    <x v="0"/>
    <n v="55"/>
  </r>
  <r>
    <s v="HAP"/>
    <s v="01"/>
    <s v="GREENWAY"/>
    <s v="WINDSOR POLO"/>
    <x v="91"/>
    <x v="4"/>
    <x v="1"/>
    <s v="Invoice"/>
    <s v="69746"/>
    <x v="0"/>
    <x v="0"/>
    <x v="0"/>
    <x v="0"/>
    <n v="55"/>
  </r>
  <r>
    <s v="HAP"/>
    <s v="01"/>
    <s v="GREENWAY"/>
    <s v="JACARANDA G C"/>
    <x v="92"/>
    <x v="4"/>
    <x v="1"/>
    <s v="Invoice"/>
    <s v="72650"/>
    <x v="188"/>
    <x v="17"/>
    <x v="17"/>
    <x v="0"/>
    <n v="55"/>
  </r>
  <r>
    <s v="HAP"/>
    <s v="01"/>
    <s v="GREENWAY"/>
    <s v="JACARANDA G C"/>
    <x v="92"/>
    <x v="4"/>
    <x v="1"/>
    <s v="Invoice"/>
    <s v="72650"/>
    <x v="6"/>
    <x v="5"/>
    <x v="5"/>
    <x v="0"/>
    <n v="30"/>
  </r>
  <r>
    <s v="HAP"/>
    <s v="01"/>
    <s v="GREENWAY"/>
    <s v="JACARANDA G C"/>
    <x v="92"/>
    <x v="4"/>
    <x v="1"/>
    <s v="Invoice"/>
    <s v="72650"/>
    <x v="0"/>
    <x v="0"/>
    <x v="0"/>
    <x v="0"/>
    <n v="55"/>
  </r>
  <r>
    <s v="HAP"/>
    <s v="01"/>
    <s v="GREENWAY"/>
    <s v="BANYAN CREEK"/>
    <x v="92"/>
    <x v="4"/>
    <x v="1"/>
    <s v="Invoice"/>
    <s v="72658"/>
    <x v="88"/>
    <x v="2"/>
    <x v="2"/>
    <x v="0"/>
    <n v="55"/>
  </r>
  <r>
    <s v="HAP"/>
    <s v="01"/>
    <s v="GREENWAY"/>
    <s v="BANYAN CREEK"/>
    <x v="92"/>
    <x v="4"/>
    <x v="1"/>
    <s v="Invoice"/>
    <s v="72658"/>
    <x v="188"/>
    <x v="17"/>
    <x v="17"/>
    <x v="0"/>
    <n v="55"/>
  </r>
  <r>
    <s v="HAP"/>
    <s v="01"/>
    <s v="GREENWAY"/>
    <s v="BANYAN CREEK"/>
    <x v="92"/>
    <x v="4"/>
    <x v="1"/>
    <s v="Invoice"/>
    <s v="72658"/>
    <x v="6"/>
    <x v="5"/>
    <x v="5"/>
    <x v="0"/>
    <n v="55"/>
  </r>
  <r>
    <s v="HAP"/>
    <s v="01"/>
    <s v="GREENWAY"/>
    <s v="BANYAN CREEK"/>
    <x v="92"/>
    <x v="4"/>
    <x v="1"/>
    <s v="Invoice"/>
    <s v="72658"/>
    <x v="0"/>
    <x v="0"/>
    <x v="0"/>
    <x v="0"/>
    <n v="55"/>
  </r>
  <r>
    <s v="HAP"/>
    <s v="01"/>
    <s v="GREENWAY"/>
    <s v="MIZNER C. CLUB"/>
    <x v="93"/>
    <x v="4"/>
    <x v="1"/>
    <s v="Invoice"/>
    <s v="73889"/>
    <x v="3"/>
    <x v="2"/>
    <x v="2"/>
    <x v="0"/>
    <n v="50"/>
  </r>
  <r>
    <s v="HAP"/>
    <s v="01"/>
    <s v="GREENWAY"/>
    <s v="MIZNER C. CLUB"/>
    <x v="93"/>
    <x v="4"/>
    <x v="1"/>
    <s v="Invoice"/>
    <s v="73889"/>
    <x v="5"/>
    <x v="4"/>
    <x v="4"/>
    <x v="0"/>
    <n v="100"/>
  </r>
  <r>
    <s v="HAP"/>
    <s v="01"/>
    <s v="GREENWAY"/>
    <s v="MIZNER C. CLUB"/>
    <x v="93"/>
    <x v="4"/>
    <x v="1"/>
    <s v="Invoice"/>
    <s v="73889"/>
    <x v="6"/>
    <x v="5"/>
    <x v="5"/>
    <x v="0"/>
    <n v="50"/>
  </r>
  <r>
    <s v="HAP"/>
    <s v="01"/>
    <s v="GREENWAY"/>
    <s v="MIZNER C. CLUB"/>
    <x v="93"/>
    <x v="4"/>
    <x v="1"/>
    <s v="Invoice"/>
    <s v="73889"/>
    <x v="2"/>
    <x v="0"/>
    <x v="0"/>
    <x v="0"/>
    <n v="100"/>
  </r>
  <r>
    <s v="HAP"/>
    <s v="01"/>
    <s v="GREENWAY"/>
    <s v="HOUSTONOAKS"/>
    <x v="94"/>
    <x v="4"/>
    <x v="1"/>
    <s v="Invoice"/>
    <s v="74928"/>
    <x v="3"/>
    <x v="2"/>
    <x v="2"/>
    <x v="0"/>
    <n v="40"/>
  </r>
  <r>
    <s v="HAP"/>
    <s v="01"/>
    <s v="GREENWAY"/>
    <s v="HOUSTONOAKS"/>
    <x v="94"/>
    <x v="4"/>
    <x v="1"/>
    <s v="Invoice"/>
    <s v="74928"/>
    <x v="4"/>
    <x v="3"/>
    <x v="3"/>
    <x v="0"/>
    <n v="40"/>
  </r>
  <r>
    <s v="HAP"/>
    <s v="01"/>
    <s v="GREENWAY"/>
    <s v="HOUSTONOAKS"/>
    <x v="94"/>
    <x v="4"/>
    <x v="1"/>
    <s v="Invoice"/>
    <s v="74928"/>
    <x v="5"/>
    <x v="4"/>
    <x v="4"/>
    <x v="0"/>
    <n v="40"/>
  </r>
  <r>
    <s v="HAP"/>
    <s v="01"/>
    <s v="GREENWAY"/>
    <s v="HOUSTONOAKS"/>
    <x v="94"/>
    <x v="4"/>
    <x v="1"/>
    <s v="Invoice"/>
    <s v="74928"/>
    <x v="6"/>
    <x v="5"/>
    <x v="5"/>
    <x v="0"/>
    <n v="40"/>
  </r>
  <r>
    <s v="HAP"/>
    <s v="01"/>
    <s v="GREENWAY"/>
    <s v="HOUSTONOAKS"/>
    <x v="94"/>
    <x v="4"/>
    <x v="1"/>
    <s v="Invoice"/>
    <s v="74928"/>
    <x v="2"/>
    <x v="0"/>
    <x v="0"/>
    <x v="0"/>
    <n v="40"/>
  </r>
  <r>
    <s v="HAP"/>
    <s v="01"/>
    <s v="GREENWAY"/>
    <s v="CORALCREEK"/>
    <x v="94"/>
    <x v="4"/>
    <x v="1"/>
    <s v="Invoice"/>
    <s v="74942"/>
    <x v="1"/>
    <x v="1"/>
    <x v="1"/>
    <x v="0"/>
    <n v="55"/>
  </r>
  <r>
    <s v="DAVID"/>
    <s v="02"/>
    <s v="GEOPONICSCORP"/>
    <s v="NAPLES UNIT-105"/>
    <x v="95"/>
    <x v="4"/>
    <x v="1"/>
    <s v="Invoice"/>
    <s v="41542"/>
    <x v="32"/>
    <x v="167"/>
    <x v="25"/>
    <x v="0"/>
    <n v="220"/>
  </r>
  <r>
    <s v="DAVID"/>
    <s v="02"/>
    <s v="BIGEARTH"/>
    <s v="TAMPA"/>
    <x v="95"/>
    <x v="4"/>
    <x v="1"/>
    <s v="Invoice"/>
    <s v="43029"/>
    <x v="22"/>
    <x v="69"/>
    <x v="17"/>
    <x v="0"/>
    <n v="50"/>
  </r>
  <r>
    <s v="DAVID"/>
    <s v="02"/>
    <s v="UNIVAR"/>
    <s v="ORLANDO"/>
    <x v="88"/>
    <x v="4"/>
    <x v="1"/>
    <s v="Invoice"/>
    <s v="45084"/>
    <x v="33"/>
    <x v="28"/>
    <x v="2"/>
    <x v="0"/>
    <n v="5"/>
  </r>
  <r>
    <s v="DAVID"/>
    <s v="02"/>
    <s v="UNIVAR"/>
    <s v="ORLANDO"/>
    <x v="88"/>
    <x v="4"/>
    <x v="1"/>
    <s v="Invoice"/>
    <s v="45084"/>
    <x v="96"/>
    <x v="90"/>
    <x v="39"/>
    <x v="0"/>
    <n v="10"/>
  </r>
  <r>
    <s v="DAVID"/>
    <s v="02"/>
    <s v="GEOPONICSCORP"/>
    <s v="NAPLES UNIT-105"/>
    <x v="96"/>
    <x v="4"/>
    <x v="1"/>
    <s v="Invoice"/>
    <s v="67200"/>
    <x v="32"/>
    <x v="167"/>
    <x v="25"/>
    <x v="0"/>
    <n v="220"/>
  </r>
  <r>
    <s v="DAVID"/>
    <s v="02"/>
    <s v="TRIANGLE"/>
    <s v="BARTOW"/>
    <x v="97"/>
    <x v="4"/>
    <x v="1"/>
    <s v="Invoice"/>
    <s v="67735"/>
    <x v="189"/>
    <x v="103"/>
    <x v="22"/>
    <x v="2"/>
    <n v="17.427700000000002"/>
  </r>
  <r>
    <s v="DAVID"/>
    <s v="02"/>
    <s v="EVOQUAWATER"/>
    <s v="MAIN"/>
    <x v="91"/>
    <x v="4"/>
    <x v="1"/>
    <s v="Invoice"/>
    <s v="69703"/>
    <x v="160"/>
    <x v="142"/>
    <x v="54"/>
    <x v="0"/>
    <n v="180"/>
  </r>
  <r>
    <s v="DAVID"/>
    <s v="02"/>
    <s v="TERRAFEED"/>
    <s v="MAILING"/>
    <x v="98"/>
    <x v="4"/>
    <x v="1"/>
    <s v="Invoice"/>
    <s v="70601"/>
    <x v="162"/>
    <x v="144"/>
    <x v="55"/>
    <x v="0"/>
    <n v="250"/>
  </r>
  <r>
    <s v="DAVID"/>
    <s v="02"/>
    <s v="BIGEARTH"/>
    <s v="TAMPA"/>
    <x v="92"/>
    <x v="4"/>
    <x v="1"/>
    <s v="Invoice"/>
    <s v="72419"/>
    <x v="161"/>
    <x v="143"/>
    <x v="35"/>
    <x v="0"/>
    <n v="20"/>
  </r>
  <r>
    <s v="DAVID"/>
    <s v="02"/>
    <s v="WHOLEFRUITS"/>
    <s v="MAIN"/>
    <x v="99"/>
    <x v="4"/>
    <x v="1"/>
    <s v="Invoice"/>
    <s v="73217"/>
    <x v="36"/>
    <x v="31"/>
    <x v="4"/>
    <x v="0"/>
    <n v="2.5"/>
  </r>
  <r>
    <s v="DAVID"/>
    <s v="02"/>
    <s v="GLADESFORM"/>
    <s v="MAIN"/>
    <x v="94"/>
    <x v="4"/>
    <x v="1"/>
    <s v="Invoice"/>
    <s v="73853A"/>
    <x v="190"/>
    <x v="168"/>
    <x v="20"/>
    <x v="1"/>
    <n v="7942.5"/>
  </r>
  <r>
    <s v="DAVID"/>
    <s v="02"/>
    <s v="COASTALAGSUPPLY"/>
    <s v="MULBERRY"/>
    <x v="94"/>
    <x v="4"/>
    <x v="1"/>
    <s v="Invoice"/>
    <s v="74375"/>
    <x v="34"/>
    <x v="29"/>
    <x v="26"/>
    <x v="0"/>
    <n v="360"/>
  </r>
  <r>
    <s v="DAVID"/>
    <s v="02"/>
    <s v="SOUTHERN"/>
    <s v="SOUTHERN AG"/>
    <x v="100"/>
    <x v="4"/>
    <x v="1"/>
    <s v="Invoice"/>
    <s v="78824"/>
    <x v="26"/>
    <x v="21"/>
    <x v="21"/>
    <x v="0"/>
    <n v="1233.3"/>
  </r>
  <r>
    <s v=""/>
    <s v="03"/>
    <s v="CPSMULB"/>
    <s v="UAP/MULBERRY"/>
    <x v="95"/>
    <x v="4"/>
    <x v="1"/>
    <s v="Invoice"/>
    <s v="40296"/>
    <x v="40"/>
    <x v="35"/>
    <x v="29"/>
    <x v="0"/>
    <n v="360"/>
  </r>
  <r>
    <s v=""/>
    <s v="03"/>
    <s v="CPSMULB"/>
    <s v="UAP/MULBERRY"/>
    <x v="95"/>
    <x v="4"/>
    <x v="1"/>
    <s v="Invoice"/>
    <s v="40627"/>
    <x v="5"/>
    <x v="72"/>
    <x v="4"/>
    <x v="0"/>
    <n v="180"/>
  </r>
  <r>
    <s v="JUSTIN"/>
    <s v="03"/>
    <s v="CPSIMMOK"/>
    <s v="IMMOKALEE"/>
    <x v="95"/>
    <x v="4"/>
    <x v="1"/>
    <s v="Invoice"/>
    <s v="41046"/>
    <x v="191"/>
    <x v="169"/>
    <x v="61"/>
    <x v="0"/>
    <n v="360"/>
  </r>
  <r>
    <s v="JUSTIN"/>
    <s v="03"/>
    <s v="CPSWAVER"/>
    <s v="WAVERLY"/>
    <x v="95"/>
    <x v="4"/>
    <x v="1"/>
    <s v="Invoice"/>
    <s v="41052"/>
    <x v="100"/>
    <x v="94"/>
    <x v="41"/>
    <x v="0"/>
    <n v="1250"/>
  </r>
  <r>
    <s v="JUSTIN"/>
    <s v="03"/>
    <s v="CPSWAVER"/>
    <s v="WAVERLY"/>
    <x v="95"/>
    <x v="4"/>
    <x v="1"/>
    <s v="Invoice"/>
    <s v="41052"/>
    <x v="5"/>
    <x v="72"/>
    <x v="4"/>
    <x v="0"/>
    <n v="180"/>
  </r>
  <r>
    <s v="JUSTIN"/>
    <s v="03"/>
    <s v="CPSWAVER"/>
    <s v="WAVERLY"/>
    <x v="95"/>
    <x v="4"/>
    <x v="1"/>
    <s v="Invoice"/>
    <s v="41052"/>
    <x v="35"/>
    <x v="30"/>
    <x v="27"/>
    <x v="0"/>
    <n v="360"/>
  </r>
  <r>
    <s v="JUSTIN"/>
    <s v="03"/>
    <s v="CPSWAVER"/>
    <s v="WAVERLY"/>
    <x v="95"/>
    <x v="4"/>
    <x v="1"/>
    <s v="Invoice"/>
    <s v="41052"/>
    <x v="148"/>
    <x v="128"/>
    <x v="29"/>
    <x v="0"/>
    <n v="180"/>
  </r>
  <r>
    <s v="JUSTIN"/>
    <s v="03"/>
    <s v="CPSWAVER"/>
    <s v="WAVERLY"/>
    <x v="95"/>
    <x v="4"/>
    <x v="1"/>
    <s v="Invoice"/>
    <s v="41052"/>
    <x v="96"/>
    <x v="90"/>
    <x v="39"/>
    <x v="0"/>
    <n v="180"/>
  </r>
  <r>
    <s v="JUSTIN"/>
    <s v="03"/>
    <s v="G&amp;DFARMS"/>
    <s v="MIDDLE"/>
    <x v="88"/>
    <x v="4"/>
    <x v="1"/>
    <s v="Invoice"/>
    <s v="44235"/>
    <x v="99"/>
    <x v="93"/>
    <x v="22"/>
    <x v="2"/>
    <n v="15.005000000000001"/>
  </r>
  <r>
    <s v="JUSTIN"/>
    <s v="03"/>
    <s v="CPSWACHU"/>
    <s v="WAUCHULA"/>
    <x v="101"/>
    <x v="4"/>
    <x v="1"/>
    <s v="Invoice"/>
    <s v="49415"/>
    <x v="192"/>
    <x v="169"/>
    <x v="61"/>
    <x v="0"/>
    <n v="500"/>
  </r>
  <r>
    <s v="JUSTIN"/>
    <s v="03"/>
    <s v="CPSWAVER"/>
    <s v="WAVERLY"/>
    <x v="89"/>
    <x v="4"/>
    <x v="1"/>
    <s v="Invoice"/>
    <s v="49916"/>
    <x v="191"/>
    <x v="169"/>
    <x v="61"/>
    <x v="0"/>
    <n v="180"/>
  </r>
  <r>
    <s v=""/>
    <s v="03"/>
    <s v="CPSMULB"/>
    <s v="UAP/MULBERRY"/>
    <x v="102"/>
    <x v="4"/>
    <x v="1"/>
    <s v="Invoice"/>
    <s v="55491"/>
    <x v="5"/>
    <x v="72"/>
    <x v="4"/>
    <x v="0"/>
    <n v="360"/>
  </r>
  <r>
    <s v=""/>
    <s v="03"/>
    <s v="CPSMULB"/>
    <s v="UAP/MULBERRY"/>
    <x v="102"/>
    <x v="4"/>
    <x v="1"/>
    <s v="Invoice"/>
    <s v="55491"/>
    <x v="31"/>
    <x v="124"/>
    <x v="24"/>
    <x v="0"/>
    <n v="180"/>
  </r>
  <r>
    <s v="JUSTIN"/>
    <s v="03"/>
    <s v="G&amp;DFARMS"/>
    <s v="MIDDLE"/>
    <x v="90"/>
    <x v="4"/>
    <x v="1"/>
    <s v="Invoice"/>
    <s v="57648"/>
    <x v="193"/>
    <x v="170"/>
    <x v="22"/>
    <x v="2"/>
    <n v="15.0025"/>
  </r>
  <r>
    <s v="JUSTIN"/>
    <s v="03"/>
    <s v="CPSWACHU"/>
    <s v="WAUCHULA"/>
    <x v="97"/>
    <x v="4"/>
    <x v="1"/>
    <s v="Invoice"/>
    <s v="61872"/>
    <x v="34"/>
    <x v="29"/>
    <x v="26"/>
    <x v="0"/>
    <n v="180"/>
  </r>
  <r>
    <s v="JUSTIN"/>
    <s v="03"/>
    <s v="COUNCILO"/>
    <s v="COUNCIL-OXFORD"/>
    <x v="97"/>
    <x v="4"/>
    <x v="1"/>
    <s v="Invoice"/>
    <s v="62508A"/>
    <x v="168"/>
    <x v="88"/>
    <x v="8"/>
    <x v="0"/>
    <n v="120"/>
  </r>
  <r>
    <s v="JUSTIN"/>
    <s v="03"/>
    <s v="COUNCILO"/>
    <s v="COUNCIL-OXFORD"/>
    <x v="97"/>
    <x v="4"/>
    <x v="1"/>
    <s v="Invoice"/>
    <s v="62508A"/>
    <x v="41"/>
    <x v="36"/>
    <x v="26"/>
    <x v="0"/>
    <n v="500"/>
  </r>
  <r>
    <s v="JUSTIN"/>
    <s v="03"/>
    <s v="CPSWACHU"/>
    <s v="WAUCHULA"/>
    <x v="97"/>
    <x v="4"/>
    <x v="1"/>
    <s v="Invoice"/>
    <s v="62543"/>
    <x v="96"/>
    <x v="90"/>
    <x v="39"/>
    <x v="0"/>
    <n v="720"/>
  </r>
  <r>
    <s v="JUSTIN"/>
    <s v="03"/>
    <s v="CPSWAVER"/>
    <s v="WAVERLY"/>
    <x v="96"/>
    <x v="4"/>
    <x v="1"/>
    <s v="Invoice"/>
    <s v="65439"/>
    <x v="5"/>
    <x v="72"/>
    <x v="4"/>
    <x v="0"/>
    <n v="180"/>
  </r>
  <r>
    <s v="JUSTIN"/>
    <s v="03"/>
    <s v="CPSWAVER"/>
    <s v="WAVERLY"/>
    <x v="96"/>
    <x v="4"/>
    <x v="1"/>
    <s v="Invoice"/>
    <s v="66061"/>
    <x v="136"/>
    <x v="111"/>
    <x v="46"/>
    <x v="0"/>
    <n v="180"/>
  </r>
  <r>
    <s v="JUSTIN"/>
    <s v="03"/>
    <s v="CPSWACHU"/>
    <s v="WAUCHULA"/>
    <x v="103"/>
    <x v="4"/>
    <x v="1"/>
    <s v="Invoice"/>
    <s v="67908"/>
    <x v="36"/>
    <x v="31"/>
    <x v="4"/>
    <x v="0"/>
    <n v="180"/>
  </r>
  <r>
    <s v=""/>
    <s v="03"/>
    <s v="CPSMULB"/>
    <s v="UAP/MULBERRY"/>
    <x v="103"/>
    <x v="4"/>
    <x v="1"/>
    <s v="Invoice"/>
    <s v="67909"/>
    <x v="34"/>
    <x v="29"/>
    <x v="26"/>
    <x v="0"/>
    <n v="360"/>
  </r>
  <r>
    <s v="JUSTIN"/>
    <s v="03"/>
    <s v="CPSWACHU"/>
    <s v="WAUCHULA"/>
    <x v="103"/>
    <x v="4"/>
    <x v="1"/>
    <s v="Invoice"/>
    <s v="68031"/>
    <x v="166"/>
    <x v="29"/>
    <x v="26"/>
    <x v="0"/>
    <n v="1500"/>
  </r>
  <r>
    <s v="JUSTIN"/>
    <s v="03"/>
    <s v="CPSWACHU"/>
    <s v="WAUCHULA"/>
    <x v="103"/>
    <x v="4"/>
    <x v="1"/>
    <s v="Invoice"/>
    <s v="68236"/>
    <x v="34"/>
    <x v="29"/>
    <x v="26"/>
    <x v="0"/>
    <n v="360"/>
  </r>
  <r>
    <s v="JUSTIN"/>
    <s v="03"/>
    <s v="CPSIMMOK"/>
    <s v="SO/GRDN/DUNWOOD"/>
    <x v="103"/>
    <x v="4"/>
    <x v="1"/>
    <s v="Invoice"/>
    <s v="68457"/>
    <x v="194"/>
    <x v="29"/>
    <x v="26"/>
    <x v="0"/>
    <n v="472"/>
  </r>
  <r>
    <s v="JUSTIN"/>
    <s v="03"/>
    <s v="GRIFFINF"/>
    <s v="FROSTPROOF"/>
    <x v="103"/>
    <x v="4"/>
    <x v="1"/>
    <s v="Invoice"/>
    <s v="68629"/>
    <x v="195"/>
    <x v="171"/>
    <x v="8"/>
    <x v="0"/>
    <n v="740"/>
  </r>
  <r>
    <s v="JUSTIN"/>
    <s v="03"/>
    <s v="CPSOKEE"/>
    <s v="OKEE-LIQ PLANT"/>
    <x v="91"/>
    <x v="4"/>
    <x v="1"/>
    <s v="Invoice"/>
    <s v="69314"/>
    <x v="134"/>
    <x v="94"/>
    <x v="41"/>
    <x v="0"/>
    <n v="3045"/>
  </r>
  <r>
    <s v="JUSTIN"/>
    <s v="03"/>
    <s v="CPSIMMOK"/>
    <s v="IMMOKALEE"/>
    <x v="98"/>
    <x v="4"/>
    <x v="1"/>
    <s v="Invoice"/>
    <s v="70267"/>
    <x v="194"/>
    <x v="29"/>
    <x v="26"/>
    <x v="0"/>
    <n v="900"/>
  </r>
  <r>
    <s v="JUSTIN"/>
    <s v="03"/>
    <s v="GRIFFINF"/>
    <s v="FROSTPROOF"/>
    <x v="98"/>
    <x v="4"/>
    <x v="1"/>
    <s v="Invoice"/>
    <s v="70417"/>
    <x v="138"/>
    <x v="94"/>
    <x v="41"/>
    <x v="0"/>
    <n v="50"/>
  </r>
  <r>
    <s v="JUSTIN"/>
    <s v="03"/>
    <s v="GRIFFINF"/>
    <s v="FROSTPROOF"/>
    <x v="98"/>
    <x v="4"/>
    <x v="1"/>
    <s v="Invoice"/>
    <s v="70417"/>
    <x v="106"/>
    <x v="74"/>
    <x v="13"/>
    <x v="0"/>
    <n v="740"/>
  </r>
  <r>
    <s v="JUSTIN"/>
    <s v="03"/>
    <s v="CPSFTPIE"/>
    <s v="FT. PIERCE"/>
    <x v="104"/>
    <x v="4"/>
    <x v="1"/>
    <s v="Invoice"/>
    <s v="71134"/>
    <x v="166"/>
    <x v="29"/>
    <x v="26"/>
    <x v="0"/>
    <n v="1500"/>
  </r>
  <r>
    <s v="JUSTIN"/>
    <s v="03"/>
    <s v="CPSFTPIE"/>
    <s v="FT. PIERCE"/>
    <x v="104"/>
    <x v="4"/>
    <x v="1"/>
    <s v="Invoice"/>
    <s v="71154"/>
    <x v="38"/>
    <x v="30"/>
    <x v="27"/>
    <x v="0"/>
    <n v="1160"/>
  </r>
  <r>
    <s v="JUSTIN"/>
    <s v="03"/>
    <s v="G&amp;DFARMS"/>
    <s v="HWY39/62-SOUTH"/>
    <x v="104"/>
    <x v="4"/>
    <x v="1"/>
    <s v="Invoice"/>
    <s v="71491"/>
    <x v="193"/>
    <x v="170"/>
    <x v="22"/>
    <x v="2"/>
    <n v="10.005000000000001"/>
  </r>
  <r>
    <s v="JUSTIN"/>
    <s v="03"/>
    <s v="COUNCILO"/>
    <s v="G&amp;D FARMS"/>
    <x v="105"/>
    <x v="4"/>
    <x v="1"/>
    <s v="Invoice"/>
    <s v="72232"/>
    <x v="132"/>
    <x v="120"/>
    <x v="50"/>
    <x v="0"/>
    <n v="4782"/>
  </r>
  <r>
    <s v="JUSTIN"/>
    <s v="03"/>
    <s v="COASTALAGSUPPLY"/>
    <s v="MULBERRY"/>
    <x v="92"/>
    <x v="4"/>
    <x v="1"/>
    <s v="Invoice"/>
    <s v="72297"/>
    <x v="100"/>
    <x v="94"/>
    <x v="41"/>
    <x v="0"/>
    <n v="1250"/>
  </r>
  <r>
    <s v="JUSTIN"/>
    <s v="03"/>
    <s v="G&amp;DFARMS"/>
    <s v="MIDDLE"/>
    <x v="92"/>
    <x v="4"/>
    <x v="1"/>
    <s v="Invoice"/>
    <s v="72310"/>
    <x v="193"/>
    <x v="170"/>
    <x v="22"/>
    <x v="2"/>
    <n v="15.0275"/>
  </r>
  <r>
    <s v="JUSTIN"/>
    <s v="03"/>
    <s v="CPSWACHU"/>
    <s v="WAUCHULA"/>
    <x v="99"/>
    <x v="4"/>
    <x v="1"/>
    <s v="Invoice"/>
    <s v="72760"/>
    <x v="196"/>
    <x v="172"/>
    <x v="61"/>
    <x v="0"/>
    <n v="180"/>
  </r>
  <r>
    <s v="JUSTIN"/>
    <s v="03"/>
    <s v="COUNCILO"/>
    <s v="COUNCIL-OXFORD"/>
    <x v="99"/>
    <x v="4"/>
    <x v="1"/>
    <s v="Invoice"/>
    <s v="72808"/>
    <x v="137"/>
    <x v="173"/>
    <x v="23"/>
    <x v="0"/>
    <n v="180"/>
  </r>
  <r>
    <s v=""/>
    <s v="03"/>
    <s v="CPSMULB"/>
    <s v="UAP/MULBERRY"/>
    <x v="99"/>
    <x v="4"/>
    <x v="1"/>
    <s v="Invoice"/>
    <s v="72987"/>
    <x v="5"/>
    <x v="72"/>
    <x v="4"/>
    <x v="0"/>
    <n v="360"/>
  </r>
  <r>
    <s v="JUSTIN"/>
    <s v="03"/>
    <s v="TRIANGLE"/>
    <s v="TRIANGLE/LAKEPL"/>
    <x v="93"/>
    <x v="4"/>
    <x v="1"/>
    <s v="Invoice"/>
    <s v="73794"/>
    <x v="100"/>
    <x v="94"/>
    <x v="41"/>
    <x v="0"/>
    <n v="250"/>
  </r>
  <r>
    <s v="JUSTIN"/>
    <s v="03"/>
    <s v="CPSWAVER"/>
    <s v="WAVERLY"/>
    <x v="93"/>
    <x v="4"/>
    <x v="1"/>
    <s v="Invoice"/>
    <s v="73957"/>
    <x v="5"/>
    <x v="72"/>
    <x v="4"/>
    <x v="0"/>
    <n v="180"/>
  </r>
  <r>
    <s v="JUSTIN"/>
    <s v="03"/>
    <s v="CPSWACHU"/>
    <s v="WAUCHULA"/>
    <x v="93"/>
    <x v="4"/>
    <x v="1"/>
    <s v="Invoice"/>
    <s v="74043"/>
    <x v="36"/>
    <x v="31"/>
    <x v="4"/>
    <x v="0"/>
    <n v="180"/>
  </r>
  <r>
    <s v="JUSTIN"/>
    <s v="03"/>
    <s v="CPSWACHU"/>
    <s v="WAUCHULA"/>
    <x v="93"/>
    <x v="4"/>
    <x v="1"/>
    <s v="Invoice"/>
    <s v="74121"/>
    <x v="34"/>
    <x v="29"/>
    <x v="26"/>
    <x v="0"/>
    <n v="360"/>
  </r>
  <r>
    <s v=""/>
    <s v="03"/>
    <s v="CPSMULB"/>
    <s v="UAP/MULBERRY"/>
    <x v="93"/>
    <x v="4"/>
    <x v="1"/>
    <s v="Invoice"/>
    <s v="74122"/>
    <x v="102"/>
    <x v="71"/>
    <x v="34"/>
    <x v="0"/>
    <n v="500"/>
  </r>
  <r>
    <s v="JUSTIN"/>
    <s v="03"/>
    <s v="CPSWACHU"/>
    <s v="WAUCHULA"/>
    <x v="93"/>
    <x v="4"/>
    <x v="1"/>
    <s v="Invoice"/>
    <s v="74123"/>
    <x v="166"/>
    <x v="29"/>
    <x v="26"/>
    <x v="0"/>
    <n v="500"/>
  </r>
  <r>
    <s v="JUSTIN"/>
    <s v="03"/>
    <s v="CPSIMMOK"/>
    <s v="IMMOKALEE"/>
    <x v="93"/>
    <x v="4"/>
    <x v="1"/>
    <s v="Invoice"/>
    <s v="74124"/>
    <x v="34"/>
    <x v="29"/>
    <x v="26"/>
    <x v="0"/>
    <n v="180"/>
  </r>
  <r>
    <s v=""/>
    <s v="03"/>
    <s v="CPSMULB"/>
    <s v="UAP/MULBERRY"/>
    <x v="93"/>
    <x v="4"/>
    <x v="1"/>
    <s v="Invoice"/>
    <s v="74227"/>
    <x v="34"/>
    <x v="29"/>
    <x v="26"/>
    <x v="0"/>
    <n v="180"/>
  </r>
  <r>
    <s v="JUSTIN"/>
    <s v="03"/>
    <s v="AMERICANAG"/>
    <s v="IMMOKALEE"/>
    <x v="100"/>
    <x v="4"/>
    <x v="1"/>
    <s v="Invoice"/>
    <s v="75623"/>
    <x v="91"/>
    <x v="174"/>
    <x v="14"/>
    <x v="0"/>
    <n v="50"/>
  </r>
  <r>
    <s v="JUSTIN"/>
    <s v="03"/>
    <s v="AMERICANAG"/>
    <s v="IMMOKALEE"/>
    <x v="100"/>
    <x v="4"/>
    <x v="1"/>
    <s v="Invoice"/>
    <s v="75623"/>
    <x v="179"/>
    <x v="162"/>
    <x v="60"/>
    <x v="0"/>
    <n v="50"/>
  </r>
  <r>
    <s v="JUSTIN"/>
    <s v="03"/>
    <s v="CPSFTPIE"/>
    <s v="FT. PIERCE"/>
    <x v="100"/>
    <x v="4"/>
    <x v="1"/>
    <s v="Invoice"/>
    <s v="75993"/>
    <x v="197"/>
    <x v="31"/>
    <x v="4"/>
    <x v="0"/>
    <n v="1500"/>
  </r>
  <r>
    <s v="JUSTIN"/>
    <s v="03"/>
    <s v="CPSIMMOK"/>
    <s v="IMMOKALEE"/>
    <x v="100"/>
    <x v="4"/>
    <x v="1"/>
    <s v="Invoice"/>
    <s v="76226"/>
    <x v="166"/>
    <x v="29"/>
    <x v="26"/>
    <x v="0"/>
    <n v="1500"/>
  </r>
  <r>
    <s v=""/>
    <s v="03"/>
    <s v="CPSMULB"/>
    <s v="UAP/MULBERRY"/>
    <x v="100"/>
    <x v="4"/>
    <x v="1"/>
    <s v="Invoice"/>
    <s v="76391"/>
    <x v="34"/>
    <x v="29"/>
    <x v="26"/>
    <x v="0"/>
    <n v="360"/>
  </r>
  <r>
    <s v="JUSTIN"/>
    <s v="03"/>
    <s v="CPSPARRI"/>
    <s v="PARRISH"/>
    <x v="100"/>
    <x v="4"/>
    <x v="1"/>
    <s v="Invoice"/>
    <s v="76789"/>
    <x v="198"/>
    <x v="175"/>
    <x v="62"/>
    <x v="0"/>
    <n v="250"/>
  </r>
  <r>
    <s v="DPOPPELL"/>
    <s v="04"/>
    <s v="MERCEDCH"/>
    <s v="HWY62"/>
    <x v="106"/>
    <x v="4"/>
    <x v="1"/>
    <s v="Invoice"/>
    <s v="39240"/>
    <x v="43"/>
    <x v="38"/>
    <x v="22"/>
    <x v="2"/>
    <n v="8.0075000000000003"/>
  </r>
  <r>
    <s v="DPOPPELL"/>
    <s v="04"/>
    <s v="SYDNEYFA"/>
    <s v="FORBES ROAD"/>
    <x v="95"/>
    <x v="4"/>
    <x v="1"/>
    <s v="Invoice"/>
    <s v="41640"/>
    <x v="172"/>
    <x v="152"/>
    <x v="22"/>
    <x v="2"/>
    <n v="14.994999999999999"/>
  </r>
  <r>
    <s v="DPOPPELL"/>
    <s v="04"/>
    <s v="FERRISFA"/>
    <s v="BLUEBERRY-NEW"/>
    <x v="95"/>
    <x v="4"/>
    <x v="1"/>
    <s v="Invoice"/>
    <s v="43137"/>
    <x v="136"/>
    <x v="111"/>
    <x v="46"/>
    <x v="0"/>
    <n v="20"/>
  </r>
  <r>
    <s v="DPOPPELL"/>
    <s v="04"/>
    <s v="ALVAREZJ"/>
    <s v="ROGERS"/>
    <x v="95"/>
    <x v="4"/>
    <x v="1"/>
    <s v="Invoice"/>
    <s v="43147"/>
    <x v="68"/>
    <x v="61"/>
    <x v="22"/>
    <x v="2"/>
    <n v="4.01"/>
  </r>
  <r>
    <s v="DPOPPELL"/>
    <s v="04"/>
    <s v="M&amp;GFARMS"/>
    <s v="HWY 640"/>
    <x v="95"/>
    <x v="4"/>
    <x v="1"/>
    <s v="Invoice"/>
    <s v="43200"/>
    <x v="28"/>
    <x v="23"/>
    <x v="22"/>
    <x v="2"/>
    <n v="10.0525"/>
  </r>
  <r>
    <s v="DPOPPELL"/>
    <s v="04"/>
    <s v="CHARLIEG-LLC"/>
    <s v="DAIRY"/>
    <x v="95"/>
    <x v="4"/>
    <x v="1"/>
    <s v="Invoice"/>
    <s v="43281"/>
    <x v="64"/>
    <x v="57"/>
    <x v="22"/>
    <x v="2"/>
    <n v="10.005000000000001"/>
  </r>
  <r>
    <s v="DPOPPELL"/>
    <s v="04"/>
    <s v="LEE GILLM"/>
    <s v="PASTUREPUMP"/>
    <x v="88"/>
    <x v="4"/>
    <x v="1"/>
    <s v="Invoice"/>
    <s v="43778"/>
    <x v="63"/>
    <x v="56"/>
    <x v="22"/>
    <x v="2"/>
    <n v="1.9724999999999999"/>
  </r>
  <r>
    <s v="DPOPPELL"/>
    <s v="04"/>
    <s v="PARKESDA"/>
    <s v="HILL"/>
    <x v="88"/>
    <x v="4"/>
    <x v="1"/>
    <s v="Invoice"/>
    <s v="43792"/>
    <x v="65"/>
    <x v="58"/>
    <x v="22"/>
    <x v="2"/>
    <n v="14.9925"/>
  </r>
  <r>
    <s v="DPOPPELL"/>
    <s v="04"/>
    <s v="PORTER HA"/>
    <s v="BILLS PLACE"/>
    <x v="88"/>
    <x v="4"/>
    <x v="1"/>
    <s v="Invoice"/>
    <s v="44543"/>
    <x v="113"/>
    <x v="100"/>
    <x v="42"/>
    <x v="0"/>
    <n v="55"/>
  </r>
  <r>
    <s v="DPOPPELL"/>
    <s v="04"/>
    <s v="FLORIDAAG"/>
    <s v="DOVER"/>
    <x v="88"/>
    <x v="4"/>
    <x v="1"/>
    <s v="Invoice"/>
    <s v="44544"/>
    <x v="199"/>
    <x v="176"/>
    <x v="22"/>
    <x v="2"/>
    <n v="0.05"/>
  </r>
  <r>
    <s v="DPOPPELL"/>
    <s v="04"/>
    <s v="EWSIMMON"/>
    <s v="TURKEY CRK"/>
    <x v="107"/>
    <x v="4"/>
    <x v="1"/>
    <s v="Invoice"/>
    <s v="46048"/>
    <x v="173"/>
    <x v="154"/>
    <x v="22"/>
    <x v="2"/>
    <n v="4.99"/>
  </r>
  <r>
    <s v="DPOPPELL"/>
    <s v="04"/>
    <s v="GEORGESP"/>
    <s v="PANDORA"/>
    <x v="107"/>
    <x v="4"/>
    <x v="1"/>
    <s v="Invoice"/>
    <s v="46155"/>
    <x v="56"/>
    <x v="49"/>
    <x v="22"/>
    <x v="2"/>
    <n v="2.4900000000000002"/>
  </r>
  <r>
    <s v="DPOPPELL"/>
    <s v="04"/>
    <s v="SWEETLIFE"/>
    <s v="FOSTERDUKES"/>
    <x v="107"/>
    <x v="4"/>
    <x v="1"/>
    <s v="Invoice"/>
    <s v="46158"/>
    <x v="64"/>
    <x v="57"/>
    <x v="22"/>
    <x v="2"/>
    <n v="9.5"/>
  </r>
  <r>
    <s v="DPOPPELL"/>
    <s v="04"/>
    <s v="GEORGESP"/>
    <s v="TURKEY CREEK/EA"/>
    <x v="107"/>
    <x v="4"/>
    <x v="1"/>
    <s v="Invoice"/>
    <s v="46393"/>
    <x v="56"/>
    <x v="49"/>
    <x v="22"/>
    <x v="2"/>
    <n v="2.4975000000000001"/>
  </r>
  <r>
    <s v="DPOPPELL"/>
    <s v="04"/>
    <s v="CENFLO ORGANICS"/>
    <s v="HWY92"/>
    <x v="107"/>
    <x v="4"/>
    <x v="1"/>
    <s v="Invoice"/>
    <s v="46912"/>
    <x v="65"/>
    <x v="58"/>
    <x v="22"/>
    <x v="2"/>
    <n v="1.24"/>
  </r>
  <r>
    <s v="DPOPPELL"/>
    <s v="04"/>
    <s v="JOSEHERN"/>
    <s v="SPARKMAN"/>
    <x v="101"/>
    <x v="4"/>
    <x v="1"/>
    <s v="Invoice"/>
    <s v="47101"/>
    <x v="28"/>
    <x v="23"/>
    <x v="22"/>
    <x v="2"/>
    <n v="10"/>
  </r>
  <r>
    <s v="DPOPPELL"/>
    <s v="04"/>
    <s v="SWEETLIFE"/>
    <s v="MCGEE RD."/>
    <x v="107"/>
    <x v="4"/>
    <x v="1"/>
    <s v="Invoice"/>
    <s v="47156"/>
    <x v="64"/>
    <x v="57"/>
    <x v="22"/>
    <x v="2"/>
    <n v="12.9975"/>
  </r>
  <r>
    <s v="DPOPPELL"/>
    <s v="04"/>
    <s v="FERRISFA"/>
    <s v="BLUEBERRY-NEW"/>
    <x v="101"/>
    <x v="4"/>
    <x v="1"/>
    <s v="Invoice"/>
    <s v="47377"/>
    <x v="154"/>
    <x v="136"/>
    <x v="22"/>
    <x v="2"/>
    <n v="15"/>
  </r>
  <r>
    <s v="DPOPPELL"/>
    <s v="04"/>
    <s v="IFASGULF"/>
    <s v="BALM-STRAWBERRY"/>
    <x v="101"/>
    <x v="4"/>
    <x v="1"/>
    <s v="Invoice"/>
    <s v="47577"/>
    <x v="111"/>
    <x v="99"/>
    <x v="22"/>
    <x v="2"/>
    <n v="1.25"/>
  </r>
  <r>
    <s v="DPOPPELL"/>
    <s v="04"/>
    <s v="SWEETLIFE"/>
    <s v="STRAWBERRY STAT"/>
    <x v="101"/>
    <x v="4"/>
    <x v="1"/>
    <s v="Invoice"/>
    <s v="47608"/>
    <x v="141"/>
    <x v="124"/>
    <x v="24"/>
    <x v="0"/>
    <n v="250"/>
  </r>
  <r>
    <s v="DPOPPELL"/>
    <s v="04"/>
    <s v="MIDWAYF"/>
    <s v="FORBES"/>
    <x v="101"/>
    <x v="4"/>
    <x v="1"/>
    <s v="Invoice"/>
    <s v="47682"/>
    <x v="64"/>
    <x v="57"/>
    <x v="22"/>
    <x v="2"/>
    <n v="3.99"/>
  </r>
  <r>
    <s v="DPOPPELL"/>
    <s v="04"/>
    <s v="FAVORITE"/>
    <s v="BETHLEHEM ROAD"/>
    <x v="101"/>
    <x v="4"/>
    <x v="1"/>
    <s v="Invoice"/>
    <s v="47891"/>
    <x v="59"/>
    <x v="52"/>
    <x v="22"/>
    <x v="2"/>
    <n v="5.0025000000000004"/>
  </r>
  <r>
    <s v="DPOPPELL"/>
    <s v="04"/>
    <s v="GUTIERREZDAN"/>
    <s v="FORBES/SLATON"/>
    <x v="101"/>
    <x v="4"/>
    <x v="1"/>
    <s v="Invoice"/>
    <s v="48566"/>
    <x v="55"/>
    <x v="48"/>
    <x v="22"/>
    <x v="2"/>
    <n v="9.5"/>
  </r>
  <r>
    <s v="DPOPPELL"/>
    <s v="04"/>
    <s v="ELIASCEDILLO"/>
    <s v="JESS WALDEN"/>
    <x v="101"/>
    <x v="4"/>
    <x v="1"/>
    <s v="Invoice"/>
    <s v="48577"/>
    <x v="58"/>
    <x v="51"/>
    <x v="22"/>
    <x v="2"/>
    <n v="2.5"/>
  </r>
  <r>
    <s v="DPOPPELL"/>
    <s v="04"/>
    <s v="SWEETLIFE"/>
    <s v="BRYANT S"/>
    <x v="101"/>
    <x v="4"/>
    <x v="1"/>
    <s v="Invoice"/>
    <s v="48732"/>
    <x v="64"/>
    <x v="57"/>
    <x v="22"/>
    <x v="2"/>
    <n v="8.5124999999999993"/>
  </r>
  <r>
    <s v="DPOPPELL"/>
    <s v="04"/>
    <s v="MENDOZAHEC"/>
    <s v="HWY60"/>
    <x v="101"/>
    <x v="4"/>
    <x v="1"/>
    <s v="Invoice"/>
    <s v="48901"/>
    <x v="27"/>
    <x v="22"/>
    <x v="22"/>
    <x v="2"/>
    <n v="3.4925000000000002"/>
  </r>
  <r>
    <s v="DPOPPELL"/>
    <s v="04"/>
    <s v="BEAUCHAMP"/>
    <s v="HWY 92/GROVE"/>
    <x v="101"/>
    <x v="4"/>
    <x v="1"/>
    <s v="Invoice"/>
    <s v="51227"/>
    <x v="104"/>
    <x v="96"/>
    <x v="22"/>
    <x v="2"/>
    <n v="5.4974999999999996"/>
  </r>
  <r>
    <s v="DPOPPELL"/>
    <s v="04"/>
    <s v="GUTIERREZA"/>
    <s v="WIAMAUMA"/>
    <x v="101"/>
    <x v="4"/>
    <x v="1"/>
    <s v="Invoice"/>
    <s v="51259"/>
    <x v="58"/>
    <x v="51"/>
    <x v="22"/>
    <x v="2"/>
    <n v="5.0225"/>
  </r>
  <r>
    <s v="DPOPPELL"/>
    <s v="04"/>
    <s v="SWEETLIFE"/>
    <s v="KNIGHTS GRIFFIN"/>
    <x v="101"/>
    <x v="4"/>
    <x v="1"/>
    <s v="Invoice"/>
    <s v="51320"/>
    <x v="64"/>
    <x v="57"/>
    <x v="22"/>
    <x v="2"/>
    <n v="5"/>
  </r>
  <r>
    <s v="DPOPPELL"/>
    <s v="04"/>
    <s v="IFASGULF"/>
    <s v="BALM-STRAWBERRY"/>
    <x v="101"/>
    <x v="4"/>
    <x v="1"/>
    <s v="Invoice"/>
    <s v="51778"/>
    <x v="28"/>
    <x v="23"/>
    <x v="22"/>
    <x v="2"/>
    <n v="7.52"/>
  </r>
  <r>
    <s v="DPOPPELL"/>
    <s v="04"/>
    <s v="JOSEHERN"/>
    <s v="KEYSVILLE N"/>
    <x v="89"/>
    <x v="4"/>
    <x v="1"/>
    <s v="Invoice"/>
    <s v="52121"/>
    <x v="28"/>
    <x v="23"/>
    <x v="22"/>
    <x v="2"/>
    <n v="15.022500000000001"/>
  </r>
  <r>
    <s v="DPOPPELL"/>
    <s v="04"/>
    <s v="FANCYFAR"/>
    <s v="JOHN DEER POND"/>
    <x v="89"/>
    <x v="4"/>
    <x v="1"/>
    <s v="Invoice"/>
    <s v="52438"/>
    <x v="174"/>
    <x v="155"/>
    <x v="22"/>
    <x v="2"/>
    <n v="15"/>
  </r>
  <r>
    <s v="DPOPPELL"/>
    <s v="04"/>
    <s v="ELIASCEDILLO"/>
    <s v="MAILING"/>
    <x v="89"/>
    <x v="4"/>
    <x v="1"/>
    <s v="Invoice"/>
    <s v="52883"/>
    <x v="77"/>
    <x v="37"/>
    <x v="30"/>
    <x v="0"/>
    <n v="60"/>
  </r>
  <r>
    <s v="DPOPPELL"/>
    <s v="04"/>
    <s v="M&amp;GFARMS"/>
    <s v="COUNTY LINE RD"/>
    <x v="89"/>
    <x v="4"/>
    <x v="1"/>
    <s v="Invoice"/>
    <s v="53403"/>
    <x v="58"/>
    <x v="51"/>
    <x v="22"/>
    <x v="2"/>
    <n v="5"/>
  </r>
  <r>
    <s v="DPOPPELL"/>
    <s v="04"/>
    <s v="MIDWAYF"/>
    <s v="FORBES"/>
    <x v="89"/>
    <x v="4"/>
    <x v="1"/>
    <s v="Invoice"/>
    <s v="53488"/>
    <x v="64"/>
    <x v="57"/>
    <x v="22"/>
    <x v="2"/>
    <n v="10"/>
  </r>
  <r>
    <s v="DPOPPELL"/>
    <s v="04"/>
    <s v="COLORFULH"/>
    <s v="TRAPNELL RD."/>
    <x v="89"/>
    <x v="4"/>
    <x v="1"/>
    <s v="Invoice"/>
    <s v="53509"/>
    <x v="149"/>
    <x v="129"/>
    <x v="22"/>
    <x v="2"/>
    <n v="2.5"/>
  </r>
  <r>
    <s v="DPOPPELL"/>
    <s v="04"/>
    <s v="SWEETLIFE"/>
    <s v="KNIGHTS GRIFFIN"/>
    <x v="89"/>
    <x v="4"/>
    <x v="1"/>
    <s v="Invoice"/>
    <s v="53807"/>
    <x v="64"/>
    <x v="57"/>
    <x v="22"/>
    <x v="2"/>
    <n v="15"/>
  </r>
  <r>
    <s v="DPOPPELL"/>
    <s v="04"/>
    <s v="SWEETLIFE"/>
    <s v="SWINDLES"/>
    <x v="89"/>
    <x v="4"/>
    <x v="1"/>
    <s v="Invoice"/>
    <s v="53882"/>
    <x v="64"/>
    <x v="57"/>
    <x v="22"/>
    <x v="2"/>
    <n v="10.005000000000001"/>
  </r>
  <r>
    <s v="DPOPPELL"/>
    <s v="04"/>
    <s v="FERRISFA"/>
    <s v="MAILING"/>
    <x v="102"/>
    <x v="4"/>
    <x v="1"/>
    <s v="Invoice"/>
    <s v="54837"/>
    <x v="107"/>
    <x v="98"/>
    <x v="36"/>
    <x v="0"/>
    <n v="10"/>
  </r>
  <r>
    <s v="DPOPPELL"/>
    <s v="04"/>
    <s v="MERCEDCH"/>
    <s v="HWY62"/>
    <x v="102"/>
    <x v="4"/>
    <x v="1"/>
    <s v="Invoice"/>
    <s v="55070"/>
    <x v="145"/>
    <x v="126"/>
    <x v="22"/>
    <x v="2"/>
    <n v="8.0024999999999995"/>
  </r>
  <r>
    <s v="DPOPPELL"/>
    <s v="04"/>
    <s v="SRISAIAY"/>
    <s v="SYDNEY DOVER"/>
    <x v="102"/>
    <x v="4"/>
    <x v="1"/>
    <s v="Invoice"/>
    <s v="55077"/>
    <x v="28"/>
    <x v="23"/>
    <x v="22"/>
    <x v="2"/>
    <n v="2.4900000000000002"/>
  </r>
  <r>
    <s v="DPOPPELL"/>
    <s v="04"/>
    <s v="TECHFARM"/>
    <s v="SYDNEYDOVER"/>
    <x v="102"/>
    <x v="4"/>
    <x v="1"/>
    <s v="Invoice"/>
    <s v="55455"/>
    <x v="28"/>
    <x v="23"/>
    <x v="22"/>
    <x v="2"/>
    <n v="3.7725"/>
  </r>
  <r>
    <s v=""/>
    <s v="04"/>
    <s v="PORTER HA"/>
    <s v="PASTURE"/>
    <x v="102"/>
    <x v="4"/>
    <x v="1"/>
    <s v="Invoice"/>
    <s v="55474"/>
    <x v="28"/>
    <x v="23"/>
    <x v="22"/>
    <x v="2"/>
    <n v="4.9850000000000003"/>
  </r>
  <r>
    <s v="DPOPPELL"/>
    <s v="04"/>
    <s v="GUTIERREZA"/>
    <s v="TOMGALLAGHER"/>
    <x v="102"/>
    <x v="4"/>
    <x v="1"/>
    <s v="Invoice"/>
    <s v="55492"/>
    <x v="69"/>
    <x v="62"/>
    <x v="22"/>
    <x v="2"/>
    <n v="3.9975000000000001"/>
  </r>
  <r>
    <s v="DPOPPELL"/>
    <s v="04"/>
    <s v="GEORGESP"/>
    <s v="TRAPNELL ROAD"/>
    <x v="102"/>
    <x v="4"/>
    <x v="1"/>
    <s v="Invoice"/>
    <s v="55493"/>
    <x v="58"/>
    <x v="51"/>
    <x v="22"/>
    <x v="2"/>
    <n v="2.5024999999999999"/>
  </r>
  <r>
    <s v="DPOPPELL"/>
    <s v="04"/>
    <s v="VENTURAFARMS"/>
    <s v="HOUSE"/>
    <x v="102"/>
    <x v="4"/>
    <x v="1"/>
    <s v="Invoice"/>
    <s v="55500"/>
    <x v="58"/>
    <x v="51"/>
    <x v="22"/>
    <x v="2"/>
    <n v="1.5"/>
  </r>
  <r>
    <s v="DPOPPELL"/>
    <s v="04"/>
    <s v="JOEPENA"/>
    <s v="HWY 92"/>
    <x v="102"/>
    <x v="4"/>
    <x v="1"/>
    <s v="Invoice"/>
    <s v="55501"/>
    <x v="114"/>
    <x v="101"/>
    <x v="22"/>
    <x v="2"/>
    <n v="1"/>
  </r>
  <r>
    <s v=""/>
    <s v="04"/>
    <s v="FCFARMS"/>
    <s v="MAIN"/>
    <x v="102"/>
    <x v="4"/>
    <x v="1"/>
    <s v="Invoice"/>
    <s v="55519"/>
    <x v="58"/>
    <x v="51"/>
    <x v="22"/>
    <x v="2"/>
    <n v="2.2524999999999999"/>
  </r>
  <r>
    <s v="DPOPPELL"/>
    <s v="04"/>
    <s v="CHARLIEG-LLC"/>
    <s v="LAMPP ROAD"/>
    <x v="102"/>
    <x v="4"/>
    <x v="1"/>
    <s v="Invoice"/>
    <s v="55579"/>
    <x v="64"/>
    <x v="57"/>
    <x v="22"/>
    <x v="2"/>
    <n v="7.5125000000000002"/>
  </r>
  <r>
    <s v="DPOPPELL"/>
    <s v="04"/>
    <s v="THREESTA"/>
    <s v="WALDEN-SHEFFIEL"/>
    <x v="90"/>
    <x v="4"/>
    <x v="1"/>
    <s v="Invoice"/>
    <s v="56006"/>
    <x v="172"/>
    <x v="152"/>
    <x v="22"/>
    <x v="2"/>
    <n v="10.012499999999999"/>
  </r>
  <r>
    <s v="DPOPPELL"/>
    <s v="04"/>
    <s v="SWEETLIFE"/>
    <s v="SAMALLEN-SOUTH"/>
    <x v="90"/>
    <x v="4"/>
    <x v="1"/>
    <s v="Invoice"/>
    <s v="58948"/>
    <x v="64"/>
    <x v="57"/>
    <x v="22"/>
    <x v="2"/>
    <n v="7.5"/>
  </r>
  <r>
    <s v="DPOPPELL"/>
    <s v="04"/>
    <s v="LEE GILLM"/>
    <s v="COW PENS/WEST"/>
    <x v="90"/>
    <x v="4"/>
    <x v="1"/>
    <s v="Invoice"/>
    <s v="59022"/>
    <x v="63"/>
    <x v="56"/>
    <x v="22"/>
    <x v="2"/>
    <n v="2.5"/>
  </r>
  <r>
    <s v="DPOPPELL"/>
    <s v="04"/>
    <s v="FRANKLIN"/>
    <s v="MCGEE RD. SOUTH"/>
    <x v="90"/>
    <x v="4"/>
    <x v="1"/>
    <s v="Invoice"/>
    <s v="59157"/>
    <x v="45"/>
    <x v="37"/>
    <x v="30"/>
    <x v="0"/>
    <n v="250"/>
  </r>
  <r>
    <s v="DPOPPELL"/>
    <s v="04"/>
    <s v="CIRCLEGF&amp;R LLC"/>
    <s v="KNIGHTS-N-#16"/>
    <x v="90"/>
    <x v="4"/>
    <x v="1"/>
    <s v="Invoice"/>
    <s v="59187"/>
    <x v="64"/>
    <x v="57"/>
    <x v="22"/>
    <x v="2"/>
    <n v="15"/>
  </r>
  <r>
    <s v="DPOPPELL"/>
    <s v="04"/>
    <s v="EWSIMMON"/>
    <s v="JERRYSMITH/SO"/>
    <x v="90"/>
    <x v="4"/>
    <x v="1"/>
    <s v="Invoice"/>
    <s v="60182"/>
    <x v="173"/>
    <x v="154"/>
    <x v="22"/>
    <x v="2"/>
    <n v="10.012499999999999"/>
  </r>
  <r>
    <s v="DPOPPELL"/>
    <s v="04"/>
    <s v="CARLTONTHOMAS"/>
    <s v="GRANGEHALL"/>
    <x v="90"/>
    <x v="4"/>
    <x v="1"/>
    <s v="Invoice"/>
    <s v="61414"/>
    <x v="71"/>
    <x v="64"/>
    <x v="22"/>
    <x v="2"/>
    <n v="5.0250000000000004"/>
  </r>
  <r>
    <s v="DPOPPELL"/>
    <s v="04"/>
    <s v="SWEETLIFE"/>
    <s v="SWINDLEN"/>
    <x v="90"/>
    <x v="4"/>
    <x v="1"/>
    <s v="Invoice"/>
    <s v="61591"/>
    <x v="64"/>
    <x v="57"/>
    <x v="22"/>
    <x v="2"/>
    <n v="10.022500000000001"/>
  </r>
  <r>
    <s v="DPOPPELL"/>
    <s v="04"/>
    <s v="FRANKLIN"/>
    <s v="MCGEE RD. SOUTH"/>
    <x v="97"/>
    <x v="4"/>
    <x v="1"/>
    <s v="Invoice"/>
    <s v="61745"/>
    <x v="153"/>
    <x v="135"/>
    <x v="22"/>
    <x v="2"/>
    <n v="4"/>
  </r>
  <r>
    <s v="DPOPPELL"/>
    <s v="04"/>
    <s v="FRANKLIN"/>
    <s v="MCGEE RD. NORTH"/>
    <x v="97"/>
    <x v="4"/>
    <x v="1"/>
    <s v="Invoice"/>
    <s v="61788"/>
    <x v="145"/>
    <x v="126"/>
    <x v="22"/>
    <x v="2"/>
    <n v="5.01"/>
  </r>
  <r>
    <s v="DPOPPELL"/>
    <s v="04"/>
    <s v="BEAUCHAMP"/>
    <s v="GALLAGHER"/>
    <x v="97"/>
    <x v="4"/>
    <x v="1"/>
    <s v="Invoice"/>
    <s v="61975"/>
    <x v="104"/>
    <x v="96"/>
    <x v="22"/>
    <x v="2"/>
    <n v="4"/>
  </r>
  <r>
    <s v="DPOPPELL"/>
    <s v="04"/>
    <s v="CENFLO ORGANICS"/>
    <s v="MCINTOSH"/>
    <x v="97"/>
    <x v="4"/>
    <x v="1"/>
    <s v="Invoice"/>
    <s v="62091"/>
    <x v="65"/>
    <x v="58"/>
    <x v="22"/>
    <x v="2"/>
    <n v="5.0049999999999999"/>
  </r>
  <r>
    <s v="DPOPPELL"/>
    <s v="04"/>
    <s v="ALVAREZJ"/>
    <s v="SYDNEY RD"/>
    <x v="97"/>
    <x v="4"/>
    <x v="1"/>
    <s v="Invoice"/>
    <s v="62296"/>
    <x v="58"/>
    <x v="51"/>
    <x v="22"/>
    <x v="2"/>
    <n v="2.0699999999999998"/>
  </r>
  <r>
    <s v="DPOPPELL"/>
    <s v="04"/>
    <s v="GUTIERREZA"/>
    <s v="WIAMAUMA"/>
    <x v="97"/>
    <x v="4"/>
    <x v="1"/>
    <s v="Invoice"/>
    <s v="62467"/>
    <x v="109"/>
    <x v="80"/>
    <x v="2"/>
    <x v="0"/>
    <n v="250"/>
  </r>
  <r>
    <s v="DPOPPELL"/>
    <s v="04"/>
    <s v="GUTIERREZA"/>
    <s v="WIAMAUMA"/>
    <x v="97"/>
    <x v="4"/>
    <x v="1"/>
    <s v="Invoice"/>
    <s v="62467"/>
    <x v="110"/>
    <x v="97"/>
    <x v="16"/>
    <x v="0"/>
    <n v="250"/>
  </r>
  <r>
    <s v="DPOPPELL"/>
    <s v="04"/>
    <s v="GUTIERREZA"/>
    <s v="WIAMAUMA"/>
    <x v="97"/>
    <x v="4"/>
    <x v="1"/>
    <s v="Invoice"/>
    <s v="62467"/>
    <x v="142"/>
    <x v="123"/>
    <x v="0"/>
    <x v="0"/>
    <n v="250"/>
  </r>
  <r>
    <s v="DPOPPELL"/>
    <s v="04"/>
    <s v="ROQUEFARMS"/>
    <s v="MEEKHORIZON"/>
    <x v="97"/>
    <x v="4"/>
    <x v="1"/>
    <s v="Invoice"/>
    <s v="62781"/>
    <x v="200"/>
    <x v="177"/>
    <x v="22"/>
    <x v="2"/>
    <n v="2.5"/>
  </r>
  <r>
    <s v="DPOPPELL"/>
    <s v="04"/>
    <s v="MIDWAYF"/>
    <s v="HAGGERTY ROAD"/>
    <x v="97"/>
    <x v="4"/>
    <x v="1"/>
    <s v="Invoice"/>
    <s v="62984"/>
    <x v="64"/>
    <x v="57"/>
    <x v="22"/>
    <x v="2"/>
    <n v="4.5075000000000003"/>
  </r>
  <r>
    <s v="DPOPPELL"/>
    <s v="04"/>
    <s v="DESHONGK"/>
    <s v="KNIGHTS/SCHOOL"/>
    <x v="97"/>
    <x v="4"/>
    <x v="1"/>
    <s v="Invoice"/>
    <s v="63345"/>
    <x v="43"/>
    <x v="38"/>
    <x v="22"/>
    <x v="2"/>
    <n v="6.0175000000000001"/>
  </r>
  <r>
    <s v="DPOPPELL"/>
    <s v="04"/>
    <s v="TECHFARM"/>
    <s v="SYDNEYDOVER"/>
    <x v="97"/>
    <x v="4"/>
    <x v="1"/>
    <s v="Invoice"/>
    <s v="63381"/>
    <x v="112"/>
    <x v="100"/>
    <x v="42"/>
    <x v="0"/>
    <n v="250"/>
  </r>
  <r>
    <s v="DPOPPELL"/>
    <s v="04"/>
    <s v="GEORGESP"/>
    <s v="TURKEYTREE"/>
    <x v="97"/>
    <x v="4"/>
    <x v="1"/>
    <s v="Invoice"/>
    <s v="63848"/>
    <x v="58"/>
    <x v="51"/>
    <x v="22"/>
    <x v="2"/>
    <n v="2.5"/>
  </r>
  <r>
    <s v="DPOPPELL"/>
    <s v="04"/>
    <s v="MIDWAYF"/>
    <s v="KNIGHTSGRIFFIN"/>
    <x v="97"/>
    <x v="4"/>
    <x v="1"/>
    <s v="Invoice"/>
    <s v="64812"/>
    <x v="64"/>
    <x v="57"/>
    <x v="22"/>
    <x v="2"/>
    <n v="2.5024999999999999"/>
  </r>
  <r>
    <s v="DPOPPELL"/>
    <s v="04"/>
    <s v="GAONA, ESPER"/>
    <s v="WILLIAMSRD"/>
    <x v="97"/>
    <x v="4"/>
    <x v="1"/>
    <s v="Invoice"/>
    <s v="65107"/>
    <x v="28"/>
    <x v="23"/>
    <x v="22"/>
    <x v="2"/>
    <n v="5.5175000000000001"/>
  </r>
  <r>
    <s v="DPOPPELL"/>
    <s v="04"/>
    <s v="SOUTHERNHILL"/>
    <s v="SCHOFIELD"/>
    <x v="96"/>
    <x v="4"/>
    <x v="1"/>
    <s v="Invoice"/>
    <s v="66293"/>
    <x v="47"/>
    <x v="41"/>
    <x v="22"/>
    <x v="2"/>
    <n v="3.53"/>
  </r>
  <r>
    <s v="DPOPPELL"/>
    <s v="04"/>
    <s v="SOUTHERNHILL"/>
    <s v="SCHOFIELD"/>
    <x v="96"/>
    <x v="4"/>
    <x v="1"/>
    <s v="Invoice"/>
    <s v="66600"/>
    <x v="43"/>
    <x v="38"/>
    <x v="22"/>
    <x v="2"/>
    <n v="2.5099999999999998"/>
  </r>
  <r>
    <s v="DPOPPELL"/>
    <s v="04"/>
    <s v="MERCEDCH"/>
    <s v="BOBCAT"/>
    <x v="96"/>
    <x v="4"/>
    <x v="1"/>
    <s v="Invoice"/>
    <s v="66852"/>
    <x v="145"/>
    <x v="126"/>
    <x v="22"/>
    <x v="2"/>
    <n v="11"/>
  </r>
  <r>
    <s v="DPOPPELL"/>
    <s v="04"/>
    <s v="CHAVEZJOR"/>
    <s v="JOSE' CHAV- COD"/>
    <x v="96"/>
    <x v="4"/>
    <x v="1"/>
    <s v="Invoice"/>
    <s v="67176"/>
    <x v="53"/>
    <x v="46"/>
    <x v="22"/>
    <x v="2"/>
    <n v="0.15"/>
  </r>
  <r>
    <s v="DPOPPELL"/>
    <s v="04"/>
    <s v="PURLEYNK"/>
    <s v="MAIN"/>
    <x v="96"/>
    <x v="4"/>
    <x v="1"/>
    <s v="Invoice"/>
    <s v="67445"/>
    <x v="28"/>
    <x v="23"/>
    <x v="22"/>
    <x v="2"/>
    <n v="0.6"/>
  </r>
  <r>
    <s v="DPOPPELL"/>
    <s v="04"/>
    <s v="GERALDWI"/>
    <s v="SYDNEY RD"/>
    <x v="96"/>
    <x v="4"/>
    <x v="1"/>
    <s v="Invoice"/>
    <s v="67757"/>
    <x v="59"/>
    <x v="52"/>
    <x v="22"/>
    <x v="2"/>
    <n v="5.0225"/>
  </r>
  <r>
    <s v="DPOPPELL"/>
    <s v="04"/>
    <s v="PARKESDA"/>
    <s v="HILL"/>
    <x v="96"/>
    <x v="4"/>
    <x v="1"/>
    <s v="Invoice"/>
    <s v="67780"/>
    <x v="65"/>
    <x v="58"/>
    <x v="22"/>
    <x v="2"/>
    <n v="10.01"/>
  </r>
  <r>
    <s v="DPOPPELL"/>
    <s v="04"/>
    <s v="MERCEDCH"/>
    <s v="HWY62"/>
    <x v="103"/>
    <x v="4"/>
    <x v="1"/>
    <s v="Invoice"/>
    <s v="68645"/>
    <x v="43"/>
    <x v="38"/>
    <x v="22"/>
    <x v="2"/>
    <n v="5.0025000000000004"/>
  </r>
  <r>
    <s v="DPOPPELL"/>
    <s v="04"/>
    <s v="MERCEDCH"/>
    <s v="HWY62"/>
    <x v="103"/>
    <x v="4"/>
    <x v="1"/>
    <s v="Invoice"/>
    <s v="68782"/>
    <x v="145"/>
    <x v="126"/>
    <x v="22"/>
    <x v="2"/>
    <n v="7.9974999999999996"/>
  </r>
  <r>
    <s v="DPOPPELL"/>
    <s v="04"/>
    <s v="COLORFULH"/>
    <s v="SMITH RYALS"/>
    <x v="103"/>
    <x v="4"/>
    <x v="1"/>
    <s v="Invoice"/>
    <s v="68823"/>
    <x v="149"/>
    <x v="129"/>
    <x v="22"/>
    <x v="2"/>
    <n v="5"/>
  </r>
  <r>
    <s v="DPOPPELL"/>
    <s v="04"/>
    <s v="PEPPERBERRY"/>
    <s v="THE GROVE"/>
    <x v="103"/>
    <x v="4"/>
    <x v="1"/>
    <s v="Invoice"/>
    <s v="68907"/>
    <x v="149"/>
    <x v="129"/>
    <x v="22"/>
    <x v="2"/>
    <n v="6.5"/>
  </r>
  <r>
    <s v="DPOPPELL"/>
    <s v="04"/>
    <s v="GEORGESP"/>
    <s v="TURKEY CREEK/EA"/>
    <x v="103"/>
    <x v="4"/>
    <x v="1"/>
    <s v="Invoice"/>
    <s v="69063"/>
    <x v="58"/>
    <x v="51"/>
    <x v="22"/>
    <x v="2"/>
    <n v="2.5"/>
  </r>
  <r>
    <s v="DPOPPELL"/>
    <s v="04"/>
    <s v="SPIVEYFA"/>
    <s v="HOPEWELL"/>
    <x v="103"/>
    <x v="4"/>
    <x v="1"/>
    <s v="Invoice"/>
    <s v="69273"/>
    <x v="56"/>
    <x v="49"/>
    <x v="22"/>
    <x v="2"/>
    <n v="4"/>
  </r>
  <r>
    <s v="DPOPPELL"/>
    <s v="04"/>
    <s v="MIDWAYF"/>
    <s v="WILDER RD."/>
    <x v="91"/>
    <x v="4"/>
    <x v="1"/>
    <s v="Invoice"/>
    <s v="69389"/>
    <x v="64"/>
    <x v="57"/>
    <x v="22"/>
    <x v="2"/>
    <n v="2"/>
  </r>
  <r>
    <s v="DPOPPELL"/>
    <s v="04"/>
    <s v="LEE GILLM"/>
    <s v="THONOTOSASSA"/>
    <x v="91"/>
    <x v="4"/>
    <x v="1"/>
    <s v="Invoice"/>
    <s v="69423"/>
    <x v="63"/>
    <x v="56"/>
    <x v="22"/>
    <x v="2"/>
    <n v="1.9750000000000001"/>
  </r>
  <r>
    <s v="DPOPPELL"/>
    <s v="04"/>
    <s v="SYDNEYFA"/>
    <s v="FORBES ROAD"/>
    <x v="91"/>
    <x v="4"/>
    <x v="1"/>
    <s v="Invoice"/>
    <s v="69569"/>
    <x v="201"/>
    <x v="178"/>
    <x v="22"/>
    <x v="2"/>
    <n v="15.0175"/>
  </r>
  <r>
    <s v="DPOPPELL"/>
    <s v="04"/>
    <s v="BAYSIDE"/>
    <s v="MAIN"/>
    <x v="91"/>
    <x v="4"/>
    <x v="1"/>
    <s v="Invoice"/>
    <s v="69788"/>
    <x v="111"/>
    <x v="99"/>
    <x v="22"/>
    <x v="2"/>
    <n v="1.25"/>
  </r>
  <r>
    <s v="DPOPPELL"/>
    <s v="04"/>
    <s v="MENDOZAHEC"/>
    <s v="OLIVERRD"/>
    <x v="91"/>
    <x v="4"/>
    <x v="1"/>
    <s v="Invoice"/>
    <s v="69985"/>
    <x v="27"/>
    <x v="22"/>
    <x v="22"/>
    <x v="2"/>
    <n v="5.5025000000000004"/>
  </r>
  <r>
    <s v="DPOPPELL"/>
    <s v="04"/>
    <s v="THREESTA"/>
    <s v="WALDEN-SHEFFIEL"/>
    <x v="91"/>
    <x v="4"/>
    <x v="1"/>
    <s v="Invoice"/>
    <s v="70115"/>
    <x v="201"/>
    <x v="178"/>
    <x v="22"/>
    <x v="2"/>
    <n v="10"/>
  </r>
  <r>
    <s v="DPOPPELL"/>
    <s v="04"/>
    <s v="LITHIABERRY"/>
    <s v="MAILING"/>
    <x v="98"/>
    <x v="4"/>
    <x v="1"/>
    <s v="Invoice"/>
    <s v="70419"/>
    <x v="8"/>
    <x v="67"/>
    <x v="7"/>
    <x v="0"/>
    <n v="35"/>
  </r>
  <r>
    <s v="DPOPPELL"/>
    <s v="04"/>
    <s v="IFASGULF"/>
    <s v="BALM-STRAWBERRY"/>
    <x v="98"/>
    <x v="4"/>
    <x v="1"/>
    <s v="Invoice"/>
    <s v="70438"/>
    <x v="28"/>
    <x v="23"/>
    <x v="22"/>
    <x v="2"/>
    <n v="7.49"/>
  </r>
  <r>
    <s v="DPOPPELL"/>
    <s v="04"/>
    <s v="FERRISFA"/>
    <s v="MAILING"/>
    <x v="98"/>
    <x v="4"/>
    <x v="1"/>
    <s v="Invoice"/>
    <s v="70502"/>
    <x v="136"/>
    <x v="111"/>
    <x v="46"/>
    <x v="0"/>
    <n v="12.5"/>
  </r>
  <r>
    <s v="DPOPPELL"/>
    <s v="04"/>
    <s v="M&amp;GFARMS"/>
    <s v="RED BARN"/>
    <x v="98"/>
    <x v="4"/>
    <x v="1"/>
    <s v="Invoice"/>
    <s v="70507"/>
    <x v="28"/>
    <x v="23"/>
    <x v="22"/>
    <x v="2"/>
    <n v="8.0050000000000008"/>
  </r>
  <r>
    <s v=""/>
    <s v="04"/>
    <s v="VENTURAFARMS"/>
    <s v="MAIN"/>
    <x v="98"/>
    <x v="4"/>
    <x v="1"/>
    <s v="Invoice"/>
    <s v="70600"/>
    <x v="77"/>
    <x v="37"/>
    <x v="30"/>
    <x v="0"/>
    <n v="30"/>
  </r>
  <r>
    <s v="DPOPPELL"/>
    <s v="04"/>
    <s v="MIDWAYF"/>
    <s v="ALS - NORTH"/>
    <x v="98"/>
    <x v="4"/>
    <x v="1"/>
    <s v="Invoice"/>
    <s v="70745"/>
    <x v="64"/>
    <x v="57"/>
    <x v="22"/>
    <x v="2"/>
    <n v="5.01"/>
  </r>
  <r>
    <s v="DPOPPELL"/>
    <s v="04"/>
    <s v="GUTIERREZDAN"/>
    <s v="TANNER RD."/>
    <x v="98"/>
    <x v="4"/>
    <x v="1"/>
    <s v="Invoice"/>
    <s v="70803"/>
    <x v="58"/>
    <x v="51"/>
    <x v="22"/>
    <x v="2"/>
    <n v="3.9925000000000002"/>
  </r>
  <r>
    <s v="DPOPPELL"/>
    <s v="04"/>
    <s v="CHARLIEG-LLC"/>
    <s v="WILDER LOOP"/>
    <x v="98"/>
    <x v="4"/>
    <x v="1"/>
    <s v="Invoice"/>
    <s v="70869"/>
    <x v="64"/>
    <x v="57"/>
    <x v="22"/>
    <x v="2"/>
    <n v="4.0175000000000001"/>
  </r>
  <r>
    <s v="DPOPPELL"/>
    <s v="04"/>
    <s v="ROQUEFARMS"/>
    <s v="SWEETWATER"/>
    <x v="104"/>
    <x v="4"/>
    <x v="1"/>
    <s v="Invoice"/>
    <s v="71170"/>
    <x v="58"/>
    <x v="51"/>
    <x v="22"/>
    <x v="2"/>
    <n v="5"/>
  </r>
  <r>
    <s v="DPOPPELL"/>
    <s v="04"/>
    <s v="EWSIMMON"/>
    <s v="DRAWDY ROAD"/>
    <x v="104"/>
    <x v="4"/>
    <x v="1"/>
    <s v="Invoice"/>
    <s v="71449"/>
    <x v="173"/>
    <x v="154"/>
    <x v="22"/>
    <x v="2"/>
    <n v="12.5175"/>
  </r>
  <r>
    <s v="DPOPPELL"/>
    <s v="04"/>
    <s v="SOTERO"/>
    <s v="SOTERO"/>
    <x v="104"/>
    <x v="4"/>
    <x v="1"/>
    <s v="Invoice"/>
    <s v="71599"/>
    <x v="146"/>
    <x v="103"/>
    <x v="43"/>
    <x v="0"/>
    <n v="5"/>
  </r>
  <r>
    <s v="DPOPPELL"/>
    <s v="04"/>
    <s v="MIKELOTT"/>
    <s v="HILLSBOROUGH"/>
    <x v="104"/>
    <x v="4"/>
    <x v="1"/>
    <s v="Invoice"/>
    <s v="71636"/>
    <x v="28"/>
    <x v="23"/>
    <x v="22"/>
    <x v="2"/>
    <n v="5.0475000000000003"/>
  </r>
  <r>
    <s v="DPOPPELL"/>
    <s v="04"/>
    <s v="MIDWAYF"/>
    <s v="EKNIGHTS"/>
    <x v="104"/>
    <x v="4"/>
    <x v="1"/>
    <s v="Invoice"/>
    <s v="71644"/>
    <x v="64"/>
    <x v="57"/>
    <x v="22"/>
    <x v="2"/>
    <n v="13.2525"/>
  </r>
  <r>
    <s v="DPOPPELL"/>
    <s v="04"/>
    <s v="VENTURAFARMS"/>
    <s v="JOHNSON"/>
    <x v="104"/>
    <x v="4"/>
    <x v="1"/>
    <s v="Invoice"/>
    <s v="71650"/>
    <x v="58"/>
    <x v="51"/>
    <x v="22"/>
    <x v="2"/>
    <n v="1"/>
  </r>
  <r>
    <s v="DPOPPELL"/>
    <s v="04"/>
    <s v="CHARLIEG-LLC"/>
    <s v="DAIRY"/>
    <x v="104"/>
    <x v="4"/>
    <x v="1"/>
    <s v="Invoice"/>
    <s v="71651"/>
    <x v="64"/>
    <x v="57"/>
    <x v="22"/>
    <x v="2"/>
    <n v="10.005000000000001"/>
  </r>
  <r>
    <s v="DPOPPELL"/>
    <s v="04"/>
    <s v="FRANKLIN"/>
    <s v="FRANKLIN FARM"/>
    <x v="104"/>
    <x v="4"/>
    <x v="1"/>
    <s v="Invoice"/>
    <s v="71693"/>
    <x v="58"/>
    <x v="51"/>
    <x v="22"/>
    <x v="2"/>
    <n v="10"/>
  </r>
  <r>
    <s v="DPOPPELL"/>
    <s v="04"/>
    <s v="FILEMONMARTINEZ"/>
    <s v="MAILING"/>
    <x v="105"/>
    <x v="4"/>
    <x v="1"/>
    <s v="Invoice"/>
    <s v="71736"/>
    <x v="77"/>
    <x v="37"/>
    <x v="30"/>
    <x v="0"/>
    <n v="30"/>
  </r>
  <r>
    <s v="DPOPPELL"/>
    <s v="04"/>
    <s v="SWEETLIFE"/>
    <s v="KNIGHTS GRIFFIN"/>
    <x v="105"/>
    <x v="4"/>
    <x v="1"/>
    <s v="Invoice"/>
    <s v="71794"/>
    <x v="64"/>
    <x v="57"/>
    <x v="22"/>
    <x v="2"/>
    <n v="15.01"/>
  </r>
  <r>
    <s v="DPOPPELL"/>
    <s v="04"/>
    <s v="SWEETLIFE"/>
    <s v="KNIGHTS GRIFFIN"/>
    <x v="105"/>
    <x v="4"/>
    <x v="1"/>
    <s v="Invoice"/>
    <s v="71868"/>
    <x v="64"/>
    <x v="57"/>
    <x v="22"/>
    <x v="2"/>
    <n v="5.0125000000000002"/>
  </r>
  <r>
    <s v="DPOPPELL"/>
    <s v="04"/>
    <s v="CIRCLEGF&amp;R LLC"/>
    <s v="KNIGHTS-N-#16"/>
    <x v="105"/>
    <x v="4"/>
    <x v="1"/>
    <s v="Invoice"/>
    <s v="71889"/>
    <x v="64"/>
    <x v="57"/>
    <x v="22"/>
    <x v="2"/>
    <n v="15"/>
  </r>
  <r>
    <s v="DPOPPELL"/>
    <s v="04"/>
    <s v="MENDOZAHEC"/>
    <s v="HWY60"/>
    <x v="105"/>
    <x v="4"/>
    <x v="1"/>
    <s v="Invoice"/>
    <s v="72040"/>
    <x v="27"/>
    <x v="22"/>
    <x v="22"/>
    <x v="2"/>
    <n v="3.5"/>
  </r>
  <r>
    <s v="DPOPPELL"/>
    <s v="04"/>
    <s v="BEAUCHAMP"/>
    <s v="ONION FIELD"/>
    <x v="105"/>
    <x v="4"/>
    <x v="1"/>
    <s v="Invoice"/>
    <s v="72050"/>
    <x v="104"/>
    <x v="96"/>
    <x v="22"/>
    <x v="2"/>
    <n v="4.5"/>
  </r>
  <r>
    <s v="DPOPPELL"/>
    <s v="04"/>
    <s v="EWSIMMON"/>
    <s v="MUD LK-BLUEBERR"/>
    <x v="105"/>
    <x v="4"/>
    <x v="1"/>
    <s v="Invoice"/>
    <s v="72083"/>
    <x v="202"/>
    <x v="179"/>
    <x v="22"/>
    <x v="2"/>
    <n v="5"/>
  </r>
  <r>
    <s v="DPOPPELL"/>
    <s v="04"/>
    <s v="5KFARMS"/>
    <s v="MAIN"/>
    <x v="105"/>
    <x v="4"/>
    <x v="1"/>
    <s v="Invoice"/>
    <s v="72130"/>
    <x v="203"/>
    <x v="35"/>
    <x v="29"/>
    <x v="0"/>
    <n v="30"/>
  </r>
  <r>
    <s v="DPOPPELL"/>
    <s v="04"/>
    <s v="5KFARMS"/>
    <s v="MAIN"/>
    <x v="105"/>
    <x v="4"/>
    <x v="1"/>
    <s v="Invoice"/>
    <s v="72130"/>
    <x v="40"/>
    <x v="35"/>
    <x v="29"/>
    <x v="0"/>
    <n v="20"/>
  </r>
  <r>
    <s v="DPOPPELL"/>
    <s v="04"/>
    <s v="MERCEDCH"/>
    <s v="HWY62"/>
    <x v="92"/>
    <x v="4"/>
    <x v="1"/>
    <s v="Invoice"/>
    <s v="72243"/>
    <x v="139"/>
    <x v="123"/>
    <x v="0"/>
    <x v="0"/>
    <n v="60"/>
  </r>
  <r>
    <s v="DPOPPELL"/>
    <s v="04"/>
    <s v="ROQUEFARMS"/>
    <s v="MEEKHORIZON"/>
    <x v="92"/>
    <x v="4"/>
    <x v="1"/>
    <s v="Invoice"/>
    <s v="72456"/>
    <x v="43"/>
    <x v="38"/>
    <x v="22"/>
    <x v="2"/>
    <n v="2.5"/>
  </r>
  <r>
    <s v="DPOPPELL"/>
    <s v="04"/>
    <s v="GERALDWI"/>
    <s v="TRAPNELL"/>
    <x v="92"/>
    <x v="4"/>
    <x v="1"/>
    <s v="Invoice"/>
    <s v="72508"/>
    <x v="55"/>
    <x v="48"/>
    <x v="22"/>
    <x v="2"/>
    <n v="10"/>
  </r>
  <r>
    <s v="DPOPPELL"/>
    <s v="04"/>
    <s v="GAONA, ESPER"/>
    <s v="STRAUSS RD."/>
    <x v="92"/>
    <x v="4"/>
    <x v="1"/>
    <s v="Invoice"/>
    <s v="72510"/>
    <x v="28"/>
    <x v="23"/>
    <x v="22"/>
    <x v="2"/>
    <n v="2"/>
  </r>
  <r>
    <s v="DPOPPELL"/>
    <s v="04"/>
    <s v="M&amp;GFARMS"/>
    <s v="HAREFAMILYLN"/>
    <x v="92"/>
    <x v="4"/>
    <x v="1"/>
    <s v="Invoice"/>
    <s v="72587"/>
    <x v="145"/>
    <x v="126"/>
    <x v="22"/>
    <x v="2"/>
    <n v="10.015000000000001"/>
  </r>
  <r>
    <s v="DPOPPELL"/>
    <s v="04"/>
    <s v="GERALDWI"/>
    <s v="JAUDON RD"/>
    <x v="92"/>
    <x v="4"/>
    <x v="1"/>
    <s v="Invoice"/>
    <s v="72646"/>
    <x v="43"/>
    <x v="38"/>
    <x v="22"/>
    <x v="2"/>
    <n v="2.5125000000000002"/>
  </r>
  <r>
    <s v="DPOPPELL"/>
    <s v="04"/>
    <s v="ROQUEFARMS"/>
    <s v="SWEETWATER"/>
    <x v="99"/>
    <x v="4"/>
    <x v="1"/>
    <s v="Invoice"/>
    <s v="72788"/>
    <x v="110"/>
    <x v="97"/>
    <x v="16"/>
    <x v="0"/>
    <n v="250"/>
  </r>
  <r>
    <s v="DPOPPELL"/>
    <s v="04"/>
    <s v="FANCYFAR"/>
    <s v="JOHN DEER POND"/>
    <x v="99"/>
    <x v="4"/>
    <x v="1"/>
    <s v="Invoice"/>
    <s v="73060"/>
    <x v="174"/>
    <x v="155"/>
    <x v="22"/>
    <x v="2"/>
    <n v="15.015000000000001"/>
  </r>
  <r>
    <s v="DPOPPELL"/>
    <s v="04"/>
    <s v="MERCEDCH"/>
    <s v="HWY62"/>
    <x v="99"/>
    <x v="4"/>
    <x v="1"/>
    <s v="Invoice"/>
    <s v="73068"/>
    <x v="43"/>
    <x v="38"/>
    <x v="22"/>
    <x v="2"/>
    <n v="5.0175000000000001"/>
  </r>
  <r>
    <s v="DPOPPELL"/>
    <s v="04"/>
    <s v="MERCEDCH"/>
    <s v="HWY62"/>
    <x v="99"/>
    <x v="4"/>
    <x v="1"/>
    <s v="Invoice"/>
    <s v="73125"/>
    <x v="145"/>
    <x v="126"/>
    <x v="22"/>
    <x v="2"/>
    <n v="8.01"/>
  </r>
  <r>
    <s v="DPOPPELL"/>
    <s v="04"/>
    <s v="THREESTA"/>
    <s v="WALDEN-SHEFFIEL"/>
    <x v="99"/>
    <x v="4"/>
    <x v="1"/>
    <s v="Invoice"/>
    <s v="73126"/>
    <x v="204"/>
    <x v="180"/>
    <x v="22"/>
    <x v="2"/>
    <n v="10"/>
  </r>
  <r>
    <s v="DPOPPELL"/>
    <s v="04"/>
    <s v="JOSEHERN"/>
    <s v="SPARKMAN"/>
    <x v="99"/>
    <x v="4"/>
    <x v="1"/>
    <s v="Invoice"/>
    <s v="73155"/>
    <x v="28"/>
    <x v="23"/>
    <x v="22"/>
    <x v="2"/>
    <n v="10"/>
  </r>
  <r>
    <s v="DPOPPELL"/>
    <s v="04"/>
    <s v="SWEETFARMS"/>
    <s v="JIMJOHNSON"/>
    <x v="99"/>
    <x v="4"/>
    <x v="1"/>
    <s v="Invoice"/>
    <s v="73286"/>
    <x v="28"/>
    <x v="23"/>
    <x v="22"/>
    <x v="2"/>
    <n v="2"/>
  </r>
  <r>
    <s v="DPOPPELL"/>
    <s v="04"/>
    <s v="JOSEHERN"/>
    <s v="KEYSVILLE N"/>
    <x v="93"/>
    <x v="4"/>
    <x v="1"/>
    <s v="Invoice"/>
    <s v="73501"/>
    <x v="28"/>
    <x v="23"/>
    <x v="22"/>
    <x v="2"/>
    <n v="14.012499999999999"/>
  </r>
  <r>
    <s v="DPOPPELL"/>
    <s v="04"/>
    <s v="BONIFACIO"/>
    <s v="MAILING"/>
    <x v="93"/>
    <x v="4"/>
    <x v="1"/>
    <s v="Invoice"/>
    <s v="73538"/>
    <x v="77"/>
    <x v="37"/>
    <x v="30"/>
    <x v="0"/>
    <n v="30"/>
  </r>
  <r>
    <s v="DPOPPELL"/>
    <s v="04"/>
    <s v="TECHFARM"/>
    <s v="SYDNEYDOVER"/>
    <x v="93"/>
    <x v="4"/>
    <x v="1"/>
    <s v="Invoice"/>
    <s v="73551"/>
    <x v="28"/>
    <x v="23"/>
    <x v="22"/>
    <x v="2"/>
    <n v="3.7625000000000002"/>
  </r>
  <r>
    <s v="DPOPPELL"/>
    <s v="04"/>
    <s v="GUTIERREZA"/>
    <s v="WASHINGTON"/>
    <x v="93"/>
    <x v="4"/>
    <x v="1"/>
    <s v="Invoice"/>
    <s v="73600"/>
    <x v="69"/>
    <x v="62"/>
    <x v="22"/>
    <x v="2"/>
    <n v="4.0125000000000002"/>
  </r>
  <r>
    <s v="DPOPPELL"/>
    <s v="04"/>
    <s v="SRISAIAY"/>
    <s v="SYDNEY DOVER"/>
    <x v="93"/>
    <x v="4"/>
    <x v="1"/>
    <s v="Invoice"/>
    <s v="73639"/>
    <x v="28"/>
    <x v="23"/>
    <x v="22"/>
    <x v="2"/>
    <n v="2.4674999999999998"/>
  </r>
  <r>
    <s v="DPOPPELL"/>
    <s v="04"/>
    <s v="BONIFACIO"/>
    <s v="NEWSOME"/>
    <x v="93"/>
    <x v="4"/>
    <x v="1"/>
    <s v="Invoice"/>
    <s v="73650"/>
    <x v="67"/>
    <x v="60"/>
    <x v="22"/>
    <x v="2"/>
    <n v="2.5"/>
  </r>
  <r>
    <s v="DPOPPELL"/>
    <s v="04"/>
    <s v="MIDWAYF"/>
    <s v="FORBES"/>
    <x v="93"/>
    <x v="4"/>
    <x v="1"/>
    <s v="Invoice"/>
    <s v="73662"/>
    <x v="64"/>
    <x v="57"/>
    <x v="22"/>
    <x v="2"/>
    <n v="6.5175000000000001"/>
  </r>
  <r>
    <s v="DPOPPELL"/>
    <s v="04"/>
    <s v="SANCHEZFARM"/>
    <s v="FORBES-N"/>
    <x v="93"/>
    <x v="4"/>
    <x v="1"/>
    <s v="Invoice"/>
    <s v="73707"/>
    <x v="67"/>
    <x v="60"/>
    <x v="22"/>
    <x v="2"/>
    <n v="10.76"/>
  </r>
  <r>
    <s v="DPOPPELL"/>
    <s v="04"/>
    <s v="FAVORITE"/>
    <s v="BETHLEHEM ROAD"/>
    <x v="94"/>
    <x v="4"/>
    <x v="1"/>
    <s v="Invoice"/>
    <s v="74379"/>
    <x v="59"/>
    <x v="52"/>
    <x v="22"/>
    <x v="2"/>
    <n v="5"/>
  </r>
  <r>
    <s v="DPOPPELL"/>
    <s v="04"/>
    <s v="FAVORITE"/>
    <s v="MCINTOSH ROAD"/>
    <x v="94"/>
    <x v="4"/>
    <x v="1"/>
    <s v="Invoice"/>
    <s v="74431"/>
    <x v="153"/>
    <x v="135"/>
    <x v="22"/>
    <x v="2"/>
    <n v="10"/>
  </r>
  <r>
    <s v="DPOPPELL"/>
    <s v="04"/>
    <s v="REDDYFARMS"/>
    <s v="MAIN"/>
    <x v="94"/>
    <x v="4"/>
    <x v="1"/>
    <s v="Invoice"/>
    <s v="74486"/>
    <x v="53"/>
    <x v="46"/>
    <x v="22"/>
    <x v="2"/>
    <n v="0.15"/>
  </r>
  <r>
    <s v="DPOPPELL"/>
    <s v="04"/>
    <s v="GUTIERREZA"/>
    <s v="JL"/>
    <x v="94"/>
    <x v="4"/>
    <x v="1"/>
    <s v="Invoice"/>
    <s v="74489"/>
    <x v="109"/>
    <x v="80"/>
    <x v="2"/>
    <x v="0"/>
    <n v="250"/>
  </r>
  <r>
    <s v="DPOPPELL"/>
    <s v="04"/>
    <s v="GUTIERREZA"/>
    <s v="JL"/>
    <x v="94"/>
    <x v="4"/>
    <x v="1"/>
    <s v="Invoice"/>
    <s v="74489"/>
    <x v="110"/>
    <x v="97"/>
    <x v="16"/>
    <x v="0"/>
    <n v="250"/>
  </r>
  <r>
    <s v="DPOPPELL"/>
    <s v="04"/>
    <s v="GUTIERREZA"/>
    <s v="JL"/>
    <x v="94"/>
    <x v="4"/>
    <x v="1"/>
    <s v="Invoice"/>
    <s v="74489"/>
    <x v="142"/>
    <x v="123"/>
    <x v="0"/>
    <x v="0"/>
    <n v="250"/>
  </r>
  <r>
    <s v="DPOPPELL"/>
    <s v="04"/>
    <s v="STEVEMAT"/>
    <s v="DRAWDY"/>
    <x v="94"/>
    <x v="4"/>
    <x v="1"/>
    <s v="Invoice"/>
    <s v="74490"/>
    <x v="109"/>
    <x v="80"/>
    <x v="2"/>
    <x v="0"/>
    <n v="500"/>
  </r>
  <r>
    <s v="DPOPPELL"/>
    <s v="04"/>
    <s v="STEVEMAT"/>
    <s v="DRAWDY"/>
    <x v="94"/>
    <x v="4"/>
    <x v="1"/>
    <s v="Invoice"/>
    <s v="74490"/>
    <x v="110"/>
    <x v="97"/>
    <x v="16"/>
    <x v="0"/>
    <n v="500"/>
  </r>
  <r>
    <s v="DPOPPELL"/>
    <s v="04"/>
    <s v="GUTIERREZA"/>
    <s v="JOE KING RD"/>
    <x v="94"/>
    <x v="4"/>
    <x v="1"/>
    <s v="Invoice"/>
    <s v="74491"/>
    <x v="43"/>
    <x v="38"/>
    <x v="22"/>
    <x v="2"/>
    <n v="3.5074999999999998"/>
  </r>
  <r>
    <s v="DPOPPELL"/>
    <s v="04"/>
    <s v="CHARLIEG-LLC"/>
    <s v="DAIRY"/>
    <x v="94"/>
    <x v="4"/>
    <x v="1"/>
    <s v="Invoice"/>
    <s v="74547"/>
    <x v="64"/>
    <x v="57"/>
    <x v="22"/>
    <x v="2"/>
    <n v="5.0025000000000004"/>
  </r>
  <r>
    <s v="DPOPPELL"/>
    <s v="04"/>
    <s v="MIDWAYF"/>
    <s v="ALS - NORTH"/>
    <x v="94"/>
    <x v="4"/>
    <x v="1"/>
    <s v="Invoice"/>
    <s v="74569"/>
    <x v="205"/>
    <x v="181"/>
    <x v="22"/>
    <x v="2"/>
    <n v="4.0049999999999999"/>
  </r>
  <r>
    <s v="DPOPPELL"/>
    <s v="04"/>
    <s v="JUAREZELIUTH"/>
    <s v="MAIN"/>
    <x v="94"/>
    <x v="4"/>
    <x v="1"/>
    <s v="Invoice"/>
    <s v="74599"/>
    <x v="58"/>
    <x v="51"/>
    <x v="22"/>
    <x v="2"/>
    <n v="2"/>
  </r>
  <r>
    <s v="DPOPPELL"/>
    <s v="04"/>
    <s v="SWEETLIFE"/>
    <s v="FOSTER DUKES N"/>
    <x v="108"/>
    <x v="4"/>
    <x v="1"/>
    <s v="Invoice"/>
    <s v="74692"/>
    <x v="205"/>
    <x v="181"/>
    <x v="22"/>
    <x v="2"/>
    <n v="9.0124999999999993"/>
  </r>
  <r>
    <s v="DPOPPELL"/>
    <s v="04"/>
    <s v="MIKELOTT"/>
    <s v="HILLSBOROUGH/E"/>
    <x v="94"/>
    <x v="4"/>
    <x v="1"/>
    <s v="Invoice"/>
    <s v="74732"/>
    <x v="43"/>
    <x v="38"/>
    <x v="22"/>
    <x v="2"/>
    <n v="5.0149999999999997"/>
  </r>
  <r>
    <s v="DPOPPELL"/>
    <s v="04"/>
    <s v="CIRCLEGF&amp;R LLC"/>
    <s v="KNIGHTS-N-#12"/>
    <x v="109"/>
    <x v="4"/>
    <x v="1"/>
    <s v="Invoice"/>
    <s v="74853"/>
    <x v="205"/>
    <x v="181"/>
    <x v="22"/>
    <x v="2"/>
    <n v="2.5024999999999999"/>
  </r>
  <r>
    <s v="DPOPPELL"/>
    <s v="04"/>
    <s v="LEE GILLM"/>
    <s v="THONOTOSASSA"/>
    <x v="94"/>
    <x v="4"/>
    <x v="1"/>
    <s v="Invoice"/>
    <s v="74902"/>
    <x v="43"/>
    <x v="38"/>
    <x v="22"/>
    <x v="2"/>
    <n v="2"/>
  </r>
  <r>
    <s v="DPOPPELL"/>
    <s v="04"/>
    <s v="BEAUCHAMP"/>
    <s v="HAGGERTY-NORTH"/>
    <x v="109"/>
    <x v="4"/>
    <x v="1"/>
    <s v="Invoice"/>
    <s v="74946"/>
    <x v="104"/>
    <x v="96"/>
    <x v="22"/>
    <x v="2"/>
    <n v="4.0025000000000004"/>
  </r>
  <r>
    <s v="DPOPPELL"/>
    <s v="04"/>
    <s v="SWEETLIFE"/>
    <s v="MCGEE RD."/>
    <x v="109"/>
    <x v="4"/>
    <x v="1"/>
    <s v="Invoice"/>
    <s v="75072"/>
    <x v="205"/>
    <x v="181"/>
    <x v="22"/>
    <x v="2"/>
    <n v="5.0049999999999999"/>
  </r>
  <r>
    <s v=""/>
    <s v="04"/>
    <s v="PORTER HA"/>
    <s v="PASTURE"/>
    <x v="108"/>
    <x v="4"/>
    <x v="1"/>
    <s v="Invoice"/>
    <s v="75157"/>
    <x v="28"/>
    <x v="23"/>
    <x v="22"/>
    <x v="2"/>
    <n v="5.04"/>
  </r>
  <r>
    <s v="DPOPPELL"/>
    <s v="04"/>
    <s v="GEORGESP"/>
    <s v="TURKEY CREEK/WE"/>
    <x v="109"/>
    <x v="4"/>
    <x v="1"/>
    <s v="Invoice"/>
    <s v="75231"/>
    <x v="58"/>
    <x v="51"/>
    <x v="22"/>
    <x v="2"/>
    <n v="2.5074999999999998"/>
  </r>
  <r>
    <s v="DPOPPELL"/>
    <s v="04"/>
    <s v="GERALDWI"/>
    <s v="FRUITSTAND"/>
    <x v="109"/>
    <x v="4"/>
    <x v="1"/>
    <s v="Invoice"/>
    <s v="75280"/>
    <x v="55"/>
    <x v="48"/>
    <x v="22"/>
    <x v="2"/>
    <n v="2.5"/>
  </r>
  <r>
    <s v="DPOPPELL"/>
    <s v="04"/>
    <s v="MIDWAYF"/>
    <s v="SAM WILDER RD"/>
    <x v="108"/>
    <x v="4"/>
    <x v="1"/>
    <s v="Invoice"/>
    <s v="75407"/>
    <x v="64"/>
    <x v="57"/>
    <x v="22"/>
    <x v="2"/>
    <n v="10.02"/>
  </r>
  <r>
    <s v="DPOPPELL"/>
    <s v="04"/>
    <s v="M&amp;GFARMS"/>
    <s v="HWY 640"/>
    <x v="108"/>
    <x v="4"/>
    <x v="1"/>
    <s v="Invoice"/>
    <s v="75566"/>
    <x v="145"/>
    <x v="126"/>
    <x v="22"/>
    <x v="2"/>
    <n v="5"/>
  </r>
  <r>
    <s v="DPOPPELL"/>
    <s v="04"/>
    <s v="JOSEHERN"/>
    <s v="DURANT"/>
    <x v="108"/>
    <x v="4"/>
    <x v="1"/>
    <s v="Invoice"/>
    <s v="75575"/>
    <x v="43"/>
    <x v="38"/>
    <x v="22"/>
    <x v="2"/>
    <n v="8"/>
  </r>
  <r>
    <s v="DPOPPELL"/>
    <s v="04"/>
    <s v="TRUEALGAE"/>
    <s v="MAILIING"/>
    <x v="100"/>
    <x v="4"/>
    <x v="1"/>
    <s v="Invoice"/>
    <s v="76815"/>
    <x v="61"/>
    <x v="54"/>
    <x v="31"/>
    <x v="0"/>
    <n v="50"/>
  </r>
  <r>
    <s v="DPOPPELL"/>
    <s v="04"/>
    <s v="MENDOZAHEC"/>
    <s v="LONEOAK"/>
    <x v="100"/>
    <x v="4"/>
    <x v="1"/>
    <s v="Invoice"/>
    <s v="76887"/>
    <x v="27"/>
    <x v="22"/>
    <x v="22"/>
    <x v="2"/>
    <n v="1.25"/>
  </r>
  <r>
    <s v="DPOPPELL"/>
    <s v="04"/>
    <s v="GARCIAFARMS"/>
    <s v="MAIN"/>
    <x v="100"/>
    <x v="4"/>
    <x v="1"/>
    <s v="Invoice"/>
    <s v="78852"/>
    <x v="43"/>
    <x v="38"/>
    <x v="22"/>
    <x v="2"/>
    <n v="5"/>
  </r>
  <r>
    <s v="DPOPPELL"/>
    <s v="04"/>
    <s v="GUTIERREZA"/>
    <s v="WIAMAUMA"/>
    <x v="100"/>
    <x v="4"/>
    <x v="1"/>
    <s v="Invoice"/>
    <s v="78968"/>
    <x v="69"/>
    <x v="62"/>
    <x v="22"/>
    <x v="2"/>
    <n v="5"/>
  </r>
  <r>
    <s v="DPOPPELL"/>
    <s v="04"/>
    <s v="ROQUEFARMS"/>
    <s v="SWEETWATER"/>
    <x v="100"/>
    <x v="4"/>
    <x v="1"/>
    <s v="Invoice"/>
    <s v="79231"/>
    <x v="58"/>
    <x v="51"/>
    <x v="22"/>
    <x v="2"/>
    <n v="5"/>
  </r>
  <r>
    <s v="DPOPPELL"/>
    <s v="04"/>
    <s v="FCFARMS"/>
    <s v="GALLAGHER"/>
    <x v="100"/>
    <x v="4"/>
    <x v="1"/>
    <s v="Invoice"/>
    <s v="79465"/>
    <x v="58"/>
    <x v="51"/>
    <x v="22"/>
    <x v="2"/>
    <n v="3.5"/>
  </r>
  <r>
    <s v="DPOPPELL"/>
    <s v="04"/>
    <s v="5KFARMS"/>
    <s v="MAIN"/>
    <x v="100"/>
    <x v="4"/>
    <x v="1"/>
    <s v="Invoice"/>
    <s v="79896"/>
    <x v="34"/>
    <x v="29"/>
    <x v="26"/>
    <x v="0"/>
    <n v="40"/>
  </r>
  <r>
    <s v="DPOPPELL"/>
    <s v="04"/>
    <s v="GEORGESP"/>
    <s v="PANDORA"/>
    <x v="100"/>
    <x v="4"/>
    <x v="1"/>
    <s v="Invoice"/>
    <s v="80421"/>
    <x v="58"/>
    <x v="51"/>
    <x v="22"/>
    <x v="2"/>
    <n v="2.4975000000000001"/>
  </r>
  <r>
    <s v="DPOPPELL"/>
    <s v="04"/>
    <s v="SYDNEYFA"/>
    <s v="SYDNEY-WASHER"/>
    <x v="100"/>
    <x v="4"/>
    <x v="1"/>
    <s v="Invoice"/>
    <s v="82293"/>
    <x v="204"/>
    <x v="180"/>
    <x v="22"/>
    <x v="2"/>
    <n v="5.0075000000000003"/>
  </r>
  <r>
    <s v="DPOPPELL"/>
    <s v="04"/>
    <s v="ALONSOFARMS"/>
    <s v="GALLAGHER"/>
    <x v="100"/>
    <x v="4"/>
    <x v="1"/>
    <s v="Invoice"/>
    <s v="82343"/>
    <x v="28"/>
    <x v="23"/>
    <x v="22"/>
    <x v="2"/>
    <n v="5.0125000000000002"/>
  </r>
  <r>
    <s v="DPOPPELL"/>
    <s v="04"/>
    <s v="MIDWAYF"/>
    <s v="FRAZIER"/>
    <x v="100"/>
    <x v="4"/>
    <x v="1"/>
    <s v="Invoice"/>
    <s v="82439"/>
    <x v="205"/>
    <x v="181"/>
    <x v="22"/>
    <x v="2"/>
    <n v="3.9925000000000002"/>
  </r>
  <r>
    <s v="DPOPPELL"/>
    <s v="04"/>
    <s v="SYDNEYFA"/>
    <s v="SYDNEY-WASHER"/>
    <x v="100"/>
    <x v="4"/>
    <x v="1"/>
    <s v="Invoice"/>
    <s v="83529"/>
    <x v="204"/>
    <x v="180"/>
    <x v="22"/>
    <x v="2"/>
    <n v="2.5074999999999998"/>
  </r>
  <r>
    <s v="DPOPPELL"/>
    <s v="04"/>
    <s v="ALONSOFARMS"/>
    <s v="SUMNER"/>
    <x v="100"/>
    <x v="4"/>
    <x v="1"/>
    <s v="Invoice"/>
    <s v="83541"/>
    <x v="43"/>
    <x v="38"/>
    <x v="22"/>
    <x v="2"/>
    <n v="2.5"/>
  </r>
  <r>
    <s v="DPOPPELL"/>
    <s v="04"/>
    <s v="BLUEGOLD"/>
    <s v="MAIN"/>
    <x v="100"/>
    <x v="4"/>
    <x v="1"/>
    <s v="Invoice"/>
    <s v="84580"/>
    <x v="155"/>
    <x v="137"/>
    <x v="22"/>
    <x v="2"/>
    <n v="0.75"/>
  </r>
  <r>
    <s v="DPOPPELL"/>
    <s v="04"/>
    <s v="M&amp;GFARMS"/>
    <s v="COUNTY LINE RD"/>
    <x v="100"/>
    <x v="4"/>
    <x v="1"/>
    <s v="Invoice"/>
    <s v="84641"/>
    <x v="58"/>
    <x v="51"/>
    <x v="22"/>
    <x v="2"/>
    <n v="10.0075"/>
  </r>
  <r>
    <s v="DPOPPELL"/>
    <s v="04"/>
    <s v="M&amp;GFARMS"/>
    <s v="HWY 640"/>
    <x v="100"/>
    <x v="4"/>
    <x v="1"/>
    <s v="Invoice"/>
    <s v="87597"/>
    <x v="145"/>
    <x v="126"/>
    <x v="22"/>
    <x v="2"/>
    <n v="5.0075000000000003"/>
  </r>
  <r>
    <s v="HOUSE"/>
    <s v="05"/>
    <s v="SOUTHERN"/>
    <s v="SOUTHERN AG"/>
    <x v="96"/>
    <x v="4"/>
    <x v="1"/>
    <s v="Invoice"/>
    <s v="66705"/>
    <x v="101"/>
    <x v="21"/>
    <x v="21"/>
    <x v="0"/>
    <n v="60"/>
  </r>
  <r>
    <s v="HOUSE"/>
    <s v="05"/>
    <s v="SOUTHERN"/>
    <s v="SOUTHERN AG"/>
    <x v="96"/>
    <x v="4"/>
    <x v="1"/>
    <s v="Invoice"/>
    <s v="66705"/>
    <x v="5"/>
    <x v="72"/>
    <x v="4"/>
    <x v="0"/>
    <n v="180"/>
  </r>
  <r>
    <s v="HOUSE"/>
    <s v="05"/>
    <s v="SOUTHERN"/>
    <s v="SOUTHERN AG"/>
    <x v="96"/>
    <x v="4"/>
    <x v="1"/>
    <s v="Invoice"/>
    <s v="66705"/>
    <x v="96"/>
    <x v="90"/>
    <x v="39"/>
    <x v="0"/>
    <n v="60"/>
  </r>
  <r>
    <s v="HOUSE"/>
    <s v="05"/>
    <s v="SOUTHERN"/>
    <s v="SOUTHERN AG"/>
    <x v="96"/>
    <x v="4"/>
    <x v="1"/>
    <s v="Invoice"/>
    <s v="66705"/>
    <x v="178"/>
    <x v="182"/>
    <x v="59"/>
    <x v="0"/>
    <n v="30"/>
  </r>
  <r>
    <s v="HOUSE"/>
    <s v="05"/>
    <s v="DYEADDICTROPE"/>
    <s v="PRIMARY"/>
    <x v="91"/>
    <x v="4"/>
    <x v="1"/>
    <s v="Invoice"/>
    <s v="69424"/>
    <x v="96"/>
    <x v="90"/>
    <x v="39"/>
    <x v="0"/>
    <n v="15"/>
  </r>
  <r>
    <s v="HOUSE"/>
    <s v="05"/>
    <s v="HOWARDFE"/>
    <s v="HOWARD/BOYNTON"/>
    <x v="91"/>
    <x v="4"/>
    <x v="1"/>
    <s v="Invoice"/>
    <s v="69640"/>
    <x v="101"/>
    <x v="21"/>
    <x v="21"/>
    <x v="0"/>
    <n v="360"/>
  </r>
  <r>
    <s v="HOUSE"/>
    <s v="05"/>
    <s v="CPSHOMES"/>
    <s v="HOMESTEAD"/>
    <x v="98"/>
    <x v="4"/>
    <x v="1"/>
    <s v="Invoice"/>
    <s v="70252"/>
    <x v="157"/>
    <x v="138"/>
    <x v="53"/>
    <x v="0"/>
    <n v="1000"/>
  </r>
  <r>
    <s v="HOUSE"/>
    <s v="05"/>
    <s v="CPSBOYNTON"/>
    <s v="BOYNTON BCH"/>
    <x v="100"/>
    <x v="4"/>
    <x v="1"/>
    <s v="Invoice"/>
    <s v="76162"/>
    <x v="101"/>
    <x v="21"/>
    <x v="21"/>
    <x v="0"/>
    <n v="180"/>
  </r>
  <r>
    <s v="CHEAD"/>
    <s v="07"/>
    <s v="BARNESFE"/>
    <s v="HASTINGS"/>
    <x v="106"/>
    <x v="4"/>
    <x v="1"/>
    <s v="Invoice"/>
    <s v="40089"/>
    <x v="158"/>
    <x v="139"/>
    <x v="53"/>
    <x v="0"/>
    <n v="1200"/>
  </r>
  <r>
    <s v=""/>
    <s v="07"/>
    <s v="CPSHASTI"/>
    <s v="HASTINGS"/>
    <x v="106"/>
    <x v="4"/>
    <x v="1"/>
    <s v="Invoice"/>
    <s v="40294"/>
    <x v="158"/>
    <x v="139"/>
    <x v="53"/>
    <x v="0"/>
    <n v="600"/>
  </r>
  <r>
    <s v=""/>
    <s v="07"/>
    <s v="CPSHASTI"/>
    <s v="HASTINGS"/>
    <x v="106"/>
    <x v="4"/>
    <x v="1"/>
    <s v="Invoice"/>
    <s v="40294"/>
    <x v="206"/>
    <x v="139"/>
    <x v="53"/>
    <x v="0"/>
    <n v="500"/>
  </r>
  <r>
    <s v="CHEAD"/>
    <s v="07"/>
    <s v="BARNESFE"/>
    <s v="HASTINGS"/>
    <x v="106"/>
    <x v="4"/>
    <x v="1"/>
    <s v="Invoice"/>
    <s v="40295"/>
    <x v="207"/>
    <x v="183"/>
    <x v="22"/>
    <x v="2"/>
    <n v="5.01"/>
  </r>
  <r>
    <s v=""/>
    <s v="07"/>
    <s v="CPSHASTI"/>
    <s v="HASTINGS"/>
    <x v="102"/>
    <x v="4"/>
    <x v="1"/>
    <s v="Invoice"/>
    <s v="55476"/>
    <x v="96"/>
    <x v="90"/>
    <x v="39"/>
    <x v="0"/>
    <n v="180"/>
  </r>
  <r>
    <s v=""/>
    <s v="07"/>
    <s v="BARNESFE"/>
    <s v="HASTINGS"/>
    <x v="96"/>
    <x v="4"/>
    <x v="1"/>
    <s v="Invoice"/>
    <s v="65136"/>
    <x v="101"/>
    <x v="21"/>
    <x v="21"/>
    <x v="0"/>
    <n v="180"/>
  </r>
  <r>
    <s v=""/>
    <s v="07"/>
    <s v="BARNESFE"/>
    <s v="HASTINGS"/>
    <x v="96"/>
    <x v="4"/>
    <x v="1"/>
    <s v="Invoice"/>
    <s v="65136"/>
    <x v="206"/>
    <x v="139"/>
    <x v="53"/>
    <x v="0"/>
    <n v="500"/>
  </r>
  <r>
    <s v=""/>
    <s v="07"/>
    <s v="BARNESFE"/>
    <s v="HASTINGS"/>
    <x v="96"/>
    <x v="4"/>
    <x v="1"/>
    <s v="Invoice"/>
    <s v="65224A"/>
    <x v="207"/>
    <x v="183"/>
    <x v="22"/>
    <x v="2"/>
    <n v="5.0075000000000003"/>
  </r>
  <r>
    <s v=""/>
    <s v="07"/>
    <s v="BARNESFE"/>
    <s v="HASTINGS"/>
    <x v="105"/>
    <x v="4"/>
    <x v="1"/>
    <s v="Invoice"/>
    <s v="72220"/>
    <x v="207"/>
    <x v="183"/>
    <x v="22"/>
    <x v="2"/>
    <n v="5.0175000000000001"/>
  </r>
  <r>
    <s v=""/>
    <s v="07"/>
    <s v="BARNESFE"/>
    <s v="HASTINGS"/>
    <x v="92"/>
    <x v="4"/>
    <x v="1"/>
    <s v="Invoice"/>
    <s v="72268"/>
    <x v="206"/>
    <x v="139"/>
    <x v="53"/>
    <x v="0"/>
    <n v="500"/>
  </r>
  <r>
    <s v=""/>
    <s v="07"/>
    <s v="CPSHASTI"/>
    <s v="HASTINGS"/>
    <x v="92"/>
    <x v="4"/>
    <x v="1"/>
    <s v="Invoice"/>
    <s v="72282"/>
    <x v="206"/>
    <x v="139"/>
    <x v="53"/>
    <x v="0"/>
    <n v="500"/>
  </r>
  <r>
    <s v=""/>
    <s v="07"/>
    <s v="CPSHASTI"/>
    <s v="HASTINGS"/>
    <x v="92"/>
    <x v="4"/>
    <x v="1"/>
    <s v="Invoice"/>
    <s v="72282"/>
    <x v="158"/>
    <x v="139"/>
    <x v="53"/>
    <x v="0"/>
    <n v="480"/>
  </r>
  <r>
    <s v="CHEAD"/>
    <s v="07"/>
    <s v="SUNNILAND"/>
    <s v="MAIN"/>
    <x v="93"/>
    <x v="4"/>
    <x v="1"/>
    <s v="Invoice"/>
    <s v="73845"/>
    <x v="124"/>
    <x v="112"/>
    <x v="20"/>
    <x v="1"/>
    <n v="25360"/>
  </r>
  <r>
    <s v=""/>
    <s v="07"/>
    <s v="MILLERBL"/>
    <s v="PALATKA"/>
    <x v="93"/>
    <x v="4"/>
    <x v="1"/>
    <s v="Invoice"/>
    <s v="74231"/>
    <x v="208"/>
    <x v="184"/>
    <x v="22"/>
    <x v="2"/>
    <n v="15.0075"/>
  </r>
  <r>
    <s v="DPOPPELL1"/>
    <s v="08"/>
    <s v="COASTALAGSUPPLY"/>
    <s v="MULBERRY"/>
    <x v="95"/>
    <x v="4"/>
    <x v="1"/>
    <s v="Invoice"/>
    <s v="41829"/>
    <x v="209"/>
    <x v="185"/>
    <x v="63"/>
    <x v="0"/>
    <n v="90"/>
  </r>
  <r>
    <s v="DPOPPELL1"/>
    <s v="08"/>
    <s v="COASTALAGSUPPLY"/>
    <s v="MAILING"/>
    <x v="95"/>
    <x v="4"/>
    <x v="1"/>
    <s v="Invoice"/>
    <s v="41979"/>
    <x v="48"/>
    <x v="33"/>
    <x v="28"/>
    <x v="0"/>
    <n v="500"/>
  </r>
  <r>
    <s v="DPOPPELL1"/>
    <s v="08"/>
    <s v="TRIANGLE"/>
    <s v="TRIANGLE/PC"/>
    <x v="88"/>
    <x v="4"/>
    <x v="1"/>
    <s v="Invoice"/>
    <s v="43886"/>
    <x v="40"/>
    <x v="35"/>
    <x v="29"/>
    <x v="0"/>
    <n v="180"/>
  </r>
  <r>
    <s v="DPOPPELL1"/>
    <s v="08"/>
    <s v="TRIANGLE"/>
    <s v="TRIANGLE/PC"/>
    <x v="88"/>
    <x v="4"/>
    <x v="1"/>
    <s v="Invoice"/>
    <s v="44401"/>
    <x v="34"/>
    <x v="29"/>
    <x v="26"/>
    <x v="0"/>
    <n v="180"/>
  </r>
  <r>
    <s v="DPOPPELL1"/>
    <s v="08"/>
    <s v="CPSMULB"/>
    <s v="UAP/MULBERRY"/>
    <x v="90"/>
    <x v="4"/>
    <x v="1"/>
    <s v="Invoice"/>
    <s v="61599"/>
    <x v="102"/>
    <x v="71"/>
    <x v="34"/>
    <x v="0"/>
    <n v="1000"/>
  </r>
  <r>
    <s v="DPOPPELL1"/>
    <s v="08"/>
    <s v="MAYO"/>
    <s v="PLANTCITY"/>
    <x v="97"/>
    <x v="4"/>
    <x v="1"/>
    <s v="Invoice"/>
    <s v="64076"/>
    <x v="77"/>
    <x v="37"/>
    <x v="30"/>
    <x v="0"/>
    <n v="30"/>
  </r>
  <r>
    <s v="DPOPPELL1"/>
    <s v="08"/>
    <s v="TRIANGLE"/>
    <s v="TRIANGLE/PC"/>
    <x v="96"/>
    <x v="4"/>
    <x v="1"/>
    <s v="Invoice"/>
    <s v="66115"/>
    <x v="5"/>
    <x v="72"/>
    <x v="4"/>
    <x v="0"/>
    <n v="180"/>
  </r>
  <r>
    <s v="DPOPPELL1"/>
    <s v="08"/>
    <s v="TRIANGLE"/>
    <s v="TRIANGLE/PC"/>
    <x v="96"/>
    <x v="4"/>
    <x v="1"/>
    <s v="Invoice"/>
    <s v="66115"/>
    <x v="77"/>
    <x v="37"/>
    <x v="30"/>
    <x v="0"/>
    <n v="300"/>
  </r>
  <r>
    <s v="DPOPPELL1"/>
    <s v="08"/>
    <s v="COASTALAGSUPPLY"/>
    <s v="MULBERRY"/>
    <x v="98"/>
    <x v="4"/>
    <x v="1"/>
    <s v="Invoice"/>
    <s v="70430"/>
    <x v="58"/>
    <x v="51"/>
    <x v="22"/>
    <x v="2"/>
    <n v="3.7574999999999998"/>
  </r>
  <r>
    <s v="DPOPPELL1"/>
    <s v="08"/>
    <s v="CPSMULB"/>
    <s v="UAP/MULBERRY"/>
    <x v="99"/>
    <x v="4"/>
    <x v="1"/>
    <s v="Invoice"/>
    <s v="72916"/>
    <x v="31"/>
    <x v="124"/>
    <x v="24"/>
    <x v="0"/>
    <n v="180"/>
  </r>
  <r>
    <s v="DPOPPELL1"/>
    <s v="08"/>
    <s v="CPSMULB"/>
    <s v="UAP/MULBERRY"/>
    <x v="99"/>
    <x v="4"/>
    <x v="1"/>
    <s v="Invoice"/>
    <s v="73056"/>
    <x v="102"/>
    <x v="71"/>
    <x v="34"/>
    <x v="0"/>
    <n v="500"/>
  </r>
  <r>
    <s v="DPOPPELL1"/>
    <s v="08"/>
    <s v="CPSMULB"/>
    <s v="UAP/MULBERRY"/>
    <x v="99"/>
    <x v="4"/>
    <x v="1"/>
    <s v="Invoice"/>
    <s v="73056"/>
    <x v="34"/>
    <x v="29"/>
    <x v="26"/>
    <x v="0"/>
    <n v="180"/>
  </r>
  <r>
    <s v="DPOPPELL1"/>
    <s v="08"/>
    <s v="COASTALAGSUPPLY"/>
    <s v="MULBERRY"/>
    <x v="94"/>
    <x v="4"/>
    <x v="1"/>
    <s v="Invoice"/>
    <s v="74273"/>
    <x v="75"/>
    <x v="68"/>
    <x v="22"/>
    <x v="2"/>
    <n v="1.25"/>
  </r>
  <r>
    <s v="DPOPPELL1"/>
    <s v="08"/>
    <s v="COASTALAGSUPPLY"/>
    <s v="MULBERRY"/>
    <x v="94"/>
    <x v="4"/>
    <x v="1"/>
    <s v="Invoice"/>
    <s v="74280"/>
    <x v="5"/>
    <x v="72"/>
    <x v="4"/>
    <x v="0"/>
    <n v="720"/>
  </r>
  <r>
    <s v="DPOPPELL1"/>
    <s v="08"/>
    <s v="MAYO"/>
    <s v="PLANTCITY"/>
    <x v="94"/>
    <x v="4"/>
    <x v="1"/>
    <s v="Invoice"/>
    <s v="74481"/>
    <x v="210"/>
    <x v="186"/>
    <x v="22"/>
    <x v="2"/>
    <n v="12.01"/>
  </r>
  <r>
    <s v="DPOPPELL1"/>
    <s v="08"/>
    <s v="TRIANGLE"/>
    <s v="TRIANGLE/PC"/>
    <x v="108"/>
    <x v="4"/>
    <x v="1"/>
    <s v="Invoice"/>
    <s v="75457"/>
    <x v="5"/>
    <x v="72"/>
    <x v="4"/>
    <x v="0"/>
    <n v="180"/>
  </r>
  <r>
    <s v="DPOPPELL1"/>
    <s v="08"/>
    <s v="TRIANGLE"/>
    <s v="TRIANGLE/PC"/>
    <x v="108"/>
    <x v="4"/>
    <x v="1"/>
    <s v="Invoice"/>
    <s v="75535"/>
    <x v="96"/>
    <x v="90"/>
    <x v="39"/>
    <x v="0"/>
    <n v="180"/>
  </r>
  <r>
    <s v="GEORGIA"/>
    <s v="09"/>
    <s v="GREENRES"/>
    <s v="OCEAN HWY-NC"/>
    <x v="95"/>
    <x v="4"/>
    <x v="1"/>
    <s v="Invoice"/>
    <s v="41543"/>
    <x v="3"/>
    <x v="80"/>
    <x v="2"/>
    <x v="0"/>
    <n v="180"/>
  </r>
  <r>
    <s v="GEORGIA"/>
    <s v="09"/>
    <s v="GREENRES"/>
    <s v="OCEAN HWY-NC"/>
    <x v="95"/>
    <x v="4"/>
    <x v="1"/>
    <s v="Invoice"/>
    <s v="41543"/>
    <x v="22"/>
    <x v="69"/>
    <x v="17"/>
    <x v="0"/>
    <n v="180"/>
  </r>
  <r>
    <s v=""/>
    <s v="09"/>
    <s v="GREENRES"/>
    <s v="GRANITE ST-NC"/>
    <x v="101"/>
    <x v="4"/>
    <x v="1"/>
    <s v="Invoice"/>
    <s v="49806"/>
    <x v="3"/>
    <x v="80"/>
    <x v="2"/>
    <x v="0"/>
    <n v="360"/>
  </r>
  <r>
    <s v=""/>
    <s v="09"/>
    <s v="GREENRES"/>
    <s v="GRANITE ST-NC"/>
    <x v="101"/>
    <x v="4"/>
    <x v="1"/>
    <s v="Invoice"/>
    <s v="49806"/>
    <x v="211"/>
    <x v="187"/>
    <x v="17"/>
    <x v="0"/>
    <n v="60"/>
  </r>
  <r>
    <s v=""/>
    <s v="09"/>
    <s v="AGRIBUSI"/>
    <s v="AGB/ROOSEVELT"/>
    <x v="89"/>
    <x v="4"/>
    <x v="1"/>
    <s v="Invoice"/>
    <s v="53884"/>
    <x v="183"/>
    <x v="165"/>
    <x v="20"/>
    <x v="1"/>
    <n v="12500"/>
  </r>
  <r>
    <s v=""/>
    <s v="09"/>
    <s v="AGRIBUSI"/>
    <s v="AGB/ROOSEVELT"/>
    <x v="89"/>
    <x v="4"/>
    <x v="1"/>
    <s v="Invoice"/>
    <s v="53884"/>
    <x v="184"/>
    <x v="165"/>
    <x v="20"/>
    <x v="1"/>
    <n v="1800"/>
  </r>
  <r>
    <s v=""/>
    <s v="09"/>
    <s v="AGRIBUSI"/>
    <s v="AGB/ROOSEVELT"/>
    <x v="89"/>
    <x v="4"/>
    <x v="1"/>
    <s v="Invoice"/>
    <s v="53884"/>
    <x v="212"/>
    <x v="188"/>
    <x v="20"/>
    <x v="1"/>
    <n v="12600"/>
  </r>
  <r>
    <s v=""/>
    <s v="09"/>
    <s v="AGRIBUSI"/>
    <s v="AGB/ROOSEVELT"/>
    <x v="89"/>
    <x v="4"/>
    <x v="1"/>
    <s v="Invoice"/>
    <s v="53884"/>
    <x v="213"/>
    <x v="189"/>
    <x v="20"/>
    <x v="1"/>
    <n v="7500"/>
  </r>
  <r>
    <s v=""/>
    <s v="09"/>
    <s v="AGRIBUSI"/>
    <s v="AGB/ROOSEVELT"/>
    <x v="89"/>
    <x v="4"/>
    <x v="1"/>
    <s v="Invoice"/>
    <s v="53884"/>
    <x v="214"/>
    <x v="189"/>
    <x v="20"/>
    <x v="1"/>
    <n v="5400"/>
  </r>
  <r>
    <s v=""/>
    <s v="09"/>
    <s v="AGRIBUSI"/>
    <s v="AGB/ROOSEVELT"/>
    <x v="89"/>
    <x v="4"/>
    <x v="1"/>
    <s v="Invoice"/>
    <s v="53884"/>
    <x v="215"/>
    <x v="190"/>
    <x v="20"/>
    <x v="1"/>
    <n v="2500"/>
  </r>
  <r>
    <s v=""/>
    <s v="09"/>
    <s v="AGRIBUSI"/>
    <s v="AGB/ROOSEVELT"/>
    <x v="89"/>
    <x v="4"/>
    <x v="1"/>
    <s v="Invoice"/>
    <s v="53884"/>
    <x v="216"/>
    <x v="191"/>
    <x v="64"/>
    <x v="0"/>
    <n v="180"/>
  </r>
  <r>
    <s v="GEORGIA"/>
    <s v="09"/>
    <s v="SOUTHAG"/>
    <s v="BOONE"/>
    <x v="89"/>
    <x v="4"/>
    <x v="1"/>
    <s v="Invoice"/>
    <s v="54045"/>
    <x v="33"/>
    <x v="28"/>
    <x v="2"/>
    <x v="0"/>
    <n v="270"/>
  </r>
  <r>
    <s v="GEORGIA"/>
    <s v="09"/>
    <s v="SOUTHAG"/>
    <s v="BOONE"/>
    <x v="89"/>
    <x v="4"/>
    <x v="1"/>
    <s v="Invoice"/>
    <s v="54045"/>
    <x v="5"/>
    <x v="72"/>
    <x v="4"/>
    <x v="0"/>
    <n v="1440"/>
  </r>
  <r>
    <s v="GEORGIA"/>
    <s v="09"/>
    <s v="SOUTHAG"/>
    <s v="BOONE"/>
    <x v="89"/>
    <x v="4"/>
    <x v="1"/>
    <s v="Invoice"/>
    <s v="54045"/>
    <x v="106"/>
    <x v="74"/>
    <x v="13"/>
    <x v="0"/>
    <n v="60"/>
  </r>
  <r>
    <s v="GEORGIA"/>
    <s v="09"/>
    <s v="SOUTHAG"/>
    <s v="BOONE"/>
    <x v="89"/>
    <x v="4"/>
    <x v="1"/>
    <s v="Invoice"/>
    <s v="54045"/>
    <x v="22"/>
    <x v="69"/>
    <x v="17"/>
    <x v="0"/>
    <n v="900"/>
  </r>
  <r>
    <s v="GEORGIA"/>
    <s v="09"/>
    <s v="SOUTHAG"/>
    <s v="BOONE"/>
    <x v="89"/>
    <x v="4"/>
    <x v="1"/>
    <s v="Invoice"/>
    <s v="54045"/>
    <x v="188"/>
    <x v="69"/>
    <x v="17"/>
    <x v="0"/>
    <n v="220"/>
  </r>
  <r>
    <s v="GEORGIA"/>
    <s v="09"/>
    <s v="SOUTHAG"/>
    <s v="BOONE"/>
    <x v="89"/>
    <x v="4"/>
    <x v="1"/>
    <s v="Invoice"/>
    <s v="54045"/>
    <x v="122"/>
    <x v="63"/>
    <x v="33"/>
    <x v="0"/>
    <n v="120"/>
  </r>
  <r>
    <s v="GEORGIA"/>
    <s v="09"/>
    <s v="SOUTHAG"/>
    <s v="BOONE"/>
    <x v="89"/>
    <x v="4"/>
    <x v="1"/>
    <s v="Invoice"/>
    <s v="54045"/>
    <x v="96"/>
    <x v="90"/>
    <x v="39"/>
    <x v="0"/>
    <n v="900"/>
  </r>
  <r>
    <s v="GEORGIA"/>
    <s v="09"/>
    <s v="CAROLINATU"/>
    <s v="NORTHRIDGE"/>
    <x v="90"/>
    <x v="4"/>
    <x v="1"/>
    <s v="Invoice"/>
    <s v="59316"/>
    <x v="217"/>
    <x v="192"/>
    <x v="56"/>
    <x v="0"/>
    <n v="250"/>
  </r>
  <r>
    <s v="GEORGIA"/>
    <s v="09"/>
    <s v="AGRIBUSI"/>
    <s v="CURRYFARM"/>
    <x v="96"/>
    <x v="4"/>
    <x v="1"/>
    <s v="Invoice"/>
    <s v="66713"/>
    <x v="213"/>
    <x v="189"/>
    <x v="20"/>
    <x v="1"/>
    <n v="5000"/>
  </r>
  <r>
    <s v="GEORGIA"/>
    <s v="09"/>
    <s v="AGRIBUSI"/>
    <s v="NUTRIEN-CAMILA"/>
    <x v="96"/>
    <x v="4"/>
    <x v="1"/>
    <s v="Invoice"/>
    <s v="66825"/>
    <x v="214"/>
    <x v="189"/>
    <x v="20"/>
    <x v="1"/>
    <n v="5400"/>
  </r>
  <r>
    <s v="GEORGIA"/>
    <s v="09"/>
    <s v="TRIANGLE/GA"/>
    <s v="SYCAMORE"/>
    <x v="91"/>
    <x v="4"/>
    <x v="1"/>
    <s v="Invoice"/>
    <s v="69647"/>
    <x v="218"/>
    <x v="193"/>
    <x v="8"/>
    <x v="0"/>
    <n v="360"/>
  </r>
  <r>
    <s v="GEORGIA"/>
    <s v="09"/>
    <s v="TRIANGLE/GA"/>
    <s v="STATESBORO/GA"/>
    <x v="98"/>
    <x v="4"/>
    <x v="1"/>
    <s v="Invoice"/>
    <s v="70870"/>
    <x v="218"/>
    <x v="193"/>
    <x v="8"/>
    <x v="0"/>
    <n v="360"/>
  </r>
  <r>
    <s v="GEORGIA"/>
    <s v="09"/>
    <s v="GREENRES"/>
    <s v="HIGHGREEN CT-NC"/>
    <x v="98"/>
    <x v="4"/>
    <x v="1"/>
    <s v="Invoice"/>
    <s v="70993"/>
    <x v="22"/>
    <x v="69"/>
    <x v="17"/>
    <x v="0"/>
    <n v="360"/>
  </r>
  <r>
    <s v="GEORGIA"/>
    <s v="09"/>
    <s v="GREENRES"/>
    <s v="HIGHGREEN CT-NC"/>
    <x v="98"/>
    <x v="4"/>
    <x v="1"/>
    <s v="Invoice"/>
    <s v="70993"/>
    <x v="188"/>
    <x v="69"/>
    <x v="17"/>
    <x v="0"/>
    <n v="440"/>
  </r>
  <r>
    <s v="GEORGIA"/>
    <s v="09"/>
    <s v="AGRIBUSI"/>
    <s v="COLQUITT"/>
    <x v="99"/>
    <x v="4"/>
    <x v="1"/>
    <s v="Invoice"/>
    <s v="73156"/>
    <x v="219"/>
    <x v="194"/>
    <x v="20"/>
    <x v="1"/>
    <n v="3600"/>
  </r>
  <r>
    <s v=""/>
    <s v="09"/>
    <s v="AGRIBUSI"/>
    <s v="AGB/ROOSEVELT"/>
    <x v="93"/>
    <x v="4"/>
    <x v="1"/>
    <s v="Invoice"/>
    <s v="73856"/>
    <x v="216"/>
    <x v="191"/>
    <x v="64"/>
    <x v="0"/>
    <n v="180"/>
  </r>
  <r>
    <s v="GEORGIA"/>
    <s v="09"/>
    <s v="AGRIBUSI"/>
    <s v="SOUTHGA"/>
    <x v="93"/>
    <x v="4"/>
    <x v="1"/>
    <s v="Invoice"/>
    <s v="73868"/>
    <x v="216"/>
    <x v="191"/>
    <x v="64"/>
    <x v="0"/>
    <n v="180"/>
  </r>
  <r>
    <s v="GEORGIA"/>
    <s v="09"/>
    <s v="AGRIBUSI"/>
    <s v="MEHERRIN/CHARLE"/>
    <x v="108"/>
    <x v="4"/>
    <x v="1"/>
    <s v="Invoice"/>
    <s v="75415"/>
    <x v="220"/>
    <x v="195"/>
    <x v="20"/>
    <x v="1"/>
    <n v="5100"/>
  </r>
  <r>
    <s v="GEORGIA"/>
    <s v="09"/>
    <s v="AGRIBUSI"/>
    <s v="MEHERRIN/CHARLE"/>
    <x v="108"/>
    <x v="4"/>
    <x v="1"/>
    <s v="Invoice"/>
    <s v="75415"/>
    <x v="220"/>
    <x v="195"/>
    <x v="20"/>
    <x v="1"/>
    <n v="12600"/>
  </r>
  <r>
    <s v="GEORGIA"/>
    <s v="09"/>
    <s v="AGRIBUSI"/>
    <s v="MEHERRIN/CHARLE"/>
    <x v="108"/>
    <x v="4"/>
    <x v="1"/>
    <s v="Invoice"/>
    <s v="75415"/>
    <x v="221"/>
    <x v="194"/>
    <x v="20"/>
    <x v="1"/>
    <n v="5200"/>
  </r>
  <r>
    <s v="GEORGIA"/>
    <s v="09"/>
    <s v="AGRIBUSI"/>
    <s v="MEHERRIN/CHARLE"/>
    <x v="108"/>
    <x v="4"/>
    <x v="1"/>
    <s v="Invoice"/>
    <s v="75415"/>
    <x v="215"/>
    <x v="190"/>
    <x v="20"/>
    <x v="1"/>
    <n v="7980"/>
  </r>
  <r>
    <s v="HAP"/>
    <s v="01"/>
    <s v="GREENWAY"/>
    <s v="MAILING-WPBCH"/>
    <x v="110"/>
    <x v="5"/>
    <x v="1"/>
    <s v="Invoice"/>
    <s v="92887"/>
    <x v="3"/>
    <x v="2"/>
    <x v="2"/>
    <x v="0"/>
    <n v="120"/>
  </r>
  <r>
    <s v="HAP"/>
    <s v="01"/>
    <s v="GREENWAY"/>
    <s v="MAILING-WPBCH"/>
    <x v="110"/>
    <x v="5"/>
    <x v="1"/>
    <s v="Invoice"/>
    <s v="92887"/>
    <x v="5"/>
    <x v="4"/>
    <x v="4"/>
    <x v="0"/>
    <n v="120"/>
  </r>
  <r>
    <s v="HAP"/>
    <s v="01"/>
    <s v="GREENWAY"/>
    <s v="MAILING-WPBCH"/>
    <x v="110"/>
    <x v="5"/>
    <x v="1"/>
    <s v="Invoice"/>
    <s v="92887"/>
    <x v="222"/>
    <x v="196"/>
    <x v="65"/>
    <x v="0"/>
    <n v="60"/>
  </r>
  <r>
    <s v="HAP"/>
    <s v="01"/>
    <s v="GREENWAY"/>
    <s v="MAILING-WPBCH"/>
    <x v="110"/>
    <x v="5"/>
    <x v="1"/>
    <s v="Invoice"/>
    <s v="92887"/>
    <x v="12"/>
    <x v="11"/>
    <x v="11"/>
    <x v="0"/>
    <n v="60"/>
  </r>
  <r>
    <s v="HAP"/>
    <s v="01"/>
    <s v="GREENWAY"/>
    <s v="MAILING-WPBCH"/>
    <x v="110"/>
    <x v="5"/>
    <x v="1"/>
    <s v="Invoice"/>
    <s v="92887"/>
    <x v="6"/>
    <x v="5"/>
    <x v="5"/>
    <x v="0"/>
    <n v="120"/>
  </r>
  <r>
    <s v="HAP"/>
    <s v="01"/>
    <s v="GREENWAY"/>
    <s v="MAILING-WPBCH"/>
    <x v="110"/>
    <x v="5"/>
    <x v="1"/>
    <s v="Invoice"/>
    <s v="92887"/>
    <x v="2"/>
    <x v="0"/>
    <x v="0"/>
    <x v="0"/>
    <n v="120"/>
  </r>
  <r>
    <s v="HAP"/>
    <s v="01"/>
    <s v="ALMARCH"/>
    <s v="THONOTOSASSA"/>
    <x v="111"/>
    <x v="5"/>
    <x v="1"/>
    <s v="Invoice"/>
    <s v="96813"/>
    <x v="92"/>
    <x v="82"/>
    <x v="35"/>
    <x v="0"/>
    <n v="110"/>
  </r>
  <r>
    <s v="HAP"/>
    <s v="01"/>
    <s v="ALMARCH"/>
    <s v="THONOTOSASSA"/>
    <x v="111"/>
    <x v="5"/>
    <x v="1"/>
    <s v="Invoice"/>
    <s v="96813"/>
    <x v="22"/>
    <x v="83"/>
    <x v="17"/>
    <x v="0"/>
    <n v="55"/>
  </r>
  <r>
    <s v="HAP"/>
    <s v="01"/>
    <s v="ALMARCH"/>
    <s v="THONOTOSASSA"/>
    <x v="111"/>
    <x v="5"/>
    <x v="1"/>
    <s v="Invoice"/>
    <s v="96813"/>
    <x v="223"/>
    <x v="197"/>
    <x v="19"/>
    <x v="0"/>
    <n v="55"/>
  </r>
  <r>
    <s v="HAP"/>
    <s v="01"/>
    <s v="ALMARCH"/>
    <s v="THONOTOSASSA"/>
    <x v="111"/>
    <x v="5"/>
    <x v="1"/>
    <s v="Invoice"/>
    <s v="96813"/>
    <x v="93"/>
    <x v="84"/>
    <x v="37"/>
    <x v="0"/>
    <n v="55"/>
  </r>
  <r>
    <s v="HAP"/>
    <s v="01"/>
    <s v="ALMARCH"/>
    <s v="THONOTOSASSA"/>
    <x v="111"/>
    <x v="5"/>
    <x v="1"/>
    <s v="Invoice"/>
    <s v="96813"/>
    <x v="9"/>
    <x v="140"/>
    <x v="8"/>
    <x v="0"/>
    <n v="55"/>
  </r>
  <r>
    <s v="HAP"/>
    <s v="01"/>
    <s v="GREENWAY"/>
    <s v="EMERALDHILLS"/>
    <x v="112"/>
    <x v="5"/>
    <x v="1"/>
    <s v="Invoice"/>
    <s v="96901"/>
    <x v="14"/>
    <x v="13"/>
    <x v="13"/>
    <x v="0"/>
    <n v="30"/>
  </r>
  <r>
    <s v="HAP"/>
    <s v="01"/>
    <s v="GREENWAY"/>
    <s v="EMERALDHILLS"/>
    <x v="112"/>
    <x v="5"/>
    <x v="1"/>
    <s v="Invoice"/>
    <s v="96901"/>
    <x v="15"/>
    <x v="6"/>
    <x v="6"/>
    <x v="0"/>
    <n v="30"/>
  </r>
  <r>
    <s v="HAP"/>
    <s v="01"/>
    <s v="GREENWAY"/>
    <s v="EMERALDHILLS"/>
    <x v="112"/>
    <x v="5"/>
    <x v="1"/>
    <s v="Invoice"/>
    <s v="96901"/>
    <x v="16"/>
    <x v="2"/>
    <x v="2"/>
    <x v="0"/>
    <n v="30"/>
  </r>
  <r>
    <s v="HAP"/>
    <s v="01"/>
    <s v="GREENWAY"/>
    <s v="EMERALDHILLS"/>
    <x v="112"/>
    <x v="5"/>
    <x v="1"/>
    <s v="Invoice"/>
    <s v="96901"/>
    <x v="18"/>
    <x v="198"/>
    <x v="14"/>
    <x v="0"/>
    <n v="30"/>
  </r>
  <r>
    <s v="HAP"/>
    <s v="01"/>
    <s v="GREENWAY"/>
    <s v="EMERALDHILLS"/>
    <x v="112"/>
    <x v="5"/>
    <x v="1"/>
    <s v="Invoice"/>
    <s v="96901"/>
    <x v="17"/>
    <x v="10"/>
    <x v="10"/>
    <x v="0"/>
    <n v="30"/>
  </r>
  <r>
    <s v="HAP"/>
    <s v="01"/>
    <s v="GREENWAY"/>
    <s v="EMERALDHILLS"/>
    <x v="112"/>
    <x v="5"/>
    <x v="1"/>
    <s v="Invoice"/>
    <s v="96901"/>
    <x v="19"/>
    <x v="15"/>
    <x v="15"/>
    <x v="0"/>
    <n v="30"/>
  </r>
  <r>
    <s v="HAP"/>
    <s v="01"/>
    <s v="GREENWAY"/>
    <s v="EMERALDHILLS"/>
    <x v="112"/>
    <x v="5"/>
    <x v="1"/>
    <s v="Invoice"/>
    <s v="96901"/>
    <x v="20"/>
    <x v="0"/>
    <x v="0"/>
    <x v="0"/>
    <n v="30"/>
  </r>
  <r>
    <s v="HAP"/>
    <s v="01"/>
    <s v="GREENWAY"/>
    <s v="CHAMPION'S CLUB"/>
    <x v="113"/>
    <x v="5"/>
    <x v="1"/>
    <s v="Invoice"/>
    <s v="96967"/>
    <x v="1"/>
    <x v="1"/>
    <x v="1"/>
    <x v="0"/>
    <n v="55"/>
  </r>
  <r>
    <s v="HAP"/>
    <s v="01"/>
    <s v="GREENWAY"/>
    <s v="MAILING-WPBCH"/>
    <x v="113"/>
    <x v="5"/>
    <x v="1"/>
    <s v="Invoice"/>
    <s v="96969"/>
    <x v="4"/>
    <x v="3"/>
    <x v="3"/>
    <x v="0"/>
    <n v="60"/>
  </r>
  <r>
    <s v="HAP"/>
    <s v="01"/>
    <s v="GREENWAY"/>
    <s v="MAILING-WPBCH"/>
    <x v="113"/>
    <x v="5"/>
    <x v="1"/>
    <s v="Invoice"/>
    <s v="96969"/>
    <x v="8"/>
    <x v="7"/>
    <x v="7"/>
    <x v="0"/>
    <n v="60"/>
  </r>
  <r>
    <s v="HAP"/>
    <s v="01"/>
    <s v="GREENWAY"/>
    <s v="MAILING-WPBCH"/>
    <x v="113"/>
    <x v="5"/>
    <x v="1"/>
    <s v="Invoice"/>
    <s v="96969"/>
    <x v="10"/>
    <x v="9"/>
    <x v="9"/>
    <x v="0"/>
    <n v="60"/>
  </r>
  <r>
    <s v="HAP"/>
    <s v="01"/>
    <s v="GREENWAY"/>
    <s v="MAILING-WPBCH"/>
    <x v="113"/>
    <x v="5"/>
    <x v="1"/>
    <s v="Invoice"/>
    <s v="96969"/>
    <x v="21"/>
    <x v="16"/>
    <x v="16"/>
    <x v="0"/>
    <n v="60"/>
  </r>
  <r>
    <s v="HAP"/>
    <s v="01"/>
    <s v="GREENWAY"/>
    <s v="MAILING-WPBCH"/>
    <x v="113"/>
    <x v="5"/>
    <x v="1"/>
    <s v="Invoice"/>
    <s v="96969"/>
    <x v="6"/>
    <x v="5"/>
    <x v="5"/>
    <x v="0"/>
    <n v="120"/>
  </r>
  <r>
    <s v="HAP"/>
    <s v="01"/>
    <s v="GREENWAY"/>
    <s v="MAILING-WPBCH"/>
    <x v="113"/>
    <x v="5"/>
    <x v="1"/>
    <s v="Invoice"/>
    <s v="96969"/>
    <x v="2"/>
    <x v="0"/>
    <x v="0"/>
    <x v="0"/>
    <n v="120"/>
  </r>
  <r>
    <s v="HAP"/>
    <s v="01"/>
    <s v="GREENWAY"/>
    <s v="WINDSOR POLO"/>
    <x v="113"/>
    <x v="5"/>
    <x v="1"/>
    <s v="Invoice"/>
    <s v="96971"/>
    <x v="88"/>
    <x v="2"/>
    <x v="2"/>
    <x v="0"/>
    <n v="55"/>
  </r>
  <r>
    <s v="HAP"/>
    <s v="01"/>
    <s v="GREENWAY"/>
    <s v="WINDSOR POLO"/>
    <x v="113"/>
    <x v="5"/>
    <x v="1"/>
    <s v="Invoice"/>
    <s v="96971"/>
    <x v="0"/>
    <x v="0"/>
    <x v="0"/>
    <x v="0"/>
    <n v="55"/>
  </r>
  <r>
    <s v="DAVID"/>
    <s v="02"/>
    <s v="GLADESFORM"/>
    <s v="MAIN"/>
    <x v="110"/>
    <x v="5"/>
    <x v="1"/>
    <s v="Invoice"/>
    <s v="92712"/>
    <x v="190"/>
    <x v="168"/>
    <x v="20"/>
    <x v="1"/>
    <n v="10590"/>
  </r>
  <r>
    <s v="DAVID"/>
    <s v="02"/>
    <s v="TRIANGLE"/>
    <s v="SHADYBROOK"/>
    <x v="111"/>
    <x v="5"/>
    <x v="1"/>
    <s v="Invoice"/>
    <s v="96802"/>
    <x v="224"/>
    <x v="199"/>
    <x v="22"/>
    <x v="2"/>
    <n v="7.5025000000000004"/>
  </r>
  <r>
    <s v="DAVID"/>
    <s v="02"/>
    <s v="COUNCILO"/>
    <s v="G&amp;D FARMS"/>
    <x v="114"/>
    <x v="5"/>
    <x v="1"/>
    <s v="Invoice"/>
    <s v="96822"/>
    <x v="132"/>
    <x v="120"/>
    <x v="50"/>
    <x v="0"/>
    <n v="4169"/>
  </r>
  <r>
    <s v="DAVID"/>
    <s v="02"/>
    <s v="BIOGRO"/>
    <s v="MAILING"/>
    <x v="114"/>
    <x v="5"/>
    <x v="1"/>
    <s v="Invoice"/>
    <s v="96824"/>
    <x v="25"/>
    <x v="20"/>
    <x v="20"/>
    <x v="1"/>
    <n v="100"/>
  </r>
  <r>
    <s v="DAVID"/>
    <s v="02"/>
    <s v="GLADESFORM"/>
    <s v="MAIN"/>
    <x v="115"/>
    <x v="5"/>
    <x v="1"/>
    <s v="Invoice"/>
    <s v="96842"/>
    <x v="190"/>
    <x v="168"/>
    <x v="20"/>
    <x v="1"/>
    <n v="10590"/>
  </r>
  <r>
    <s v="DAVID"/>
    <s v="02"/>
    <s v="FLORIDAF"/>
    <s v="FLORIDA FERTILI"/>
    <x v="116"/>
    <x v="5"/>
    <x v="1"/>
    <s v="Invoice"/>
    <s v="96863"/>
    <x v="29"/>
    <x v="24"/>
    <x v="20"/>
    <x v="1"/>
    <n v="6575"/>
  </r>
  <r>
    <s v="DAVID"/>
    <s v="02"/>
    <s v="COUNCILO"/>
    <s v="COUNCIL-OXFORD"/>
    <x v="117"/>
    <x v="5"/>
    <x v="1"/>
    <s v="Invoice"/>
    <s v="96873"/>
    <x v="26"/>
    <x v="21"/>
    <x v="21"/>
    <x v="0"/>
    <n v="760"/>
  </r>
  <r>
    <s v="DAVID"/>
    <s v="02"/>
    <s v="EVOQUAWATER"/>
    <s v="GALARDI"/>
    <x v="118"/>
    <x v="5"/>
    <x v="1"/>
    <s v="Invoice"/>
    <s v="96885"/>
    <x v="160"/>
    <x v="142"/>
    <x v="54"/>
    <x v="0"/>
    <n v="360"/>
  </r>
  <r>
    <s v="DAVID"/>
    <s v="02"/>
    <s v="GLADESFORM"/>
    <s v="MAIN"/>
    <x v="118"/>
    <x v="5"/>
    <x v="1"/>
    <s v="Invoice"/>
    <s v="96893"/>
    <x v="190"/>
    <x v="168"/>
    <x v="20"/>
    <x v="1"/>
    <n v="10590"/>
  </r>
  <r>
    <s v="DAVID"/>
    <s v="02"/>
    <s v="MAYO"/>
    <s v="MAYO"/>
    <x v="119"/>
    <x v="5"/>
    <x v="1"/>
    <s v="Invoice"/>
    <s v="96904"/>
    <x v="225"/>
    <x v="200"/>
    <x v="20"/>
    <x v="1"/>
    <n v="47760"/>
  </r>
  <r>
    <s v="DAVID"/>
    <s v="02"/>
    <s v="COUNCILO"/>
    <s v="G&amp;D FARMS"/>
    <x v="119"/>
    <x v="5"/>
    <x v="1"/>
    <s v="Invoice"/>
    <s v="96909"/>
    <x v="132"/>
    <x v="120"/>
    <x v="50"/>
    <x v="0"/>
    <n v="3980.63"/>
  </r>
  <r>
    <s v="DAVID"/>
    <s v="02"/>
    <s v="THEANDERSON"/>
    <s v="LK PLACID"/>
    <x v="120"/>
    <x v="5"/>
    <x v="1"/>
    <s v="Invoice"/>
    <s v="96939"/>
    <x v="124"/>
    <x v="201"/>
    <x v="20"/>
    <x v="1"/>
    <n v="45140"/>
  </r>
  <r>
    <s v="DAVID"/>
    <s v="02"/>
    <s v="COUNCILO"/>
    <s v="G&amp;D FARMS"/>
    <x v="121"/>
    <x v="5"/>
    <x v="1"/>
    <s v="Invoice"/>
    <s v="96945"/>
    <x v="132"/>
    <x v="120"/>
    <x v="50"/>
    <x v="0"/>
    <n v="2833"/>
  </r>
  <r>
    <s v="DAVID"/>
    <s v="02"/>
    <s v="TRIANGLE"/>
    <s v="LAKEWALES"/>
    <x v="113"/>
    <x v="5"/>
    <x v="1"/>
    <s v="Invoice"/>
    <s v="96961"/>
    <x v="226"/>
    <x v="202"/>
    <x v="22"/>
    <x v="2"/>
    <n v="22.0425"/>
  </r>
  <r>
    <s v="DAVID"/>
    <s v="02"/>
    <s v="EVOQUAWATER"/>
    <s v="TAMPA"/>
    <x v="122"/>
    <x v="5"/>
    <x v="1"/>
    <s v="Invoice"/>
    <s v="97000"/>
    <x v="160"/>
    <x v="142"/>
    <x v="54"/>
    <x v="0"/>
    <n v="360"/>
  </r>
  <r>
    <s v="DAVID"/>
    <s v="02"/>
    <s v="GLADESFORM"/>
    <s v="MAIN"/>
    <x v="122"/>
    <x v="5"/>
    <x v="1"/>
    <s v="Invoice"/>
    <s v="97003"/>
    <x v="190"/>
    <x v="112"/>
    <x v="20"/>
    <x v="1"/>
    <n v="10590"/>
  </r>
  <r>
    <s v="JUSTIN"/>
    <s v="03"/>
    <s v="COUNCILO"/>
    <s v="COUNCIL-OXFORD"/>
    <x v="110"/>
    <x v="5"/>
    <x v="1"/>
    <s v="Invoice"/>
    <s v="92173"/>
    <x v="168"/>
    <x v="88"/>
    <x v="8"/>
    <x v="0"/>
    <n v="120"/>
  </r>
  <r>
    <s v="JUSTIN"/>
    <s v="03"/>
    <s v="CPSWACHU"/>
    <s v="WAUCHULA"/>
    <x v="110"/>
    <x v="5"/>
    <x v="1"/>
    <s v="Invoice"/>
    <s v="92607"/>
    <x v="191"/>
    <x v="169"/>
    <x v="61"/>
    <x v="0"/>
    <n v="180"/>
  </r>
  <r>
    <s v="JUSTIN"/>
    <s v="03"/>
    <s v="CPSWACHU"/>
    <s v="WAUCHULA"/>
    <x v="110"/>
    <x v="5"/>
    <x v="1"/>
    <s v="Invoice"/>
    <s v="93333"/>
    <x v="192"/>
    <x v="169"/>
    <x v="61"/>
    <x v="0"/>
    <n v="250"/>
  </r>
  <r>
    <s v=""/>
    <s v="03"/>
    <s v="CPSMULB"/>
    <s v="UAP/MULBERRY"/>
    <x v="123"/>
    <x v="5"/>
    <x v="1"/>
    <s v="Invoice"/>
    <s v="96773"/>
    <x v="5"/>
    <x v="72"/>
    <x v="4"/>
    <x v="0"/>
    <n v="180"/>
  </r>
  <r>
    <s v=""/>
    <s v="03"/>
    <s v="CPSMULB"/>
    <s v="UAP/MULBERRY"/>
    <x v="123"/>
    <x v="5"/>
    <x v="1"/>
    <s v="Invoice"/>
    <s v="96774"/>
    <x v="96"/>
    <x v="90"/>
    <x v="39"/>
    <x v="0"/>
    <n v="180"/>
  </r>
  <r>
    <s v="JUSTIN"/>
    <s v="03"/>
    <s v="G&amp;DFARMS"/>
    <s v="NORTH TANK"/>
    <x v="124"/>
    <x v="5"/>
    <x v="1"/>
    <s v="Invoice"/>
    <s v="96786"/>
    <x v="193"/>
    <x v="170"/>
    <x v="22"/>
    <x v="2"/>
    <n v="15.0025"/>
  </r>
  <r>
    <s v="JUSTIN"/>
    <s v="03"/>
    <s v="CPSWACHU"/>
    <s v="WAUCHULA"/>
    <x v="114"/>
    <x v="5"/>
    <x v="1"/>
    <s v="Invoice"/>
    <s v="96814"/>
    <x v="196"/>
    <x v="172"/>
    <x v="61"/>
    <x v="0"/>
    <n v="180"/>
  </r>
  <r>
    <s v="JUSTIN"/>
    <s v="03"/>
    <s v="CPSPARRI"/>
    <s v="PARRISH"/>
    <x v="114"/>
    <x v="5"/>
    <x v="1"/>
    <s v="Invoice"/>
    <s v="96815"/>
    <x v="5"/>
    <x v="72"/>
    <x v="4"/>
    <x v="0"/>
    <n v="180"/>
  </r>
  <r>
    <s v="JUSTIN"/>
    <s v="03"/>
    <s v="CPSPARRI"/>
    <s v="PARRISH"/>
    <x v="114"/>
    <x v="5"/>
    <x v="1"/>
    <s v="Invoice"/>
    <s v="96815"/>
    <x v="136"/>
    <x v="111"/>
    <x v="46"/>
    <x v="0"/>
    <n v="180"/>
  </r>
  <r>
    <s v="JUSTIN"/>
    <s v="03"/>
    <s v="CPSPARRI"/>
    <s v="PARRISH"/>
    <x v="114"/>
    <x v="5"/>
    <x v="1"/>
    <s v="Invoice"/>
    <s v="96815"/>
    <x v="34"/>
    <x v="29"/>
    <x v="26"/>
    <x v="0"/>
    <n v="180"/>
  </r>
  <r>
    <s v="JUSTIN"/>
    <s v="03"/>
    <s v="CPSWACHU"/>
    <s v="WAUCHULA"/>
    <x v="114"/>
    <x v="5"/>
    <x v="1"/>
    <s v="Invoice"/>
    <s v="96816"/>
    <x v="166"/>
    <x v="29"/>
    <x v="26"/>
    <x v="0"/>
    <n v="1000"/>
  </r>
  <r>
    <s v="JUSTIN"/>
    <s v="03"/>
    <s v="CPSWACHU"/>
    <s v="WAUCHULA"/>
    <x v="114"/>
    <x v="5"/>
    <x v="1"/>
    <s v="Invoice"/>
    <s v="96816"/>
    <x v="34"/>
    <x v="29"/>
    <x v="26"/>
    <x v="0"/>
    <n v="180"/>
  </r>
  <r>
    <s v="JUSTIN"/>
    <s v="03"/>
    <s v="BIGEARTH"/>
    <s v="PALMETTO"/>
    <x v="114"/>
    <x v="5"/>
    <x v="1"/>
    <s v="Invoice"/>
    <s v="96823"/>
    <x v="130"/>
    <x v="203"/>
    <x v="49"/>
    <x v="0"/>
    <n v="7.5"/>
  </r>
  <r>
    <s v="JUSTIN"/>
    <s v="03"/>
    <s v="CPSMULB"/>
    <s v="UAP/MULBERRY"/>
    <x v="115"/>
    <x v="5"/>
    <x v="1"/>
    <s v="Invoice"/>
    <s v="96829"/>
    <x v="134"/>
    <x v="94"/>
    <x v="41"/>
    <x v="0"/>
    <n v="1434"/>
  </r>
  <r>
    <s v="JUSTIN"/>
    <s v="03"/>
    <s v="CPSWACHU"/>
    <s v="WAUCHULA"/>
    <x v="125"/>
    <x v="5"/>
    <x v="1"/>
    <s v="Invoice"/>
    <s v="96860"/>
    <x v="196"/>
    <x v="172"/>
    <x v="61"/>
    <x v="0"/>
    <n v="180"/>
  </r>
  <r>
    <s v="JUSTIN"/>
    <s v="03"/>
    <s v="CPSFTPIE"/>
    <s v="FT. PIERCE"/>
    <x v="116"/>
    <x v="5"/>
    <x v="1"/>
    <s v="Invoice"/>
    <s v="96861"/>
    <x v="166"/>
    <x v="29"/>
    <x v="26"/>
    <x v="0"/>
    <n v="750"/>
  </r>
  <r>
    <s v="JUSTIN"/>
    <s v="03"/>
    <s v="CPSFTPIE"/>
    <s v="FT. PIERCE"/>
    <x v="116"/>
    <x v="5"/>
    <x v="1"/>
    <s v="Invoice"/>
    <s v="96862"/>
    <x v="34"/>
    <x v="29"/>
    <x v="26"/>
    <x v="0"/>
    <n v="180"/>
  </r>
  <r>
    <s v="JUSTIN"/>
    <s v="03"/>
    <s v="COUNCILO"/>
    <s v="COUNCIL-OXFORD"/>
    <x v="116"/>
    <x v="5"/>
    <x v="1"/>
    <s v="Invoice"/>
    <s v="96872"/>
    <x v="168"/>
    <x v="88"/>
    <x v="8"/>
    <x v="0"/>
    <n v="120"/>
  </r>
  <r>
    <s v="JUSTIN"/>
    <s v="03"/>
    <s v="CPSPARRI"/>
    <s v="PARRISH"/>
    <x v="117"/>
    <x v="5"/>
    <x v="1"/>
    <s v="Invoice"/>
    <s v="96879"/>
    <x v="74"/>
    <x v="67"/>
    <x v="7"/>
    <x v="0"/>
    <n v="750"/>
  </r>
  <r>
    <s v="JUSTIN"/>
    <s v="03"/>
    <s v="CPSPARRI"/>
    <s v="PARRISH"/>
    <x v="117"/>
    <x v="5"/>
    <x v="1"/>
    <s v="Invoice"/>
    <s v="96880"/>
    <x v="96"/>
    <x v="90"/>
    <x v="39"/>
    <x v="0"/>
    <n v="60"/>
  </r>
  <r>
    <s v=""/>
    <s v="03"/>
    <s v="CPSMULB"/>
    <s v="UAP/MULBERRY"/>
    <x v="117"/>
    <x v="5"/>
    <x v="1"/>
    <s v="Invoice"/>
    <s v="96881"/>
    <x v="31"/>
    <x v="124"/>
    <x v="24"/>
    <x v="0"/>
    <n v="180"/>
  </r>
  <r>
    <s v="JUSTIN"/>
    <s v="03"/>
    <s v="CPSOKEE"/>
    <s v="OKEE-LIQ PLANT"/>
    <x v="118"/>
    <x v="5"/>
    <x v="1"/>
    <s v="Invoice"/>
    <s v="96890"/>
    <x v="134"/>
    <x v="94"/>
    <x v="41"/>
    <x v="0"/>
    <n v="2516.59"/>
  </r>
  <r>
    <s v="JUSTIN"/>
    <s v="03"/>
    <s v="CPSWACHU"/>
    <s v="WAUCHULA"/>
    <x v="112"/>
    <x v="5"/>
    <x v="1"/>
    <s v="Invoice"/>
    <s v="96903"/>
    <x v="34"/>
    <x v="29"/>
    <x v="26"/>
    <x v="0"/>
    <n v="360"/>
  </r>
  <r>
    <s v="JUSTIN"/>
    <s v="03"/>
    <s v="GRIFFINF"/>
    <s v="FROSTPROOF"/>
    <x v="126"/>
    <x v="5"/>
    <x v="1"/>
    <s v="Invoice"/>
    <s v="96914"/>
    <x v="34"/>
    <x v="29"/>
    <x v="26"/>
    <x v="0"/>
    <n v="360"/>
  </r>
  <r>
    <s v="JUSTIN"/>
    <s v="03"/>
    <s v="CPSPARRI"/>
    <s v="PARRISH"/>
    <x v="126"/>
    <x v="5"/>
    <x v="1"/>
    <s v="Invoice"/>
    <s v="96915"/>
    <x v="5"/>
    <x v="72"/>
    <x v="4"/>
    <x v="0"/>
    <n v="180"/>
  </r>
  <r>
    <s v="JUSTIN"/>
    <s v="03"/>
    <s v="CPSWACHU"/>
    <s v="WAUCHULA"/>
    <x v="121"/>
    <x v="5"/>
    <x v="1"/>
    <s v="Invoice"/>
    <s v="96943"/>
    <x v="34"/>
    <x v="29"/>
    <x v="26"/>
    <x v="0"/>
    <n v="360"/>
  </r>
  <r>
    <s v="JUSTIN"/>
    <s v="03"/>
    <s v="GRIFFINF"/>
    <s v="FROSTPROOF"/>
    <x v="121"/>
    <x v="5"/>
    <x v="1"/>
    <s v="Invoice"/>
    <s v="96944"/>
    <x v="96"/>
    <x v="90"/>
    <x v="39"/>
    <x v="0"/>
    <n v="180"/>
  </r>
  <r>
    <s v="JUSTIN"/>
    <s v="03"/>
    <s v="TRIANGLE"/>
    <s v="TRIANGLE/LAKEPL"/>
    <x v="113"/>
    <x v="5"/>
    <x v="1"/>
    <s v="Invoice"/>
    <s v="96963"/>
    <x v="170"/>
    <x v="33"/>
    <x v="28"/>
    <x v="0"/>
    <n v="250"/>
  </r>
  <r>
    <s v="JUSTIN"/>
    <s v="03"/>
    <s v="TRIANGLE"/>
    <s v="TRIANGLE/LAKEPL"/>
    <x v="113"/>
    <x v="5"/>
    <x v="1"/>
    <s v="Invoice"/>
    <s v="96964"/>
    <x v="100"/>
    <x v="94"/>
    <x v="41"/>
    <x v="0"/>
    <n v="250"/>
  </r>
  <r>
    <s v="JUSTIN"/>
    <s v="03"/>
    <s v="FLORIDAF"/>
    <s v="FLORIDA FERTILI"/>
    <x v="127"/>
    <x v="5"/>
    <x v="1"/>
    <s v="Invoice"/>
    <s v="96983"/>
    <x v="5"/>
    <x v="72"/>
    <x v="4"/>
    <x v="0"/>
    <n v="120"/>
  </r>
  <r>
    <s v="JUSTIN"/>
    <s v="03"/>
    <s v="FLORIDAF"/>
    <s v="FLORIDA FERTILI"/>
    <x v="127"/>
    <x v="5"/>
    <x v="1"/>
    <s v="Invoice"/>
    <s v="96983"/>
    <x v="218"/>
    <x v="193"/>
    <x v="8"/>
    <x v="0"/>
    <n v="120"/>
  </r>
  <r>
    <s v="JUSTIN"/>
    <s v="03"/>
    <s v="CPSWACHU"/>
    <s v="WAUCHULA"/>
    <x v="127"/>
    <x v="5"/>
    <x v="1"/>
    <s v="Invoice"/>
    <s v="96985"/>
    <x v="166"/>
    <x v="29"/>
    <x v="26"/>
    <x v="0"/>
    <n v="1000"/>
  </r>
  <r>
    <s v="JUSTIN"/>
    <s v="03"/>
    <s v="COUNCILO"/>
    <s v="COUNCIL-OXFORD"/>
    <x v="127"/>
    <x v="5"/>
    <x v="1"/>
    <s v="Invoice"/>
    <s v="96987"/>
    <x v="40"/>
    <x v="35"/>
    <x v="29"/>
    <x v="0"/>
    <n v="180"/>
  </r>
  <r>
    <s v="JUSTIN"/>
    <s v="03"/>
    <s v="CPSWACHU"/>
    <s v="WAUCHULA"/>
    <x v="128"/>
    <x v="5"/>
    <x v="1"/>
    <s v="Invoice"/>
    <s v="97009"/>
    <x v="34"/>
    <x v="29"/>
    <x v="26"/>
    <x v="0"/>
    <n v="360"/>
  </r>
  <r>
    <s v="JUSTIN"/>
    <s v="03"/>
    <s v="TRIANGLE"/>
    <s v="TRIANGLE/LAKEPL"/>
    <x v="129"/>
    <x v="5"/>
    <x v="1"/>
    <s v="Invoice"/>
    <s v="97025"/>
    <x v="197"/>
    <x v="31"/>
    <x v="4"/>
    <x v="0"/>
    <n v="500"/>
  </r>
  <r>
    <s v="JUSTIN"/>
    <s v="03"/>
    <s v="COUNCILO"/>
    <s v="COUNCIL-OXFORD"/>
    <x v="129"/>
    <x v="5"/>
    <x v="1"/>
    <s v="Invoice"/>
    <s v="97032"/>
    <x v="34"/>
    <x v="29"/>
    <x v="26"/>
    <x v="0"/>
    <n v="180"/>
  </r>
  <r>
    <s v="JUSTIN"/>
    <s v="03"/>
    <s v="COUNCILO"/>
    <s v="COUNCIL-OXFORD"/>
    <x v="129"/>
    <x v="5"/>
    <x v="1"/>
    <s v="Invoice"/>
    <s v="97032"/>
    <x v="40"/>
    <x v="35"/>
    <x v="29"/>
    <x v="0"/>
    <n v="180"/>
  </r>
  <r>
    <s v="JUSTIN"/>
    <s v="03"/>
    <s v="GREENRES"/>
    <s v="MGMT WAY-NC"/>
    <x v="130"/>
    <x v="5"/>
    <x v="1"/>
    <s v="Invoice"/>
    <s v="97046"/>
    <x v="22"/>
    <x v="69"/>
    <x v="17"/>
    <x v="0"/>
    <n v="180"/>
  </r>
  <r>
    <s v="JUSTIN"/>
    <s v="03"/>
    <s v="CPSOKEE"/>
    <s v="OKEE-LIQ PLANT"/>
    <x v="130"/>
    <x v="5"/>
    <x v="1"/>
    <s v="Invoice"/>
    <s v="97047"/>
    <x v="134"/>
    <x v="94"/>
    <x v="41"/>
    <x v="0"/>
    <n v="3927"/>
  </r>
  <r>
    <s v="JUSTIN"/>
    <s v="03"/>
    <s v="BIGEARTH"/>
    <s v="FRUITVILLE"/>
    <x v="130"/>
    <x v="5"/>
    <x v="1"/>
    <s v="Invoice"/>
    <s v="97048"/>
    <x v="22"/>
    <x v="69"/>
    <x v="17"/>
    <x v="0"/>
    <n v="62.5"/>
  </r>
  <r>
    <s v="DPOPPELL"/>
    <s v="04"/>
    <s v="LARRYENN"/>
    <s v="TRAPNELL ROAD"/>
    <x v="110"/>
    <x v="5"/>
    <x v="1"/>
    <s v="Invoice"/>
    <s v="75283"/>
    <x v="43"/>
    <x v="38"/>
    <x v="22"/>
    <x v="2"/>
    <n v="4.5"/>
  </r>
  <r>
    <s v="DPOPPELL"/>
    <s v="04"/>
    <s v="FERRISFA"/>
    <s v="BLUEBERRY-NEW"/>
    <x v="110"/>
    <x v="5"/>
    <x v="1"/>
    <s v="Invoice"/>
    <s v="87916"/>
    <x v="154"/>
    <x v="136"/>
    <x v="22"/>
    <x v="2"/>
    <n v="4.9974999999999996"/>
  </r>
  <r>
    <s v="DPOPPELL"/>
    <s v="04"/>
    <s v="FERRISFA"/>
    <s v="BLUEBERRY-NEW"/>
    <x v="110"/>
    <x v="5"/>
    <x v="1"/>
    <s v="Invoice"/>
    <s v="88123"/>
    <x v="62"/>
    <x v="55"/>
    <x v="22"/>
    <x v="2"/>
    <n v="10"/>
  </r>
  <r>
    <s v="DPOPPELL"/>
    <s v="04"/>
    <s v="SANCHEZFARM"/>
    <s v="FORBES RD/SOUTH"/>
    <x v="110"/>
    <x v="5"/>
    <x v="1"/>
    <s v="Invoice"/>
    <s v="88144"/>
    <x v="227"/>
    <x v="204"/>
    <x v="22"/>
    <x v="2"/>
    <n v="1.25"/>
  </r>
  <r>
    <s v="DPOPPELL"/>
    <s v="04"/>
    <s v="MIDWAYF"/>
    <s v="HAGGERTY ROAD"/>
    <x v="110"/>
    <x v="5"/>
    <x v="1"/>
    <s v="Invoice"/>
    <s v="88786"/>
    <x v="64"/>
    <x v="57"/>
    <x v="22"/>
    <x v="2"/>
    <n v="4.5"/>
  </r>
  <r>
    <s v="DPOPPELL"/>
    <s v="04"/>
    <s v="COLORFULH"/>
    <s v="TRAPNELL RD."/>
    <x v="110"/>
    <x v="5"/>
    <x v="1"/>
    <s v="Invoice"/>
    <s v="91391"/>
    <x v="228"/>
    <x v="205"/>
    <x v="22"/>
    <x v="2"/>
    <n v="9.02"/>
  </r>
  <r>
    <s v="DPOPPELL"/>
    <s v="04"/>
    <s v="SPIVEYFA"/>
    <s v="HOPEWELL"/>
    <x v="123"/>
    <x v="5"/>
    <x v="1"/>
    <s v="Invoice"/>
    <s v="94683"/>
    <x v="56"/>
    <x v="49"/>
    <x v="22"/>
    <x v="2"/>
    <n v="3.4975000000000001"/>
  </r>
  <r>
    <s v="DPOPPELL"/>
    <s v="04"/>
    <s v="MERCEDCH"/>
    <s v="HWY62"/>
    <x v="123"/>
    <x v="5"/>
    <x v="1"/>
    <s v="Invoice"/>
    <s v="94694"/>
    <x v="229"/>
    <x v="206"/>
    <x v="22"/>
    <x v="2"/>
    <n v="8.0124999999999993"/>
  </r>
  <r>
    <s v="DPOPPELL"/>
    <s v="04"/>
    <s v="MERCEDCH"/>
    <s v="BOBCAT"/>
    <x v="123"/>
    <x v="5"/>
    <x v="1"/>
    <s v="Invoice"/>
    <s v="96695"/>
    <x v="229"/>
    <x v="206"/>
    <x v="22"/>
    <x v="2"/>
    <n v="12"/>
  </r>
  <r>
    <s v="DPOPPELL"/>
    <s v="04"/>
    <s v="SWEETLIFE"/>
    <s v="STRAWBERRY STAT"/>
    <x v="123"/>
    <x v="5"/>
    <x v="1"/>
    <s v="Invoice"/>
    <s v="96775"/>
    <x v="141"/>
    <x v="124"/>
    <x v="24"/>
    <x v="0"/>
    <n v="250"/>
  </r>
  <r>
    <s v="DPOPPELL"/>
    <s v="04"/>
    <s v="CIRCLEGF&amp;R LLC"/>
    <s v="KNIGHTS-N-BB 16"/>
    <x v="123"/>
    <x v="5"/>
    <x v="1"/>
    <s v="Invoice"/>
    <s v="96779"/>
    <x v="205"/>
    <x v="181"/>
    <x v="22"/>
    <x v="2"/>
    <n v="7.0049999999999999"/>
  </r>
  <r>
    <s v="DPOPPELL"/>
    <s v="04"/>
    <s v="CIRCLEGF&amp;R LLC"/>
    <s v="KNIGHTS-S/E"/>
    <x v="123"/>
    <x v="5"/>
    <x v="1"/>
    <s v="Invoice"/>
    <s v="96780"/>
    <x v="64"/>
    <x v="57"/>
    <x v="22"/>
    <x v="2"/>
    <n v="4.9950000000000001"/>
  </r>
  <r>
    <s v="DPOPPELL"/>
    <s v="04"/>
    <s v="MIDWAYF"/>
    <s v="WILDER RD."/>
    <x v="124"/>
    <x v="5"/>
    <x v="1"/>
    <s v="Invoice"/>
    <s v="96788"/>
    <x v="205"/>
    <x v="181"/>
    <x v="22"/>
    <x v="2"/>
    <n v="2"/>
  </r>
  <r>
    <s v="DPOPPELL"/>
    <s v="04"/>
    <s v="CHARLIEG-LLC"/>
    <s v="LAMPP ROAD"/>
    <x v="124"/>
    <x v="5"/>
    <x v="1"/>
    <s v="Invoice"/>
    <s v="96790"/>
    <x v="64"/>
    <x v="57"/>
    <x v="22"/>
    <x v="2"/>
    <n v="4.99"/>
  </r>
  <r>
    <s v="DPOPPELL"/>
    <s v="04"/>
    <s v="CHARLIEG-LLC"/>
    <s v="DAIRY"/>
    <x v="124"/>
    <x v="5"/>
    <x v="1"/>
    <s v="Invoice"/>
    <s v="96791"/>
    <x v="64"/>
    <x v="57"/>
    <x v="22"/>
    <x v="2"/>
    <n v="5.0175000000000001"/>
  </r>
  <r>
    <s v="DPOPPELL"/>
    <s v="04"/>
    <s v="CHARLIEG-LLC"/>
    <s v="DAIRY"/>
    <x v="124"/>
    <x v="5"/>
    <x v="1"/>
    <s v="Invoice"/>
    <s v="96792"/>
    <x v="205"/>
    <x v="181"/>
    <x v="22"/>
    <x v="2"/>
    <n v="2.5125000000000002"/>
  </r>
  <r>
    <s v="DPOPPELL"/>
    <s v="04"/>
    <s v="SOUTHERNHILL"/>
    <s v="SCHOFIELD"/>
    <x v="124"/>
    <x v="5"/>
    <x v="1"/>
    <s v="Invoice"/>
    <s v="96793"/>
    <x v="43"/>
    <x v="38"/>
    <x v="22"/>
    <x v="2"/>
    <n v="2.0024999999999999"/>
  </r>
  <r>
    <s v="DPOPPELL"/>
    <s v="04"/>
    <s v="CHAVEZJOR"/>
    <s v="JOSE' CHAV- COD"/>
    <x v="124"/>
    <x v="5"/>
    <x v="1"/>
    <s v="Invoice"/>
    <s v="96794"/>
    <x v="53"/>
    <x v="46"/>
    <x v="22"/>
    <x v="2"/>
    <n v="0.15"/>
  </r>
  <r>
    <s v="DPOPPELL"/>
    <s v="04"/>
    <s v="SWEETLIFE"/>
    <s v="SAMALLEN-SOUTH"/>
    <x v="131"/>
    <x v="5"/>
    <x v="1"/>
    <s v="Invoice"/>
    <s v="96795"/>
    <x v="205"/>
    <x v="181"/>
    <x v="22"/>
    <x v="2"/>
    <n v="13.515000000000001"/>
  </r>
  <r>
    <s v="DPOPPELL"/>
    <s v="04"/>
    <s v="JOEPENA"/>
    <s v="HWY 92"/>
    <x v="131"/>
    <x v="5"/>
    <x v="1"/>
    <s v="Invoice"/>
    <s v="96796"/>
    <x v="114"/>
    <x v="101"/>
    <x v="22"/>
    <x v="2"/>
    <n v="1"/>
  </r>
  <r>
    <s v="DPOPPELL"/>
    <s v="04"/>
    <s v="MIDWAYF"/>
    <s v="WILDER RD."/>
    <x v="131"/>
    <x v="5"/>
    <x v="1"/>
    <s v="Invoice"/>
    <s v="96797"/>
    <x v="64"/>
    <x v="57"/>
    <x v="22"/>
    <x v="2"/>
    <n v="4.5"/>
  </r>
  <r>
    <s v="DPOPPELL"/>
    <s v="04"/>
    <s v="GEORGESP"/>
    <s v="TRAPNELL ROAD"/>
    <x v="111"/>
    <x v="5"/>
    <x v="1"/>
    <s v="Invoice"/>
    <s v="96798"/>
    <x v="58"/>
    <x v="51"/>
    <x v="22"/>
    <x v="2"/>
    <n v="2.5"/>
  </r>
  <r>
    <s v="DPOPPELL"/>
    <s v="04"/>
    <s v="SWEETLIFE"/>
    <s v="KNIGHTS GRIFFIN"/>
    <x v="124"/>
    <x v="5"/>
    <x v="1"/>
    <s v="Invoice"/>
    <s v="96799"/>
    <x v="64"/>
    <x v="57"/>
    <x v="22"/>
    <x v="2"/>
    <n v="15.012499999999999"/>
  </r>
  <r>
    <s v="DPOPPELL"/>
    <s v="04"/>
    <s v="GAONA, ESPER"/>
    <s v="SMOKINACES"/>
    <x v="111"/>
    <x v="5"/>
    <x v="1"/>
    <s v="Invoice"/>
    <s v="96800"/>
    <x v="28"/>
    <x v="23"/>
    <x v="22"/>
    <x v="2"/>
    <n v="1.25"/>
  </r>
  <r>
    <s v="DPOPPELL"/>
    <s v="04"/>
    <s v="CARLTONTHOMAS"/>
    <s v="GRANGEHALL"/>
    <x v="111"/>
    <x v="5"/>
    <x v="1"/>
    <s v="Invoice"/>
    <s v="96803"/>
    <x v="71"/>
    <x v="64"/>
    <x v="22"/>
    <x v="2"/>
    <n v="2.5"/>
  </r>
  <r>
    <s v="DPOPPELL"/>
    <s v="04"/>
    <s v="PEPPERBERRY"/>
    <s v="THE GROVE"/>
    <x v="111"/>
    <x v="5"/>
    <x v="1"/>
    <s v="Invoice"/>
    <s v="96804"/>
    <x v="149"/>
    <x v="129"/>
    <x v="22"/>
    <x v="2"/>
    <n v="7.5"/>
  </r>
  <r>
    <s v="DPOPPELL"/>
    <s v="04"/>
    <s v="ALONSOFARMS"/>
    <s v="IKESMITH"/>
    <x v="111"/>
    <x v="5"/>
    <x v="1"/>
    <s v="Invoice"/>
    <s v="96805"/>
    <x v="28"/>
    <x v="23"/>
    <x v="22"/>
    <x v="2"/>
    <n v="7.5"/>
  </r>
  <r>
    <s v="DPOPPELL"/>
    <s v="04"/>
    <s v="M&amp;GFARMS"/>
    <s v="HAREFAMILYLN"/>
    <x v="111"/>
    <x v="5"/>
    <x v="1"/>
    <s v="Invoice"/>
    <s v="96806"/>
    <x v="145"/>
    <x v="126"/>
    <x v="22"/>
    <x v="2"/>
    <n v="5"/>
  </r>
  <r>
    <s v="DPOPPELL"/>
    <s v="04"/>
    <s v="SANCHEZFARM"/>
    <s v="WACHULA"/>
    <x v="111"/>
    <x v="5"/>
    <x v="1"/>
    <s v="Invoice"/>
    <s v="96807"/>
    <x v="67"/>
    <x v="60"/>
    <x v="22"/>
    <x v="2"/>
    <n v="4.9950000000000001"/>
  </r>
  <r>
    <s v="DPOPPELL"/>
    <s v="04"/>
    <s v="SANCHEZFARM"/>
    <s v="WACHULA"/>
    <x v="111"/>
    <x v="5"/>
    <x v="1"/>
    <s v="Invoice"/>
    <s v="96808"/>
    <x v="59"/>
    <x v="52"/>
    <x v="22"/>
    <x v="2"/>
    <n v="7.5250000000000004"/>
  </r>
  <r>
    <s v="DPOPPELL"/>
    <s v="04"/>
    <s v="M&amp;GFARMS"/>
    <s v="HAREFAMILYLN"/>
    <x v="111"/>
    <x v="5"/>
    <x v="1"/>
    <s v="Invoice"/>
    <s v="96810"/>
    <x v="110"/>
    <x v="97"/>
    <x v="16"/>
    <x v="0"/>
    <n v="500"/>
  </r>
  <r>
    <s v="DPOPPELL"/>
    <s v="04"/>
    <s v="FLORIDAAG"/>
    <s v="DOVER"/>
    <x v="111"/>
    <x v="5"/>
    <x v="1"/>
    <s v="Invoice"/>
    <s v="96811"/>
    <x v="52"/>
    <x v="45"/>
    <x v="22"/>
    <x v="2"/>
    <n v="0.995"/>
  </r>
  <r>
    <s v="DPOPPELL"/>
    <s v="04"/>
    <s v="EWSIMMON"/>
    <s v="JERRY SMITH RD"/>
    <x v="111"/>
    <x v="5"/>
    <x v="1"/>
    <s v="Invoice"/>
    <s v="96812"/>
    <x v="173"/>
    <x v="154"/>
    <x v="22"/>
    <x v="2"/>
    <n v="7.5049999999999999"/>
  </r>
  <r>
    <s v="DPOPPELL"/>
    <s v="04"/>
    <s v="SYDNEYFA"/>
    <s v="FORBES/NORTH"/>
    <x v="114"/>
    <x v="5"/>
    <x v="1"/>
    <s v="Invoice"/>
    <s v="96818"/>
    <x v="204"/>
    <x v="180"/>
    <x v="22"/>
    <x v="2"/>
    <n v="10.0075"/>
  </r>
  <r>
    <s v="DPOPPELL"/>
    <s v="04"/>
    <s v="LEE GILLM"/>
    <s v="THONOTOSASSA"/>
    <x v="114"/>
    <x v="5"/>
    <x v="1"/>
    <s v="Invoice"/>
    <s v="96820"/>
    <x v="63"/>
    <x v="56"/>
    <x v="22"/>
    <x v="2"/>
    <n v="2.4925000000000002"/>
  </r>
  <r>
    <s v="DPOPPELL"/>
    <s v="04"/>
    <s v="SWEETLIFE"/>
    <s v="BRYANT S"/>
    <x v="114"/>
    <x v="5"/>
    <x v="1"/>
    <s v="Invoice"/>
    <s v="96821"/>
    <x v="205"/>
    <x v="181"/>
    <x v="22"/>
    <x v="2"/>
    <n v="8.5050000000000008"/>
  </r>
  <r>
    <s v="DPOPPELL"/>
    <s v="04"/>
    <s v="THREESTA"/>
    <s v="WALDEN-SHEFFIEL"/>
    <x v="114"/>
    <x v="5"/>
    <x v="1"/>
    <s v="Invoice"/>
    <s v="96825"/>
    <x v="204"/>
    <x v="180"/>
    <x v="22"/>
    <x v="2"/>
    <n v="10"/>
  </r>
  <r>
    <s v=""/>
    <s v="04"/>
    <s v="SOTERO"/>
    <s v="SOTERO"/>
    <x v="114"/>
    <x v="5"/>
    <x v="1"/>
    <s v="Invoice"/>
    <s v="96826"/>
    <x v="53"/>
    <x v="46"/>
    <x v="22"/>
    <x v="2"/>
    <n v="0.3"/>
  </r>
  <r>
    <s v="DPOPPELL"/>
    <s v="04"/>
    <s v="FANCYFAR"/>
    <s v="VOLVO"/>
    <x v="114"/>
    <x v="5"/>
    <x v="1"/>
    <s v="Invoice"/>
    <s v="96827"/>
    <x v="174"/>
    <x v="155"/>
    <x v="22"/>
    <x v="2"/>
    <n v="10"/>
  </r>
  <r>
    <s v="DPOPPELL"/>
    <s v="04"/>
    <s v="MERCEDCH"/>
    <s v="HWY62"/>
    <x v="115"/>
    <x v="5"/>
    <x v="1"/>
    <s v="Invoice"/>
    <s v="96830"/>
    <x v="229"/>
    <x v="206"/>
    <x v="22"/>
    <x v="2"/>
    <n v="5.0025000000000004"/>
  </r>
  <r>
    <s v="DPOPPELL"/>
    <s v="04"/>
    <s v="MERCEDCH"/>
    <s v="HWY62"/>
    <x v="115"/>
    <x v="5"/>
    <x v="1"/>
    <s v="Invoice"/>
    <s v="96831"/>
    <x v="43"/>
    <x v="38"/>
    <x v="22"/>
    <x v="2"/>
    <n v="8.01"/>
  </r>
  <r>
    <s v="DPOPPELL"/>
    <s v="04"/>
    <s v="CIRCLEGF&amp;R LLC"/>
    <s v="KNIGHTS-N-#16"/>
    <x v="115"/>
    <x v="5"/>
    <x v="1"/>
    <s v="Invoice"/>
    <s v="96832"/>
    <x v="64"/>
    <x v="57"/>
    <x v="22"/>
    <x v="2"/>
    <n v="8"/>
  </r>
  <r>
    <s v="DPOPPELL"/>
    <s v="04"/>
    <s v="GILLMANBUDD"/>
    <s v="EDITH DELANEY"/>
    <x v="115"/>
    <x v="5"/>
    <x v="1"/>
    <s v="Invoice"/>
    <s v="96833"/>
    <x v="63"/>
    <x v="56"/>
    <x v="22"/>
    <x v="2"/>
    <n v="5"/>
  </r>
  <r>
    <s v="DPOPPELL"/>
    <s v="04"/>
    <s v="MIKELOTT"/>
    <s v="HILLSBOROUGH"/>
    <x v="115"/>
    <x v="5"/>
    <x v="1"/>
    <s v="Invoice"/>
    <s v="96835"/>
    <x v="43"/>
    <x v="38"/>
    <x v="22"/>
    <x v="2"/>
    <n v="4.9974999999999996"/>
  </r>
  <r>
    <s v="DPOPPELL"/>
    <s v="04"/>
    <s v="MIKELOTT"/>
    <s v="GALLAGHER ROAD"/>
    <x v="115"/>
    <x v="5"/>
    <x v="1"/>
    <s v="Invoice"/>
    <s v="96836"/>
    <x v="28"/>
    <x v="23"/>
    <x v="22"/>
    <x v="2"/>
    <n v="0.5"/>
  </r>
  <r>
    <s v="DPOPPELL"/>
    <s v="04"/>
    <s v="MENDOZAHEC"/>
    <s v="HWY60"/>
    <x v="115"/>
    <x v="5"/>
    <x v="1"/>
    <s v="Invoice"/>
    <s v="96837"/>
    <x v="27"/>
    <x v="22"/>
    <x v="22"/>
    <x v="2"/>
    <n v="6.5"/>
  </r>
  <r>
    <s v="DPOPPELL"/>
    <s v="04"/>
    <s v="CIRCLEGF&amp;R LLC"/>
    <s v="KNIGHTS-N-#16"/>
    <x v="115"/>
    <x v="5"/>
    <x v="1"/>
    <s v="Invoice"/>
    <s v="96838"/>
    <x v="205"/>
    <x v="181"/>
    <x v="22"/>
    <x v="2"/>
    <n v="6.4974999999999996"/>
  </r>
  <r>
    <s v="DPOPPELL"/>
    <s v="04"/>
    <s v="MIDWAYF"/>
    <s v="ALS - SOUTH"/>
    <x v="115"/>
    <x v="5"/>
    <x v="1"/>
    <s v="Invoice"/>
    <s v="96839"/>
    <x v="64"/>
    <x v="57"/>
    <x v="22"/>
    <x v="2"/>
    <n v="2.5"/>
  </r>
  <r>
    <s v="DPOPPELL"/>
    <s v="04"/>
    <s v="MIDWAYF"/>
    <s v="EKNIGHTS"/>
    <x v="115"/>
    <x v="5"/>
    <x v="1"/>
    <s v="Invoice"/>
    <s v="96840"/>
    <x v="205"/>
    <x v="181"/>
    <x v="22"/>
    <x v="2"/>
    <n v="1.25"/>
  </r>
  <r>
    <s v="DPOPPELL"/>
    <s v="04"/>
    <s v="5KFARMS"/>
    <s v="MAIN"/>
    <x v="115"/>
    <x v="5"/>
    <x v="1"/>
    <s v="Invoice"/>
    <s v="96841"/>
    <x v="40"/>
    <x v="35"/>
    <x v="29"/>
    <x v="0"/>
    <n v="30"/>
  </r>
  <r>
    <s v="DPOPPELL"/>
    <s v="04"/>
    <s v="LEE GILLM"/>
    <s v="PASTUREPUMP"/>
    <x v="115"/>
    <x v="5"/>
    <x v="1"/>
    <s v="Invoice"/>
    <s v="96844"/>
    <x v="63"/>
    <x v="56"/>
    <x v="22"/>
    <x v="2"/>
    <n v="1.01"/>
  </r>
  <r>
    <s v="DPOPPELL"/>
    <s v="04"/>
    <s v="ALBAEDWARD"/>
    <s v="MAIN"/>
    <x v="115"/>
    <x v="5"/>
    <x v="1"/>
    <s v="Invoice"/>
    <s v="96845"/>
    <x v="230"/>
    <x v="91"/>
    <x v="8"/>
    <x v="0"/>
    <n v="10"/>
  </r>
  <r>
    <s v="DPOPPELL"/>
    <s v="04"/>
    <s v="SWEETLIFE"/>
    <s v="KNIGHTS GRIFFIN"/>
    <x v="115"/>
    <x v="5"/>
    <x v="1"/>
    <s v="Invoice"/>
    <s v="96846"/>
    <x v="64"/>
    <x v="57"/>
    <x v="22"/>
    <x v="2"/>
    <n v="4.99"/>
  </r>
  <r>
    <s v=""/>
    <s v="04"/>
    <s v="ALVAREZJ"/>
    <s v="MOORESLAKE"/>
    <x v="115"/>
    <x v="5"/>
    <x v="1"/>
    <s v="Invoice"/>
    <s v="96847"/>
    <x v="68"/>
    <x v="61"/>
    <x v="22"/>
    <x v="2"/>
    <n v="2.9975000000000001"/>
  </r>
  <r>
    <s v="DPOPPELL"/>
    <s v="04"/>
    <s v="MIDWAYF"/>
    <s v="FORBES"/>
    <x v="115"/>
    <x v="5"/>
    <x v="1"/>
    <s v="Invoice"/>
    <s v="96848"/>
    <x v="205"/>
    <x v="181"/>
    <x v="22"/>
    <x v="2"/>
    <n v="4.5"/>
  </r>
  <r>
    <s v="DPOPPELL"/>
    <s v="04"/>
    <s v="GEORGESP"/>
    <s v="TURKEY CREEK/EA"/>
    <x v="115"/>
    <x v="5"/>
    <x v="1"/>
    <s v="Invoice"/>
    <s v="96849"/>
    <x v="58"/>
    <x v="51"/>
    <x v="22"/>
    <x v="2"/>
    <n v="2.5125000000000002"/>
  </r>
  <r>
    <s v="DPOPPELL"/>
    <s v="04"/>
    <s v="FRANKLIN"/>
    <s v="MCGEE RD. NORTH"/>
    <x v="125"/>
    <x v="5"/>
    <x v="1"/>
    <s v="Invoice"/>
    <s v="96852"/>
    <x v="28"/>
    <x v="23"/>
    <x v="22"/>
    <x v="2"/>
    <n v="5"/>
  </r>
  <r>
    <s v="DPOPPELL"/>
    <s v="04"/>
    <s v="CHARLIEG-LLC"/>
    <s v="WILDER LOOP"/>
    <x v="125"/>
    <x v="5"/>
    <x v="1"/>
    <s v="Invoice"/>
    <s v="96853"/>
    <x v="205"/>
    <x v="181"/>
    <x v="22"/>
    <x v="2"/>
    <n v="2.5"/>
  </r>
  <r>
    <s v=""/>
    <s v="04"/>
    <s v="SOTERO"/>
    <s v="SOTERO"/>
    <x v="125"/>
    <x v="5"/>
    <x v="1"/>
    <s v="Invoice"/>
    <s v="96854"/>
    <x v="146"/>
    <x v="103"/>
    <x v="43"/>
    <x v="0"/>
    <n v="5"/>
  </r>
  <r>
    <s v=""/>
    <s v="04"/>
    <s v="SOTERO"/>
    <s v="SOTERO"/>
    <x v="125"/>
    <x v="5"/>
    <x v="1"/>
    <s v="Invoice"/>
    <s v="96855"/>
    <x v="53"/>
    <x v="46"/>
    <x v="22"/>
    <x v="2"/>
    <n v="0.3"/>
  </r>
  <r>
    <s v="DPOPPELL"/>
    <s v="04"/>
    <s v="GERALDWI"/>
    <s v="JAUDON RD"/>
    <x v="125"/>
    <x v="5"/>
    <x v="1"/>
    <s v="Invoice"/>
    <s v="96856"/>
    <x v="43"/>
    <x v="38"/>
    <x v="22"/>
    <x v="2"/>
    <n v="6"/>
  </r>
  <r>
    <s v="DPOPPELL"/>
    <s v="04"/>
    <s v="CIRCLEGF&amp;R LLC"/>
    <s v="KNIGHTS-N-#16"/>
    <x v="125"/>
    <x v="5"/>
    <x v="1"/>
    <s v="Invoice"/>
    <s v="96857"/>
    <x v="205"/>
    <x v="181"/>
    <x v="22"/>
    <x v="2"/>
    <n v="3"/>
  </r>
  <r>
    <s v="DPOPPELL"/>
    <s v="04"/>
    <s v="VELASCONAZARIO"/>
    <s v="MAIN"/>
    <x v="125"/>
    <x v="5"/>
    <x v="1"/>
    <s v="Invoice"/>
    <s v="96858"/>
    <x v="43"/>
    <x v="38"/>
    <x v="22"/>
    <x v="2"/>
    <n v="1"/>
  </r>
  <r>
    <s v=""/>
    <s v="04"/>
    <s v="GUTIERREZA"/>
    <s v="AL SIMMONS RD"/>
    <x v="125"/>
    <x v="5"/>
    <x v="1"/>
    <s v="Invoice"/>
    <s v="96859"/>
    <x v="43"/>
    <x v="38"/>
    <x v="22"/>
    <x v="2"/>
    <n v="1.25"/>
  </r>
  <r>
    <s v="DPOPPELL"/>
    <s v="04"/>
    <s v="M&amp;GFARMS"/>
    <s v="RED BARN"/>
    <x v="116"/>
    <x v="5"/>
    <x v="1"/>
    <s v="Invoice"/>
    <s v="96864"/>
    <x v="145"/>
    <x v="126"/>
    <x v="22"/>
    <x v="2"/>
    <n v="3"/>
  </r>
  <r>
    <s v="DPOPPELL"/>
    <s v="04"/>
    <s v="M&amp;GFARMS"/>
    <s v="ALLENRD"/>
    <x v="116"/>
    <x v="5"/>
    <x v="1"/>
    <s v="Invoice"/>
    <s v="96865"/>
    <x v="43"/>
    <x v="38"/>
    <x v="22"/>
    <x v="2"/>
    <n v="7"/>
  </r>
  <r>
    <s v=""/>
    <s v="04"/>
    <s v="PORTER HA"/>
    <s v="BILLS PLACE"/>
    <x v="116"/>
    <x v="5"/>
    <x v="1"/>
    <s v="Invoice"/>
    <s v="96867"/>
    <x v="28"/>
    <x v="23"/>
    <x v="22"/>
    <x v="2"/>
    <n v="2.48"/>
  </r>
  <r>
    <s v="DPOPPELL"/>
    <s v="04"/>
    <s v="MIDWAYF"/>
    <s v="ALS - NORTH"/>
    <x v="116"/>
    <x v="5"/>
    <x v="1"/>
    <s v="Invoice"/>
    <s v="96869"/>
    <x v="205"/>
    <x v="181"/>
    <x v="22"/>
    <x v="2"/>
    <n v="3.49"/>
  </r>
  <r>
    <s v="DPOPPELL"/>
    <s v="04"/>
    <s v="THREESTA"/>
    <s v="WALDEN-SHEFFIEL"/>
    <x v="116"/>
    <x v="5"/>
    <x v="1"/>
    <s v="Invoice"/>
    <s v="96870"/>
    <x v="231"/>
    <x v="207"/>
    <x v="22"/>
    <x v="2"/>
    <n v="10.0075"/>
  </r>
  <r>
    <s v="DPOPPELL"/>
    <s v="04"/>
    <s v="GAONA, ESPER"/>
    <s v="WILLIAMSRD"/>
    <x v="117"/>
    <x v="5"/>
    <x v="1"/>
    <s v="Invoice"/>
    <s v="96875"/>
    <x v="28"/>
    <x v="23"/>
    <x v="22"/>
    <x v="2"/>
    <n v="2"/>
  </r>
  <r>
    <s v="DPOPPELL"/>
    <s v="04"/>
    <s v="SWEETLIFE"/>
    <s v="SWINDLEN"/>
    <x v="117"/>
    <x v="5"/>
    <x v="1"/>
    <s v="Invoice"/>
    <s v="96884"/>
    <x v="205"/>
    <x v="181"/>
    <x v="22"/>
    <x v="2"/>
    <n v="10"/>
  </r>
  <r>
    <s v="DPOPPELL"/>
    <s v="04"/>
    <s v="GUTIERREZA"/>
    <s v="WIAMAUMA"/>
    <x v="118"/>
    <x v="5"/>
    <x v="1"/>
    <s v="Invoice"/>
    <s v="96889"/>
    <x v="69"/>
    <x v="62"/>
    <x v="22"/>
    <x v="2"/>
    <n v="2.5"/>
  </r>
  <r>
    <s v="DPOPPELL"/>
    <s v="04"/>
    <s v="JOSEHERN"/>
    <s v="KEYSVILLE N"/>
    <x v="118"/>
    <x v="5"/>
    <x v="1"/>
    <s v="Invoice"/>
    <s v="96892"/>
    <x v="28"/>
    <x v="23"/>
    <x v="22"/>
    <x v="2"/>
    <n v="5"/>
  </r>
  <r>
    <s v="DPOPPELL"/>
    <s v="04"/>
    <s v="CHARLIEG-LLC"/>
    <s v="DAIRY"/>
    <x v="118"/>
    <x v="5"/>
    <x v="1"/>
    <s v="Invoice"/>
    <s v="96894"/>
    <x v="64"/>
    <x v="57"/>
    <x v="22"/>
    <x v="2"/>
    <n v="9.9975000000000005"/>
  </r>
  <r>
    <s v="DPOPPELL"/>
    <s v="04"/>
    <s v="GUTIERREZA"/>
    <s v="JOE KING RD"/>
    <x v="118"/>
    <x v="5"/>
    <x v="1"/>
    <s v="Invoice"/>
    <s v="96895"/>
    <x v="43"/>
    <x v="38"/>
    <x v="22"/>
    <x v="2"/>
    <n v="3.7450000000000001"/>
  </r>
  <r>
    <s v="DPOPPELL"/>
    <s v="04"/>
    <s v="SOUTHERNHILL"/>
    <s v="SCHOFIELD"/>
    <x v="118"/>
    <x v="5"/>
    <x v="1"/>
    <s v="Invoice"/>
    <s v="96896"/>
    <x v="43"/>
    <x v="38"/>
    <x v="22"/>
    <x v="2"/>
    <n v="2.5"/>
  </r>
  <r>
    <s v="DPOPPELL"/>
    <s v="04"/>
    <s v="SOUTHERNHILL"/>
    <s v="SCHOFIELD"/>
    <x v="118"/>
    <x v="5"/>
    <x v="1"/>
    <s v="Invoice"/>
    <s v="96897"/>
    <x v="47"/>
    <x v="41"/>
    <x v="22"/>
    <x v="2"/>
    <n v="2.5099999999999998"/>
  </r>
  <r>
    <s v="DPOPPELL"/>
    <s v="04"/>
    <s v="FAVORITE"/>
    <s v="BETHLEHEM ROAD"/>
    <x v="112"/>
    <x v="5"/>
    <x v="1"/>
    <s v="Invoice"/>
    <s v="96898"/>
    <x v="43"/>
    <x v="38"/>
    <x v="22"/>
    <x v="2"/>
    <n v="5"/>
  </r>
  <r>
    <s v="DPOPPELL"/>
    <s v="04"/>
    <s v="FAVORITE"/>
    <s v="MCINTOSH ROAD"/>
    <x v="112"/>
    <x v="5"/>
    <x v="1"/>
    <s v="Invoice"/>
    <s v="96899"/>
    <x v="153"/>
    <x v="135"/>
    <x v="22"/>
    <x v="2"/>
    <n v="5.0049999999999999"/>
  </r>
  <r>
    <s v="DPOPPELL"/>
    <s v="04"/>
    <s v="GUTIERREZDAN"/>
    <s v="THEHILL"/>
    <x v="112"/>
    <x v="5"/>
    <x v="1"/>
    <s v="Invoice"/>
    <s v="96900"/>
    <x v="58"/>
    <x v="51"/>
    <x v="22"/>
    <x v="2"/>
    <n v="13.494999999999999"/>
  </r>
  <r>
    <s v="DPOPPELL"/>
    <s v="04"/>
    <s v="RICEPAUL"/>
    <s v="MAILING"/>
    <x v="119"/>
    <x v="5"/>
    <x v="1"/>
    <s v="Invoice"/>
    <s v="96912"/>
    <x v="232"/>
    <x v="208"/>
    <x v="66"/>
    <x v="0"/>
    <n v="30"/>
  </r>
  <r>
    <s v="DPOPPELL"/>
    <s v="04"/>
    <s v="RICEPAUL"/>
    <s v="MAILING"/>
    <x v="119"/>
    <x v="5"/>
    <x v="1"/>
    <s v="Invoice"/>
    <s v="96912"/>
    <x v="40"/>
    <x v="35"/>
    <x v="29"/>
    <x v="0"/>
    <n v="20"/>
  </r>
  <r>
    <s v="DPOPPELL"/>
    <s v="04"/>
    <s v="GUTIERREZA"/>
    <s v="TOMGALLAGHER"/>
    <x v="119"/>
    <x v="5"/>
    <x v="1"/>
    <s v="Invoice"/>
    <s v="96913"/>
    <x v="43"/>
    <x v="38"/>
    <x v="22"/>
    <x v="2"/>
    <n v="10.015000000000001"/>
  </r>
  <r>
    <s v="DPOPPELL"/>
    <s v="04"/>
    <s v="SWEETLIFE"/>
    <s v="KNIGHTS GRIFFIN"/>
    <x v="126"/>
    <x v="5"/>
    <x v="1"/>
    <s v="Invoice"/>
    <s v="96916"/>
    <x v="64"/>
    <x v="57"/>
    <x v="22"/>
    <x v="2"/>
    <n v="15.01"/>
  </r>
  <r>
    <s v="DPOPPELL"/>
    <s v="04"/>
    <s v="JOSEHERN"/>
    <s v="SPARKMAN"/>
    <x v="126"/>
    <x v="5"/>
    <x v="1"/>
    <s v="Invoice"/>
    <s v="96922"/>
    <x v="28"/>
    <x v="23"/>
    <x v="22"/>
    <x v="2"/>
    <n v="1.9950000000000001"/>
  </r>
  <r>
    <s v="DPOPPELL"/>
    <s v="04"/>
    <s v="MERCEDCH"/>
    <s v="TURKEY CREEK"/>
    <x v="126"/>
    <x v="5"/>
    <x v="1"/>
    <s v="Invoice"/>
    <s v="96923"/>
    <x v="229"/>
    <x v="206"/>
    <x v="22"/>
    <x v="2"/>
    <n v="3"/>
  </r>
  <r>
    <s v="DPOPPELL"/>
    <s v="04"/>
    <s v="FILEMONMARTINEZ"/>
    <s v="MAILING"/>
    <x v="126"/>
    <x v="5"/>
    <x v="1"/>
    <s v="Invoice"/>
    <s v="96924"/>
    <x v="43"/>
    <x v="38"/>
    <x v="22"/>
    <x v="2"/>
    <n v="2.5"/>
  </r>
  <r>
    <s v="DPOPPELL"/>
    <s v="04"/>
    <s v="SPIVEYFA"/>
    <s v="HOPEWELL"/>
    <x v="132"/>
    <x v="5"/>
    <x v="1"/>
    <s v="Invoice"/>
    <s v="96925"/>
    <x v="56"/>
    <x v="49"/>
    <x v="22"/>
    <x v="2"/>
    <n v="4"/>
  </r>
  <r>
    <s v="DPOPPELL"/>
    <s v="04"/>
    <s v="MIDWAYF"/>
    <s v="WILDER RD."/>
    <x v="132"/>
    <x v="5"/>
    <x v="1"/>
    <s v="Invoice"/>
    <s v="96926"/>
    <x v="233"/>
    <x v="209"/>
    <x v="22"/>
    <x v="2"/>
    <n v="6.0125000000000002"/>
  </r>
  <r>
    <s v="DPOPPELL"/>
    <s v="04"/>
    <s v="SYDNEYFA"/>
    <s v="FORBES ROAD"/>
    <x v="132"/>
    <x v="5"/>
    <x v="1"/>
    <s v="Invoice"/>
    <s v="96927"/>
    <x v="231"/>
    <x v="207"/>
    <x v="22"/>
    <x v="2"/>
    <n v="10.0075"/>
  </r>
  <r>
    <s v="DPOPPELL"/>
    <s v="04"/>
    <s v="VENTURAFARMS"/>
    <s v="HOUSE"/>
    <x v="132"/>
    <x v="5"/>
    <x v="1"/>
    <s v="Invoice"/>
    <s v="96930"/>
    <x v="63"/>
    <x v="56"/>
    <x v="22"/>
    <x v="2"/>
    <n v="1.5"/>
  </r>
  <r>
    <s v="DPOPPELL"/>
    <s v="04"/>
    <s v="SWEETFARMS"/>
    <s v="JIMJOHNSON"/>
    <x v="132"/>
    <x v="5"/>
    <x v="1"/>
    <s v="Invoice"/>
    <s v="96931"/>
    <x v="28"/>
    <x v="23"/>
    <x v="22"/>
    <x v="2"/>
    <n v="1"/>
  </r>
  <r>
    <s v="DPOPPELL"/>
    <s v="04"/>
    <s v="M&amp;GFARMS"/>
    <s v="ALLENRD"/>
    <x v="132"/>
    <x v="5"/>
    <x v="1"/>
    <s v="Invoice"/>
    <s v="96932"/>
    <x v="43"/>
    <x v="38"/>
    <x v="22"/>
    <x v="2"/>
    <n v="5"/>
  </r>
  <r>
    <s v="DPOPPELL"/>
    <s v="04"/>
    <s v="CIRCLEGF&amp;R LLC"/>
    <s v="KNIGHTS-S/E"/>
    <x v="132"/>
    <x v="5"/>
    <x v="1"/>
    <s v="Invoice"/>
    <s v="96933"/>
    <x v="233"/>
    <x v="209"/>
    <x v="22"/>
    <x v="2"/>
    <n v="1.9975000000000001"/>
  </r>
  <r>
    <s v="DPOPPELL"/>
    <s v="04"/>
    <s v="ELIASCEDILLO"/>
    <s v="JESS WALDEN"/>
    <x v="132"/>
    <x v="5"/>
    <x v="1"/>
    <s v="Invoice"/>
    <s v="96934"/>
    <x v="43"/>
    <x v="38"/>
    <x v="22"/>
    <x v="2"/>
    <n v="2.5049999999999999"/>
  </r>
  <r>
    <s v="DPOPPELL"/>
    <s v="04"/>
    <s v="PARKESDA"/>
    <s v="I-4"/>
    <x v="132"/>
    <x v="5"/>
    <x v="1"/>
    <s v="Invoice"/>
    <s v="96935A"/>
    <x v="65"/>
    <x v="58"/>
    <x v="22"/>
    <x v="2"/>
    <n v="2.5"/>
  </r>
  <r>
    <s v="DPOPPELL"/>
    <s v="04"/>
    <s v="CHAVEZJOR"/>
    <s v="JOSE' CHAV- COD"/>
    <x v="121"/>
    <x v="5"/>
    <x v="1"/>
    <s v="Invoice"/>
    <s v="96941"/>
    <x v="53"/>
    <x v="46"/>
    <x v="22"/>
    <x v="2"/>
    <n v="0.15"/>
  </r>
  <r>
    <s v="DPOPPELL"/>
    <s v="04"/>
    <s v="TECHFARM"/>
    <s v="SYDNEYDOVER"/>
    <x v="121"/>
    <x v="5"/>
    <x v="1"/>
    <s v="Invoice"/>
    <s v="96946"/>
    <x v="28"/>
    <x v="23"/>
    <x v="22"/>
    <x v="2"/>
    <n v="3.75"/>
  </r>
  <r>
    <s v=""/>
    <s v="04"/>
    <s v="PORTER HA"/>
    <s v="PASTURE"/>
    <x v="121"/>
    <x v="5"/>
    <x v="1"/>
    <s v="Invoice"/>
    <s v="96947"/>
    <x v="233"/>
    <x v="209"/>
    <x v="22"/>
    <x v="2"/>
    <n v="4.9924999999999997"/>
  </r>
  <r>
    <s v="DPOPPELL"/>
    <s v="04"/>
    <s v="GENEALT"/>
    <s v="BRAMBLE"/>
    <x v="113"/>
    <x v="5"/>
    <x v="1"/>
    <s v="Invoice"/>
    <s v="96952"/>
    <x v="234"/>
    <x v="210"/>
    <x v="22"/>
    <x v="2"/>
    <n v="1.25"/>
  </r>
  <r>
    <s v="DPOPPELL"/>
    <s v="04"/>
    <s v="SRISAIAY"/>
    <s v="SYDNEY DOVER"/>
    <x v="113"/>
    <x v="5"/>
    <x v="1"/>
    <s v="Invoice"/>
    <s v="96953"/>
    <x v="233"/>
    <x v="209"/>
    <x v="22"/>
    <x v="2"/>
    <n v="1.2549999999999999"/>
  </r>
  <r>
    <s v="DPOPPELL"/>
    <s v="04"/>
    <s v="JOEPENA"/>
    <s v="HWY 92"/>
    <x v="113"/>
    <x v="5"/>
    <x v="1"/>
    <s v="Invoice"/>
    <s v="96954"/>
    <x v="114"/>
    <x v="101"/>
    <x v="22"/>
    <x v="2"/>
    <n v="1"/>
  </r>
  <r>
    <s v="DPOPPELL"/>
    <s v="04"/>
    <s v="M&amp;GFARMS"/>
    <s v="HAREFAMILYLN"/>
    <x v="113"/>
    <x v="5"/>
    <x v="1"/>
    <s v="Invoice"/>
    <s v="96955"/>
    <x v="58"/>
    <x v="51"/>
    <x v="22"/>
    <x v="2"/>
    <n v="8.01"/>
  </r>
  <r>
    <s v="DPOPPELL"/>
    <s v="04"/>
    <s v="JOSEHERN"/>
    <s v="KEYSVILLE N"/>
    <x v="113"/>
    <x v="5"/>
    <x v="1"/>
    <s v="Invoice"/>
    <s v="96956"/>
    <x v="28"/>
    <x v="23"/>
    <x v="22"/>
    <x v="2"/>
    <n v="3.99"/>
  </r>
  <r>
    <s v="DPOPPELL"/>
    <s v="04"/>
    <s v="GENEALT"/>
    <s v="BRAMBLE"/>
    <x v="113"/>
    <x v="5"/>
    <x v="1"/>
    <s v="Invoice"/>
    <s v="96957"/>
    <x v="3"/>
    <x v="80"/>
    <x v="2"/>
    <x v="0"/>
    <n v="5"/>
  </r>
  <r>
    <s v="DPOPPELL"/>
    <s v="04"/>
    <s v="GENEALT"/>
    <s v="BRAMBLE"/>
    <x v="113"/>
    <x v="5"/>
    <x v="1"/>
    <s v="Invoice"/>
    <s v="96957"/>
    <x v="146"/>
    <x v="103"/>
    <x v="43"/>
    <x v="0"/>
    <n v="2.5"/>
  </r>
  <r>
    <s v="DPOPPELL"/>
    <s v="04"/>
    <s v="GENEALT"/>
    <s v="BRAMBLE"/>
    <x v="113"/>
    <x v="5"/>
    <x v="1"/>
    <s v="Invoice"/>
    <s v="96957"/>
    <x v="91"/>
    <x v="174"/>
    <x v="14"/>
    <x v="0"/>
    <n v="2.5"/>
  </r>
  <r>
    <s v="DPOPPELL"/>
    <s v="04"/>
    <s v="GENEALT"/>
    <s v="BRAMBLE"/>
    <x v="113"/>
    <x v="5"/>
    <x v="1"/>
    <s v="Invoice"/>
    <s v="96957"/>
    <x v="34"/>
    <x v="29"/>
    <x v="26"/>
    <x v="0"/>
    <n v="2.5"/>
  </r>
  <r>
    <s v="DPOPPELL"/>
    <s v="04"/>
    <s v="GENEALT"/>
    <s v="BRAMBLE"/>
    <x v="113"/>
    <x v="5"/>
    <x v="1"/>
    <s v="Invoice"/>
    <s v="96957"/>
    <x v="40"/>
    <x v="35"/>
    <x v="29"/>
    <x v="0"/>
    <n v="5"/>
  </r>
  <r>
    <s v="DPOPPELL"/>
    <s v="04"/>
    <s v="GENEALT"/>
    <s v="BRAMBLE"/>
    <x v="113"/>
    <x v="5"/>
    <x v="1"/>
    <s v="Invoice"/>
    <s v="96957"/>
    <x v="4"/>
    <x v="32"/>
    <x v="3"/>
    <x v="0"/>
    <n v="5"/>
  </r>
  <r>
    <s v="DPOPPELL"/>
    <s v="04"/>
    <s v="GUTIERREZA"/>
    <s v="WIAMAUMA"/>
    <x v="113"/>
    <x v="5"/>
    <x v="1"/>
    <s v="Invoice"/>
    <s v="96959"/>
    <x v="43"/>
    <x v="38"/>
    <x v="22"/>
    <x v="2"/>
    <n v="5.0149999999999997"/>
  </r>
  <r>
    <s v="DPOPPELL"/>
    <s v="04"/>
    <s v="JOSEHERN"/>
    <s v="DURANT"/>
    <x v="113"/>
    <x v="5"/>
    <x v="1"/>
    <s v="Invoice"/>
    <s v="96960"/>
    <x v="43"/>
    <x v="38"/>
    <x v="22"/>
    <x v="2"/>
    <n v="8.0150000000000006"/>
  </r>
  <r>
    <s v="DPOPPELL"/>
    <s v="04"/>
    <s v="CHARLIEG-LLC"/>
    <s v="LAMPP ROAD"/>
    <x v="113"/>
    <x v="5"/>
    <x v="1"/>
    <s v="Invoice"/>
    <s v="96962"/>
    <x v="233"/>
    <x v="209"/>
    <x v="22"/>
    <x v="2"/>
    <n v="2.4674999999999998"/>
  </r>
  <r>
    <s v="DPOPPELL"/>
    <s v="04"/>
    <s v="GILLMANBUDD"/>
    <s v="FORBES"/>
    <x v="113"/>
    <x v="5"/>
    <x v="1"/>
    <s v="Invoice"/>
    <s v="96965"/>
    <x v="63"/>
    <x v="56"/>
    <x v="22"/>
    <x v="2"/>
    <n v="2.4925000000000002"/>
  </r>
  <r>
    <s v="DPOPPELL"/>
    <s v="04"/>
    <s v="THREESTA"/>
    <s v="WALDEN-SHEFFIEL"/>
    <x v="113"/>
    <x v="5"/>
    <x v="1"/>
    <s v="Invoice"/>
    <s v="96972"/>
    <x v="235"/>
    <x v="211"/>
    <x v="22"/>
    <x v="2"/>
    <n v="10.012499999999999"/>
  </r>
  <r>
    <s v="DPOPPELL"/>
    <s v="04"/>
    <s v="ROQUEFARMS"/>
    <s v="MEEKHORIZON"/>
    <x v="113"/>
    <x v="5"/>
    <x v="1"/>
    <s v="Invoice"/>
    <s v="96973"/>
    <x v="43"/>
    <x v="38"/>
    <x v="22"/>
    <x v="2"/>
    <n v="5"/>
  </r>
  <r>
    <s v="DPOPPELL"/>
    <s v="04"/>
    <s v="JOEPENA"/>
    <s v="JIMREDMAN"/>
    <x v="113"/>
    <x v="5"/>
    <x v="1"/>
    <s v="Invoice"/>
    <s v="96974"/>
    <x v="63"/>
    <x v="56"/>
    <x v="22"/>
    <x v="2"/>
    <n v="0.5"/>
  </r>
  <r>
    <s v="DPOPPELL"/>
    <s v="04"/>
    <s v="HERRERAED"/>
    <s v="SQUASH FIELD"/>
    <x v="113"/>
    <x v="5"/>
    <x v="1"/>
    <s v="Invoice"/>
    <s v="96975"/>
    <x v="236"/>
    <x v="212"/>
    <x v="22"/>
    <x v="2"/>
    <n v="1.25"/>
  </r>
  <r>
    <s v="DPOPPELL"/>
    <s v="04"/>
    <s v="GUTIERREZDAN"/>
    <s v="COOLER"/>
    <x v="113"/>
    <x v="5"/>
    <x v="1"/>
    <s v="Invoice"/>
    <s v="96976"/>
    <x v="58"/>
    <x v="51"/>
    <x v="22"/>
    <x v="2"/>
    <n v="2.0074999999999998"/>
  </r>
  <r>
    <s v="DPOPPELL"/>
    <s v="04"/>
    <s v="GAONA, ESPER"/>
    <s v="SMOKINACES"/>
    <x v="113"/>
    <x v="5"/>
    <x v="1"/>
    <s v="Invoice"/>
    <s v="96977"/>
    <x v="53"/>
    <x v="46"/>
    <x v="22"/>
    <x v="2"/>
    <n v="2.4950000000000001"/>
  </r>
  <r>
    <s v="DPOPPELL"/>
    <s v="04"/>
    <s v="JUAREZELIUTH"/>
    <s v="MAIN"/>
    <x v="113"/>
    <x v="5"/>
    <x v="1"/>
    <s v="Invoice"/>
    <s v="96978"/>
    <x v="53"/>
    <x v="46"/>
    <x v="22"/>
    <x v="2"/>
    <n v="2"/>
  </r>
  <r>
    <s v="DPOPPELL"/>
    <s v="04"/>
    <s v="GUTIERREZDAN"/>
    <s v="HWY 92"/>
    <x v="113"/>
    <x v="5"/>
    <x v="1"/>
    <s v="Invoice"/>
    <s v="96979"/>
    <x v="55"/>
    <x v="48"/>
    <x v="22"/>
    <x v="2"/>
    <n v="2.5049999999999999"/>
  </r>
  <r>
    <s v="DPOPPELL"/>
    <s v="04"/>
    <s v="ELIASCEDILLO"/>
    <s v="TRAPNELL"/>
    <x v="113"/>
    <x v="5"/>
    <x v="1"/>
    <s v="Invoice"/>
    <s v="96980"/>
    <x v="43"/>
    <x v="38"/>
    <x v="22"/>
    <x v="2"/>
    <n v="1.25"/>
  </r>
  <r>
    <s v="DPOPPELL"/>
    <s v="04"/>
    <s v="CIRCLEGF&amp;R LLC"/>
    <s v="KNIGHTS-N/NORTH"/>
    <x v="127"/>
    <x v="5"/>
    <x v="1"/>
    <s v="Invoice"/>
    <s v="96981"/>
    <x v="233"/>
    <x v="209"/>
    <x v="22"/>
    <x v="2"/>
    <n v="2.0249999999999999"/>
  </r>
  <r>
    <s v="DPOPPELL"/>
    <s v="04"/>
    <s v="FLORIDAAG"/>
    <s v="KINGSWAY"/>
    <x v="127"/>
    <x v="5"/>
    <x v="1"/>
    <s v="Invoice"/>
    <s v="96982"/>
    <x v="52"/>
    <x v="45"/>
    <x v="22"/>
    <x v="2"/>
    <n v="2.5074999999999998"/>
  </r>
  <r>
    <s v="DPOPPELL"/>
    <s v="04"/>
    <s v="SOUTHERNHILL"/>
    <s v="SCHOFIELD"/>
    <x v="127"/>
    <x v="5"/>
    <x v="1"/>
    <s v="Invoice"/>
    <s v="96984"/>
    <x v="43"/>
    <x v="38"/>
    <x v="22"/>
    <x v="2"/>
    <n v="2.5074999999999998"/>
  </r>
  <r>
    <s v="DPOPPELL"/>
    <s v="04"/>
    <s v="CHANFARM"/>
    <s v="HIGHWAY 39 N"/>
    <x v="127"/>
    <x v="5"/>
    <x v="1"/>
    <s v="Invoice"/>
    <s v="96986"/>
    <x v="117"/>
    <x v="104"/>
    <x v="22"/>
    <x v="2"/>
    <n v="2.9950000000000001"/>
  </r>
  <r>
    <s v="DPOPPELL"/>
    <s v="04"/>
    <s v="CHANFARM"/>
    <s v="HIGHWAY 39 N"/>
    <x v="127"/>
    <x v="5"/>
    <x v="1"/>
    <s v="Invoice"/>
    <s v="96986"/>
    <x v="32"/>
    <x v="105"/>
    <x v="25"/>
    <x v="0"/>
    <n v="800"/>
  </r>
  <r>
    <s v="DPOPPELL"/>
    <s v="04"/>
    <s v="PEPPERBERRY"/>
    <s v="BARN"/>
    <x v="127"/>
    <x v="5"/>
    <x v="1"/>
    <s v="Invoice"/>
    <s v="96989"/>
    <x v="43"/>
    <x v="38"/>
    <x v="22"/>
    <x v="2"/>
    <n v="9.0075000000000003"/>
  </r>
  <r>
    <s v="DPOPPELL"/>
    <s v="04"/>
    <s v="MIDWAYF"/>
    <s v="ALS - SOUTH"/>
    <x v="122"/>
    <x v="5"/>
    <x v="1"/>
    <s v="Invoice"/>
    <s v="96991"/>
    <x v="233"/>
    <x v="209"/>
    <x v="22"/>
    <x v="2"/>
    <n v="1.5"/>
  </r>
  <r>
    <s v="DPOPPELL"/>
    <s v="04"/>
    <s v="MIDWAYF"/>
    <s v="WILDER RD."/>
    <x v="122"/>
    <x v="5"/>
    <x v="1"/>
    <s v="Invoice"/>
    <s v="96992"/>
    <x v="233"/>
    <x v="209"/>
    <x v="22"/>
    <x v="2"/>
    <n v="4.5175000000000001"/>
  </r>
  <r>
    <s v="DPOPPELL"/>
    <s v="04"/>
    <s v="GAONA, ESPER"/>
    <s v="WILLIAMSRD"/>
    <x v="122"/>
    <x v="5"/>
    <x v="1"/>
    <s v="Invoice"/>
    <s v="96993"/>
    <x v="43"/>
    <x v="38"/>
    <x v="22"/>
    <x v="2"/>
    <n v="3"/>
  </r>
  <r>
    <s v="DPOPPELL"/>
    <s v="04"/>
    <s v="SYDNEYFA"/>
    <s v="FORBES/NORTH"/>
    <x v="122"/>
    <x v="5"/>
    <x v="1"/>
    <s v="Invoice"/>
    <s v="96994"/>
    <x v="235"/>
    <x v="211"/>
    <x v="22"/>
    <x v="2"/>
    <n v="5"/>
  </r>
  <r>
    <s v=""/>
    <s v="04"/>
    <s v="GARCIAFARMS"/>
    <s v="MAIN"/>
    <x v="122"/>
    <x v="5"/>
    <x v="1"/>
    <s v="Invoice"/>
    <s v="96995"/>
    <x v="231"/>
    <x v="207"/>
    <x v="22"/>
    <x v="2"/>
    <n v="5"/>
  </r>
  <r>
    <s v="DPOPPELL"/>
    <s v="04"/>
    <s v="BLUEGOLD"/>
    <s v="MAIN"/>
    <x v="122"/>
    <x v="5"/>
    <x v="1"/>
    <s v="Invoice"/>
    <s v="96996"/>
    <x v="155"/>
    <x v="137"/>
    <x v="22"/>
    <x v="2"/>
    <n v="0.75"/>
  </r>
  <r>
    <s v="DPOPPELL"/>
    <s v="04"/>
    <s v="M&amp;GFARMS"/>
    <s v="RED BARN"/>
    <x v="122"/>
    <x v="5"/>
    <x v="1"/>
    <s v="Invoice"/>
    <s v="96997"/>
    <x v="43"/>
    <x v="38"/>
    <x v="22"/>
    <x v="2"/>
    <n v="8"/>
  </r>
  <r>
    <s v="DPOPPELL"/>
    <s v="04"/>
    <s v="MENDOZAHEC"/>
    <s v="HWY60"/>
    <x v="122"/>
    <x v="5"/>
    <x v="1"/>
    <s v="Invoice"/>
    <s v="96998"/>
    <x v="43"/>
    <x v="38"/>
    <x v="22"/>
    <x v="2"/>
    <n v="2.5"/>
  </r>
  <r>
    <s v="DPOPPELL"/>
    <s v="04"/>
    <s v="SANCHEZFARM"/>
    <s v="SOUTH FORBES"/>
    <x v="122"/>
    <x v="5"/>
    <x v="1"/>
    <s v="Invoice"/>
    <s v="96999"/>
    <x v="43"/>
    <x v="38"/>
    <x v="22"/>
    <x v="2"/>
    <n v="1.2575000000000001"/>
  </r>
  <r>
    <s v="DPOPPELL"/>
    <s v="04"/>
    <s v="MENDOZAHEC"/>
    <s v="LONEOAK"/>
    <x v="122"/>
    <x v="5"/>
    <x v="1"/>
    <s v="Invoice"/>
    <s v="97001"/>
    <x v="27"/>
    <x v="22"/>
    <x v="22"/>
    <x v="2"/>
    <n v="6.75"/>
  </r>
  <r>
    <s v="DPOPPELL"/>
    <s v="04"/>
    <s v="SANCHEZFARM"/>
    <s v="SOUTH FORBES"/>
    <x v="122"/>
    <x v="5"/>
    <x v="1"/>
    <s v="Invoice"/>
    <s v="97002"/>
    <x v="67"/>
    <x v="60"/>
    <x v="22"/>
    <x v="2"/>
    <n v="4"/>
  </r>
  <r>
    <s v="DPOPPELL"/>
    <s v="04"/>
    <s v="SYDNEYFA"/>
    <s v="FORBES ROAD"/>
    <x v="129"/>
    <x v="5"/>
    <x v="1"/>
    <s v="Invoice"/>
    <s v="97004"/>
    <x v="235"/>
    <x v="211"/>
    <x v="22"/>
    <x v="2"/>
    <n v="7.5125000000000002"/>
  </r>
  <r>
    <s v="DPOPPELL"/>
    <s v="04"/>
    <s v="JOSEHERN"/>
    <s v="SPARKMAN"/>
    <x v="122"/>
    <x v="5"/>
    <x v="1"/>
    <s v="Invoice"/>
    <s v="97005"/>
    <x v="28"/>
    <x v="23"/>
    <x v="22"/>
    <x v="2"/>
    <n v="8.0299999999999994"/>
  </r>
  <r>
    <s v="DPOPPELL"/>
    <s v="04"/>
    <s v="CIRCLEGF&amp;R LLC"/>
    <s v="KNIGHTS-N/SOUTH"/>
    <x v="122"/>
    <x v="5"/>
    <x v="1"/>
    <s v="Invoice"/>
    <s v="97006"/>
    <x v="233"/>
    <x v="209"/>
    <x v="22"/>
    <x v="2"/>
    <n v="2.0049999999999999"/>
  </r>
  <r>
    <s v="DPOPPELL"/>
    <s v="04"/>
    <s v="MIKELOTT"/>
    <s v="HILLSBOROUGH"/>
    <x v="122"/>
    <x v="5"/>
    <x v="1"/>
    <s v="Invoice"/>
    <s v="97007"/>
    <x v="43"/>
    <x v="38"/>
    <x v="22"/>
    <x v="2"/>
    <n v="5.0199999999999996"/>
  </r>
  <r>
    <s v="DPOPPELL"/>
    <s v="04"/>
    <s v="THREESTA"/>
    <s v="WALDEN-SHEFFIEL"/>
    <x v="128"/>
    <x v="5"/>
    <x v="1"/>
    <s v="Invoice"/>
    <s v="97011"/>
    <x v="235"/>
    <x v="211"/>
    <x v="22"/>
    <x v="2"/>
    <n v="15.045"/>
  </r>
  <r>
    <s v="DPOPPELL"/>
    <s v="04"/>
    <s v="ALVAREZJ"/>
    <s v="MOORESLAKE"/>
    <x v="128"/>
    <x v="5"/>
    <x v="1"/>
    <s v="Invoice"/>
    <s v="97012"/>
    <x v="68"/>
    <x v="61"/>
    <x v="22"/>
    <x v="2"/>
    <n v="1"/>
  </r>
  <r>
    <s v="DPOPPELL"/>
    <s v="04"/>
    <s v="FCFARMS"/>
    <s v="PEEPLES"/>
    <x v="128"/>
    <x v="5"/>
    <x v="1"/>
    <s v="Invoice"/>
    <s v="97013"/>
    <x v="43"/>
    <x v="38"/>
    <x v="22"/>
    <x v="2"/>
    <n v="5.5"/>
  </r>
  <r>
    <s v="DPOPPELL"/>
    <s v="04"/>
    <s v="SYDNEYFA"/>
    <s v="SYDNEY-WASHER"/>
    <x v="128"/>
    <x v="5"/>
    <x v="1"/>
    <s v="Invoice"/>
    <s v="97015"/>
    <x v="235"/>
    <x v="211"/>
    <x v="22"/>
    <x v="2"/>
    <n v="7.5"/>
  </r>
  <r>
    <s v="DPOPPELL"/>
    <s v="04"/>
    <s v="MIKELOTT"/>
    <s v="HILLSBOROUGH/E"/>
    <x v="128"/>
    <x v="5"/>
    <x v="1"/>
    <s v="Invoice"/>
    <s v="97016"/>
    <x v="43"/>
    <x v="38"/>
    <x v="22"/>
    <x v="2"/>
    <n v="4.9950000000000001"/>
  </r>
  <r>
    <s v="DPOPPELL"/>
    <s v="04"/>
    <s v="CHARLIEG-LLC"/>
    <s v="ALBRITTON"/>
    <x v="133"/>
    <x v="5"/>
    <x v="1"/>
    <s v="Invoice"/>
    <s v="97017"/>
    <x v="233"/>
    <x v="209"/>
    <x v="22"/>
    <x v="2"/>
    <n v="2.4649999999999999"/>
  </r>
  <r>
    <s v="DPOPPELL"/>
    <s v="04"/>
    <s v="GUTIERREZA"/>
    <s v="WASHINGTON"/>
    <x v="133"/>
    <x v="5"/>
    <x v="1"/>
    <s v="Invoice"/>
    <s v="97018"/>
    <x v="43"/>
    <x v="38"/>
    <x v="22"/>
    <x v="2"/>
    <n v="9.0350000000000001"/>
  </r>
  <r>
    <s v="DPOPPELL"/>
    <s v="04"/>
    <s v="GUTIERREZDAN"/>
    <s v="TANNER RD."/>
    <x v="133"/>
    <x v="5"/>
    <x v="1"/>
    <s v="Invoice"/>
    <s v="97020"/>
    <x v="58"/>
    <x v="51"/>
    <x v="22"/>
    <x v="2"/>
    <n v="4.0125000000000002"/>
  </r>
  <r>
    <s v="DPOPPELL"/>
    <s v="04"/>
    <s v="GUTIERREZA"/>
    <s v="JOE KING RD"/>
    <x v="133"/>
    <x v="5"/>
    <x v="1"/>
    <s v="Invoice"/>
    <s v="97021"/>
    <x v="58"/>
    <x v="51"/>
    <x v="22"/>
    <x v="2"/>
    <n v="3.7524999999999999"/>
  </r>
  <r>
    <s v=""/>
    <s v="04"/>
    <s v="SOTERO"/>
    <s v="SOTERO"/>
    <x v="129"/>
    <x v="5"/>
    <x v="1"/>
    <s v="Invoice"/>
    <s v="97026"/>
    <x v="146"/>
    <x v="103"/>
    <x v="43"/>
    <x v="0"/>
    <n v="5"/>
  </r>
  <r>
    <s v="DPOPPELL"/>
    <s v="04"/>
    <s v="MIDWAYF"/>
    <s v="WILLIAMS RD-S"/>
    <x v="129"/>
    <x v="5"/>
    <x v="1"/>
    <s v="Invoice"/>
    <s v="97029"/>
    <x v="233"/>
    <x v="209"/>
    <x v="22"/>
    <x v="2"/>
    <n v="1.9875"/>
  </r>
  <r>
    <s v="DPOPPELL"/>
    <s v="04"/>
    <s v="CHARLIEG-LLC"/>
    <s v="LAMPP ROAD"/>
    <x v="129"/>
    <x v="5"/>
    <x v="1"/>
    <s v="Invoice"/>
    <s v="97030"/>
    <x v="85"/>
    <x v="213"/>
    <x v="35"/>
    <x v="0"/>
    <n v="5"/>
  </r>
  <r>
    <s v="DPOPPELL"/>
    <s v="04"/>
    <s v="MIDWAYF"/>
    <s v="ALS - SOUTH"/>
    <x v="129"/>
    <x v="5"/>
    <x v="1"/>
    <s v="Invoice"/>
    <s v="97031"/>
    <x v="233"/>
    <x v="209"/>
    <x v="22"/>
    <x v="2"/>
    <n v="2"/>
  </r>
  <r>
    <s v=""/>
    <s v="04"/>
    <s v="GUTIERREZA"/>
    <s v="AL SIMMONS RD"/>
    <x v="130"/>
    <x v="5"/>
    <x v="1"/>
    <s v="Invoice"/>
    <s v="97037"/>
    <x v="58"/>
    <x v="51"/>
    <x v="22"/>
    <x v="2"/>
    <n v="1.25"/>
  </r>
  <r>
    <s v="DPOPPELL"/>
    <s v="04"/>
    <s v="SWEETLIFE"/>
    <s v="KNIGHTS GRIFFIN"/>
    <x v="130"/>
    <x v="5"/>
    <x v="1"/>
    <s v="Invoice"/>
    <s v="97038"/>
    <x v="233"/>
    <x v="209"/>
    <x v="22"/>
    <x v="2"/>
    <n v="14.9975"/>
  </r>
  <r>
    <s v="DPOPPELL"/>
    <s v="04"/>
    <s v="MIDWAYF"/>
    <s v="WILDER RD."/>
    <x v="129"/>
    <x v="5"/>
    <x v="1"/>
    <s v="Invoice"/>
    <s v="97039"/>
    <x v="233"/>
    <x v="209"/>
    <x v="22"/>
    <x v="2"/>
    <n v="4.0075000000000003"/>
  </r>
  <r>
    <s v="DPOPPELL"/>
    <s v="04"/>
    <s v="CHARLIEG-LLC"/>
    <s v="DAIRY"/>
    <x v="130"/>
    <x v="5"/>
    <x v="1"/>
    <s v="Invoice"/>
    <s v="97040"/>
    <x v="233"/>
    <x v="209"/>
    <x v="22"/>
    <x v="2"/>
    <n v="3.99"/>
  </r>
  <r>
    <s v="DPOPPELL"/>
    <s v="04"/>
    <s v="PALMAJOSE"/>
    <s v="JAUDON RD"/>
    <x v="130"/>
    <x v="5"/>
    <x v="1"/>
    <s v="Invoice"/>
    <s v="97041"/>
    <x v="5"/>
    <x v="72"/>
    <x v="4"/>
    <x v="0"/>
    <n v="25"/>
  </r>
  <r>
    <s v="DPOPPELL"/>
    <s v="04"/>
    <s v="PALMAJOSE"/>
    <s v="JAUDON RD"/>
    <x v="130"/>
    <x v="5"/>
    <x v="1"/>
    <s v="Invoice"/>
    <s v="97041"/>
    <x v="106"/>
    <x v="74"/>
    <x v="13"/>
    <x v="0"/>
    <n v="10"/>
  </r>
  <r>
    <s v="DPOPPELL"/>
    <s v="04"/>
    <s v="PALMAJOSE"/>
    <s v="JAUDON RD"/>
    <x v="130"/>
    <x v="5"/>
    <x v="1"/>
    <s v="Invoice"/>
    <s v="97041"/>
    <x v="107"/>
    <x v="98"/>
    <x v="36"/>
    <x v="0"/>
    <n v="10"/>
  </r>
  <r>
    <s v="DPOPPELL"/>
    <s v="04"/>
    <s v="THREESTA"/>
    <s v="WALDEN-SHEFFIEL"/>
    <x v="130"/>
    <x v="5"/>
    <x v="1"/>
    <s v="Invoice"/>
    <s v="97042"/>
    <x v="235"/>
    <x v="211"/>
    <x v="22"/>
    <x v="2"/>
    <n v="10"/>
  </r>
  <r>
    <s v="DPOPPELL"/>
    <s v="04"/>
    <s v="MIDWAYF"/>
    <s v="HAGGERTY ROAD"/>
    <x v="130"/>
    <x v="5"/>
    <x v="1"/>
    <s v="Invoice"/>
    <s v="97043"/>
    <x v="233"/>
    <x v="209"/>
    <x v="22"/>
    <x v="2"/>
    <n v="1.97"/>
  </r>
  <r>
    <s v=""/>
    <s v="04"/>
    <s v="VENTURAFARMS"/>
    <s v="MAIN"/>
    <x v="130"/>
    <x v="5"/>
    <x v="1"/>
    <s v="Invoice"/>
    <s v="97050"/>
    <x v="42"/>
    <x v="37"/>
    <x v="30"/>
    <x v="0"/>
    <n v="5"/>
  </r>
  <r>
    <s v="DPOPPELL"/>
    <s v="04"/>
    <s v="BONIFACIO"/>
    <s v="CORONET"/>
    <x v="130"/>
    <x v="5"/>
    <x v="1"/>
    <s v="Invoice"/>
    <s v="97051"/>
    <x v="53"/>
    <x v="46"/>
    <x v="22"/>
    <x v="2"/>
    <n v="5"/>
  </r>
  <r>
    <s v="DPOPPELL"/>
    <s v="04"/>
    <s v="LARRYENN"/>
    <s v="CASON ROAD"/>
    <x v="130"/>
    <x v="5"/>
    <x v="1"/>
    <s v="Invoice"/>
    <s v="97052"/>
    <x v="58"/>
    <x v="51"/>
    <x v="22"/>
    <x v="2"/>
    <n v="3.0024999999999999"/>
  </r>
  <r>
    <s v="DPOPPELL"/>
    <s v="04"/>
    <s v="FAVORITE"/>
    <s v="BETHLEHEM ROAD"/>
    <x v="130"/>
    <x v="5"/>
    <x v="1"/>
    <s v="Invoice"/>
    <s v="97053"/>
    <x v="43"/>
    <x v="38"/>
    <x v="22"/>
    <x v="2"/>
    <n v="5.0125000000000002"/>
  </r>
  <r>
    <s v="DPOPPELL"/>
    <s v="04"/>
    <s v="CIRCLEGF&amp;R LLC"/>
    <s v="KNIGHTS-S/E"/>
    <x v="130"/>
    <x v="5"/>
    <x v="1"/>
    <s v="Invoice"/>
    <s v="97056"/>
    <x v="233"/>
    <x v="209"/>
    <x v="22"/>
    <x v="2"/>
    <n v="4.99"/>
  </r>
  <r>
    <s v="DPOPPELL"/>
    <s v="04"/>
    <s v="CHARLIEG-LLC"/>
    <s v="DAIRY"/>
    <x v="130"/>
    <x v="5"/>
    <x v="1"/>
    <s v="Invoice"/>
    <s v="97057"/>
    <x v="233"/>
    <x v="209"/>
    <x v="22"/>
    <x v="2"/>
    <n v="4.0149999999999997"/>
  </r>
  <r>
    <s v="HOUSE"/>
    <s v="05"/>
    <s v="CPSHOMES"/>
    <s v="HOMESTEAD"/>
    <x v="114"/>
    <x v="5"/>
    <x v="1"/>
    <s v="Invoice"/>
    <s v="96817"/>
    <x v="148"/>
    <x v="128"/>
    <x v="29"/>
    <x v="0"/>
    <n v="180"/>
  </r>
  <r>
    <s v="HOUSE"/>
    <s v="05"/>
    <s v="CPSHOMES"/>
    <s v="HOMESTEAD"/>
    <x v="114"/>
    <x v="5"/>
    <x v="1"/>
    <s v="Invoice"/>
    <s v="96817"/>
    <x v="48"/>
    <x v="33"/>
    <x v="28"/>
    <x v="0"/>
    <n v="180"/>
  </r>
  <r>
    <s v="HOUSE"/>
    <s v="05"/>
    <s v="SOUTHERN"/>
    <s v="SOUTHERN AG"/>
    <x v="117"/>
    <x v="5"/>
    <x v="1"/>
    <s v="Invoice"/>
    <s v="96883"/>
    <x v="122"/>
    <x v="63"/>
    <x v="33"/>
    <x v="0"/>
    <n v="60"/>
  </r>
  <r>
    <s v="HOUSE"/>
    <s v="05"/>
    <s v="CPSHOMES"/>
    <s v="HOMESTEAD"/>
    <x v="121"/>
    <x v="5"/>
    <x v="1"/>
    <s v="Invoice"/>
    <s v="96949"/>
    <x v="156"/>
    <x v="138"/>
    <x v="53"/>
    <x v="0"/>
    <n v="180"/>
  </r>
  <r>
    <s v="HOUSE"/>
    <s v="05"/>
    <s v="CPSBOYNTON"/>
    <s v="BOYNTON BCH"/>
    <x v="127"/>
    <x v="5"/>
    <x v="1"/>
    <s v="Invoice"/>
    <s v="96988"/>
    <x v="101"/>
    <x v="21"/>
    <x v="21"/>
    <x v="0"/>
    <n v="180"/>
  </r>
  <r>
    <s v="HOUSE"/>
    <s v="05"/>
    <s v="CPSHOMES"/>
    <s v="HOMESTEAD"/>
    <x v="128"/>
    <x v="5"/>
    <x v="1"/>
    <s v="Invoice"/>
    <s v="97008"/>
    <x v="137"/>
    <x v="122"/>
    <x v="23"/>
    <x v="0"/>
    <n v="180"/>
  </r>
  <r>
    <s v="HOUSE"/>
    <s v="05"/>
    <s v="SOUTHERN"/>
    <s v="SOUTHERN AG"/>
    <x v="130"/>
    <x v="5"/>
    <x v="1"/>
    <s v="Invoice"/>
    <s v="97036"/>
    <x v="5"/>
    <x v="72"/>
    <x v="4"/>
    <x v="0"/>
    <n v="180"/>
  </r>
  <r>
    <s v="HOUSE"/>
    <s v="05"/>
    <s v="SOUTHERN"/>
    <s v="SOUTHERN AG"/>
    <x v="130"/>
    <x v="5"/>
    <x v="1"/>
    <s v="Invoice"/>
    <s v="97036"/>
    <x v="237"/>
    <x v="75"/>
    <x v="26"/>
    <x v="0"/>
    <n v="60"/>
  </r>
  <r>
    <s v="HOUSE"/>
    <s v="05"/>
    <s v="SOUTHERN"/>
    <s v="SOUTHERN AG"/>
    <x v="130"/>
    <x v="5"/>
    <x v="1"/>
    <s v="Invoice"/>
    <s v="97036"/>
    <x v="48"/>
    <x v="33"/>
    <x v="28"/>
    <x v="0"/>
    <n v="180"/>
  </r>
  <r>
    <s v="BRIDGE"/>
    <s v="06"/>
    <s v="DELSTAR"/>
    <s v="GERALDBREWER"/>
    <x v="110"/>
    <x v="5"/>
    <x v="1"/>
    <s v="Invoice"/>
    <s v="93050"/>
    <x v="166"/>
    <x v="29"/>
    <x v="26"/>
    <x v="0"/>
    <n v="750"/>
  </r>
  <r>
    <s v="BRIDGE"/>
    <s v="06"/>
    <s v="TRIANGLE"/>
    <s v="HOLLANDALE"/>
    <x v="123"/>
    <x v="5"/>
    <x v="1"/>
    <s v="Invoice"/>
    <s v="96783"/>
    <x v="238"/>
    <x v="214"/>
    <x v="67"/>
    <x v="0"/>
    <n v="360"/>
  </r>
  <r>
    <s v="BRIDGE"/>
    <s v="06"/>
    <s v="CPSSOUTH"/>
    <s v="CRAWFORDSVILLE"/>
    <x v="118"/>
    <x v="5"/>
    <x v="1"/>
    <s v="Invoice"/>
    <s v="96887"/>
    <x v="166"/>
    <x v="29"/>
    <x v="26"/>
    <x v="0"/>
    <n v="250"/>
  </r>
  <r>
    <s v=""/>
    <s v="07"/>
    <s v="AMERICANHONG"/>
    <s v="MAIN"/>
    <x v="123"/>
    <x v="5"/>
    <x v="1"/>
    <s v="Invoice"/>
    <s v="96781"/>
    <x v="208"/>
    <x v="184"/>
    <x v="22"/>
    <x v="2"/>
    <n v="11.015000000000001"/>
  </r>
  <r>
    <s v=""/>
    <s v="07"/>
    <s v="BARNESFE"/>
    <s v="HASTINGS"/>
    <x v="124"/>
    <x v="5"/>
    <x v="1"/>
    <s v="Invoice"/>
    <s v="96784"/>
    <x v="158"/>
    <x v="139"/>
    <x v="53"/>
    <x v="0"/>
    <n v="840"/>
  </r>
  <r>
    <s v=""/>
    <s v="07"/>
    <s v="BARNESFE"/>
    <s v="HASTINGS"/>
    <x v="124"/>
    <x v="5"/>
    <x v="1"/>
    <s v="Invoice"/>
    <s v="96784"/>
    <x v="206"/>
    <x v="139"/>
    <x v="53"/>
    <x v="0"/>
    <n v="250"/>
  </r>
  <r>
    <s v=""/>
    <s v="07"/>
    <s v="CPSHASTI"/>
    <s v="HASTINGS"/>
    <x v="124"/>
    <x v="5"/>
    <x v="1"/>
    <s v="Invoice"/>
    <s v="96785"/>
    <x v="206"/>
    <x v="139"/>
    <x v="53"/>
    <x v="0"/>
    <n v="500"/>
  </r>
  <r>
    <s v=""/>
    <s v="07"/>
    <s v="BARNESFE"/>
    <s v="HASTINGS"/>
    <x v="124"/>
    <x v="5"/>
    <x v="1"/>
    <s v="Invoice"/>
    <s v="96789A"/>
    <x v="207"/>
    <x v="183"/>
    <x v="22"/>
    <x v="2"/>
    <n v="5.0049999999999999"/>
  </r>
  <r>
    <s v="CHEAD"/>
    <s v="07"/>
    <s v="PIERSONSUPPLY"/>
    <s v="MAIN"/>
    <x v="125"/>
    <x v="5"/>
    <x v="1"/>
    <s v="Invoice"/>
    <s v="96850"/>
    <x v="239"/>
    <x v="215"/>
    <x v="68"/>
    <x v="0"/>
    <n v="540"/>
  </r>
  <r>
    <s v="CHEAD"/>
    <s v="07"/>
    <s v="BARNESFE"/>
    <s v="HASTINGS"/>
    <x v="125"/>
    <x v="5"/>
    <x v="1"/>
    <s v="Invoice"/>
    <s v="96851"/>
    <x v="158"/>
    <x v="139"/>
    <x v="53"/>
    <x v="0"/>
    <n v="1440"/>
  </r>
  <r>
    <s v=""/>
    <s v="07"/>
    <s v="GARDNERFARMS"/>
    <s v="MAIN"/>
    <x v="117"/>
    <x v="5"/>
    <x v="1"/>
    <s v="Invoice"/>
    <s v="96874"/>
    <x v="5"/>
    <x v="72"/>
    <x v="4"/>
    <x v="0"/>
    <n v="2.5"/>
  </r>
  <r>
    <s v=""/>
    <s v="07"/>
    <s v="GARDNERFARMS"/>
    <s v="MAIN"/>
    <x v="117"/>
    <x v="5"/>
    <x v="1"/>
    <s v="Invoice"/>
    <s v="96874"/>
    <x v="34"/>
    <x v="29"/>
    <x v="26"/>
    <x v="0"/>
    <n v="2.5"/>
  </r>
  <r>
    <s v=""/>
    <s v="07"/>
    <s v="BARNESFE"/>
    <s v="HASTINGS"/>
    <x v="117"/>
    <x v="5"/>
    <x v="1"/>
    <s v="Invoice"/>
    <s v="96876"/>
    <x v="206"/>
    <x v="139"/>
    <x v="53"/>
    <x v="0"/>
    <n v="750"/>
  </r>
  <r>
    <s v="CHEAD"/>
    <s v="07"/>
    <s v="BARNESFE"/>
    <s v="HASTINGS"/>
    <x v="117"/>
    <x v="5"/>
    <x v="1"/>
    <s v="Invoice"/>
    <s v="96877"/>
    <x v="207"/>
    <x v="183"/>
    <x v="22"/>
    <x v="2"/>
    <n v="3.7574999999999998"/>
  </r>
  <r>
    <s v="CHEAD"/>
    <s v="07"/>
    <s v="CPSHASTI"/>
    <s v="HASTINGS"/>
    <x v="117"/>
    <x v="5"/>
    <x v="1"/>
    <s v="Invoice"/>
    <s v="96878"/>
    <x v="206"/>
    <x v="139"/>
    <x v="53"/>
    <x v="0"/>
    <n v="500"/>
  </r>
  <r>
    <s v="CHEAD"/>
    <s v="07"/>
    <s v="MAYO"/>
    <s v="WILLISTON"/>
    <x v="120"/>
    <x v="5"/>
    <x v="1"/>
    <s v="Invoice"/>
    <s v="96936"/>
    <x v="240"/>
    <x v="71"/>
    <x v="34"/>
    <x v="0"/>
    <n v="180"/>
  </r>
  <r>
    <s v="CHEAD"/>
    <s v="07"/>
    <s v="MAYO"/>
    <s v="WILLISTON"/>
    <x v="120"/>
    <x v="5"/>
    <x v="1"/>
    <s v="Invoice"/>
    <s v="96936"/>
    <x v="34"/>
    <x v="29"/>
    <x v="26"/>
    <x v="0"/>
    <n v="540"/>
  </r>
  <r>
    <s v="CHEAD"/>
    <s v="07"/>
    <s v="BIG HOUSE FARMS"/>
    <s v="MAYO"/>
    <x v="120"/>
    <x v="5"/>
    <x v="1"/>
    <s v="Invoice"/>
    <s v="96937"/>
    <x v="109"/>
    <x v="80"/>
    <x v="2"/>
    <x v="0"/>
    <n v="250"/>
  </r>
  <r>
    <s v="CHEAD"/>
    <s v="07"/>
    <s v="UFPSUNIT"/>
    <s v="CITRA FARM"/>
    <x v="120"/>
    <x v="5"/>
    <x v="1"/>
    <s v="Invoice"/>
    <s v="96938A"/>
    <x v="241"/>
    <x v="216"/>
    <x v="22"/>
    <x v="2"/>
    <n v="1.2549999999999999"/>
  </r>
  <r>
    <s v="CHEAD"/>
    <s v="07"/>
    <s v="UFPSUNIT"/>
    <s v="CITRA FARM"/>
    <x v="120"/>
    <x v="5"/>
    <x v="1"/>
    <s v="Invoice"/>
    <s v="96940"/>
    <x v="242"/>
    <x v="19"/>
    <x v="19"/>
    <x v="0"/>
    <n v="250"/>
  </r>
  <r>
    <s v="CHEAD"/>
    <s v="07"/>
    <s v="BIG HOUSE FARMS"/>
    <s v="MAYO"/>
    <x v="120"/>
    <x v="5"/>
    <x v="1"/>
    <s v="Invoice"/>
    <s v="96942"/>
    <x v="243"/>
    <x v="217"/>
    <x v="22"/>
    <x v="2"/>
    <n v="7.52"/>
  </r>
  <r>
    <s v="CHEAD"/>
    <s v="07"/>
    <s v="TRIANGLE"/>
    <s v="GROVELAND"/>
    <x v="133"/>
    <x v="5"/>
    <x v="1"/>
    <s v="Invoice"/>
    <s v="97022"/>
    <x v="34"/>
    <x v="29"/>
    <x v="26"/>
    <x v="0"/>
    <n v="180"/>
  </r>
  <r>
    <s v=""/>
    <s v="07"/>
    <s v="CPSHASTI"/>
    <s v="HASTINGS"/>
    <x v="129"/>
    <x v="5"/>
    <x v="1"/>
    <s v="Invoice"/>
    <s v="97034"/>
    <x v="206"/>
    <x v="139"/>
    <x v="53"/>
    <x v="0"/>
    <n v="500"/>
  </r>
  <r>
    <s v=""/>
    <s v="07"/>
    <s v="CPSHASTI"/>
    <s v="HASTINGS"/>
    <x v="129"/>
    <x v="5"/>
    <x v="1"/>
    <s v="Invoice"/>
    <s v="97034"/>
    <x v="158"/>
    <x v="139"/>
    <x v="53"/>
    <x v="0"/>
    <n v="240"/>
  </r>
  <r>
    <s v=""/>
    <s v="07"/>
    <s v="BARNESFE"/>
    <s v="HASTINGS"/>
    <x v="129"/>
    <x v="5"/>
    <x v="1"/>
    <s v="Invoice"/>
    <s v="97035"/>
    <x v="158"/>
    <x v="139"/>
    <x v="53"/>
    <x v="0"/>
    <n v="960"/>
  </r>
  <r>
    <s v=""/>
    <s v="07"/>
    <s v="BARNESFE"/>
    <s v="HASTINGS"/>
    <x v="129"/>
    <x v="5"/>
    <x v="1"/>
    <s v="Invoice"/>
    <s v="97035"/>
    <x v="206"/>
    <x v="139"/>
    <x v="53"/>
    <x v="0"/>
    <n v="500"/>
  </r>
  <r>
    <s v="DPOPPELL1"/>
    <s v="08"/>
    <s v="MAYO"/>
    <s v="PLANTCITY"/>
    <x v="123"/>
    <x v="5"/>
    <x v="1"/>
    <s v="Invoice"/>
    <s v="96782"/>
    <x v="244"/>
    <x v="218"/>
    <x v="22"/>
    <x v="2"/>
    <n v="6"/>
  </r>
  <r>
    <s v="DPOPPELL1"/>
    <s v="08"/>
    <s v="COASTALAGSUPPLY"/>
    <s v="MULBERRY"/>
    <x v="114"/>
    <x v="5"/>
    <x v="1"/>
    <s v="Invoice"/>
    <s v="96819"/>
    <x v="58"/>
    <x v="51"/>
    <x v="22"/>
    <x v="2"/>
    <n v="1.25"/>
  </r>
  <r>
    <s v="DPOPPELL1"/>
    <s v="08"/>
    <s v="TRIANGLE"/>
    <s v="TRIANGLE/PC"/>
    <x v="115"/>
    <x v="5"/>
    <x v="1"/>
    <s v="Invoice"/>
    <s v="96828"/>
    <x v="170"/>
    <x v="33"/>
    <x v="28"/>
    <x v="0"/>
    <n v="500"/>
  </r>
  <r>
    <s v="DPOPPELL1"/>
    <s v="08"/>
    <s v="MAYO"/>
    <s v="PLANTCITY"/>
    <x v="115"/>
    <x v="5"/>
    <x v="1"/>
    <s v="Invoice"/>
    <s v="96834"/>
    <x v="126"/>
    <x v="114"/>
    <x v="22"/>
    <x v="2"/>
    <n v="23.41"/>
  </r>
  <r>
    <s v="DPOPPELL1"/>
    <s v="08"/>
    <s v="MAYO"/>
    <s v="PLANTCITY"/>
    <x v="116"/>
    <x v="5"/>
    <x v="1"/>
    <s v="Invoice"/>
    <s v="96868"/>
    <x v="245"/>
    <x v="219"/>
    <x v="22"/>
    <x v="2"/>
    <n v="12.262499999999999"/>
  </r>
  <r>
    <s v="DPOPPELL1"/>
    <s v="08"/>
    <s v="MAYO"/>
    <s v="PLANTCITY"/>
    <x v="118"/>
    <x v="5"/>
    <x v="1"/>
    <s v="Invoice"/>
    <s v="96886"/>
    <x v="77"/>
    <x v="37"/>
    <x v="30"/>
    <x v="0"/>
    <n v="30"/>
  </r>
  <r>
    <s v="DPOPPELL1"/>
    <s v="08"/>
    <s v="COASTALAGSUPPLY"/>
    <s v="MULBERRY"/>
    <x v="126"/>
    <x v="5"/>
    <x v="1"/>
    <s v="Invoice"/>
    <s v="96917"/>
    <x v="58"/>
    <x v="51"/>
    <x v="22"/>
    <x v="2"/>
    <n v="2.4975000000000001"/>
  </r>
  <r>
    <s v="DPOPPELL1"/>
    <s v="08"/>
    <s v="TRIANGLE"/>
    <s v="TRIANGLE/PC"/>
    <x v="126"/>
    <x v="5"/>
    <x v="1"/>
    <s v="Invoice"/>
    <s v="96918"/>
    <x v="5"/>
    <x v="72"/>
    <x v="4"/>
    <x v="0"/>
    <n v="180"/>
  </r>
  <r>
    <s v="DPOPPELL1"/>
    <s v="08"/>
    <s v="TRIANGLE"/>
    <s v="TRIANGLE/PC"/>
    <x v="126"/>
    <x v="5"/>
    <x v="1"/>
    <s v="Invoice"/>
    <s v="96919"/>
    <x v="34"/>
    <x v="29"/>
    <x v="26"/>
    <x v="0"/>
    <n v="180"/>
  </r>
  <r>
    <s v="DPOPPELL1"/>
    <s v="08"/>
    <s v="MAYO"/>
    <s v="PLANTCITY"/>
    <x v="113"/>
    <x v="5"/>
    <x v="1"/>
    <s v="Invoice"/>
    <s v="96966"/>
    <x v="106"/>
    <x v="74"/>
    <x v="13"/>
    <x v="0"/>
    <n v="5"/>
  </r>
  <r>
    <s v="DPOPPELL1"/>
    <s v="08"/>
    <s v="COASTALAGSUPPLY"/>
    <s v="MULBERRY"/>
    <x v="129"/>
    <x v="5"/>
    <x v="1"/>
    <s v="Invoice"/>
    <s v="97028"/>
    <x v="5"/>
    <x v="72"/>
    <x v="4"/>
    <x v="0"/>
    <n v="50"/>
  </r>
  <r>
    <s v=""/>
    <s v="09"/>
    <s v="AGRIBUSI"/>
    <s v="EDDIEMILLER"/>
    <x v="123"/>
    <x v="5"/>
    <x v="1"/>
    <s v="Invoice"/>
    <s v="96776"/>
    <x v="219"/>
    <x v="194"/>
    <x v="20"/>
    <x v="1"/>
    <n v="1800"/>
  </r>
  <r>
    <s v=""/>
    <s v="09"/>
    <s v="AGRIBUSI"/>
    <s v="EDDIEMILLER"/>
    <x v="123"/>
    <x v="5"/>
    <x v="1"/>
    <s v="Invoice"/>
    <s v="96776"/>
    <x v="213"/>
    <x v="189"/>
    <x v="20"/>
    <x v="1"/>
    <n v="7500"/>
  </r>
  <r>
    <s v="GEORGIA"/>
    <s v="09"/>
    <s v="AGRIBUSI"/>
    <s v="NUTRIENTIFTON"/>
    <x v="123"/>
    <x v="5"/>
    <x v="1"/>
    <s v="Invoice"/>
    <s v="96777"/>
    <x v="215"/>
    <x v="190"/>
    <x v="20"/>
    <x v="1"/>
    <n v="5000"/>
  </r>
  <r>
    <s v="GEORGIA"/>
    <s v="09"/>
    <s v="CAROLINATU"/>
    <s v="STARMOUNT CC"/>
    <x v="123"/>
    <x v="5"/>
    <x v="1"/>
    <s v="Invoice"/>
    <s v="96778"/>
    <x v="106"/>
    <x v="74"/>
    <x v="13"/>
    <x v="0"/>
    <n v="10"/>
  </r>
  <r>
    <s v="GEORGIA"/>
    <s v="09"/>
    <s v="CAROLINATU"/>
    <s v="STARMOUNT CC"/>
    <x v="123"/>
    <x v="5"/>
    <x v="1"/>
    <s v="Invoice"/>
    <s v="96778"/>
    <x v="12"/>
    <x v="76"/>
    <x v="11"/>
    <x v="0"/>
    <n v="90"/>
  </r>
  <r>
    <s v="GEORGIA"/>
    <s v="09"/>
    <s v="CAROLINATU"/>
    <s v="CROWCREEK"/>
    <x v="124"/>
    <x v="5"/>
    <x v="1"/>
    <s v="Invoice"/>
    <s v="96787"/>
    <x v="4"/>
    <x v="32"/>
    <x v="3"/>
    <x v="0"/>
    <n v="5"/>
  </r>
  <r>
    <s v="GEORGIA"/>
    <s v="09"/>
    <s v="AGRIBUSI"/>
    <s v="MEHERRIN/CHARLE"/>
    <x v="111"/>
    <x v="5"/>
    <x v="1"/>
    <s v="Invoice"/>
    <s v="96809"/>
    <x v="246"/>
    <x v="195"/>
    <x v="20"/>
    <x v="1"/>
    <n v="43350"/>
  </r>
  <r>
    <s v=""/>
    <s v="09"/>
    <s v="GREENRES"/>
    <s v="GRANITE ST-NC"/>
    <x v="115"/>
    <x v="5"/>
    <x v="1"/>
    <s v="Invoice"/>
    <s v="96843"/>
    <x v="3"/>
    <x v="80"/>
    <x v="2"/>
    <x v="0"/>
    <n v="360"/>
  </r>
  <r>
    <s v=""/>
    <s v="09"/>
    <s v="GREENRES"/>
    <s v="OCEAN HWY-NC"/>
    <x v="118"/>
    <x v="5"/>
    <x v="1"/>
    <s v="Invoice"/>
    <s v="96888"/>
    <x v="247"/>
    <x v="76"/>
    <x v="11"/>
    <x v="0"/>
    <n v="1500"/>
  </r>
  <r>
    <s v=""/>
    <s v="09"/>
    <s v="TRIANGLE/GA"/>
    <s v="SYCAMORE"/>
    <x v="119"/>
    <x v="5"/>
    <x v="1"/>
    <s v="Invoice"/>
    <s v="96910"/>
    <x v="179"/>
    <x v="220"/>
    <x v="60"/>
    <x v="0"/>
    <n v="720"/>
  </r>
  <r>
    <s v=""/>
    <s v="09"/>
    <s v="CAROLINATU"/>
    <s v="GREENSBOR,C.C."/>
    <x v="119"/>
    <x v="5"/>
    <x v="1"/>
    <s v="Invoice"/>
    <s v="96911"/>
    <x v="84"/>
    <x v="76"/>
    <x v="11"/>
    <x v="0"/>
    <n v="110"/>
  </r>
  <r>
    <s v=""/>
    <s v="09"/>
    <s v="TRIANGLE/GA"/>
    <s v="DONALSONVILLE"/>
    <x v="126"/>
    <x v="5"/>
    <x v="1"/>
    <s v="Invoice"/>
    <s v="96920"/>
    <x v="248"/>
    <x v="221"/>
    <x v="69"/>
    <x v="0"/>
    <n v="3960"/>
  </r>
  <r>
    <s v=""/>
    <s v="09"/>
    <s v="CAROLINATU"/>
    <s v="NORTHRIDGE"/>
    <x v="126"/>
    <x v="5"/>
    <x v="1"/>
    <s v="Invoice"/>
    <s v="96921"/>
    <x v="249"/>
    <x v="222"/>
    <x v="70"/>
    <x v="0"/>
    <n v="20"/>
  </r>
  <r>
    <s v=""/>
    <s v="09"/>
    <s v="CAROLINATU"/>
    <s v="NORTHRIDGE"/>
    <x v="126"/>
    <x v="5"/>
    <x v="1"/>
    <s v="Invoice"/>
    <s v="96921"/>
    <x v="217"/>
    <x v="192"/>
    <x v="56"/>
    <x v="0"/>
    <n v="250"/>
  </r>
  <r>
    <s v=""/>
    <s v="09"/>
    <s v="TRIANGLE/GA"/>
    <s v="DONALSONVILLE"/>
    <x v="132"/>
    <x v="5"/>
    <x v="1"/>
    <s v="Invoice"/>
    <s v="96928"/>
    <x v="248"/>
    <x v="221"/>
    <x v="69"/>
    <x v="0"/>
    <n v="3960"/>
  </r>
  <r>
    <s v=""/>
    <s v="09"/>
    <s v="AGRIBUSI"/>
    <s v="CPS-DOERUN,GA"/>
    <x v="121"/>
    <x v="5"/>
    <x v="1"/>
    <s v="Invoice"/>
    <s v="96950"/>
    <x v="250"/>
    <x v="223"/>
    <x v="23"/>
    <x v="0"/>
    <n v="1800"/>
  </r>
  <r>
    <s v=""/>
    <s v="09"/>
    <s v="NUTRATURF"/>
    <s v="CRUMP ST, NC"/>
    <x v="121"/>
    <x v="5"/>
    <x v="1"/>
    <s v="Invoice"/>
    <s v="96951"/>
    <x v="78"/>
    <x v="71"/>
    <x v="34"/>
    <x v="0"/>
    <n v="165"/>
  </r>
  <r>
    <s v=""/>
    <s v="09"/>
    <s v="NUTRATURF"/>
    <s v="CRUMP ST, NC"/>
    <x v="121"/>
    <x v="5"/>
    <x v="1"/>
    <s v="Invoice"/>
    <s v="96951"/>
    <x v="251"/>
    <x v="28"/>
    <x v="2"/>
    <x v="0"/>
    <n v="55"/>
  </r>
  <r>
    <s v=""/>
    <s v="09"/>
    <s v="NUTRATURF"/>
    <s v="CRUMP ST, NC"/>
    <x v="121"/>
    <x v="5"/>
    <x v="1"/>
    <s v="Invoice"/>
    <s v="96951"/>
    <x v="140"/>
    <x v="72"/>
    <x v="4"/>
    <x v="0"/>
    <n v="250"/>
  </r>
  <r>
    <s v=""/>
    <s v="09"/>
    <s v="NUTRATURF"/>
    <s v="CRUMP ST, NC"/>
    <x v="121"/>
    <x v="5"/>
    <x v="1"/>
    <s v="Invoice"/>
    <s v="96951"/>
    <x v="80"/>
    <x v="73"/>
    <x v="4"/>
    <x v="0"/>
    <n v="55"/>
  </r>
  <r>
    <s v=""/>
    <s v="09"/>
    <s v="NUTRATURF"/>
    <s v="CRUMP ST, NC"/>
    <x v="121"/>
    <x v="5"/>
    <x v="1"/>
    <s v="Invoice"/>
    <s v="96951"/>
    <x v="252"/>
    <x v="224"/>
    <x v="71"/>
    <x v="0"/>
    <n v="55"/>
  </r>
  <r>
    <s v=""/>
    <s v="09"/>
    <s v="NUTRATURF"/>
    <s v="CRUMP ST, NC"/>
    <x v="121"/>
    <x v="5"/>
    <x v="1"/>
    <s v="Invoice"/>
    <s v="96951"/>
    <x v="253"/>
    <x v="74"/>
    <x v="13"/>
    <x v="0"/>
    <n v="250"/>
  </r>
  <r>
    <s v=""/>
    <s v="09"/>
    <s v="NUTRATURF"/>
    <s v="CRUMP ST, NC"/>
    <x v="121"/>
    <x v="5"/>
    <x v="1"/>
    <s v="Invoice"/>
    <s v="96951"/>
    <x v="254"/>
    <x v="75"/>
    <x v="26"/>
    <x v="0"/>
    <n v="250"/>
  </r>
  <r>
    <s v=""/>
    <s v="09"/>
    <s v="NUTRATURF"/>
    <s v="CRUMP ST, NC"/>
    <x v="121"/>
    <x v="5"/>
    <x v="1"/>
    <s v="Invoice"/>
    <s v="96951"/>
    <x v="186"/>
    <x v="225"/>
    <x v="13"/>
    <x v="0"/>
    <n v="55"/>
  </r>
  <r>
    <s v=""/>
    <s v="09"/>
    <s v="NUTRATURF"/>
    <s v="CRUMP ST, NC"/>
    <x v="121"/>
    <x v="5"/>
    <x v="1"/>
    <s v="Invoice"/>
    <s v="96951"/>
    <x v="83"/>
    <x v="69"/>
    <x v="17"/>
    <x v="0"/>
    <n v="250"/>
  </r>
  <r>
    <s v=""/>
    <s v="09"/>
    <s v="NUTRATURF"/>
    <s v="CRUMP ST, NC"/>
    <x v="121"/>
    <x v="5"/>
    <x v="1"/>
    <s v="Invoice"/>
    <s v="96951"/>
    <x v="247"/>
    <x v="76"/>
    <x v="11"/>
    <x v="0"/>
    <n v="500"/>
  </r>
  <r>
    <s v=""/>
    <s v="09"/>
    <s v="NUTRATURF"/>
    <s v="CRUMP ST, NC"/>
    <x v="121"/>
    <x v="5"/>
    <x v="1"/>
    <s v="Invoice"/>
    <s v="96951"/>
    <x v="1"/>
    <x v="110"/>
    <x v="1"/>
    <x v="0"/>
    <n v="55"/>
  </r>
  <r>
    <s v=""/>
    <s v="09"/>
    <s v="NUTRATURF"/>
    <s v="CRUMP ST, NC"/>
    <x v="121"/>
    <x v="5"/>
    <x v="1"/>
    <s v="Invoice"/>
    <s v="96951"/>
    <x v="255"/>
    <x v="77"/>
    <x v="35"/>
    <x v="0"/>
    <n v="250"/>
  </r>
  <r>
    <s v=""/>
    <s v="09"/>
    <s v="NUTRATURF"/>
    <s v="CRUMP ST, NC"/>
    <x v="121"/>
    <x v="5"/>
    <x v="1"/>
    <s v="Invoice"/>
    <s v="96951"/>
    <x v="256"/>
    <x v="77"/>
    <x v="35"/>
    <x v="0"/>
    <n v="110"/>
  </r>
  <r>
    <s v=""/>
    <s v="09"/>
    <s v="NUTRATURF"/>
    <s v="CRUMP ST, NC"/>
    <x v="121"/>
    <x v="5"/>
    <x v="1"/>
    <s v="Invoice"/>
    <s v="96951"/>
    <x v="257"/>
    <x v="32"/>
    <x v="3"/>
    <x v="0"/>
    <n v="250"/>
  </r>
  <r>
    <s v=""/>
    <s v="09"/>
    <s v="NUTRATURF"/>
    <s v="CRUMP ST, NC"/>
    <x v="121"/>
    <x v="5"/>
    <x v="1"/>
    <s v="Invoice"/>
    <s v="96951"/>
    <x v="86"/>
    <x v="78"/>
    <x v="36"/>
    <x v="0"/>
    <n v="250"/>
  </r>
  <r>
    <s v=""/>
    <s v="09"/>
    <s v="GREENRES"/>
    <s v="GRANITE ST-NC"/>
    <x v="113"/>
    <x v="5"/>
    <x v="1"/>
    <s v="Invoice"/>
    <s v="96968"/>
    <x v="22"/>
    <x v="69"/>
    <x v="17"/>
    <x v="0"/>
    <n v="180"/>
  </r>
  <r>
    <s v=""/>
    <s v="09"/>
    <s v="AGRIBUSI"/>
    <s v="AGB/ROOSEVELT"/>
    <x v="113"/>
    <x v="5"/>
    <x v="1"/>
    <s v="Invoice"/>
    <s v="96970"/>
    <x v="214"/>
    <x v="189"/>
    <x v="20"/>
    <x v="1"/>
    <n v="3600"/>
  </r>
  <r>
    <s v=""/>
    <s v="09"/>
    <s v="NUTRATURF"/>
    <s v="CRUMP ST, NC"/>
    <x v="127"/>
    <x v="5"/>
    <x v="1"/>
    <s v="Invoice"/>
    <s v="96990"/>
    <x v="186"/>
    <x v="225"/>
    <x v="13"/>
    <x v="0"/>
    <n v="55"/>
  </r>
  <r>
    <s v=""/>
    <s v="09"/>
    <s v="NUTRATURF"/>
    <s v="CRUMP ST, NC"/>
    <x v="127"/>
    <x v="5"/>
    <x v="1"/>
    <s v="Invoice"/>
    <s v="96990"/>
    <x v="1"/>
    <x v="110"/>
    <x v="1"/>
    <x v="0"/>
    <n v="55"/>
  </r>
  <r>
    <s v=""/>
    <s v="09"/>
    <s v="NUTRATURF"/>
    <s v="CRUMP ST, NC"/>
    <x v="127"/>
    <x v="5"/>
    <x v="1"/>
    <s v="Invoice"/>
    <s v="96990"/>
    <x v="86"/>
    <x v="78"/>
    <x v="36"/>
    <x v="0"/>
    <n v="250"/>
  </r>
  <r>
    <s v="GEORGIA"/>
    <s v="09"/>
    <s v="TRIANGLE/GA"/>
    <s v="STATESBORO/GA"/>
    <x v="133"/>
    <x v="5"/>
    <x v="1"/>
    <s v="Invoice"/>
    <s v="97019"/>
    <x v="248"/>
    <x v="221"/>
    <x v="69"/>
    <x v="0"/>
    <n v="2160"/>
  </r>
  <r>
    <s v="GEORGIA"/>
    <s v="09"/>
    <s v="TRIANGLE/GA"/>
    <s v="STATESBORO/GA"/>
    <x v="133"/>
    <x v="5"/>
    <x v="1"/>
    <s v="Invoice"/>
    <s v="97019"/>
    <x v="258"/>
    <x v="221"/>
    <x v="69"/>
    <x v="0"/>
    <n v="1750"/>
  </r>
  <r>
    <s v="GEORGIA"/>
    <s v="09"/>
    <s v="CAROLINATU"/>
    <s v="SUMMERFIELDFEED"/>
    <x v="129"/>
    <x v="5"/>
    <x v="1"/>
    <s v="Invoice"/>
    <s v="97033"/>
    <x v="249"/>
    <x v="222"/>
    <x v="70"/>
    <x v="0"/>
    <n v="120"/>
  </r>
  <r>
    <s v="GEORGIA"/>
    <s v="09"/>
    <s v="CAROLINATU"/>
    <s v="SUMMERFIELDFEED"/>
    <x v="129"/>
    <x v="5"/>
    <x v="1"/>
    <s v="Invoice"/>
    <s v="97033"/>
    <x v="259"/>
    <x v="226"/>
    <x v="56"/>
    <x v="0"/>
    <n v="20"/>
  </r>
  <r>
    <s v="GEORGIA"/>
    <s v="09"/>
    <s v="CAROLINATU"/>
    <s v="SUMMERFIELDFEED"/>
    <x v="129"/>
    <x v="5"/>
    <x v="1"/>
    <s v="Invoice"/>
    <s v="97033"/>
    <x v="163"/>
    <x v="227"/>
    <x v="56"/>
    <x v="0"/>
    <n v="40"/>
  </r>
  <r>
    <s v="HAP"/>
    <s v="01"/>
    <s v="GREENWAY"/>
    <s v="CORALCREEK"/>
    <x v="134"/>
    <x v="6"/>
    <x v="1"/>
    <s v="Invoice"/>
    <s v="97194"/>
    <x v="7"/>
    <x v="6"/>
    <x v="6"/>
    <x v="0"/>
    <n v="20"/>
  </r>
  <r>
    <s v="HAP"/>
    <s v="01"/>
    <s v="GREENWAY"/>
    <s v="CORALCREEK"/>
    <x v="134"/>
    <x v="6"/>
    <x v="1"/>
    <s v="Invoice"/>
    <s v="97194"/>
    <x v="3"/>
    <x v="2"/>
    <x v="2"/>
    <x v="0"/>
    <n v="20"/>
  </r>
  <r>
    <s v="HAP"/>
    <s v="01"/>
    <s v="GREENWAY"/>
    <s v="CORALCREEK"/>
    <x v="134"/>
    <x v="6"/>
    <x v="1"/>
    <s v="Invoice"/>
    <s v="97194"/>
    <x v="1"/>
    <x v="1"/>
    <x v="1"/>
    <x v="0"/>
    <n v="55"/>
  </r>
  <r>
    <s v="HAP"/>
    <s v="01"/>
    <s v="GREENWAY"/>
    <s v="CORALCREEK"/>
    <x v="134"/>
    <x v="6"/>
    <x v="1"/>
    <s v="Invoice"/>
    <s v="97194"/>
    <x v="5"/>
    <x v="4"/>
    <x v="4"/>
    <x v="0"/>
    <n v="20"/>
  </r>
  <r>
    <s v="HAP"/>
    <s v="01"/>
    <s v="GREENWAY"/>
    <s v="CORALCREEK"/>
    <x v="134"/>
    <x v="6"/>
    <x v="1"/>
    <s v="Invoice"/>
    <s v="97194"/>
    <x v="6"/>
    <x v="5"/>
    <x v="5"/>
    <x v="0"/>
    <n v="10"/>
  </r>
  <r>
    <s v="HAP"/>
    <s v="01"/>
    <s v="GREENWAY"/>
    <s v="CORALCREEK"/>
    <x v="134"/>
    <x v="6"/>
    <x v="1"/>
    <s v="Invoice"/>
    <s v="97194"/>
    <x v="2"/>
    <x v="0"/>
    <x v="0"/>
    <x v="0"/>
    <n v="20"/>
  </r>
  <r>
    <s v="HAP"/>
    <s v="01"/>
    <s v="GREENWAY"/>
    <s v="MIZNER C. CLUB"/>
    <x v="135"/>
    <x v="6"/>
    <x v="1"/>
    <s v="Invoice"/>
    <s v="97203"/>
    <x v="3"/>
    <x v="2"/>
    <x v="2"/>
    <x v="0"/>
    <n v="50"/>
  </r>
  <r>
    <s v="HAP"/>
    <s v="01"/>
    <s v="GREENWAY"/>
    <s v="MIZNER C. CLUB"/>
    <x v="135"/>
    <x v="6"/>
    <x v="1"/>
    <s v="Invoice"/>
    <s v="97203"/>
    <x v="5"/>
    <x v="4"/>
    <x v="4"/>
    <x v="0"/>
    <n v="100"/>
  </r>
  <r>
    <s v="HAP"/>
    <s v="01"/>
    <s v="GREENWAY"/>
    <s v="MIZNER C. CLUB"/>
    <x v="135"/>
    <x v="6"/>
    <x v="1"/>
    <s v="Invoice"/>
    <s v="97203"/>
    <x v="6"/>
    <x v="5"/>
    <x v="5"/>
    <x v="0"/>
    <n v="50"/>
  </r>
  <r>
    <s v="HAP"/>
    <s v="01"/>
    <s v="GREENWAY"/>
    <s v="MIZNER C. CLUB"/>
    <x v="135"/>
    <x v="6"/>
    <x v="1"/>
    <s v="Invoice"/>
    <s v="97203"/>
    <x v="2"/>
    <x v="0"/>
    <x v="0"/>
    <x v="0"/>
    <n v="100"/>
  </r>
  <r>
    <s v="HAP"/>
    <s v="01"/>
    <s v="GREENWAY"/>
    <s v="JACARANDA G C"/>
    <x v="135"/>
    <x v="6"/>
    <x v="1"/>
    <s v="Invoice"/>
    <s v="97204"/>
    <x v="188"/>
    <x v="17"/>
    <x v="17"/>
    <x v="0"/>
    <n v="55"/>
  </r>
  <r>
    <s v="HAP"/>
    <s v="01"/>
    <s v="GREENWAY"/>
    <s v="JACARANDA G C"/>
    <x v="135"/>
    <x v="6"/>
    <x v="1"/>
    <s v="Invoice"/>
    <s v="97204"/>
    <x v="0"/>
    <x v="0"/>
    <x v="0"/>
    <x v="0"/>
    <n v="55"/>
  </r>
  <r>
    <s v="HAP"/>
    <s v="01"/>
    <s v="ALMARCH"/>
    <s v="THONOTOSASSA"/>
    <x v="136"/>
    <x v="6"/>
    <x v="1"/>
    <s v="Invoice"/>
    <s v="97227"/>
    <x v="22"/>
    <x v="83"/>
    <x v="17"/>
    <x v="0"/>
    <n v="90"/>
  </r>
  <r>
    <s v="HAP"/>
    <s v="01"/>
    <s v="ALMARCH"/>
    <s v="THONOTOSASSA"/>
    <x v="136"/>
    <x v="6"/>
    <x v="1"/>
    <s v="Invoice"/>
    <s v="97227"/>
    <x v="93"/>
    <x v="84"/>
    <x v="37"/>
    <x v="0"/>
    <n v="90"/>
  </r>
  <r>
    <s v="HAP"/>
    <s v="01"/>
    <s v="ALMARCH"/>
    <s v="THONOTOSASSA"/>
    <x v="136"/>
    <x v="6"/>
    <x v="1"/>
    <s v="Invoice"/>
    <s v="97227"/>
    <x v="260"/>
    <x v="228"/>
    <x v="72"/>
    <x v="0"/>
    <n v="5"/>
  </r>
  <r>
    <s v="DAVID"/>
    <s v="02"/>
    <s v="FLORIDAF"/>
    <s v="FLORIDA FERTILI"/>
    <x v="137"/>
    <x v="6"/>
    <x v="1"/>
    <s v="Invoice"/>
    <s v="97097A"/>
    <x v="29"/>
    <x v="24"/>
    <x v="20"/>
    <x v="1"/>
    <n v="6575"/>
  </r>
  <r>
    <s v="DAVID"/>
    <s v="02"/>
    <s v="EVOQUAWATER"/>
    <s v="MAIN"/>
    <x v="138"/>
    <x v="6"/>
    <x v="1"/>
    <s v="Invoice"/>
    <s v="97136"/>
    <x v="160"/>
    <x v="142"/>
    <x v="54"/>
    <x v="0"/>
    <n v="180"/>
  </r>
  <r>
    <s v="DAVID"/>
    <s v="02"/>
    <s v="EVOQUAWATER"/>
    <s v="MAIN"/>
    <x v="138"/>
    <x v="6"/>
    <x v="1"/>
    <s v="Invoice"/>
    <s v="97137"/>
    <x v="160"/>
    <x v="142"/>
    <x v="54"/>
    <x v="0"/>
    <n v="360"/>
  </r>
  <r>
    <s v="DAVID"/>
    <s v="02"/>
    <s v="GLADESFORM"/>
    <s v="MAIN"/>
    <x v="139"/>
    <x v="6"/>
    <x v="1"/>
    <s v="Invoice"/>
    <s v="97151"/>
    <x v="190"/>
    <x v="112"/>
    <x v="20"/>
    <x v="1"/>
    <n v="13237.5"/>
  </r>
  <r>
    <s v="DAVID"/>
    <s v="02"/>
    <s v="MAYO"/>
    <s v="MAYO"/>
    <x v="140"/>
    <x v="6"/>
    <x v="1"/>
    <s v="Invoice"/>
    <s v="97152"/>
    <x v="29"/>
    <x v="24"/>
    <x v="20"/>
    <x v="1"/>
    <n v="27140"/>
  </r>
  <r>
    <s v="DAVID"/>
    <s v="02"/>
    <s v="SOUTHERN"/>
    <s v="SOUTHERN AG"/>
    <x v="140"/>
    <x v="6"/>
    <x v="1"/>
    <s v="Invoice"/>
    <s v="97156"/>
    <x v="26"/>
    <x v="21"/>
    <x v="21"/>
    <x v="0"/>
    <n v="805.3"/>
  </r>
  <r>
    <s v="DAVID"/>
    <s v="02"/>
    <s v="GEOPONICSCORP"/>
    <s v="NAPLES UNIT-105"/>
    <x v="140"/>
    <x v="6"/>
    <x v="1"/>
    <s v="Invoice"/>
    <s v="97165"/>
    <x v="32"/>
    <x v="85"/>
    <x v="25"/>
    <x v="0"/>
    <n v="220"/>
  </r>
  <r>
    <s v="DAVID"/>
    <s v="02"/>
    <s v="PATHWAY"/>
    <s v="TEVER"/>
    <x v="135"/>
    <x v="6"/>
    <x v="1"/>
    <s v="Invoice"/>
    <s v="97205"/>
    <x v="261"/>
    <x v="229"/>
    <x v="73"/>
    <x v="0"/>
    <n v="500"/>
  </r>
  <r>
    <s v="DAVID"/>
    <s v="02"/>
    <s v="PATHWAY"/>
    <s v="TEVER"/>
    <x v="135"/>
    <x v="6"/>
    <x v="1"/>
    <s v="Invoice"/>
    <s v="97205"/>
    <x v="133"/>
    <x v="109"/>
    <x v="45"/>
    <x v="0"/>
    <n v="100"/>
  </r>
  <r>
    <s v="DAVID"/>
    <s v="02"/>
    <s v="GLADESFORM"/>
    <s v="MAIN"/>
    <x v="141"/>
    <x v="6"/>
    <x v="1"/>
    <s v="Invoice"/>
    <s v="97269"/>
    <x v="190"/>
    <x v="112"/>
    <x v="20"/>
    <x v="1"/>
    <n v="13275.5"/>
  </r>
  <r>
    <s v="DAVID"/>
    <s v="02"/>
    <s v="CPSMULB"/>
    <s v="UAP/MULBERRY"/>
    <x v="142"/>
    <x v="6"/>
    <x v="1"/>
    <s v="Invoice"/>
    <s v="97275"/>
    <x v="32"/>
    <x v="230"/>
    <x v="25"/>
    <x v="0"/>
    <n v="3800"/>
  </r>
  <r>
    <s v="DAVID"/>
    <s v="02"/>
    <s v="EVOQUAWATER"/>
    <s v="MAIN"/>
    <x v="143"/>
    <x v="6"/>
    <x v="1"/>
    <s v="Invoice"/>
    <s v="97295"/>
    <x v="160"/>
    <x v="231"/>
    <x v="54"/>
    <x v="0"/>
    <n v="180"/>
  </r>
  <r>
    <s v="DAVID"/>
    <s v="02"/>
    <s v="JHBIOTECH"/>
    <s v="JHBIOTECH"/>
    <x v="143"/>
    <x v="6"/>
    <x v="1"/>
    <s v="Invoice"/>
    <s v="97296"/>
    <x v="24"/>
    <x v="19"/>
    <x v="19"/>
    <x v="0"/>
    <n v="4070"/>
  </r>
  <r>
    <s v="JUSTIN"/>
    <s v="03"/>
    <s v="TRIANGLE"/>
    <s v="LAKEWALES"/>
    <x v="144"/>
    <x v="6"/>
    <x v="1"/>
    <s v="Invoice"/>
    <s v="97058"/>
    <x v="262"/>
    <x v="232"/>
    <x v="22"/>
    <x v="2"/>
    <n v="10.02"/>
  </r>
  <r>
    <s v="JUSTIN"/>
    <s v="03"/>
    <s v="TRIANGLE"/>
    <s v="LAKEWALES"/>
    <x v="144"/>
    <x v="6"/>
    <x v="1"/>
    <s v="Invoice"/>
    <s v="97059"/>
    <x v="263"/>
    <x v="233"/>
    <x v="22"/>
    <x v="2"/>
    <n v="10.012499999999999"/>
  </r>
  <r>
    <s v="JUSTIN"/>
    <s v="03"/>
    <s v="CPSOKEE"/>
    <s v="OKEE-LIQ PLANT"/>
    <x v="145"/>
    <x v="6"/>
    <x v="1"/>
    <s v="Invoice"/>
    <s v="97065"/>
    <x v="100"/>
    <x v="94"/>
    <x v="41"/>
    <x v="0"/>
    <n v="250"/>
  </r>
  <r>
    <s v="JUSTIN"/>
    <s v="03"/>
    <s v="CPSWACHU"/>
    <s v="WAUCHULA"/>
    <x v="145"/>
    <x v="6"/>
    <x v="1"/>
    <s v="Invoice"/>
    <s v="97066"/>
    <x v="34"/>
    <x v="29"/>
    <x v="26"/>
    <x v="0"/>
    <n v="180"/>
  </r>
  <r>
    <s v="JUSTIN"/>
    <s v="03"/>
    <s v="TRIANGLE"/>
    <s v="TRIANGLE/LAKEPL"/>
    <x v="146"/>
    <x v="6"/>
    <x v="1"/>
    <s v="Invoice"/>
    <s v="97079"/>
    <x v="170"/>
    <x v="33"/>
    <x v="28"/>
    <x v="0"/>
    <n v="750"/>
  </r>
  <r>
    <s v="JUSTIN"/>
    <s v="03"/>
    <s v="CPSWACHU"/>
    <s v="WAUCHULA"/>
    <x v="146"/>
    <x v="6"/>
    <x v="1"/>
    <s v="Invoice"/>
    <s v="97081"/>
    <x v="34"/>
    <x v="29"/>
    <x v="26"/>
    <x v="0"/>
    <n v="180"/>
  </r>
  <r>
    <s v="JUSTIN"/>
    <s v="03"/>
    <s v="CPSWACHU"/>
    <s v="WAUCHULA"/>
    <x v="137"/>
    <x v="6"/>
    <x v="1"/>
    <s v="Invoice"/>
    <s v="97095"/>
    <x v="35"/>
    <x v="30"/>
    <x v="27"/>
    <x v="0"/>
    <n v="180"/>
  </r>
  <r>
    <s v="JUSTIN"/>
    <s v="03"/>
    <s v="FLORIDAF"/>
    <s v="FLORIDA FERTILI"/>
    <x v="137"/>
    <x v="6"/>
    <x v="1"/>
    <s v="Invoice"/>
    <s v="97096"/>
    <x v="135"/>
    <x v="121"/>
    <x v="51"/>
    <x v="0"/>
    <n v="500"/>
  </r>
  <r>
    <s v="JUSTIN"/>
    <s v="03"/>
    <s v="TRIANGLE"/>
    <s v="TRIANGLE/LAKEPL"/>
    <x v="137"/>
    <x v="6"/>
    <x v="1"/>
    <s v="Invoice"/>
    <s v="97104"/>
    <x v="100"/>
    <x v="94"/>
    <x v="41"/>
    <x v="0"/>
    <n v="250"/>
  </r>
  <r>
    <s v="JUSTIN"/>
    <s v="03"/>
    <s v="GRIFFINF"/>
    <s v="FROSTPROOF"/>
    <x v="147"/>
    <x v="6"/>
    <x v="1"/>
    <s v="Invoice"/>
    <s v="97112"/>
    <x v="96"/>
    <x v="90"/>
    <x v="39"/>
    <x v="0"/>
    <n v="180"/>
  </r>
  <r>
    <s v="JUSTIN"/>
    <s v="03"/>
    <s v="COUNCILO"/>
    <s v="COUNCIL-OXFORD"/>
    <x v="147"/>
    <x v="6"/>
    <x v="1"/>
    <s v="Invoice"/>
    <s v="97113"/>
    <x v="34"/>
    <x v="29"/>
    <x v="26"/>
    <x v="0"/>
    <n v="180"/>
  </r>
  <r>
    <s v="JUSTIN"/>
    <s v="03"/>
    <s v="TRIANGLE"/>
    <s v="TRIANGLE/LAKEPL"/>
    <x v="147"/>
    <x v="6"/>
    <x v="1"/>
    <s v="Invoice"/>
    <s v="97120"/>
    <x v="136"/>
    <x v="111"/>
    <x v="46"/>
    <x v="0"/>
    <n v="180"/>
  </r>
  <r>
    <s v="JUSTIN"/>
    <s v="03"/>
    <s v="CPSWAVER"/>
    <s v="WAVERLY"/>
    <x v="138"/>
    <x v="6"/>
    <x v="1"/>
    <s v="Invoice"/>
    <s v="97126"/>
    <x v="264"/>
    <x v="156"/>
    <x v="9"/>
    <x v="0"/>
    <n v="250"/>
  </r>
  <r>
    <s v="JUSTIN"/>
    <s v="03"/>
    <s v="CPSWAVER"/>
    <s v="WAVERLY"/>
    <x v="138"/>
    <x v="6"/>
    <x v="1"/>
    <s v="Invoice"/>
    <s v="97127"/>
    <x v="191"/>
    <x v="169"/>
    <x v="61"/>
    <x v="0"/>
    <n v="360"/>
  </r>
  <r>
    <s v="JUSTIN"/>
    <s v="03"/>
    <s v="CPSFTPIE"/>
    <s v="FT. PIERCE"/>
    <x v="138"/>
    <x v="6"/>
    <x v="1"/>
    <s v="Invoice"/>
    <s v="97128"/>
    <x v="197"/>
    <x v="31"/>
    <x v="4"/>
    <x v="0"/>
    <n v="500"/>
  </r>
  <r>
    <s v="JUSTIN"/>
    <s v="03"/>
    <s v="CPSFTPIE"/>
    <s v="FT. PIERCE"/>
    <x v="138"/>
    <x v="6"/>
    <x v="1"/>
    <s v="Invoice"/>
    <s v="97129"/>
    <x v="197"/>
    <x v="31"/>
    <x v="4"/>
    <x v="0"/>
    <n v="500"/>
  </r>
  <r>
    <s v="JUSTIN"/>
    <s v="03"/>
    <s v="TRIANGLE"/>
    <s v="GROVELAND"/>
    <x v="138"/>
    <x v="6"/>
    <x v="1"/>
    <s v="Invoice"/>
    <s v="97133"/>
    <x v="36"/>
    <x v="31"/>
    <x v="4"/>
    <x v="0"/>
    <n v="180"/>
  </r>
  <r>
    <s v="JUSTIN"/>
    <s v="03"/>
    <s v="TRIANGLE"/>
    <s v="TRIANGLE/LAKEPL"/>
    <x v="139"/>
    <x v="6"/>
    <x v="1"/>
    <s v="Invoice"/>
    <s v="97144"/>
    <x v="136"/>
    <x v="111"/>
    <x v="46"/>
    <x v="0"/>
    <n v="1080"/>
  </r>
  <r>
    <s v="JUSTIN"/>
    <s v="03"/>
    <s v="CPSWACHU"/>
    <s v="WAUCHULA"/>
    <x v="140"/>
    <x v="6"/>
    <x v="1"/>
    <s v="Invoice"/>
    <s v="97157"/>
    <x v="34"/>
    <x v="29"/>
    <x v="26"/>
    <x v="0"/>
    <n v="360"/>
  </r>
  <r>
    <s v="JUSTIN"/>
    <s v="03"/>
    <s v="TRIANGLE"/>
    <s v="LAKEWALES"/>
    <x v="134"/>
    <x v="6"/>
    <x v="1"/>
    <s v="Invoice"/>
    <s v="97184"/>
    <x v="262"/>
    <x v="232"/>
    <x v="22"/>
    <x v="2"/>
    <n v="10.0075"/>
  </r>
  <r>
    <s v="JUSTIN"/>
    <s v="03"/>
    <s v="TRIANGLE"/>
    <s v="LAKEWALES"/>
    <x v="134"/>
    <x v="6"/>
    <x v="1"/>
    <s v="Invoice"/>
    <s v="97185"/>
    <x v="263"/>
    <x v="233"/>
    <x v="22"/>
    <x v="2"/>
    <n v="10.015000000000001"/>
  </r>
  <r>
    <s v="JUSTIN"/>
    <s v="03"/>
    <s v="FLORIDAF"/>
    <s v="FLORIDA FERTILI"/>
    <x v="134"/>
    <x v="6"/>
    <x v="1"/>
    <s v="Invoice"/>
    <s v="97191"/>
    <x v="5"/>
    <x v="72"/>
    <x v="4"/>
    <x v="0"/>
    <n v="240"/>
  </r>
  <r>
    <s v="JUSTIN"/>
    <s v="03"/>
    <s v="COUNCILO"/>
    <s v="COUNCIL-OXFORD"/>
    <x v="135"/>
    <x v="6"/>
    <x v="1"/>
    <s v="Invoice"/>
    <s v="97192"/>
    <x v="34"/>
    <x v="29"/>
    <x v="26"/>
    <x v="0"/>
    <n v="180"/>
  </r>
  <r>
    <s v="JUSTIN"/>
    <s v="03"/>
    <s v="GRIFFINF"/>
    <s v="FROSTPROOF"/>
    <x v="134"/>
    <x v="6"/>
    <x v="1"/>
    <s v="Invoice"/>
    <s v="97193A"/>
    <x v="36"/>
    <x v="31"/>
    <x v="4"/>
    <x v="0"/>
    <n v="900"/>
  </r>
  <r>
    <s v="JUSTIN"/>
    <s v="03"/>
    <s v="GRIFFINF"/>
    <s v="FROSTPROOF"/>
    <x v="134"/>
    <x v="6"/>
    <x v="1"/>
    <s v="Invoice"/>
    <s v="97193A"/>
    <x v="197"/>
    <x v="31"/>
    <x v="4"/>
    <x v="0"/>
    <n v="250"/>
  </r>
  <r>
    <s v="JUSTIN"/>
    <s v="03"/>
    <s v="BIGEARTH"/>
    <s v="FRUITVILLE"/>
    <x v="134"/>
    <x v="6"/>
    <x v="1"/>
    <s v="Invoice"/>
    <s v="97195"/>
    <x v="22"/>
    <x v="69"/>
    <x v="17"/>
    <x v="0"/>
    <n v="65"/>
  </r>
  <r>
    <s v="JUSTIN"/>
    <s v="03"/>
    <s v="GRIFFINF"/>
    <s v="FROSTPROOF"/>
    <x v="148"/>
    <x v="6"/>
    <x v="1"/>
    <s v="Invoice"/>
    <s v="97209"/>
    <x v="197"/>
    <x v="31"/>
    <x v="4"/>
    <x v="0"/>
    <n v="250"/>
  </r>
  <r>
    <s v="JUSTIN"/>
    <s v="03"/>
    <s v="GRIFFINF"/>
    <s v="FROSTPROOF"/>
    <x v="148"/>
    <x v="6"/>
    <x v="1"/>
    <s v="Invoice"/>
    <s v="97209"/>
    <x v="36"/>
    <x v="31"/>
    <x v="4"/>
    <x v="0"/>
    <n v="900"/>
  </r>
  <r>
    <s v="JUSTIN"/>
    <s v="03"/>
    <s v="CPSWAVER"/>
    <s v="WAVERLY"/>
    <x v="136"/>
    <x v="6"/>
    <x v="1"/>
    <s v="Invoice"/>
    <s v="97217"/>
    <x v="197"/>
    <x v="31"/>
    <x v="4"/>
    <x v="0"/>
    <n v="2000"/>
  </r>
  <r>
    <s v="JUSTIN"/>
    <s v="03"/>
    <s v="CPSWACHU"/>
    <s v="WAUCHULA"/>
    <x v="136"/>
    <x v="6"/>
    <x v="1"/>
    <s v="Invoice"/>
    <s v="97224"/>
    <x v="265"/>
    <x v="234"/>
    <x v="74"/>
    <x v="0"/>
    <n v="90"/>
  </r>
  <r>
    <s v="JUSTIN"/>
    <s v="03"/>
    <s v="CPSWACHU"/>
    <s v="WAUCHULA"/>
    <x v="136"/>
    <x v="6"/>
    <x v="1"/>
    <s v="Invoice"/>
    <s v="97225"/>
    <x v="266"/>
    <x v="234"/>
    <x v="74"/>
    <x v="0"/>
    <n v="500"/>
  </r>
  <r>
    <s v="JUSTIN"/>
    <s v="03"/>
    <s v="CPSPARRI"/>
    <s v="PARRISH"/>
    <x v="136"/>
    <x v="6"/>
    <x v="1"/>
    <s v="Invoice"/>
    <s v="97226"/>
    <x v="34"/>
    <x v="29"/>
    <x v="26"/>
    <x v="0"/>
    <n v="180"/>
  </r>
  <r>
    <s v="JUSTIN"/>
    <s v="03"/>
    <s v="CPSOKEE"/>
    <s v="OKEE-LIQ PLANT"/>
    <x v="149"/>
    <x v="6"/>
    <x v="1"/>
    <s v="Invoice"/>
    <s v="97232"/>
    <x v="134"/>
    <x v="94"/>
    <x v="41"/>
    <x v="0"/>
    <n v="2994"/>
  </r>
  <r>
    <s v="JUSTIN"/>
    <s v="03"/>
    <s v="CPSWACHU"/>
    <s v="WAUCHULA"/>
    <x v="141"/>
    <x v="6"/>
    <x v="1"/>
    <s v="Invoice"/>
    <s v="97262"/>
    <x v="192"/>
    <x v="169"/>
    <x v="61"/>
    <x v="0"/>
    <n v="500"/>
  </r>
  <r>
    <s v="JUSTIN"/>
    <s v="03"/>
    <s v="CPSWACHU"/>
    <s v="WAUCHULA"/>
    <x v="141"/>
    <x v="6"/>
    <x v="1"/>
    <s v="Invoice"/>
    <s v="97262"/>
    <x v="96"/>
    <x v="90"/>
    <x v="39"/>
    <x v="0"/>
    <n v="240"/>
  </r>
  <r>
    <s v="JUSTIN"/>
    <s v="03"/>
    <s v="CPSWAVER"/>
    <s v="WAVERLY"/>
    <x v="141"/>
    <x v="6"/>
    <x v="1"/>
    <s v="Invoice"/>
    <s v="97263"/>
    <x v="175"/>
    <x v="156"/>
    <x v="9"/>
    <x v="0"/>
    <n v="180"/>
  </r>
  <r>
    <s v="JUSTIN"/>
    <s v="03"/>
    <s v="CPSWAVER"/>
    <s v="WAVERLY"/>
    <x v="141"/>
    <x v="6"/>
    <x v="1"/>
    <s v="Invoice"/>
    <s v="97263"/>
    <x v="36"/>
    <x v="31"/>
    <x v="4"/>
    <x v="0"/>
    <n v="180"/>
  </r>
  <r>
    <s v="JUSTIN"/>
    <s v="03"/>
    <s v="TRIANGLE"/>
    <s v="TRIANGLE/LAKEPL"/>
    <x v="142"/>
    <x v="6"/>
    <x v="1"/>
    <s v="Invoice"/>
    <s v="97274"/>
    <x v="170"/>
    <x v="33"/>
    <x v="28"/>
    <x v="0"/>
    <n v="250"/>
  </r>
  <r>
    <s v="JUSTIN"/>
    <s v="03"/>
    <s v="CPSWAVER"/>
    <s v="WAVERLY"/>
    <x v="143"/>
    <x v="6"/>
    <x v="1"/>
    <s v="Invoice"/>
    <s v="97289"/>
    <x v="38"/>
    <x v="30"/>
    <x v="27"/>
    <x v="0"/>
    <n v="500"/>
  </r>
  <r>
    <s v="JUSTIN"/>
    <s v="03"/>
    <s v="GRIFFINF"/>
    <s v="FROSTPROOF"/>
    <x v="143"/>
    <x v="6"/>
    <x v="1"/>
    <s v="Invoice"/>
    <s v="97290"/>
    <x v="36"/>
    <x v="31"/>
    <x v="4"/>
    <x v="0"/>
    <n v="720"/>
  </r>
  <r>
    <s v="JUSTIN"/>
    <s v="03"/>
    <s v="CPSFTPIE"/>
    <s v="FT. PIERCE"/>
    <x v="150"/>
    <x v="6"/>
    <x v="1"/>
    <s v="Invoice"/>
    <s v="97298"/>
    <x v="267"/>
    <x v="235"/>
    <x v="75"/>
    <x v="0"/>
    <n v="70"/>
  </r>
  <r>
    <s v="JUSTIN"/>
    <s v="03"/>
    <s v="CPSFTPIE"/>
    <s v="FT. PIERCE"/>
    <x v="150"/>
    <x v="6"/>
    <x v="1"/>
    <s v="Invoice"/>
    <s v="97299"/>
    <x v="267"/>
    <x v="235"/>
    <x v="75"/>
    <x v="0"/>
    <n v="70"/>
  </r>
  <r>
    <s v="DPOPPELL"/>
    <s v="04"/>
    <s v="SOUTHERNHILL"/>
    <s v="SCHOFIELD"/>
    <x v="144"/>
    <x v="6"/>
    <x v="1"/>
    <s v="Invoice"/>
    <s v="97060"/>
    <x v="43"/>
    <x v="38"/>
    <x v="22"/>
    <x v="2"/>
    <n v="2.4874999999999998"/>
  </r>
  <r>
    <s v="DPOPPELL"/>
    <s v="04"/>
    <s v="GEORGESP"/>
    <s v="TURKEYTREE"/>
    <x v="144"/>
    <x v="6"/>
    <x v="1"/>
    <s v="Invoice"/>
    <s v="97062"/>
    <x v="268"/>
    <x v="236"/>
    <x v="22"/>
    <x v="2"/>
    <n v="1.5"/>
  </r>
  <r>
    <s v="DPOPPELL"/>
    <s v="04"/>
    <s v="SWEETLIFE"/>
    <s v="FOSTERDUKES"/>
    <x v="144"/>
    <x v="6"/>
    <x v="1"/>
    <s v="Invoice"/>
    <s v="97064"/>
    <x v="205"/>
    <x v="181"/>
    <x v="22"/>
    <x v="2"/>
    <n v="4.0075000000000003"/>
  </r>
  <r>
    <s v="DPOPPELL"/>
    <s v="04"/>
    <s v="IFASGULF"/>
    <s v="BALM-STRAWBERRY"/>
    <x v="145"/>
    <x v="6"/>
    <x v="1"/>
    <s v="Invoice"/>
    <s v="97068"/>
    <x v="28"/>
    <x v="23"/>
    <x v="22"/>
    <x v="2"/>
    <n v="7.5149999999999997"/>
  </r>
  <r>
    <s v="DPOPPELL"/>
    <s v="04"/>
    <s v="STEVEMAT"/>
    <s v="DRAWDY"/>
    <x v="145"/>
    <x v="6"/>
    <x v="1"/>
    <s v="Invoice"/>
    <s v="97072"/>
    <x v="110"/>
    <x v="97"/>
    <x v="16"/>
    <x v="0"/>
    <n v="250"/>
  </r>
  <r>
    <s v="DPOPPELL"/>
    <s v="04"/>
    <s v="GILLMANBUDD"/>
    <s v="FORBES"/>
    <x v="145"/>
    <x v="6"/>
    <x v="1"/>
    <s v="Invoice"/>
    <s v="97073"/>
    <x v="63"/>
    <x v="56"/>
    <x v="22"/>
    <x v="2"/>
    <n v="4.9924999999999997"/>
  </r>
  <r>
    <s v="DPOPPELL"/>
    <s v="04"/>
    <s v="SYDNEYFA"/>
    <s v="FORBES/NORTH"/>
    <x v="145"/>
    <x v="6"/>
    <x v="1"/>
    <s v="Invoice"/>
    <s v="97074"/>
    <x v="235"/>
    <x v="211"/>
    <x v="22"/>
    <x v="2"/>
    <n v="7.51"/>
  </r>
  <r>
    <s v="DPOPPELL"/>
    <s v="04"/>
    <s v="GERALDWI"/>
    <s v="TRAPNELL"/>
    <x v="145"/>
    <x v="6"/>
    <x v="1"/>
    <s v="Invoice"/>
    <s v="97075"/>
    <x v="43"/>
    <x v="38"/>
    <x v="22"/>
    <x v="2"/>
    <n v="4.9974999999999996"/>
  </r>
  <r>
    <s v="DPOPPELL"/>
    <s v="04"/>
    <s v="THREESTA"/>
    <s v="WALDEN-SHEFFIEL"/>
    <x v="145"/>
    <x v="6"/>
    <x v="1"/>
    <s v="Invoice"/>
    <s v="97076"/>
    <x v="235"/>
    <x v="211"/>
    <x v="22"/>
    <x v="2"/>
    <n v="12.0875"/>
  </r>
  <r>
    <s v="DPOPPELL"/>
    <s v="04"/>
    <s v="ELIASCEDILLO"/>
    <s v="JESS WALDEN"/>
    <x v="146"/>
    <x v="6"/>
    <x v="1"/>
    <s v="Invoice"/>
    <s v="97078"/>
    <x v="43"/>
    <x v="38"/>
    <x v="22"/>
    <x v="2"/>
    <n v="1.25"/>
  </r>
  <r>
    <s v="DPOPPELL"/>
    <s v="04"/>
    <s v="CHARLIEG-LLC"/>
    <s v="LAMPP ROAD"/>
    <x v="146"/>
    <x v="6"/>
    <x v="1"/>
    <s v="Invoice"/>
    <s v="97080"/>
    <x v="233"/>
    <x v="209"/>
    <x v="22"/>
    <x v="2"/>
    <n v="2.4925000000000002"/>
  </r>
  <r>
    <s v="DPOPPELL"/>
    <s v="04"/>
    <s v="ELIASCEDILLO"/>
    <s v="LITHIA"/>
    <x v="146"/>
    <x v="6"/>
    <x v="1"/>
    <s v="Invoice"/>
    <s v="97082"/>
    <x v="43"/>
    <x v="38"/>
    <x v="22"/>
    <x v="2"/>
    <n v="1.25"/>
  </r>
  <r>
    <s v="DPOPPELL"/>
    <s v="04"/>
    <s v="FLORIDAAG"/>
    <s v="DOVER"/>
    <x v="146"/>
    <x v="6"/>
    <x v="1"/>
    <s v="Invoice"/>
    <s v="97083"/>
    <x v="52"/>
    <x v="45"/>
    <x v="22"/>
    <x v="2"/>
    <n v="0.495"/>
  </r>
  <r>
    <s v="DPOPPELL"/>
    <s v="04"/>
    <s v="ALONSOFARMS"/>
    <s v="SCARPO"/>
    <x v="146"/>
    <x v="6"/>
    <x v="1"/>
    <s v="Invoice"/>
    <s v="97084"/>
    <x v="43"/>
    <x v="38"/>
    <x v="22"/>
    <x v="2"/>
    <n v="2.5049999999999999"/>
  </r>
  <r>
    <s v="DPOPPELL"/>
    <s v="04"/>
    <s v="GUTIERREZDAN"/>
    <s v="TANNER RD."/>
    <x v="146"/>
    <x v="6"/>
    <x v="1"/>
    <s v="Invoice"/>
    <s v="97085"/>
    <x v="58"/>
    <x v="51"/>
    <x v="22"/>
    <x v="2"/>
    <n v="6.5"/>
  </r>
  <r>
    <s v="DPOPPELL"/>
    <s v="04"/>
    <s v="SWEETLIFE"/>
    <s v="KNIGHTS GRIFFIN"/>
    <x v="146"/>
    <x v="6"/>
    <x v="1"/>
    <s v="Invoice"/>
    <s v="97086"/>
    <x v="233"/>
    <x v="209"/>
    <x v="22"/>
    <x v="2"/>
    <n v="5.0025000000000004"/>
  </r>
  <r>
    <s v="DPOPPELL"/>
    <s v="04"/>
    <s v="ELIASCEDILLO"/>
    <s v="JESS WALDEN"/>
    <x v="146"/>
    <x v="6"/>
    <x v="1"/>
    <s v="Invoice"/>
    <s v="97090"/>
    <x v="43"/>
    <x v="38"/>
    <x v="22"/>
    <x v="2"/>
    <n v="1.25"/>
  </r>
  <r>
    <s v="DPOPPELL"/>
    <s v="04"/>
    <s v="SYDNEYFA"/>
    <s v="SYDNEY-WASHER"/>
    <x v="146"/>
    <x v="6"/>
    <x v="1"/>
    <s v="Invoice"/>
    <s v="97092"/>
    <x v="235"/>
    <x v="211"/>
    <x v="22"/>
    <x v="2"/>
    <n v="4.99"/>
  </r>
  <r>
    <s v="DPOPPELL"/>
    <s v="04"/>
    <s v="JOSEHERN"/>
    <s v="DURANT"/>
    <x v="146"/>
    <x v="6"/>
    <x v="1"/>
    <s v="Invoice"/>
    <s v="97093"/>
    <x v="55"/>
    <x v="48"/>
    <x v="22"/>
    <x v="2"/>
    <n v="6.0025000000000004"/>
  </r>
  <r>
    <s v="DPOPPELL"/>
    <s v="04"/>
    <s v="STEVEMAT"/>
    <s v="DRAWDY"/>
    <x v="137"/>
    <x v="6"/>
    <x v="1"/>
    <s v="Invoice"/>
    <s v="97098"/>
    <x v="62"/>
    <x v="55"/>
    <x v="22"/>
    <x v="2"/>
    <n v="1.2549999999999999"/>
  </r>
  <r>
    <s v="DPOPPELL"/>
    <s v="04"/>
    <s v="GUTIERREZA"/>
    <s v="WIAMAUMA"/>
    <x v="137"/>
    <x v="6"/>
    <x v="1"/>
    <s v="Invoice"/>
    <s v="97099"/>
    <x v="43"/>
    <x v="38"/>
    <x v="22"/>
    <x v="2"/>
    <n v="3.5074999999999998"/>
  </r>
  <r>
    <s v="DPOPPELL"/>
    <s v="04"/>
    <s v="IFASGULF"/>
    <s v="BALM-STRAWBERRY"/>
    <x v="137"/>
    <x v="6"/>
    <x v="1"/>
    <s v="Invoice"/>
    <s v="97100"/>
    <x v="28"/>
    <x v="23"/>
    <x v="22"/>
    <x v="2"/>
    <n v="7.5225"/>
  </r>
  <r>
    <s v="DPOPPELL"/>
    <s v="04"/>
    <s v="LARRYENN"/>
    <s v="TRAPNELL ROAD"/>
    <x v="137"/>
    <x v="6"/>
    <x v="1"/>
    <s v="Invoice"/>
    <s v="97101"/>
    <x v="43"/>
    <x v="38"/>
    <x v="22"/>
    <x v="2"/>
    <n v="4.5125000000000002"/>
  </r>
  <r>
    <s v="DPOPPELL"/>
    <s v="04"/>
    <s v="GAONA, ESPER"/>
    <s v="KEENE"/>
    <x v="137"/>
    <x v="6"/>
    <x v="1"/>
    <s v="Invoice"/>
    <s v="97102"/>
    <x v="43"/>
    <x v="38"/>
    <x v="22"/>
    <x v="2"/>
    <n v="2.0024999999999999"/>
  </r>
  <r>
    <s v="DPOPPELL"/>
    <s v="04"/>
    <s v="STEVEMAT"/>
    <s v="DRAWDY"/>
    <x v="137"/>
    <x v="6"/>
    <x v="1"/>
    <s v="Invoice"/>
    <s v="97106"/>
    <x v="110"/>
    <x v="97"/>
    <x v="16"/>
    <x v="0"/>
    <n v="500"/>
  </r>
  <r>
    <s v="DPOPPELL"/>
    <s v="04"/>
    <s v="GERALDWI"/>
    <s v="WALDENSHEFFIELD"/>
    <x v="147"/>
    <x v="6"/>
    <x v="1"/>
    <s v="Invoice"/>
    <s v="97115"/>
    <x v="43"/>
    <x v="38"/>
    <x v="22"/>
    <x v="2"/>
    <n v="10.0025"/>
  </r>
  <r>
    <s v="DPOPPELL"/>
    <s v="04"/>
    <s v="SANCHEZFARM"/>
    <s v="FORBES-N"/>
    <x v="147"/>
    <x v="6"/>
    <x v="1"/>
    <s v="Invoice"/>
    <s v="97116"/>
    <x v="43"/>
    <x v="38"/>
    <x v="22"/>
    <x v="2"/>
    <n v="3.5150000000000001"/>
  </r>
  <r>
    <s v="DPOPPELL"/>
    <s v="04"/>
    <s v="SPIVEYFA"/>
    <s v="HOPEWELL"/>
    <x v="147"/>
    <x v="6"/>
    <x v="1"/>
    <s v="Invoice"/>
    <s v="97117"/>
    <x v="56"/>
    <x v="49"/>
    <x v="22"/>
    <x v="2"/>
    <n v="3.5"/>
  </r>
  <r>
    <s v="DPOPPELL"/>
    <s v="04"/>
    <s v="MIDWAYF"/>
    <s v="WILDER RD."/>
    <x v="147"/>
    <x v="6"/>
    <x v="1"/>
    <s v="Invoice"/>
    <s v="97118"/>
    <x v="233"/>
    <x v="209"/>
    <x v="22"/>
    <x v="2"/>
    <n v="7.5225"/>
  </r>
  <r>
    <s v="DPOPPELL"/>
    <s v="04"/>
    <s v="MIKELOTT"/>
    <s v="HILLSBOROUGH"/>
    <x v="147"/>
    <x v="6"/>
    <x v="1"/>
    <s v="Invoice"/>
    <s v="97119"/>
    <x v="43"/>
    <x v="38"/>
    <x v="22"/>
    <x v="2"/>
    <n v="4.9974999999999996"/>
  </r>
  <r>
    <s v=""/>
    <s v="04"/>
    <s v="SOTERO"/>
    <s v="SOTERO"/>
    <x v="147"/>
    <x v="6"/>
    <x v="1"/>
    <s v="Invoice"/>
    <s v="97121"/>
    <x v="53"/>
    <x v="46"/>
    <x v="22"/>
    <x v="2"/>
    <n v="0.3"/>
  </r>
  <r>
    <s v=""/>
    <s v="04"/>
    <s v="PORTER HA"/>
    <s v="PASTURE"/>
    <x v="147"/>
    <x v="6"/>
    <x v="1"/>
    <s v="Invoice"/>
    <s v="97123"/>
    <x v="233"/>
    <x v="209"/>
    <x v="22"/>
    <x v="2"/>
    <n v="5"/>
  </r>
  <r>
    <s v="DPOPPELL"/>
    <s v="04"/>
    <s v="JOEPENA"/>
    <s v="HWY 92"/>
    <x v="147"/>
    <x v="6"/>
    <x v="1"/>
    <s v="Invoice"/>
    <s v="97125"/>
    <x v="114"/>
    <x v="101"/>
    <x v="22"/>
    <x v="2"/>
    <n v="1"/>
  </r>
  <r>
    <s v="DPOPPELL"/>
    <s v="04"/>
    <s v="THREESTA"/>
    <s v="WALDEN-SHEFFIEL"/>
    <x v="147"/>
    <x v="6"/>
    <x v="1"/>
    <s v="Invoice"/>
    <s v="97130"/>
    <x v="235"/>
    <x v="211"/>
    <x v="22"/>
    <x v="2"/>
    <n v="8"/>
  </r>
  <r>
    <s v="DPOPPELL"/>
    <s v="04"/>
    <s v="CIRCLEGF&amp;R LLC"/>
    <s v="KNIGHTS-N/NORTH"/>
    <x v="147"/>
    <x v="6"/>
    <x v="1"/>
    <s v="Invoice"/>
    <s v="97131"/>
    <x v="233"/>
    <x v="209"/>
    <x v="22"/>
    <x v="2"/>
    <n v="6.0374999999999996"/>
  </r>
  <r>
    <s v="DPOPPELL"/>
    <s v="04"/>
    <s v="SRISAIAY"/>
    <s v="SYDNEY DOVER"/>
    <x v="138"/>
    <x v="6"/>
    <x v="1"/>
    <s v="Invoice"/>
    <s v="97132"/>
    <x v="233"/>
    <x v="209"/>
    <x v="22"/>
    <x v="2"/>
    <n v="2.4550000000000001"/>
  </r>
  <r>
    <s v="DPOPPELL"/>
    <s v="04"/>
    <s v="MIDWAYF"/>
    <s v="HAGGERTY ROAD"/>
    <x v="138"/>
    <x v="6"/>
    <x v="1"/>
    <s v="Invoice"/>
    <s v="97134"/>
    <x v="233"/>
    <x v="209"/>
    <x v="22"/>
    <x v="2"/>
    <n v="2.5"/>
  </r>
  <r>
    <s v="DPOPPELL"/>
    <s v="04"/>
    <s v="MIDWAYF"/>
    <s v="ALS - SOUTH"/>
    <x v="138"/>
    <x v="6"/>
    <x v="1"/>
    <s v="Invoice"/>
    <s v="97138"/>
    <x v="233"/>
    <x v="209"/>
    <x v="22"/>
    <x v="2"/>
    <n v="1.9824999999999999"/>
  </r>
  <r>
    <s v="DPOPPELL"/>
    <s v="04"/>
    <s v="GAONA, ESPER"/>
    <s v="SMOKINACES"/>
    <x v="138"/>
    <x v="6"/>
    <x v="1"/>
    <s v="Invoice"/>
    <s v="97139"/>
    <x v="43"/>
    <x v="38"/>
    <x v="22"/>
    <x v="2"/>
    <n v="2.76"/>
  </r>
  <r>
    <s v="DPOPPELL"/>
    <s v="04"/>
    <s v="GUTIERREZA"/>
    <s v="WASHINGTON"/>
    <x v="138"/>
    <x v="6"/>
    <x v="1"/>
    <s v="Invoice"/>
    <s v="97140"/>
    <x v="43"/>
    <x v="38"/>
    <x v="22"/>
    <x v="2"/>
    <n v="3.9950000000000001"/>
  </r>
  <r>
    <s v="DPOPPELL"/>
    <s v="04"/>
    <s v="JOSEHERN"/>
    <s v="KEYSVILLE N"/>
    <x v="138"/>
    <x v="6"/>
    <x v="1"/>
    <s v="Invoice"/>
    <s v="97141"/>
    <x v="43"/>
    <x v="38"/>
    <x v="22"/>
    <x v="2"/>
    <n v="8.0024999999999995"/>
  </r>
  <r>
    <s v="DPOPPELL"/>
    <s v="04"/>
    <s v="VELASCONAZARIO"/>
    <s v="MAIN"/>
    <x v="139"/>
    <x v="6"/>
    <x v="1"/>
    <s v="Invoice"/>
    <s v="97143"/>
    <x v="43"/>
    <x v="38"/>
    <x v="22"/>
    <x v="2"/>
    <n v="0.5"/>
  </r>
  <r>
    <s v="DPOPPELL"/>
    <s v="04"/>
    <s v="PARKESDA"/>
    <s v="BLACKBERRIES"/>
    <x v="139"/>
    <x v="6"/>
    <x v="1"/>
    <s v="Invoice"/>
    <s v="97145"/>
    <x v="65"/>
    <x v="58"/>
    <x v="22"/>
    <x v="2"/>
    <n v="2.5"/>
  </r>
  <r>
    <s v="DPOPPELL"/>
    <s v="04"/>
    <s v="M&amp;GFARMS"/>
    <s v="ALLENRD"/>
    <x v="139"/>
    <x v="6"/>
    <x v="1"/>
    <s v="Invoice"/>
    <s v="97147"/>
    <x v="58"/>
    <x v="51"/>
    <x v="22"/>
    <x v="2"/>
    <n v="11"/>
  </r>
  <r>
    <s v="DPOPPELL"/>
    <s v="04"/>
    <s v="FERRISFA"/>
    <s v="BLUEBERRY-NEW"/>
    <x v="139"/>
    <x v="6"/>
    <x v="1"/>
    <s v="Invoice"/>
    <s v="97148"/>
    <x v="62"/>
    <x v="55"/>
    <x v="22"/>
    <x v="2"/>
    <n v="15.03"/>
  </r>
  <r>
    <s v="DPOPPELL"/>
    <s v="04"/>
    <s v="SYDNEYFA"/>
    <s v="FORBES ROAD"/>
    <x v="139"/>
    <x v="6"/>
    <x v="1"/>
    <s v="Invoice"/>
    <s v="97149"/>
    <x v="269"/>
    <x v="237"/>
    <x v="22"/>
    <x v="2"/>
    <n v="7.5125000000000002"/>
  </r>
  <r>
    <s v="DPOPPELL"/>
    <s v="04"/>
    <s v="M&amp;GFARMS"/>
    <s v="HAREFAMILYLN"/>
    <x v="139"/>
    <x v="6"/>
    <x v="1"/>
    <s v="Invoice"/>
    <s v="97150"/>
    <x v="58"/>
    <x v="51"/>
    <x v="22"/>
    <x v="2"/>
    <n v="9"/>
  </r>
  <r>
    <s v="DPOPPELL"/>
    <s v="04"/>
    <s v="THREESTA"/>
    <s v="WALDEN-SHEFFIEL"/>
    <x v="139"/>
    <x v="6"/>
    <x v="1"/>
    <s v="Invoice"/>
    <s v="97153"/>
    <x v="269"/>
    <x v="237"/>
    <x v="22"/>
    <x v="2"/>
    <n v="10.01"/>
  </r>
  <r>
    <s v="DPOPPELL"/>
    <s v="04"/>
    <s v="PEPPERBERRY"/>
    <s v="SPARKMAN/N"/>
    <x v="140"/>
    <x v="6"/>
    <x v="1"/>
    <s v="Invoice"/>
    <s v="97154"/>
    <x v="43"/>
    <x v="38"/>
    <x v="22"/>
    <x v="2"/>
    <n v="11.0175"/>
  </r>
  <r>
    <s v="DPOPPELL"/>
    <s v="04"/>
    <s v="GUTIERREZA"/>
    <s v="TOMGALLAGHER"/>
    <x v="140"/>
    <x v="6"/>
    <x v="1"/>
    <s v="Invoice"/>
    <s v="97158"/>
    <x v="43"/>
    <x v="38"/>
    <x v="22"/>
    <x v="2"/>
    <n v="6"/>
  </r>
  <r>
    <s v="DPOPPELL"/>
    <s v="04"/>
    <s v="GUTIERREZA"/>
    <s v="JOE KING RD"/>
    <x v="140"/>
    <x v="6"/>
    <x v="1"/>
    <s v="Invoice"/>
    <s v="97159"/>
    <x v="58"/>
    <x v="51"/>
    <x v="22"/>
    <x v="2"/>
    <n v="3.5"/>
  </r>
  <r>
    <s v="DPOPPELL"/>
    <s v="04"/>
    <s v="SOUTHERNHILL"/>
    <s v="SCHOFIELD"/>
    <x v="140"/>
    <x v="6"/>
    <x v="1"/>
    <s v="Invoice"/>
    <s v="97160"/>
    <x v="43"/>
    <x v="38"/>
    <x v="22"/>
    <x v="2"/>
    <n v="1.2549999999999999"/>
  </r>
  <r>
    <s v="DPOPPELL"/>
    <s v="04"/>
    <s v="JOEPENA"/>
    <s v="JIMREDMAN"/>
    <x v="140"/>
    <x v="6"/>
    <x v="1"/>
    <s v="Invoice"/>
    <s v="97161"/>
    <x v="55"/>
    <x v="48"/>
    <x v="22"/>
    <x v="2"/>
    <n v="1"/>
  </r>
  <r>
    <s v="DPOPPELL"/>
    <s v="04"/>
    <s v="M&amp;GFARMS"/>
    <s v="RED BARN"/>
    <x v="140"/>
    <x v="6"/>
    <x v="1"/>
    <s v="Invoice"/>
    <s v="97167"/>
    <x v="58"/>
    <x v="51"/>
    <x v="22"/>
    <x v="2"/>
    <n v="8.0075000000000003"/>
  </r>
  <r>
    <s v="DPOPPELL"/>
    <s v="04"/>
    <s v="MENDOZAHEC"/>
    <s v="HWY60"/>
    <x v="140"/>
    <x v="6"/>
    <x v="1"/>
    <s v="Invoice"/>
    <s v="97168"/>
    <x v="43"/>
    <x v="38"/>
    <x v="22"/>
    <x v="2"/>
    <n v="3.5125000000000002"/>
  </r>
  <r>
    <s v="DPOPPELL"/>
    <s v="04"/>
    <s v="FILEMONMARTINEZ"/>
    <s v="MAILING"/>
    <x v="140"/>
    <x v="6"/>
    <x v="1"/>
    <s v="Invoice"/>
    <s v="97169"/>
    <x v="43"/>
    <x v="38"/>
    <x v="22"/>
    <x v="2"/>
    <n v="3.75"/>
  </r>
  <r>
    <s v="DPOPPELL"/>
    <s v="04"/>
    <s v="GAONA, ESPER"/>
    <s v="WILLIAMSRD"/>
    <x v="151"/>
    <x v="6"/>
    <x v="1"/>
    <s v="Invoice"/>
    <s v="97171"/>
    <x v="43"/>
    <x v="38"/>
    <x v="22"/>
    <x v="2"/>
    <n v="2.4950000000000001"/>
  </r>
  <r>
    <s v="DPOPPELL"/>
    <s v="04"/>
    <s v="CHARLIEG-LLC"/>
    <s v="ALBRITTON"/>
    <x v="151"/>
    <x v="6"/>
    <x v="1"/>
    <s v="Invoice"/>
    <s v="97172"/>
    <x v="233"/>
    <x v="209"/>
    <x v="22"/>
    <x v="2"/>
    <n v="11.805"/>
  </r>
  <r>
    <s v="DPOPPELL"/>
    <s v="04"/>
    <s v="PALMAJOSE"/>
    <s v="JAUDON RD"/>
    <x v="151"/>
    <x v="6"/>
    <x v="1"/>
    <s v="Invoice"/>
    <s v="97174"/>
    <x v="270"/>
    <x v="238"/>
    <x v="22"/>
    <x v="2"/>
    <n v="1.25"/>
  </r>
  <r>
    <s v="DPOPPELL"/>
    <s v="04"/>
    <s v="GUTIERREZA"/>
    <s v="WIAMAUMA"/>
    <x v="151"/>
    <x v="6"/>
    <x v="1"/>
    <s v="Invoice"/>
    <s v="97176"/>
    <x v="43"/>
    <x v="38"/>
    <x v="22"/>
    <x v="2"/>
    <n v="5"/>
  </r>
  <r>
    <s v="DPOPPELL"/>
    <s v="04"/>
    <s v="IFASGULF"/>
    <s v="BALM-STRAWBERRY"/>
    <x v="151"/>
    <x v="6"/>
    <x v="1"/>
    <s v="Invoice"/>
    <s v="97177"/>
    <x v="28"/>
    <x v="23"/>
    <x v="22"/>
    <x v="2"/>
    <n v="7.51"/>
  </r>
  <r>
    <s v="DPOPPELL"/>
    <s v="04"/>
    <s v="GUTIERREZDAN"/>
    <s v="PEPPERFIELD"/>
    <x v="134"/>
    <x v="6"/>
    <x v="1"/>
    <s v="Invoice"/>
    <s v="97179"/>
    <x v="58"/>
    <x v="51"/>
    <x v="22"/>
    <x v="2"/>
    <n v="7.0125000000000002"/>
  </r>
  <r>
    <s v="DPOPPELL"/>
    <s v="04"/>
    <s v="SYDNEYFA"/>
    <s v="SYDNEY-WASHER"/>
    <x v="134"/>
    <x v="6"/>
    <x v="1"/>
    <s v="Invoice"/>
    <s v="97180"/>
    <x v="269"/>
    <x v="237"/>
    <x v="22"/>
    <x v="2"/>
    <n v="7.5"/>
  </r>
  <r>
    <s v="DPOPPELL"/>
    <s v="04"/>
    <s v="FLORIDAAG"/>
    <s v="KINGSWAY"/>
    <x v="134"/>
    <x v="6"/>
    <x v="1"/>
    <s v="Invoice"/>
    <s v="97181"/>
    <x v="52"/>
    <x v="45"/>
    <x v="22"/>
    <x v="2"/>
    <n v="2.2400000000000002"/>
  </r>
  <r>
    <s v="DPOPPELL"/>
    <s v="04"/>
    <s v="GUTIERREZDAN"/>
    <s v="COOLER"/>
    <x v="134"/>
    <x v="6"/>
    <x v="1"/>
    <s v="Invoice"/>
    <s v="97182"/>
    <x v="58"/>
    <x v="51"/>
    <x v="22"/>
    <x v="2"/>
    <n v="2.5"/>
  </r>
  <r>
    <s v="DPOPPELL"/>
    <s v="04"/>
    <s v="TECHFARM"/>
    <s v="SYDNEYDOVER"/>
    <x v="134"/>
    <x v="6"/>
    <x v="1"/>
    <s v="Invoice"/>
    <s v="97183"/>
    <x v="28"/>
    <x v="23"/>
    <x v="22"/>
    <x v="2"/>
    <n v="2.5"/>
  </r>
  <r>
    <s v="DPOPPELL"/>
    <s v="04"/>
    <s v="ELIASCEDILLO"/>
    <s v="LITHIA"/>
    <x v="134"/>
    <x v="6"/>
    <x v="1"/>
    <s v="Invoice"/>
    <s v="97186"/>
    <x v="43"/>
    <x v="38"/>
    <x v="22"/>
    <x v="2"/>
    <n v="2"/>
  </r>
  <r>
    <s v="DPOPPELL"/>
    <s v="04"/>
    <s v="PURLEYNK"/>
    <s v="MAIN"/>
    <x v="134"/>
    <x v="6"/>
    <x v="1"/>
    <s v="Invoice"/>
    <s v="97187"/>
    <x v="28"/>
    <x v="23"/>
    <x v="22"/>
    <x v="2"/>
    <n v="0.54500000000000004"/>
  </r>
  <r>
    <s v="DPOPPELL"/>
    <s v="04"/>
    <s v="CIRCLEGF&amp;R LLC"/>
    <s v="KNIGHTS-S/E"/>
    <x v="134"/>
    <x v="6"/>
    <x v="1"/>
    <s v="Invoice"/>
    <s v="97188"/>
    <x v="233"/>
    <x v="209"/>
    <x v="22"/>
    <x v="2"/>
    <n v="6.0274999999999999"/>
  </r>
  <r>
    <s v="DPOPPELL"/>
    <s v="04"/>
    <s v="SYDNEYFA"/>
    <s v="FORBES/NORTH"/>
    <x v="134"/>
    <x v="6"/>
    <x v="1"/>
    <s v="Invoice"/>
    <s v="97189"/>
    <x v="269"/>
    <x v="237"/>
    <x v="22"/>
    <x v="2"/>
    <n v="5.0125000000000002"/>
  </r>
  <r>
    <s v=""/>
    <s v="04"/>
    <s v="ALVAREZJ"/>
    <s v="MOORESLAKE"/>
    <x v="134"/>
    <x v="6"/>
    <x v="1"/>
    <s v="Invoice"/>
    <s v="97196"/>
    <x v="68"/>
    <x v="61"/>
    <x v="22"/>
    <x v="2"/>
    <n v="5"/>
  </r>
  <r>
    <s v=""/>
    <s v="04"/>
    <s v="ALVAREZJ"/>
    <s v="MOORESLAKE"/>
    <x v="135"/>
    <x v="6"/>
    <x v="1"/>
    <s v="Invoice"/>
    <s v="97197"/>
    <x v="271"/>
    <x v="123"/>
    <x v="0"/>
    <x v="0"/>
    <n v="15"/>
  </r>
  <r>
    <s v="DPOPPELL"/>
    <s v="04"/>
    <s v="MIKELOTT"/>
    <s v="HILLSBOROUGH/E"/>
    <x v="135"/>
    <x v="6"/>
    <x v="1"/>
    <s v="Invoice"/>
    <s v="97200"/>
    <x v="43"/>
    <x v="38"/>
    <x v="22"/>
    <x v="2"/>
    <n v="2.5"/>
  </r>
  <r>
    <s v="DPOPPELL"/>
    <s v="04"/>
    <s v="GILLMANBUDD"/>
    <s v="FORBES"/>
    <x v="135"/>
    <x v="6"/>
    <x v="1"/>
    <s v="Invoice"/>
    <s v="97201"/>
    <x v="43"/>
    <x v="38"/>
    <x v="22"/>
    <x v="2"/>
    <n v="2.0175000000000001"/>
  </r>
  <r>
    <s v="DPOPPELL"/>
    <s v="04"/>
    <s v="THREESTA"/>
    <s v="WALDEN-SHEFFIEL"/>
    <x v="135"/>
    <x v="6"/>
    <x v="1"/>
    <s v="Invoice"/>
    <s v="97202"/>
    <x v="269"/>
    <x v="237"/>
    <x v="22"/>
    <x v="2"/>
    <n v="12.02"/>
  </r>
  <r>
    <s v="DPOPPELL"/>
    <s v="04"/>
    <s v="MIDWAYF"/>
    <s v="FORBES"/>
    <x v="135"/>
    <x v="6"/>
    <x v="1"/>
    <s v="Invoice"/>
    <s v="97207"/>
    <x v="233"/>
    <x v="209"/>
    <x v="22"/>
    <x v="2"/>
    <n v="2.2450000000000001"/>
  </r>
  <r>
    <s v="DPOPPELL"/>
    <s v="04"/>
    <s v="SANCHEZFARM"/>
    <s v="SOUTH FORBES"/>
    <x v="135"/>
    <x v="6"/>
    <x v="1"/>
    <s v="Invoice"/>
    <s v="97208"/>
    <x v="43"/>
    <x v="38"/>
    <x v="22"/>
    <x v="2"/>
    <n v="1.2549999999999999"/>
  </r>
  <r>
    <s v=""/>
    <s v="04"/>
    <s v="BLUEGOLD"/>
    <s v="MAIN"/>
    <x v="148"/>
    <x v="6"/>
    <x v="1"/>
    <s v="Invoice"/>
    <s v="97210"/>
    <x v="155"/>
    <x v="137"/>
    <x v="22"/>
    <x v="2"/>
    <n v="0.5"/>
  </r>
  <r>
    <s v="DPOPPELL"/>
    <s v="04"/>
    <s v="ROQUEFARMS"/>
    <s v="MEEKHORIZON"/>
    <x v="148"/>
    <x v="6"/>
    <x v="1"/>
    <s v="Invoice"/>
    <s v="97211"/>
    <x v="43"/>
    <x v="38"/>
    <x v="22"/>
    <x v="2"/>
    <n v="5"/>
  </r>
  <r>
    <s v=""/>
    <s v="04"/>
    <s v="SOTERO"/>
    <s v="SOTERO"/>
    <x v="148"/>
    <x v="6"/>
    <x v="1"/>
    <s v="Invoice"/>
    <s v="97212"/>
    <x v="53"/>
    <x v="46"/>
    <x v="22"/>
    <x v="2"/>
    <n v="0.3"/>
  </r>
  <r>
    <s v="DPOPPELL"/>
    <s v="04"/>
    <s v="FAVORITE"/>
    <s v="BETHLEHEM ROAD"/>
    <x v="148"/>
    <x v="6"/>
    <x v="1"/>
    <s v="Invoice"/>
    <s v="97213"/>
    <x v="43"/>
    <x v="38"/>
    <x v="22"/>
    <x v="2"/>
    <n v="5"/>
  </r>
  <r>
    <s v="DPOPPELL"/>
    <s v="04"/>
    <s v="MIDWAYF"/>
    <s v="ALS - SOUTH"/>
    <x v="148"/>
    <x v="6"/>
    <x v="1"/>
    <s v="Invoice"/>
    <s v="97216"/>
    <x v="233"/>
    <x v="209"/>
    <x v="22"/>
    <x v="2"/>
    <n v="5"/>
  </r>
  <r>
    <s v="DPOPPELL"/>
    <s v="04"/>
    <s v="SWEETLIFE"/>
    <s v="KNIGHTS GRIFFIN"/>
    <x v="136"/>
    <x v="6"/>
    <x v="1"/>
    <s v="Invoice"/>
    <s v="97219"/>
    <x v="233"/>
    <x v="209"/>
    <x v="22"/>
    <x v="2"/>
    <n v="4.9950000000000001"/>
  </r>
  <r>
    <s v="DPOPPELL"/>
    <s v="04"/>
    <s v="SWEETLIFE"/>
    <s v="KNIGHTS GRIFFIN"/>
    <x v="136"/>
    <x v="6"/>
    <x v="1"/>
    <s v="Invoice"/>
    <s v="97220"/>
    <x v="233"/>
    <x v="209"/>
    <x v="22"/>
    <x v="2"/>
    <n v="15.02"/>
  </r>
  <r>
    <s v="DPOPPELL"/>
    <s v="04"/>
    <s v="ELIASCEDILLO"/>
    <s v="GALLAGHER"/>
    <x v="136"/>
    <x v="6"/>
    <x v="1"/>
    <s v="Invoice"/>
    <s v="97221"/>
    <x v="43"/>
    <x v="38"/>
    <x v="22"/>
    <x v="2"/>
    <n v="1"/>
  </r>
  <r>
    <s v="DPOPPELL"/>
    <s v="04"/>
    <s v="ALONSOFARMS"/>
    <s v="IKESMITH"/>
    <x v="136"/>
    <x v="6"/>
    <x v="1"/>
    <s v="Invoice"/>
    <s v="97222"/>
    <x v="43"/>
    <x v="38"/>
    <x v="22"/>
    <x v="2"/>
    <n v="8.0050000000000008"/>
  </r>
  <r>
    <s v="DPOPPELL"/>
    <s v="04"/>
    <s v="ALVAREZJ"/>
    <s v="ROGERS"/>
    <x v="136"/>
    <x v="6"/>
    <x v="1"/>
    <s v="Invoice"/>
    <s v="97223"/>
    <x v="68"/>
    <x v="61"/>
    <x v="22"/>
    <x v="2"/>
    <n v="2"/>
  </r>
  <r>
    <s v="DPOPPELL"/>
    <s v="04"/>
    <s v="MIKELOTT"/>
    <s v="HILLSBOROUGH"/>
    <x v="136"/>
    <x v="6"/>
    <x v="1"/>
    <s v="Invoice"/>
    <s v="97228"/>
    <x v="272"/>
    <x v="239"/>
    <x v="22"/>
    <x v="2"/>
    <n v="7.5"/>
  </r>
  <r>
    <s v=""/>
    <s v="04"/>
    <s v="PORTER HA"/>
    <s v="PASTURE"/>
    <x v="136"/>
    <x v="6"/>
    <x v="1"/>
    <s v="Invoice"/>
    <s v="97229"/>
    <x v="233"/>
    <x v="209"/>
    <x v="22"/>
    <x v="2"/>
    <n v="4"/>
  </r>
  <r>
    <s v="DPOPPELL"/>
    <s v="04"/>
    <s v="JOSEHERN"/>
    <s v="DURANT"/>
    <x v="149"/>
    <x v="6"/>
    <x v="1"/>
    <s v="Invoice"/>
    <s v="97231"/>
    <x v="55"/>
    <x v="48"/>
    <x v="22"/>
    <x v="2"/>
    <n v="2.5099999999999998"/>
  </r>
  <r>
    <s v="DPOPPELL"/>
    <s v="04"/>
    <s v="JOEPENA"/>
    <s v="HWY 92"/>
    <x v="149"/>
    <x v="6"/>
    <x v="1"/>
    <s v="Invoice"/>
    <s v="97233"/>
    <x v="114"/>
    <x v="101"/>
    <x v="22"/>
    <x v="2"/>
    <n v="1"/>
  </r>
  <r>
    <s v="DPOPPELL"/>
    <s v="04"/>
    <s v="GERALDWI"/>
    <s v="JAUDON RD"/>
    <x v="149"/>
    <x v="6"/>
    <x v="1"/>
    <s v="Invoice"/>
    <s v="97237"/>
    <x v="43"/>
    <x v="38"/>
    <x v="22"/>
    <x v="2"/>
    <n v="3.01"/>
  </r>
  <r>
    <s v="DPOPPELL"/>
    <s v="04"/>
    <s v="GILLMANBUDD"/>
    <s v="FORBES"/>
    <x v="149"/>
    <x v="6"/>
    <x v="1"/>
    <s v="Invoice"/>
    <s v="97238"/>
    <x v="43"/>
    <x v="38"/>
    <x v="22"/>
    <x v="2"/>
    <n v="2.5"/>
  </r>
  <r>
    <s v="DPOPPELL"/>
    <s v="04"/>
    <s v="CIRCLEGF&amp;R LLC"/>
    <s v="KNIGHTS-S/E"/>
    <x v="149"/>
    <x v="6"/>
    <x v="1"/>
    <s v="Invoice"/>
    <s v="97239"/>
    <x v="233"/>
    <x v="209"/>
    <x v="22"/>
    <x v="2"/>
    <n v="4.4800000000000004"/>
  </r>
  <r>
    <s v="DPOPPELL"/>
    <s v="04"/>
    <s v="MIDWAYF"/>
    <s v="ALS - NORTH"/>
    <x v="149"/>
    <x v="6"/>
    <x v="1"/>
    <s v="Invoice"/>
    <s v="97240"/>
    <x v="233"/>
    <x v="209"/>
    <x v="22"/>
    <x v="2"/>
    <n v="3.9775"/>
  </r>
  <r>
    <s v="DPOPPELL"/>
    <s v="04"/>
    <s v="MIDWAYF"/>
    <s v="ALS - SOUTH"/>
    <x v="152"/>
    <x v="6"/>
    <x v="1"/>
    <s v="Invoice"/>
    <s v="97245"/>
    <x v="233"/>
    <x v="209"/>
    <x v="22"/>
    <x v="2"/>
    <n v="1.23"/>
  </r>
  <r>
    <s v="DPOPPELL"/>
    <s v="04"/>
    <s v="CHARLIEG-LLC"/>
    <s v="LAMPP ROAD"/>
    <x v="152"/>
    <x v="6"/>
    <x v="1"/>
    <s v="Invoice"/>
    <s v="97246"/>
    <x v="233"/>
    <x v="209"/>
    <x v="22"/>
    <x v="2"/>
    <n v="2.4725000000000001"/>
  </r>
  <r>
    <s v="DPOPPELL"/>
    <s v="04"/>
    <s v="GUTIERREZA"/>
    <s v="WIAMAUMA"/>
    <x v="152"/>
    <x v="6"/>
    <x v="1"/>
    <s v="Invoice"/>
    <s v="97247"/>
    <x v="43"/>
    <x v="38"/>
    <x v="22"/>
    <x v="2"/>
    <n v="3.7774999999999999"/>
  </r>
  <r>
    <s v="DPOPPELL"/>
    <s v="04"/>
    <s v="GERALDWI"/>
    <s v="TRAPNELL"/>
    <x v="152"/>
    <x v="6"/>
    <x v="1"/>
    <s v="Invoice"/>
    <s v="97248"/>
    <x v="43"/>
    <x v="38"/>
    <x v="22"/>
    <x v="2"/>
    <n v="5.0075000000000003"/>
  </r>
  <r>
    <s v="DPOPPELL"/>
    <s v="04"/>
    <s v="PEPPERBERRY"/>
    <s v="SPARKMAN/N"/>
    <x v="152"/>
    <x v="6"/>
    <x v="1"/>
    <s v="Invoice"/>
    <s v="97249"/>
    <x v="43"/>
    <x v="38"/>
    <x v="22"/>
    <x v="2"/>
    <n v="11.035"/>
  </r>
  <r>
    <s v="DPOPPELL"/>
    <s v="04"/>
    <s v="BONIFACIO"/>
    <s v="CORONET"/>
    <x v="152"/>
    <x v="6"/>
    <x v="1"/>
    <s v="Invoice"/>
    <s v="97250"/>
    <x v="77"/>
    <x v="37"/>
    <x v="30"/>
    <x v="0"/>
    <n v="30"/>
  </r>
  <r>
    <s v="DPOPPELL"/>
    <s v="04"/>
    <s v="SYDNEYFA"/>
    <s v="FORBES ROAD"/>
    <x v="152"/>
    <x v="6"/>
    <x v="1"/>
    <s v="Invoice"/>
    <s v="97252"/>
    <x v="269"/>
    <x v="237"/>
    <x v="22"/>
    <x v="2"/>
    <n v="7.5025000000000004"/>
  </r>
  <r>
    <s v="DPOPPELL"/>
    <s v="04"/>
    <s v="GUTIERREZA"/>
    <s v="WASHINGTON"/>
    <x v="152"/>
    <x v="6"/>
    <x v="1"/>
    <s v="Invoice"/>
    <s v="97253"/>
    <x v="43"/>
    <x v="38"/>
    <x v="22"/>
    <x v="2"/>
    <n v="4.0125000000000002"/>
  </r>
  <r>
    <s v="DPOPPELL"/>
    <s v="04"/>
    <s v="FLORIDAAG"/>
    <s v="KINGSWAY"/>
    <x v="141"/>
    <x v="6"/>
    <x v="1"/>
    <s v="Invoice"/>
    <s v="97255"/>
    <x v="52"/>
    <x v="45"/>
    <x v="22"/>
    <x v="2"/>
    <n v="2.25"/>
  </r>
  <r>
    <s v="DPOPPELL"/>
    <s v="04"/>
    <s v="THREESTA"/>
    <s v="WALDEN-SHEFFIEL"/>
    <x v="141"/>
    <x v="6"/>
    <x v="1"/>
    <s v="Invoice"/>
    <s v="97256"/>
    <x v="273"/>
    <x v="240"/>
    <x v="22"/>
    <x v="2"/>
    <n v="10"/>
  </r>
  <r>
    <s v="DPOPPELL"/>
    <s v="04"/>
    <s v="FILEMONMARTINEZ"/>
    <s v="MAILING"/>
    <x v="141"/>
    <x v="6"/>
    <x v="1"/>
    <s v="Invoice"/>
    <s v="97257"/>
    <x v="77"/>
    <x v="37"/>
    <x v="30"/>
    <x v="0"/>
    <n v="30"/>
  </r>
  <r>
    <s v="DPOPPELL"/>
    <s v="04"/>
    <s v="JOSEHERN"/>
    <s v="DURANT"/>
    <x v="141"/>
    <x v="6"/>
    <x v="1"/>
    <s v="Invoice"/>
    <s v="97258"/>
    <x v="55"/>
    <x v="48"/>
    <x v="22"/>
    <x v="2"/>
    <n v="8"/>
  </r>
  <r>
    <s v="DPOPPELL"/>
    <s v="04"/>
    <s v="SPIVEYFA"/>
    <s v="HOPEWELL"/>
    <x v="141"/>
    <x v="6"/>
    <x v="1"/>
    <s v="Invoice"/>
    <s v="97260"/>
    <x v="56"/>
    <x v="49"/>
    <x v="22"/>
    <x v="2"/>
    <n v="4"/>
  </r>
  <r>
    <s v="DPOPPELL"/>
    <s v="04"/>
    <s v="TONYPALAFOX"/>
    <s v="MAILING"/>
    <x v="141"/>
    <x v="6"/>
    <x v="1"/>
    <s v="Invoice"/>
    <s v="97261"/>
    <x v="48"/>
    <x v="33"/>
    <x v="28"/>
    <x v="0"/>
    <n v="5"/>
  </r>
  <r>
    <s v="DPOPPELL"/>
    <s v="04"/>
    <s v="CHARLIEG-LLC"/>
    <s v="DAIRY"/>
    <x v="141"/>
    <x v="6"/>
    <x v="1"/>
    <s v="Invoice"/>
    <s v="97264"/>
    <x v="233"/>
    <x v="209"/>
    <x v="22"/>
    <x v="2"/>
    <n v="5"/>
  </r>
  <r>
    <s v="DPOPPELL"/>
    <s v="04"/>
    <s v="GUILLERMOV"/>
    <s v="MAIN"/>
    <x v="141"/>
    <x v="6"/>
    <x v="1"/>
    <s v="Invoice"/>
    <s v="97265"/>
    <x v="42"/>
    <x v="37"/>
    <x v="30"/>
    <x v="0"/>
    <n v="2.5"/>
  </r>
  <r>
    <s v="DPOPPELL"/>
    <s v="04"/>
    <s v="GUILLERMOV"/>
    <s v="MAIN"/>
    <x v="141"/>
    <x v="6"/>
    <x v="1"/>
    <s v="Invoice"/>
    <s v="97266"/>
    <x v="53"/>
    <x v="46"/>
    <x v="22"/>
    <x v="2"/>
    <n v="0.15"/>
  </r>
  <r>
    <s v="DPOPPELL"/>
    <s v="04"/>
    <s v="MIDWAYF"/>
    <s v="WILDER RD."/>
    <x v="141"/>
    <x v="6"/>
    <x v="1"/>
    <s v="Invoice"/>
    <s v="97267"/>
    <x v="233"/>
    <x v="209"/>
    <x v="22"/>
    <x v="2"/>
    <n v="3"/>
  </r>
  <r>
    <s v="DPOPPELL"/>
    <s v="04"/>
    <s v="GUTIERREZDAN"/>
    <s v="TANNER RD."/>
    <x v="141"/>
    <x v="6"/>
    <x v="1"/>
    <s v="Invoice"/>
    <s v="97268"/>
    <x v="58"/>
    <x v="51"/>
    <x v="22"/>
    <x v="2"/>
    <n v="12.5175"/>
  </r>
  <r>
    <s v="DPOPPELL"/>
    <s v="04"/>
    <s v="GUTIERREZA"/>
    <s v="WASHINGTON"/>
    <x v="142"/>
    <x v="6"/>
    <x v="1"/>
    <s v="Invoice"/>
    <s v="97271"/>
    <x v="109"/>
    <x v="80"/>
    <x v="2"/>
    <x v="0"/>
    <n v="150"/>
  </r>
  <r>
    <s v="DPOPPELL"/>
    <s v="04"/>
    <s v="GUTIERREZA"/>
    <s v="WASHINGTON"/>
    <x v="142"/>
    <x v="6"/>
    <x v="1"/>
    <s v="Invoice"/>
    <s v="97271"/>
    <x v="110"/>
    <x v="97"/>
    <x v="16"/>
    <x v="0"/>
    <n v="250"/>
  </r>
  <r>
    <s v="DPOPPELL"/>
    <s v="04"/>
    <s v="GUTIERREZA"/>
    <s v="WASHINGTON"/>
    <x v="142"/>
    <x v="6"/>
    <x v="1"/>
    <s v="Invoice"/>
    <s v="97271"/>
    <x v="142"/>
    <x v="123"/>
    <x v="0"/>
    <x v="0"/>
    <n v="250"/>
  </r>
  <r>
    <s v="DPOPPELL"/>
    <s v="04"/>
    <s v="RAILROADCITY"/>
    <s v="MAIN"/>
    <x v="142"/>
    <x v="6"/>
    <x v="1"/>
    <s v="Invoice"/>
    <s v="97276"/>
    <x v="53"/>
    <x v="46"/>
    <x v="22"/>
    <x v="2"/>
    <n v="0.5"/>
  </r>
  <r>
    <s v="DPOPPELL"/>
    <s v="04"/>
    <s v="BUTTSKARL"/>
    <s v="MAIN"/>
    <x v="142"/>
    <x v="6"/>
    <x v="1"/>
    <s v="Invoice"/>
    <s v="97279"/>
    <x v="274"/>
    <x v="241"/>
    <x v="22"/>
    <x v="2"/>
    <n v="2.5"/>
  </r>
  <r>
    <s v="DPOPPELL"/>
    <s v="04"/>
    <s v="SYDNEYFA"/>
    <s v="SYDNEY-WASHER"/>
    <x v="153"/>
    <x v="6"/>
    <x v="1"/>
    <s v="Invoice"/>
    <s v="97281"/>
    <x v="273"/>
    <x v="240"/>
    <x v="22"/>
    <x v="2"/>
    <n v="7.5"/>
  </r>
  <r>
    <s v="DPOPPELL"/>
    <s v="04"/>
    <s v="IFASGULF"/>
    <s v="BALM-STRAWBERRY"/>
    <x v="153"/>
    <x v="6"/>
    <x v="1"/>
    <s v="Invoice"/>
    <s v="97282"/>
    <x v="28"/>
    <x v="23"/>
    <x v="22"/>
    <x v="2"/>
    <n v="7.5"/>
  </r>
  <r>
    <s v="DPOPPELL"/>
    <s v="04"/>
    <s v="SYDNEYFA"/>
    <s v="FORBES ROAD"/>
    <x v="153"/>
    <x v="6"/>
    <x v="1"/>
    <s v="Invoice"/>
    <s v="97283"/>
    <x v="273"/>
    <x v="240"/>
    <x v="22"/>
    <x v="2"/>
    <n v="5.0149999999999997"/>
  </r>
  <r>
    <s v="DPOPPELL"/>
    <s v="04"/>
    <s v="SYDNEYFA"/>
    <s v="FORBES/NORTH"/>
    <x v="153"/>
    <x v="6"/>
    <x v="1"/>
    <s v="Invoice"/>
    <s v="97284"/>
    <x v="273"/>
    <x v="240"/>
    <x v="22"/>
    <x v="2"/>
    <n v="5.0149999999999997"/>
  </r>
  <r>
    <s v="DPOPPELL"/>
    <s v="04"/>
    <s v="CHARLIEG-LLC"/>
    <s v="LAMPP ROAD"/>
    <x v="153"/>
    <x v="6"/>
    <x v="1"/>
    <s v="Invoice"/>
    <s v="97286"/>
    <x v="233"/>
    <x v="209"/>
    <x v="22"/>
    <x v="2"/>
    <n v="1.4824999999999999"/>
  </r>
  <r>
    <s v="DPOPPELL"/>
    <s v="04"/>
    <s v="ELIASCEDILLO"/>
    <s v="JESS WALDEN"/>
    <x v="153"/>
    <x v="6"/>
    <x v="1"/>
    <s v="Invoice"/>
    <s v="97287"/>
    <x v="53"/>
    <x v="46"/>
    <x v="22"/>
    <x v="2"/>
    <n v="1.25"/>
  </r>
  <r>
    <s v="DPOPPELL"/>
    <s v="04"/>
    <s v="TECHFARM"/>
    <s v="SYDNEYDOVER"/>
    <x v="143"/>
    <x v="6"/>
    <x v="1"/>
    <s v="Invoice"/>
    <s v="97291"/>
    <x v="233"/>
    <x v="209"/>
    <x v="22"/>
    <x v="2"/>
    <n v="2.5"/>
  </r>
  <r>
    <s v="DPOPPELL"/>
    <s v="04"/>
    <s v="CIRCLEGF&amp;R LLC"/>
    <s v="KNIGHTS-S/E"/>
    <x v="143"/>
    <x v="6"/>
    <x v="1"/>
    <s v="Invoice"/>
    <s v="97292"/>
    <x v="275"/>
    <x v="242"/>
    <x v="22"/>
    <x v="2"/>
    <n v="4"/>
  </r>
  <r>
    <s v="DPOPPELL"/>
    <s v="04"/>
    <s v="MIDWAYF"/>
    <s v="ALS - NORTH"/>
    <x v="143"/>
    <x v="6"/>
    <x v="1"/>
    <s v="Invoice"/>
    <s v="97293"/>
    <x v="275"/>
    <x v="242"/>
    <x v="22"/>
    <x v="2"/>
    <n v="2.5"/>
  </r>
  <r>
    <s v="DPOPPELL"/>
    <s v="04"/>
    <s v="GUTIERREZA"/>
    <s v="WASHINGTON"/>
    <x v="150"/>
    <x v="6"/>
    <x v="1"/>
    <s v="Invoice"/>
    <s v="97297"/>
    <x v="109"/>
    <x v="80"/>
    <x v="2"/>
    <x v="0"/>
    <n v="100"/>
  </r>
  <r>
    <s v="DPOPPELL"/>
    <s v="04"/>
    <s v="MIDWAYF"/>
    <s v="HAGGERTY ROAD"/>
    <x v="150"/>
    <x v="6"/>
    <x v="1"/>
    <s v="Invoice"/>
    <s v="97300"/>
    <x v="275"/>
    <x v="242"/>
    <x v="22"/>
    <x v="2"/>
    <n v="3.53"/>
  </r>
  <r>
    <s v="DPOPPELL"/>
    <s v="04"/>
    <s v="SYDNEYFA"/>
    <s v="FORBES ROAD"/>
    <x v="150"/>
    <x v="6"/>
    <x v="1"/>
    <s v="Invoice"/>
    <s v="97301"/>
    <x v="273"/>
    <x v="240"/>
    <x v="22"/>
    <x v="2"/>
    <n v="5.0075000000000003"/>
  </r>
  <r>
    <s v="DPOPPELL"/>
    <s v="04"/>
    <s v="THREESTA"/>
    <s v="WALDEN-SHEFFIEL"/>
    <x v="150"/>
    <x v="6"/>
    <x v="1"/>
    <s v="Invoice"/>
    <s v="97302"/>
    <x v="273"/>
    <x v="240"/>
    <x v="22"/>
    <x v="2"/>
    <n v="10.025"/>
  </r>
  <r>
    <s v="DPOPPELL"/>
    <s v="04"/>
    <s v="CIRCLEGF&amp;R LLC"/>
    <s v="KNIGHTS-N/NORTH"/>
    <x v="150"/>
    <x v="6"/>
    <x v="1"/>
    <s v="Invoice"/>
    <s v="97303"/>
    <x v="275"/>
    <x v="242"/>
    <x v="22"/>
    <x v="2"/>
    <n v="5.5049999999999999"/>
  </r>
  <r>
    <s v="DPOPPELL"/>
    <s v="04"/>
    <s v="GUILLERMOV"/>
    <s v="MAIN"/>
    <x v="150"/>
    <x v="6"/>
    <x v="1"/>
    <s v="Invoice"/>
    <s v="97307"/>
    <x v="53"/>
    <x v="46"/>
    <x v="22"/>
    <x v="2"/>
    <n v="0.15"/>
  </r>
  <r>
    <s v="HOUSE"/>
    <s v="05"/>
    <s v="SOUTHERN"/>
    <s v="SOUTHERN AG"/>
    <x v="147"/>
    <x v="6"/>
    <x v="1"/>
    <s v="Invoice"/>
    <s v="97122"/>
    <x v="7"/>
    <x v="243"/>
    <x v="6"/>
    <x v="0"/>
    <n v="60"/>
  </r>
  <r>
    <s v="HOUSE"/>
    <s v="05"/>
    <s v="BIGEARTH"/>
    <s v="HILTONNY"/>
    <x v="140"/>
    <x v="6"/>
    <x v="1"/>
    <s v="Invoice"/>
    <s v="97166"/>
    <x v="22"/>
    <x v="69"/>
    <x v="17"/>
    <x v="0"/>
    <n v="20"/>
  </r>
  <r>
    <s v="HOUSE"/>
    <s v="05"/>
    <s v="CPSHOMES"/>
    <s v="HOMESTEAD"/>
    <x v="134"/>
    <x v="6"/>
    <x v="1"/>
    <s v="Invoice"/>
    <s v="97190"/>
    <x v="148"/>
    <x v="128"/>
    <x v="29"/>
    <x v="0"/>
    <n v="180"/>
  </r>
  <r>
    <s v="HOUSE"/>
    <s v="05"/>
    <s v="CPSHOMES"/>
    <s v="HOMESTEAD"/>
    <x v="141"/>
    <x v="6"/>
    <x v="1"/>
    <s v="Invoice"/>
    <s v="97270"/>
    <x v="156"/>
    <x v="138"/>
    <x v="53"/>
    <x v="0"/>
    <n v="180"/>
  </r>
  <r>
    <s v="HOUSE"/>
    <s v="05"/>
    <s v="CPSHOMES"/>
    <s v="HOMESTEAD"/>
    <x v="141"/>
    <x v="6"/>
    <x v="1"/>
    <s v="Invoice"/>
    <s v="97270"/>
    <x v="48"/>
    <x v="33"/>
    <x v="28"/>
    <x v="0"/>
    <n v="180"/>
  </r>
  <r>
    <s v="HOUSE"/>
    <s v="05"/>
    <s v="SOUTHERN"/>
    <s v="SOUTHERN AG"/>
    <x v="150"/>
    <x v="6"/>
    <x v="1"/>
    <s v="Invoice"/>
    <s v="97306"/>
    <x v="101"/>
    <x v="21"/>
    <x v="21"/>
    <x v="0"/>
    <n v="120"/>
  </r>
  <r>
    <s v=""/>
    <s v="07"/>
    <s v="CPSHASTI"/>
    <s v="HASTINGS"/>
    <x v="147"/>
    <x v="6"/>
    <x v="1"/>
    <s v="Invoice"/>
    <s v="97108"/>
    <x v="206"/>
    <x v="139"/>
    <x v="53"/>
    <x v="0"/>
    <n v="1000"/>
  </r>
  <r>
    <s v=""/>
    <s v="07"/>
    <s v="BARNESFE"/>
    <s v="HASTINGS"/>
    <x v="147"/>
    <x v="6"/>
    <x v="1"/>
    <s v="Invoice"/>
    <s v="97109"/>
    <x v="158"/>
    <x v="139"/>
    <x v="53"/>
    <x v="0"/>
    <n v="480"/>
  </r>
  <r>
    <s v="CHEAD"/>
    <s v="07"/>
    <s v="MAYO"/>
    <s v="WILLISTON"/>
    <x v="147"/>
    <x v="6"/>
    <x v="1"/>
    <s v="Invoice"/>
    <s v="97110"/>
    <x v="34"/>
    <x v="29"/>
    <x v="26"/>
    <x v="0"/>
    <n v="360"/>
  </r>
  <r>
    <s v="CHEAD"/>
    <s v="07"/>
    <s v="BIG HOUSE FARMS"/>
    <s v="MAYO"/>
    <x v="147"/>
    <x v="6"/>
    <x v="1"/>
    <s v="Invoice"/>
    <s v="97111A"/>
    <x v="85"/>
    <x v="213"/>
    <x v="35"/>
    <x v="0"/>
    <n v="7.5"/>
  </r>
  <r>
    <s v="CHEAD"/>
    <s v="07"/>
    <s v="UFPSUNIT"/>
    <s v="CITRA FARM"/>
    <x v="147"/>
    <x v="6"/>
    <x v="1"/>
    <s v="Invoice"/>
    <s v="97114"/>
    <x v="73"/>
    <x v="66"/>
    <x v="22"/>
    <x v="2"/>
    <n v="3.7475000000000001"/>
  </r>
  <r>
    <s v=""/>
    <s v="07"/>
    <s v="BARNESFE"/>
    <s v="HASTINGS"/>
    <x v="135"/>
    <x v="6"/>
    <x v="1"/>
    <s v="Invoice"/>
    <s v="97198"/>
    <x v="158"/>
    <x v="139"/>
    <x v="53"/>
    <x v="0"/>
    <n v="120"/>
  </r>
  <r>
    <s v="CHEAD"/>
    <s v="07"/>
    <s v="CPSHASTI"/>
    <s v="HASTINGS"/>
    <x v="135"/>
    <x v="6"/>
    <x v="1"/>
    <s v="Invoice"/>
    <s v="97199"/>
    <x v="175"/>
    <x v="156"/>
    <x v="9"/>
    <x v="0"/>
    <n v="180"/>
  </r>
  <r>
    <s v=""/>
    <s v="07"/>
    <s v="MILLERBL"/>
    <s v="PALATKA"/>
    <x v="135"/>
    <x v="6"/>
    <x v="1"/>
    <s v="Invoice"/>
    <s v="97206"/>
    <x v="208"/>
    <x v="184"/>
    <x v="22"/>
    <x v="2"/>
    <n v="15.0175"/>
  </r>
  <r>
    <s v=""/>
    <s v="07"/>
    <s v="BARNESFE"/>
    <s v="HASTINGS"/>
    <x v="136"/>
    <x v="6"/>
    <x v="1"/>
    <s v="Invoice"/>
    <s v="97218"/>
    <x v="158"/>
    <x v="139"/>
    <x v="53"/>
    <x v="0"/>
    <n v="360"/>
  </r>
  <r>
    <s v=""/>
    <s v="07"/>
    <s v="SUNNILAND"/>
    <s v="MAIN"/>
    <x v="142"/>
    <x v="6"/>
    <x v="1"/>
    <s v="Invoice"/>
    <s v="97273"/>
    <x v="124"/>
    <x v="112"/>
    <x v="20"/>
    <x v="1"/>
    <n v="23840"/>
  </r>
  <r>
    <s v="DPOPPELL1"/>
    <s v="08"/>
    <s v="COASTALAGSUPPLY"/>
    <s v="MULBERRY"/>
    <x v="144"/>
    <x v="6"/>
    <x v="1"/>
    <s v="Invoice"/>
    <s v="97061"/>
    <x v="34"/>
    <x v="29"/>
    <x v="26"/>
    <x v="0"/>
    <n v="360"/>
  </r>
  <r>
    <s v="DPOPPELL1"/>
    <s v="08"/>
    <s v="MAYO"/>
    <s v="PLANTCITY"/>
    <x v="144"/>
    <x v="6"/>
    <x v="1"/>
    <s v="Invoice"/>
    <s v="97063A"/>
    <x v="126"/>
    <x v="114"/>
    <x v="22"/>
    <x v="2"/>
    <n v="11.4"/>
  </r>
  <r>
    <s v="DPOPPELL1"/>
    <s v="08"/>
    <s v="COASTALAGSUPPLY"/>
    <s v="MULBERRY"/>
    <x v="145"/>
    <x v="6"/>
    <x v="1"/>
    <s v="Invoice"/>
    <s v="97069"/>
    <x v="58"/>
    <x v="51"/>
    <x v="22"/>
    <x v="2"/>
    <n v="2.5"/>
  </r>
  <r>
    <s v="DPOPPELL1"/>
    <s v="08"/>
    <s v="MAYO"/>
    <s v="PLANTCITY"/>
    <x v="146"/>
    <x v="6"/>
    <x v="1"/>
    <s v="Invoice"/>
    <s v="97088"/>
    <x v="107"/>
    <x v="98"/>
    <x v="36"/>
    <x v="0"/>
    <n v="35"/>
  </r>
  <r>
    <s v="DPOPPELL1"/>
    <s v="08"/>
    <s v="MAYO"/>
    <s v="PLANTCITY"/>
    <x v="146"/>
    <x v="6"/>
    <x v="1"/>
    <s v="Invoice"/>
    <s v="97089A"/>
    <x v="126"/>
    <x v="114"/>
    <x v="22"/>
    <x v="2"/>
    <n v="10.119999999999999"/>
  </r>
  <r>
    <s v="DPOPPELL1"/>
    <s v="08"/>
    <s v="MAYO"/>
    <s v="PLANTCITY"/>
    <x v="149"/>
    <x v="6"/>
    <x v="1"/>
    <s v="Invoice"/>
    <s v="97234"/>
    <x v="244"/>
    <x v="218"/>
    <x v="22"/>
    <x v="2"/>
    <n v="6"/>
  </r>
  <r>
    <s v="DPOPPELL1"/>
    <s v="08"/>
    <s v="MAYO"/>
    <s v="PLANTCITY"/>
    <x v="149"/>
    <x v="6"/>
    <x v="1"/>
    <s v="Invoice"/>
    <s v="97236"/>
    <x v="126"/>
    <x v="114"/>
    <x v="22"/>
    <x v="2"/>
    <n v="5.99"/>
  </r>
  <r>
    <s v="DPOPPELL1"/>
    <s v="08"/>
    <s v="MAYO"/>
    <s v="PLANTCITY"/>
    <x v="139"/>
    <x v="6"/>
    <x v="1"/>
    <s v="Invoice"/>
    <s v="97241"/>
    <x v="126"/>
    <x v="114"/>
    <x v="22"/>
    <x v="2"/>
    <n v="8.9600000000000009"/>
  </r>
  <r>
    <s v="DPOPPELL1"/>
    <s v="08"/>
    <s v="COASTALAGSUPPLY"/>
    <s v="MULBERRY"/>
    <x v="152"/>
    <x v="6"/>
    <x v="1"/>
    <s v="Invoice"/>
    <s v="97242"/>
    <x v="58"/>
    <x v="51"/>
    <x v="22"/>
    <x v="2"/>
    <n v="2.5"/>
  </r>
  <r>
    <s v="DPOPPELL1"/>
    <s v="08"/>
    <s v="COASTALAGSUPPLY"/>
    <s v="MULBERRY"/>
    <x v="152"/>
    <x v="6"/>
    <x v="1"/>
    <s v="Invoice"/>
    <s v="97243"/>
    <x v="136"/>
    <x v="111"/>
    <x v="46"/>
    <x v="0"/>
    <n v="50"/>
  </r>
  <r>
    <s v="DPOPPELL1"/>
    <s v="08"/>
    <s v="COASTALAGSUPPLY"/>
    <s v="MULBERRY"/>
    <x v="152"/>
    <x v="6"/>
    <x v="1"/>
    <s v="Invoice"/>
    <s v="97244"/>
    <x v="34"/>
    <x v="29"/>
    <x v="26"/>
    <x v="0"/>
    <n v="180"/>
  </r>
  <r>
    <s v="DPOPPELL1"/>
    <s v="08"/>
    <s v="MAYO"/>
    <s v="PLANTCITY"/>
    <x v="141"/>
    <x v="6"/>
    <x v="1"/>
    <s v="Invoice"/>
    <s v="97254"/>
    <x v="126"/>
    <x v="114"/>
    <x v="22"/>
    <x v="2"/>
    <n v="4.22"/>
  </r>
  <r>
    <s v="DPOPPELL1"/>
    <s v="08"/>
    <s v="CPSMULB"/>
    <s v="UAP/MULBERRY"/>
    <x v="142"/>
    <x v="6"/>
    <x v="1"/>
    <s v="Invoice"/>
    <s v="97280"/>
    <x v="102"/>
    <x v="71"/>
    <x v="34"/>
    <x v="0"/>
    <n v="500"/>
  </r>
  <r>
    <s v="DPOPPELL1"/>
    <s v="08"/>
    <s v="COASTALAGSUPPLY"/>
    <s v="MULBERRY"/>
    <x v="153"/>
    <x v="6"/>
    <x v="1"/>
    <s v="Invoice"/>
    <s v="97285"/>
    <x v="38"/>
    <x v="30"/>
    <x v="27"/>
    <x v="0"/>
    <n v="250"/>
  </r>
  <r>
    <s v="DPOPPELL1"/>
    <s v="08"/>
    <s v="COASTALAGSUPPLY"/>
    <s v="MULBERRY"/>
    <x v="153"/>
    <x v="6"/>
    <x v="1"/>
    <s v="Invoice"/>
    <s v="97285"/>
    <x v="264"/>
    <x v="156"/>
    <x v="9"/>
    <x v="0"/>
    <n v="250"/>
  </r>
  <r>
    <s v="DPOPPELL1"/>
    <s v="08"/>
    <s v="COASTALAGSUPPLY"/>
    <s v="MULBERRY"/>
    <x v="153"/>
    <x v="6"/>
    <x v="1"/>
    <s v="Invoice"/>
    <s v="97285"/>
    <x v="175"/>
    <x v="156"/>
    <x v="9"/>
    <x v="0"/>
    <n v="2.5"/>
  </r>
  <r>
    <s v="GEORGIA"/>
    <s v="09"/>
    <s v="GLADESFORM"/>
    <s v="MAIN"/>
    <x v="145"/>
    <x v="6"/>
    <x v="1"/>
    <s v="Invoice"/>
    <s v="97071"/>
    <x v="190"/>
    <x v="168"/>
    <x v="20"/>
    <x v="1"/>
    <n v="13237.5"/>
  </r>
  <r>
    <s v=""/>
    <s v="09"/>
    <s v="TRIANGLE/GA"/>
    <s v="DONALSONVILLE"/>
    <x v="146"/>
    <x v="6"/>
    <x v="1"/>
    <s v="Invoice"/>
    <s v="97087"/>
    <x v="258"/>
    <x v="221"/>
    <x v="69"/>
    <x v="0"/>
    <n v="4000"/>
  </r>
  <r>
    <s v=""/>
    <s v="09"/>
    <s v="TRIANGLE/GA"/>
    <s v="DONALSONVILLE"/>
    <x v="137"/>
    <x v="6"/>
    <x v="1"/>
    <s v="Invoice"/>
    <s v="97094"/>
    <x v="258"/>
    <x v="221"/>
    <x v="69"/>
    <x v="0"/>
    <n v="4000"/>
  </r>
  <r>
    <s v="GEORGIA"/>
    <s v="09"/>
    <s v="GREENRES"/>
    <s v="THEGREENERY"/>
    <x v="137"/>
    <x v="6"/>
    <x v="1"/>
    <s v="Invoice"/>
    <s v="97107"/>
    <x v="22"/>
    <x v="69"/>
    <x v="17"/>
    <x v="0"/>
    <n v="360"/>
  </r>
  <r>
    <s v="GEORGIA"/>
    <s v="09"/>
    <s v="AGRIBUSI"/>
    <s v="REDSTARLLC"/>
    <x v="147"/>
    <x v="6"/>
    <x v="1"/>
    <s v="Invoice"/>
    <s v="97124"/>
    <x v="276"/>
    <x v="244"/>
    <x v="4"/>
    <x v="0"/>
    <n v="750"/>
  </r>
  <r>
    <s v="GEORGIA"/>
    <s v="09"/>
    <s v="AGRIBUSI"/>
    <s v="REDSTARLLC"/>
    <x v="147"/>
    <x v="6"/>
    <x v="1"/>
    <s v="Invoice"/>
    <s v="97124"/>
    <x v="277"/>
    <x v="244"/>
    <x v="4"/>
    <x v="0"/>
    <n v="180"/>
  </r>
  <r>
    <s v="GEORGIA"/>
    <s v="09"/>
    <s v="AGRIBUSI"/>
    <s v="IRWINVILLE"/>
    <x v="151"/>
    <x v="6"/>
    <x v="1"/>
    <s v="Invoice"/>
    <s v="97175"/>
    <x v="107"/>
    <x v="98"/>
    <x v="36"/>
    <x v="0"/>
    <n v="180"/>
  </r>
  <r>
    <s v=""/>
    <s v="09"/>
    <s v="NUTRATURF"/>
    <s v="CRUMP ST, NC"/>
    <x v="148"/>
    <x v="6"/>
    <x v="1"/>
    <s v="Invoice"/>
    <s v="97214"/>
    <x v="177"/>
    <x v="158"/>
    <x v="1"/>
    <x v="0"/>
    <n v="250"/>
  </r>
  <r>
    <s v=""/>
    <s v="09"/>
    <s v="NUTRATURF"/>
    <s v="CRUMP ST, NC"/>
    <x v="148"/>
    <x v="6"/>
    <x v="1"/>
    <s v="Invoice"/>
    <s v="97214"/>
    <x v="140"/>
    <x v="72"/>
    <x v="4"/>
    <x v="0"/>
    <n v="250"/>
  </r>
  <r>
    <s v=""/>
    <s v="09"/>
    <s v="NUTRATURF"/>
    <s v="CRUMP ST, NC"/>
    <x v="148"/>
    <x v="6"/>
    <x v="1"/>
    <s v="Invoice"/>
    <s v="97214"/>
    <x v="86"/>
    <x v="78"/>
    <x v="36"/>
    <x v="0"/>
    <n v="250"/>
  </r>
  <r>
    <s v=""/>
    <s v="09"/>
    <s v="CPSSOUTH"/>
    <s v="CROSSCREEK RD"/>
    <x v="148"/>
    <x v="6"/>
    <x v="1"/>
    <s v="Invoice"/>
    <s v="97215"/>
    <x v="101"/>
    <x v="21"/>
    <x v="21"/>
    <x v="0"/>
    <n v="360"/>
  </r>
  <r>
    <s v="GEORGIA"/>
    <s v="09"/>
    <s v="AGRIBUSI"/>
    <s v="COLQUITT"/>
    <x v="149"/>
    <x v="6"/>
    <x v="1"/>
    <s v="Invoice"/>
    <s v="97235"/>
    <x v="278"/>
    <x v="165"/>
    <x v="27"/>
    <x v="0"/>
    <n v="180"/>
  </r>
  <r>
    <s v="GEORGIA"/>
    <s v="09"/>
    <s v="AGRIBUSI"/>
    <s v="COLQUITT"/>
    <x v="149"/>
    <x v="6"/>
    <x v="1"/>
    <s v="Invoice"/>
    <s v="97235"/>
    <x v="183"/>
    <x v="165"/>
    <x v="20"/>
    <x v="1"/>
    <n v="14000"/>
  </r>
  <r>
    <s v=""/>
    <s v="09"/>
    <s v="TRIANGLE/GA"/>
    <s v="SYCAMORE"/>
    <x v="142"/>
    <x v="6"/>
    <x v="1"/>
    <s v="Invoice"/>
    <s v="97277"/>
    <x v="218"/>
    <x v="193"/>
    <x v="8"/>
    <x v="0"/>
    <n v="540"/>
  </r>
  <r>
    <s v=""/>
    <s v="09"/>
    <s v="TRIANGLE/GA"/>
    <s v="SYCAMORE"/>
    <x v="142"/>
    <x v="6"/>
    <x v="1"/>
    <s v="Invoice"/>
    <s v="97277"/>
    <x v="179"/>
    <x v="220"/>
    <x v="60"/>
    <x v="0"/>
    <n v="360"/>
  </r>
  <r>
    <s v="GEORGIA"/>
    <s v="09"/>
    <s v="AGRIBUSI"/>
    <s v="IRWINVILLE"/>
    <x v="142"/>
    <x v="6"/>
    <x v="1"/>
    <s v="Invoice"/>
    <s v="97278"/>
    <x v="107"/>
    <x v="98"/>
    <x v="36"/>
    <x v="0"/>
    <n v="360"/>
  </r>
  <r>
    <s v=""/>
    <s v="09"/>
    <s v="TRIANGLE/GA"/>
    <s v="SYCAMORE"/>
    <x v="153"/>
    <x v="6"/>
    <x v="1"/>
    <s v="Invoice"/>
    <s v="97288"/>
    <x v="279"/>
    <x v="193"/>
    <x v="8"/>
    <x v="0"/>
    <n v="500"/>
  </r>
  <r>
    <s v="RPOUND"/>
    <s v="10"/>
    <s v="THEMILL"/>
    <s v="MAIN"/>
    <x v="144"/>
    <x v="6"/>
    <x v="1"/>
    <s v="Invoice"/>
    <s v="97067"/>
    <x v="4"/>
    <x v="32"/>
    <x v="3"/>
    <x v="0"/>
    <n v="720"/>
  </r>
  <r>
    <s v="HAP"/>
    <s v="01"/>
    <s v="GREENWAY"/>
    <s v="EMERALDHILLS"/>
    <x v="154"/>
    <x v="7"/>
    <x v="1"/>
    <s v="Invoice"/>
    <s v="97320"/>
    <x v="14"/>
    <x v="13"/>
    <x v="13"/>
    <x v="0"/>
    <n v="30"/>
  </r>
  <r>
    <s v="HAP"/>
    <s v="01"/>
    <s v="GREENWAY"/>
    <s v="EMERALDHILLS"/>
    <x v="154"/>
    <x v="7"/>
    <x v="1"/>
    <s v="Invoice"/>
    <s v="97320"/>
    <x v="15"/>
    <x v="6"/>
    <x v="6"/>
    <x v="0"/>
    <n v="30"/>
  </r>
  <r>
    <s v="HAP"/>
    <s v="01"/>
    <s v="GREENWAY"/>
    <s v="EMERALDHILLS"/>
    <x v="154"/>
    <x v="7"/>
    <x v="1"/>
    <s v="Invoice"/>
    <s v="97320"/>
    <x v="16"/>
    <x v="2"/>
    <x v="2"/>
    <x v="0"/>
    <n v="30"/>
  </r>
  <r>
    <s v="HAP"/>
    <s v="01"/>
    <s v="GREENWAY"/>
    <s v="EMERALDHILLS"/>
    <x v="154"/>
    <x v="7"/>
    <x v="1"/>
    <s v="Invoice"/>
    <s v="97320"/>
    <x v="17"/>
    <x v="10"/>
    <x v="10"/>
    <x v="0"/>
    <n v="30"/>
  </r>
  <r>
    <s v="HAP"/>
    <s v="01"/>
    <s v="GREENWAY"/>
    <s v="EMERALDHILLS"/>
    <x v="154"/>
    <x v="7"/>
    <x v="1"/>
    <s v="Invoice"/>
    <s v="97320"/>
    <x v="18"/>
    <x v="14"/>
    <x v="14"/>
    <x v="0"/>
    <n v="30"/>
  </r>
  <r>
    <s v="HAP"/>
    <s v="01"/>
    <s v="GREENWAY"/>
    <s v="EMERALDHILLS"/>
    <x v="154"/>
    <x v="7"/>
    <x v="1"/>
    <s v="Invoice"/>
    <s v="97320"/>
    <x v="19"/>
    <x v="15"/>
    <x v="15"/>
    <x v="0"/>
    <n v="30"/>
  </r>
  <r>
    <s v="HAP"/>
    <s v="01"/>
    <s v="GREENWAY"/>
    <s v="EMERALDHILLS"/>
    <x v="154"/>
    <x v="7"/>
    <x v="1"/>
    <s v="Invoice"/>
    <s v="97320"/>
    <x v="20"/>
    <x v="0"/>
    <x v="0"/>
    <x v="0"/>
    <n v="30"/>
  </r>
  <r>
    <s v="HAP"/>
    <s v="01"/>
    <s v="GREENWAY"/>
    <s v="HOUSTONOAKS"/>
    <x v="155"/>
    <x v="7"/>
    <x v="1"/>
    <s v="Invoice"/>
    <s v="97413"/>
    <x v="3"/>
    <x v="2"/>
    <x v="2"/>
    <x v="0"/>
    <n v="40"/>
  </r>
  <r>
    <s v="HAP"/>
    <s v="01"/>
    <s v="GREENWAY"/>
    <s v="HOUSTONOAKS"/>
    <x v="155"/>
    <x v="7"/>
    <x v="1"/>
    <s v="Invoice"/>
    <s v="97413"/>
    <x v="4"/>
    <x v="3"/>
    <x v="3"/>
    <x v="0"/>
    <n v="40"/>
  </r>
  <r>
    <s v="HAP"/>
    <s v="01"/>
    <s v="GREENWAY"/>
    <s v="HOUSTONOAKS"/>
    <x v="155"/>
    <x v="7"/>
    <x v="1"/>
    <s v="Invoice"/>
    <s v="97413"/>
    <x v="5"/>
    <x v="4"/>
    <x v="4"/>
    <x v="0"/>
    <n v="40"/>
  </r>
  <r>
    <s v="HAP"/>
    <s v="01"/>
    <s v="GREENWAY"/>
    <s v="HOUSTONOAKS"/>
    <x v="155"/>
    <x v="7"/>
    <x v="1"/>
    <s v="Invoice"/>
    <s v="97413"/>
    <x v="6"/>
    <x v="5"/>
    <x v="5"/>
    <x v="0"/>
    <n v="40"/>
  </r>
  <r>
    <s v="HAP"/>
    <s v="01"/>
    <s v="GREENWAY"/>
    <s v="HOUSTONOAKS"/>
    <x v="155"/>
    <x v="7"/>
    <x v="1"/>
    <s v="Invoice"/>
    <s v="97413"/>
    <x v="2"/>
    <x v="0"/>
    <x v="0"/>
    <x v="0"/>
    <n v="40"/>
  </r>
  <r>
    <s v="HAP"/>
    <s v="01"/>
    <s v="GREENWAY"/>
    <s v="MAILING-WPBCH"/>
    <x v="155"/>
    <x v="7"/>
    <x v="1"/>
    <s v="Invoice"/>
    <s v="97414"/>
    <x v="3"/>
    <x v="2"/>
    <x v="2"/>
    <x v="0"/>
    <n v="120"/>
  </r>
  <r>
    <s v="HAP"/>
    <s v="01"/>
    <s v="GREENWAY"/>
    <s v="MAILING-WPBCH"/>
    <x v="155"/>
    <x v="7"/>
    <x v="1"/>
    <s v="Invoice"/>
    <s v="97414"/>
    <x v="8"/>
    <x v="7"/>
    <x v="7"/>
    <x v="0"/>
    <n v="60"/>
  </r>
  <r>
    <s v="HAP"/>
    <s v="01"/>
    <s v="GREENWAY"/>
    <s v="MAILING-WPBCH"/>
    <x v="155"/>
    <x v="7"/>
    <x v="1"/>
    <s v="Invoice"/>
    <s v="97414"/>
    <x v="11"/>
    <x v="10"/>
    <x v="10"/>
    <x v="0"/>
    <n v="60"/>
  </r>
  <r>
    <s v="HAP"/>
    <s v="01"/>
    <s v="GREENWAY"/>
    <s v="MAILING-WPBCH"/>
    <x v="155"/>
    <x v="7"/>
    <x v="1"/>
    <s v="Invoice"/>
    <s v="97414"/>
    <x v="21"/>
    <x v="16"/>
    <x v="16"/>
    <x v="0"/>
    <n v="60"/>
  </r>
  <r>
    <s v="HAP"/>
    <s v="01"/>
    <s v="GREENWAY"/>
    <s v="MAILING-WPBCH"/>
    <x v="155"/>
    <x v="7"/>
    <x v="1"/>
    <s v="Invoice"/>
    <s v="97414"/>
    <x v="5"/>
    <x v="4"/>
    <x v="4"/>
    <x v="0"/>
    <n v="120"/>
  </r>
  <r>
    <s v="HAP"/>
    <s v="01"/>
    <s v="GREENWAY"/>
    <s v="MAILING-WPBCH"/>
    <x v="155"/>
    <x v="7"/>
    <x v="1"/>
    <s v="Invoice"/>
    <s v="97414"/>
    <x v="12"/>
    <x v="11"/>
    <x v="11"/>
    <x v="0"/>
    <n v="60"/>
  </r>
  <r>
    <s v="HAP"/>
    <s v="01"/>
    <s v="GREENWAY"/>
    <s v="MAILING-WPBCH"/>
    <x v="155"/>
    <x v="7"/>
    <x v="1"/>
    <s v="Invoice"/>
    <s v="97414"/>
    <x v="2"/>
    <x v="0"/>
    <x v="0"/>
    <x v="0"/>
    <n v="120"/>
  </r>
  <r>
    <s v="HAP"/>
    <s v="01"/>
    <s v="GREENWAY"/>
    <s v="WINDSOR POLO"/>
    <x v="156"/>
    <x v="7"/>
    <x v="1"/>
    <s v="Invoice"/>
    <s v="97449"/>
    <x v="88"/>
    <x v="2"/>
    <x v="2"/>
    <x v="0"/>
    <n v="55"/>
  </r>
  <r>
    <s v="HAP"/>
    <s v="01"/>
    <s v="GREENWAY"/>
    <s v="WINDSOR POLO"/>
    <x v="156"/>
    <x v="7"/>
    <x v="1"/>
    <s v="Invoice"/>
    <s v="97449"/>
    <x v="0"/>
    <x v="0"/>
    <x v="0"/>
    <x v="0"/>
    <n v="55"/>
  </r>
  <r>
    <s v="HAP"/>
    <s v="01"/>
    <s v="GREENWAY"/>
    <s v="MAILING-WPBCH"/>
    <x v="157"/>
    <x v="7"/>
    <x v="1"/>
    <s v="Invoice"/>
    <s v="97460"/>
    <x v="2"/>
    <x v="0"/>
    <x v="0"/>
    <x v="0"/>
    <n v="120"/>
  </r>
  <r>
    <s v="HAP"/>
    <s v="01"/>
    <s v="GREENWAY"/>
    <s v="MAILING-WPBCH"/>
    <x v="158"/>
    <x v="7"/>
    <x v="1"/>
    <s v="Invoice"/>
    <s v="97489"/>
    <x v="7"/>
    <x v="6"/>
    <x v="6"/>
    <x v="0"/>
    <n v="120"/>
  </r>
  <r>
    <s v="HAP"/>
    <s v="01"/>
    <s v="GREENWAY"/>
    <s v="MAILING-WPBCH"/>
    <x v="158"/>
    <x v="7"/>
    <x v="1"/>
    <s v="Invoice"/>
    <s v="97489"/>
    <x v="22"/>
    <x v="17"/>
    <x v="17"/>
    <x v="0"/>
    <n v="120"/>
  </r>
  <r>
    <s v="HAP"/>
    <s v="01"/>
    <s v="GREENWAY"/>
    <s v="MAILING-WPBCH"/>
    <x v="159"/>
    <x v="7"/>
    <x v="1"/>
    <s v="Invoice"/>
    <s v="97496"/>
    <x v="6"/>
    <x v="5"/>
    <x v="5"/>
    <x v="0"/>
    <n v="180"/>
  </r>
  <r>
    <s v="HAP"/>
    <s v="01"/>
    <s v="GREENWAY"/>
    <s v="JACARANDA G C"/>
    <x v="160"/>
    <x v="7"/>
    <x v="1"/>
    <s v="Invoice"/>
    <s v="97521"/>
    <x v="188"/>
    <x v="17"/>
    <x v="17"/>
    <x v="0"/>
    <n v="55"/>
  </r>
  <r>
    <s v="HAP"/>
    <s v="01"/>
    <s v="GREENWAY"/>
    <s v="JACARANDA G C"/>
    <x v="160"/>
    <x v="7"/>
    <x v="1"/>
    <s v="Invoice"/>
    <s v="97521"/>
    <x v="6"/>
    <x v="5"/>
    <x v="5"/>
    <x v="0"/>
    <n v="30"/>
  </r>
  <r>
    <s v="HAP"/>
    <s v="01"/>
    <s v="GREENWAY"/>
    <s v="JACARANDA G C"/>
    <x v="160"/>
    <x v="7"/>
    <x v="1"/>
    <s v="Invoice"/>
    <s v="97521"/>
    <x v="0"/>
    <x v="0"/>
    <x v="0"/>
    <x v="0"/>
    <n v="55"/>
  </r>
  <r>
    <s v="DAVID"/>
    <s v="02"/>
    <s v="FLORIDAF"/>
    <s v="FLORIDA FERTILI"/>
    <x v="154"/>
    <x v="7"/>
    <x v="1"/>
    <s v="Invoice"/>
    <s v="97314A"/>
    <x v="280"/>
    <x v="245"/>
    <x v="20"/>
    <x v="1"/>
    <n v="44200"/>
  </r>
  <r>
    <s v="DAVID"/>
    <s v="02"/>
    <s v="FLORIDAF"/>
    <s v="FLORIDA FERTILI"/>
    <x v="154"/>
    <x v="7"/>
    <x v="1"/>
    <s v="Invoice"/>
    <s v="97321"/>
    <x v="280"/>
    <x v="245"/>
    <x v="20"/>
    <x v="1"/>
    <n v="44520"/>
  </r>
  <r>
    <s v="DAVID"/>
    <s v="02"/>
    <s v="TERRAFEED"/>
    <s v="MAILING"/>
    <x v="154"/>
    <x v="7"/>
    <x v="1"/>
    <s v="Invoice"/>
    <s v="97322"/>
    <x v="162"/>
    <x v="144"/>
    <x v="55"/>
    <x v="0"/>
    <n v="250"/>
  </r>
  <r>
    <s v="DAVID"/>
    <s v="02"/>
    <s v="TRUEALGAE"/>
    <s v="MAILIING"/>
    <x v="161"/>
    <x v="7"/>
    <x v="1"/>
    <s v="Invoice"/>
    <s v="97328"/>
    <x v="32"/>
    <x v="246"/>
    <x v="25"/>
    <x v="0"/>
    <n v="255"/>
  </r>
  <r>
    <s v="DAVID"/>
    <s v="02"/>
    <s v="JHBIOTECH"/>
    <s v="JHBIOTECH"/>
    <x v="161"/>
    <x v="7"/>
    <x v="1"/>
    <s v="Invoice"/>
    <s v="97334"/>
    <x v="24"/>
    <x v="19"/>
    <x v="19"/>
    <x v="0"/>
    <n v="929"/>
  </r>
  <r>
    <s v="DAVID"/>
    <s v="02"/>
    <s v="TRIANGLE"/>
    <s v="LAKEWALES"/>
    <x v="162"/>
    <x v="7"/>
    <x v="1"/>
    <s v="Invoice"/>
    <s v="97366"/>
    <x v="262"/>
    <x v="232"/>
    <x v="22"/>
    <x v="2"/>
    <n v="20.03"/>
  </r>
  <r>
    <s v="DAVID"/>
    <s v="02"/>
    <s v="FLORIDAF"/>
    <s v="FLORIDA FERTILI"/>
    <x v="163"/>
    <x v="7"/>
    <x v="1"/>
    <s v="Invoice"/>
    <s v="97377"/>
    <x v="280"/>
    <x v="245"/>
    <x v="20"/>
    <x v="1"/>
    <n v="44620"/>
  </r>
  <r>
    <s v="DAVID"/>
    <s v="02"/>
    <s v="HMCLAUSEINC"/>
    <s v="MAILIING"/>
    <x v="163"/>
    <x v="7"/>
    <x v="1"/>
    <s v="Invoice"/>
    <s v="97379"/>
    <x v="85"/>
    <x v="213"/>
    <x v="35"/>
    <x v="0"/>
    <n v="40"/>
  </r>
  <r>
    <s v="DAVID"/>
    <s v="02"/>
    <s v="HMCLAUSEINC"/>
    <s v="MAILIING"/>
    <x v="163"/>
    <x v="7"/>
    <x v="1"/>
    <s v="Invoice"/>
    <s v="97379"/>
    <x v="34"/>
    <x v="29"/>
    <x v="26"/>
    <x v="0"/>
    <n v="40"/>
  </r>
  <r>
    <s v="DAVID"/>
    <s v="02"/>
    <s v="BIGEARTH"/>
    <s v="TAMPA"/>
    <x v="163"/>
    <x v="7"/>
    <x v="1"/>
    <s v="Invoice"/>
    <s v="97388"/>
    <x v="3"/>
    <x v="80"/>
    <x v="2"/>
    <x v="0"/>
    <n v="100"/>
  </r>
  <r>
    <s v="DAVID"/>
    <s v="02"/>
    <s v="BIGEARTH"/>
    <s v="TAMPA"/>
    <x v="163"/>
    <x v="7"/>
    <x v="1"/>
    <s v="Invoice"/>
    <s v="97388"/>
    <x v="22"/>
    <x v="69"/>
    <x v="17"/>
    <x v="0"/>
    <n v="35"/>
  </r>
  <r>
    <s v="DAVID"/>
    <s v="02"/>
    <s v="BIGEARTH"/>
    <s v="TAMPA"/>
    <x v="163"/>
    <x v="7"/>
    <x v="1"/>
    <s v="Invoice"/>
    <s v="97388"/>
    <x v="209"/>
    <x v="185"/>
    <x v="63"/>
    <x v="0"/>
    <n v="50"/>
  </r>
  <r>
    <s v="DAVID"/>
    <s v="02"/>
    <s v="CPSFTPIE"/>
    <s v="FT. PIERCE"/>
    <x v="164"/>
    <x v="7"/>
    <x v="1"/>
    <s v="Invoice"/>
    <s v="97394"/>
    <x v="267"/>
    <x v="235"/>
    <x v="75"/>
    <x v="0"/>
    <n v="70"/>
  </r>
  <r>
    <s v="DAVID"/>
    <s v="02"/>
    <s v="GLADESFORM"/>
    <s v="MAIN"/>
    <x v="164"/>
    <x v="7"/>
    <x v="1"/>
    <s v="Invoice"/>
    <s v="97398"/>
    <x v="190"/>
    <x v="112"/>
    <x v="20"/>
    <x v="1"/>
    <n v="10590"/>
  </r>
  <r>
    <s v="DAVID"/>
    <s v="02"/>
    <s v="EVOQUAWATER"/>
    <s v="STOR-N-MORE"/>
    <x v="155"/>
    <x v="7"/>
    <x v="1"/>
    <s v="Invoice"/>
    <s v="97424"/>
    <x v="160"/>
    <x v="231"/>
    <x v="54"/>
    <x v="0"/>
    <n v="360"/>
  </r>
  <r>
    <s v="DAVID"/>
    <s v="02"/>
    <s v="MAYO"/>
    <s v="MAYO"/>
    <x v="165"/>
    <x v="7"/>
    <x v="1"/>
    <s v="Invoice"/>
    <s v="97425"/>
    <x v="29"/>
    <x v="24"/>
    <x v="20"/>
    <x v="1"/>
    <n v="40800"/>
  </r>
  <r>
    <s v="DAVID"/>
    <s v="02"/>
    <s v="MORRINC"/>
    <s v="WIMAUMA"/>
    <x v="165"/>
    <x v="7"/>
    <x v="1"/>
    <s v="Invoice"/>
    <s v="97426"/>
    <x v="5"/>
    <x v="72"/>
    <x v="4"/>
    <x v="0"/>
    <n v="125"/>
  </r>
  <r>
    <s v="DAVID"/>
    <s v="02"/>
    <s v="EVOQUAWATER"/>
    <s v="MAIN"/>
    <x v="156"/>
    <x v="7"/>
    <x v="1"/>
    <s v="Invoice"/>
    <s v="97450"/>
    <x v="160"/>
    <x v="231"/>
    <x v="54"/>
    <x v="0"/>
    <n v="360"/>
  </r>
  <r>
    <s v="DAVID"/>
    <s v="02"/>
    <s v="GEOPONICSCORP"/>
    <s v="NAPLES UNIT-105"/>
    <x v="157"/>
    <x v="7"/>
    <x v="1"/>
    <s v="Invoice"/>
    <s v="97462"/>
    <x v="31"/>
    <x v="26"/>
    <x v="24"/>
    <x v="0"/>
    <n v="50"/>
  </r>
  <r>
    <s v="DAVID"/>
    <s v="02"/>
    <s v="BIGEARTH"/>
    <s v="3115"/>
    <x v="166"/>
    <x v="7"/>
    <x v="1"/>
    <s v="Invoice"/>
    <s v="97478"/>
    <x v="281"/>
    <x v="247"/>
    <x v="76"/>
    <x v="0"/>
    <n v="500"/>
  </r>
  <r>
    <s v="DAVID"/>
    <s v="02"/>
    <s v="TRIANGLE"/>
    <s v="LAKEWALES"/>
    <x v="166"/>
    <x v="7"/>
    <x v="1"/>
    <s v="Invoice"/>
    <s v="97480"/>
    <x v="262"/>
    <x v="232"/>
    <x v="22"/>
    <x v="2"/>
    <n v="10.012499999999999"/>
  </r>
  <r>
    <s v="DAVID"/>
    <s v="02"/>
    <s v="CAROLINATU"/>
    <s v="GRANDOVER RESOR"/>
    <x v="159"/>
    <x v="7"/>
    <x v="1"/>
    <s v="Invoice"/>
    <s v="97494"/>
    <x v="22"/>
    <x v="69"/>
    <x v="17"/>
    <x v="0"/>
    <n v="40"/>
  </r>
  <r>
    <s v="DAVID"/>
    <s v="02"/>
    <s v="CAROLINATU"/>
    <s v="GRANDOVER RESOR"/>
    <x v="159"/>
    <x v="7"/>
    <x v="1"/>
    <s v="Invoice"/>
    <s v="97494"/>
    <x v="163"/>
    <x v="227"/>
    <x v="56"/>
    <x v="0"/>
    <n v="40"/>
  </r>
  <r>
    <s v="DAVID"/>
    <s v="02"/>
    <s v="FLORIDAF"/>
    <s v="FLORIDA FERTILI"/>
    <x v="159"/>
    <x v="7"/>
    <x v="1"/>
    <s v="Invoice"/>
    <s v="97495"/>
    <x v="280"/>
    <x v="245"/>
    <x v="20"/>
    <x v="1"/>
    <n v="44560"/>
  </r>
  <r>
    <s v="DAVID"/>
    <s v="02"/>
    <s v="FLORIDAF"/>
    <s v="FLORIDA FERTILI"/>
    <x v="167"/>
    <x v="7"/>
    <x v="1"/>
    <s v="Invoice"/>
    <s v="97503"/>
    <x v="280"/>
    <x v="245"/>
    <x v="20"/>
    <x v="1"/>
    <n v="45460"/>
  </r>
  <r>
    <s v="DAVID"/>
    <s v="02"/>
    <s v="CPSHASTI"/>
    <s v="TRENTON"/>
    <x v="160"/>
    <x v="7"/>
    <x v="1"/>
    <s v="Invoice"/>
    <s v="97512"/>
    <x v="266"/>
    <x v="234"/>
    <x v="74"/>
    <x v="0"/>
    <n v="250"/>
  </r>
  <r>
    <s v="DAVID"/>
    <s v="02"/>
    <s v="GEOPONICSCORP"/>
    <s v="NAPLES UNIT-105"/>
    <x v="160"/>
    <x v="7"/>
    <x v="1"/>
    <s v="Invoice"/>
    <s v="97513"/>
    <x v="32"/>
    <x v="85"/>
    <x v="25"/>
    <x v="0"/>
    <n v="220"/>
  </r>
  <r>
    <s v="DAVID"/>
    <s v="02"/>
    <s v="GEOPONICSCORP"/>
    <s v="NAPLES UNIT-105"/>
    <x v="160"/>
    <x v="7"/>
    <x v="1"/>
    <s v="Invoice"/>
    <s v="97515"/>
    <x v="282"/>
    <x v="26"/>
    <x v="24"/>
    <x v="0"/>
    <n v="110"/>
  </r>
  <r>
    <s v="DAVID"/>
    <s v="02"/>
    <s v="OHARAPEST"/>
    <s v="MAILIING"/>
    <x v="160"/>
    <x v="7"/>
    <x v="1"/>
    <s v="Invoice"/>
    <s v="97523"/>
    <x v="247"/>
    <x v="76"/>
    <x v="11"/>
    <x v="0"/>
    <n v="250"/>
  </r>
  <r>
    <s v="DAVID"/>
    <s v="02"/>
    <s v="BIGEARTH"/>
    <s v="TAMPA"/>
    <x v="168"/>
    <x v="7"/>
    <x v="1"/>
    <s v="Invoice"/>
    <s v="97525A"/>
    <x v="161"/>
    <x v="143"/>
    <x v="35"/>
    <x v="0"/>
    <n v="10"/>
  </r>
  <r>
    <s v="DAVID"/>
    <s v="02"/>
    <s v="TARGETSPECIALTY"/>
    <s v="TAMPA"/>
    <x v="169"/>
    <x v="7"/>
    <x v="1"/>
    <s v="Invoice"/>
    <s v="97539"/>
    <x v="283"/>
    <x v="19"/>
    <x v="19"/>
    <x v="0"/>
    <n v="55"/>
  </r>
  <r>
    <s v="DAVID"/>
    <s v="02"/>
    <s v="CPSFTPIE"/>
    <s v="FT. PIERCE"/>
    <x v="169"/>
    <x v="7"/>
    <x v="1"/>
    <s v="Invoice"/>
    <s v="97544"/>
    <x v="267"/>
    <x v="235"/>
    <x v="75"/>
    <x v="0"/>
    <n v="70"/>
  </r>
  <r>
    <s v="DAVID"/>
    <s v="02"/>
    <s v="SOUTHERN"/>
    <s v="SOUTHERN AG"/>
    <x v="169"/>
    <x v="7"/>
    <x v="1"/>
    <s v="Invoice"/>
    <s v="97547"/>
    <x v="26"/>
    <x v="21"/>
    <x v="21"/>
    <x v="0"/>
    <n v="1068"/>
  </r>
  <r>
    <s v="JUSTIN"/>
    <s v="03"/>
    <s v="CPSWACHU"/>
    <s v="WAUCHULA"/>
    <x v="161"/>
    <x v="7"/>
    <x v="1"/>
    <s v="Invoice"/>
    <s v="97336"/>
    <x v="34"/>
    <x v="29"/>
    <x v="26"/>
    <x v="0"/>
    <n v="180"/>
  </r>
  <r>
    <s v="JUSTIN"/>
    <s v="03"/>
    <s v="CPSIMMOK"/>
    <s v="IMMOKALEE"/>
    <x v="170"/>
    <x v="7"/>
    <x v="1"/>
    <s v="Invoice"/>
    <s v="97340"/>
    <x v="191"/>
    <x v="169"/>
    <x v="61"/>
    <x v="0"/>
    <n v="180"/>
  </r>
  <r>
    <s v="JUSTIN"/>
    <s v="03"/>
    <s v="CPSWACHU"/>
    <s v="WAUCHULA"/>
    <x v="162"/>
    <x v="7"/>
    <x v="1"/>
    <s v="Invoice"/>
    <s v="97360"/>
    <x v="192"/>
    <x v="169"/>
    <x v="61"/>
    <x v="0"/>
    <n v="250"/>
  </r>
  <r>
    <s v="JUSTIN"/>
    <s v="03"/>
    <s v="CPSWAVER"/>
    <s v="WAVERLY"/>
    <x v="162"/>
    <x v="7"/>
    <x v="1"/>
    <s v="Invoice"/>
    <s v="97361"/>
    <x v="38"/>
    <x v="30"/>
    <x v="27"/>
    <x v="0"/>
    <n v="1750"/>
  </r>
  <r>
    <s v="JUSTIN"/>
    <s v="03"/>
    <s v="CPSWACHU"/>
    <s v="WAUCHULA"/>
    <x v="162"/>
    <x v="7"/>
    <x v="1"/>
    <s v="Invoice"/>
    <s v="97369"/>
    <x v="96"/>
    <x v="90"/>
    <x v="39"/>
    <x v="0"/>
    <n v="180"/>
  </r>
  <r>
    <s v="JUSTIN"/>
    <s v="03"/>
    <s v="CPSPARRI"/>
    <s v="PARRISH"/>
    <x v="163"/>
    <x v="7"/>
    <x v="1"/>
    <s v="Invoice"/>
    <s v="97378"/>
    <x v="40"/>
    <x v="35"/>
    <x v="29"/>
    <x v="0"/>
    <n v="180"/>
  </r>
  <r>
    <s v="JUSTIN"/>
    <s v="03"/>
    <s v="TRIANGLE"/>
    <s v="TRIANGLE/LAKEPL"/>
    <x v="163"/>
    <x v="7"/>
    <x v="1"/>
    <s v="Invoice"/>
    <s v="97380"/>
    <x v="136"/>
    <x v="111"/>
    <x v="46"/>
    <x v="0"/>
    <n v="540"/>
  </r>
  <r>
    <s v="JUSTIN"/>
    <s v="03"/>
    <s v="CPSOKEE"/>
    <s v="OKEE-LIQ PLANT"/>
    <x v="164"/>
    <x v="7"/>
    <x v="1"/>
    <s v="Invoice"/>
    <s v="97397"/>
    <x v="134"/>
    <x v="94"/>
    <x v="41"/>
    <x v="0"/>
    <n v="3463"/>
  </r>
  <r>
    <s v="JUSTIN"/>
    <s v="03"/>
    <s v="CPSWACHU"/>
    <s v="WAUCHULA"/>
    <x v="171"/>
    <x v="7"/>
    <x v="1"/>
    <s v="Invoice"/>
    <s v="97403"/>
    <x v="191"/>
    <x v="169"/>
    <x v="61"/>
    <x v="0"/>
    <n v="180"/>
  </r>
  <r>
    <s v="JUSTIN"/>
    <s v="03"/>
    <s v="CPSWAVER"/>
    <s v="WAVERLY"/>
    <x v="171"/>
    <x v="7"/>
    <x v="1"/>
    <s v="Invoice"/>
    <s v="97406"/>
    <x v="191"/>
    <x v="169"/>
    <x v="61"/>
    <x v="0"/>
    <n v="360"/>
  </r>
  <r>
    <s v="JUSTIN"/>
    <s v="03"/>
    <s v="CPSWAVER"/>
    <s v="WAVERLY"/>
    <x v="171"/>
    <x v="7"/>
    <x v="1"/>
    <s v="Invoice"/>
    <s v="97406"/>
    <x v="96"/>
    <x v="90"/>
    <x v="39"/>
    <x v="0"/>
    <n v="180"/>
  </r>
  <r>
    <s v="JUSTIN"/>
    <s v="03"/>
    <s v="COASTALAGSUPPLY"/>
    <s v="MISTYORGANICS"/>
    <x v="155"/>
    <x v="7"/>
    <x v="1"/>
    <s v="Invoice"/>
    <s v="97418"/>
    <x v="75"/>
    <x v="68"/>
    <x v="22"/>
    <x v="2"/>
    <n v="12.44"/>
  </r>
  <r>
    <s v="JUSTIN"/>
    <s v="03"/>
    <s v="GRIFFINF"/>
    <s v="FROSTPROOF"/>
    <x v="165"/>
    <x v="7"/>
    <x v="1"/>
    <s v="Invoice"/>
    <s v="97427"/>
    <x v="197"/>
    <x v="31"/>
    <x v="4"/>
    <x v="0"/>
    <n v="1000"/>
  </r>
  <r>
    <s v="JUSTIN"/>
    <s v="03"/>
    <s v="GRIFFINF"/>
    <s v="FROSTPROOF"/>
    <x v="165"/>
    <x v="7"/>
    <x v="1"/>
    <s v="Invoice"/>
    <s v="97427"/>
    <x v="36"/>
    <x v="31"/>
    <x v="4"/>
    <x v="0"/>
    <n v="360"/>
  </r>
  <r>
    <s v="JUSTIN"/>
    <s v="03"/>
    <s v="TRIANGLE"/>
    <s v="TRIANGLE/LAKEPL"/>
    <x v="156"/>
    <x v="7"/>
    <x v="1"/>
    <s v="Invoice"/>
    <s v="97447"/>
    <x v="100"/>
    <x v="94"/>
    <x v="41"/>
    <x v="0"/>
    <n v="1000"/>
  </r>
  <r>
    <s v="JUSTIN"/>
    <s v="03"/>
    <s v="CPSWACHU"/>
    <s v="WAUCHULA"/>
    <x v="157"/>
    <x v="7"/>
    <x v="1"/>
    <s v="Invoice"/>
    <s v="97455"/>
    <x v="196"/>
    <x v="172"/>
    <x v="61"/>
    <x v="0"/>
    <n v="180"/>
  </r>
  <r>
    <s v="JUSTIN"/>
    <s v="03"/>
    <s v="GRIFFINF"/>
    <s v="FROSTPROOF"/>
    <x v="157"/>
    <x v="7"/>
    <x v="1"/>
    <s v="Invoice"/>
    <s v="97456"/>
    <x v="36"/>
    <x v="31"/>
    <x v="4"/>
    <x v="0"/>
    <n v="1440"/>
  </r>
  <r>
    <s v="JUSTIN"/>
    <s v="03"/>
    <s v="CPSWACHU"/>
    <s v="WAUCHULA"/>
    <x v="172"/>
    <x v="7"/>
    <x v="1"/>
    <s v="Invoice"/>
    <s v="97465"/>
    <x v="265"/>
    <x v="234"/>
    <x v="74"/>
    <x v="0"/>
    <n v="120"/>
  </r>
  <r>
    <s v="JUSTIN"/>
    <s v="03"/>
    <s v="TRIANGLE"/>
    <s v="TRIANGLE/LAKEPL"/>
    <x v="172"/>
    <x v="7"/>
    <x v="1"/>
    <s v="Invoice"/>
    <s v="97475"/>
    <x v="264"/>
    <x v="156"/>
    <x v="9"/>
    <x v="0"/>
    <n v="250"/>
  </r>
  <r>
    <s v="JUSTIN"/>
    <s v="03"/>
    <s v="TRIANGLE"/>
    <s v="TRIANGLE/LAKEPL"/>
    <x v="172"/>
    <x v="7"/>
    <x v="1"/>
    <s v="Invoice"/>
    <s v="97475"/>
    <x v="175"/>
    <x v="156"/>
    <x v="9"/>
    <x v="0"/>
    <n v="175"/>
  </r>
  <r>
    <s v="JUSTIN"/>
    <s v="03"/>
    <s v="TRIANGLE"/>
    <s v="TRIANGLE/LAKEPL"/>
    <x v="158"/>
    <x v="7"/>
    <x v="1"/>
    <s v="Invoice"/>
    <s v="97488"/>
    <x v="100"/>
    <x v="94"/>
    <x v="41"/>
    <x v="0"/>
    <n v="250"/>
  </r>
  <r>
    <s v="JUSTIN"/>
    <s v="03"/>
    <s v="GRIFFINF"/>
    <s v="FROSTPROOF"/>
    <x v="159"/>
    <x v="7"/>
    <x v="1"/>
    <s v="Invoice"/>
    <s v="97500"/>
    <x v="36"/>
    <x v="31"/>
    <x v="4"/>
    <x v="0"/>
    <n v="1080"/>
  </r>
  <r>
    <s v="JUSTIN"/>
    <s v="03"/>
    <s v="GRIFFINF"/>
    <s v="FROSTPROOF"/>
    <x v="167"/>
    <x v="7"/>
    <x v="1"/>
    <s v="Invoice"/>
    <s v="97502"/>
    <x v="197"/>
    <x v="31"/>
    <x v="4"/>
    <x v="0"/>
    <n v="250"/>
  </r>
  <r>
    <s v="JUSTIN"/>
    <s v="03"/>
    <s v="CPSWACHU"/>
    <s v="WAUCHULA"/>
    <x v="169"/>
    <x v="7"/>
    <x v="1"/>
    <s v="Invoice"/>
    <s v="97538"/>
    <x v="196"/>
    <x v="172"/>
    <x v="61"/>
    <x v="0"/>
    <n v="180"/>
  </r>
  <r>
    <s v="DPOPPELL"/>
    <s v="04"/>
    <s v="SWEETLIFE"/>
    <s v="KNIGHTS GRIFFIN"/>
    <x v="154"/>
    <x v="7"/>
    <x v="1"/>
    <s v="Invoice"/>
    <s v="97316"/>
    <x v="275"/>
    <x v="242"/>
    <x v="22"/>
    <x v="2"/>
    <n v="10"/>
  </r>
  <r>
    <s v="DPOPPELL"/>
    <s v="04"/>
    <s v="VENTURAFARMS"/>
    <s v="HOUSE"/>
    <x v="154"/>
    <x v="7"/>
    <x v="1"/>
    <s v="Invoice"/>
    <s v="97318"/>
    <x v="63"/>
    <x v="56"/>
    <x v="22"/>
    <x v="2"/>
    <n v="1"/>
  </r>
  <r>
    <s v="DPOPPELL"/>
    <s v="04"/>
    <s v="FLORIDAAG"/>
    <s v="KINGSWAY"/>
    <x v="154"/>
    <x v="7"/>
    <x v="1"/>
    <s v="Invoice"/>
    <s v="97323"/>
    <x v="52"/>
    <x v="45"/>
    <x v="22"/>
    <x v="2"/>
    <n v="2.25"/>
  </r>
  <r>
    <s v="DPOPPELL"/>
    <s v="04"/>
    <s v="MIDWAYF"/>
    <s v="WILDER RD."/>
    <x v="154"/>
    <x v="7"/>
    <x v="1"/>
    <s v="Invoice"/>
    <s v="97325"/>
    <x v="275"/>
    <x v="242"/>
    <x v="22"/>
    <x v="2"/>
    <n v="7"/>
  </r>
  <r>
    <s v="DPOPPELL"/>
    <s v="04"/>
    <s v="JOSEHERN"/>
    <s v="DURANT"/>
    <x v="161"/>
    <x v="7"/>
    <x v="1"/>
    <s v="Invoice"/>
    <s v="97326"/>
    <x v="55"/>
    <x v="48"/>
    <x v="22"/>
    <x v="2"/>
    <n v="6.02"/>
  </r>
  <r>
    <s v="DPOPPELL"/>
    <s v="04"/>
    <s v="THREESTA"/>
    <s v="WALDEN-SHEFFIEL"/>
    <x v="161"/>
    <x v="7"/>
    <x v="1"/>
    <s v="Invoice"/>
    <s v="97327"/>
    <x v="273"/>
    <x v="240"/>
    <x v="22"/>
    <x v="2"/>
    <n v="10.025"/>
  </r>
  <r>
    <s v="DPOPPELL"/>
    <s v="04"/>
    <s v="CHARLIEG-LLC"/>
    <s v="LAMPP ROAD"/>
    <x v="161"/>
    <x v="7"/>
    <x v="1"/>
    <s v="Invoice"/>
    <s v="97329"/>
    <x v="275"/>
    <x v="242"/>
    <x v="22"/>
    <x v="2"/>
    <n v="10.01"/>
  </r>
  <r>
    <s v="DPOPPELL"/>
    <s v="04"/>
    <s v="SWEETLIFE"/>
    <s v="KNIGHTS GRIFFIN"/>
    <x v="161"/>
    <x v="7"/>
    <x v="1"/>
    <s v="Invoice"/>
    <s v="97330"/>
    <x v="275"/>
    <x v="242"/>
    <x v="22"/>
    <x v="2"/>
    <n v="10.015000000000001"/>
  </r>
  <r>
    <s v="DPOPPELL"/>
    <s v="04"/>
    <s v="SWEETLIFE"/>
    <s v="KNIGHTS GRIFFIN"/>
    <x v="161"/>
    <x v="7"/>
    <x v="1"/>
    <s v="Invoice"/>
    <s v="97331"/>
    <x v="275"/>
    <x v="242"/>
    <x v="22"/>
    <x v="2"/>
    <n v="10.0275"/>
  </r>
  <r>
    <s v="DPOPPELL"/>
    <s v="04"/>
    <s v="FAVORITE"/>
    <s v="BETHLEHEM ROAD"/>
    <x v="161"/>
    <x v="7"/>
    <x v="1"/>
    <s v="Invoice"/>
    <s v="97332"/>
    <x v="43"/>
    <x v="38"/>
    <x v="22"/>
    <x v="2"/>
    <n v="5.0025000000000004"/>
  </r>
  <r>
    <s v="DPOPPELL"/>
    <s v="04"/>
    <s v="PEPPERBERRY"/>
    <s v="SPARKMAN RD/S"/>
    <x v="161"/>
    <x v="7"/>
    <x v="1"/>
    <s v="Invoice"/>
    <s v="97333"/>
    <x v="284"/>
    <x v="248"/>
    <x v="22"/>
    <x v="2"/>
    <n v="14.5"/>
  </r>
  <r>
    <s v="DPOPPELL"/>
    <s v="04"/>
    <s v="PORTER HA"/>
    <s v="PASTURE"/>
    <x v="161"/>
    <x v="7"/>
    <x v="1"/>
    <s v="Invoice"/>
    <s v="97335"/>
    <x v="233"/>
    <x v="209"/>
    <x v="22"/>
    <x v="2"/>
    <n v="5"/>
  </r>
  <r>
    <s v="DPOPPELL"/>
    <s v="04"/>
    <s v="MENDOZAHEC"/>
    <s v="OLIVERRD"/>
    <x v="170"/>
    <x v="7"/>
    <x v="1"/>
    <s v="Invoice"/>
    <s v="97337"/>
    <x v="43"/>
    <x v="38"/>
    <x v="22"/>
    <x v="2"/>
    <n v="7"/>
  </r>
  <r>
    <s v="DPOPPELL"/>
    <s v="04"/>
    <s v="GUTIERREZDAN"/>
    <s v="TANNER RD."/>
    <x v="170"/>
    <x v="7"/>
    <x v="1"/>
    <s v="Invoice"/>
    <s v="97341"/>
    <x v="58"/>
    <x v="51"/>
    <x v="22"/>
    <x v="2"/>
    <n v="1.0049999999999999"/>
  </r>
  <r>
    <s v="DPOPPELL"/>
    <s v="04"/>
    <s v="GUTIERREZDAN"/>
    <s v="THEHILL"/>
    <x v="170"/>
    <x v="7"/>
    <x v="1"/>
    <s v="Invoice"/>
    <s v="97342"/>
    <x v="58"/>
    <x v="51"/>
    <x v="22"/>
    <x v="2"/>
    <n v="7.0125000000000002"/>
  </r>
  <r>
    <s v="DPOPPELL"/>
    <s v="04"/>
    <s v="MIKELOTT"/>
    <s v="HILLSBOROUGH"/>
    <x v="170"/>
    <x v="7"/>
    <x v="1"/>
    <s v="Invoice"/>
    <s v="97343"/>
    <x v="272"/>
    <x v="239"/>
    <x v="22"/>
    <x v="2"/>
    <n v="5.0049999999999999"/>
  </r>
  <r>
    <s v="DPOPPELL"/>
    <s v="04"/>
    <s v="SYDNEYFA"/>
    <s v="FORBES/NORTH"/>
    <x v="170"/>
    <x v="7"/>
    <x v="1"/>
    <s v="Invoice"/>
    <s v="97344"/>
    <x v="273"/>
    <x v="240"/>
    <x v="22"/>
    <x v="2"/>
    <n v="6.0025000000000004"/>
  </r>
  <r>
    <s v="DPOPPELL"/>
    <s v="04"/>
    <s v="GUTIERREZA"/>
    <s v="TOMGALLAGHER"/>
    <x v="170"/>
    <x v="7"/>
    <x v="1"/>
    <s v="Invoice"/>
    <s v="97345"/>
    <x v="58"/>
    <x v="51"/>
    <x v="22"/>
    <x v="2"/>
    <n v="6.0175000000000001"/>
  </r>
  <r>
    <s v="DPOPPELL"/>
    <s v="04"/>
    <s v="GUTIERREZA"/>
    <s v="WIAMAUMA"/>
    <x v="170"/>
    <x v="7"/>
    <x v="1"/>
    <s v="Invoice"/>
    <s v="97346"/>
    <x v="50"/>
    <x v="43"/>
    <x v="22"/>
    <x v="2"/>
    <n v="4.9950000000000001"/>
  </r>
  <r>
    <s v="DPOPPELL"/>
    <s v="04"/>
    <s v="GAONA, ESPER"/>
    <s v="WILLIAMSRD"/>
    <x v="170"/>
    <x v="7"/>
    <x v="1"/>
    <s v="Invoice"/>
    <s v="97347"/>
    <x v="69"/>
    <x v="62"/>
    <x v="22"/>
    <x v="2"/>
    <n v="2"/>
  </r>
  <r>
    <s v="DPOPPELL"/>
    <s v="04"/>
    <s v="FILEMONMARTINEZ"/>
    <s v="REDMAN"/>
    <x v="170"/>
    <x v="7"/>
    <x v="1"/>
    <s v="Invoice"/>
    <s v="97348"/>
    <x v="43"/>
    <x v="38"/>
    <x v="22"/>
    <x v="2"/>
    <n v="2.5"/>
  </r>
  <r>
    <s v="DPOPPELL"/>
    <s v="04"/>
    <s v="SRISAIAY"/>
    <s v="SYDNEY DOVER"/>
    <x v="170"/>
    <x v="7"/>
    <x v="1"/>
    <s v="Invoice"/>
    <s v="97349"/>
    <x v="233"/>
    <x v="209"/>
    <x v="22"/>
    <x v="2"/>
    <n v="2.4750000000000001"/>
  </r>
  <r>
    <s v="DPOPPELL"/>
    <s v="04"/>
    <s v="GUTIERREZA"/>
    <s v="WASHINGTON"/>
    <x v="170"/>
    <x v="7"/>
    <x v="1"/>
    <s v="Invoice"/>
    <s v="97350"/>
    <x v="43"/>
    <x v="38"/>
    <x v="22"/>
    <x v="2"/>
    <n v="4.01"/>
  </r>
  <r>
    <s v="DPOPPELL"/>
    <s v="04"/>
    <s v="CHARLIEG-LLC"/>
    <s v="LAMPP ROAD"/>
    <x v="173"/>
    <x v="7"/>
    <x v="1"/>
    <s v="Invoice"/>
    <s v="97354"/>
    <x v="275"/>
    <x v="242"/>
    <x v="22"/>
    <x v="2"/>
    <n v="2.5"/>
  </r>
  <r>
    <s v="DPOPPELL"/>
    <s v="04"/>
    <s v="IFASGULF"/>
    <s v="BALM-TOMATOS"/>
    <x v="173"/>
    <x v="7"/>
    <x v="1"/>
    <s v="Invoice"/>
    <s v="97355"/>
    <x v="28"/>
    <x v="23"/>
    <x v="22"/>
    <x v="2"/>
    <n v="7.5"/>
  </r>
  <r>
    <s v="DPOPPELL"/>
    <s v="04"/>
    <s v="STEVEMAT"/>
    <s v="HWY 60"/>
    <x v="173"/>
    <x v="7"/>
    <x v="1"/>
    <s v="Invoice"/>
    <s v="97356"/>
    <x v="109"/>
    <x v="80"/>
    <x v="2"/>
    <x v="0"/>
    <n v="250"/>
  </r>
  <r>
    <s v="DPOPPELL"/>
    <s v="04"/>
    <s v="ALONSOFARMS"/>
    <s v="SCARPO"/>
    <x v="173"/>
    <x v="7"/>
    <x v="1"/>
    <s v="Invoice"/>
    <s v="97358"/>
    <x v="43"/>
    <x v="38"/>
    <x v="22"/>
    <x v="2"/>
    <n v="9.0274999999999999"/>
  </r>
  <r>
    <s v="DPOPPELL"/>
    <s v="04"/>
    <s v="SYDNEYFA"/>
    <s v="SYDNEY-WASHER"/>
    <x v="173"/>
    <x v="7"/>
    <x v="1"/>
    <s v="Invoice"/>
    <s v="97359"/>
    <x v="273"/>
    <x v="240"/>
    <x v="22"/>
    <x v="2"/>
    <n v="6"/>
  </r>
  <r>
    <s v="DPOPPELL"/>
    <s v="04"/>
    <s v="CHARLIEG-LLC"/>
    <s v="ALBRITTON"/>
    <x v="162"/>
    <x v="7"/>
    <x v="1"/>
    <s v="Invoice"/>
    <s v="97362"/>
    <x v="275"/>
    <x v="242"/>
    <x v="22"/>
    <x v="2"/>
    <n v="1.01"/>
  </r>
  <r>
    <s v="DPOPPELL"/>
    <s v="04"/>
    <s v="SYDNEYFA"/>
    <s v="FORBES ROAD"/>
    <x v="162"/>
    <x v="7"/>
    <x v="1"/>
    <s v="Invoice"/>
    <s v="97363"/>
    <x v="273"/>
    <x v="240"/>
    <x v="22"/>
    <x v="2"/>
    <n v="2.5"/>
  </r>
  <r>
    <s v="DPOPPELL"/>
    <s v="04"/>
    <s v="THREESTA"/>
    <s v="WALDEN-SHEFFIEL"/>
    <x v="162"/>
    <x v="7"/>
    <x v="1"/>
    <s v="Invoice"/>
    <s v="97365"/>
    <x v="273"/>
    <x v="240"/>
    <x v="22"/>
    <x v="2"/>
    <n v="15.05"/>
  </r>
  <r>
    <s v="DPOPPELL"/>
    <s v="04"/>
    <s v="JOEPENA"/>
    <s v="HWY 92"/>
    <x v="162"/>
    <x v="7"/>
    <x v="1"/>
    <s v="Invoice"/>
    <s v="97367"/>
    <x v="114"/>
    <x v="101"/>
    <x v="22"/>
    <x v="2"/>
    <n v="1"/>
  </r>
  <r>
    <s v="DPOPPELL"/>
    <s v="04"/>
    <s v="JOSEHERN"/>
    <s v="KEYSVILLE N"/>
    <x v="162"/>
    <x v="7"/>
    <x v="1"/>
    <s v="Invoice"/>
    <s v="97368"/>
    <x v="43"/>
    <x v="38"/>
    <x v="22"/>
    <x v="2"/>
    <n v="5"/>
  </r>
  <r>
    <s v="DPOPPELL"/>
    <s v="04"/>
    <s v="CIRCLEGF&amp;R LLC"/>
    <s v="KNIGHTS-N/NORTH"/>
    <x v="174"/>
    <x v="7"/>
    <x v="1"/>
    <s v="Invoice"/>
    <s v="97373"/>
    <x v="275"/>
    <x v="242"/>
    <x v="22"/>
    <x v="2"/>
    <n v="9"/>
  </r>
  <r>
    <s v="DPOPPELL"/>
    <s v="04"/>
    <s v="JOSEHERN"/>
    <s v="DURANT"/>
    <x v="174"/>
    <x v="7"/>
    <x v="1"/>
    <s v="Invoice"/>
    <s v="97375"/>
    <x v="55"/>
    <x v="48"/>
    <x v="22"/>
    <x v="2"/>
    <n v="8"/>
  </r>
  <r>
    <s v="DPOPPELL"/>
    <s v="04"/>
    <s v="CHANFARM"/>
    <s v="KNIGHTS GRIFFIN"/>
    <x v="174"/>
    <x v="7"/>
    <x v="1"/>
    <s v="Invoice"/>
    <s v="97376"/>
    <x v="51"/>
    <x v="44"/>
    <x v="22"/>
    <x v="2"/>
    <n v="2.5"/>
  </r>
  <r>
    <s v="DPOPPELL"/>
    <s v="04"/>
    <s v="MIDWAYF"/>
    <s v="ALS - NORTH"/>
    <x v="163"/>
    <x v="7"/>
    <x v="1"/>
    <s v="Invoice"/>
    <s v="97382"/>
    <x v="275"/>
    <x v="242"/>
    <x v="22"/>
    <x v="2"/>
    <n v="6.25"/>
  </r>
  <r>
    <s v="DPOPPELL"/>
    <s v="04"/>
    <s v="FCFARMS"/>
    <s v="KNIGHTSGRIFFIN"/>
    <x v="163"/>
    <x v="7"/>
    <x v="1"/>
    <s v="Invoice"/>
    <s v="97383"/>
    <x v="58"/>
    <x v="51"/>
    <x v="22"/>
    <x v="2"/>
    <n v="3.0024999999999999"/>
  </r>
  <r>
    <s v="DPOPPELL"/>
    <s v="04"/>
    <s v="SPIVEYFA"/>
    <s v="HOPEWELL"/>
    <x v="163"/>
    <x v="7"/>
    <x v="1"/>
    <s v="Invoice"/>
    <s v="97384"/>
    <x v="56"/>
    <x v="49"/>
    <x v="22"/>
    <x v="2"/>
    <n v="4.0075000000000003"/>
  </r>
  <r>
    <s v="DPOPPELL"/>
    <s v="04"/>
    <s v="SANCHEZFARM"/>
    <s v="SOUTH FORBES"/>
    <x v="163"/>
    <x v="7"/>
    <x v="1"/>
    <s v="Invoice"/>
    <s v="97385"/>
    <x v="43"/>
    <x v="38"/>
    <x v="22"/>
    <x v="2"/>
    <n v="11"/>
  </r>
  <r>
    <s v="DPOPPELL"/>
    <s v="04"/>
    <s v="BONIFACIO"/>
    <s v="BONIFACIO"/>
    <x v="163"/>
    <x v="7"/>
    <x v="1"/>
    <s v="Invoice"/>
    <s v="97387"/>
    <x v="77"/>
    <x v="37"/>
    <x v="30"/>
    <x v="0"/>
    <n v="30"/>
  </r>
  <r>
    <s v="DPOPPELL"/>
    <s v="04"/>
    <s v="LARRYENN"/>
    <s v="TRAPNELL ROAD"/>
    <x v="163"/>
    <x v="7"/>
    <x v="1"/>
    <s v="Invoice"/>
    <s v="97389"/>
    <x v="43"/>
    <x v="38"/>
    <x v="22"/>
    <x v="2"/>
    <n v="2.5"/>
  </r>
  <r>
    <s v="DPOPPELL"/>
    <s v="04"/>
    <s v="SWEETLIFE"/>
    <s v="KNIGHTS GRIFFIN"/>
    <x v="163"/>
    <x v="7"/>
    <x v="1"/>
    <s v="Invoice"/>
    <s v="97390"/>
    <x v="275"/>
    <x v="242"/>
    <x v="22"/>
    <x v="2"/>
    <n v="10"/>
  </r>
  <r>
    <s v=""/>
    <s v="04"/>
    <s v="SOTERO"/>
    <s v="SOTERO"/>
    <x v="163"/>
    <x v="7"/>
    <x v="1"/>
    <s v="Invoice"/>
    <s v="97391"/>
    <x v="53"/>
    <x v="46"/>
    <x v="22"/>
    <x v="2"/>
    <n v="0.3"/>
  </r>
  <r>
    <s v="DPOPPELL"/>
    <s v="04"/>
    <s v="THREESTA"/>
    <s v="WALDEN-SHEFFIEL"/>
    <x v="164"/>
    <x v="7"/>
    <x v="1"/>
    <s v="Invoice"/>
    <s v="97392"/>
    <x v="273"/>
    <x v="240"/>
    <x v="22"/>
    <x v="2"/>
    <n v="12.01"/>
  </r>
  <r>
    <s v="DPOPPELL"/>
    <s v="04"/>
    <s v="SYDNEYFA"/>
    <s v="FORBES ROAD"/>
    <x v="164"/>
    <x v="7"/>
    <x v="1"/>
    <s v="Invoice"/>
    <s v="97393"/>
    <x v="273"/>
    <x v="240"/>
    <x v="22"/>
    <x v="2"/>
    <n v="5.0274999999999999"/>
  </r>
  <r>
    <s v="DPOPPELL"/>
    <s v="04"/>
    <s v="FLORIDAAG"/>
    <s v="KINGSWAY"/>
    <x v="164"/>
    <x v="7"/>
    <x v="1"/>
    <s v="Invoice"/>
    <s v="97395"/>
    <x v="52"/>
    <x v="45"/>
    <x v="22"/>
    <x v="2"/>
    <n v="2.2725"/>
  </r>
  <r>
    <s v="DPOPPELL"/>
    <s v="04"/>
    <s v="MENDOZAHEC"/>
    <s v="LONEOAK"/>
    <x v="164"/>
    <x v="7"/>
    <x v="1"/>
    <s v="Invoice"/>
    <s v="97400"/>
    <x v="43"/>
    <x v="38"/>
    <x v="22"/>
    <x v="2"/>
    <n v="3.5"/>
  </r>
  <r>
    <s v="DPOPPELL"/>
    <s v="04"/>
    <s v="BONIFACIO"/>
    <s v="NEWSOME"/>
    <x v="164"/>
    <x v="7"/>
    <x v="1"/>
    <s v="Invoice"/>
    <s v="97401"/>
    <x v="53"/>
    <x v="46"/>
    <x v="22"/>
    <x v="2"/>
    <n v="2.5"/>
  </r>
  <r>
    <s v="DPOPPELL"/>
    <s v="04"/>
    <s v="IFASGULF"/>
    <s v="BALM-STRAWBERRY"/>
    <x v="171"/>
    <x v="7"/>
    <x v="1"/>
    <s v="Invoice"/>
    <s v="97407"/>
    <x v="28"/>
    <x v="23"/>
    <x v="22"/>
    <x v="2"/>
    <n v="7.5"/>
  </r>
  <r>
    <s v="DPOPPELL"/>
    <s v="04"/>
    <s v="CHARLIEG-LLC"/>
    <s v="LAMPP ROAD"/>
    <x v="171"/>
    <x v="7"/>
    <x v="1"/>
    <s v="Invoice"/>
    <s v="97408"/>
    <x v="275"/>
    <x v="242"/>
    <x v="22"/>
    <x v="2"/>
    <n v="2.5"/>
  </r>
  <r>
    <s v="DPOPPELL"/>
    <s v="04"/>
    <s v="MIDWAYF"/>
    <s v="ALS - SOUTH"/>
    <x v="171"/>
    <x v="7"/>
    <x v="1"/>
    <s v="Invoice"/>
    <s v="97409"/>
    <x v="275"/>
    <x v="242"/>
    <x v="22"/>
    <x v="2"/>
    <n v="6.02"/>
  </r>
  <r>
    <s v="DPOPPELL"/>
    <s v="04"/>
    <s v="TECHFARM"/>
    <s v="SYDNEYDOVER"/>
    <x v="171"/>
    <x v="7"/>
    <x v="1"/>
    <s v="Invoice"/>
    <s v="97410"/>
    <x v="233"/>
    <x v="209"/>
    <x v="22"/>
    <x v="2"/>
    <n v="4.9924999999999997"/>
  </r>
  <r>
    <s v="DPOPPELL"/>
    <s v="04"/>
    <s v="ROQUEFARMS"/>
    <s v="MEEKHORIZON"/>
    <x v="171"/>
    <x v="7"/>
    <x v="1"/>
    <s v="Invoice"/>
    <s v="97411"/>
    <x v="43"/>
    <x v="38"/>
    <x v="22"/>
    <x v="2"/>
    <n v="5"/>
  </r>
  <r>
    <s v="DPOPPELL"/>
    <s v="04"/>
    <s v="GEORGESP"/>
    <s v="TRAPNELL ROAD"/>
    <x v="171"/>
    <x v="7"/>
    <x v="1"/>
    <s v="Invoice"/>
    <s v="97412"/>
    <x v="285"/>
    <x v="103"/>
    <x v="43"/>
    <x v="0"/>
    <n v="55"/>
  </r>
  <r>
    <s v="DPOPPELL"/>
    <s v="04"/>
    <s v="SYDNEYFA"/>
    <s v="FORBES ROAD"/>
    <x v="155"/>
    <x v="7"/>
    <x v="1"/>
    <s v="Invoice"/>
    <s v="97415"/>
    <x v="273"/>
    <x v="240"/>
    <x v="22"/>
    <x v="2"/>
    <n v="12.0075"/>
  </r>
  <r>
    <s v="DPOPPELL"/>
    <s v="04"/>
    <s v="ELIASCEDILLO"/>
    <s v="JESS WALDEN"/>
    <x v="155"/>
    <x v="7"/>
    <x v="1"/>
    <s v="Invoice"/>
    <s v="97419"/>
    <x v="43"/>
    <x v="38"/>
    <x v="22"/>
    <x v="2"/>
    <n v="2.5074999999999998"/>
  </r>
  <r>
    <s v="DPOPPELL"/>
    <s v="04"/>
    <s v="GAONA, ESPER"/>
    <s v="STRAUSS RD."/>
    <x v="155"/>
    <x v="7"/>
    <x v="1"/>
    <s v="Invoice"/>
    <s v="97420"/>
    <x v="69"/>
    <x v="62"/>
    <x v="22"/>
    <x v="2"/>
    <n v="1.2575000000000001"/>
  </r>
  <r>
    <s v="DPOPPELL"/>
    <s v="04"/>
    <s v="GUTIERREZDAN"/>
    <s v="TANNER RD."/>
    <x v="155"/>
    <x v="7"/>
    <x v="1"/>
    <s v="Invoice"/>
    <s v="97421"/>
    <x v="55"/>
    <x v="48"/>
    <x v="22"/>
    <x v="2"/>
    <n v="7.5"/>
  </r>
  <r>
    <s v="DPOPPELL"/>
    <s v="04"/>
    <s v="GAONA, ESPER"/>
    <s v="KEENE"/>
    <x v="165"/>
    <x v="7"/>
    <x v="1"/>
    <s v="Invoice"/>
    <s v="97433"/>
    <x v="69"/>
    <x v="62"/>
    <x v="22"/>
    <x v="2"/>
    <n v="2.0099999999999998"/>
  </r>
  <r>
    <s v="DPOPPELL"/>
    <s v="04"/>
    <s v="FLORIDAAG"/>
    <s v="KINGSWAY"/>
    <x v="175"/>
    <x v="7"/>
    <x v="1"/>
    <s v="Invoice"/>
    <s v="97434"/>
    <x v="52"/>
    <x v="45"/>
    <x v="22"/>
    <x v="2"/>
    <n v="2.25"/>
  </r>
  <r>
    <s v="DPOPPELL"/>
    <s v="04"/>
    <s v="JOEPENA"/>
    <s v="JIMREDMAN"/>
    <x v="175"/>
    <x v="7"/>
    <x v="1"/>
    <s v="Invoice"/>
    <s v="97436"/>
    <x v="55"/>
    <x v="48"/>
    <x v="22"/>
    <x v="2"/>
    <n v="0.75"/>
  </r>
  <r>
    <s v="DPOPPELL"/>
    <s v="04"/>
    <s v="THREESTA"/>
    <s v="WALDEN-SHEFFIEL"/>
    <x v="175"/>
    <x v="7"/>
    <x v="1"/>
    <s v="Invoice"/>
    <s v="97437"/>
    <x v="273"/>
    <x v="240"/>
    <x v="22"/>
    <x v="2"/>
    <n v="10"/>
  </r>
  <r>
    <s v="DPOPPELL"/>
    <s v="04"/>
    <s v="MICHAEL TRAUNER"/>
    <s v="WALLACE BRANCH"/>
    <x v="175"/>
    <x v="7"/>
    <x v="1"/>
    <s v="Invoice"/>
    <s v="97439"/>
    <x v="244"/>
    <x v="218"/>
    <x v="22"/>
    <x v="2"/>
    <n v="1.2450000000000001"/>
  </r>
  <r>
    <s v=""/>
    <s v="04"/>
    <s v="GARCIAFARMS"/>
    <s v="MAIN"/>
    <x v="175"/>
    <x v="7"/>
    <x v="1"/>
    <s v="Invoice"/>
    <s v="97440"/>
    <x v="43"/>
    <x v="38"/>
    <x v="22"/>
    <x v="2"/>
    <n v="5"/>
  </r>
  <r>
    <s v="DPOPPELL"/>
    <s v="04"/>
    <s v="CHARLIEG-LLC"/>
    <s v="ALBRITTON"/>
    <x v="175"/>
    <x v="7"/>
    <x v="1"/>
    <s v="Invoice"/>
    <s v="97441"/>
    <x v="275"/>
    <x v="242"/>
    <x v="22"/>
    <x v="2"/>
    <n v="6.0075000000000003"/>
  </r>
  <r>
    <s v="DPOPPELL"/>
    <s v="04"/>
    <s v="GAONA, ESPER"/>
    <s v="WILLIAMSRD"/>
    <x v="175"/>
    <x v="7"/>
    <x v="1"/>
    <s v="Invoice"/>
    <s v="97443"/>
    <x v="69"/>
    <x v="62"/>
    <x v="22"/>
    <x v="2"/>
    <n v="3"/>
  </r>
  <r>
    <s v=""/>
    <s v="04"/>
    <s v="PORTER HA"/>
    <s v="PASTURE"/>
    <x v="156"/>
    <x v="7"/>
    <x v="1"/>
    <s v="Invoice"/>
    <s v="97444"/>
    <x v="286"/>
    <x v="249"/>
    <x v="22"/>
    <x v="2"/>
    <n v="5.0025000000000004"/>
  </r>
  <r>
    <s v="DPOPPELL"/>
    <s v="04"/>
    <s v="CIRCLEGF&amp;R LLC"/>
    <s v="KNIGHTS-S/E"/>
    <x v="156"/>
    <x v="7"/>
    <x v="1"/>
    <s v="Invoice"/>
    <s v="97446"/>
    <x v="275"/>
    <x v="242"/>
    <x v="22"/>
    <x v="2"/>
    <n v="2.5099999999999998"/>
  </r>
  <r>
    <s v="DPOPPELL"/>
    <s v="04"/>
    <s v="TONYPALAFOX"/>
    <s v="MAILING"/>
    <x v="156"/>
    <x v="7"/>
    <x v="1"/>
    <s v="Invoice"/>
    <s v="97453"/>
    <x v="48"/>
    <x v="33"/>
    <x v="28"/>
    <x v="0"/>
    <n v="5"/>
  </r>
  <r>
    <s v="DPOPPELL"/>
    <s v="04"/>
    <s v="MIDWAYF"/>
    <s v="WILDER RD."/>
    <x v="157"/>
    <x v="7"/>
    <x v="1"/>
    <s v="Invoice"/>
    <s v="97461"/>
    <x v="275"/>
    <x v="242"/>
    <x v="22"/>
    <x v="2"/>
    <n v="5"/>
  </r>
  <r>
    <s v="DPOPPELL"/>
    <s v="04"/>
    <s v="GUTIERREZA"/>
    <s v="WIAMAUMA"/>
    <x v="172"/>
    <x v="7"/>
    <x v="1"/>
    <s v="Invoice"/>
    <s v="97469"/>
    <x v="43"/>
    <x v="38"/>
    <x v="22"/>
    <x v="2"/>
    <n v="8.02"/>
  </r>
  <r>
    <s v="DPOPPELL"/>
    <s v="04"/>
    <s v="BONIFACIO"/>
    <s v="BONIFACIO"/>
    <x v="172"/>
    <x v="7"/>
    <x v="1"/>
    <s v="Invoice"/>
    <s v="97471"/>
    <x v="5"/>
    <x v="72"/>
    <x v="4"/>
    <x v="0"/>
    <n v="10"/>
  </r>
  <r>
    <s v="DPOPPELL"/>
    <s v="04"/>
    <s v="BONIFACIO"/>
    <s v="CORONET"/>
    <x v="172"/>
    <x v="7"/>
    <x v="1"/>
    <s v="Invoice"/>
    <s v="97472"/>
    <x v="53"/>
    <x v="46"/>
    <x v="22"/>
    <x v="2"/>
    <n v="1.25"/>
  </r>
  <r>
    <s v="DPOPPELL"/>
    <s v="04"/>
    <s v="SWEETLIFE"/>
    <s v="KNIGHTS GRIFFIN"/>
    <x v="172"/>
    <x v="7"/>
    <x v="1"/>
    <s v="Invoice"/>
    <s v="97476"/>
    <x v="275"/>
    <x v="242"/>
    <x v="22"/>
    <x v="2"/>
    <n v="10"/>
  </r>
  <r>
    <s v="DPOPPELL"/>
    <s v="04"/>
    <s v="RAILROADCITY"/>
    <s v="MAIN"/>
    <x v="172"/>
    <x v="7"/>
    <x v="1"/>
    <s v="Invoice"/>
    <s v="97477"/>
    <x v="53"/>
    <x v="46"/>
    <x v="22"/>
    <x v="2"/>
    <n v="0.5"/>
  </r>
  <r>
    <s v="DPOPPELL"/>
    <s v="04"/>
    <s v="CHARLIEG-LLC"/>
    <s v="FORBES RD"/>
    <x v="166"/>
    <x v="7"/>
    <x v="1"/>
    <s v="Invoice"/>
    <s v="97481"/>
    <x v="275"/>
    <x v="242"/>
    <x v="22"/>
    <x v="2"/>
    <n v="2.5"/>
  </r>
  <r>
    <s v="DPOPPELL"/>
    <s v="04"/>
    <s v="CHARLIEG-LLC"/>
    <s v="LAMPP ROAD"/>
    <x v="166"/>
    <x v="7"/>
    <x v="1"/>
    <s v="Invoice"/>
    <s v="97482"/>
    <x v="275"/>
    <x v="242"/>
    <x v="22"/>
    <x v="2"/>
    <n v="2.48"/>
  </r>
  <r>
    <s v="DPOPPELL"/>
    <s v="04"/>
    <s v="FLORIDAAG"/>
    <s v="KINGSWAY"/>
    <x v="166"/>
    <x v="7"/>
    <x v="1"/>
    <s v="Invoice"/>
    <s v="97484"/>
    <x v="52"/>
    <x v="45"/>
    <x v="22"/>
    <x v="2"/>
    <n v="2.2524999999999999"/>
  </r>
  <r>
    <s v="DPOPPELL"/>
    <s v="04"/>
    <s v="CIRCLEGF&amp;R LLC"/>
    <s v="KNIGHTS-N/NORTH"/>
    <x v="166"/>
    <x v="7"/>
    <x v="1"/>
    <s v="Invoice"/>
    <s v="97485"/>
    <x v="275"/>
    <x v="242"/>
    <x v="22"/>
    <x v="2"/>
    <n v="3.02"/>
  </r>
  <r>
    <s v="DPOPPELL"/>
    <s v="04"/>
    <s v="MIDWAYF"/>
    <s v="ALS - SOUTH"/>
    <x v="166"/>
    <x v="7"/>
    <x v="1"/>
    <s v="Invoice"/>
    <s v="97486"/>
    <x v="275"/>
    <x v="242"/>
    <x v="22"/>
    <x v="2"/>
    <n v="2.5125000000000002"/>
  </r>
  <r>
    <s v="DPOPPELL"/>
    <s v="04"/>
    <s v="MIDWAYF"/>
    <s v="WILLIAMS RD-N"/>
    <x v="167"/>
    <x v="7"/>
    <x v="1"/>
    <s v="Invoice"/>
    <s v="97498"/>
    <x v="275"/>
    <x v="242"/>
    <x v="22"/>
    <x v="2"/>
    <n v="2.0099999999999998"/>
  </r>
  <r>
    <s v="DPOPPELL"/>
    <s v="04"/>
    <s v="RICEPAUL"/>
    <s v="MAILING"/>
    <x v="159"/>
    <x v="7"/>
    <x v="1"/>
    <s v="Invoice"/>
    <s v="97501"/>
    <x v="99"/>
    <x v="93"/>
    <x v="22"/>
    <x v="2"/>
    <n v="3.75"/>
  </r>
  <r>
    <s v="DPOPPELL"/>
    <s v="04"/>
    <s v="PEPPERBERRY"/>
    <s v="SPARKMAN RD/S"/>
    <x v="167"/>
    <x v="7"/>
    <x v="1"/>
    <s v="Invoice"/>
    <s v="97506"/>
    <x v="43"/>
    <x v="38"/>
    <x v="22"/>
    <x v="2"/>
    <n v="9.5"/>
  </r>
  <r>
    <s v="DPOPPELL"/>
    <s v="04"/>
    <s v="IFASGULF"/>
    <s v="BALM-STRAWBERRY"/>
    <x v="160"/>
    <x v="7"/>
    <x v="1"/>
    <s v="Invoice"/>
    <s v="97514"/>
    <x v="28"/>
    <x v="23"/>
    <x v="22"/>
    <x v="2"/>
    <n v="7.5575000000000001"/>
  </r>
  <r>
    <s v="DPOPPELL"/>
    <s v="04"/>
    <s v="GUTIERREZDAN"/>
    <s v="TANNER RD."/>
    <x v="160"/>
    <x v="7"/>
    <x v="1"/>
    <s v="Invoice"/>
    <s v="97516"/>
    <x v="55"/>
    <x v="48"/>
    <x v="22"/>
    <x v="2"/>
    <n v="6.5125000000000002"/>
  </r>
  <r>
    <s v=""/>
    <s v="04"/>
    <s v="SOTERO"/>
    <s v="SOTERO"/>
    <x v="160"/>
    <x v="7"/>
    <x v="1"/>
    <s v="Invoice"/>
    <s v="97518"/>
    <x v="5"/>
    <x v="72"/>
    <x v="4"/>
    <x v="0"/>
    <n v="5"/>
  </r>
  <r>
    <s v=""/>
    <s v="04"/>
    <s v="SOTERO"/>
    <s v="SOTERO"/>
    <x v="160"/>
    <x v="7"/>
    <x v="1"/>
    <s v="Invoice"/>
    <s v="97520"/>
    <x v="53"/>
    <x v="46"/>
    <x v="22"/>
    <x v="2"/>
    <n v="0.3"/>
  </r>
  <r>
    <s v="DPOPPELL"/>
    <s v="04"/>
    <s v="GUTIERREZA"/>
    <s v="WIAMAUMA"/>
    <x v="168"/>
    <x v="7"/>
    <x v="1"/>
    <s v="Invoice"/>
    <s v="97529"/>
    <x v="58"/>
    <x v="51"/>
    <x v="22"/>
    <x v="2"/>
    <n v="2.5074999999999998"/>
  </r>
  <r>
    <s v="DPOPPELL"/>
    <s v="04"/>
    <s v="SRISAIAY"/>
    <s v="SYDNEY DOVER"/>
    <x v="168"/>
    <x v="7"/>
    <x v="1"/>
    <s v="Invoice"/>
    <s v="97530"/>
    <x v="65"/>
    <x v="58"/>
    <x v="22"/>
    <x v="2"/>
    <n v="1.1775"/>
  </r>
  <r>
    <s v="DPOPPELL"/>
    <s v="04"/>
    <s v="SOUTHERNHILL"/>
    <s v="SCHOFIELD"/>
    <x v="169"/>
    <x v="7"/>
    <x v="1"/>
    <s v="Invoice"/>
    <s v="97543"/>
    <x v="287"/>
    <x v="250"/>
    <x v="22"/>
    <x v="2"/>
    <n v="1.2575000000000001"/>
  </r>
  <r>
    <s v="DPOPPELL"/>
    <s v="04"/>
    <s v="FLORIDAAG"/>
    <s v="KINGSWAY"/>
    <x v="169"/>
    <x v="7"/>
    <x v="1"/>
    <s v="Invoice"/>
    <s v="97545"/>
    <x v="52"/>
    <x v="45"/>
    <x v="22"/>
    <x v="2"/>
    <n v="2.27"/>
  </r>
  <r>
    <s v="DPOPPELL"/>
    <s v="04"/>
    <s v="FLORIDAAG"/>
    <s v="DOVER"/>
    <x v="169"/>
    <x v="7"/>
    <x v="1"/>
    <s v="Invoice"/>
    <s v="97546"/>
    <x v="52"/>
    <x v="45"/>
    <x v="22"/>
    <x v="2"/>
    <n v="0.53"/>
  </r>
  <r>
    <s v="HOUSE"/>
    <s v="05"/>
    <s v="SOUTHERN"/>
    <s v="SOUTHERN AG"/>
    <x v="154"/>
    <x v="7"/>
    <x v="1"/>
    <s v="Invoice"/>
    <s v="97315"/>
    <x v="237"/>
    <x v="75"/>
    <x v="26"/>
    <x v="0"/>
    <n v="60"/>
  </r>
  <r>
    <s v="HOUSE"/>
    <s v="05"/>
    <s v="SOUTHERN"/>
    <s v="SOUTHERN AG"/>
    <x v="154"/>
    <x v="7"/>
    <x v="1"/>
    <s v="Invoice"/>
    <s v="97315"/>
    <x v="7"/>
    <x v="243"/>
    <x v="6"/>
    <x v="0"/>
    <n v="60"/>
  </r>
  <r>
    <s v="HOUSE"/>
    <s v="05"/>
    <s v="COASTALAGSUPPLY"/>
    <s v="MAILING"/>
    <x v="162"/>
    <x v="7"/>
    <x v="1"/>
    <s v="Invoice"/>
    <s v="97364"/>
    <x v="58"/>
    <x v="51"/>
    <x v="22"/>
    <x v="2"/>
    <n v="2.5"/>
  </r>
  <r>
    <s v="HOUSE"/>
    <s v="05"/>
    <s v="HITECHTU"/>
    <s v="MAILING"/>
    <x v="171"/>
    <x v="7"/>
    <x v="1"/>
    <s v="Invoice"/>
    <s v="97404"/>
    <x v="178"/>
    <x v="251"/>
    <x v="59"/>
    <x v="0"/>
    <n v="180"/>
  </r>
  <r>
    <s v="HOUSE"/>
    <s v="05"/>
    <s v="HITECHTU"/>
    <s v="MAILING"/>
    <x v="171"/>
    <x v="7"/>
    <x v="1"/>
    <s v="Invoice"/>
    <s v="97404"/>
    <x v="148"/>
    <x v="252"/>
    <x v="29"/>
    <x v="0"/>
    <n v="180"/>
  </r>
  <r>
    <s v="HOUSE"/>
    <s v="05"/>
    <s v="HITECHTU"/>
    <s v="MAILING"/>
    <x v="171"/>
    <x v="7"/>
    <x v="1"/>
    <s v="Invoice"/>
    <s v="97404"/>
    <x v="5"/>
    <x v="161"/>
    <x v="4"/>
    <x v="0"/>
    <n v="180"/>
  </r>
  <r>
    <s v="HOUSE"/>
    <s v="05"/>
    <s v="SOUTHERN"/>
    <s v="SOUTHERN AG"/>
    <x v="172"/>
    <x v="7"/>
    <x v="1"/>
    <s v="Invoice"/>
    <s v="97468"/>
    <x v="10"/>
    <x v="253"/>
    <x v="9"/>
    <x v="0"/>
    <n v="60"/>
  </r>
  <r>
    <s v="HOUSE"/>
    <s v="05"/>
    <s v="SOUTHERN"/>
    <s v="SOUTHERN AG"/>
    <x v="172"/>
    <x v="7"/>
    <x v="1"/>
    <s v="Invoice"/>
    <s v="97468"/>
    <x v="148"/>
    <x v="128"/>
    <x v="29"/>
    <x v="0"/>
    <n v="30"/>
  </r>
  <r>
    <s v="HOUSE"/>
    <s v="05"/>
    <s v="SOUTHERN"/>
    <s v="SOUTHERN AG"/>
    <x v="160"/>
    <x v="7"/>
    <x v="1"/>
    <s v="Invoice"/>
    <s v="97522"/>
    <x v="101"/>
    <x v="21"/>
    <x v="21"/>
    <x v="0"/>
    <n v="240"/>
  </r>
  <r>
    <s v="BRIDGE"/>
    <s v="06"/>
    <s v="HEFTYSEEDCO"/>
    <s v="MAIN"/>
    <x v="165"/>
    <x v="7"/>
    <x v="1"/>
    <s v="Invoice"/>
    <s v="97432A"/>
    <x v="166"/>
    <x v="29"/>
    <x v="26"/>
    <x v="0"/>
    <n v="1500"/>
  </r>
  <r>
    <s v="BRIDGE"/>
    <s v="06"/>
    <s v="DELSTAR"/>
    <s v="MAILING"/>
    <x v="175"/>
    <x v="7"/>
    <x v="1"/>
    <s v="Invoice"/>
    <s v="97445"/>
    <x v="34"/>
    <x v="29"/>
    <x v="26"/>
    <x v="0"/>
    <n v="140"/>
  </r>
  <r>
    <s v="BRIDGE"/>
    <s v="06"/>
    <s v="HEFTYSEEDCO"/>
    <s v="MAIN"/>
    <x v="156"/>
    <x v="7"/>
    <x v="1"/>
    <s v="Invoice"/>
    <s v="97454"/>
    <x v="288"/>
    <x v="214"/>
    <x v="67"/>
    <x v="0"/>
    <n v="500"/>
  </r>
  <r>
    <s v="BRIDGE"/>
    <s v="06"/>
    <s v="TRIANGLE/GA"/>
    <s v="TUNICA"/>
    <x v="172"/>
    <x v="7"/>
    <x v="1"/>
    <s v="Invoice"/>
    <s v="97470"/>
    <x v="288"/>
    <x v="214"/>
    <x v="67"/>
    <x v="0"/>
    <n v="1250"/>
  </r>
  <r>
    <s v="BRIDGE"/>
    <s v="06"/>
    <s v="TRIANGLE/GA"/>
    <s v="TUNICA"/>
    <x v="172"/>
    <x v="7"/>
    <x v="1"/>
    <s v="Invoice"/>
    <s v="97470"/>
    <x v="238"/>
    <x v="214"/>
    <x v="67"/>
    <x v="0"/>
    <n v="180"/>
  </r>
  <r>
    <s v="BRIDGE"/>
    <s v="06"/>
    <s v="BRITTFARM"/>
    <s v="CASCIO"/>
    <x v="159"/>
    <x v="7"/>
    <x v="1"/>
    <s v="Invoice"/>
    <s v="97491A"/>
    <x v="136"/>
    <x v="111"/>
    <x v="46"/>
    <x v="0"/>
    <n v="60"/>
  </r>
  <r>
    <s v="BRIDGE"/>
    <s v="06"/>
    <s v="DELSTAR"/>
    <s v="CLEVELAND,MS"/>
    <x v="159"/>
    <x v="7"/>
    <x v="1"/>
    <s v="Invoice"/>
    <s v="97492A"/>
    <x v="109"/>
    <x v="80"/>
    <x v="2"/>
    <x v="0"/>
    <n v="2000"/>
  </r>
  <r>
    <s v="BRIDGE"/>
    <s v="06"/>
    <s v="DELSTAR"/>
    <s v="CLEVELAND,MS"/>
    <x v="159"/>
    <x v="7"/>
    <x v="1"/>
    <s v="Invoice"/>
    <s v="97492A"/>
    <x v="34"/>
    <x v="29"/>
    <x v="26"/>
    <x v="0"/>
    <n v="360"/>
  </r>
  <r>
    <s v="BRIDGE"/>
    <s v="06"/>
    <s v="DELSTAR"/>
    <s v="CLEVELAND,MS"/>
    <x v="167"/>
    <x v="7"/>
    <x v="1"/>
    <s v="Invoice"/>
    <s v="97510A"/>
    <x v="87"/>
    <x v="88"/>
    <x v="8"/>
    <x v="0"/>
    <n v="250"/>
  </r>
  <r>
    <s v="BRIDGE"/>
    <s v="06"/>
    <s v="AGRICENTERINT"/>
    <s v="MAIN"/>
    <x v="160"/>
    <x v="7"/>
    <x v="1"/>
    <s v="Invoice"/>
    <s v="97524"/>
    <x v="175"/>
    <x v="156"/>
    <x v="9"/>
    <x v="0"/>
    <n v="5"/>
  </r>
  <r>
    <s v="BRIDGE"/>
    <s v="06"/>
    <s v="AGRICENTERINT"/>
    <s v="MAIN"/>
    <x v="160"/>
    <x v="7"/>
    <x v="1"/>
    <s v="Invoice"/>
    <s v="97524"/>
    <x v="34"/>
    <x v="29"/>
    <x v="26"/>
    <x v="0"/>
    <n v="5"/>
  </r>
  <r>
    <s v="BRIDGE"/>
    <s v="06"/>
    <s v="DELSTAR"/>
    <s v="SHARPE"/>
    <x v="160"/>
    <x v="7"/>
    <x v="1"/>
    <s v="Invoice"/>
    <s v="97526"/>
    <x v="109"/>
    <x v="80"/>
    <x v="2"/>
    <x v="0"/>
    <n v="2500"/>
  </r>
  <r>
    <s v="BRIDGE"/>
    <s v="06"/>
    <s v="SOUTHERNAGSER"/>
    <s v="STARKVILLE"/>
    <x v="160"/>
    <x v="7"/>
    <x v="1"/>
    <s v="Invoice"/>
    <s v="97527"/>
    <x v="175"/>
    <x v="156"/>
    <x v="9"/>
    <x v="0"/>
    <n v="5"/>
  </r>
  <r>
    <s v="BRIDGE"/>
    <s v="06"/>
    <s v="SOUTHERNAGSER"/>
    <s v="STARKVILLE"/>
    <x v="160"/>
    <x v="7"/>
    <x v="1"/>
    <s v="Invoice"/>
    <s v="97527"/>
    <x v="34"/>
    <x v="29"/>
    <x v="26"/>
    <x v="0"/>
    <n v="5"/>
  </r>
  <r>
    <s v="BRIDGE"/>
    <s v="06"/>
    <s v="AGRICENTERINT"/>
    <s v="MAIN"/>
    <x v="169"/>
    <x v="7"/>
    <x v="1"/>
    <s v="Invoice"/>
    <s v="97540"/>
    <x v="85"/>
    <x v="213"/>
    <x v="35"/>
    <x v="0"/>
    <n v="5"/>
  </r>
  <r>
    <s v="CHEAD"/>
    <s v="07"/>
    <s v="TRIANGLE"/>
    <s v="83FARMS"/>
    <x v="174"/>
    <x v="7"/>
    <x v="1"/>
    <s v="Invoice"/>
    <s v="97371"/>
    <x v="87"/>
    <x v="88"/>
    <x v="8"/>
    <x v="0"/>
    <n v="3000"/>
  </r>
  <r>
    <s v="CHEAD"/>
    <s v="07"/>
    <s v="BARBERFERT"/>
    <s v="MAIN"/>
    <x v="163"/>
    <x v="7"/>
    <x v="1"/>
    <s v="Invoice"/>
    <s v="97386"/>
    <x v="34"/>
    <x v="29"/>
    <x v="26"/>
    <x v="0"/>
    <n v="180"/>
  </r>
  <r>
    <s v="CHEAD"/>
    <s v="07"/>
    <s v="TRIANGLE"/>
    <s v="KUMQUATGROWERS"/>
    <x v="164"/>
    <x v="7"/>
    <x v="1"/>
    <s v="Invoice"/>
    <s v="97396"/>
    <x v="289"/>
    <x v="254"/>
    <x v="22"/>
    <x v="2"/>
    <n v="1.25"/>
  </r>
  <r>
    <s v=""/>
    <s v="07"/>
    <s v="CPSHASTI"/>
    <s v="HASTINGS"/>
    <x v="171"/>
    <x v="7"/>
    <x v="1"/>
    <s v="Invoice"/>
    <s v="97405"/>
    <x v="96"/>
    <x v="90"/>
    <x v="39"/>
    <x v="0"/>
    <n v="180"/>
  </r>
  <r>
    <s v="CHEAD"/>
    <s v="07"/>
    <s v="BIG HOUSE FARMS"/>
    <s v="MAYO"/>
    <x v="155"/>
    <x v="7"/>
    <x v="1"/>
    <s v="Invoice"/>
    <s v="97416"/>
    <x v="243"/>
    <x v="217"/>
    <x v="22"/>
    <x v="2"/>
    <n v="9.0150000000000006"/>
  </r>
  <r>
    <s v="CHEAD"/>
    <s v="07"/>
    <s v="UFPSUNIT"/>
    <s v="MAILING-UF"/>
    <x v="156"/>
    <x v="7"/>
    <x v="1"/>
    <s v="Invoice"/>
    <s v="97466"/>
    <x v="85"/>
    <x v="213"/>
    <x v="35"/>
    <x v="0"/>
    <n v="2.5"/>
  </r>
  <r>
    <s v="CHEAD"/>
    <s v="07"/>
    <s v="UFPSUNIT"/>
    <s v="MAILING-UF"/>
    <x v="156"/>
    <x v="7"/>
    <x v="1"/>
    <s v="Invoice"/>
    <s v="97466"/>
    <x v="34"/>
    <x v="29"/>
    <x v="26"/>
    <x v="0"/>
    <n v="2.5"/>
  </r>
  <r>
    <s v="CHEAD"/>
    <s v="07"/>
    <s v="UFPSUNIT"/>
    <s v="CITRA FARM"/>
    <x v="169"/>
    <x v="7"/>
    <x v="1"/>
    <s v="Invoice"/>
    <s v="97531"/>
    <x v="242"/>
    <x v="19"/>
    <x v="19"/>
    <x v="0"/>
    <n v="250"/>
  </r>
  <r>
    <s v="CHEAD"/>
    <s v="07"/>
    <s v="TRIANGLE/GA"/>
    <s v="DONALSONVILLE"/>
    <x v="169"/>
    <x v="7"/>
    <x v="1"/>
    <s v="Invoice"/>
    <s v="97541"/>
    <x v="218"/>
    <x v="193"/>
    <x v="8"/>
    <x v="0"/>
    <n v="720"/>
  </r>
  <r>
    <s v="DPOPPELL1"/>
    <s v="08"/>
    <s v="TRIANGLE"/>
    <s v="ROWLANDCATTLE"/>
    <x v="154"/>
    <x v="7"/>
    <x v="1"/>
    <s v="Invoice"/>
    <s v="97324"/>
    <x v="244"/>
    <x v="218"/>
    <x v="22"/>
    <x v="2"/>
    <n v="1.25"/>
  </r>
  <r>
    <s v="DPOPPELL1"/>
    <s v="08"/>
    <s v="MAYO"/>
    <s v="PLANTCITY"/>
    <x v="170"/>
    <x v="7"/>
    <x v="1"/>
    <s v="Invoice"/>
    <s v="97338"/>
    <x v="244"/>
    <x v="218"/>
    <x v="22"/>
    <x v="2"/>
    <n v="6.125"/>
  </r>
  <r>
    <s v="DPOPPELL1"/>
    <s v="08"/>
    <s v="COASTALAGSUPPLY"/>
    <s v="MULBERRY"/>
    <x v="174"/>
    <x v="7"/>
    <x v="1"/>
    <s v="Invoice"/>
    <s v="97374"/>
    <x v="75"/>
    <x v="68"/>
    <x v="22"/>
    <x v="2"/>
    <n v="1.25"/>
  </r>
  <r>
    <s v="DPOPPELL1"/>
    <s v="08"/>
    <s v="MAYO"/>
    <s v="PLANTCITY"/>
    <x v="155"/>
    <x v="7"/>
    <x v="1"/>
    <s v="Invoice"/>
    <s v="97417"/>
    <x v="114"/>
    <x v="101"/>
    <x v="22"/>
    <x v="2"/>
    <n v="12.0505"/>
  </r>
  <r>
    <s v="DPOPPELL1"/>
    <s v="08"/>
    <s v="MAYO"/>
    <s v="PLANTCITY"/>
    <x v="156"/>
    <x v="7"/>
    <x v="1"/>
    <s v="Invoice"/>
    <s v="97442"/>
    <x v="244"/>
    <x v="218"/>
    <x v="22"/>
    <x v="2"/>
    <n v="6.1524999999999999"/>
  </r>
  <r>
    <s v="DPOPPELL1"/>
    <s v="08"/>
    <s v="MAYO"/>
    <s v="PLANTCITY"/>
    <x v="157"/>
    <x v="7"/>
    <x v="1"/>
    <s v="Invoice"/>
    <s v="97458"/>
    <x v="125"/>
    <x v="113"/>
    <x v="22"/>
    <x v="2"/>
    <n v="10"/>
  </r>
  <r>
    <s v="DPOPPELL1"/>
    <s v="08"/>
    <s v="COASTALAGSUPPLY"/>
    <s v="MULBERRY"/>
    <x v="158"/>
    <x v="7"/>
    <x v="1"/>
    <s v="Invoice"/>
    <s v="97487"/>
    <x v="75"/>
    <x v="68"/>
    <x v="22"/>
    <x v="2"/>
    <n v="1.25"/>
  </r>
  <r>
    <s v="DPOPPELL1"/>
    <s v="08"/>
    <s v="PURLEYNK"/>
    <s v="MAIN"/>
    <x v="160"/>
    <x v="7"/>
    <x v="1"/>
    <s v="Invoice"/>
    <s v="97517"/>
    <x v="28"/>
    <x v="23"/>
    <x v="22"/>
    <x v="2"/>
    <n v="0.45"/>
  </r>
  <r>
    <s v="DPOPPELL1"/>
    <s v="08"/>
    <s v="COASTALAGSUPPLY"/>
    <s v="MULBERRY"/>
    <x v="169"/>
    <x v="7"/>
    <x v="1"/>
    <s v="Invoice"/>
    <s v="97532"/>
    <x v="35"/>
    <x v="30"/>
    <x v="27"/>
    <x v="0"/>
    <n v="30"/>
  </r>
  <r>
    <s v=""/>
    <s v="09"/>
    <s v="AGRIBUSI"/>
    <s v="GRIFFITH'S FARM"/>
    <x v="173"/>
    <x v="7"/>
    <x v="1"/>
    <s v="Invoice"/>
    <s v="97357"/>
    <x v="276"/>
    <x v="244"/>
    <x v="4"/>
    <x v="0"/>
    <n v="250"/>
  </r>
  <r>
    <s v="GEORGIA"/>
    <s v="09"/>
    <s v="TRIANGLE/GA"/>
    <s v="SYCAMORE"/>
    <x v="162"/>
    <x v="7"/>
    <x v="1"/>
    <s v="Invoice"/>
    <s v="97370"/>
    <x v="218"/>
    <x v="193"/>
    <x v="8"/>
    <x v="0"/>
    <n v="720"/>
  </r>
  <r>
    <s v="GEORGIA"/>
    <s v="09"/>
    <s v="AGRIBUSI"/>
    <s v="MEHERRIN/GA"/>
    <x v="164"/>
    <x v="7"/>
    <x v="1"/>
    <s v="Invoice"/>
    <s v="97399"/>
    <x v="290"/>
    <x v="255"/>
    <x v="20"/>
    <x v="1"/>
    <n v="1800"/>
  </r>
  <r>
    <s v=""/>
    <s v="09"/>
    <s v="AGRIBUSI"/>
    <s v="AGB/ROOSEVELT"/>
    <x v="155"/>
    <x v="7"/>
    <x v="1"/>
    <s v="Invoice"/>
    <s v="97422"/>
    <x v="291"/>
    <x v="256"/>
    <x v="1"/>
    <x v="0"/>
    <n v="180"/>
  </r>
  <r>
    <s v="GEORGIA"/>
    <s v="09"/>
    <s v="AGRIBUSI"/>
    <s v="PINCECLIFF"/>
    <x v="155"/>
    <x v="7"/>
    <x v="1"/>
    <s v="Invoice"/>
    <s v="97423"/>
    <x v="291"/>
    <x v="256"/>
    <x v="1"/>
    <x v="0"/>
    <n v="180"/>
  </r>
  <r>
    <s v=""/>
    <s v="09"/>
    <s v="GREENRES"/>
    <s v="GRANITE ST-NC"/>
    <x v="165"/>
    <x v="7"/>
    <x v="1"/>
    <s v="Invoice"/>
    <s v="97428"/>
    <x v="3"/>
    <x v="80"/>
    <x v="2"/>
    <x v="0"/>
    <n v="360"/>
  </r>
  <r>
    <s v=""/>
    <s v="09"/>
    <s v="CAROLINATU"/>
    <s v="GREENSBOR,C.C."/>
    <x v="165"/>
    <x v="7"/>
    <x v="1"/>
    <s v="Invoice"/>
    <s v="97429"/>
    <x v="249"/>
    <x v="222"/>
    <x v="70"/>
    <x v="0"/>
    <n v="80"/>
  </r>
  <r>
    <s v=""/>
    <s v="09"/>
    <s v="CAROLINATU"/>
    <s v="GREENSBOR,C.C."/>
    <x v="165"/>
    <x v="7"/>
    <x v="1"/>
    <s v="Invoice"/>
    <s v="97429"/>
    <x v="259"/>
    <x v="226"/>
    <x v="56"/>
    <x v="0"/>
    <n v="80"/>
  </r>
  <r>
    <s v=""/>
    <s v="09"/>
    <s v="CAROLINATU"/>
    <s v="GREENSBOR,C.C."/>
    <x v="165"/>
    <x v="7"/>
    <x v="1"/>
    <s v="Invoice"/>
    <s v="97429"/>
    <x v="12"/>
    <x v="76"/>
    <x v="11"/>
    <x v="0"/>
    <n v="20"/>
  </r>
  <r>
    <s v=""/>
    <s v="09"/>
    <s v="CAROLINATU"/>
    <s v="NORTHRIDGE"/>
    <x v="165"/>
    <x v="7"/>
    <x v="1"/>
    <s v="Invoice"/>
    <s v="97430"/>
    <x v="249"/>
    <x v="222"/>
    <x v="70"/>
    <x v="0"/>
    <n v="20"/>
  </r>
  <r>
    <s v=""/>
    <s v="09"/>
    <s v="CAROLINATU"/>
    <s v="NORTHRIDGE"/>
    <x v="165"/>
    <x v="7"/>
    <x v="1"/>
    <s v="Invoice"/>
    <s v="97430"/>
    <x v="217"/>
    <x v="192"/>
    <x v="56"/>
    <x v="0"/>
    <n v="250"/>
  </r>
  <r>
    <s v=""/>
    <s v="09"/>
    <s v="TRIANGLE/GA"/>
    <s v="SYCAMORE"/>
    <x v="165"/>
    <x v="7"/>
    <x v="1"/>
    <s v="Invoice"/>
    <s v="97431"/>
    <x v="258"/>
    <x v="221"/>
    <x v="69"/>
    <x v="0"/>
    <n v="4000"/>
  </r>
  <r>
    <s v=""/>
    <s v="09"/>
    <s v="TRIANGLE/GA"/>
    <s v="DONALSONVILLE"/>
    <x v="175"/>
    <x v="7"/>
    <x v="1"/>
    <s v="Invoice"/>
    <s v="97438"/>
    <x v="258"/>
    <x v="221"/>
    <x v="69"/>
    <x v="0"/>
    <n v="1250"/>
  </r>
  <r>
    <s v=""/>
    <s v="09"/>
    <s v="TRIANGLE/GA"/>
    <s v="SYCAMORE"/>
    <x v="156"/>
    <x v="7"/>
    <x v="1"/>
    <s v="Invoice"/>
    <s v="97451"/>
    <x v="258"/>
    <x v="221"/>
    <x v="69"/>
    <x v="0"/>
    <n v="3250"/>
  </r>
  <r>
    <s v=""/>
    <s v="09"/>
    <s v="TRIANGLE/GA"/>
    <s v="SYCAMORE"/>
    <x v="156"/>
    <x v="7"/>
    <x v="1"/>
    <s v="Invoice"/>
    <s v="97452"/>
    <x v="218"/>
    <x v="193"/>
    <x v="8"/>
    <x v="0"/>
    <n v="720"/>
  </r>
  <r>
    <s v=""/>
    <s v="09"/>
    <s v="TRIANGLE/GA"/>
    <s v="STATESBORO/GA"/>
    <x v="157"/>
    <x v="7"/>
    <x v="1"/>
    <s v="Invoice"/>
    <s v="97457"/>
    <x v="258"/>
    <x v="221"/>
    <x v="69"/>
    <x v="0"/>
    <n v="4000"/>
  </r>
  <r>
    <s v=""/>
    <s v="09"/>
    <s v="AGRIBUSI"/>
    <s v="AGB/ROOSEVELT"/>
    <x v="157"/>
    <x v="7"/>
    <x v="1"/>
    <s v="Invoice"/>
    <s v="97459"/>
    <x v="291"/>
    <x v="256"/>
    <x v="1"/>
    <x v="0"/>
    <n v="180"/>
  </r>
  <r>
    <s v=""/>
    <s v="09"/>
    <s v="CPSCAROLINAS"/>
    <s v="UAP/HENDERSONV"/>
    <x v="157"/>
    <x v="7"/>
    <x v="1"/>
    <s v="Invoice"/>
    <s v="97463"/>
    <x v="4"/>
    <x v="32"/>
    <x v="3"/>
    <x v="0"/>
    <n v="360"/>
  </r>
  <r>
    <s v="GEORGIA"/>
    <s v="09"/>
    <s v="CPSSOUTH"/>
    <s v="DOERUN"/>
    <x v="157"/>
    <x v="7"/>
    <x v="1"/>
    <s v="Invoice"/>
    <s v="97464"/>
    <x v="87"/>
    <x v="88"/>
    <x v="8"/>
    <x v="0"/>
    <n v="500"/>
  </r>
  <r>
    <s v=""/>
    <s v="09"/>
    <s v="AGRIBUSI"/>
    <s v="MEHERRIN/ESTILL"/>
    <x v="172"/>
    <x v="7"/>
    <x v="1"/>
    <s v="Invoice"/>
    <s v="97473"/>
    <x v="221"/>
    <x v="194"/>
    <x v="20"/>
    <x v="1"/>
    <n v="2500"/>
  </r>
  <r>
    <s v="GEORGIA"/>
    <s v="09"/>
    <s v="AGRIBUSI"/>
    <s v="PINCECLIFF"/>
    <x v="172"/>
    <x v="7"/>
    <x v="1"/>
    <s v="Invoice"/>
    <s v="97474"/>
    <x v="291"/>
    <x v="256"/>
    <x v="1"/>
    <x v="0"/>
    <n v="360"/>
  </r>
  <r>
    <s v=""/>
    <s v="09"/>
    <s v="AGRIBUSI"/>
    <s v="ATMORE TRUCKERS"/>
    <x v="166"/>
    <x v="7"/>
    <x v="1"/>
    <s v="Invoice"/>
    <s v="97483A"/>
    <x v="292"/>
    <x v="257"/>
    <x v="46"/>
    <x v="0"/>
    <n v="3780"/>
  </r>
  <r>
    <s v=""/>
    <s v="09"/>
    <s v="GREENRES"/>
    <s v="OCEAN HWY-NC"/>
    <x v="159"/>
    <x v="7"/>
    <x v="1"/>
    <s v="Invoice"/>
    <s v="97490"/>
    <x v="211"/>
    <x v="187"/>
    <x v="17"/>
    <x v="0"/>
    <n v="90"/>
  </r>
  <r>
    <s v=""/>
    <s v="09"/>
    <s v="GREENRES"/>
    <s v="OCEAN HWY-NC"/>
    <x v="159"/>
    <x v="7"/>
    <x v="1"/>
    <s v="Invoice"/>
    <s v="97490"/>
    <x v="12"/>
    <x v="76"/>
    <x v="11"/>
    <x v="0"/>
    <n v="180"/>
  </r>
  <r>
    <s v="GEORGIA"/>
    <s v="09"/>
    <s v="AGRIBUSI"/>
    <s v="NUTRIEN-AR"/>
    <x v="167"/>
    <x v="7"/>
    <x v="1"/>
    <s v="Invoice"/>
    <s v="97507"/>
    <x v="293"/>
    <x v="258"/>
    <x v="77"/>
    <x v="0"/>
    <n v="180"/>
  </r>
  <r>
    <s v="GEORGIA"/>
    <s v="09"/>
    <s v="AGRIBUSI"/>
    <s v="COLQUITT"/>
    <x v="167"/>
    <x v="7"/>
    <x v="1"/>
    <s v="Invoice"/>
    <s v="97508"/>
    <x v="293"/>
    <x v="258"/>
    <x v="77"/>
    <x v="0"/>
    <n v="180"/>
  </r>
  <r>
    <s v="GEORGIA"/>
    <s v="09"/>
    <s v="AGRIBUSI"/>
    <s v="COLQUITT"/>
    <x v="167"/>
    <x v="7"/>
    <x v="1"/>
    <s v="Invoice"/>
    <s v="97509"/>
    <x v="293"/>
    <x v="258"/>
    <x v="77"/>
    <x v="0"/>
    <n v="360"/>
  </r>
  <r>
    <s v=""/>
    <s v="09"/>
    <s v="AGRIBUSI"/>
    <s v="CPS-MOULTRIE GA"/>
    <x v="168"/>
    <x v="7"/>
    <x v="1"/>
    <s v="Invoice"/>
    <s v="97528"/>
    <x v="250"/>
    <x v="223"/>
    <x v="23"/>
    <x v="0"/>
    <n v="360"/>
  </r>
  <r>
    <s v="TRES"/>
    <s v="11"/>
    <s v="CPSSOUTH"/>
    <s v="CRAWFORDSVILLE"/>
    <x v="167"/>
    <x v="7"/>
    <x v="1"/>
    <s v="Invoice"/>
    <s v="97511"/>
    <x v="34"/>
    <x v="29"/>
    <x v="26"/>
    <x v="0"/>
    <n v="180"/>
  </r>
  <r>
    <s v="HAP"/>
    <s v="01"/>
    <s v="GREENWAY"/>
    <s v="CTYOF BOCARATON"/>
    <x v="176"/>
    <x v="8"/>
    <x v="1"/>
    <s v="Invoice"/>
    <s v="97556"/>
    <x v="88"/>
    <x v="2"/>
    <x v="2"/>
    <x v="0"/>
    <n v="55"/>
  </r>
  <r>
    <s v="HAP"/>
    <s v="01"/>
    <s v="GREENWAY"/>
    <s v="CTYOF BOCARATON"/>
    <x v="176"/>
    <x v="8"/>
    <x v="1"/>
    <s v="Invoice"/>
    <s v="97556"/>
    <x v="3"/>
    <x v="2"/>
    <x v="2"/>
    <x v="0"/>
    <n v="20"/>
  </r>
  <r>
    <s v="HAP"/>
    <s v="01"/>
    <s v="GREENWAY"/>
    <s v="CTYOF BOCARATON"/>
    <x v="176"/>
    <x v="8"/>
    <x v="1"/>
    <s v="Invoice"/>
    <s v="97556"/>
    <x v="0"/>
    <x v="0"/>
    <x v="0"/>
    <x v="0"/>
    <n v="55"/>
  </r>
  <r>
    <s v="HAP"/>
    <s v="01"/>
    <s v="GREENWAY"/>
    <s v="MIZNER C. CLUB"/>
    <x v="177"/>
    <x v="8"/>
    <x v="1"/>
    <s v="Invoice"/>
    <s v="97586"/>
    <x v="3"/>
    <x v="2"/>
    <x v="2"/>
    <x v="0"/>
    <n v="50"/>
  </r>
  <r>
    <s v="HAP"/>
    <s v="01"/>
    <s v="GREENWAY"/>
    <s v="MIZNER C. CLUB"/>
    <x v="177"/>
    <x v="8"/>
    <x v="1"/>
    <s v="Invoice"/>
    <s v="97586"/>
    <x v="5"/>
    <x v="4"/>
    <x v="4"/>
    <x v="0"/>
    <n v="100"/>
  </r>
  <r>
    <s v="HAP"/>
    <s v="01"/>
    <s v="GREENWAY"/>
    <s v="MIZNER C. CLUB"/>
    <x v="177"/>
    <x v="8"/>
    <x v="1"/>
    <s v="Invoice"/>
    <s v="97586"/>
    <x v="6"/>
    <x v="5"/>
    <x v="5"/>
    <x v="0"/>
    <n v="50"/>
  </r>
  <r>
    <s v="HAP"/>
    <s v="01"/>
    <s v="GREENWAY"/>
    <s v="MIZNER C. CLUB"/>
    <x v="177"/>
    <x v="8"/>
    <x v="1"/>
    <s v="Invoice"/>
    <s v="97586"/>
    <x v="2"/>
    <x v="0"/>
    <x v="0"/>
    <x v="0"/>
    <n v="100"/>
  </r>
  <r>
    <s v="HAP"/>
    <s v="01"/>
    <s v="GREENWAY"/>
    <s v="W.PALM BCH MAIN"/>
    <x v="178"/>
    <x v="8"/>
    <x v="1"/>
    <s v="Invoice"/>
    <s v="97590"/>
    <x v="3"/>
    <x v="2"/>
    <x v="2"/>
    <x v="0"/>
    <n v="120"/>
  </r>
  <r>
    <s v="HAP"/>
    <s v="01"/>
    <s v="GREENWAY"/>
    <s v="W.PALM BCH MAIN"/>
    <x v="178"/>
    <x v="8"/>
    <x v="1"/>
    <s v="Invoice"/>
    <s v="97590"/>
    <x v="4"/>
    <x v="3"/>
    <x v="3"/>
    <x v="0"/>
    <n v="60"/>
  </r>
  <r>
    <s v="HAP"/>
    <s v="01"/>
    <s v="GREENWAY"/>
    <s v="W.PALM BCH MAIN"/>
    <x v="178"/>
    <x v="8"/>
    <x v="1"/>
    <s v="Invoice"/>
    <s v="97590"/>
    <x v="8"/>
    <x v="7"/>
    <x v="7"/>
    <x v="0"/>
    <n v="60"/>
  </r>
  <r>
    <s v="HAP"/>
    <s v="01"/>
    <s v="GREENWAY"/>
    <s v="W.PALM BCH MAIN"/>
    <x v="178"/>
    <x v="8"/>
    <x v="1"/>
    <s v="Invoice"/>
    <s v="97590"/>
    <x v="21"/>
    <x v="16"/>
    <x v="16"/>
    <x v="0"/>
    <n v="60"/>
  </r>
  <r>
    <s v="HAP"/>
    <s v="01"/>
    <s v="GREENWAY"/>
    <s v="CORALCREEK"/>
    <x v="179"/>
    <x v="8"/>
    <x v="1"/>
    <s v="Invoice"/>
    <s v="97629"/>
    <x v="7"/>
    <x v="6"/>
    <x v="6"/>
    <x v="0"/>
    <n v="20"/>
  </r>
  <r>
    <s v="HAP"/>
    <s v="01"/>
    <s v="GREENWAY"/>
    <s v="CORALCREEK"/>
    <x v="179"/>
    <x v="8"/>
    <x v="1"/>
    <s v="Invoice"/>
    <s v="97629"/>
    <x v="3"/>
    <x v="2"/>
    <x v="2"/>
    <x v="0"/>
    <n v="20"/>
  </r>
  <r>
    <s v="HAP"/>
    <s v="01"/>
    <s v="GREENWAY"/>
    <s v="CORALCREEK"/>
    <x v="179"/>
    <x v="8"/>
    <x v="1"/>
    <s v="Invoice"/>
    <s v="97629"/>
    <x v="5"/>
    <x v="4"/>
    <x v="4"/>
    <x v="0"/>
    <n v="20"/>
  </r>
  <r>
    <s v="HAP"/>
    <s v="01"/>
    <s v="GREENWAY"/>
    <s v="CORALCREEK"/>
    <x v="179"/>
    <x v="8"/>
    <x v="1"/>
    <s v="Invoice"/>
    <s v="97629"/>
    <x v="6"/>
    <x v="5"/>
    <x v="5"/>
    <x v="0"/>
    <n v="10"/>
  </r>
  <r>
    <s v="HAP"/>
    <s v="01"/>
    <s v="GREENWAY"/>
    <s v="CORALCREEK"/>
    <x v="179"/>
    <x v="8"/>
    <x v="1"/>
    <s v="Invoice"/>
    <s v="97629"/>
    <x v="2"/>
    <x v="0"/>
    <x v="0"/>
    <x v="0"/>
    <n v="20"/>
  </r>
  <r>
    <s v="HAP"/>
    <s v="01"/>
    <s v="GREENWAY"/>
    <s v="CHAMPION'S CLUB"/>
    <x v="180"/>
    <x v="8"/>
    <x v="1"/>
    <s v="Invoice"/>
    <s v="97665"/>
    <x v="1"/>
    <x v="1"/>
    <x v="1"/>
    <x v="0"/>
    <n v="55"/>
  </r>
  <r>
    <s v="DAVID"/>
    <s v="02"/>
    <s v="UNIVAR"/>
    <s v="ORLANDO"/>
    <x v="181"/>
    <x v="8"/>
    <x v="1"/>
    <s v="Invoice"/>
    <s v="97549"/>
    <x v="33"/>
    <x v="28"/>
    <x v="2"/>
    <x v="0"/>
    <n v="5"/>
  </r>
  <r>
    <s v="DAVID"/>
    <s v="02"/>
    <s v="UNIVAR"/>
    <s v="ORLANDO"/>
    <x v="181"/>
    <x v="8"/>
    <x v="1"/>
    <s v="Invoice"/>
    <s v="97549"/>
    <x v="96"/>
    <x v="90"/>
    <x v="39"/>
    <x v="0"/>
    <n v="10"/>
  </r>
  <r>
    <s v="DAVID"/>
    <s v="02"/>
    <s v="SOUTHERN"/>
    <s v="SOUTHERN AG"/>
    <x v="182"/>
    <x v="8"/>
    <x v="1"/>
    <s v="Invoice"/>
    <s v="97560"/>
    <x v="26"/>
    <x v="21"/>
    <x v="21"/>
    <x v="0"/>
    <n v="469.7"/>
  </r>
  <r>
    <s v="DAVID"/>
    <s v="02"/>
    <s v="CPSFTPIE"/>
    <s v="FT. PIERCE"/>
    <x v="177"/>
    <x v="8"/>
    <x v="1"/>
    <s v="Invoice"/>
    <s v="97578"/>
    <x v="267"/>
    <x v="235"/>
    <x v="75"/>
    <x v="0"/>
    <n v="70"/>
  </r>
  <r>
    <s v="DAVID"/>
    <s v="02"/>
    <s v="CPSFTPIE"/>
    <s v="FT. PIERCE"/>
    <x v="177"/>
    <x v="8"/>
    <x v="1"/>
    <s v="Invoice"/>
    <s v="97579"/>
    <x v="267"/>
    <x v="235"/>
    <x v="75"/>
    <x v="0"/>
    <n v="70"/>
  </r>
  <r>
    <s v="DAVID"/>
    <s v="02"/>
    <s v="CPSFTPIE"/>
    <s v="FT. PIERCE"/>
    <x v="177"/>
    <x v="8"/>
    <x v="1"/>
    <s v="Invoice"/>
    <s v="97580"/>
    <x v="267"/>
    <x v="235"/>
    <x v="75"/>
    <x v="0"/>
    <n v="70"/>
  </r>
  <r>
    <s v="DAVID"/>
    <s v="02"/>
    <s v="CPSFTPIE"/>
    <s v="FT. PIERCE"/>
    <x v="177"/>
    <x v="8"/>
    <x v="1"/>
    <s v="Invoice"/>
    <s v="97581"/>
    <x v="267"/>
    <x v="235"/>
    <x v="75"/>
    <x v="0"/>
    <n v="70"/>
  </r>
  <r>
    <s v="DAVID"/>
    <s v="02"/>
    <s v="BIGEARTH"/>
    <s v="3115"/>
    <x v="183"/>
    <x v="8"/>
    <x v="1"/>
    <s v="Invoice"/>
    <s v="97609"/>
    <x v="281"/>
    <x v="247"/>
    <x v="76"/>
    <x v="0"/>
    <n v="500"/>
  </r>
  <r>
    <s v="DAVID"/>
    <s v="02"/>
    <s v="GEOPONICSCORP"/>
    <s v="THEVILLAGES"/>
    <x v="184"/>
    <x v="8"/>
    <x v="1"/>
    <s v="Invoice"/>
    <s v="97610"/>
    <x v="294"/>
    <x v="259"/>
    <x v="72"/>
    <x v="0"/>
    <n v="55"/>
  </r>
  <r>
    <s v="DAVID"/>
    <s v="02"/>
    <s v="GEOPONICSCORP"/>
    <s v="THEVILLAGES"/>
    <x v="184"/>
    <x v="8"/>
    <x v="1"/>
    <s v="Invoice"/>
    <s v="97610"/>
    <x v="3"/>
    <x v="146"/>
    <x v="2"/>
    <x v="0"/>
    <n v="15"/>
  </r>
  <r>
    <s v="DAVID"/>
    <s v="02"/>
    <s v="GEOPONICSCORP"/>
    <s v="THEVILLAGES"/>
    <x v="184"/>
    <x v="8"/>
    <x v="1"/>
    <s v="Invoice"/>
    <s v="97610"/>
    <x v="209"/>
    <x v="260"/>
    <x v="63"/>
    <x v="0"/>
    <n v="20"/>
  </r>
  <r>
    <s v="DAVID"/>
    <s v="02"/>
    <s v="TERRAFEED"/>
    <s v="MAILING"/>
    <x v="185"/>
    <x v="8"/>
    <x v="1"/>
    <s v="Invoice"/>
    <s v="97619"/>
    <x v="162"/>
    <x v="144"/>
    <x v="55"/>
    <x v="0"/>
    <n v="250"/>
  </r>
  <r>
    <s v="DAVID"/>
    <s v="02"/>
    <s v="EVOQUAWATER"/>
    <s v="MAIN"/>
    <x v="186"/>
    <x v="8"/>
    <x v="1"/>
    <s v="Invoice"/>
    <s v="97623A"/>
    <x v="295"/>
    <x v="231"/>
    <x v="54"/>
    <x v="0"/>
    <n v="150"/>
  </r>
  <r>
    <s v="DAVID"/>
    <s v="02"/>
    <s v="FLORIDAF"/>
    <s v="FLORIDA FERTILI"/>
    <x v="179"/>
    <x v="8"/>
    <x v="1"/>
    <s v="Invoice"/>
    <s v="97625"/>
    <x v="29"/>
    <x v="24"/>
    <x v="20"/>
    <x v="1"/>
    <n v="13150"/>
  </r>
  <r>
    <s v="DAVID"/>
    <s v="02"/>
    <s v="SOUTHERN"/>
    <s v="SOUTHERN AG"/>
    <x v="187"/>
    <x v="8"/>
    <x v="1"/>
    <s v="Invoice"/>
    <s v="97635"/>
    <x v="26"/>
    <x v="21"/>
    <x v="21"/>
    <x v="0"/>
    <n v="1650"/>
  </r>
  <r>
    <s v="DAVID"/>
    <s v="02"/>
    <s v="ALBERTYSOLUTION"/>
    <s v="MAIN"/>
    <x v="187"/>
    <x v="8"/>
    <x v="1"/>
    <s v="Invoice"/>
    <s v="97637"/>
    <x v="179"/>
    <x v="162"/>
    <x v="60"/>
    <x v="0"/>
    <n v="10"/>
  </r>
  <r>
    <s v="DAVID"/>
    <s v="02"/>
    <s v="NATURALAG"/>
    <s v="MAIN"/>
    <x v="188"/>
    <x v="8"/>
    <x v="1"/>
    <s v="Invoice"/>
    <s v="97652"/>
    <x v="192"/>
    <x v="169"/>
    <x v="61"/>
    <x v="0"/>
    <n v="1000"/>
  </r>
  <r>
    <s v="DAVID"/>
    <s v="02"/>
    <s v="EVOQUAWATER"/>
    <s v="MAIN"/>
    <x v="188"/>
    <x v="8"/>
    <x v="1"/>
    <s v="Invoice"/>
    <s v="97653"/>
    <x v="160"/>
    <x v="231"/>
    <x v="54"/>
    <x v="0"/>
    <n v="180"/>
  </r>
  <r>
    <s v="DAVID"/>
    <s v="02"/>
    <s v="CPSFTPIE"/>
    <s v="FT. PIERCE"/>
    <x v="189"/>
    <x v="8"/>
    <x v="1"/>
    <s v="Invoice"/>
    <s v="97656"/>
    <x v="267"/>
    <x v="235"/>
    <x v="75"/>
    <x v="0"/>
    <n v="70"/>
  </r>
  <r>
    <s v="DAVID"/>
    <s v="02"/>
    <s v="EVOQUAWATER"/>
    <s v="MAIN"/>
    <x v="189"/>
    <x v="8"/>
    <x v="1"/>
    <s v="Invoice"/>
    <s v="97658"/>
    <x v="160"/>
    <x v="231"/>
    <x v="54"/>
    <x v="0"/>
    <n v="180"/>
  </r>
  <r>
    <s v="DAVID"/>
    <s v="02"/>
    <s v="HARTTERMICAH"/>
    <s v="MAIN"/>
    <x v="189"/>
    <x v="8"/>
    <x v="1"/>
    <s v="Invoice"/>
    <s v="97660"/>
    <x v="34"/>
    <x v="29"/>
    <x v="26"/>
    <x v="0"/>
    <n v="20"/>
  </r>
  <r>
    <s v="JUSTIN"/>
    <s v="03"/>
    <s v="GRIFFINF"/>
    <s v="FROSTPROOF"/>
    <x v="181"/>
    <x v="8"/>
    <x v="1"/>
    <s v="Invoice"/>
    <s v="97550"/>
    <x v="136"/>
    <x v="111"/>
    <x v="46"/>
    <x v="0"/>
    <n v="100"/>
  </r>
  <r>
    <s v="JUSTIN"/>
    <s v="03"/>
    <s v="GRIFFINF"/>
    <s v="FROSTPROOF"/>
    <x v="181"/>
    <x v="8"/>
    <x v="1"/>
    <s v="Invoice"/>
    <s v="97550"/>
    <x v="36"/>
    <x v="31"/>
    <x v="4"/>
    <x v="0"/>
    <n v="1080"/>
  </r>
  <r>
    <s v="JUSTIN"/>
    <s v="03"/>
    <s v="TRIANGLE"/>
    <s v="TRIANGLE/LAKEPL"/>
    <x v="176"/>
    <x v="8"/>
    <x v="1"/>
    <s v="Invoice"/>
    <s v="97552"/>
    <x v="296"/>
    <x v="111"/>
    <x v="46"/>
    <x v="0"/>
    <n v="30"/>
  </r>
  <r>
    <s v="JUSTIN"/>
    <s v="03"/>
    <s v="CPSOKEE"/>
    <s v="OKEE-LIQ PLANT"/>
    <x v="182"/>
    <x v="8"/>
    <x v="1"/>
    <s v="Invoice"/>
    <s v="97557"/>
    <x v="134"/>
    <x v="94"/>
    <x v="41"/>
    <x v="0"/>
    <n v="2853"/>
  </r>
  <r>
    <s v="JUSTIN"/>
    <s v="03"/>
    <s v="GRIFFINF"/>
    <s v="FROSTPROOF"/>
    <x v="190"/>
    <x v="8"/>
    <x v="1"/>
    <s v="Invoice"/>
    <s v="97568"/>
    <x v="36"/>
    <x v="31"/>
    <x v="4"/>
    <x v="0"/>
    <n v="720"/>
  </r>
  <r>
    <s v="JUSTIN"/>
    <s v="03"/>
    <s v="CPSIMMOK"/>
    <s v="IMMOKALEE"/>
    <x v="190"/>
    <x v="8"/>
    <x v="1"/>
    <s v="Invoice"/>
    <s v="97569"/>
    <x v="197"/>
    <x v="31"/>
    <x v="4"/>
    <x v="0"/>
    <n v="1250"/>
  </r>
  <r>
    <s v="JUSTIN"/>
    <s v="03"/>
    <s v="CPSPARRI"/>
    <s v="PARRISH"/>
    <x v="191"/>
    <x v="8"/>
    <x v="1"/>
    <s v="Invoice"/>
    <s v="97576"/>
    <x v="35"/>
    <x v="30"/>
    <x v="27"/>
    <x v="0"/>
    <n v="180"/>
  </r>
  <r>
    <s v="JUSTIN"/>
    <s v="03"/>
    <s v="CPSWACHU"/>
    <s v="WAUCHULA"/>
    <x v="177"/>
    <x v="8"/>
    <x v="1"/>
    <s v="Invoice"/>
    <s v="97582"/>
    <x v="192"/>
    <x v="169"/>
    <x v="61"/>
    <x v="0"/>
    <n v="250"/>
  </r>
  <r>
    <s v="JUSTIN"/>
    <s v="03"/>
    <s v="CPSIMMOK"/>
    <s v="IMMOKALEE"/>
    <x v="192"/>
    <x v="8"/>
    <x v="1"/>
    <s v="Invoice"/>
    <s v="97597"/>
    <x v="191"/>
    <x v="169"/>
    <x v="61"/>
    <x v="0"/>
    <n v="180"/>
  </r>
  <r>
    <s v="JUSTIN"/>
    <s v="03"/>
    <s v="TRIANGLE"/>
    <s v="TRIANGLE/LAKEPL"/>
    <x v="183"/>
    <x v="8"/>
    <x v="1"/>
    <s v="Invoice"/>
    <s v="97602"/>
    <x v="136"/>
    <x v="111"/>
    <x v="46"/>
    <x v="0"/>
    <n v="900"/>
  </r>
  <r>
    <s v="JUSTIN"/>
    <s v="03"/>
    <s v="CPSWACHU"/>
    <s v="WAUCHULA"/>
    <x v="185"/>
    <x v="8"/>
    <x v="1"/>
    <s v="Invoice"/>
    <s v="97618"/>
    <x v="196"/>
    <x v="172"/>
    <x v="61"/>
    <x v="0"/>
    <n v="180"/>
  </r>
  <r>
    <s v="JUSTIN"/>
    <s v="03"/>
    <s v="TRIANGLE"/>
    <s v="TRIANGLE/LAKEPL"/>
    <x v="186"/>
    <x v="8"/>
    <x v="1"/>
    <s v="Invoice"/>
    <s v="97621"/>
    <x v="264"/>
    <x v="156"/>
    <x v="9"/>
    <x v="0"/>
    <n v="250"/>
  </r>
  <r>
    <s v="JUSTIN"/>
    <s v="03"/>
    <s v="FLORIDAF"/>
    <s v="FLORIDA FERTILI"/>
    <x v="179"/>
    <x v="8"/>
    <x v="1"/>
    <s v="Invoice"/>
    <s v="97626"/>
    <x v="135"/>
    <x v="121"/>
    <x v="51"/>
    <x v="0"/>
    <n v="1000"/>
  </r>
  <r>
    <s v="JUSTIN"/>
    <s v="03"/>
    <s v="CPSWACHU"/>
    <s v="WAUCHULA"/>
    <x v="187"/>
    <x v="8"/>
    <x v="1"/>
    <s v="Invoice"/>
    <s v="97632"/>
    <x v="36"/>
    <x v="31"/>
    <x v="4"/>
    <x v="0"/>
    <n v="180"/>
  </r>
  <r>
    <s v="JUSTIN"/>
    <s v="03"/>
    <s v="TRIANGLE"/>
    <s v="CUTRALE"/>
    <x v="187"/>
    <x v="8"/>
    <x v="1"/>
    <s v="Invoice"/>
    <s v="97633"/>
    <x v="134"/>
    <x v="94"/>
    <x v="41"/>
    <x v="0"/>
    <n v="750"/>
  </r>
  <r>
    <s v="JUSTIN"/>
    <s v="03"/>
    <s v="USDA-FT.PIERCE"/>
    <s v="MAILING"/>
    <x v="187"/>
    <x v="8"/>
    <x v="1"/>
    <s v="Invoice"/>
    <s v="97638"/>
    <x v="297"/>
    <x v="261"/>
    <x v="67"/>
    <x v="0"/>
    <n v="20"/>
  </r>
  <r>
    <s v="JUSTIN"/>
    <s v="03"/>
    <s v="CPSWACHU"/>
    <s v="WAUCHULA"/>
    <x v="193"/>
    <x v="8"/>
    <x v="1"/>
    <s v="Invoice"/>
    <s v="97640"/>
    <x v="196"/>
    <x v="172"/>
    <x v="61"/>
    <x v="0"/>
    <n v="180"/>
  </r>
  <r>
    <s v="JUSTIN"/>
    <s v="03"/>
    <s v="CPSWACHU"/>
    <s v="WAUCHULA"/>
    <x v="189"/>
    <x v="8"/>
    <x v="1"/>
    <s v="Invoice"/>
    <s v="97657"/>
    <x v="36"/>
    <x v="31"/>
    <x v="4"/>
    <x v="0"/>
    <n v="180"/>
  </r>
  <r>
    <s v="JUSTIN"/>
    <s v="03"/>
    <s v="CPSWAVER"/>
    <s v="WAVERLY"/>
    <x v="194"/>
    <x v="8"/>
    <x v="1"/>
    <s v="Invoice"/>
    <s v="97671"/>
    <x v="191"/>
    <x v="169"/>
    <x v="61"/>
    <x v="0"/>
    <n v="180"/>
  </r>
  <r>
    <s v="DPOPPELL"/>
    <s v="04"/>
    <s v="FLORIDAAG"/>
    <s v="KINGSWAY"/>
    <x v="190"/>
    <x v="8"/>
    <x v="1"/>
    <s v="Invoice"/>
    <s v="97570"/>
    <x v="52"/>
    <x v="45"/>
    <x v="22"/>
    <x v="2"/>
    <n v="2.2524999999999999"/>
  </r>
  <r>
    <s v="DPOPPELL"/>
    <s v="04"/>
    <s v="IFASGULF"/>
    <s v="BALM-STRAWBERRY"/>
    <x v="190"/>
    <x v="8"/>
    <x v="1"/>
    <s v="Invoice"/>
    <s v="97571"/>
    <x v="28"/>
    <x v="23"/>
    <x v="22"/>
    <x v="2"/>
    <n v="7.5"/>
  </r>
  <r>
    <s v="DPOPPELL"/>
    <s v="04"/>
    <s v="CHANFARM"/>
    <s v="KNIGHTS GRIFFIN"/>
    <x v="177"/>
    <x v="8"/>
    <x v="1"/>
    <s v="Invoice"/>
    <s v="97583"/>
    <x v="51"/>
    <x v="44"/>
    <x v="22"/>
    <x v="2"/>
    <n v="2.5"/>
  </r>
  <r>
    <s v="DPOPPELL"/>
    <s v="04"/>
    <s v="FLORIDAAG"/>
    <s v="KINGSWAY"/>
    <x v="195"/>
    <x v="8"/>
    <x v="1"/>
    <s v="Invoice"/>
    <s v="97587"/>
    <x v="52"/>
    <x v="45"/>
    <x v="22"/>
    <x v="2"/>
    <n v="2.25"/>
  </r>
  <r>
    <s v="DPOPPELL"/>
    <s v="04"/>
    <s v="COASTALAGSUPPLY"/>
    <s v="MISTYORGANICS"/>
    <x v="178"/>
    <x v="8"/>
    <x v="1"/>
    <s v="Invoice"/>
    <s v="97592"/>
    <x v="75"/>
    <x v="68"/>
    <x v="22"/>
    <x v="2"/>
    <n v="12.5"/>
  </r>
  <r>
    <s v="DPOPPELL"/>
    <s v="04"/>
    <s v="FERRISFA"/>
    <s v="BLUEBERRIES"/>
    <x v="192"/>
    <x v="8"/>
    <x v="1"/>
    <s v="Invoice"/>
    <s v="97596"/>
    <x v="62"/>
    <x v="55"/>
    <x v="22"/>
    <x v="2"/>
    <n v="15.01"/>
  </r>
  <r>
    <s v="DPOPPELL"/>
    <s v="04"/>
    <s v="FLORIDAAG"/>
    <s v="KINGSWAY"/>
    <x v="186"/>
    <x v="8"/>
    <x v="1"/>
    <s v="Invoice"/>
    <s v="97622"/>
    <x v="52"/>
    <x v="45"/>
    <x v="22"/>
    <x v="2"/>
    <n v="2.1"/>
  </r>
  <r>
    <s v="DPOPPELL"/>
    <s v="04"/>
    <s v="WISHFARMS"/>
    <s v="FRONTAGE"/>
    <x v="179"/>
    <x v="8"/>
    <x v="1"/>
    <s v="Invoice"/>
    <s v="97628"/>
    <x v="45"/>
    <x v="37"/>
    <x v="30"/>
    <x v="0"/>
    <n v="250"/>
  </r>
  <r>
    <s v="DPOPPELL"/>
    <s v="04"/>
    <s v="TONYPALAFOX"/>
    <s v="MAILING"/>
    <x v="189"/>
    <x v="8"/>
    <x v="1"/>
    <s v="Invoice"/>
    <s v="97659"/>
    <x v="48"/>
    <x v="33"/>
    <x v="28"/>
    <x v="0"/>
    <n v="5"/>
  </r>
  <r>
    <s v="DPOPPELL"/>
    <s v="04"/>
    <s v="CHANFARM"/>
    <s v="KNIGHTS GRIFFIN"/>
    <x v="194"/>
    <x v="8"/>
    <x v="1"/>
    <s v="Invoice"/>
    <s v="97668"/>
    <x v="51"/>
    <x v="44"/>
    <x v="22"/>
    <x v="2"/>
    <n v="2.5"/>
  </r>
  <r>
    <s v="DPOPPELL"/>
    <s v="04"/>
    <s v="FLORIDAAG"/>
    <s v="KINGSWAY"/>
    <x v="194"/>
    <x v="8"/>
    <x v="1"/>
    <s v="Invoice"/>
    <s v="97670"/>
    <x v="52"/>
    <x v="45"/>
    <x v="22"/>
    <x v="2"/>
    <n v="2.2574999999999998"/>
  </r>
  <r>
    <s v=""/>
    <s v="04"/>
    <s v="SOTERO"/>
    <s v="SOTERO"/>
    <x v="194"/>
    <x v="8"/>
    <x v="1"/>
    <s v="Invoice"/>
    <s v="97675"/>
    <x v="53"/>
    <x v="46"/>
    <x v="22"/>
    <x v="2"/>
    <n v="0.15"/>
  </r>
  <r>
    <s v="HOUSE"/>
    <s v="05"/>
    <s v="SOUTHEASTTURF"/>
    <s v="SARABAYCC"/>
    <x v="196"/>
    <x v="8"/>
    <x v="1"/>
    <s v="Invoice"/>
    <s v="21047A"/>
    <x v="177"/>
    <x v="158"/>
    <x v="1"/>
    <x v="0"/>
    <n v="250"/>
  </r>
  <r>
    <s v="HOUSE"/>
    <s v="05"/>
    <s v="SOUTHEASTTURF"/>
    <s v="FT. MYERS"/>
    <x v="182"/>
    <x v="8"/>
    <x v="1"/>
    <s v="Invoice"/>
    <s v="97563"/>
    <x v="298"/>
    <x v="109"/>
    <x v="45"/>
    <x v="0"/>
    <n v="55"/>
  </r>
  <r>
    <s v="HOUSE"/>
    <s v="05"/>
    <s v="COASTALAGSUPPLY"/>
    <s v="MAILING"/>
    <x v="192"/>
    <x v="8"/>
    <x v="1"/>
    <s v="Invoice"/>
    <s v="97594"/>
    <x v="170"/>
    <x v="33"/>
    <x v="28"/>
    <x v="0"/>
    <n v="500"/>
  </r>
  <r>
    <s v="HOUSE"/>
    <s v="05"/>
    <s v="SOUTHERN"/>
    <s v="SOUTHERN AG"/>
    <x v="187"/>
    <x v="8"/>
    <x v="1"/>
    <s v="Invoice"/>
    <s v="97630"/>
    <x v="3"/>
    <x v="80"/>
    <x v="2"/>
    <x v="0"/>
    <n v="60"/>
  </r>
  <r>
    <s v="HOUSE"/>
    <s v="05"/>
    <s v="SOUTHERN"/>
    <s v="SOUTHERN AG"/>
    <x v="187"/>
    <x v="8"/>
    <x v="1"/>
    <s v="Invoice"/>
    <s v="97630"/>
    <x v="299"/>
    <x v="262"/>
    <x v="65"/>
    <x v="0"/>
    <n v="60"/>
  </r>
  <r>
    <s v="HOUSE"/>
    <s v="05"/>
    <s v="SOUTHERN"/>
    <s v="SOUTHERN AG"/>
    <x v="187"/>
    <x v="8"/>
    <x v="1"/>
    <s v="Invoice"/>
    <s v="97630"/>
    <x v="178"/>
    <x v="182"/>
    <x v="59"/>
    <x v="0"/>
    <n v="60"/>
  </r>
  <r>
    <s v="HOUSE"/>
    <s v="05"/>
    <s v="CPSHOMES"/>
    <s v="HOMESTEAD"/>
    <x v="188"/>
    <x v="8"/>
    <x v="1"/>
    <s v="Invoice"/>
    <s v="97651"/>
    <x v="156"/>
    <x v="138"/>
    <x v="53"/>
    <x v="0"/>
    <n v="180"/>
  </r>
  <r>
    <s v=""/>
    <s v="06"/>
    <s v="CPSSOUTH"/>
    <s v="LELAND, MS 4512"/>
    <x v="181"/>
    <x v="8"/>
    <x v="1"/>
    <s v="Invoice"/>
    <s v="97551"/>
    <x v="166"/>
    <x v="29"/>
    <x v="26"/>
    <x v="0"/>
    <n v="2500"/>
  </r>
  <r>
    <s v=""/>
    <s v="06"/>
    <s v="CPSSOUTH"/>
    <s v="LELAND, MS 4512"/>
    <x v="181"/>
    <x v="8"/>
    <x v="1"/>
    <s v="Invoice"/>
    <s v="97551"/>
    <x v="34"/>
    <x v="29"/>
    <x v="26"/>
    <x v="0"/>
    <n v="180"/>
  </r>
  <r>
    <s v="BRIDGE"/>
    <s v="06"/>
    <s v="CCCSEED"/>
    <s v="MAIN"/>
    <x v="182"/>
    <x v="8"/>
    <x v="1"/>
    <s v="Invoice"/>
    <s v="97559"/>
    <x v="34"/>
    <x v="29"/>
    <x v="26"/>
    <x v="0"/>
    <n v="530"/>
  </r>
  <r>
    <s v="BRIDGE"/>
    <s v="06"/>
    <s v="SIMPLOT"/>
    <s v="CLEVELAND"/>
    <x v="190"/>
    <x v="8"/>
    <x v="1"/>
    <s v="Invoice"/>
    <s v="97573"/>
    <x v="166"/>
    <x v="29"/>
    <x v="26"/>
    <x v="0"/>
    <n v="1500"/>
  </r>
  <r>
    <s v="BRIDGE"/>
    <s v="06"/>
    <s v="SIMPLOT"/>
    <s v="CLEVELAND"/>
    <x v="190"/>
    <x v="8"/>
    <x v="1"/>
    <s v="Invoice"/>
    <s v="97573"/>
    <x v="34"/>
    <x v="29"/>
    <x v="26"/>
    <x v="0"/>
    <n v="40"/>
  </r>
  <r>
    <s v="BRIDGE"/>
    <s v="06"/>
    <s v="DELSTAR"/>
    <s v="SHARPE"/>
    <x v="177"/>
    <x v="8"/>
    <x v="1"/>
    <s v="Invoice"/>
    <s v="97584"/>
    <x v="109"/>
    <x v="80"/>
    <x v="2"/>
    <x v="0"/>
    <n v="2400"/>
  </r>
  <r>
    <s v="BRIDGE"/>
    <s v="06"/>
    <s v="DELSTAR"/>
    <s v="SHARPE"/>
    <x v="177"/>
    <x v="8"/>
    <x v="1"/>
    <s v="Invoice"/>
    <s v="97584"/>
    <x v="166"/>
    <x v="29"/>
    <x v="26"/>
    <x v="0"/>
    <n v="750"/>
  </r>
  <r>
    <s v="BRIDGE"/>
    <s v="06"/>
    <s v="DELSTAR"/>
    <s v="SHARPE"/>
    <x v="177"/>
    <x v="8"/>
    <x v="1"/>
    <s v="Invoice"/>
    <s v="97585"/>
    <x v="34"/>
    <x v="29"/>
    <x v="26"/>
    <x v="0"/>
    <n v="180"/>
  </r>
  <r>
    <s v="BRIDGE"/>
    <s v="06"/>
    <s v="DELSTAR"/>
    <s v="SHARPE"/>
    <x v="195"/>
    <x v="8"/>
    <x v="1"/>
    <s v="Invoice"/>
    <s v="97589"/>
    <x v="109"/>
    <x v="80"/>
    <x v="2"/>
    <x v="0"/>
    <n v="500"/>
  </r>
  <r>
    <s v=""/>
    <s v="06"/>
    <s v="SOUTHERNAGSER"/>
    <s v="STARKVILLE"/>
    <x v="184"/>
    <x v="8"/>
    <x v="1"/>
    <s v="Invoice"/>
    <s v="97611"/>
    <x v="34"/>
    <x v="29"/>
    <x v="26"/>
    <x v="0"/>
    <n v="50"/>
  </r>
  <r>
    <s v=""/>
    <s v="06"/>
    <s v="SOUTHERNAGSER"/>
    <s v="STARKVILLE"/>
    <x v="185"/>
    <x v="8"/>
    <x v="1"/>
    <s v="Invoice"/>
    <s v="97624"/>
    <x v="34"/>
    <x v="29"/>
    <x v="26"/>
    <x v="0"/>
    <n v="80"/>
  </r>
  <r>
    <s v="BRIDGE"/>
    <s v="06"/>
    <s v="DELSTAR"/>
    <s v="SHARPE"/>
    <x v="187"/>
    <x v="8"/>
    <x v="1"/>
    <s v="Invoice"/>
    <s v="97639"/>
    <x v="109"/>
    <x v="80"/>
    <x v="2"/>
    <x v="0"/>
    <n v="2800"/>
  </r>
  <r>
    <s v="BRIDGE"/>
    <s v="06"/>
    <s v="DELSTAR"/>
    <s v="CLEVELAND,MS"/>
    <x v="180"/>
    <x v="8"/>
    <x v="1"/>
    <s v="Invoice"/>
    <s v="97661"/>
    <x v="34"/>
    <x v="29"/>
    <x v="26"/>
    <x v="0"/>
    <n v="180"/>
  </r>
  <r>
    <s v="BRIDGE"/>
    <s v="06"/>
    <s v="SIMPLOT"/>
    <s v="BLYTHEVILLE"/>
    <x v="194"/>
    <x v="8"/>
    <x v="1"/>
    <s v="Invoice"/>
    <s v="97666"/>
    <x v="166"/>
    <x v="29"/>
    <x v="26"/>
    <x v="0"/>
    <n v="250"/>
  </r>
  <r>
    <s v="BRIDGE"/>
    <s v="06"/>
    <s v="BALTZFEED"/>
    <s v="MAIN"/>
    <x v="194"/>
    <x v="8"/>
    <x v="1"/>
    <s v="Invoice"/>
    <s v="97667"/>
    <x v="34"/>
    <x v="29"/>
    <x v="26"/>
    <x v="0"/>
    <n v="180"/>
  </r>
  <r>
    <s v="BRIDGE"/>
    <s v="06"/>
    <s v="HEFTYSEEDCO"/>
    <s v="GALLOWAYFARMS"/>
    <x v="194"/>
    <x v="8"/>
    <x v="1"/>
    <s v="Invoice"/>
    <s v="97676"/>
    <x v="166"/>
    <x v="29"/>
    <x v="26"/>
    <x v="0"/>
    <n v="1500"/>
  </r>
  <r>
    <s v="CHEAD"/>
    <s v="07"/>
    <s v="UFPSUNIT"/>
    <s v="CITRA FARM"/>
    <x v="196"/>
    <x v="8"/>
    <x v="1"/>
    <s v="Invoice"/>
    <s v="97564"/>
    <x v="73"/>
    <x v="66"/>
    <x v="22"/>
    <x v="2"/>
    <n v="3.75"/>
  </r>
  <r>
    <s v="CHEAD"/>
    <s v="07"/>
    <s v="MILLERBL"/>
    <s v="PALATKA"/>
    <x v="178"/>
    <x v="8"/>
    <x v="1"/>
    <s v="Invoice"/>
    <s v="97593"/>
    <x v="208"/>
    <x v="184"/>
    <x v="22"/>
    <x v="2"/>
    <n v="15.0025"/>
  </r>
  <r>
    <s v="DPOPPELL1"/>
    <s v="08"/>
    <s v="MAYO"/>
    <s v="PLANTCITY"/>
    <x v="191"/>
    <x v="8"/>
    <x v="1"/>
    <s v="Invoice"/>
    <s v="97575"/>
    <x v="125"/>
    <x v="113"/>
    <x v="22"/>
    <x v="2"/>
    <n v="1.2450000000000001"/>
  </r>
  <r>
    <s v="DPOPPELL1"/>
    <s v="08"/>
    <s v="MAYO"/>
    <s v="PLANTCITY"/>
    <x v="192"/>
    <x v="8"/>
    <x v="1"/>
    <s v="Invoice"/>
    <s v="97595"/>
    <x v="244"/>
    <x v="218"/>
    <x v="22"/>
    <x v="2"/>
    <n v="6.2949999999999999"/>
  </r>
  <r>
    <s v="DPOPPELL1"/>
    <s v="08"/>
    <s v="COASTALAGSUPPLY"/>
    <s v="MULBERRY"/>
    <x v="186"/>
    <x v="8"/>
    <x v="1"/>
    <s v="Invoice"/>
    <s v="97620"/>
    <x v="5"/>
    <x v="72"/>
    <x v="4"/>
    <x v="0"/>
    <n v="200"/>
  </r>
  <r>
    <s v="DPOPPELL1"/>
    <s v="08"/>
    <s v="MAYO"/>
    <s v="PLANTCITY"/>
    <x v="193"/>
    <x v="8"/>
    <x v="1"/>
    <s v="Invoice"/>
    <s v="97649"/>
    <x v="125"/>
    <x v="113"/>
    <x v="22"/>
    <x v="2"/>
    <n v="5.0025000000000004"/>
  </r>
  <r>
    <s v="DPOPPELL1"/>
    <s v="08"/>
    <s v="TRIANGLE"/>
    <s v="TRIANGLE/PC"/>
    <x v="180"/>
    <x v="8"/>
    <x v="1"/>
    <s v="Invoice"/>
    <s v="97664"/>
    <x v="136"/>
    <x v="111"/>
    <x v="46"/>
    <x v="0"/>
    <n v="360"/>
  </r>
  <r>
    <s v=""/>
    <s v="09"/>
    <s v="TRIANGLE/GA"/>
    <s v="SYCAMORE"/>
    <x v="176"/>
    <x v="8"/>
    <x v="1"/>
    <s v="Invoice"/>
    <s v="97555"/>
    <x v="218"/>
    <x v="193"/>
    <x v="8"/>
    <x v="0"/>
    <n v="360"/>
  </r>
  <r>
    <s v="GEORGIA"/>
    <s v="09"/>
    <s v="CPSCAROLINAS"/>
    <s v="UAP/HENDERSONV"/>
    <x v="182"/>
    <x v="8"/>
    <x v="1"/>
    <s v="Invoice"/>
    <s v="97558"/>
    <x v="5"/>
    <x v="72"/>
    <x v="4"/>
    <x v="0"/>
    <n v="360"/>
  </r>
  <r>
    <s v="GEORGIA"/>
    <s v="09"/>
    <s v="CAROLINATU"/>
    <s v="HOUNDSEAR"/>
    <x v="196"/>
    <x v="8"/>
    <x v="1"/>
    <s v="Invoice"/>
    <s v="97567"/>
    <x v="163"/>
    <x v="227"/>
    <x v="56"/>
    <x v="0"/>
    <n v="50"/>
  </r>
  <r>
    <s v=""/>
    <s v="09"/>
    <s v="NUTRATURF"/>
    <s v="CRUMP ST, NC"/>
    <x v="191"/>
    <x v="8"/>
    <x v="1"/>
    <s v="Invoice"/>
    <s v="97574"/>
    <x v="78"/>
    <x v="71"/>
    <x v="34"/>
    <x v="0"/>
    <n v="55"/>
  </r>
  <r>
    <s v=""/>
    <s v="09"/>
    <s v="NUTRATURF"/>
    <s v="CRUMP ST, NC"/>
    <x v="191"/>
    <x v="8"/>
    <x v="1"/>
    <s v="Invoice"/>
    <s v="97574"/>
    <x v="79"/>
    <x v="72"/>
    <x v="4"/>
    <x v="0"/>
    <n v="110"/>
  </r>
  <r>
    <s v=""/>
    <s v="09"/>
    <s v="NUTRATURF"/>
    <s v="CRUMP ST, NC"/>
    <x v="191"/>
    <x v="8"/>
    <x v="1"/>
    <s v="Invoice"/>
    <s v="97574"/>
    <x v="252"/>
    <x v="224"/>
    <x v="71"/>
    <x v="0"/>
    <n v="55"/>
  </r>
  <r>
    <s v=""/>
    <s v="09"/>
    <s v="NUTRATURF"/>
    <s v="CRUMP ST, NC"/>
    <x v="191"/>
    <x v="8"/>
    <x v="1"/>
    <s v="Invoice"/>
    <s v="97574"/>
    <x v="81"/>
    <x v="74"/>
    <x v="13"/>
    <x v="0"/>
    <n v="110"/>
  </r>
  <r>
    <s v=""/>
    <s v="09"/>
    <s v="NUTRATURF"/>
    <s v="CRUMP ST, NC"/>
    <x v="191"/>
    <x v="8"/>
    <x v="1"/>
    <s v="Invoice"/>
    <s v="97574"/>
    <x v="82"/>
    <x v="75"/>
    <x v="26"/>
    <x v="0"/>
    <n v="110"/>
  </r>
  <r>
    <s v=""/>
    <s v="09"/>
    <s v="NUTRATURF"/>
    <s v="CRUMP ST, NC"/>
    <x v="191"/>
    <x v="8"/>
    <x v="1"/>
    <s v="Invoice"/>
    <s v="97574"/>
    <x v="84"/>
    <x v="76"/>
    <x v="11"/>
    <x v="0"/>
    <n v="110"/>
  </r>
  <r>
    <s v=""/>
    <s v="09"/>
    <s v="NUTRATURF"/>
    <s v="CRUMP ST, NC"/>
    <x v="191"/>
    <x v="8"/>
    <x v="1"/>
    <s v="Invoice"/>
    <s v="97574"/>
    <x v="256"/>
    <x v="77"/>
    <x v="35"/>
    <x v="0"/>
    <n v="55"/>
  </r>
  <r>
    <s v=""/>
    <s v="09"/>
    <s v="NUTRATURF"/>
    <s v="CRUMP ST, NC"/>
    <x v="191"/>
    <x v="8"/>
    <x v="1"/>
    <s v="Invoice"/>
    <s v="97574"/>
    <x v="257"/>
    <x v="32"/>
    <x v="3"/>
    <x v="0"/>
    <n v="250"/>
  </r>
  <r>
    <s v=""/>
    <s v="09"/>
    <s v="NUTRATURF"/>
    <s v="CRUMP ST, NC"/>
    <x v="191"/>
    <x v="8"/>
    <x v="1"/>
    <s v="Invoice"/>
    <s v="97574"/>
    <x v="86"/>
    <x v="78"/>
    <x v="36"/>
    <x v="0"/>
    <n v="250"/>
  </r>
  <r>
    <s v=""/>
    <s v="09"/>
    <s v="CAROLINATU"/>
    <s v="GRNSB GRASHOP"/>
    <x v="191"/>
    <x v="8"/>
    <x v="1"/>
    <s v="Invoice"/>
    <s v="97577"/>
    <x v="249"/>
    <x v="222"/>
    <x v="70"/>
    <x v="0"/>
    <n v="15"/>
  </r>
  <r>
    <s v=""/>
    <s v="09"/>
    <s v="CAROLINATU"/>
    <s v="GRNSB GRASHOP"/>
    <x v="191"/>
    <x v="8"/>
    <x v="1"/>
    <s v="Invoice"/>
    <s v="97577"/>
    <x v="300"/>
    <x v="263"/>
    <x v="78"/>
    <x v="0"/>
    <n v="10"/>
  </r>
  <r>
    <s v=""/>
    <s v="09"/>
    <s v="CAROLINATU"/>
    <s v="GRNSB GRASHOP"/>
    <x v="191"/>
    <x v="8"/>
    <x v="1"/>
    <s v="Invoice"/>
    <s v="97577"/>
    <x v="121"/>
    <x v="110"/>
    <x v="1"/>
    <x v="0"/>
    <n v="10"/>
  </r>
  <r>
    <s v=""/>
    <s v="09"/>
    <s v="CAROLINATU"/>
    <s v="GRNSB GRASHOP"/>
    <x v="191"/>
    <x v="8"/>
    <x v="1"/>
    <s v="Invoice"/>
    <s v="97577"/>
    <x v="4"/>
    <x v="32"/>
    <x v="3"/>
    <x v="0"/>
    <n v="10"/>
  </r>
  <r>
    <s v="GEORGIA"/>
    <s v="09"/>
    <s v="CAROLINATU"/>
    <s v="GRNSB GRASHOP"/>
    <x v="178"/>
    <x v="8"/>
    <x v="1"/>
    <s v="Invoice"/>
    <s v="97591"/>
    <x v="249"/>
    <x v="222"/>
    <x v="70"/>
    <x v="0"/>
    <n v="15"/>
  </r>
  <r>
    <s v="GEORGIA"/>
    <s v="09"/>
    <s v="CAROLINATU"/>
    <s v="GRNSB GRASHOP"/>
    <x v="178"/>
    <x v="8"/>
    <x v="1"/>
    <s v="Invoice"/>
    <s v="97591"/>
    <x v="300"/>
    <x v="263"/>
    <x v="78"/>
    <x v="0"/>
    <n v="10"/>
  </r>
  <r>
    <s v="GEORGIA"/>
    <s v="09"/>
    <s v="CAROLINATU"/>
    <s v="GRNSB GRASHOP"/>
    <x v="178"/>
    <x v="8"/>
    <x v="1"/>
    <s v="Invoice"/>
    <s v="97591"/>
    <x v="121"/>
    <x v="110"/>
    <x v="1"/>
    <x v="0"/>
    <n v="10"/>
  </r>
  <r>
    <s v="GEORGIA"/>
    <s v="09"/>
    <s v="CAROLINATU"/>
    <s v="GRNSB GRASHOP"/>
    <x v="178"/>
    <x v="8"/>
    <x v="1"/>
    <s v="Invoice"/>
    <s v="97591"/>
    <x v="4"/>
    <x v="32"/>
    <x v="3"/>
    <x v="0"/>
    <n v="10"/>
  </r>
  <r>
    <s v=""/>
    <s v="09"/>
    <s v="TRIANGLE/GA"/>
    <s v="LEESBURG,GA"/>
    <x v="197"/>
    <x v="8"/>
    <x v="1"/>
    <s v="Invoice"/>
    <s v="97616"/>
    <x v="179"/>
    <x v="220"/>
    <x v="60"/>
    <x v="0"/>
    <n v="180"/>
  </r>
  <r>
    <s v="TRES"/>
    <s v="11"/>
    <s v="CRITTENDENTURF"/>
    <s v="MAIN"/>
    <x v="196"/>
    <x v="8"/>
    <x v="1"/>
    <s v="Invoice"/>
    <s v="97562"/>
    <x v="8"/>
    <x v="67"/>
    <x v="7"/>
    <x v="0"/>
    <n v="5"/>
  </r>
  <r>
    <s v="TRES"/>
    <s v="11"/>
    <s v="CRITTENDENTURF"/>
    <s v="MAIN"/>
    <x v="196"/>
    <x v="8"/>
    <x v="1"/>
    <s v="Invoice"/>
    <s v="97562"/>
    <x v="301"/>
    <x v="264"/>
    <x v="56"/>
    <x v="0"/>
    <n v="5"/>
  </r>
  <r>
    <s v="TRES"/>
    <s v="11"/>
    <s v="CRITTENDENTURF"/>
    <s v="MAIN"/>
    <x v="196"/>
    <x v="8"/>
    <x v="1"/>
    <s v="Invoice"/>
    <s v="97562"/>
    <x v="94"/>
    <x v="87"/>
    <x v="38"/>
    <x v="0"/>
    <n v="5"/>
  </r>
  <r>
    <s v="TRES"/>
    <s v="11"/>
    <s v="CRITTENDENTURF"/>
    <s v="MAIN"/>
    <x v="196"/>
    <x v="8"/>
    <x v="1"/>
    <s v="Invoice"/>
    <s v="97562"/>
    <x v="85"/>
    <x v="213"/>
    <x v="35"/>
    <x v="0"/>
    <n v="10"/>
  </r>
  <r>
    <s v="CSWAFFORD"/>
    <s v="12"/>
    <s v="GOLFVENTURES"/>
    <s v="S&amp;O"/>
    <x v="180"/>
    <x v="8"/>
    <x v="1"/>
    <s v="Invoice"/>
    <s v="97662"/>
    <x v="302"/>
    <x v="265"/>
    <x v="79"/>
    <x v="0"/>
    <n v="550"/>
  </r>
  <r>
    <s v="CSWAFFORD"/>
    <s v="12"/>
    <s v="GOLFVENTURES"/>
    <s v="BIGOPEST"/>
    <x v="180"/>
    <x v="8"/>
    <x v="1"/>
    <s v="Invoice"/>
    <s v="97663"/>
    <x v="249"/>
    <x v="266"/>
    <x v="70"/>
    <x v="0"/>
    <n v="230"/>
  </r>
  <r>
    <s v="CSWAFFORD"/>
    <s v="12"/>
    <s v="GOLFVENTURES"/>
    <s v="BIGOPEST"/>
    <x v="180"/>
    <x v="8"/>
    <x v="1"/>
    <s v="Invoice"/>
    <s v="97663"/>
    <x v="303"/>
    <x v="267"/>
    <x v="80"/>
    <x v="0"/>
    <n v="450"/>
  </r>
  <r>
    <s v="CSWAFFORD"/>
    <s v="12"/>
    <s v="GOLFVENTURES"/>
    <s v="MAIN"/>
    <x v="194"/>
    <x v="8"/>
    <x v="1"/>
    <s v="Invoice"/>
    <s v="97669"/>
    <x v="303"/>
    <x v="267"/>
    <x v="80"/>
    <x v="0"/>
    <n v="180"/>
  </r>
  <r>
    <s v="HAP"/>
    <s v="01"/>
    <s v="ALMARCH"/>
    <s v="THONOTOSASSA"/>
    <x v="198"/>
    <x v="9"/>
    <x v="1"/>
    <s v="Invoice"/>
    <s v="97677"/>
    <x v="92"/>
    <x v="82"/>
    <x v="35"/>
    <x v="0"/>
    <n v="55"/>
  </r>
  <r>
    <s v="HAP"/>
    <s v="01"/>
    <s v="ALMARCH"/>
    <s v="THONOTOSASSA"/>
    <x v="198"/>
    <x v="9"/>
    <x v="1"/>
    <s v="Invoice"/>
    <s v="97677"/>
    <x v="22"/>
    <x v="83"/>
    <x v="17"/>
    <x v="0"/>
    <n v="55"/>
  </r>
  <r>
    <s v="HAP"/>
    <s v="01"/>
    <s v="ALMARCH"/>
    <s v="THONOTOSASSA"/>
    <x v="198"/>
    <x v="9"/>
    <x v="1"/>
    <s v="Invoice"/>
    <s v="97677"/>
    <x v="93"/>
    <x v="84"/>
    <x v="37"/>
    <x v="0"/>
    <n v="55"/>
  </r>
  <r>
    <s v="HAP"/>
    <s v="01"/>
    <s v="GREENWAY"/>
    <s v="FLAMINGO LKS CC"/>
    <x v="199"/>
    <x v="9"/>
    <x v="1"/>
    <s v="Invoice"/>
    <s v="97708"/>
    <x v="7"/>
    <x v="6"/>
    <x v="6"/>
    <x v="0"/>
    <n v="15"/>
  </r>
  <r>
    <s v="HAP"/>
    <s v="01"/>
    <s v="GREENWAY"/>
    <s v="FLAMINGO LKS CC"/>
    <x v="199"/>
    <x v="9"/>
    <x v="1"/>
    <s v="Invoice"/>
    <s v="97708"/>
    <x v="2"/>
    <x v="0"/>
    <x v="0"/>
    <x v="0"/>
    <n v="15"/>
  </r>
  <r>
    <s v="HAP"/>
    <s v="01"/>
    <s v="GREENWAY"/>
    <s v="JACARANDA G C"/>
    <x v="200"/>
    <x v="9"/>
    <x v="1"/>
    <s v="Invoice"/>
    <s v="97728"/>
    <x v="188"/>
    <x v="17"/>
    <x v="17"/>
    <x v="0"/>
    <n v="55"/>
  </r>
  <r>
    <s v="HAP"/>
    <s v="01"/>
    <s v="GREENWAY"/>
    <s v="JACARANDA G C"/>
    <x v="200"/>
    <x v="9"/>
    <x v="1"/>
    <s v="Invoice"/>
    <s v="97728"/>
    <x v="0"/>
    <x v="0"/>
    <x v="0"/>
    <x v="0"/>
    <n v="55"/>
  </r>
  <r>
    <s v="HAP"/>
    <s v="01"/>
    <s v="GREENWAY"/>
    <s v="MAILING-WPBCH"/>
    <x v="201"/>
    <x v="9"/>
    <x v="1"/>
    <s v="Invoice"/>
    <s v="97729"/>
    <x v="90"/>
    <x v="13"/>
    <x v="13"/>
    <x v="0"/>
    <n v="60"/>
  </r>
  <r>
    <s v="HAP"/>
    <s v="01"/>
    <s v="GREENWAY"/>
    <s v="MAILING-WPBCH"/>
    <x v="201"/>
    <x v="9"/>
    <x v="1"/>
    <s v="Invoice"/>
    <s v="97729"/>
    <x v="130"/>
    <x v="119"/>
    <x v="49"/>
    <x v="0"/>
    <n v="30"/>
  </r>
  <r>
    <s v="HAP"/>
    <s v="01"/>
    <s v="GREENWAY"/>
    <s v="MAILING-WPBCH"/>
    <x v="201"/>
    <x v="9"/>
    <x v="1"/>
    <s v="Invoice"/>
    <s v="97729"/>
    <x v="10"/>
    <x v="9"/>
    <x v="9"/>
    <x v="0"/>
    <n v="60"/>
  </r>
  <r>
    <s v="HAP"/>
    <s v="01"/>
    <s v="GREENWAY"/>
    <s v="MAILING-WPBCH"/>
    <x v="201"/>
    <x v="9"/>
    <x v="1"/>
    <s v="Invoice"/>
    <s v="97729"/>
    <x v="11"/>
    <x v="10"/>
    <x v="10"/>
    <x v="0"/>
    <n v="60"/>
  </r>
  <r>
    <s v="HAP"/>
    <s v="01"/>
    <s v="GREENWAY"/>
    <s v="MAILING-WPBCH"/>
    <x v="201"/>
    <x v="9"/>
    <x v="1"/>
    <s v="Invoice"/>
    <s v="97729"/>
    <x v="91"/>
    <x v="14"/>
    <x v="14"/>
    <x v="0"/>
    <n v="30"/>
  </r>
  <r>
    <s v="HAP"/>
    <s v="01"/>
    <s v="GREENWAY"/>
    <s v="MAILING-WPBCH"/>
    <x v="201"/>
    <x v="9"/>
    <x v="1"/>
    <s v="Invoice"/>
    <s v="97729"/>
    <x v="6"/>
    <x v="5"/>
    <x v="5"/>
    <x v="0"/>
    <n v="120"/>
  </r>
  <r>
    <s v="HAP"/>
    <s v="01"/>
    <s v="GREENWAY"/>
    <s v="MAILING-WPBCH"/>
    <x v="201"/>
    <x v="9"/>
    <x v="1"/>
    <s v="Invoice"/>
    <s v="97729"/>
    <x v="2"/>
    <x v="0"/>
    <x v="0"/>
    <x v="0"/>
    <n v="120"/>
  </r>
  <r>
    <s v="HAP"/>
    <s v="01"/>
    <s v="GREENWAY"/>
    <s v="BANYAN CREEK"/>
    <x v="202"/>
    <x v="9"/>
    <x v="1"/>
    <s v="Invoice"/>
    <s v="97742"/>
    <x v="1"/>
    <x v="1"/>
    <x v="1"/>
    <x v="0"/>
    <n v="220"/>
  </r>
  <r>
    <s v="HAP"/>
    <s v="01"/>
    <s v="GREENWAY"/>
    <s v="BANYAN CREEK"/>
    <x v="203"/>
    <x v="9"/>
    <x v="1"/>
    <s v="Invoice"/>
    <s v="97771"/>
    <x v="88"/>
    <x v="2"/>
    <x v="2"/>
    <x v="0"/>
    <n v="55"/>
  </r>
  <r>
    <s v="HAP"/>
    <s v="01"/>
    <s v="GREENWAY"/>
    <s v="BANYAN CREEK"/>
    <x v="203"/>
    <x v="9"/>
    <x v="1"/>
    <s v="Invoice"/>
    <s v="97771"/>
    <x v="188"/>
    <x v="17"/>
    <x v="17"/>
    <x v="0"/>
    <n v="55"/>
  </r>
  <r>
    <s v="HAP"/>
    <s v="01"/>
    <s v="GREENWAY"/>
    <s v="BANYAN CREEK"/>
    <x v="203"/>
    <x v="9"/>
    <x v="1"/>
    <s v="Invoice"/>
    <s v="97771"/>
    <x v="0"/>
    <x v="0"/>
    <x v="0"/>
    <x v="0"/>
    <n v="55"/>
  </r>
  <r>
    <s v="HAP"/>
    <s v="01"/>
    <s v="GREENWAY"/>
    <s v="HOUSTONOAKS"/>
    <x v="204"/>
    <x v="9"/>
    <x v="1"/>
    <s v="Invoice"/>
    <s v="97780"/>
    <x v="7"/>
    <x v="6"/>
    <x v="6"/>
    <x v="0"/>
    <n v="40"/>
  </r>
  <r>
    <s v="HAP"/>
    <s v="01"/>
    <s v="GREENWAY"/>
    <s v="HOUSTONOAKS"/>
    <x v="204"/>
    <x v="9"/>
    <x v="1"/>
    <s v="Invoice"/>
    <s v="97780"/>
    <x v="3"/>
    <x v="2"/>
    <x v="2"/>
    <x v="0"/>
    <n v="40"/>
  </r>
  <r>
    <s v="HAP"/>
    <s v="01"/>
    <s v="GREENWAY"/>
    <s v="HOUSTONOAKS"/>
    <x v="204"/>
    <x v="9"/>
    <x v="1"/>
    <s v="Invoice"/>
    <s v="97780"/>
    <x v="4"/>
    <x v="3"/>
    <x v="3"/>
    <x v="0"/>
    <n v="40"/>
  </r>
  <r>
    <s v="HAP"/>
    <s v="01"/>
    <s v="GREENWAY"/>
    <s v="HOUSTONOAKS"/>
    <x v="204"/>
    <x v="9"/>
    <x v="1"/>
    <s v="Invoice"/>
    <s v="97780"/>
    <x v="5"/>
    <x v="4"/>
    <x v="4"/>
    <x v="0"/>
    <n v="40"/>
  </r>
  <r>
    <s v="HAP"/>
    <s v="01"/>
    <s v="GREENWAY"/>
    <s v="HOUSTONOAKS"/>
    <x v="204"/>
    <x v="9"/>
    <x v="1"/>
    <s v="Invoice"/>
    <s v="97780"/>
    <x v="6"/>
    <x v="5"/>
    <x v="5"/>
    <x v="0"/>
    <n v="40"/>
  </r>
  <r>
    <s v="HAP"/>
    <s v="01"/>
    <s v="GREENWAY"/>
    <s v="HOUSTONOAKS"/>
    <x v="204"/>
    <x v="9"/>
    <x v="1"/>
    <s v="Invoice"/>
    <s v="97780"/>
    <x v="2"/>
    <x v="0"/>
    <x v="0"/>
    <x v="0"/>
    <n v="40"/>
  </r>
  <r>
    <s v="DAVID"/>
    <s v="02"/>
    <s v="NATURALAG"/>
    <s v="MAIN"/>
    <x v="205"/>
    <x v="9"/>
    <x v="1"/>
    <s v="Invoice"/>
    <s v="97685"/>
    <x v="192"/>
    <x v="169"/>
    <x v="61"/>
    <x v="0"/>
    <n v="1000"/>
  </r>
  <r>
    <s v="DAVID"/>
    <s v="02"/>
    <s v="SUNNILAND"/>
    <s v="LONGWOOD"/>
    <x v="205"/>
    <x v="9"/>
    <x v="1"/>
    <s v="Invoice"/>
    <s v="97686"/>
    <x v="124"/>
    <x v="112"/>
    <x v="20"/>
    <x v="1"/>
    <n v="23880"/>
  </r>
  <r>
    <s v="DAVID"/>
    <s v="02"/>
    <s v="FLORIDAF"/>
    <s v="FLORIDA FERTILI"/>
    <x v="206"/>
    <x v="9"/>
    <x v="1"/>
    <s v="Invoice"/>
    <s v="97688"/>
    <x v="280"/>
    <x v="245"/>
    <x v="20"/>
    <x v="1"/>
    <n v="58820"/>
  </r>
  <r>
    <s v="DAVID"/>
    <s v="02"/>
    <s v="FLORIDAGAR"/>
    <s v="GARDENSUPPLIES"/>
    <x v="206"/>
    <x v="9"/>
    <x v="1"/>
    <s v="Invoice"/>
    <s v="97689"/>
    <x v="304"/>
    <x v="268"/>
    <x v="73"/>
    <x v="0"/>
    <n v="150"/>
  </r>
  <r>
    <s v="DAVID"/>
    <s v="02"/>
    <s v="EVOQUAWATER"/>
    <s v="MAIN"/>
    <x v="207"/>
    <x v="9"/>
    <x v="1"/>
    <s v="Invoice"/>
    <s v="97698"/>
    <x v="160"/>
    <x v="231"/>
    <x v="54"/>
    <x v="0"/>
    <n v="360"/>
  </r>
  <r>
    <s v="DAVID"/>
    <s v="02"/>
    <s v="EVOQUAWATER"/>
    <s v="STOR-N-MORE"/>
    <x v="207"/>
    <x v="9"/>
    <x v="1"/>
    <s v="Invoice"/>
    <s v="97699"/>
    <x v="160"/>
    <x v="231"/>
    <x v="54"/>
    <x v="0"/>
    <n v="360"/>
  </r>
  <r>
    <s v="DAVID"/>
    <s v="02"/>
    <s v="TAIWANPHARMATRA"/>
    <s v="MAILIING"/>
    <x v="208"/>
    <x v="9"/>
    <x v="1"/>
    <s v="Invoice"/>
    <s v="97717"/>
    <x v="80"/>
    <x v="73"/>
    <x v="4"/>
    <x v="0"/>
    <n v="422"/>
  </r>
  <r>
    <s v="DAVID"/>
    <s v="02"/>
    <s v="BIGEARTH"/>
    <s v="3115"/>
    <x v="209"/>
    <x v="9"/>
    <x v="1"/>
    <s v="Invoice"/>
    <s v="97750"/>
    <x v="281"/>
    <x v="247"/>
    <x v="76"/>
    <x v="0"/>
    <n v="500"/>
  </r>
  <r>
    <s v="DAVID"/>
    <s v="02"/>
    <s v="OHARAPEST"/>
    <s v="MAILIING"/>
    <x v="210"/>
    <x v="9"/>
    <x v="1"/>
    <s v="Invoice"/>
    <s v="97754"/>
    <x v="305"/>
    <x v="269"/>
    <x v="26"/>
    <x v="0"/>
    <n v="20"/>
  </r>
  <r>
    <s v="DAVID"/>
    <s v="02"/>
    <s v="OHARAPEST"/>
    <s v="MAILIING"/>
    <x v="210"/>
    <x v="9"/>
    <x v="1"/>
    <s v="Invoice"/>
    <s v="97754"/>
    <x v="97"/>
    <x v="91"/>
    <x v="8"/>
    <x v="0"/>
    <n v="250"/>
  </r>
  <r>
    <s v="DAVID"/>
    <s v="02"/>
    <s v="GOLFVENTURES"/>
    <s v="BIGOPEST"/>
    <x v="211"/>
    <x v="9"/>
    <x v="1"/>
    <s v="Invoice"/>
    <s v="97783"/>
    <x v="306"/>
    <x v="270"/>
    <x v="81"/>
    <x v="0"/>
    <n v="500"/>
  </r>
  <r>
    <s v="DAVID"/>
    <s v="02"/>
    <s v="PATHWAY"/>
    <s v="TEVER"/>
    <x v="212"/>
    <x v="9"/>
    <x v="1"/>
    <s v="Invoice"/>
    <s v="97794"/>
    <x v="261"/>
    <x v="229"/>
    <x v="73"/>
    <x v="0"/>
    <n v="250"/>
  </r>
  <r>
    <s v="DAVID"/>
    <s v="02"/>
    <s v="CAROLINATU"/>
    <s v="GRANDOVER RESOR"/>
    <x v="212"/>
    <x v="9"/>
    <x v="1"/>
    <s v="Invoice"/>
    <s v="97798"/>
    <x v="22"/>
    <x v="69"/>
    <x v="17"/>
    <x v="0"/>
    <n v="40"/>
  </r>
  <r>
    <s v="DAVID"/>
    <s v="02"/>
    <s v="CAROLINATU"/>
    <s v="GRANDOVER RESOR"/>
    <x v="212"/>
    <x v="9"/>
    <x v="1"/>
    <s v="Invoice"/>
    <s v="97798"/>
    <x v="163"/>
    <x v="227"/>
    <x v="56"/>
    <x v="0"/>
    <n v="30"/>
  </r>
  <r>
    <s v="JUSTIN"/>
    <s v="03"/>
    <s v="TRIANGLE"/>
    <s v="TRIANGLE/PC"/>
    <x v="213"/>
    <x v="9"/>
    <x v="1"/>
    <s v="Invoice"/>
    <s v="97679"/>
    <x v="100"/>
    <x v="94"/>
    <x v="41"/>
    <x v="0"/>
    <n v="1000"/>
  </r>
  <r>
    <s v="JUSTIN"/>
    <s v="03"/>
    <s v="GRIFFINF"/>
    <s v="FROSTPROOF"/>
    <x v="213"/>
    <x v="9"/>
    <x v="1"/>
    <s v="Invoice"/>
    <s v="97681"/>
    <x v="36"/>
    <x v="31"/>
    <x v="4"/>
    <x v="0"/>
    <n v="1440"/>
  </r>
  <r>
    <s v="JUSTIN"/>
    <s v="03"/>
    <s v="GRIFFINF"/>
    <s v="FROSTPROOF"/>
    <x v="213"/>
    <x v="9"/>
    <x v="1"/>
    <s v="Invoice"/>
    <s v="97681"/>
    <x v="197"/>
    <x v="31"/>
    <x v="4"/>
    <x v="0"/>
    <n v="1500"/>
  </r>
  <r>
    <s v="JUSTIN"/>
    <s v="03"/>
    <s v="GRIFFINF"/>
    <s v="FROSTPROOF"/>
    <x v="205"/>
    <x v="9"/>
    <x v="1"/>
    <s v="Invoice"/>
    <s v="97684"/>
    <x v="36"/>
    <x v="31"/>
    <x v="4"/>
    <x v="0"/>
    <n v="2160"/>
  </r>
  <r>
    <s v="JUSTIN"/>
    <s v="03"/>
    <s v="CPSWACHU"/>
    <s v="WAUCHULA"/>
    <x v="207"/>
    <x v="9"/>
    <x v="1"/>
    <s v="Invoice"/>
    <s v="97695"/>
    <x v="196"/>
    <x v="172"/>
    <x v="61"/>
    <x v="0"/>
    <n v="180"/>
  </r>
  <r>
    <s v="JUSTIN"/>
    <s v="03"/>
    <s v="GRIFFINF"/>
    <s v="FROSTPROOF"/>
    <x v="207"/>
    <x v="9"/>
    <x v="1"/>
    <s v="Invoice"/>
    <s v="97696"/>
    <x v="96"/>
    <x v="90"/>
    <x v="39"/>
    <x v="0"/>
    <n v="180"/>
  </r>
  <r>
    <s v="JUSTIN"/>
    <s v="03"/>
    <s v="GRIFFINF"/>
    <s v="FROSTPROOF"/>
    <x v="207"/>
    <x v="9"/>
    <x v="1"/>
    <s v="Invoice"/>
    <s v="97696"/>
    <x v="197"/>
    <x v="31"/>
    <x v="4"/>
    <x v="0"/>
    <n v="250"/>
  </r>
  <r>
    <s v="JUSTIN"/>
    <s v="03"/>
    <s v="CPSOKEE"/>
    <s v="OKEE-LIQ PLANT"/>
    <x v="207"/>
    <x v="9"/>
    <x v="1"/>
    <s v="Invoice"/>
    <s v="97700"/>
    <x v="134"/>
    <x v="94"/>
    <x v="41"/>
    <x v="0"/>
    <n v="1966"/>
  </r>
  <r>
    <s v="JUSTIN"/>
    <s v="03"/>
    <s v="CPSWAVER"/>
    <s v="WAVERLY"/>
    <x v="200"/>
    <x v="9"/>
    <x v="1"/>
    <s v="Invoice"/>
    <s v="97720"/>
    <x v="197"/>
    <x v="31"/>
    <x v="4"/>
    <x v="0"/>
    <n v="500"/>
  </r>
  <r>
    <s v="JUSTIN"/>
    <s v="03"/>
    <s v="CPSWAVER"/>
    <s v="WAVERLY"/>
    <x v="200"/>
    <x v="9"/>
    <x v="1"/>
    <s v="Invoice"/>
    <s v="97720"/>
    <x v="36"/>
    <x v="31"/>
    <x v="4"/>
    <x v="0"/>
    <n v="180"/>
  </r>
  <r>
    <s v="JUSTIN"/>
    <s v="03"/>
    <s v="TRIANGLE"/>
    <s v="TRIANGLE/LAKEPL"/>
    <x v="201"/>
    <x v="9"/>
    <x v="1"/>
    <s v="Invoice"/>
    <s v="97730"/>
    <x v="136"/>
    <x v="111"/>
    <x v="46"/>
    <x v="0"/>
    <n v="360"/>
  </r>
  <r>
    <s v="JUSTIN"/>
    <s v="03"/>
    <s v="CPSWACHU"/>
    <s v="WAUCHULA"/>
    <x v="201"/>
    <x v="9"/>
    <x v="1"/>
    <s v="Invoice"/>
    <s v="97732"/>
    <x v="38"/>
    <x v="30"/>
    <x v="27"/>
    <x v="0"/>
    <n v="500"/>
  </r>
  <r>
    <s v="JUSTIN"/>
    <s v="03"/>
    <s v="CPSWACHU"/>
    <s v="WAUCHULA"/>
    <x v="214"/>
    <x v="9"/>
    <x v="1"/>
    <s v="Invoice"/>
    <s v="97744"/>
    <x v="196"/>
    <x v="172"/>
    <x v="61"/>
    <x v="0"/>
    <n v="360"/>
  </r>
  <r>
    <s v="JUSTIN"/>
    <s v="03"/>
    <s v="CPSWAVER"/>
    <s v="WAVERLY"/>
    <x v="209"/>
    <x v="9"/>
    <x v="1"/>
    <s v="Invoice"/>
    <s v="97747"/>
    <x v="38"/>
    <x v="30"/>
    <x v="27"/>
    <x v="0"/>
    <n v="250"/>
  </r>
  <r>
    <s v="JUSTIN"/>
    <s v="03"/>
    <s v="CPSPARRI"/>
    <s v="PARRISH"/>
    <x v="209"/>
    <x v="9"/>
    <x v="1"/>
    <s v="Invoice"/>
    <s v="97749"/>
    <x v="35"/>
    <x v="30"/>
    <x v="27"/>
    <x v="0"/>
    <n v="180"/>
  </r>
  <r>
    <s v="JUSTIN"/>
    <s v="03"/>
    <s v="BIGEARTH"/>
    <s v="MAILING"/>
    <x v="214"/>
    <x v="9"/>
    <x v="1"/>
    <s v="Invoice"/>
    <s v="97751"/>
    <x v="307"/>
    <x v="271"/>
    <x v="82"/>
    <x v="0"/>
    <n v="5"/>
  </r>
  <r>
    <s v="JUSTIN"/>
    <s v="03"/>
    <s v="GRIFFINF"/>
    <s v="FROSTPROOF"/>
    <x v="210"/>
    <x v="9"/>
    <x v="1"/>
    <s v="Invoice"/>
    <s v="97753"/>
    <x v="197"/>
    <x v="31"/>
    <x v="4"/>
    <x v="0"/>
    <n v="250"/>
  </r>
  <r>
    <s v="JUSTIN"/>
    <s v="03"/>
    <s v="GRIFFINF"/>
    <s v="FROSTPROOF"/>
    <x v="210"/>
    <x v="9"/>
    <x v="1"/>
    <s v="Invoice"/>
    <s v="97753"/>
    <x v="36"/>
    <x v="31"/>
    <x v="4"/>
    <x v="0"/>
    <n v="720"/>
  </r>
  <r>
    <s v="JUSTIN"/>
    <s v="03"/>
    <s v="CPSWAVER"/>
    <s v="WAVERLY"/>
    <x v="215"/>
    <x v="9"/>
    <x v="1"/>
    <s v="Invoice"/>
    <s v="97759"/>
    <x v="264"/>
    <x v="156"/>
    <x v="9"/>
    <x v="0"/>
    <n v="250"/>
  </r>
  <r>
    <s v=""/>
    <s v="03"/>
    <s v="CPSMULB"/>
    <s v="UAP/MULBERRY"/>
    <x v="215"/>
    <x v="9"/>
    <x v="1"/>
    <s v="Invoice"/>
    <s v="97760"/>
    <x v="134"/>
    <x v="94"/>
    <x v="41"/>
    <x v="0"/>
    <n v="1429"/>
  </r>
  <r>
    <s v="JUSTIN"/>
    <s v="03"/>
    <s v="TRIANGLE"/>
    <s v="TRIANGLE/LAKEPL"/>
    <x v="215"/>
    <x v="9"/>
    <x v="1"/>
    <s v="Invoice"/>
    <s v="97762"/>
    <x v="197"/>
    <x v="31"/>
    <x v="4"/>
    <x v="0"/>
    <n v="250"/>
  </r>
  <r>
    <s v="JUSTIN"/>
    <s v="03"/>
    <s v="CPSWACHU"/>
    <s v="WAUCHULA"/>
    <x v="203"/>
    <x v="9"/>
    <x v="1"/>
    <s v="Invoice"/>
    <s v="97767"/>
    <x v="192"/>
    <x v="169"/>
    <x v="61"/>
    <x v="0"/>
    <n v="250"/>
  </r>
  <r>
    <s v="JUSTIN"/>
    <s v="03"/>
    <s v="BIGEARTH"/>
    <s v="PALMETTO"/>
    <x v="203"/>
    <x v="9"/>
    <x v="1"/>
    <s v="Invoice"/>
    <s v="97768"/>
    <x v="307"/>
    <x v="271"/>
    <x v="82"/>
    <x v="0"/>
    <n v="5"/>
  </r>
  <r>
    <s v="JUSTIN"/>
    <s v="03"/>
    <s v="COUNCILO"/>
    <s v="COUNCIL-OXFORD"/>
    <x v="204"/>
    <x v="9"/>
    <x v="1"/>
    <s v="Invoice"/>
    <s v="97777"/>
    <x v="164"/>
    <x v="147"/>
    <x v="57"/>
    <x v="0"/>
    <n v="60"/>
  </r>
  <r>
    <s v="JUSTIN"/>
    <s v="03"/>
    <s v="COUNCILO"/>
    <s v="COUNCIL-OXFORD"/>
    <x v="204"/>
    <x v="9"/>
    <x v="1"/>
    <s v="Invoice"/>
    <s v="97778"/>
    <x v="308"/>
    <x v="272"/>
    <x v="22"/>
    <x v="2"/>
    <n v="2.5"/>
  </r>
  <r>
    <s v="JUSTIN"/>
    <s v="03"/>
    <s v="CPSOKEE"/>
    <s v="OKEE-LIQ PLANT"/>
    <x v="216"/>
    <x v="9"/>
    <x v="1"/>
    <s v="Invoice"/>
    <s v="97785"/>
    <x v="134"/>
    <x v="94"/>
    <x v="41"/>
    <x v="0"/>
    <n v="2496.0500000000002"/>
  </r>
  <r>
    <s v="JUSTIN"/>
    <s v="03"/>
    <s v="CPSWACHU"/>
    <s v="WAUCHULA"/>
    <x v="216"/>
    <x v="9"/>
    <x v="1"/>
    <s v="Invoice"/>
    <s v="97788"/>
    <x v="192"/>
    <x v="169"/>
    <x v="61"/>
    <x v="0"/>
    <n v="250"/>
  </r>
  <r>
    <s v="DPOPPELL"/>
    <s v="04"/>
    <s v="SOUTHERNHILL"/>
    <s v="SCHOFIELD"/>
    <x v="205"/>
    <x v="9"/>
    <x v="1"/>
    <s v="Invoice"/>
    <s v="97683"/>
    <x v="287"/>
    <x v="250"/>
    <x v="22"/>
    <x v="2"/>
    <n v="4"/>
  </r>
  <r>
    <s v="DPOPPELL"/>
    <s v="04"/>
    <s v="CHANFARM"/>
    <s v="KNIGHTS GRIFFIN"/>
    <x v="199"/>
    <x v="9"/>
    <x v="1"/>
    <s v="Invoice"/>
    <s v="97710"/>
    <x v="51"/>
    <x v="44"/>
    <x v="22"/>
    <x v="2"/>
    <n v="2.4500000000000002"/>
  </r>
  <r>
    <s v="DPOPPELL"/>
    <s v="04"/>
    <s v="FLORIDAAG"/>
    <s v="KINGSWAY"/>
    <x v="200"/>
    <x v="9"/>
    <x v="1"/>
    <s v="Invoice"/>
    <s v="97723"/>
    <x v="52"/>
    <x v="45"/>
    <x v="22"/>
    <x v="2"/>
    <n v="0.97750000000000004"/>
  </r>
  <r>
    <s v="DPOPPELL"/>
    <s v="04"/>
    <s v="FERRISFA"/>
    <s v="BLUEBERRY-NEW"/>
    <x v="209"/>
    <x v="9"/>
    <x v="1"/>
    <s v="Invoice"/>
    <s v="97748"/>
    <x v="62"/>
    <x v="55"/>
    <x v="22"/>
    <x v="2"/>
    <n v="15"/>
  </r>
  <r>
    <s v="DPOPPELL"/>
    <s v="04"/>
    <s v="FLORIDAAG"/>
    <s v="KINGSWAY"/>
    <x v="215"/>
    <x v="9"/>
    <x v="1"/>
    <s v="Invoice"/>
    <s v="97765"/>
    <x v="52"/>
    <x v="45"/>
    <x v="22"/>
    <x v="2"/>
    <n v="1.2350000000000001"/>
  </r>
  <r>
    <s v=""/>
    <s v="04"/>
    <s v="SOTERO"/>
    <s v="SOTERO"/>
    <x v="203"/>
    <x v="9"/>
    <x v="1"/>
    <s v="Invoice"/>
    <s v="97769"/>
    <x v="53"/>
    <x v="46"/>
    <x v="22"/>
    <x v="2"/>
    <n v="0.15"/>
  </r>
  <r>
    <s v="DPOPPELL"/>
    <s v="04"/>
    <s v="PARKESDA"/>
    <s v="BLACKBERRIES"/>
    <x v="204"/>
    <x v="9"/>
    <x v="1"/>
    <s v="Invoice"/>
    <s v="97774"/>
    <x v="65"/>
    <x v="58"/>
    <x v="22"/>
    <x v="2"/>
    <n v="1.2549999999999999"/>
  </r>
  <r>
    <s v="DPOPPELL"/>
    <s v="04"/>
    <s v="TRUEALGAE"/>
    <s v="MAILIING"/>
    <x v="216"/>
    <x v="9"/>
    <x v="1"/>
    <s v="Invoice"/>
    <s v="97787"/>
    <x v="61"/>
    <x v="54"/>
    <x v="31"/>
    <x v="0"/>
    <n v="25"/>
  </r>
  <r>
    <s v="DPOPPELL"/>
    <s v="04"/>
    <s v="GUTIERREZDAN"/>
    <s v="TANNER RD."/>
    <x v="216"/>
    <x v="9"/>
    <x v="1"/>
    <s v="Invoice"/>
    <s v="97791"/>
    <x v="309"/>
    <x v="273"/>
    <x v="20"/>
    <x v="1"/>
    <n v="8000"/>
  </r>
  <r>
    <s v="DPOPPELL"/>
    <s v="04"/>
    <s v="CHANFARM"/>
    <s v="KNIGHTS GRIFFIN"/>
    <x v="212"/>
    <x v="9"/>
    <x v="1"/>
    <s v="Invoice"/>
    <s v="97797"/>
    <x v="51"/>
    <x v="44"/>
    <x v="22"/>
    <x v="2"/>
    <n v="2.5"/>
  </r>
  <r>
    <s v="HOUSE"/>
    <s v="05"/>
    <s v="SOUTHERN"/>
    <s v="SOUTHERN AG"/>
    <x v="206"/>
    <x v="9"/>
    <x v="1"/>
    <s v="Invoice"/>
    <s v="97690"/>
    <x v="237"/>
    <x v="75"/>
    <x v="26"/>
    <x v="0"/>
    <n v="180"/>
  </r>
  <r>
    <s v="HOUSE"/>
    <s v="05"/>
    <s v="SOUTHERN"/>
    <s v="SOUTHERN AG"/>
    <x v="206"/>
    <x v="9"/>
    <x v="1"/>
    <s v="Invoice"/>
    <s v="97690"/>
    <x v="178"/>
    <x v="182"/>
    <x v="59"/>
    <x v="0"/>
    <n v="180"/>
  </r>
  <r>
    <s v="HOUSE"/>
    <s v="05"/>
    <s v="SOUTHERN"/>
    <s v="SOUTHERN AG"/>
    <x v="206"/>
    <x v="9"/>
    <x v="1"/>
    <s v="Invoice"/>
    <s v="97691"/>
    <x v="133"/>
    <x v="109"/>
    <x v="45"/>
    <x v="0"/>
    <n v="30"/>
  </r>
  <r>
    <s v="HOUSE"/>
    <s v="05"/>
    <s v="SOUTHERN"/>
    <s v="SOUTHERN AG"/>
    <x v="206"/>
    <x v="9"/>
    <x v="1"/>
    <s v="Invoice"/>
    <s v="97691"/>
    <x v="122"/>
    <x v="63"/>
    <x v="33"/>
    <x v="0"/>
    <n v="60"/>
  </r>
  <r>
    <s v="HOUSE"/>
    <s v="05"/>
    <s v="SOUTHERN"/>
    <s v="SOUTHERN AG"/>
    <x v="206"/>
    <x v="9"/>
    <x v="1"/>
    <s v="Invoice"/>
    <s v="97691"/>
    <x v="96"/>
    <x v="90"/>
    <x v="39"/>
    <x v="0"/>
    <n v="60"/>
  </r>
  <r>
    <s v="HOUSE"/>
    <s v="05"/>
    <s v="CPSHOMES"/>
    <s v="HOMESTEAD"/>
    <x v="217"/>
    <x v="9"/>
    <x v="1"/>
    <s v="Invoice"/>
    <s v="97714"/>
    <x v="148"/>
    <x v="128"/>
    <x v="29"/>
    <x v="0"/>
    <n v="180"/>
  </r>
  <r>
    <s v="HOUSE"/>
    <s v="05"/>
    <s v="SOUTHEASTTURF"/>
    <s v="CCOFWINTERHAVEN"/>
    <x v="204"/>
    <x v="9"/>
    <x v="1"/>
    <s v="Invoice"/>
    <s v="97776"/>
    <x v="310"/>
    <x v="145"/>
    <x v="56"/>
    <x v="0"/>
    <n v="250"/>
  </r>
  <r>
    <s v="HOUSE"/>
    <s v="05"/>
    <s v="HITECHTU"/>
    <s v="MAILING"/>
    <x v="216"/>
    <x v="9"/>
    <x v="1"/>
    <s v="Invoice"/>
    <s v="97789"/>
    <x v="311"/>
    <x v="274"/>
    <x v="83"/>
    <x v="0"/>
    <n v="100"/>
  </r>
  <r>
    <s v="HOUSE"/>
    <s v="05"/>
    <s v="CPSBOYNTON"/>
    <s v="BOYNTON BCH"/>
    <x v="212"/>
    <x v="9"/>
    <x v="1"/>
    <s v="Invoice"/>
    <s v="97799"/>
    <x v="121"/>
    <x v="110"/>
    <x v="1"/>
    <x v="0"/>
    <n v="180"/>
  </r>
  <r>
    <s v="BRIDGE"/>
    <s v="06"/>
    <s v="SIMPLOT"/>
    <s v="GREENVILLE"/>
    <x v="206"/>
    <x v="9"/>
    <x v="1"/>
    <s v="Invoice"/>
    <s v="97687"/>
    <x v="166"/>
    <x v="29"/>
    <x v="26"/>
    <x v="0"/>
    <n v="250"/>
  </r>
  <r>
    <s v="BRIDGE"/>
    <s v="06"/>
    <s v="SIMPLOT"/>
    <s v="CLARKESDALE"/>
    <x v="206"/>
    <x v="9"/>
    <x v="1"/>
    <s v="Invoice"/>
    <s v="97694"/>
    <x v="87"/>
    <x v="88"/>
    <x v="8"/>
    <x v="0"/>
    <n v="500"/>
  </r>
  <r>
    <s v="BRIDGE"/>
    <s v="06"/>
    <s v="CPSSOUTH"/>
    <s v="BOYLE,MS"/>
    <x v="209"/>
    <x v="9"/>
    <x v="1"/>
    <s v="Invoice"/>
    <s v="97746"/>
    <x v="166"/>
    <x v="29"/>
    <x v="26"/>
    <x v="0"/>
    <n v="500"/>
  </r>
  <r>
    <s v="CHEAD"/>
    <s v="07"/>
    <s v="MILLERBL"/>
    <s v="PALATKA"/>
    <x v="206"/>
    <x v="9"/>
    <x v="1"/>
    <s v="Invoice"/>
    <s v="97692"/>
    <x v="208"/>
    <x v="184"/>
    <x v="22"/>
    <x v="2"/>
    <n v="15"/>
  </r>
  <r>
    <s v="CHEAD"/>
    <s v="07"/>
    <s v="TRIANGLE"/>
    <s v="GROVELAND"/>
    <x v="206"/>
    <x v="9"/>
    <x v="1"/>
    <s v="Invoice"/>
    <s v="97693"/>
    <x v="164"/>
    <x v="147"/>
    <x v="57"/>
    <x v="0"/>
    <n v="30"/>
  </r>
  <r>
    <s v="CHEAD"/>
    <s v="07"/>
    <s v="BIG HOUSE FARMS"/>
    <s v="MAYO"/>
    <x v="200"/>
    <x v="9"/>
    <x v="1"/>
    <s v="Invoice"/>
    <s v="97722"/>
    <x v="312"/>
    <x v="275"/>
    <x v="22"/>
    <x v="2"/>
    <n v="8.9924999999999997"/>
  </r>
  <r>
    <s v="CHEAD"/>
    <s v="07"/>
    <s v="BARBERFERT"/>
    <s v="MAIN"/>
    <x v="203"/>
    <x v="9"/>
    <x v="1"/>
    <s v="Invoice"/>
    <s v="97772"/>
    <x v="34"/>
    <x v="29"/>
    <x v="26"/>
    <x v="0"/>
    <n v="180"/>
  </r>
  <r>
    <s v="DPOPPELL1"/>
    <s v="08"/>
    <s v="COASTALAGSUPPLY"/>
    <s v="MULBERRY"/>
    <x v="205"/>
    <x v="9"/>
    <x v="1"/>
    <s v="Invoice"/>
    <s v="97682"/>
    <x v="35"/>
    <x v="30"/>
    <x v="27"/>
    <x v="0"/>
    <n v="180"/>
  </r>
  <r>
    <s v="DPOPPELL1"/>
    <s v="08"/>
    <s v="COASTALAGSUPPLY"/>
    <s v="MISTYORGANICS"/>
    <x v="199"/>
    <x v="9"/>
    <x v="1"/>
    <s v="Invoice"/>
    <s v="97707"/>
    <x v="75"/>
    <x v="68"/>
    <x v="22"/>
    <x v="2"/>
    <n v="12.475"/>
  </r>
  <r>
    <s v="DPOPPELL1"/>
    <s v="08"/>
    <s v="COASTALAGSUPPLY"/>
    <s v="MULBERRY"/>
    <x v="217"/>
    <x v="9"/>
    <x v="1"/>
    <s v="Invoice"/>
    <s v="97713"/>
    <x v="75"/>
    <x v="68"/>
    <x v="22"/>
    <x v="2"/>
    <n v="1.25"/>
  </r>
  <r>
    <s v="DPOPPELL1"/>
    <s v="08"/>
    <s v="COASTALAGSUPPLY"/>
    <s v="MULBERRY"/>
    <x v="200"/>
    <x v="9"/>
    <x v="1"/>
    <s v="Invoice"/>
    <s v="97719"/>
    <x v="5"/>
    <x v="72"/>
    <x v="4"/>
    <x v="0"/>
    <n v="180"/>
  </r>
  <r>
    <s v="DPOPPELL1"/>
    <s v="08"/>
    <s v="COASTALAGSUPPLY"/>
    <s v="MULBERRY"/>
    <x v="200"/>
    <x v="9"/>
    <x v="1"/>
    <s v="Invoice"/>
    <s v="97726"/>
    <x v="209"/>
    <x v="185"/>
    <x v="63"/>
    <x v="0"/>
    <n v="180"/>
  </r>
  <r>
    <s v="DPOPPELL1"/>
    <s v="08"/>
    <s v="COASTALAGSUPPLY"/>
    <s v="MULBERRY"/>
    <x v="200"/>
    <x v="9"/>
    <x v="1"/>
    <s v="Invoice"/>
    <s v="97727"/>
    <x v="136"/>
    <x v="111"/>
    <x v="46"/>
    <x v="0"/>
    <n v="90"/>
  </r>
  <r>
    <s v="DPOPPELL1"/>
    <s v="08"/>
    <s v="MAYO"/>
    <s v="PLANTCITY"/>
    <x v="204"/>
    <x v="9"/>
    <x v="1"/>
    <s v="Invoice"/>
    <s v="97775A"/>
    <x v="125"/>
    <x v="113"/>
    <x v="22"/>
    <x v="2"/>
    <n v="8.7575000000000003"/>
  </r>
  <r>
    <s v=""/>
    <s v="09"/>
    <s v="AGRIBUSI"/>
    <s v="AGB/ROOSEVELT"/>
    <x v="217"/>
    <x v="9"/>
    <x v="1"/>
    <s v="Invoice"/>
    <s v="97715"/>
    <x v="250"/>
    <x v="223"/>
    <x v="23"/>
    <x v="0"/>
    <n v="360"/>
  </r>
  <r>
    <s v=""/>
    <s v="09"/>
    <s v="NUTRATURF"/>
    <s v="CRUMP ST, NC"/>
    <x v="217"/>
    <x v="9"/>
    <x v="1"/>
    <s v="Invoice"/>
    <s v="97716"/>
    <x v="78"/>
    <x v="71"/>
    <x v="34"/>
    <x v="0"/>
    <n v="55"/>
  </r>
  <r>
    <s v=""/>
    <s v="09"/>
    <s v="NUTRATURF"/>
    <s v="CRUMP ST, NC"/>
    <x v="217"/>
    <x v="9"/>
    <x v="1"/>
    <s v="Invoice"/>
    <s v="97716"/>
    <x v="80"/>
    <x v="73"/>
    <x v="4"/>
    <x v="0"/>
    <n v="55"/>
  </r>
  <r>
    <s v=""/>
    <s v="09"/>
    <s v="NUTRATURF"/>
    <s v="CRUMP ST, NC"/>
    <x v="217"/>
    <x v="9"/>
    <x v="1"/>
    <s v="Invoice"/>
    <s v="97716"/>
    <x v="252"/>
    <x v="224"/>
    <x v="71"/>
    <x v="0"/>
    <n v="110"/>
  </r>
  <r>
    <s v=""/>
    <s v="09"/>
    <s v="NUTRATURF"/>
    <s v="CRUMP ST, NC"/>
    <x v="217"/>
    <x v="9"/>
    <x v="1"/>
    <s v="Invoice"/>
    <s v="97716"/>
    <x v="255"/>
    <x v="276"/>
    <x v="35"/>
    <x v="0"/>
    <n v="250"/>
  </r>
  <r>
    <s v="GEORGIA"/>
    <s v="09"/>
    <s v="AGRIBUSI"/>
    <s v="INNVICTIS/PERFO"/>
    <x v="208"/>
    <x v="9"/>
    <x v="1"/>
    <s v="Invoice"/>
    <s v="97718"/>
    <x v="129"/>
    <x v="117"/>
    <x v="48"/>
    <x v="0"/>
    <n v="3710"/>
  </r>
  <r>
    <s v=""/>
    <s v="09"/>
    <s v="TRIANGLE/GA"/>
    <s v="DONALSONVILLE"/>
    <x v="202"/>
    <x v="9"/>
    <x v="1"/>
    <s v="Invoice"/>
    <s v="97735"/>
    <x v="258"/>
    <x v="221"/>
    <x v="69"/>
    <x v="0"/>
    <n v="4000"/>
  </r>
  <r>
    <s v=""/>
    <s v="09"/>
    <s v="NUTRATURF"/>
    <s v="CRUMP ST, NC"/>
    <x v="202"/>
    <x v="9"/>
    <x v="1"/>
    <s v="Invoice"/>
    <s v="97741"/>
    <x v="140"/>
    <x v="72"/>
    <x v="4"/>
    <x v="0"/>
    <n v="250"/>
  </r>
  <r>
    <s v="GEORGIA"/>
    <s v="09"/>
    <s v="FLORIDAGAR"/>
    <s v="OKLAHOMA"/>
    <x v="202"/>
    <x v="9"/>
    <x v="1"/>
    <s v="Invoice"/>
    <s v="97743"/>
    <x v="304"/>
    <x v="268"/>
    <x v="73"/>
    <x v="0"/>
    <n v="150"/>
  </r>
  <r>
    <s v="GEORGIA"/>
    <s v="09"/>
    <s v="FLORIDAGAR"/>
    <s v="OKLAHOMA"/>
    <x v="202"/>
    <x v="9"/>
    <x v="1"/>
    <s v="Invoice"/>
    <s v="97743"/>
    <x v="313"/>
    <x v="277"/>
    <x v="84"/>
    <x v="0"/>
    <n v="150"/>
  </r>
  <r>
    <s v="GEORGIA"/>
    <s v="09"/>
    <s v="FLORIDAGAR"/>
    <s v="OKLAHOMA"/>
    <x v="202"/>
    <x v="9"/>
    <x v="1"/>
    <s v="Invoice"/>
    <s v="97743"/>
    <x v="314"/>
    <x v="278"/>
    <x v="85"/>
    <x v="0"/>
    <n v="150"/>
  </r>
  <r>
    <s v=""/>
    <s v="09"/>
    <s v="TRIANGLE/GA"/>
    <s v="SYCAMORE"/>
    <x v="214"/>
    <x v="9"/>
    <x v="1"/>
    <s v="Invoice"/>
    <s v="97745"/>
    <x v="258"/>
    <x v="221"/>
    <x v="69"/>
    <x v="0"/>
    <n v="4000"/>
  </r>
  <r>
    <s v="GEORGIA"/>
    <s v="09"/>
    <s v="AGRIBUSI"/>
    <s v="INNVICTIS/PERFO"/>
    <x v="210"/>
    <x v="9"/>
    <x v="1"/>
    <s v="Invoice"/>
    <s v="97755"/>
    <x v="129"/>
    <x v="117"/>
    <x v="48"/>
    <x v="0"/>
    <n v="3710"/>
  </r>
  <r>
    <s v=""/>
    <s v="09"/>
    <s v="CAROLINATU"/>
    <s v="NORTHRIDGE"/>
    <x v="210"/>
    <x v="9"/>
    <x v="1"/>
    <s v="Invoice"/>
    <s v="97756"/>
    <x v="217"/>
    <x v="192"/>
    <x v="56"/>
    <x v="0"/>
    <n v="500"/>
  </r>
  <r>
    <s v="GEORGIA"/>
    <s v="09"/>
    <s v="CAROLINATU"/>
    <s v="SUMMERFIELDFEED"/>
    <x v="210"/>
    <x v="9"/>
    <x v="1"/>
    <s v="Invoice"/>
    <s v="97757"/>
    <x v="249"/>
    <x v="222"/>
    <x v="70"/>
    <x v="0"/>
    <n v="135"/>
  </r>
  <r>
    <s v="GEORGIA"/>
    <s v="09"/>
    <s v="CAROLINATU"/>
    <s v="SUMMERFIELDFEED"/>
    <x v="210"/>
    <x v="9"/>
    <x v="1"/>
    <s v="Invoice"/>
    <s v="97757"/>
    <x v="259"/>
    <x v="226"/>
    <x v="56"/>
    <x v="0"/>
    <n v="20"/>
  </r>
  <r>
    <s v="GEORGIA"/>
    <s v="09"/>
    <s v="CAROLINATU"/>
    <s v="SUMMERFIELDFEED"/>
    <x v="210"/>
    <x v="9"/>
    <x v="1"/>
    <s v="Invoice"/>
    <s v="97757"/>
    <x v="163"/>
    <x v="145"/>
    <x v="56"/>
    <x v="0"/>
    <n v="20"/>
  </r>
  <r>
    <s v="GEORGIA"/>
    <s v="09"/>
    <s v="CAROLINATU"/>
    <s v="SUMMERFIELDFEED"/>
    <x v="210"/>
    <x v="9"/>
    <x v="1"/>
    <s v="Invoice"/>
    <s v="97757"/>
    <x v="94"/>
    <x v="87"/>
    <x v="38"/>
    <x v="0"/>
    <n v="5"/>
  </r>
  <r>
    <s v="GEORGIA"/>
    <s v="09"/>
    <s v="CAROLINATU"/>
    <s v="HOUNDSEAR"/>
    <x v="210"/>
    <x v="9"/>
    <x v="1"/>
    <s v="Invoice"/>
    <s v="97758"/>
    <x v="249"/>
    <x v="222"/>
    <x v="70"/>
    <x v="0"/>
    <n v="35"/>
  </r>
  <r>
    <s v="GEORGIA"/>
    <s v="09"/>
    <s v="CAROLINATU"/>
    <s v="THETHISTLE"/>
    <x v="204"/>
    <x v="9"/>
    <x v="1"/>
    <s v="Invoice"/>
    <s v="97779"/>
    <x v="249"/>
    <x v="222"/>
    <x v="70"/>
    <x v="0"/>
    <n v="20"/>
  </r>
  <r>
    <s v="GEORGIA"/>
    <s v="09"/>
    <s v="AGRIBUSI"/>
    <s v="ADVANCEDLAWNCAR"/>
    <x v="216"/>
    <x v="9"/>
    <x v="1"/>
    <s v="Invoice"/>
    <s v="97790"/>
    <x v="291"/>
    <x v="256"/>
    <x v="1"/>
    <x v="0"/>
    <n v="180"/>
  </r>
  <r>
    <s v="CSWAFFORD"/>
    <s v="12"/>
    <s v="GOLFVENTURES"/>
    <s v="BOCAROYALE"/>
    <x v="213"/>
    <x v="9"/>
    <x v="1"/>
    <s v="Invoice"/>
    <s v="97678"/>
    <x v="177"/>
    <x v="158"/>
    <x v="1"/>
    <x v="0"/>
    <n v="250"/>
  </r>
  <r>
    <s v="CSWAFFORD"/>
    <s v="12"/>
    <s v="GOLFVENTURES"/>
    <s v="COUNTRYBOY"/>
    <x v="199"/>
    <x v="9"/>
    <x v="1"/>
    <s v="Invoice"/>
    <s v="97706B"/>
    <x v="315"/>
    <x v="279"/>
    <x v="86"/>
    <x v="0"/>
    <n v="500"/>
  </r>
  <r>
    <s v="CSWAFFORD"/>
    <s v="12"/>
    <s v="GOLFVENTURES"/>
    <s v="GREENLIFE"/>
    <x v="199"/>
    <x v="9"/>
    <x v="1"/>
    <s v="Invoice"/>
    <s v="97709A"/>
    <x v="316"/>
    <x v="280"/>
    <x v="24"/>
    <x v="0"/>
    <n v="750"/>
  </r>
  <r>
    <s v="CSWAFFORD"/>
    <s v="12"/>
    <s v="GOLFVENTURES"/>
    <s v="LAWNWORX"/>
    <x v="217"/>
    <x v="9"/>
    <x v="1"/>
    <s v="Invoice"/>
    <s v="97712A"/>
    <x v="317"/>
    <x v="267"/>
    <x v="80"/>
    <x v="0"/>
    <n v="250"/>
  </r>
  <r>
    <s v="CSWAFFORD"/>
    <s v="12"/>
    <s v="GOLFVENTURES"/>
    <s v="S&amp;O"/>
    <x v="200"/>
    <x v="9"/>
    <x v="1"/>
    <s v="Invoice"/>
    <s v="97725"/>
    <x v="318"/>
    <x v="100"/>
    <x v="42"/>
    <x v="0"/>
    <n v="10"/>
  </r>
  <r>
    <s v="CSWAFFORD"/>
    <s v="12"/>
    <s v="GOLFVENTURES"/>
    <s v="JOHNISLAND"/>
    <x v="201"/>
    <x v="9"/>
    <x v="1"/>
    <s v="Invoice"/>
    <s v="97733A"/>
    <x v="319"/>
    <x v="281"/>
    <x v="42"/>
    <x v="0"/>
    <n v="275"/>
  </r>
  <r>
    <s v="CSWAFFORD"/>
    <s v="12"/>
    <s v="GOLFVENTURES"/>
    <s v="GRANDHARBOR"/>
    <x v="215"/>
    <x v="9"/>
    <x v="1"/>
    <s v="Invoice"/>
    <s v="97761"/>
    <x v="320"/>
    <x v="282"/>
    <x v="87"/>
    <x v="0"/>
    <n v="250"/>
  </r>
  <r>
    <s v="CSWAFFORD"/>
    <s v="12"/>
    <s v="GOLFVENTURES"/>
    <s v="FARROWPEST"/>
    <x v="203"/>
    <x v="9"/>
    <x v="1"/>
    <s v="Invoice"/>
    <s v="97766"/>
    <x v="321"/>
    <x v="283"/>
    <x v="88"/>
    <x v="0"/>
    <n v="500"/>
  </r>
  <r>
    <s v="CSWAFFORD"/>
    <s v="12"/>
    <s v="GOLFVENTURES"/>
    <s v="RIVERSTRAND"/>
    <x v="203"/>
    <x v="9"/>
    <x v="1"/>
    <s v="Invoice"/>
    <s v="97770"/>
    <x v="322"/>
    <x v="284"/>
    <x v="8"/>
    <x v="0"/>
    <n v="452.48"/>
  </r>
  <r>
    <s v="CSWAFFORD"/>
    <s v="12"/>
    <s v="GOLFVENTURES"/>
    <s v="GREENLIFE"/>
    <x v="203"/>
    <x v="9"/>
    <x v="1"/>
    <s v="Invoice"/>
    <s v="97773"/>
    <x v="316"/>
    <x v="280"/>
    <x v="24"/>
    <x v="0"/>
    <n v="250"/>
  </r>
  <r>
    <s v="CSWAFFORD"/>
    <s v="12"/>
    <s v="GOLFVENTURES"/>
    <s v="S&amp;O"/>
    <x v="211"/>
    <x v="9"/>
    <x v="1"/>
    <s v="Invoice"/>
    <s v="97784"/>
    <x v="317"/>
    <x v="267"/>
    <x v="80"/>
    <x v="0"/>
    <n v="750"/>
  </r>
  <r>
    <s v="CSWAFFORD"/>
    <s v="12"/>
    <s v="GOLFVENTURES"/>
    <s v="COUNTRYBOY"/>
    <x v="216"/>
    <x v="9"/>
    <x v="1"/>
    <s v="Invoice"/>
    <s v="97786"/>
    <x v="319"/>
    <x v="281"/>
    <x v="42"/>
    <x v="0"/>
    <n v="250"/>
  </r>
  <r>
    <s v="CSWAFFORD"/>
    <s v="12"/>
    <s v="GOLFVENTURES"/>
    <s v="COUNTRYBOY"/>
    <x v="216"/>
    <x v="9"/>
    <x v="1"/>
    <s v="Invoice"/>
    <s v="97786"/>
    <x v="315"/>
    <x v="279"/>
    <x v="86"/>
    <x v="0"/>
    <n v="250"/>
  </r>
  <r>
    <s v="HAP"/>
    <s v="01"/>
    <s v="GREENWAY"/>
    <s v="CORALCREEK"/>
    <x v="218"/>
    <x v="10"/>
    <x v="1"/>
    <s v="Invoice"/>
    <s v="97801"/>
    <x v="7"/>
    <x v="6"/>
    <x v="6"/>
    <x v="0"/>
    <n v="20"/>
  </r>
  <r>
    <s v="HAP"/>
    <s v="01"/>
    <s v="GREENWAY"/>
    <s v="CORALCREEK"/>
    <x v="218"/>
    <x v="10"/>
    <x v="1"/>
    <s v="Invoice"/>
    <s v="97801"/>
    <x v="3"/>
    <x v="2"/>
    <x v="2"/>
    <x v="0"/>
    <n v="20"/>
  </r>
  <r>
    <s v="HAP"/>
    <s v="01"/>
    <s v="GREENWAY"/>
    <s v="CORALCREEK"/>
    <x v="218"/>
    <x v="10"/>
    <x v="1"/>
    <s v="Invoice"/>
    <s v="97801"/>
    <x v="5"/>
    <x v="4"/>
    <x v="4"/>
    <x v="0"/>
    <n v="20"/>
  </r>
  <r>
    <s v="HAP"/>
    <s v="01"/>
    <s v="GREENWAY"/>
    <s v="CORALCREEK"/>
    <x v="218"/>
    <x v="10"/>
    <x v="1"/>
    <s v="Invoice"/>
    <s v="97801"/>
    <x v="6"/>
    <x v="5"/>
    <x v="5"/>
    <x v="0"/>
    <n v="10"/>
  </r>
  <r>
    <s v="HAP"/>
    <s v="01"/>
    <s v="GREENWAY"/>
    <s v="CORALCREEK"/>
    <x v="218"/>
    <x v="10"/>
    <x v="1"/>
    <s v="Invoice"/>
    <s v="97801"/>
    <x v="2"/>
    <x v="0"/>
    <x v="0"/>
    <x v="0"/>
    <n v="20"/>
  </r>
  <r>
    <s v="HAP"/>
    <s v="01"/>
    <s v="GREENWAY"/>
    <s v="W.PALM BCH MAIN"/>
    <x v="219"/>
    <x v="10"/>
    <x v="1"/>
    <s v="Invoice"/>
    <s v="97808"/>
    <x v="3"/>
    <x v="2"/>
    <x v="2"/>
    <x v="0"/>
    <n v="120"/>
  </r>
  <r>
    <s v="HAP"/>
    <s v="01"/>
    <s v="GREENWAY"/>
    <s v="W.PALM BCH MAIN"/>
    <x v="219"/>
    <x v="10"/>
    <x v="1"/>
    <s v="Invoice"/>
    <s v="97808"/>
    <x v="4"/>
    <x v="3"/>
    <x v="3"/>
    <x v="0"/>
    <n v="60"/>
  </r>
  <r>
    <s v="HAP"/>
    <s v="01"/>
    <s v="GREENWAY"/>
    <s v="W.PALM BCH MAIN"/>
    <x v="219"/>
    <x v="10"/>
    <x v="1"/>
    <s v="Invoice"/>
    <s v="97808"/>
    <x v="8"/>
    <x v="7"/>
    <x v="7"/>
    <x v="0"/>
    <n v="60"/>
  </r>
  <r>
    <s v="HAP"/>
    <s v="01"/>
    <s v="GREENWAY"/>
    <s v="W.PALM BCH MAIN"/>
    <x v="219"/>
    <x v="10"/>
    <x v="1"/>
    <s v="Invoice"/>
    <s v="97808"/>
    <x v="5"/>
    <x v="4"/>
    <x v="4"/>
    <x v="0"/>
    <n v="120"/>
  </r>
  <r>
    <s v="HAP"/>
    <s v="01"/>
    <s v="GREENWAY"/>
    <s v="W.PALM BCH MAIN"/>
    <x v="219"/>
    <x v="10"/>
    <x v="1"/>
    <s v="Invoice"/>
    <s v="97808"/>
    <x v="12"/>
    <x v="11"/>
    <x v="11"/>
    <x v="0"/>
    <n v="60"/>
  </r>
  <r>
    <s v="HAP"/>
    <s v="01"/>
    <s v="GREENWAY"/>
    <s v="W.PALM BCH MAIN"/>
    <x v="219"/>
    <x v="10"/>
    <x v="1"/>
    <s v="Invoice"/>
    <s v="97808"/>
    <x v="6"/>
    <x v="5"/>
    <x v="5"/>
    <x v="0"/>
    <n v="60"/>
  </r>
  <r>
    <s v="HAP"/>
    <s v="01"/>
    <s v="GREENWAY"/>
    <s v="W.PALM BCH MAIN"/>
    <x v="219"/>
    <x v="10"/>
    <x v="1"/>
    <s v="Invoice"/>
    <s v="97808"/>
    <x v="2"/>
    <x v="0"/>
    <x v="0"/>
    <x v="0"/>
    <n v="120"/>
  </r>
  <r>
    <s v="HAP"/>
    <s v="01"/>
    <s v="GREENWAY"/>
    <s v="MIZNER C. CLUB"/>
    <x v="220"/>
    <x v="10"/>
    <x v="1"/>
    <s v="Invoice"/>
    <s v="97836"/>
    <x v="3"/>
    <x v="2"/>
    <x v="2"/>
    <x v="0"/>
    <n v="45"/>
  </r>
  <r>
    <s v="HAP"/>
    <s v="01"/>
    <s v="GREENWAY"/>
    <s v="MIZNER C. CLUB"/>
    <x v="220"/>
    <x v="10"/>
    <x v="1"/>
    <s v="Invoice"/>
    <s v="97836"/>
    <x v="5"/>
    <x v="4"/>
    <x v="4"/>
    <x v="0"/>
    <n v="90"/>
  </r>
  <r>
    <s v="HAP"/>
    <s v="01"/>
    <s v="GREENWAY"/>
    <s v="MIZNER C. CLUB"/>
    <x v="220"/>
    <x v="10"/>
    <x v="1"/>
    <s v="Invoice"/>
    <s v="97836"/>
    <x v="6"/>
    <x v="5"/>
    <x v="5"/>
    <x v="0"/>
    <n v="45"/>
  </r>
  <r>
    <s v="HAP"/>
    <s v="01"/>
    <s v="GREENWAY"/>
    <s v="MIZNER C. CLUB"/>
    <x v="220"/>
    <x v="10"/>
    <x v="1"/>
    <s v="Invoice"/>
    <s v="97836"/>
    <x v="2"/>
    <x v="0"/>
    <x v="0"/>
    <x v="0"/>
    <n v="90"/>
  </r>
  <r>
    <s v="HAP"/>
    <s v="01"/>
    <s v="GREENWAY"/>
    <s v="MAILING-WPBCH"/>
    <x v="221"/>
    <x v="10"/>
    <x v="1"/>
    <s v="Invoice"/>
    <s v="97875"/>
    <x v="8"/>
    <x v="7"/>
    <x v="7"/>
    <x v="0"/>
    <n v="60"/>
  </r>
  <r>
    <s v="HAP"/>
    <s v="01"/>
    <s v="GREENWAY"/>
    <s v="MAILING-WPBCH"/>
    <x v="221"/>
    <x v="10"/>
    <x v="1"/>
    <s v="Invoice"/>
    <s v="97875"/>
    <x v="22"/>
    <x v="17"/>
    <x v="17"/>
    <x v="0"/>
    <n v="60"/>
  </r>
  <r>
    <s v="HAP"/>
    <s v="01"/>
    <s v="GREENWAY"/>
    <s v="MAILING-WPBCH"/>
    <x v="221"/>
    <x v="10"/>
    <x v="1"/>
    <s v="Invoice"/>
    <s v="97875"/>
    <x v="12"/>
    <x v="11"/>
    <x v="11"/>
    <x v="0"/>
    <n v="120"/>
  </r>
  <r>
    <s v="HAP"/>
    <s v="01"/>
    <s v="GREENWAY"/>
    <s v="MAILING-WPBCH"/>
    <x v="221"/>
    <x v="10"/>
    <x v="1"/>
    <s v="Invoice"/>
    <s v="97875"/>
    <x v="6"/>
    <x v="5"/>
    <x v="5"/>
    <x v="0"/>
    <n v="120"/>
  </r>
  <r>
    <s v="HAP"/>
    <s v="01"/>
    <s v="GREENWAY"/>
    <s v="MAILING-WPBCH"/>
    <x v="221"/>
    <x v="10"/>
    <x v="1"/>
    <s v="Invoice"/>
    <s v="97875"/>
    <x v="2"/>
    <x v="0"/>
    <x v="0"/>
    <x v="0"/>
    <n v="120"/>
  </r>
  <r>
    <s v="HAP"/>
    <s v="01"/>
    <s v="GREENWAY"/>
    <s v="JACARANDA G C"/>
    <x v="222"/>
    <x v="10"/>
    <x v="1"/>
    <s v="Invoice"/>
    <s v="97891"/>
    <x v="188"/>
    <x v="17"/>
    <x v="17"/>
    <x v="0"/>
    <n v="55"/>
  </r>
  <r>
    <s v="HAP"/>
    <s v="01"/>
    <s v="GREENWAY"/>
    <s v="JACARANDA G C"/>
    <x v="222"/>
    <x v="10"/>
    <x v="1"/>
    <s v="Invoice"/>
    <s v="97891"/>
    <x v="6"/>
    <x v="5"/>
    <x v="5"/>
    <x v="0"/>
    <n v="30"/>
  </r>
  <r>
    <s v="HAP"/>
    <s v="01"/>
    <s v="GREENWAY"/>
    <s v="JACARANDA G C"/>
    <x v="222"/>
    <x v="10"/>
    <x v="1"/>
    <s v="Invoice"/>
    <s v="97891"/>
    <x v="0"/>
    <x v="0"/>
    <x v="0"/>
    <x v="0"/>
    <n v="55"/>
  </r>
  <r>
    <s v="DAVID"/>
    <s v="02"/>
    <s v="EVOQUAWATER"/>
    <s v="MAIN"/>
    <x v="219"/>
    <x v="10"/>
    <x v="1"/>
    <s v="Invoice"/>
    <s v="97810"/>
    <x v="160"/>
    <x v="231"/>
    <x v="54"/>
    <x v="0"/>
    <n v="360"/>
  </r>
  <r>
    <s v="DAVID"/>
    <s v="02"/>
    <s v="TARGETSPECIALTY"/>
    <s v="MAIN"/>
    <x v="223"/>
    <x v="10"/>
    <x v="1"/>
    <s v="Invoice"/>
    <s v="97811"/>
    <x v="323"/>
    <x v="285"/>
    <x v="89"/>
    <x v="0"/>
    <n v="180"/>
  </r>
  <r>
    <s v="DAVID"/>
    <s v="02"/>
    <s v="UNIVAR"/>
    <s v="ORLANDO"/>
    <x v="223"/>
    <x v="10"/>
    <x v="1"/>
    <s v="Invoice"/>
    <s v="97813"/>
    <x v="96"/>
    <x v="90"/>
    <x v="39"/>
    <x v="0"/>
    <n v="10"/>
  </r>
  <r>
    <s v="DAVID"/>
    <s v="02"/>
    <s v="UNIVAR"/>
    <s v="ORLANDO"/>
    <x v="223"/>
    <x v="10"/>
    <x v="1"/>
    <s v="Invoice"/>
    <s v="97814"/>
    <x v="33"/>
    <x v="28"/>
    <x v="2"/>
    <x v="0"/>
    <n v="15"/>
  </r>
  <r>
    <s v="DAVID"/>
    <s v="02"/>
    <s v="BIGEARTH"/>
    <s v="TAMPA"/>
    <x v="224"/>
    <x v="10"/>
    <x v="1"/>
    <s v="Invoice"/>
    <s v="97824"/>
    <x v="307"/>
    <x v="271"/>
    <x v="82"/>
    <x v="0"/>
    <n v="25"/>
  </r>
  <r>
    <s v="DAVID"/>
    <s v="02"/>
    <s v="EVOQUAWATER"/>
    <s v="MAIN"/>
    <x v="224"/>
    <x v="10"/>
    <x v="1"/>
    <s v="Invoice"/>
    <s v="97825"/>
    <x v="160"/>
    <x v="231"/>
    <x v="54"/>
    <x v="0"/>
    <n v="180"/>
  </r>
  <r>
    <s v="DAVID"/>
    <s v="02"/>
    <s v="COUNCILO"/>
    <s v="COUNCIL-OXFORD"/>
    <x v="225"/>
    <x v="10"/>
    <x v="1"/>
    <s v="Invoice"/>
    <s v="97847"/>
    <x v="26"/>
    <x v="21"/>
    <x v="21"/>
    <x v="0"/>
    <n v="350"/>
  </r>
  <r>
    <s v="DAVID"/>
    <s v="02"/>
    <s v="MAYO"/>
    <s v="MAYO"/>
    <x v="226"/>
    <x v="10"/>
    <x v="1"/>
    <s v="Invoice"/>
    <s v="97858A"/>
    <x v="29"/>
    <x v="24"/>
    <x v="20"/>
    <x v="1"/>
    <n v="44580"/>
  </r>
  <r>
    <s v="DAVID"/>
    <s v="02"/>
    <s v="FLORIDAGAR"/>
    <s v="GARDENSUPPLIES"/>
    <x v="227"/>
    <x v="10"/>
    <x v="1"/>
    <s v="Invoice"/>
    <s v="97868"/>
    <x v="313"/>
    <x v="277"/>
    <x v="84"/>
    <x v="0"/>
    <n v="150"/>
  </r>
  <r>
    <s v="DAVID"/>
    <s v="02"/>
    <s v="TRIANGLE"/>
    <s v="TRIANGLE/LAKEPL"/>
    <x v="228"/>
    <x v="10"/>
    <x v="1"/>
    <s v="Invoice"/>
    <s v="97877"/>
    <x v="127"/>
    <x v="115"/>
    <x v="20"/>
    <x v="1"/>
    <n v="800"/>
  </r>
  <r>
    <s v="DAVID"/>
    <s v="02"/>
    <s v="BIGEARTH"/>
    <s v="30THST"/>
    <x v="229"/>
    <x v="10"/>
    <x v="1"/>
    <s v="Invoice"/>
    <s v="97898"/>
    <x v="16"/>
    <x v="80"/>
    <x v="2"/>
    <x v="0"/>
    <n v="60"/>
  </r>
  <r>
    <s v="DAVID"/>
    <s v="02"/>
    <s v="BIGEARTH"/>
    <s v="PALMETTO"/>
    <x v="229"/>
    <x v="10"/>
    <x v="1"/>
    <s v="Invoice"/>
    <s v="97900"/>
    <x v="22"/>
    <x v="69"/>
    <x v="17"/>
    <x v="0"/>
    <n v="25"/>
  </r>
  <r>
    <s v="DAVID"/>
    <s v="02"/>
    <s v="BIGEARTH"/>
    <s v="PALMETTO"/>
    <x v="229"/>
    <x v="10"/>
    <x v="1"/>
    <s v="Invoice"/>
    <s v="97900"/>
    <x v="307"/>
    <x v="271"/>
    <x v="82"/>
    <x v="0"/>
    <n v="25"/>
  </r>
  <r>
    <s v="JUSTIN"/>
    <s v="03"/>
    <s v="CPSWACHU"/>
    <s v="WAUCHULA"/>
    <x v="219"/>
    <x v="10"/>
    <x v="1"/>
    <s v="Invoice"/>
    <s v="97803"/>
    <x v="324"/>
    <x v="286"/>
    <x v="13"/>
    <x v="0"/>
    <n v="500"/>
  </r>
  <r>
    <s v="JUSTIN"/>
    <s v="03"/>
    <s v="CPSWAVER"/>
    <s v="WAVERLY"/>
    <x v="219"/>
    <x v="10"/>
    <x v="1"/>
    <s v="Invoice"/>
    <s v="97804"/>
    <x v="38"/>
    <x v="30"/>
    <x v="27"/>
    <x v="0"/>
    <n v="500"/>
  </r>
  <r>
    <s v="JUSTIN"/>
    <s v="03"/>
    <s v="CPSWAVER"/>
    <s v="WAVERLY"/>
    <x v="219"/>
    <x v="10"/>
    <x v="1"/>
    <s v="Invoice"/>
    <s v="97804"/>
    <x v="35"/>
    <x v="30"/>
    <x v="27"/>
    <x v="0"/>
    <n v="180"/>
  </r>
  <r>
    <s v="JUSTIN"/>
    <s v="03"/>
    <s v="CPSWAVER"/>
    <s v="WAVERLY"/>
    <x v="230"/>
    <x v="10"/>
    <x v="1"/>
    <s v="Invoice"/>
    <s v="97832"/>
    <x v="35"/>
    <x v="30"/>
    <x v="27"/>
    <x v="0"/>
    <n v="360"/>
  </r>
  <r>
    <s v="JUSTIN"/>
    <s v="03"/>
    <s v="TRIANGLE"/>
    <s v="GROVELAND"/>
    <x v="231"/>
    <x v="10"/>
    <x v="1"/>
    <s v="Invoice"/>
    <s v="97844"/>
    <x v="85"/>
    <x v="213"/>
    <x v="35"/>
    <x v="0"/>
    <n v="35"/>
  </r>
  <r>
    <s v="JUSTIN"/>
    <s v="03"/>
    <s v="CPSWACHU"/>
    <s v="WAUCHULA"/>
    <x v="232"/>
    <x v="10"/>
    <x v="1"/>
    <s v="Invoice"/>
    <s v="97853"/>
    <x v="36"/>
    <x v="31"/>
    <x v="4"/>
    <x v="0"/>
    <n v="180"/>
  </r>
  <r>
    <s v="JUSTIN"/>
    <s v="03"/>
    <s v="COUNCILO"/>
    <s v="COUNCIL-OXFORD"/>
    <x v="232"/>
    <x v="10"/>
    <x v="1"/>
    <s v="Invoice"/>
    <s v="97854"/>
    <x v="169"/>
    <x v="150"/>
    <x v="0"/>
    <x v="0"/>
    <n v="90"/>
  </r>
  <r>
    <s v="JUSTIN"/>
    <s v="03"/>
    <s v="TRIANGLE"/>
    <s v="TRIANGLE/LAKEPL"/>
    <x v="233"/>
    <x v="10"/>
    <x v="1"/>
    <s v="Invoice"/>
    <s v="97862"/>
    <x v="100"/>
    <x v="94"/>
    <x v="41"/>
    <x v="0"/>
    <n v="1750"/>
  </r>
  <r>
    <s v="JUSTIN"/>
    <s v="03"/>
    <s v="TRIANGLE"/>
    <s v="TRIANGLE/LAKEPL"/>
    <x v="233"/>
    <x v="10"/>
    <x v="1"/>
    <s v="Invoice"/>
    <s v="97862"/>
    <x v="296"/>
    <x v="111"/>
    <x v="46"/>
    <x v="0"/>
    <n v="30"/>
  </r>
  <r>
    <s v="JUSTIN"/>
    <s v="03"/>
    <s v="CPSPARRI"/>
    <s v="PARRISH"/>
    <x v="227"/>
    <x v="10"/>
    <x v="1"/>
    <s v="Invoice"/>
    <s v="97867"/>
    <x v="35"/>
    <x v="30"/>
    <x v="27"/>
    <x v="0"/>
    <n v="180"/>
  </r>
  <r>
    <s v="JUSTIN"/>
    <s v="03"/>
    <s v="TRIANGLE"/>
    <s v="TRIANGLE/LAKEPL"/>
    <x v="228"/>
    <x v="10"/>
    <x v="1"/>
    <s v="Invoice"/>
    <s v="97878"/>
    <x v="100"/>
    <x v="94"/>
    <x v="41"/>
    <x v="0"/>
    <n v="1000"/>
  </r>
  <r>
    <s v="JUSTIN"/>
    <s v="03"/>
    <s v="CPSWACHU"/>
    <s v="WAUCHULA"/>
    <x v="234"/>
    <x v="10"/>
    <x v="1"/>
    <s v="Invoice"/>
    <s v="97884"/>
    <x v="35"/>
    <x v="30"/>
    <x v="27"/>
    <x v="0"/>
    <n v="60"/>
  </r>
  <r>
    <s v="JUSTIN"/>
    <s v="03"/>
    <s v="CPSWACHU"/>
    <s v="WAUCHULA"/>
    <x v="235"/>
    <x v="10"/>
    <x v="1"/>
    <s v="Invoice"/>
    <s v="97892"/>
    <x v="196"/>
    <x v="172"/>
    <x v="61"/>
    <x v="0"/>
    <n v="180"/>
  </r>
  <r>
    <s v="DPOPPELL"/>
    <s v="04"/>
    <s v="IFASGULF"/>
    <s v="BALM-STRAWBERRY"/>
    <x v="218"/>
    <x v="10"/>
    <x v="1"/>
    <s v="Invoice"/>
    <s v="97800"/>
    <x v="28"/>
    <x v="23"/>
    <x v="22"/>
    <x v="2"/>
    <n v="7.5"/>
  </r>
  <r>
    <s v="DPOPPELL"/>
    <s v="04"/>
    <s v="CHANFARM"/>
    <s v="HIGHWAY 39 N"/>
    <x v="218"/>
    <x v="10"/>
    <x v="1"/>
    <s v="Invoice"/>
    <s v="97802"/>
    <x v="117"/>
    <x v="104"/>
    <x v="22"/>
    <x v="2"/>
    <n v="1.0049999999999999"/>
  </r>
  <r>
    <s v="DPOPPELL"/>
    <s v="04"/>
    <s v="CHANFARM"/>
    <s v="HIGHWAY 39 N"/>
    <x v="218"/>
    <x v="10"/>
    <x v="1"/>
    <s v="Invoice"/>
    <s v="97802"/>
    <x v="32"/>
    <x v="105"/>
    <x v="25"/>
    <x v="0"/>
    <n v="200"/>
  </r>
  <r>
    <s v="DPOPPELL"/>
    <s v="04"/>
    <s v="LITTLECA"/>
    <s v="MAILIING"/>
    <x v="223"/>
    <x v="10"/>
    <x v="1"/>
    <s v="Invoice"/>
    <s v="97815"/>
    <x v="5"/>
    <x v="72"/>
    <x v="4"/>
    <x v="0"/>
    <n v="5"/>
  </r>
  <r>
    <s v="DPOPPELL"/>
    <s v="04"/>
    <s v="LITTLECA"/>
    <s v="MAILIING"/>
    <x v="230"/>
    <x v="10"/>
    <x v="1"/>
    <s v="Invoice"/>
    <s v="97834"/>
    <x v="5"/>
    <x v="287"/>
    <x v="4"/>
    <x v="0"/>
    <n v="5"/>
  </r>
  <r>
    <s v="DPOPPELL"/>
    <s v="04"/>
    <s v="SOUTHERNHILL"/>
    <s v="SCHOFIELD"/>
    <x v="220"/>
    <x v="10"/>
    <x v="1"/>
    <s v="Invoice"/>
    <s v="97838"/>
    <x v="325"/>
    <x v="288"/>
    <x v="22"/>
    <x v="2"/>
    <n v="2.5024999999999999"/>
  </r>
  <r>
    <s v="DPOPPELL"/>
    <s v="04"/>
    <s v="FLORIDAAG"/>
    <s v="KINGSWAY"/>
    <x v="232"/>
    <x v="10"/>
    <x v="1"/>
    <s v="Invoice"/>
    <s v="97855"/>
    <x v="326"/>
    <x v="289"/>
    <x v="22"/>
    <x v="2"/>
    <n v="2.25"/>
  </r>
  <r>
    <s v="DPOPPELL"/>
    <s v="04"/>
    <s v="FLORIDAAG"/>
    <s v="DOVER"/>
    <x v="226"/>
    <x v="10"/>
    <x v="1"/>
    <s v="Invoice"/>
    <s v="97859"/>
    <x v="327"/>
    <x v="290"/>
    <x v="80"/>
    <x v="0"/>
    <n v="10"/>
  </r>
  <r>
    <s v="DPOPPELL"/>
    <s v="04"/>
    <s v="IFASGULF"/>
    <s v="BALM-STRAWBERRY"/>
    <x v="233"/>
    <x v="10"/>
    <x v="1"/>
    <s v="Invoice"/>
    <s v="97863"/>
    <x v="28"/>
    <x v="23"/>
    <x v="22"/>
    <x v="2"/>
    <n v="7.4950000000000001"/>
  </r>
  <r>
    <s v="DPOPPELL"/>
    <s v="04"/>
    <s v="CHAVEZJOR"/>
    <s v="JOSE' CHAV- COD"/>
    <x v="236"/>
    <x v="10"/>
    <x v="1"/>
    <s v="Invoice"/>
    <s v="97871"/>
    <x v="53"/>
    <x v="46"/>
    <x v="22"/>
    <x v="2"/>
    <n v="0.15"/>
  </r>
  <r>
    <s v="DPOPPELL"/>
    <s v="04"/>
    <s v="FLORIDAAG"/>
    <s v="DOVER"/>
    <x v="237"/>
    <x v="10"/>
    <x v="1"/>
    <s v="Invoice"/>
    <s v="97882"/>
    <x v="328"/>
    <x v="291"/>
    <x v="22"/>
    <x v="2"/>
    <n v="0.05"/>
  </r>
  <r>
    <s v="DPOPPELL"/>
    <s v="04"/>
    <s v="SOUTHERNHILL"/>
    <s v="SCHOFIELD"/>
    <x v="229"/>
    <x v="10"/>
    <x v="1"/>
    <s v="Invoice"/>
    <s v="97893"/>
    <x v="43"/>
    <x v="38"/>
    <x v="22"/>
    <x v="2"/>
    <n v="5.0199999999999996"/>
  </r>
  <r>
    <s v="DPOPPELL"/>
    <s v="04"/>
    <s v="ROBBIETO"/>
    <s v="THONOTOSASSA"/>
    <x v="229"/>
    <x v="10"/>
    <x v="1"/>
    <s v="Invoice"/>
    <s v="97899"/>
    <x v="36"/>
    <x v="31"/>
    <x v="4"/>
    <x v="0"/>
    <n v="5"/>
  </r>
  <r>
    <s v="DPOPPELL"/>
    <s v="04"/>
    <s v="ROBBIETO"/>
    <s v="THONOTOSASSA"/>
    <x v="229"/>
    <x v="10"/>
    <x v="1"/>
    <s v="Invoice"/>
    <s v="97899"/>
    <x v="329"/>
    <x v="32"/>
    <x v="3"/>
    <x v="0"/>
    <n v="10"/>
  </r>
  <r>
    <s v="DPOPPELL"/>
    <s v="04"/>
    <s v="CHAVEZJOR"/>
    <s v="JOSE' CHAV- COD"/>
    <x v="229"/>
    <x v="10"/>
    <x v="1"/>
    <s v="Invoice"/>
    <s v="97901"/>
    <x v="53"/>
    <x v="46"/>
    <x v="22"/>
    <x v="2"/>
    <n v="0.15"/>
  </r>
  <r>
    <s v="HOUSE"/>
    <s v="05"/>
    <s v="SOUTHERN"/>
    <s v="SOUTHERN AG"/>
    <x v="238"/>
    <x v="10"/>
    <x v="1"/>
    <s v="Invoice"/>
    <s v="97849"/>
    <x v="33"/>
    <x v="28"/>
    <x v="2"/>
    <x v="0"/>
    <n v="180"/>
  </r>
  <r>
    <s v="HOUSE"/>
    <s v="05"/>
    <s v="CPSHOMES"/>
    <s v="HOMESTEAD"/>
    <x v="227"/>
    <x v="10"/>
    <x v="1"/>
    <s v="Invoice"/>
    <s v="97865"/>
    <x v="156"/>
    <x v="138"/>
    <x v="53"/>
    <x v="0"/>
    <n v="180"/>
  </r>
  <r>
    <s v="HOUSE"/>
    <s v="05"/>
    <s v="CPSHOMES"/>
    <s v="HOMESTEAD"/>
    <x v="236"/>
    <x v="10"/>
    <x v="1"/>
    <s v="Invoice"/>
    <s v="97870"/>
    <x v="96"/>
    <x v="90"/>
    <x v="39"/>
    <x v="0"/>
    <n v="180"/>
  </r>
  <r>
    <s v="HOUSE"/>
    <s v="05"/>
    <s v="DYEADDICTROPE"/>
    <s v="PRIMARY"/>
    <x v="229"/>
    <x v="10"/>
    <x v="1"/>
    <s v="Invoice"/>
    <s v="97897"/>
    <x v="96"/>
    <x v="90"/>
    <x v="39"/>
    <x v="0"/>
    <n v="20"/>
  </r>
  <r>
    <s v=""/>
    <s v="06"/>
    <s v="TRIANGLE/GA"/>
    <s v="GREENWOOD,MS"/>
    <x v="220"/>
    <x v="10"/>
    <x v="1"/>
    <s v="Invoice"/>
    <s v="97837"/>
    <x v="163"/>
    <x v="145"/>
    <x v="56"/>
    <x v="0"/>
    <n v="50"/>
  </r>
  <r>
    <s v=""/>
    <s v="06"/>
    <s v="TRIANGLE/GA"/>
    <s v="GREENWOOD,MS"/>
    <x v="238"/>
    <x v="10"/>
    <x v="1"/>
    <s v="Invoice"/>
    <s v="97852"/>
    <x v="163"/>
    <x v="145"/>
    <x v="56"/>
    <x v="0"/>
    <n v="30"/>
  </r>
  <r>
    <s v="BRIDGE"/>
    <s v="06"/>
    <s v="DELSTAR"/>
    <s v="CLEVELAND,MS"/>
    <x v="221"/>
    <x v="10"/>
    <x v="1"/>
    <s v="Return"/>
    <s v="CRM06432"/>
    <x v="166"/>
    <x v="29"/>
    <x v="26"/>
    <x v="0"/>
    <n v="-500"/>
  </r>
  <r>
    <s v="BRIDGE"/>
    <s v="06"/>
    <s v="DELSTAR"/>
    <s v="CLEVELAND,MS"/>
    <x v="221"/>
    <x v="10"/>
    <x v="1"/>
    <s v="Return"/>
    <s v="CRM06432"/>
    <x v="34"/>
    <x v="29"/>
    <x v="26"/>
    <x v="0"/>
    <n v="-215"/>
  </r>
  <r>
    <s v="BRIDGE"/>
    <s v="06"/>
    <s v="CPSSOUTH"/>
    <s v="LELAND, MS 4512"/>
    <x v="229"/>
    <x v="10"/>
    <x v="1"/>
    <s v="Return"/>
    <s v="CRM06433"/>
    <x v="166"/>
    <x v="29"/>
    <x v="26"/>
    <x v="0"/>
    <n v="-500"/>
  </r>
  <r>
    <s v="BRIDGE"/>
    <s v="06"/>
    <s v="CPSSOUTH"/>
    <s v="LELAND, MS 4512"/>
    <x v="229"/>
    <x v="10"/>
    <x v="1"/>
    <s v="Return"/>
    <s v="CRM06433"/>
    <x v="34"/>
    <x v="29"/>
    <x v="26"/>
    <x v="0"/>
    <n v="-25"/>
  </r>
  <r>
    <s v="CHEAD"/>
    <s v="07"/>
    <s v="MILLERBL"/>
    <s v="PALATKA"/>
    <x v="239"/>
    <x v="10"/>
    <x v="1"/>
    <s v="Invoice"/>
    <s v="97856"/>
    <x v="208"/>
    <x v="184"/>
    <x v="22"/>
    <x v="2"/>
    <n v="15.01"/>
  </r>
  <r>
    <s v=""/>
    <s v="07"/>
    <s v="SUNNILAND"/>
    <s v="LONGWOOD"/>
    <x v="237"/>
    <x v="10"/>
    <x v="1"/>
    <s v="Invoice"/>
    <s v="97880"/>
    <x v="124"/>
    <x v="112"/>
    <x v="20"/>
    <x v="1"/>
    <n v="21960"/>
  </r>
  <r>
    <s v="CHEAD"/>
    <s v="07"/>
    <s v="TRIANGLE"/>
    <s v="GROVELAND"/>
    <x v="237"/>
    <x v="10"/>
    <x v="1"/>
    <s v="Invoice"/>
    <s v="97881"/>
    <x v="125"/>
    <x v="113"/>
    <x v="22"/>
    <x v="2"/>
    <n v="1.25"/>
  </r>
  <r>
    <s v="DPOPPELL1"/>
    <s v="08"/>
    <s v="MAYO"/>
    <s v="PLANTCITY"/>
    <x v="219"/>
    <x v="10"/>
    <x v="1"/>
    <s v="Invoice"/>
    <s v="97806"/>
    <x v="163"/>
    <x v="145"/>
    <x v="56"/>
    <x v="0"/>
    <n v="100"/>
  </r>
  <r>
    <s v="DPOPPELL"/>
    <s v="08"/>
    <s v="COASTALAGSUPPLY"/>
    <s v="MISTYORGANICS"/>
    <x v="219"/>
    <x v="10"/>
    <x v="1"/>
    <s v="Invoice"/>
    <s v="97807"/>
    <x v="75"/>
    <x v="68"/>
    <x v="22"/>
    <x v="2"/>
    <n v="12.49"/>
  </r>
  <r>
    <s v="DPOPPELL1"/>
    <s v="08"/>
    <s v="MAYO"/>
    <s v="PLANTCITY"/>
    <x v="238"/>
    <x v="10"/>
    <x v="1"/>
    <s v="Invoice"/>
    <s v="97850"/>
    <x v="125"/>
    <x v="113"/>
    <x v="22"/>
    <x v="2"/>
    <n v="5"/>
  </r>
  <r>
    <s v="DPOPPELL1"/>
    <s v="08"/>
    <s v="MAYO"/>
    <s v="PLANTCITY"/>
    <x v="239"/>
    <x v="10"/>
    <x v="1"/>
    <s v="Invoice"/>
    <s v="97857"/>
    <x v="244"/>
    <x v="218"/>
    <x v="22"/>
    <x v="2"/>
    <n v="6.14"/>
  </r>
  <r>
    <s v="DPOPPELL1"/>
    <s v="08"/>
    <s v="COASTALAGSUPPLY"/>
    <s v="MULBERRY"/>
    <x v="227"/>
    <x v="10"/>
    <x v="1"/>
    <s v="Invoice"/>
    <s v="97866"/>
    <x v="136"/>
    <x v="111"/>
    <x v="46"/>
    <x v="0"/>
    <n v="300"/>
  </r>
  <r>
    <s v="GEORGIA"/>
    <s v="09"/>
    <s v="TRIANGLE/GA"/>
    <s v="SYCAMORE"/>
    <x v="219"/>
    <x v="10"/>
    <x v="1"/>
    <s v="Invoice"/>
    <s v="97809"/>
    <x v="279"/>
    <x v="193"/>
    <x v="8"/>
    <x v="0"/>
    <n v="250"/>
  </r>
  <r>
    <s v=""/>
    <s v="09"/>
    <s v="AGRIBUSI"/>
    <s v="AGB/ROOSEVELT"/>
    <x v="223"/>
    <x v="10"/>
    <x v="1"/>
    <s v="Invoice"/>
    <s v="97816"/>
    <x v="250"/>
    <x v="223"/>
    <x v="23"/>
    <x v="0"/>
    <n v="360"/>
  </r>
  <r>
    <s v=""/>
    <s v="09"/>
    <s v="AGRIBUSI"/>
    <s v="CPS-DOERUN,GA"/>
    <x v="223"/>
    <x v="10"/>
    <x v="1"/>
    <s v="Invoice"/>
    <s v="97817"/>
    <x v="250"/>
    <x v="223"/>
    <x v="23"/>
    <x v="0"/>
    <n v="720"/>
  </r>
  <r>
    <s v=""/>
    <s v="09"/>
    <s v="GREENRES"/>
    <s v="OCEAN HWY-NC"/>
    <x v="233"/>
    <x v="10"/>
    <x v="1"/>
    <s v="Invoice"/>
    <s v="97864"/>
    <x v="3"/>
    <x v="80"/>
    <x v="2"/>
    <x v="0"/>
    <n v="720"/>
  </r>
  <r>
    <s v=""/>
    <s v="09"/>
    <s v="GREENRES"/>
    <s v="OCEAN HWY-NC"/>
    <x v="233"/>
    <x v="10"/>
    <x v="1"/>
    <s v="Invoice"/>
    <s v="97864"/>
    <x v="83"/>
    <x v="69"/>
    <x v="17"/>
    <x v="0"/>
    <n v="250"/>
  </r>
  <r>
    <s v=""/>
    <s v="09"/>
    <s v="GREENRES"/>
    <s v="HIGHGREEN CT-NC"/>
    <x v="237"/>
    <x v="10"/>
    <x v="1"/>
    <s v="Invoice"/>
    <s v="97883"/>
    <x v="170"/>
    <x v="33"/>
    <x v="28"/>
    <x v="0"/>
    <n v="250"/>
  </r>
  <r>
    <s v="CSWAFFORD"/>
    <s v="12"/>
    <s v="GOLFVENTURES"/>
    <s v="S&amp;O"/>
    <x v="223"/>
    <x v="10"/>
    <x v="1"/>
    <s v="Invoice"/>
    <s v="97818A"/>
    <x v="330"/>
    <x v="292"/>
    <x v="46"/>
    <x v="0"/>
    <n v="1000"/>
  </r>
  <r>
    <s v="CSWAFFORD"/>
    <s v="12"/>
    <s v="GOLFVENTURES"/>
    <s v="S&amp;O"/>
    <x v="223"/>
    <x v="10"/>
    <x v="1"/>
    <s v="Invoice"/>
    <s v="97818A"/>
    <x v="112"/>
    <x v="100"/>
    <x v="42"/>
    <x v="0"/>
    <n v="250"/>
  </r>
  <r>
    <s v="CSWAFFORD"/>
    <s v="12"/>
    <s v="GOLFVENTURES"/>
    <s v="HOBESOUND"/>
    <x v="231"/>
    <x v="10"/>
    <x v="1"/>
    <s v="Invoice"/>
    <s v="97839"/>
    <x v="120"/>
    <x v="293"/>
    <x v="45"/>
    <x v="0"/>
    <n v="250"/>
  </r>
  <r>
    <s v="CSWAFFORD"/>
    <s v="12"/>
    <s v="GOLFVENTURES"/>
    <s v="HOBESOUND"/>
    <x v="231"/>
    <x v="10"/>
    <x v="1"/>
    <s v="Invoice"/>
    <s v="97839"/>
    <x v="331"/>
    <x v="294"/>
    <x v="70"/>
    <x v="0"/>
    <n v="250"/>
  </r>
  <r>
    <s v="CSWAFFORD"/>
    <s v="12"/>
    <s v="GOLFVENTURES"/>
    <s v="S&amp;O"/>
    <x v="231"/>
    <x v="10"/>
    <x v="1"/>
    <s v="Invoice"/>
    <s v="97840"/>
    <x v="330"/>
    <x v="292"/>
    <x v="46"/>
    <x v="0"/>
    <n v="1000"/>
  </r>
  <r>
    <s v="CSWAFFORD"/>
    <s v="12"/>
    <s v="GOLFVENTURES"/>
    <s v="MAIN"/>
    <x v="231"/>
    <x v="10"/>
    <x v="1"/>
    <s v="Invoice"/>
    <s v="97846"/>
    <x v="146"/>
    <x v="295"/>
    <x v="43"/>
    <x v="0"/>
    <n v="60"/>
  </r>
  <r>
    <s v="CSWAFFORD"/>
    <s v="12"/>
    <s v="GOLFVENTURES"/>
    <s v="MAIN"/>
    <x v="231"/>
    <x v="10"/>
    <x v="1"/>
    <s v="Invoice"/>
    <s v="97846"/>
    <x v="249"/>
    <x v="294"/>
    <x v="70"/>
    <x v="0"/>
    <n v="150"/>
  </r>
  <r>
    <s v="CSWAFFORD"/>
    <s v="12"/>
    <s v="GOLFVENTURES"/>
    <s v="MAIN"/>
    <x v="231"/>
    <x v="10"/>
    <x v="1"/>
    <s v="Invoice"/>
    <s v="97846"/>
    <x v="332"/>
    <x v="296"/>
    <x v="90"/>
    <x v="0"/>
    <n v="90"/>
  </r>
  <r>
    <s v="CSWAFFORD"/>
    <s v="12"/>
    <s v="GOLFVENTURES"/>
    <s v="MAIN"/>
    <x v="231"/>
    <x v="10"/>
    <x v="1"/>
    <s v="Invoice"/>
    <s v="97846"/>
    <x v="333"/>
    <x v="282"/>
    <x v="87"/>
    <x v="0"/>
    <n v="60"/>
  </r>
  <r>
    <s v="CSWAFFORD"/>
    <s v="12"/>
    <s v="GOLFVENTURES"/>
    <s v="LAWNWORX"/>
    <x v="226"/>
    <x v="10"/>
    <x v="1"/>
    <s v="Invoice"/>
    <s v="97848"/>
    <x v="334"/>
    <x v="267"/>
    <x v="80"/>
    <x v="0"/>
    <n v="250"/>
  </r>
  <r>
    <s v="CSWAFFORD"/>
    <s v="12"/>
    <s v="GOLFVENTURES"/>
    <s v="COUNTRYBOY"/>
    <x v="233"/>
    <x v="10"/>
    <x v="1"/>
    <s v="Invoice"/>
    <s v="97860"/>
    <x v="335"/>
    <x v="297"/>
    <x v="91"/>
    <x v="0"/>
    <n v="250"/>
  </r>
  <r>
    <s v="CSWAFFORD"/>
    <s v="12"/>
    <s v="GOLFVENTURES"/>
    <s v="COUNTRYBOY"/>
    <x v="233"/>
    <x v="10"/>
    <x v="1"/>
    <s v="Invoice"/>
    <s v="97860"/>
    <x v="315"/>
    <x v="279"/>
    <x v="86"/>
    <x v="0"/>
    <n v="250"/>
  </r>
  <r>
    <s v="CSWAFFORD"/>
    <s v="12"/>
    <s v="GOLFVENTURES"/>
    <s v="FARROWPEST"/>
    <x v="233"/>
    <x v="10"/>
    <x v="1"/>
    <s v="Invoice"/>
    <s v="97861"/>
    <x v="321"/>
    <x v="283"/>
    <x v="88"/>
    <x v="0"/>
    <n v="500"/>
  </r>
  <r>
    <s v="CSWAFFORD"/>
    <s v="12"/>
    <s v="GOLFVENTURES"/>
    <s v="LAWNANDPEST"/>
    <x v="221"/>
    <x v="10"/>
    <x v="1"/>
    <s v="Invoice"/>
    <s v="97873"/>
    <x v="303"/>
    <x v="267"/>
    <x v="80"/>
    <x v="0"/>
    <n v="180"/>
  </r>
  <r>
    <s v="CSWAFFORD"/>
    <s v="12"/>
    <s v="GOLFVENTURES"/>
    <s v="MAIN"/>
    <x v="228"/>
    <x v="10"/>
    <x v="1"/>
    <s v="Invoice"/>
    <s v="97876"/>
    <x v="336"/>
    <x v="292"/>
    <x v="36"/>
    <x v="0"/>
    <n v="360"/>
  </r>
  <r>
    <s v="CSWAFFORD"/>
    <s v="12"/>
    <s v="GOLFVENTURES"/>
    <s v="ROYALPALM"/>
    <x v="222"/>
    <x v="10"/>
    <x v="1"/>
    <s v="Invoice"/>
    <s v="97888"/>
    <x v="337"/>
    <x v="298"/>
    <x v="53"/>
    <x v="0"/>
    <n v="250"/>
  </r>
  <r>
    <s v="CSWAFFORD"/>
    <s v="12"/>
    <s v="GOLFVENTURES"/>
    <s v="ROYALPALM"/>
    <x v="222"/>
    <x v="10"/>
    <x v="1"/>
    <s v="Invoice"/>
    <s v="97888"/>
    <x v="120"/>
    <x v="299"/>
    <x v="45"/>
    <x v="0"/>
    <n v="250"/>
  </r>
  <r>
    <s v="CSWAFFORD"/>
    <s v="12"/>
    <s v="GOLFVENTURES"/>
    <s v="FOXFIRE CC"/>
    <x v="222"/>
    <x v="10"/>
    <x v="1"/>
    <s v="Invoice"/>
    <s v="97889"/>
    <x v="337"/>
    <x v="298"/>
    <x v="53"/>
    <x v="0"/>
    <n v="275"/>
  </r>
  <r>
    <s v="CSWAFFORD"/>
    <s v="12"/>
    <s v="GOLFVENTURES"/>
    <s v="CHSEAGLERIDGE"/>
    <x v="222"/>
    <x v="10"/>
    <x v="1"/>
    <s v="Invoice"/>
    <s v="97890"/>
    <x v="120"/>
    <x v="299"/>
    <x v="45"/>
    <x v="0"/>
    <n v="250"/>
  </r>
  <r>
    <s v="CSWAFFORD"/>
    <s v="12"/>
    <s v="GOLFVENTURES"/>
    <s v="CHSEAGLERIDGE"/>
    <x v="222"/>
    <x v="10"/>
    <x v="1"/>
    <s v="Invoice"/>
    <s v="97890"/>
    <x v="319"/>
    <x v="281"/>
    <x v="42"/>
    <x v="0"/>
    <n v="275"/>
  </r>
  <r>
    <s v="CSWAFFORD"/>
    <s v="12"/>
    <s v="GOLFVENTURES"/>
    <s v="CHSEAGLERIDGE"/>
    <x v="222"/>
    <x v="10"/>
    <x v="1"/>
    <s v="Invoice"/>
    <s v="97890"/>
    <x v="338"/>
    <x v="300"/>
    <x v="8"/>
    <x v="0"/>
    <n v="275"/>
  </r>
  <r>
    <s v="CSWAFFORD"/>
    <s v="12"/>
    <s v="GOLFVENTURES"/>
    <s v="MAIN"/>
    <x v="229"/>
    <x v="10"/>
    <x v="1"/>
    <s v="Invoice"/>
    <s v="97894"/>
    <x v="8"/>
    <x v="301"/>
    <x v="7"/>
    <x v="0"/>
    <n v="110"/>
  </r>
  <r>
    <s v="CSWAFFORD"/>
    <s v="12"/>
    <s v="GOLFVENTURES"/>
    <s v="MAIN"/>
    <x v="229"/>
    <x v="10"/>
    <x v="1"/>
    <s v="Invoice"/>
    <s v="97894"/>
    <x v="339"/>
    <x v="302"/>
    <x v="70"/>
    <x v="0"/>
    <n v="70"/>
  </r>
  <r>
    <s v="HAP"/>
    <s v="01"/>
    <s v="GREENWAY"/>
    <s v="CORALCREEK"/>
    <x v="240"/>
    <x v="11"/>
    <x v="1"/>
    <s v="Invoice"/>
    <s v="97907"/>
    <x v="3"/>
    <x v="2"/>
    <x v="2"/>
    <x v="0"/>
    <n v="20"/>
  </r>
  <r>
    <s v="HAP"/>
    <s v="01"/>
    <s v="GREENWAY"/>
    <s v="CORALCREEK"/>
    <x v="240"/>
    <x v="11"/>
    <x v="1"/>
    <s v="Invoice"/>
    <s v="97907"/>
    <x v="5"/>
    <x v="4"/>
    <x v="4"/>
    <x v="0"/>
    <n v="20"/>
  </r>
  <r>
    <s v="HAP"/>
    <s v="01"/>
    <s v="GREENWAY"/>
    <s v="CORALCREEK"/>
    <x v="240"/>
    <x v="11"/>
    <x v="1"/>
    <s v="Invoice"/>
    <s v="97907"/>
    <x v="6"/>
    <x v="5"/>
    <x v="5"/>
    <x v="0"/>
    <n v="10"/>
  </r>
  <r>
    <s v="HAP"/>
    <s v="01"/>
    <s v="GREENWAY"/>
    <s v="CORALCREEK"/>
    <x v="240"/>
    <x v="11"/>
    <x v="1"/>
    <s v="Invoice"/>
    <s v="97907"/>
    <x v="2"/>
    <x v="0"/>
    <x v="0"/>
    <x v="0"/>
    <n v="20"/>
  </r>
  <r>
    <s v="HAP"/>
    <s v="01"/>
    <s v="GREENWAY"/>
    <s v="W.PALM BCH MAIN"/>
    <x v="241"/>
    <x v="11"/>
    <x v="1"/>
    <s v="Invoice"/>
    <s v="97957"/>
    <x v="3"/>
    <x v="2"/>
    <x v="2"/>
    <x v="0"/>
    <n v="120"/>
  </r>
  <r>
    <s v="HAP"/>
    <s v="01"/>
    <s v="GREENWAY"/>
    <s v="W.PALM BCH MAIN"/>
    <x v="241"/>
    <x v="11"/>
    <x v="1"/>
    <s v="Invoice"/>
    <s v="97957"/>
    <x v="21"/>
    <x v="16"/>
    <x v="16"/>
    <x v="0"/>
    <n v="60"/>
  </r>
  <r>
    <s v="HAP"/>
    <s v="01"/>
    <s v="GREENWAY"/>
    <s v="W.PALM BCH MAIN"/>
    <x v="241"/>
    <x v="11"/>
    <x v="1"/>
    <s v="Invoice"/>
    <s v="97957"/>
    <x v="5"/>
    <x v="4"/>
    <x v="4"/>
    <x v="0"/>
    <n v="120"/>
  </r>
  <r>
    <s v="HAP"/>
    <s v="01"/>
    <s v="GREENWAY"/>
    <s v="W.PALM BCH MAIN"/>
    <x v="241"/>
    <x v="11"/>
    <x v="1"/>
    <s v="Invoice"/>
    <s v="97957"/>
    <x v="6"/>
    <x v="5"/>
    <x v="5"/>
    <x v="0"/>
    <n v="120"/>
  </r>
  <r>
    <s v="HAP"/>
    <s v="01"/>
    <s v="GREENWAY"/>
    <s v="W.PALM BCH MAIN"/>
    <x v="241"/>
    <x v="11"/>
    <x v="1"/>
    <s v="Invoice"/>
    <s v="97957"/>
    <x v="2"/>
    <x v="0"/>
    <x v="0"/>
    <x v="0"/>
    <n v="180"/>
  </r>
  <r>
    <s v="HAP"/>
    <s v="01"/>
    <s v="GREENWAY"/>
    <s v="WINDSOR POLO"/>
    <x v="241"/>
    <x v="11"/>
    <x v="1"/>
    <s v="Invoice"/>
    <s v="97958"/>
    <x v="88"/>
    <x v="2"/>
    <x v="2"/>
    <x v="0"/>
    <n v="55"/>
  </r>
  <r>
    <s v="HAP"/>
    <s v="01"/>
    <s v="GREENWAY"/>
    <s v="WINDSOR POLO"/>
    <x v="241"/>
    <x v="11"/>
    <x v="1"/>
    <s v="Invoice"/>
    <s v="97958"/>
    <x v="0"/>
    <x v="0"/>
    <x v="0"/>
    <x v="0"/>
    <n v="55"/>
  </r>
  <r>
    <s v="HAP"/>
    <s v="01"/>
    <s v="ALMARCH"/>
    <s v="THONOTOSASSA"/>
    <x v="242"/>
    <x v="11"/>
    <x v="1"/>
    <s v="Invoice"/>
    <s v="97962"/>
    <x v="92"/>
    <x v="82"/>
    <x v="35"/>
    <x v="0"/>
    <n v="55"/>
  </r>
  <r>
    <s v="HAP"/>
    <s v="01"/>
    <s v="ALMARCH"/>
    <s v="THONOTOSASSA"/>
    <x v="242"/>
    <x v="11"/>
    <x v="1"/>
    <s v="Invoice"/>
    <s v="97962"/>
    <x v="22"/>
    <x v="83"/>
    <x v="17"/>
    <x v="0"/>
    <n v="55"/>
  </r>
  <r>
    <s v="HAP"/>
    <s v="01"/>
    <s v="ALMARCH"/>
    <s v="THONOTOSASSA"/>
    <x v="242"/>
    <x v="11"/>
    <x v="1"/>
    <s v="Invoice"/>
    <s v="97962"/>
    <x v="93"/>
    <x v="84"/>
    <x v="37"/>
    <x v="0"/>
    <n v="55"/>
  </r>
  <r>
    <s v="HAP"/>
    <s v="01"/>
    <s v="GREENWAY"/>
    <s v="PARKLAND"/>
    <x v="242"/>
    <x v="11"/>
    <x v="1"/>
    <s v="Invoice"/>
    <s v="97963"/>
    <x v="1"/>
    <x v="1"/>
    <x v="1"/>
    <x v="0"/>
    <n v="110"/>
  </r>
  <r>
    <s v="DAVID"/>
    <s v="02"/>
    <s v="EVOQUAWATER"/>
    <s v="STOR-N-MORE"/>
    <x v="243"/>
    <x v="11"/>
    <x v="1"/>
    <s v="Invoice"/>
    <s v="97913"/>
    <x v="160"/>
    <x v="231"/>
    <x v="54"/>
    <x v="0"/>
    <n v="360"/>
  </r>
  <r>
    <s v="DAVID"/>
    <s v="02"/>
    <s v="QUALITYGREEN"/>
    <s v="MAIN"/>
    <x v="244"/>
    <x v="11"/>
    <x v="1"/>
    <s v="Invoice"/>
    <s v="97922"/>
    <x v="340"/>
    <x v="94"/>
    <x v="41"/>
    <x v="0"/>
    <n v="15"/>
  </r>
  <r>
    <s v="DAVID"/>
    <s v="02"/>
    <s v="QUALITYGREEN"/>
    <s v="MAIN"/>
    <x v="244"/>
    <x v="11"/>
    <x v="1"/>
    <s v="Invoice"/>
    <s v="97922"/>
    <x v="341"/>
    <x v="94"/>
    <x v="41"/>
    <x v="0"/>
    <n v="8"/>
  </r>
  <r>
    <s v="DAVID"/>
    <s v="02"/>
    <s v="FRITIND"/>
    <s v="MAIN"/>
    <x v="244"/>
    <x v="11"/>
    <x v="1"/>
    <s v="Invoice"/>
    <s v="97923"/>
    <x v="342"/>
    <x v="303"/>
    <x v="20"/>
    <x v="1"/>
    <n v="3968"/>
  </r>
  <r>
    <s v="DAVID"/>
    <s v="02"/>
    <s v="TRIYIELD"/>
    <s v="MAIN"/>
    <x v="245"/>
    <x v="11"/>
    <x v="1"/>
    <s v="Invoice"/>
    <s v="97931"/>
    <x v="343"/>
    <x v="304"/>
    <x v="20"/>
    <x v="1"/>
    <n v="6105"/>
  </r>
  <r>
    <s v="DAVID"/>
    <s v="02"/>
    <s v="TERRAFEED"/>
    <s v="MAILING"/>
    <x v="246"/>
    <x v="11"/>
    <x v="1"/>
    <s v="Invoice"/>
    <s v="97935"/>
    <x v="162"/>
    <x v="144"/>
    <x v="55"/>
    <x v="0"/>
    <n v="250"/>
  </r>
  <r>
    <s v="DAVID"/>
    <s v="02"/>
    <s v="PATHWAY"/>
    <s v="TEVER"/>
    <x v="246"/>
    <x v="11"/>
    <x v="1"/>
    <s v="Invoice"/>
    <s v="97937"/>
    <x v="133"/>
    <x v="109"/>
    <x v="45"/>
    <x v="0"/>
    <n v="75"/>
  </r>
  <r>
    <s v="DAVID"/>
    <s v="02"/>
    <s v="EVOQUAWATER"/>
    <s v="MAIN"/>
    <x v="247"/>
    <x v="11"/>
    <x v="1"/>
    <s v="Invoice"/>
    <s v="97948"/>
    <x v="160"/>
    <x v="231"/>
    <x v="54"/>
    <x v="0"/>
    <n v="360"/>
  </r>
  <r>
    <s v="DAVID"/>
    <s v="02"/>
    <s v="CPSWAVER"/>
    <s v="WAVERLY"/>
    <x v="248"/>
    <x v="11"/>
    <x v="1"/>
    <s v="Invoice"/>
    <s v="97955"/>
    <x v="267"/>
    <x v="235"/>
    <x v="75"/>
    <x v="0"/>
    <n v="75"/>
  </r>
  <r>
    <s v="DAVID"/>
    <s v="02"/>
    <s v="FLORIDAF"/>
    <s v="FLORIDA FERTILI"/>
    <x v="242"/>
    <x v="11"/>
    <x v="1"/>
    <s v="Invoice"/>
    <s v="97959"/>
    <x v="29"/>
    <x v="24"/>
    <x v="20"/>
    <x v="1"/>
    <n v="6575"/>
  </r>
  <r>
    <s v="DAVID"/>
    <s v="02"/>
    <s v="GEOPONICSCORP"/>
    <s v="NAPLES UNIT-105"/>
    <x v="249"/>
    <x v="11"/>
    <x v="1"/>
    <s v="Invoice"/>
    <s v="97968"/>
    <x v="3"/>
    <x v="146"/>
    <x v="2"/>
    <x v="0"/>
    <n v="20"/>
  </r>
  <r>
    <s v="DAVID"/>
    <s v="02"/>
    <s v="FLORIDAGAR"/>
    <s v="GARDENSUPPLIES"/>
    <x v="249"/>
    <x v="11"/>
    <x v="1"/>
    <s v="Invoice"/>
    <s v="97970"/>
    <x v="304"/>
    <x v="268"/>
    <x v="73"/>
    <x v="0"/>
    <n v="250"/>
  </r>
  <r>
    <s v="DAVID"/>
    <s v="02"/>
    <s v="CAROLINATU"/>
    <s v="GRANDOVER RESOR"/>
    <x v="250"/>
    <x v="11"/>
    <x v="1"/>
    <s v="Invoice"/>
    <s v="97986"/>
    <x v="22"/>
    <x v="69"/>
    <x v="17"/>
    <x v="0"/>
    <n v="25"/>
  </r>
  <r>
    <s v="DAVID"/>
    <s v="02"/>
    <s v="G&amp;DFARMS"/>
    <s v="HWY39/62-SOUTH"/>
    <x v="251"/>
    <x v="11"/>
    <x v="1"/>
    <s v="Invoice"/>
    <s v="97987"/>
    <x v="344"/>
    <x v="305"/>
    <x v="25"/>
    <x v="0"/>
    <n v="180"/>
  </r>
  <r>
    <s v="DAVID"/>
    <s v="02"/>
    <s v="COUNCILO"/>
    <s v="COUNCIL-OXFORD"/>
    <x v="252"/>
    <x v="11"/>
    <x v="1"/>
    <s v="Invoice"/>
    <s v="97996"/>
    <x v="26"/>
    <x v="21"/>
    <x v="21"/>
    <x v="0"/>
    <n v="100"/>
  </r>
  <r>
    <s v="DAVID"/>
    <s v="02"/>
    <s v="GEOPONICSCORP"/>
    <s v="NAPLES UNIT-105"/>
    <x v="252"/>
    <x v="11"/>
    <x v="1"/>
    <s v="Invoice"/>
    <s v="98005"/>
    <x v="32"/>
    <x v="306"/>
    <x v="25"/>
    <x v="0"/>
    <n v="50"/>
  </r>
  <r>
    <s v="DAVID"/>
    <s v="02"/>
    <s v="GEOPONICSCORP"/>
    <s v="NAPLES UNIT-105"/>
    <x v="252"/>
    <x v="11"/>
    <x v="1"/>
    <s v="Invoice"/>
    <s v="98005"/>
    <x v="32"/>
    <x v="307"/>
    <x v="25"/>
    <x v="0"/>
    <n v="220"/>
  </r>
  <r>
    <s v="JUSTIN"/>
    <s v="03"/>
    <s v="CPSIMMOK"/>
    <s v="IMMOKALEE"/>
    <x v="253"/>
    <x v="11"/>
    <x v="1"/>
    <s v="Invoice"/>
    <s v="97902A"/>
    <x v="345"/>
    <x v="31"/>
    <x v="4"/>
    <x v="0"/>
    <n v="800"/>
  </r>
  <r>
    <s v="JUSTIN"/>
    <s v="03"/>
    <s v="COASTALAGSUPPLY"/>
    <s v="MISTYORGANICS"/>
    <x v="243"/>
    <x v="11"/>
    <x v="1"/>
    <s v="Invoice"/>
    <s v="97908"/>
    <x v="75"/>
    <x v="68"/>
    <x v="22"/>
    <x v="2"/>
    <n v="12.484999999999999"/>
  </r>
  <r>
    <s v="JUSTIN"/>
    <s v="03"/>
    <s v="CPSWACHU"/>
    <s v="WAUCHULA"/>
    <x v="243"/>
    <x v="11"/>
    <x v="1"/>
    <s v="Invoice"/>
    <s v="97910"/>
    <x v="192"/>
    <x v="169"/>
    <x v="61"/>
    <x v="0"/>
    <n v="250"/>
  </r>
  <r>
    <s v="JUSTIN"/>
    <s v="03"/>
    <s v="TRIANGLE"/>
    <s v="TRIANGLE/LAKEPL"/>
    <x v="243"/>
    <x v="11"/>
    <x v="1"/>
    <s v="Invoice"/>
    <s v="97911"/>
    <x v="136"/>
    <x v="111"/>
    <x v="46"/>
    <x v="0"/>
    <n v="180"/>
  </r>
  <r>
    <s v="JUSTIN"/>
    <s v="03"/>
    <s v="TRIANGLE"/>
    <s v="TRIANGLE/LAKEPL"/>
    <x v="243"/>
    <x v="11"/>
    <x v="1"/>
    <s v="Invoice"/>
    <s v="97912"/>
    <x v="136"/>
    <x v="111"/>
    <x v="46"/>
    <x v="0"/>
    <n v="720"/>
  </r>
  <r>
    <s v="JUSTIN"/>
    <s v="03"/>
    <s v="CPSPARRI"/>
    <s v="PARRISH"/>
    <x v="254"/>
    <x v="11"/>
    <x v="1"/>
    <s v="Invoice"/>
    <s v="97915"/>
    <x v="40"/>
    <x v="35"/>
    <x v="29"/>
    <x v="0"/>
    <n v="180"/>
  </r>
  <r>
    <s v="JUSTIN"/>
    <s v="03"/>
    <s v="CPSPARRI"/>
    <s v="PARRISH"/>
    <x v="254"/>
    <x v="11"/>
    <x v="1"/>
    <s v="Invoice"/>
    <s v="97916"/>
    <x v="37"/>
    <x v="33"/>
    <x v="28"/>
    <x v="0"/>
    <n v="120"/>
  </r>
  <r>
    <s v="JUSTIN"/>
    <s v="03"/>
    <s v="COUNCILO"/>
    <s v="COUNCIL-OXFORD"/>
    <x v="254"/>
    <x v="11"/>
    <x v="1"/>
    <s v="Invoice"/>
    <s v="97917"/>
    <x v="40"/>
    <x v="35"/>
    <x v="29"/>
    <x v="0"/>
    <n v="180"/>
  </r>
  <r>
    <s v="JUSTIN"/>
    <s v="03"/>
    <s v="CPSIMMOK"/>
    <s v="IMMOKALEE"/>
    <x v="255"/>
    <x v="11"/>
    <x v="1"/>
    <s v="Invoice"/>
    <s v="97924"/>
    <x v="191"/>
    <x v="169"/>
    <x v="61"/>
    <x v="0"/>
    <n v="360"/>
  </r>
  <r>
    <s v="JUSTIN"/>
    <s v="03"/>
    <s v="CPSWAVER"/>
    <s v="WAVERLY"/>
    <x v="255"/>
    <x v="11"/>
    <x v="1"/>
    <s v="Invoice"/>
    <s v="97927"/>
    <x v="191"/>
    <x v="169"/>
    <x v="61"/>
    <x v="0"/>
    <n v="180"/>
  </r>
  <r>
    <s v="JUSTIN"/>
    <s v="03"/>
    <s v="CPSWAVER"/>
    <s v="WAVERLY"/>
    <x v="255"/>
    <x v="11"/>
    <x v="1"/>
    <s v="Invoice"/>
    <s v="97928"/>
    <x v="36"/>
    <x v="31"/>
    <x v="4"/>
    <x v="0"/>
    <n v="180"/>
  </r>
  <r>
    <s v="JUSTIN"/>
    <s v="03"/>
    <s v="COUNCILO"/>
    <s v="COUNCIL-OXFORD"/>
    <x v="247"/>
    <x v="11"/>
    <x v="1"/>
    <s v="Invoice"/>
    <s v="97947"/>
    <x v="48"/>
    <x v="33"/>
    <x v="28"/>
    <x v="0"/>
    <n v="25"/>
  </r>
  <r>
    <s v="JUSTIN"/>
    <s v="03"/>
    <s v="COUNCILO"/>
    <s v="COUNCIL-OXFORD"/>
    <x v="247"/>
    <x v="11"/>
    <x v="1"/>
    <s v="Invoice"/>
    <s v="97947"/>
    <x v="39"/>
    <x v="34"/>
    <x v="26"/>
    <x v="0"/>
    <n v="120"/>
  </r>
  <r>
    <s v="JUSTIN"/>
    <s v="03"/>
    <s v="CPSOKEE"/>
    <s v="OKEE-LIQ PLANT"/>
    <x v="249"/>
    <x v="11"/>
    <x v="1"/>
    <s v="Invoice"/>
    <s v="97965"/>
    <x v="134"/>
    <x v="94"/>
    <x v="41"/>
    <x v="0"/>
    <n v="2504"/>
  </r>
  <r>
    <s v="JUSTIN"/>
    <s v="03"/>
    <s v="CPSWACHU"/>
    <s v="WAUCHULA"/>
    <x v="256"/>
    <x v="11"/>
    <x v="1"/>
    <s v="Invoice"/>
    <s v="97976"/>
    <x v="196"/>
    <x v="172"/>
    <x v="61"/>
    <x v="0"/>
    <n v="180"/>
  </r>
  <r>
    <s v="JUSTIN"/>
    <s v="03"/>
    <s v="BIGEARTH"/>
    <s v="SARASOTA"/>
    <x v="250"/>
    <x v="11"/>
    <x v="1"/>
    <s v="Invoice"/>
    <s v="97980"/>
    <x v="307"/>
    <x v="271"/>
    <x v="92"/>
    <x v="0"/>
    <n v="25"/>
  </r>
  <r>
    <s v="JUSTIN"/>
    <s v="03"/>
    <s v="BIGEARTH"/>
    <s v="SARASOTA"/>
    <x v="250"/>
    <x v="11"/>
    <x v="1"/>
    <s v="Invoice"/>
    <s v="97981"/>
    <x v="3"/>
    <x v="80"/>
    <x v="2"/>
    <x v="0"/>
    <n v="75"/>
  </r>
  <r>
    <s v="JUSTIN"/>
    <s v="03"/>
    <s v="BIGEARTH"/>
    <s v="SARASOTA"/>
    <x v="250"/>
    <x v="11"/>
    <x v="1"/>
    <s v="Invoice"/>
    <s v="97981"/>
    <x v="161"/>
    <x v="143"/>
    <x v="35"/>
    <x v="0"/>
    <n v="10"/>
  </r>
  <r>
    <s v="JUSTIN"/>
    <s v="03"/>
    <s v="CPSWACHU"/>
    <s v="WAUCHULA"/>
    <x v="251"/>
    <x v="11"/>
    <x v="1"/>
    <s v="Invoice"/>
    <s v="97988"/>
    <x v="34"/>
    <x v="29"/>
    <x v="26"/>
    <x v="0"/>
    <n v="180"/>
  </r>
  <r>
    <s v="JUSTIN"/>
    <s v="03"/>
    <s v="CPSWACHU"/>
    <s v="WAUCHULA"/>
    <x v="257"/>
    <x v="11"/>
    <x v="1"/>
    <s v="Invoice"/>
    <s v="97993"/>
    <x v="196"/>
    <x v="172"/>
    <x v="61"/>
    <x v="0"/>
    <n v="180"/>
  </r>
  <r>
    <s v="DPOPPELL"/>
    <s v="04"/>
    <s v="FRANKLIN"/>
    <s v="MCGEE RD. NORTH"/>
    <x v="253"/>
    <x v="11"/>
    <x v="1"/>
    <s v="Invoice"/>
    <s v="97903"/>
    <x v="346"/>
    <x v="59"/>
    <x v="32"/>
    <x v="0"/>
    <n v="500"/>
  </r>
  <r>
    <s v="DPOPPELL"/>
    <s v="04"/>
    <s v="CHAVEZJOR"/>
    <s v="JOSE' CHAV- COD"/>
    <x v="245"/>
    <x v="11"/>
    <x v="1"/>
    <s v="Invoice"/>
    <s v="97930"/>
    <x v="53"/>
    <x v="46"/>
    <x v="22"/>
    <x v="2"/>
    <n v="0.15"/>
  </r>
  <r>
    <s v="DPOPPELL"/>
    <s v="04"/>
    <s v="IFASGULF"/>
    <s v="BALM-STRAWBERRY"/>
    <x v="245"/>
    <x v="11"/>
    <x v="1"/>
    <s v="Invoice"/>
    <s v="97932"/>
    <x v="122"/>
    <x v="63"/>
    <x v="33"/>
    <x v="0"/>
    <n v="5"/>
  </r>
  <r>
    <s v="DPOPPELL"/>
    <s v="04"/>
    <s v="IFASGULF"/>
    <s v="BALM-TOMATOS"/>
    <x v="245"/>
    <x v="11"/>
    <x v="1"/>
    <s v="Invoice"/>
    <s v="97933"/>
    <x v="28"/>
    <x v="23"/>
    <x v="22"/>
    <x v="2"/>
    <n v="7.5"/>
  </r>
  <r>
    <s v="DPOPPELL"/>
    <s v="04"/>
    <s v="M&amp;GFARMS"/>
    <s v="COUNTY LINE RD"/>
    <x v="246"/>
    <x v="11"/>
    <x v="1"/>
    <s v="Invoice"/>
    <s v="97936"/>
    <x v="58"/>
    <x v="51"/>
    <x v="22"/>
    <x v="2"/>
    <n v="4"/>
  </r>
  <r>
    <s v="DPOPPELL"/>
    <s v="04"/>
    <s v="GILLMANBUDD"/>
    <s v="FORBES"/>
    <x v="258"/>
    <x v="11"/>
    <x v="1"/>
    <s v="Invoice"/>
    <s v="97939"/>
    <x v="63"/>
    <x v="56"/>
    <x v="22"/>
    <x v="2"/>
    <n v="7"/>
  </r>
  <r>
    <s v="DPOPPELL"/>
    <s v="04"/>
    <s v="FLORIDAAG"/>
    <s v="KINGSWAY"/>
    <x v="247"/>
    <x v="11"/>
    <x v="1"/>
    <s v="Invoice"/>
    <s v="97941"/>
    <x v="326"/>
    <x v="289"/>
    <x v="22"/>
    <x v="2"/>
    <n v="2.0150000000000001"/>
  </r>
  <r>
    <s v=""/>
    <s v="04"/>
    <s v="SOTERO"/>
    <s v="SOTERO"/>
    <x v="247"/>
    <x v="11"/>
    <x v="1"/>
    <s v="Invoice"/>
    <s v="97946"/>
    <x v="53"/>
    <x v="46"/>
    <x v="22"/>
    <x v="2"/>
    <n v="0.3"/>
  </r>
  <r>
    <s v="DPOPPELL"/>
    <s v="04"/>
    <s v="CHAVEZJOR"/>
    <s v="JOSE' CHAV- COD"/>
    <x v="248"/>
    <x v="11"/>
    <x v="1"/>
    <s v="Invoice"/>
    <s v="97949"/>
    <x v="53"/>
    <x v="46"/>
    <x v="22"/>
    <x v="2"/>
    <n v="0.15"/>
  </r>
  <r>
    <s v="DPOPPELL"/>
    <s v="04"/>
    <s v="LARRYENN"/>
    <s v="NESMITH ROAD"/>
    <x v="248"/>
    <x v="11"/>
    <x v="1"/>
    <s v="Invoice"/>
    <s v="97950"/>
    <x v="43"/>
    <x v="38"/>
    <x v="22"/>
    <x v="2"/>
    <n v="2.5249999999999999"/>
  </r>
  <r>
    <s v="DPOPPELL"/>
    <s v="04"/>
    <s v="GILLMANBUDD"/>
    <s v="FORBES"/>
    <x v="248"/>
    <x v="11"/>
    <x v="1"/>
    <s v="Invoice"/>
    <s v="97954"/>
    <x v="66"/>
    <x v="59"/>
    <x v="32"/>
    <x v="0"/>
    <n v="30"/>
  </r>
  <r>
    <s v="DPOPPELL"/>
    <s v="04"/>
    <s v="IFASGULF"/>
    <s v="BALM-STRAWBERRY"/>
    <x v="249"/>
    <x v="11"/>
    <x v="1"/>
    <s v="Invoice"/>
    <s v="97964"/>
    <x v="28"/>
    <x v="23"/>
    <x v="22"/>
    <x v="2"/>
    <n v="7.5125000000000002"/>
  </r>
  <r>
    <s v="DPOPPELL"/>
    <s v="04"/>
    <s v="FANCYFAR"/>
    <s v="FUTCH LOOP-CTR."/>
    <x v="249"/>
    <x v="11"/>
    <x v="1"/>
    <s v="Invoice"/>
    <s v="97966"/>
    <x v="347"/>
    <x v="308"/>
    <x v="22"/>
    <x v="2"/>
    <n v="10"/>
  </r>
  <r>
    <s v="DPOPPELL"/>
    <s v="04"/>
    <s v="FANCYFAR"/>
    <s v="CASON3"/>
    <x v="249"/>
    <x v="11"/>
    <x v="1"/>
    <s v="Invoice"/>
    <s v="97967"/>
    <x v="347"/>
    <x v="308"/>
    <x v="22"/>
    <x v="2"/>
    <n v="14.987500000000001"/>
  </r>
  <r>
    <s v="DPOPPELL"/>
    <s v="04"/>
    <s v="FANCYFAR"/>
    <s v="CASON1"/>
    <x v="249"/>
    <x v="11"/>
    <x v="1"/>
    <s v="Invoice"/>
    <s v="97969"/>
    <x v="347"/>
    <x v="308"/>
    <x v="22"/>
    <x v="2"/>
    <n v="12.5175"/>
  </r>
  <r>
    <s v="DPOPPELL"/>
    <s v="04"/>
    <s v="JOEPENA"/>
    <s v="JIMREDMAN"/>
    <x v="256"/>
    <x v="11"/>
    <x v="1"/>
    <s v="Invoice"/>
    <s v="97977"/>
    <x v="53"/>
    <x v="46"/>
    <x v="22"/>
    <x v="2"/>
    <n v="0.75"/>
  </r>
  <r>
    <s v="DPOPPELL"/>
    <s v="04"/>
    <s v="CHAVEZJOR"/>
    <s v="JOSE' CHAV- COD"/>
    <x v="256"/>
    <x v="11"/>
    <x v="1"/>
    <s v="Invoice"/>
    <s v="97978"/>
    <x v="53"/>
    <x v="46"/>
    <x v="22"/>
    <x v="2"/>
    <n v="0.15"/>
  </r>
  <r>
    <s v="DPOPPELL"/>
    <s v="04"/>
    <s v="FRANKLIN"/>
    <s v="FRANKLIN FARM"/>
    <x v="250"/>
    <x v="11"/>
    <x v="1"/>
    <s v="Invoice"/>
    <s v="97985"/>
    <x v="46"/>
    <x v="40"/>
    <x v="22"/>
    <x v="2"/>
    <n v="7.5025000000000004"/>
  </r>
  <r>
    <s v="DPOPPELL"/>
    <s v="04"/>
    <s v="JGRANCH"/>
    <s v="WISCON RD."/>
    <x v="259"/>
    <x v="11"/>
    <x v="1"/>
    <s v="Invoice"/>
    <s v="97992"/>
    <x v="28"/>
    <x v="23"/>
    <x v="22"/>
    <x v="2"/>
    <n v="5"/>
  </r>
  <r>
    <s v="DPOPPELL"/>
    <s v="04"/>
    <s v="GUTIERREZA"/>
    <s v="AL SIMMONS RD"/>
    <x v="257"/>
    <x v="11"/>
    <x v="1"/>
    <s v="Invoice"/>
    <s v="97995"/>
    <x v="43"/>
    <x v="38"/>
    <x v="22"/>
    <x v="2"/>
    <n v="5.2575000000000003"/>
  </r>
  <r>
    <s v="DPOPPELL"/>
    <s v="04"/>
    <s v="MIKELOTT"/>
    <s v="3408 GALLAGHER"/>
    <x v="252"/>
    <x v="11"/>
    <x v="1"/>
    <s v="Invoice"/>
    <s v="98000"/>
    <x v="43"/>
    <x v="38"/>
    <x v="22"/>
    <x v="2"/>
    <n v="11.282500000000001"/>
  </r>
  <r>
    <s v="DPOPPELL"/>
    <s v="04"/>
    <s v="SOUTHERNHILL"/>
    <s v="SCHOFIELD"/>
    <x v="252"/>
    <x v="11"/>
    <x v="1"/>
    <s v="Invoice"/>
    <s v="98001"/>
    <x v="43"/>
    <x v="38"/>
    <x v="22"/>
    <x v="2"/>
    <n v="5.01"/>
  </r>
  <r>
    <s v="DPOPPELL"/>
    <s v="04"/>
    <s v="THREESTA"/>
    <s v="WALDEN-SHEFFIEL"/>
    <x v="252"/>
    <x v="11"/>
    <x v="1"/>
    <s v="Invoice"/>
    <s v="98003"/>
    <x v="67"/>
    <x v="60"/>
    <x v="22"/>
    <x v="2"/>
    <n v="15.032500000000001"/>
  </r>
  <r>
    <s v="DPOPPELL"/>
    <s v="04"/>
    <s v="CHAVEZJOR"/>
    <s v="JOSE' CHAV- COD"/>
    <x v="252"/>
    <x v="11"/>
    <x v="1"/>
    <s v="Invoice"/>
    <s v="98006"/>
    <x v="53"/>
    <x v="46"/>
    <x v="22"/>
    <x v="2"/>
    <n v="0.3"/>
  </r>
  <r>
    <s v="HOUSE"/>
    <s v="05"/>
    <s v="SOUTHERN"/>
    <s v="SOUTHERN AG"/>
    <x v="255"/>
    <x v="11"/>
    <x v="1"/>
    <s v="Invoice"/>
    <s v="97926"/>
    <x v="48"/>
    <x v="33"/>
    <x v="28"/>
    <x v="0"/>
    <n v="60"/>
  </r>
  <r>
    <s v="HOUSE"/>
    <s v="05"/>
    <s v="SOUTHERN"/>
    <s v="SOUTHERN AG"/>
    <x v="255"/>
    <x v="11"/>
    <x v="1"/>
    <s v="Invoice"/>
    <s v="97926"/>
    <x v="7"/>
    <x v="243"/>
    <x v="6"/>
    <x v="0"/>
    <n v="60"/>
  </r>
  <r>
    <s v="HOUSE"/>
    <s v="05"/>
    <s v="SOUTHERN"/>
    <s v="SOUTHERN AG"/>
    <x v="255"/>
    <x v="11"/>
    <x v="1"/>
    <s v="Invoice"/>
    <s v="97926"/>
    <x v="122"/>
    <x v="63"/>
    <x v="33"/>
    <x v="0"/>
    <n v="30"/>
  </r>
  <r>
    <s v="HOUSE"/>
    <s v="05"/>
    <s v="COASTALAGSUPPLY"/>
    <s v="MAILING"/>
    <x v="245"/>
    <x v="11"/>
    <x v="1"/>
    <s v="Invoice"/>
    <s v="97929"/>
    <x v="58"/>
    <x v="51"/>
    <x v="22"/>
    <x v="2"/>
    <n v="2.5175000000000001"/>
  </r>
  <r>
    <s v=""/>
    <s v="07"/>
    <s v="BIG HOUSE FARMS"/>
    <s v="MAYO"/>
    <x v="247"/>
    <x v="11"/>
    <x v="1"/>
    <s v="Invoice"/>
    <s v="97942"/>
    <x v="312"/>
    <x v="275"/>
    <x v="22"/>
    <x v="2"/>
    <n v="4.0324999999999998"/>
  </r>
  <r>
    <s v="CHEAD"/>
    <s v="07"/>
    <s v="UFPSUNIT"/>
    <s v="CITRA FARM"/>
    <x v="247"/>
    <x v="11"/>
    <x v="1"/>
    <s v="Invoice"/>
    <s v="97943"/>
    <x v="73"/>
    <x v="66"/>
    <x v="22"/>
    <x v="2"/>
    <n v="3.75"/>
  </r>
  <r>
    <s v=""/>
    <s v="07"/>
    <s v="BARNESFE"/>
    <s v="HASTINGS"/>
    <x v="256"/>
    <x v="11"/>
    <x v="1"/>
    <s v="Invoice"/>
    <s v="97979"/>
    <x v="348"/>
    <x v="309"/>
    <x v="93"/>
    <x v="0"/>
    <n v="40"/>
  </r>
  <r>
    <s v="DPOPPELL1"/>
    <s v="08"/>
    <s v="MAYO"/>
    <s v="PLANTCITY"/>
    <x v="253"/>
    <x v="11"/>
    <x v="1"/>
    <s v="Invoice"/>
    <s v="97904"/>
    <x v="125"/>
    <x v="113"/>
    <x v="22"/>
    <x v="2"/>
    <n v="5"/>
  </r>
  <r>
    <s v="DPOPPELL1"/>
    <s v="08"/>
    <s v="COASTALAGSUPPLY"/>
    <s v="MULBERRY"/>
    <x v="254"/>
    <x v="11"/>
    <x v="1"/>
    <s v="Invoice"/>
    <s v="97918"/>
    <x v="170"/>
    <x v="33"/>
    <x v="28"/>
    <x v="0"/>
    <n v="500"/>
  </r>
  <r>
    <s v="DPOPPELL1"/>
    <s v="08"/>
    <s v="MAYO"/>
    <s v="PLANTCITY"/>
    <x v="254"/>
    <x v="11"/>
    <x v="1"/>
    <s v="Invoice"/>
    <s v="97920"/>
    <x v="244"/>
    <x v="218"/>
    <x v="22"/>
    <x v="2"/>
    <n v="6.1475"/>
  </r>
  <r>
    <s v="DPOPPELL1"/>
    <s v="08"/>
    <s v="MAYO"/>
    <s v="PLANTCITY"/>
    <x v="258"/>
    <x v="11"/>
    <x v="1"/>
    <s v="Invoice"/>
    <s v="97940"/>
    <x v="245"/>
    <x v="219"/>
    <x v="22"/>
    <x v="2"/>
    <n v="10"/>
  </r>
  <r>
    <s v="DPOPPELL1"/>
    <s v="08"/>
    <s v="COASTALAGSUPPLY"/>
    <s v="MULBERRY"/>
    <x v="248"/>
    <x v="11"/>
    <x v="1"/>
    <s v="Invoice"/>
    <s v="97953"/>
    <x v="34"/>
    <x v="29"/>
    <x v="26"/>
    <x v="0"/>
    <n v="360"/>
  </r>
  <r>
    <s v="DPOPPELL1"/>
    <s v="08"/>
    <s v="COASTALAGSUPPLY"/>
    <s v="MULBERRY"/>
    <x v="256"/>
    <x v="11"/>
    <x v="1"/>
    <s v="Invoice"/>
    <s v="97971"/>
    <x v="96"/>
    <x v="90"/>
    <x v="39"/>
    <x v="0"/>
    <n v="60"/>
  </r>
  <r>
    <s v="DPOPPELL1"/>
    <s v="08"/>
    <s v="MAYO"/>
    <s v="PLANTCITY"/>
    <x v="256"/>
    <x v="11"/>
    <x v="1"/>
    <s v="Invoice"/>
    <s v="97972"/>
    <x v="349"/>
    <x v="310"/>
    <x v="20"/>
    <x v="1"/>
    <n v="5000"/>
  </r>
  <r>
    <s v="DPOPPELL1"/>
    <s v="08"/>
    <s v="CPSMULB"/>
    <s v="UAP/MULBERRY"/>
    <x v="256"/>
    <x v="11"/>
    <x v="1"/>
    <s v="Invoice"/>
    <s v="97975"/>
    <x v="102"/>
    <x v="71"/>
    <x v="34"/>
    <x v="0"/>
    <n v="3000"/>
  </r>
  <r>
    <s v="DPOPPELL1"/>
    <s v="08"/>
    <s v="MAYO"/>
    <s v="PLANTCITY"/>
    <x v="250"/>
    <x v="11"/>
    <x v="1"/>
    <s v="Invoice"/>
    <s v="97984"/>
    <x v="350"/>
    <x v="145"/>
    <x v="56"/>
    <x v="0"/>
    <n v="60"/>
  </r>
  <r>
    <s v="DPOPPELL1"/>
    <s v="08"/>
    <s v="MAYO"/>
    <s v="PLANTCITY"/>
    <x v="257"/>
    <x v="11"/>
    <x v="1"/>
    <s v="Invoice"/>
    <s v="97994"/>
    <x v="244"/>
    <x v="218"/>
    <x v="22"/>
    <x v="2"/>
    <n v="6.125"/>
  </r>
  <r>
    <s v="GEORGIA"/>
    <s v="09"/>
    <s v="GREENRES"/>
    <s v="LADSON"/>
    <x v="250"/>
    <x v="11"/>
    <x v="1"/>
    <s v="Invoice"/>
    <s v="97983"/>
    <x v="109"/>
    <x v="80"/>
    <x v="2"/>
    <x v="0"/>
    <n v="1375"/>
  </r>
  <r>
    <s v="CSWAFFORD"/>
    <s v="12"/>
    <s v="GOLFVENTURES"/>
    <s v="COUNTRYBOY"/>
    <x v="243"/>
    <x v="11"/>
    <x v="1"/>
    <s v="Invoice"/>
    <s v="97909"/>
    <x v="83"/>
    <x v="69"/>
    <x v="17"/>
    <x v="0"/>
    <n v="500"/>
  </r>
  <r>
    <s v="CSWAFFORD"/>
    <s v="12"/>
    <s v="GOLFVENTURES"/>
    <s v="FARROWPEST"/>
    <x v="254"/>
    <x v="11"/>
    <x v="1"/>
    <s v="Invoice"/>
    <s v="97914"/>
    <x v="321"/>
    <x v="283"/>
    <x v="88"/>
    <x v="0"/>
    <n v="500"/>
  </r>
  <r>
    <s v="CSWAFFORD"/>
    <s v="12"/>
    <s v="GOLFVENTURES"/>
    <s v="GRANDHARBOR"/>
    <x v="244"/>
    <x v="11"/>
    <x v="1"/>
    <s v="Invoice"/>
    <s v="97921"/>
    <x v="351"/>
    <x v="311"/>
    <x v="94"/>
    <x v="0"/>
    <n v="250"/>
  </r>
  <r>
    <s v="CSWAFFORD"/>
    <s v="12"/>
    <s v="GOLFVENTURES"/>
    <s v="GRANDHARBOR"/>
    <x v="244"/>
    <x v="11"/>
    <x v="1"/>
    <s v="Invoice"/>
    <s v="97921"/>
    <x v="352"/>
    <x v="312"/>
    <x v="95"/>
    <x v="0"/>
    <n v="40"/>
  </r>
  <r>
    <s v="CSWAFFORD"/>
    <s v="12"/>
    <s v="GOLFVENTURES"/>
    <s v="GRANDHARBOR"/>
    <x v="244"/>
    <x v="11"/>
    <x v="1"/>
    <s v="Invoice"/>
    <s v="97921"/>
    <x v="353"/>
    <x v="313"/>
    <x v="49"/>
    <x v="0"/>
    <n v="250"/>
  </r>
  <r>
    <s v="CSWAFFORD"/>
    <s v="12"/>
    <s v="GOLFVENTURES"/>
    <s v="MAIN"/>
    <x v="255"/>
    <x v="11"/>
    <x v="1"/>
    <s v="Invoice"/>
    <s v="97925"/>
    <x v="112"/>
    <x v="100"/>
    <x v="42"/>
    <x v="0"/>
    <n v="250"/>
  </r>
  <r>
    <s v="CSWAFFORD"/>
    <s v="12"/>
    <s v="GOLFVENTURES"/>
    <s v="MAIN"/>
    <x v="255"/>
    <x v="11"/>
    <x v="1"/>
    <s v="Invoice"/>
    <s v="97925"/>
    <x v="302"/>
    <x v="265"/>
    <x v="79"/>
    <x v="0"/>
    <n v="250"/>
  </r>
  <r>
    <s v="CSWAFFORD"/>
    <s v="12"/>
    <s v="GOLFVENTURES"/>
    <s v="MAIN"/>
    <x v="246"/>
    <x v="11"/>
    <x v="1"/>
    <s v="Invoice"/>
    <s v="97934"/>
    <x v="339"/>
    <x v="302"/>
    <x v="70"/>
    <x v="0"/>
    <n v="25"/>
  </r>
  <r>
    <s v="CSWAFFORD"/>
    <s v="12"/>
    <s v="GOLFVENTURES"/>
    <s v="MAIN"/>
    <x v="246"/>
    <x v="11"/>
    <x v="1"/>
    <s v="Invoice"/>
    <s v="97934"/>
    <x v="8"/>
    <x v="67"/>
    <x v="7"/>
    <x v="0"/>
    <n v="110"/>
  </r>
  <r>
    <s v="CSWAFFORD"/>
    <s v="12"/>
    <s v="GOLFVENTURES"/>
    <s v="ATLANTICFIELDS"/>
    <x v="258"/>
    <x v="11"/>
    <x v="1"/>
    <s v="Invoice"/>
    <s v="97938"/>
    <x v="120"/>
    <x v="299"/>
    <x v="45"/>
    <x v="0"/>
    <n v="250"/>
  </r>
  <r>
    <s v="CSWAFFORD"/>
    <s v="12"/>
    <s v="GOLFVENTURES"/>
    <s v="ATLANTICFIELDS"/>
    <x v="258"/>
    <x v="11"/>
    <x v="1"/>
    <s v="Invoice"/>
    <s v="97938"/>
    <x v="354"/>
    <x v="314"/>
    <x v="95"/>
    <x v="0"/>
    <n v="250"/>
  </r>
  <r>
    <s v="CSWAFFORD"/>
    <s v="12"/>
    <s v="GOLFVENTURES"/>
    <s v="ATLANTICFIELDS"/>
    <x v="258"/>
    <x v="11"/>
    <x v="1"/>
    <s v="Invoice"/>
    <s v="97938"/>
    <x v="317"/>
    <x v="267"/>
    <x v="80"/>
    <x v="0"/>
    <n v="250"/>
  </r>
  <r>
    <s v="CSWAFFORD"/>
    <s v="12"/>
    <s v="GOLFVENTURES"/>
    <s v="MAIN"/>
    <x v="251"/>
    <x v="11"/>
    <x v="1"/>
    <s v="Invoice"/>
    <s v="97989"/>
    <x v="83"/>
    <x v="69"/>
    <x v="17"/>
    <x v="0"/>
    <n v="1000"/>
  </r>
  <r>
    <s v="HAP"/>
    <s v="01"/>
    <s v="GREENWAY"/>
    <s v="JACARANDA G C"/>
    <x v="260"/>
    <x v="0"/>
    <x v="1"/>
    <s v="Invoice"/>
    <s v="98008"/>
    <x v="188"/>
    <x v="17"/>
    <x v="17"/>
    <x v="0"/>
    <n v="55"/>
  </r>
  <r>
    <s v="HAP"/>
    <s v="01"/>
    <s v="GREENWAY"/>
    <s v="JACARANDA G C"/>
    <x v="260"/>
    <x v="0"/>
    <x v="1"/>
    <s v="Invoice"/>
    <s v="98008"/>
    <x v="6"/>
    <x v="5"/>
    <x v="5"/>
    <x v="0"/>
    <n v="30"/>
  </r>
  <r>
    <s v="HAP"/>
    <s v="01"/>
    <s v="GREENWAY"/>
    <s v="JACARANDA G C"/>
    <x v="260"/>
    <x v="0"/>
    <x v="1"/>
    <s v="Invoice"/>
    <s v="98008"/>
    <x v="2"/>
    <x v="0"/>
    <x v="0"/>
    <x v="0"/>
    <n v="55"/>
  </r>
  <r>
    <s v="HAP"/>
    <s v="01"/>
    <s v="GREENWAY"/>
    <s v="CORALCREEK"/>
    <x v="261"/>
    <x v="0"/>
    <x v="1"/>
    <s v="Invoice"/>
    <s v="98023"/>
    <x v="88"/>
    <x v="2"/>
    <x v="2"/>
    <x v="0"/>
    <n v="55"/>
  </r>
  <r>
    <s v="HAP"/>
    <s v="01"/>
    <s v="GREENWAY"/>
    <s v="CORALCREEK"/>
    <x v="261"/>
    <x v="0"/>
    <x v="1"/>
    <s v="Invoice"/>
    <s v="98023"/>
    <x v="355"/>
    <x v="196"/>
    <x v="65"/>
    <x v="0"/>
    <n v="55"/>
  </r>
  <r>
    <s v="HAP"/>
    <s v="01"/>
    <s v="GREENWAY"/>
    <s v="CORALCREEK"/>
    <x v="261"/>
    <x v="0"/>
    <x v="1"/>
    <s v="Invoice"/>
    <s v="98023"/>
    <x v="84"/>
    <x v="11"/>
    <x v="11"/>
    <x v="0"/>
    <n v="55"/>
  </r>
  <r>
    <s v="HAP"/>
    <s v="01"/>
    <s v="GREENWAY"/>
    <s v="MAILING-WPBCH"/>
    <x v="262"/>
    <x v="0"/>
    <x v="1"/>
    <s v="Invoice"/>
    <s v="98027"/>
    <x v="90"/>
    <x v="13"/>
    <x v="13"/>
    <x v="0"/>
    <n v="30"/>
  </r>
  <r>
    <s v="HAP"/>
    <s v="01"/>
    <s v="GREENWAY"/>
    <s v="MAILING-WPBCH"/>
    <x v="262"/>
    <x v="0"/>
    <x v="1"/>
    <s v="Invoice"/>
    <s v="98027"/>
    <x v="7"/>
    <x v="6"/>
    <x v="6"/>
    <x v="0"/>
    <n v="60"/>
  </r>
  <r>
    <s v="HAP"/>
    <s v="01"/>
    <s v="GREENWAY"/>
    <s v="MAILING-WPBCH"/>
    <x v="262"/>
    <x v="0"/>
    <x v="1"/>
    <s v="Invoice"/>
    <s v="98027"/>
    <x v="3"/>
    <x v="2"/>
    <x v="2"/>
    <x v="0"/>
    <n v="120"/>
  </r>
  <r>
    <s v="HAP"/>
    <s v="01"/>
    <s v="GREENWAY"/>
    <s v="MAILING-WPBCH"/>
    <x v="262"/>
    <x v="0"/>
    <x v="1"/>
    <s v="Invoice"/>
    <s v="98027"/>
    <x v="130"/>
    <x v="119"/>
    <x v="49"/>
    <x v="0"/>
    <n v="60"/>
  </r>
  <r>
    <s v="HAP"/>
    <s v="01"/>
    <s v="GREENWAY"/>
    <s v="MAILING-WPBCH"/>
    <x v="262"/>
    <x v="0"/>
    <x v="1"/>
    <s v="Invoice"/>
    <s v="98027"/>
    <x v="8"/>
    <x v="7"/>
    <x v="7"/>
    <x v="0"/>
    <n v="60"/>
  </r>
  <r>
    <s v="HAP"/>
    <s v="01"/>
    <s v="GREENWAY"/>
    <s v="MAILING-WPBCH"/>
    <x v="262"/>
    <x v="0"/>
    <x v="1"/>
    <s v="Invoice"/>
    <s v="98027"/>
    <x v="11"/>
    <x v="10"/>
    <x v="10"/>
    <x v="0"/>
    <n v="60"/>
  </r>
  <r>
    <s v="HAP"/>
    <s v="01"/>
    <s v="GREENWAY"/>
    <s v="MAILING-WPBCH"/>
    <x v="262"/>
    <x v="0"/>
    <x v="1"/>
    <s v="Invoice"/>
    <s v="98027"/>
    <x v="222"/>
    <x v="196"/>
    <x v="65"/>
    <x v="0"/>
    <n v="60"/>
  </r>
  <r>
    <s v="HAP"/>
    <s v="01"/>
    <s v="GREENWAY"/>
    <s v="MAILING-WPBCH"/>
    <x v="262"/>
    <x v="0"/>
    <x v="1"/>
    <s v="Invoice"/>
    <s v="98027"/>
    <x v="22"/>
    <x v="17"/>
    <x v="17"/>
    <x v="0"/>
    <n v="120"/>
  </r>
  <r>
    <s v="HAP"/>
    <s v="01"/>
    <s v="GREENWAY"/>
    <s v="MAILING-WPBCH"/>
    <x v="262"/>
    <x v="0"/>
    <x v="1"/>
    <s v="Invoice"/>
    <s v="98027"/>
    <x v="9"/>
    <x v="8"/>
    <x v="8"/>
    <x v="0"/>
    <n v="20"/>
  </r>
  <r>
    <s v="HAP"/>
    <s v="01"/>
    <s v="GREENWAY"/>
    <s v="MIZNER C. CLUB"/>
    <x v="263"/>
    <x v="0"/>
    <x v="1"/>
    <s v="Invoice"/>
    <s v="98061"/>
    <x v="3"/>
    <x v="2"/>
    <x v="2"/>
    <x v="0"/>
    <n v="50"/>
  </r>
  <r>
    <s v="HAP"/>
    <s v="01"/>
    <s v="GREENWAY"/>
    <s v="MIZNER C. CLUB"/>
    <x v="263"/>
    <x v="0"/>
    <x v="1"/>
    <s v="Invoice"/>
    <s v="98061"/>
    <x v="5"/>
    <x v="4"/>
    <x v="4"/>
    <x v="0"/>
    <n v="100"/>
  </r>
  <r>
    <s v="HAP"/>
    <s v="01"/>
    <s v="GREENWAY"/>
    <s v="MIZNER C. CLUB"/>
    <x v="263"/>
    <x v="0"/>
    <x v="1"/>
    <s v="Invoice"/>
    <s v="98061"/>
    <x v="6"/>
    <x v="5"/>
    <x v="5"/>
    <x v="0"/>
    <n v="50"/>
  </r>
  <r>
    <s v="HAP"/>
    <s v="01"/>
    <s v="GREENWAY"/>
    <s v="MIZNER C. CLUB"/>
    <x v="263"/>
    <x v="0"/>
    <x v="1"/>
    <s v="Invoice"/>
    <s v="98061"/>
    <x v="2"/>
    <x v="0"/>
    <x v="0"/>
    <x v="0"/>
    <n v="100"/>
  </r>
  <r>
    <s v="HAP"/>
    <s v="01"/>
    <s v="GREENWAY"/>
    <s v="HOUSTONOAKS"/>
    <x v="264"/>
    <x v="0"/>
    <x v="1"/>
    <s v="Invoice"/>
    <s v="98064"/>
    <x v="3"/>
    <x v="2"/>
    <x v="2"/>
    <x v="0"/>
    <n v="40"/>
  </r>
  <r>
    <s v="HAP"/>
    <s v="01"/>
    <s v="GREENWAY"/>
    <s v="HOUSTONOAKS"/>
    <x v="264"/>
    <x v="0"/>
    <x v="1"/>
    <s v="Invoice"/>
    <s v="98064"/>
    <x v="4"/>
    <x v="3"/>
    <x v="3"/>
    <x v="0"/>
    <n v="40"/>
  </r>
  <r>
    <s v="HAP"/>
    <s v="01"/>
    <s v="GREENWAY"/>
    <s v="HOUSTONOAKS"/>
    <x v="264"/>
    <x v="0"/>
    <x v="1"/>
    <s v="Invoice"/>
    <s v="98064"/>
    <x v="5"/>
    <x v="4"/>
    <x v="4"/>
    <x v="0"/>
    <n v="40"/>
  </r>
  <r>
    <s v="HAP"/>
    <s v="01"/>
    <s v="GREENWAY"/>
    <s v="HOUSTONOAKS"/>
    <x v="264"/>
    <x v="0"/>
    <x v="1"/>
    <s v="Invoice"/>
    <s v="98064"/>
    <x v="6"/>
    <x v="5"/>
    <x v="5"/>
    <x v="0"/>
    <n v="40"/>
  </r>
  <r>
    <s v="HAP"/>
    <s v="01"/>
    <s v="GREENWAY"/>
    <s v="HOUSTONOAKS"/>
    <x v="264"/>
    <x v="0"/>
    <x v="1"/>
    <s v="Invoice"/>
    <s v="98064"/>
    <x v="2"/>
    <x v="0"/>
    <x v="0"/>
    <x v="0"/>
    <n v="40"/>
  </r>
  <r>
    <s v="HAP"/>
    <s v="01"/>
    <s v="GREENWAY"/>
    <s v="CORALCREEK"/>
    <x v="265"/>
    <x v="0"/>
    <x v="1"/>
    <s v="Invoice"/>
    <s v="98082"/>
    <x v="88"/>
    <x v="2"/>
    <x v="2"/>
    <x v="0"/>
    <n v="55"/>
  </r>
  <r>
    <s v="HAP"/>
    <s v="01"/>
    <s v="GREENWAY"/>
    <s v="CORALCREEK"/>
    <x v="265"/>
    <x v="0"/>
    <x v="1"/>
    <s v="Invoice"/>
    <s v="98082"/>
    <x v="355"/>
    <x v="196"/>
    <x v="65"/>
    <x v="0"/>
    <n v="55"/>
  </r>
  <r>
    <s v="HAP"/>
    <s v="01"/>
    <s v="GREENWAY"/>
    <s v="CORALCREEK"/>
    <x v="265"/>
    <x v="0"/>
    <x v="1"/>
    <s v="Invoice"/>
    <s v="98082"/>
    <x v="84"/>
    <x v="11"/>
    <x v="11"/>
    <x v="0"/>
    <n v="55"/>
  </r>
  <r>
    <s v="HAP"/>
    <s v="01"/>
    <s v="ALMARCH"/>
    <s v="THONOTOSASSA"/>
    <x v="265"/>
    <x v="0"/>
    <x v="1"/>
    <s v="Invoice"/>
    <s v="98085"/>
    <x v="92"/>
    <x v="82"/>
    <x v="35"/>
    <x v="0"/>
    <n v="90"/>
  </r>
  <r>
    <s v="HAP"/>
    <s v="01"/>
    <s v="ALMARCH"/>
    <s v="THONOTOSASSA"/>
    <x v="265"/>
    <x v="0"/>
    <x v="1"/>
    <s v="Invoice"/>
    <s v="98085"/>
    <x v="13"/>
    <x v="12"/>
    <x v="12"/>
    <x v="0"/>
    <n v="165"/>
  </r>
  <r>
    <s v="HAP"/>
    <s v="01"/>
    <s v="ALMARCH"/>
    <s v="THONOTOSASSA"/>
    <x v="265"/>
    <x v="0"/>
    <x v="1"/>
    <s v="Invoice"/>
    <s v="98085"/>
    <x v="22"/>
    <x v="83"/>
    <x v="17"/>
    <x v="0"/>
    <n v="90"/>
  </r>
  <r>
    <s v="HAP"/>
    <s v="01"/>
    <s v="GREENWAY"/>
    <s v="CHAMPION'S CLUB"/>
    <x v="266"/>
    <x v="0"/>
    <x v="1"/>
    <s v="Invoice"/>
    <s v="98096"/>
    <x v="1"/>
    <x v="1"/>
    <x v="1"/>
    <x v="0"/>
    <n v="55"/>
  </r>
  <r>
    <s v="HAP"/>
    <s v="01"/>
    <s v="GREENWAY"/>
    <s v="MAILING-WPBCH"/>
    <x v="267"/>
    <x v="0"/>
    <x v="1"/>
    <s v="Invoice"/>
    <s v="98131"/>
    <x v="7"/>
    <x v="6"/>
    <x v="6"/>
    <x v="0"/>
    <n v="2.5"/>
  </r>
  <r>
    <s v="HAP"/>
    <s v="01"/>
    <s v="GREENWAY"/>
    <s v="MAILING-WPBCH"/>
    <x v="267"/>
    <x v="0"/>
    <x v="1"/>
    <s v="Invoice"/>
    <s v="98131"/>
    <x v="3"/>
    <x v="2"/>
    <x v="2"/>
    <x v="0"/>
    <n v="120"/>
  </r>
  <r>
    <s v="HAP"/>
    <s v="01"/>
    <s v="GREENWAY"/>
    <s v="MAILING-WPBCH"/>
    <x v="267"/>
    <x v="0"/>
    <x v="1"/>
    <s v="Invoice"/>
    <s v="98131"/>
    <x v="4"/>
    <x v="3"/>
    <x v="3"/>
    <x v="0"/>
    <n v="60"/>
  </r>
  <r>
    <s v="HAP"/>
    <s v="01"/>
    <s v="GREENWAY"/>
    <s v="MAILING-WPBCH"/>
    <x v="267"/>
    <x v="0"/>
    <x v="1"/>
    <s v="Invoice"/>
    <s v="98131"/>
    <x v="21"/>
    <x v="16"/>
    <x v="16"/>
    <x v="0"/>
    <n v="60"/>
  </r>
  <r>
    <s v="HAP"/>
    <s v="01"/>
    <s v="GREENWAY"/>
    <s v="MAILING-WPBCH"/>
    <x v="267"/>
    <x v="0"/>
    <x v="1"/>
    <s v="Invoice"/>
    <s v="98131"/>
    <x v="5"/>
    <x v="4"/>
    <x v="4"/>
    <x v="0"/>
    <n v="120"/>
  </r>
  <r>
    <s v="HAP"/>
    <s v="01"/>
    <s v="GREENWAY"/>
    <s v="MAILING-WPBCH"/>
    <x v="267"/>
    <x v="0"/>
    <x v="1"/>
    <s v="Invoice"/>
    <s v="98131"/>
    <x v="6"/>
    <x v="5"/>
    <x v="5"/>
    <x v="0"/>
    <n v="120"/>
  </r>
  <r>
    <s v="HAP"/>
    <s v="01"/>
    <s v="GREENWAY"/>
    <s v="MAILING-WPBCH"/>
    <x v="267"/>
    <x v="0"/>
    <x v="1"/>
    <s v="Invoice"/>
    <s v="98131"/>
    <x v="2"/>
    <x v="0"/>
    <x v="0"/>
    <x v="0"/>
    <n v="120"/>
  </r>
  <r>
    <s v="HAP"/>
    <s v="01"/>
    <s v="GREENWAY"/>
    <s v="CORALCREEK"/>
    <x v="268"/>
    <x v="0"/>
    <x v="1"/>
    <s v="Invoice"/>
    <s v="98187"/>
    <x v="7"/>
    <x v="6"/>
    <x v="6"/>
    <x v="0"/>
    <n v="20"/>
  </r>
  <r>
    <s v="HAP"/>
    <s v="01"/>
    <s v="GREENWAY"/>
    <s v="CORALCREEK"/>
    <x v="268"/>
    <x v="0"/>
    <x v="1"/>
    <s v="Invoice"/>
    <s v="98187"/>
    <x v="3"/>
    <x v="2"/>
    <x v="2"/>
    <x v="0"/>
    <n v="40"/>
  </r>
  <r>
    <s v="HAP"/>
    <s v="01"/>
    <s v="GREENWAY"/>
    <s v="CORALCREEK"/>
    <x v="268"/>
    <x v="0"/>
    <x v="1"/>
    <s v="Invoice"/>
    <s v="98187"/>
    <x v="5"/>
    <x v="4"/>
    <x v="4"/>
    <x v="0"/>
    <n v="40"/>
  </r>
  <r>
    <s v="HAP"/>
    <s v="01"/>
    <s v="GREENWAY"/>
    <s v="CORALCREEK"/>
    <x v="268"/>
    <x v="0"/>
    <x v="1"/>
    <s v="Invoice"/>
    <s v="98187"/>
    <x v="6"/>
    <x v="5"/>
    <x v="5"/>
    <x v="0"/>
    <n v="20"/>
  </r>
  <r>
    <s v="HAP"/>
    <s v="01"/>
    <s v="GREENWAY"/>
    <s v="CORALCREEK"/>
    <x v="268"/>
    <x v="0"/>
    <x v="1"/>
    <s v="Invoice"/>
    <s v="98187"/>
    <x v="2"/>
    <x v="0"/>
    <x v="0"/>
    <x v="0"/>
    <n v="40"/>
  </r>
  <r>
    <s v="HAP"/>
    <s v="01"/>
    <s v="GREENWAY"/>
    <s v="IRON HORSE G.C."/>
    <x v="269"/>
    <x v="0"/>
    <x v="1"/>
    <s v="Invoice"/>
    <s v="98206"/>
    <x v="1"/>
    <x v="1"/>
    <x v="1"/>
    <x v="0"/>
    <n v="110"/>
  </r>
  <r>
    <s v="DAVID"/>
    <s v="02"/>
    <s v="TRIYIELD"/>
    <s v="MAIN"/>
    <x v="262"/>
    <x v="0"/>
    <x v="1"/>
    <s v="Invoice"/>
    <s v="98024A"/>
    <x v="343"/>
    <x v="304"/>
    <x v="20"/>
    <x v="1"/>
    <n v="2775"/>
  </r>
  <r>
    <s v="DAVID"/>
    <s v="02"/>
    <s v="BIGEARTH"/>
    <s v="PALMETTO"/>
    <x v="270"/>
    <x v="0"/>
    <x v="1"/>
    <s v="Invoice"/>
    <s v="98065"/>
    <x v="22"/>
    <x v="69"/>
    <x v="17"/>
    <x v="0"/>
    <n v="35"/>
  </r>
  <r>
    <s v="DAVID"/>
    <s v="02"/>
    <s v="BIGEARTH"/>
    <s v="PALMETTO"/>
    <x v="270"/>
    <x v="0"/>
    <x v="1"/>
    <s v="Invoice"/>
    <s v="98065"/>
    <x v="209"/>
    <x v="185"/>
    <x v="63"/>
    <x v="0"/>
    <n v="35"/>
  </r>
  <r>
    <s v="DAVID"/>
    <s v="02"/>
    <s v="TRIYIELD"/>
    <s v="MAIN"/>
    <x v="271"/>
    <x v="0"/>
    <x v="1"/>
    <s v="Invoice"/>
    <s v="98145"/>
    <x v="343"/>
    <x v="304"/>
    <x v="20"/>
    <x v="1"/>
    <n v="3052.5"/>
  </r>
  <r>
    <s v="DAVID"/>
    <s v="02"/>
    <s v="EVOQUAWATER"/>
    <s v="PUBLICSTORAGE"/>
    <x v="272"/>
    <x v="0"/>
    <x v="1"/>
    <s v="Invoice"/>
    <s v="98168"/>
    <x v="160"/>
    <x v="231"/>
    <x v="54"/>
    <x v="0"/>
    <n v="360"/>
  </r>
  <r>
    <s v="DAVID"/>
    <s v="02"/>
    <s v="UNIVAR"/>
    <s v="ORLANDO"/>
    <x v="268"/>
    <x v="0"/>
    <x v="1"/>
    <s v="Invoice"/>
    <s v="98185"/>
    <x v="33"/>
    <x v="28"/>
    <x v="2"/>
    <x v="0"/>
    <n v="20"/>
  </r>
  <r>
    <s v="DAVID"/>
    <s v="02"/>
    <s v="SUNNILAND"/>
    <s v="MAIN"/>
    <x v="269"/>
    <x v="0"/>
    <x v="1"/>
    <s v="Invoice"/>
    <s v="98193"/>
    <x v="124"/>
    <x v="201"/>
    <x v="20"/>
    <x v="1"/>
    <n v="21720"/>
  </r>
  <r>
    <s v="DAVID"/>
    <s v="02"/>
    <s v="EVOQUAWATER"/>
    <s v="STOR-N-MORE"/>
    <x v="269"/>
    <x v="0"/>
    <x v="1"/>
    <s v="Invoice"/>
    <s v="98199"/>
    <x v="160"/>
    <x v="231"/>
    <x v="54"/>
    <x v="0"/>
    <n v="360"/>
  </r>
  <r>
    <s v="DAVID"/>
    <s v="02"/>
    <s v="EVOQUAWATER"/>
    <s v="MAIN"/>
    <x v="269"/>
    <x v="0"/>
    <x v="1"/>
    <s v="Invoice"/>
    <s v="98209"/>
    <x v="160"/>
    <x v="231"/>
    <x v="54"/>
    <x v="0"/>
    <n v="360"/>
  </r>
  <r>
    <s v="DAVID"/>
    <s v="02"/>
    <s v="COUNCILO"/>
    <s v="COUNCIL-OXFORD"/>
    <x v="273"/>
    <x v="0"/>
    <x v="1"/>
    <s v="Invoice"/>
    <s v="98245"/>
    <x v="26"/>
    <x v="21"/>
    <x v="21"/>
    <x v="0"/>
    <n v="500"/>
  </r>
  <r>
    <s v="JUSTIN"/>
    <s v="03"/>
    <s v="G&amp;DFARMS"/>
    <s v="MIDDLE"/>
    <x v="274"/>
    <x v="0"/>
    <x v="1"/>
    <s v="Invoice"/>
    <s v="98014"/>
    <x v="99"/>
    <x v="93"/>
    <x v="22"/>
    <x v="2"/>
    <n v="14.994999999999999"/>
  </r>
  <r>
    <s v="JUSTIN"/>
    <s v="03"/>
    <s v="CPSMULB"/>
    <s v="UAP/MULBERRY"/>
    <x v="261"/>
    <x v="0"/>
    <x v="1"/>
    <s v="Invoice"/>
    <s v="98019"/>
    <x v="34"/>
    <x v="29"/>
    <x v="26"/>
    <x v="0"/>
    <n v="360"/>
  </r>
  <r>
    <s v="JUSTIN"/>
    <s v="03"/>
    <s v="TRIYIELD"/>
    <s v="MAIN"/>
    <x v="262"/>
    <x v="0"/>
    <x v="1"/>
    <s v="Invoice"/>
    <s v="98024"/>
    <x v="343"/>
    <x v="304"/>
    <x v="20"/>
    <x v="1"/>
    <n v="2775"/>
  </r>
  <r>
    <s v="JUSTIN"/>
    <s v="03"/>
    <s v="COUNCILO"/>
    <s v="COUNCIL-OXFORD"/>
    <x v="275"/>
    <x v="0"/>
    <x v="1"/>
    <s v="Invoice"/>
    <s v="98049"/>
    <x v="40"/>
    <x v="315"/>
    <x v="29"/>
    <x v="0"/>
    <n v="180"/>
  </r>
  <r>
    <s v="JUSTIN"/>
    <s v="03"/>
    <s v="CPSWACHU"/>
    <s v="WAUCHULA"/>
    <x v="270"/>
    <x v="0"/>
    <x v="1"/>
    <s v="Invoice"/>
    <s v="98067"/>
    <x v="191"/>
    <x v="169"/>
    <x v="61"/>
    <x v="0"/>
    <n v="180"/>
  </r>
  <r>
    <s v="JUSTIN"/>
    <s v="03"/>
    <s v="CPSWACHU"/>
    <s v="WAUCHULA"/>
    <x v="266"/>
    <x v="0"/>
    <x v="1"/>
    <s v="Invoice"/>
    <s v="98087"/>
    <x v="324"/>
    <x v="286"/>
    <x v="13"/>
    <x v="0"/>
    <n v="500"/>
  </r>
  <r>
    <s v="JUSTIN"/>
    <s v="03"/>
    <s v="G&amp;DFARMS"/>
    <s v="MIDDLE"/>
    <x v="266"/>
    <x v="0"/>
    <x v="1"/>
    <s v="Invoice"/>
    <s v="98089"/>
    <x v="99"/>
    <x v="93"/>
    <x v="22"/>
    <x v="2"/>
    <n v="15.02"/>
  </r>
  <r>
    <s v="JUSTIN"/>
    <s v="03"/>
    <s v="TRIANGLE"/>
    <s v="TRIANGLE/LAKEPL"/>
    <x v="267"/>
    <x v="0"/>
    <x v="1"/>
    <s v="Invoice"/>
    <s v="98125"/>
    <x v="136"/>
    <x v="111"/>
    <x v="46"/>
    <x v="0"/>
    <n v="540"/>
  </r>
  <r>
    <s v="JUSTIN"/>
    <s v="03"/>
    <s v="TRIANGLE"/>
    <s v="TRIANGLE/LAKEPL"/>
    <x v="267"/>
    <x v="0"/>
    <x v="1"/>
    <s v="Invoice"/>
    <s v="98126"/>
    <x v="100"/>
    <x v="94"/>
    <x v="41"/>
    <x v="0"/>
    <n v="250"/>
  </r>
  <r>
    <s v="JUSTIN"/>
    <s v="03"/>
    <s v="COUNCILO"/>
    <s v="COUNCIL-OXFORD"/>
    <x v="271"/>
    <x v="0"/>
    <x v="1"/>
    <s v="Invoice"/>
    <s v="98135"/>
    <x v="34"/>
    <x v="29"/>
    <x v="26"/>
    <x v="0"/>
    <n v="180"/>
  </r>
  <r>
    <s v="JUSTIN"/>
    <s v="03"/>
    <s v="G&amp;DFARMS"/>
    <s v="MIDDLE"/>
    <x v="272"/>
    <x v="0"/>
    <x v="1"/>
    <s v="Invoice"/>
    <s v="98163"/>
    <x v="99"/>
    <x v="93"/>
    <x v="22"/>
    <x v="2"/>
    <n v="15.02"/>
  </r>
  <r>
    <s v="JUSTIN"/>
    <s v="03"/>
    <s v="CPSPARRI"/>
    <s v="PARRISH"/>
    <x v="272"/>
    <x v="0"/>
    <x v="1"/>
    <s v="Invoice"/>
    <s v="98171"/>
    <x v="40"/>
    <x v="35"/>
    <x v="29"/>
    <x v="0"/>
    <n v="180"/>
  </r>
  <r>
    <s v="JUSTIN"/>
    <s v="03"/>
    <s v="CPSOKEE"/>
    <s v="OKEE-LIQ PLANT"/>
    <x v="276"/>
    <x v="0"/>
    <x v="1"/>
    <s v="Invoice"/>
    <s v="98180"/>
    <x v="134"/>
    <x v="94"/>
    <x v="41"/>
    <x v="0"/>
    <n v="2004.73"/>
  </r>
  <r>
    <s v="JUSTIN"/>
    <s v="03"/>
    <s v="GRIFFINF"/>
    <s v="FROSTPROOF"/>
    <x v="277"/>
    <x v="0"/>
    <x v="1"/>
    <s v="Invoice"/>
    <s v="98211"/>
    <x v="136"/>
    <x v="111"/>
    <x v="46"/>
    <x v="0"/>
    <n v="180"/>
  </r>
  <r>
    <s v="JUSTIN"/>
    <s v="03"/>
    <s v="GRIFFINF"/>
    <s v="FROSTPROOF"/>
    <x v="277"/>
    <x v="0"/>
    <x v="1"/>
    <s v="Invoice"/>
    <s v="98211"/>
    <x v="36"/>
    <x v="31"/>
    <x v="4"/>
    <x v="0"/>
    <n v="180"/>
  </r>
  <r>
    <s v="JUSTIN"/>
    <s v="03"/>
    <s v="CPSPARRI"/>
    <s v="PARRISH"/>
    <x v="273"/>
    <x v="0"/>
    <x v="1"/>
    <s v="Invoice"/>
    <s v="98236"/>
    <x v="123"/>
    <x v="111"/>
    <x v="46"/>
    <x v="0"/>
    <n v="250"/>
  </r>
  <r>
    <s v="JUSTIN"/>
    <s v="03"/>
    <s v="CPSPARRI"/>
    <s v="PARRISH"/>
    <x v="273"/>
    <x v="0"/>
    <x v="1"/>
    <s v="Invoice"/>
    <s v="98236"/>
    <x v="254"/>
    <x v="75"/>
    <x v="26"/>
    <x v="0"/>
    <n v="250"/>
  </r>
  <r>
    <s v="JUSTIN"/>
    <s v="03"/>
    <s v="G&amp;DFARMS"/>
    <s v="MIDDLE"/>
    <x v="273"/>
    <x v="0"/>
    <x v="1"/>
    <s v="Invoice"/>
    <s v="98240"/>
    <x v="99"/>
    <x v="93"/>
    <x v="22"/>
    <x v="2"/>
    <n v="14.9975"/>
  </r>
  <r>
    <s v="DPOPPELL"/>
    <s v="04"/>
    <s v="GUTIERREZA"/>
    <s v="JOE KING RD"/>
    <x v="260"/>
    <x v="0"/>
    <x v="1"/>
    <s v="Invoice"/>
    <s v="98009"/>
    <x v="43"/>
    <x v="38"/>
    <x v="22"/>
    <x v="2"/>
    <n v="3.75"/>
  </r>
  <r>
    <s v="DPOPPELL"/>
    <s v="04"/>
    <s v="CARLTONTHOMAS"/>
    <s v="GRANGEHALL"/>
    <x v="260"/>
    <x v="0"/>
    <x v="1"/>
    <s v="Invoice"/>
    <s v="98010"/>
    <x v="71"/>
    <x v="64"/>
    <x v="22"/>
    <x v="2"/>
    <n v="15.0075"/>
  </r>
  <r>
    <s v="DPOPPELL"/>
    <s v="04"/>
    <s v="FERRISFA"/>
    <s v="STRABERRIES"/>
    <x v="274"/>
    <x v="0"/>
    <x v="1"/>
    <s v="Invoice"/>
    <s v="98012"/>
    <x v="72"/>
    <x v="65"/>
    <x v="22"/>
    <x v="2"/>
    <n v="10"/>
  </r>
  <r>
    <s v="DPOPPELL"/>
    <s v="04"/>
    <s v="FLORIDAAG"/>
    <s v="KINGSWAY"/>
    <x v="274"/>
    <x v="0"/>
    <x v="1"/>
    <s v="Invoice"/>
    <s v="98013"/>
    <x v="326"/>
    <x v="289"/>
    <x v="22"/>
    <x v="2"/>
    <n v="2.25"/>
  </r>
  <r>
    <s v="DPOPPELL"/>
    <s v="04"/>
    <s v="JOEPENA"/>
    <s v="HWY 92"/>
    <x v="274"/>
    <x v="0"/>
    <x v="1"/>
    <s v="Invoice"/>
    <s v="98015"/>
    <x v="53"/>
    <x v="46"/>
    <x v="22"/>
    <x v="2"/>
    <n v="1"/>
  </r>
  <r>
    <s v="DPOPPELL"/>
    <s v="04"/>
    <s v="IFASGULF"/>
    <s v="WIMAUMA"/>
    <x v="261"/>
    <x v="0"/>
    <x v="1"/>
    <s v="Invoice"/>
    <s v="98017"/>
    <x v="145"/>
    <x v="126"/>
    <x v="22"/>
    <x v="2"/>
    <n v="1.2475000000000001"/>
  </r>
  <r>
    <s v="DPOPPELL"/>
    <s v="04"/>
    <s v="IFASGULF"/>
    <s v="WIMAUMA"/>
    <x v="261"/>
    <x v="0"/>
    <x v="1"/>
    <s v="Invoice"/>
    <s v="98018"/>
    <x v="356"/>
    <x v="316"/>
    <x v="22"/>
    <x v="2"/>
    <n v="1.25"/>
  </r>
  <r>
    <s v="DPOPPELL"/>
    <s v="04"/>
    <s v="SOUTHERNHILL"/>
    <s v="SCHOFIELD"/>
    <x v="261"/>
    <x v="0"/>
    <x v="1"/>
    <s v="Invoice"/>
    <s v="98021"/>
    <x v="72"/>
    <x v="65"/>
    <x v="22"/>
    <x v="2"/>
    <n v="2.375"/>
  </r>
  <r>
    <s v=""/>
    <s v="04"/>
    <s v="GARCIAFARMS"/>
    <s v="MAIN"/>
    <x v="261"/>
    <x v="0"/>
    <x v="1"/>
    <s v="Invoice"/>
    <s v="98022"/>
    <x v="43"/>
    <x v="38"/>
    <x v="22"/>
    <x v="2"/>
    <n v="5.01"/>
  </r>
  <r>
    <s v="DPOPPELL"/>
    <s v="04"/>
    <s v="FANCYFAR"/>
    <s v="DRANE FIELD"/>
    <x v="262"/>
    <x v="0"/>
    <x v="1"/>
    <s v="Invoice"/>
    <s v="98025"/>
    <x v="347"/>
    <x v="308"/>
    <x v="22"/>
    <x v="2"/>
    <n v="15.01"/>
  </r>
  <r>
    <s v="DPOPPELL"/>
    <s v="04"/>
    <s v="CHAVEZJOR"/>
    <s v="JOSE' CHAV- COD"/>
    <x v="262"/>
    <x v="0"/>
    <x v="1"/>
    <s v="Invoice"/>
    <s v="98028"/>
    <x v="53"/>
    <x v="46"/>
    <x v="22"/>
    <x v="2"/>
    <n v="0.15"/>
  </r>
  <r>
    <s v="DPOPPELL"/>
    <s v="04"/>
    <s v="SYDNEYFA"/>
    <s v="SYDNEY-WASHER"/>
    <x v="262"/>
    <x v="0"/>
    <x v="1"/>
    <s v="Invoice"/>
    <s v="98029"/>
    <x v="67"/>
    <x v="60"/>
    <x v="22"/>
    <x v="2"/>
    <n v="15.012499999999999"/>
  </r>
  <r>
    <s v="DPOPPELL"/>
    <s v="04"/>
    <s v="IFASGULF"/>
    <s v="BALM-STRAWBERRY"/>
    <x v="278"/>
    <x v="0"/>
    <x v="1"/>
    <s v="Invoice"/>
    <s v="98030"/>
    <x v="28"/>
    <x v="23"/>
    <x v="22"/>
    <x v="2"/>
    <n v="7.5025000000000004"/>
  </r>
  <r>
    <s v="DPOPPELL"/>
    <s v="04"/>
    <s v="SWEETLIFE"/>
    <s v="KEENE RD."/>
    <x v="278"/>
    <x v="0"/>
    <x v="1"/>
    <s v="Invoice"/>
    <s v="98031"/>
    <x v="27"/>
    <x v="22"/>
    <x v="22"/>
    <x v="2"/>
    <n v="15.0275"/>
  </r>
  <r>
    <s v="DPOPPELL"/>
    <s v="04"/>
    <s v="MIDWAYF"/>
    <s v="WILDER RD."/>
    <x v="278"/>
    <x v="0"/>
    <x v="1"/>
    <s v="Invoice"/>
    <s v="98033"/>
    <x v="27"/>
    <x v="22"/>
    <x v="22"/>
    <x v="2"/>
    <n v="2.5125000000000002"/>
  </r>
  <r>
    <s v="DPOPPELL"/>
    <s v="04"/>
    <s v="MIDWAYF"/>
    <s v="EKNIGHTS"/>
    <x v="278"/>
    <x v="0"/>
    <x v="1"/>
    <s v="Invoice"/>
    <s v="98035"/>
    <x v="27"/>
    <x v="22"/>
    <x v="22"/>
    <x v="2"/>
    <n v="2.5099999999999998"/>
  </r>
  <r>
    <s v="DPOPPELL"/>
    <s v="04"/>
    <s v="CHANFARM"/>
    <s v="KNIGHTS GRIFFIN"/>
    <x v="278"/>
    <x v="0"/>
    <x v="1"/>
    <s v="Invoice"/>
    <s v="98036"/>
    <x v="51"/>
    <x v="44"/>
    <x v="22"/>
    <x v="2"/>
    <n v="2.5"/>
  </r>
  <r>
    <s v="DPOPPELL"/>
    <s v="04"/>
    <s v="SWEETLIFE"/>
    <s v="MCGEE RD."/>
    <x v="278"/>
    <x v="0"/>
    <x v="1"/>
    <s v="Invoice"/>
    <s v="98037"/>
    <x v="27"/>
    <x v="22"/>
    <x v="22"/>
    <x v="2"/>
    <n v="10"/>
  </r>
  <r>
    <s v="DPOPPELL"/>
    <s v="04"/>
    <s v="GILLMANBUDD"/>
    <s v="FORBES"/>
    <x v="278"/>
    <x v="0"/>
    <x v="1"/>
    <s v="Invoice"/>
    <s v="98038"/>
    <x v="63"/>
    <x v="56"/>
    <x v="22"/>
    <x v="2"/>
    <n v="5.0049999999999999"/>
  </r>
  <r>
    <s v="DPOPPELL"/>
    <s v="04"/>
    <s v="CHARLIEG-LLC"/>
    <s v="LAMPP ROAD"/>
    <x v="278"/>
    <x v="0"/>
    <x v="1"/>
    <s v="Invoice"/>
    <s v="98042"/>
    <x v="27"/>
    <x v="22"/>
    <x v="22"/>
    <x v="2"/>
    <n v="2.25"/>
  </r>
  <r>
    <s v="DPOPPELL"/>
    <s v="04"/>
    <s v="ELIASCEDILLO"/>
    <s v="TRAPNELL"/>
    <x v="278"/>
    <x v="0"/>
    <x v="1"/>
    <s v="Invoice"/>
    <s v="98043"/>
    <x v="53"/>
    <x v="46"/>
    <x v="22"/>
    <x v="2"/>
    <n v="1.25"/>
  </r>
  <r>
    <s v="DPOPPELL"/>
    <s v="04"/>
    <s v="STRAWBERRYR"/>
    <s v="RANCH 2"/>
    <x v="278"/>
    <x v="0"/>
    <x v="1"/>
    <s v="Invoice"/>
    <s v="98044"/>
    <x v="67"/>
    <x v="60"/>
    <x v="22"/>
    <x v="2"/>
    <n v="15.025"/>
  </r>
  <r>
    <s v="DPOPPELL"/>
    <s v="04"/>
    <s v="STRAWBERRYR"/>
    <s v="RANCH 2"/>
    <x v="278"/>
    <x v="0"/>
    <x v="1"/>
    <s v="Invoice"/>
    <s v="98044"/>
    <x v="357"/>
    <x v="317"/>
    <x v="25"/>
    <x v="0"/>
    <n v="5.625"/>
  </r>
  <r>
    <s v="DPOPPELL"/>
    <s v="04"/>
    <s v="SPIVEYFA"/>
    <s v="HOPEWELL"/>
    <x v="278"/>
    <x v="0"/>
    <x v="1"/>
    <s v="Invoice"/>
    <s v="98045"/>
    <x v="56"/>
    <x v="49"/>
    <x v="22"/>
    <x v="2"/>
    <n v="4.0199999999999996"/>
  </r>
  <r>
    <s v="DPOPPELL"/>
    <s v="04"/>
    <s v="STRAWBERRYR"/>
    <s v="RANCH 1"/>
    <x v="275"/>
    <x v="0"/>
    <x v="1"/>
    <s v="Invoice"/>
    <s v="98046"/>
    <x v="67"/>
    <x v="60"/>
    <x v="22"/>
    <x v="2"/>
    <n v="15.04"/>
  </r>
  <r>
    <s v="DPOPPELL"/>
    <s v="04"/>
    <s v="STRAWBERRYR"/>
    <s v="RANCH 1"/>
    <x v="275"/>
    <x v="0"/>
    <x v="1"/>
    <s v="Invoice"/>
    <s v="98046"/>
    <x v="357"/>
    <x v="317"/>
    <x v="25"/>
    <x v="0"/>
    <n v="5.625"/>
  </r>
  <r>
    <s v="DPOPPELL"/>
    <s v="04"/>
    <s v="JOSEHERN"/>
    <s v="TRAPNELL RD/E"/>
    <x v="275"/>
    <x v="0"/>
    <x v="1"/>
    <s v="Invoice"/>
    <s v="98055"/>
    <x v="43"/>
    <x v="38"/>
    <x v="22"/>
    <x v="2"/>
    <n v="2.0049999999999999"/>
  </r>
  <r>
    <s v="DPOPPELL"/>
    <s v="04"/>
    <s v="JOSEHERN"/>
    <s v="COLSON RD"/>
    <x v="275"/>
    <x v="0"/>
    <x v="1"/>
    <s v="Invoice"/>
    <s v="98056"/>
    <x v="43"/>
    <x v="38"/>
    <x v="22"/>
    <x v="2"/>
    <n v="12.045"/>
  </r>
  <r>
    <s v="DPOPPELL"/>
    <s v="04"/>
    <s v="SWEETLIFE"/>
    <s v="KNIGHTS GRIFFIN"/>
    <x v="275"/>
    <x v="0"/>
    <x v="1"/>
    <s v="Invoice"/>
    <s v="98057"/>
    <x v="27"/>
    <x v="22"/>
    <x v="22"/>
    <x v="2"/>
    <n v="12.5175"/>
  </r>
  <r>
    <s v="DPOPPELL"/>
    <s v="04"/>
    <s v="CIRCLEGF&amp;R LLC"/>
    <s v="KNIGHTS-N-#16"/>
    <x v="263"/>
    <x v="0"/>
    <x v="1"/>
    <s v="Invoice"/>
    <s v="98058"/>
    <x v="27"/>
    <x v="22"/>
    <x v="22"/>
    <x v="2"/>
    <n v="5.0075000000000003"/>
  </r>
  <r>
    <s v="DPOPPELL"/>
    <s v="04"/>
    <s v="TOMLIN"/>
    <s v="AG DEPT."/>
    <x v="263"/>
    <x v="0"/>
    <x v="1"/>
    <s v="Invoice"/>
    <s v="98059"/>
    <x v="58"/>
    <x v="51"/>
    <x v="22"/>
    <x v="2"/>
    <n v="1.26"/>
  </r>
  <r>
    <s v="DPOPPELL"/>
    <s v="04"/>
    <s v="FERRISFA"/>
    <s v="STRABERRIES"/>
    <x v="263"/>
    <x v="0"/>
    <x v="1"/>
    <s v="Invoice"/>
    <s v="98060"/>
    <x v="72"/>
    <x v="65"/>
    <x v="22"/>
    <x v="2"/>
    <n v="15"/>
  </r>
  <r>
    <s v="DPOPPELL"/>
    <s v="04"/>
    <s v="MIDWAYF"/>
    <s v="FRAZIER"/>
    <x v="264"/>
    <x v="0"/>
    <x v="1"/>
    <s v="Invoice"/>
    <s v="98062"/>
    <x v="27"/>
    <x v="22"/>
    <x v="22"/>
    <x v="2"/>
    <n v="5"/>
  </r>
  <r>
    <s v="DPOPPELL"/>
    <s v="04"/>
    <s v="BAYSIDE"/>
    <s v="MAIN"/>
    <x v="270"/>
    <x v="0"/>
    <x v="1"/>
    <s v="Invoice"/>
    <s v="98070"/>
    <x v="111"/>
    <x v="99"/>
    <x v="22"/>
    <x v="2"/>
    <n v="1.25"/>
  </r>
  <r>
    <s v="DPOPPELL"/>
    <s v="04"/>
    <s v="CHAVEZJOR"/>
    <s v="JOSE' CHAV- COD"/>
    <x v="270"/>
    <x v="0"/>
    <x v="1"/>
    <s v="Invoice"/>
    <s v="98072"/>
    <x v="53"/>
    <x v="46"/>
    <x v="22"/>
    <x v="2"/>
    <n v="0.3"/>
  </r>
  <r>
    <s v="DPOPPELL"/>
    <s v="04"/>
    <s v="JOEPENA"/>
    <s v="JIMREDMAN"/>
    <x v="270"/>
    <x v="0"/>
    <x v="1"/>
    <s v="Invoice"/>
    <s v="98073"/>
    <x v="53"/>
    <x v="46"/>
    <x v="22"/>
    <x v="2"/>
    <n v="0.75"/>
  </r>
  <r>
    <s v="DPOPPELL"/>
    <s v="04"/>
    <s v="CHARLIEG-LLC"/>
    <s v="DAIRY"/>
    <x v="270"/>
    <x v="0"/>
    <x v="1"/>
    <s v="Invoice"/>
    <s v="98074"/>
    <x v="27"/>
    <x v="22"/>
    <x v="22"/>
    <x v="2"/>
    <n v="5.01"/>
  </r>
  <r>
    <s v="DPOPPELL"/>
    <s v="04"/>
    <s v="EWSIMMON"/>
    <s v="MUD LAKE/W.SIDE"/>
    <x v="270"/>
    <x v="0"/>
    <x v="1"/>
    <s v="Invoice"/>
    <s v="98075"/>
    <x v="268"/>
    <x v="236"/>
    <x v="22"/>
    <x v="2"/>
    <n v="12.5"/>
  </r>
  <r>
    <s v="DPOPPELL"/>
    <s v="04"/>
    <s v="MIDWAYF"/>
    <s v="WILDER RD."/>
    <x v="270"/>
    <x v="0"/>
    <x v="1"/>
    <s v="Invoice"/>
    <s v="98076"/>
    <x v="27"/>
    <x v="22"/>
    <x v="22"/>
    <x v="2"/>
    <n v="5.0025000000000004"/>
  </r>
  <r>
    <s v="DPOPPELL"/>
    <s v="04"/>
    <s v="FAVORITE"/>
    <s v="BETHLEHEM ROAD"/>
    <x v="265"/>
    <x v="0"/>
    <x v="1"/>
    <s v="Invoice"/>
    <s v="98077"/>
    <x v="43"/>
    <x v="38"/>
    <x v="22"/>
    <x v="2"/>
    <n v="5.0075000000000003"/>
  </r>
  <r>
    <s v="DPOPPELL"/>
    <s v="04"/>
    <s v="M&amp;GFARMS"/>
    <s v="HWY 640"/>
    <x v="265"/>
    <x v="0"/>
    <x v="1"/>
    <s v="Invoice"/>
    <s v="98080"/>
    <x v="58"/>
    <x v="51"/>
    <x v="22"/>
    <x v="2"/>
    <n v="10"/>
  </r>
  <r>
    <s v="DPOPPELL"/>
    <s v="04"/>
    <s v="CIRCLEGF&amp;R LLC"/>
    <s v="KNIGHTS-N-#12"/>
    <x v="265"/>
    <x v="0"/>
    <x v="1"/>
    <s v="Invoice"/>
    <s v="98081"/>
    <x v="27"/>
    <x v="22"/>
    <x v="22"/>
    <x v="2"/>
    <n v="5.0049999999999999"/>
  </r>
  <r>
    <s v="DPOPPELL"/>
    <s v="04"/>
    <s v="JOEPENA"/>
    <s v="HWY 92"/>
    <x v="265"/>
    <x v="0"/>
    <x v="1"/>
    <s v="Invoice"/>
    <s v="98083"/>
    <x v="53"/>
    <x v="46"/>
    <x v="22"/>
    <x v="2"/>
    <n v="1"/>
  </r>
  <r>
    <s v="DPOPPELL"/>
    <s v="04"/>
    <s v="MIDWAYF"/>
    <s v="NURSERY"/>
    <x v="266"/>
    <x v="0"/>
    <x v="1"/>
    <s v="Invoice"/>
    <s v="98090"/>
    <x v="27"/>
    <x v="22"/>
    <x v="22"/>
    <x v="2"/>
    <n v="5"/>
  </r>
  <r>
    <s v="DPOPPELL"/>
    <s v="04"/>
    <s v="FAVORITE"/>
    <s v="MCINTOSH ROAD"/>
    <x v="266"/>
    <x v="0"/>
    <x v="1"/>
    <s v="Invoice"/>
    <s v="98091"/>
    <x v="43"/>
    <x v="38"/>
    <x v="22"/>
    <x v="2"/>
    <n v="5"/>
  </r>
  <r>
    <s v="DPOPPELL"/>
    <s v="04"/>
    <s v="FLORIDAAG"/>
    <s v="KINGSWAY"/>
    <x v="266"/>
    <x v="0"/>
    <x v="1"/>
    <s v="Invoice"/>
    <s v="98092"/>
    <x v="326"/>
    <x v="289"/>
    <x v="22"/>
    <x v="2"/>
    <n v="2.25"/>
  </r>
  <r>
    <s v="DPOPPELL"/>
    <s v="04"/>
    <s v="EWSIMMON"/>
    <s v="MUD LK-BLUEBERR"/>
    <x v="266"/>
    <x v="0"/>
    <x v="1"/>
    <s v="Invoice"/>
    <s v="98094"/>
    <x v="268"/>
    <x v="236"/>
    <x v="22"/>
    <x v="2"/>
    <n v="5"/>
  </r>
  <r>
    <s v="DPOPPELL"/>
    <s v="04"/>
    <s v="EWSIMMON"/>
    <s v="MUD LK-BLUEBERR"/>
    <x v="266"/>
    <x v="0"/>
    <x v="1"/>
    <s v="Invoice"/>
    <s v="98094"/>
    <x v="357"/>
    <x v="317"/>
    <x v="25"/>
    <x v="0"/>
    <n v="1.875"/>
  </r>
  <r>
    <s v="DPOPPELL"/>
    <s v="04"/>
    <s v="PARKESDA"/>
    <s v="HILL"/>
    <x v="266"/>
    <x v="0"/>
    <x v="1"/>
    <s v="Invoice"/>
    <s v="98095"/>
    <x v="57"/>
    <x v="50"/>
    <x v="22"/>
    <x v="2"/>
    <n v="10"/>
  </r>
  <r>
    <s v="DPOPPELL"/>
    <s v="04"/>
    <s v="GUTIERREZA"/>
    <s v="AL SIMMONS RD"/>
    <x v="279"/>
    <x v="0"/>
    <x v="1"/>
    <s v="Invoice"/>
    <s v="98098"/>
    <x v="43"/>
    <x v="38"/>
    <x v="22"/>
    <x v="2"/>
    <n v="8.7550000000000008"/>
  </r>
  <r>
    <s v="DPOPPELL"/>
    <s v="04"/>
    <s v="CHARLIEG-LLC"/>
    <s v="ALBRITTON"/>
    <x v="279"/>
    <x v="0"/>
    <x v="1"/>
    <s v="Invoice"/>
    <s v="98099"/>
    <x v="27"/>
    <x v="22"/>
    <x v="22"/>
    <x v="2"/>
    <n v="2.4950000000000001"/>
  </r>
  <r>
    <s v="DPOPPELL"/>
    <s v="04"/>
    <s v="MIDWAYF"/>
    <s v="WILDER RD."/>
    <x v="279"/>
    <x v="0"/>
    <x v="1"/>
    <s v="Invoice"/>
    <s v="98100"/>
    <x v="27"/>
    <x v="22"/>
    <x v="22"/>
    <x v="2"/>
    <n v="2.25"/>
  </r>
  <r>
    <s v="DPOPPELL"/>
    <s v="04"/>
    <s v="FRANKLIN"/>
    <s v="MCGEE RD. SOUTH"/>
    <x v="279"/>
    <x v="0"/>
    <x v="1"/>
    <s v="Invoice"/>
    <s v="98101"/>
    <x v="28"/>
    <x v="23"/>
    <x v="22"/>
    <x v="2"/>
    <n v="4.9924999999999997"/>
  </r>
  <r>
    <s v="DPOPPELL"/>
    <s v="04"/>
    <s v="FORTGREENFARMS"/>
    <s v="FTGREEN"/>
    <x v="279"/>
    <x v="0"/>
    <x v="1"/>
    <s v="Invoice"/>
    <s v="98102"/>
    <x v="43"/>
    <x v="38"/>
    <x v="22"/>
    <x v="2"/>
    <n v="7.5"/>
  </r>
  <r>
    <s v="DPOPPELL"/>
    <s v="04"/>
    <s v="GWFARMS"/>
    <s v="JAUDONNORTH"/>
    <x v="279"/>
    <x v="0"/>
    <x v="1"/>
    <s v="Invoice"/>
    <s v="98103"/>
    <x v="43"/>
    <x v="38"/>
    <x v="22"/>
    <x v="2"/>
    <n v="1.25"/>
  </r>
  <r>
    <s v="DPOPPELL"/>
    <s v="04"/>
    <s v="BERRYBLISS"/>
    <s v="JAUDONSOUTH"/>
    <x v="279"/>
    <x v="0"/>
    <x v="1"/>
    <s v="Invoice"/>
    <s v="98104"/>
    <x v="43"/>
    <x v="38"/>
    <x v="22"/>
    <x v="2"/>
    <n v="1.25"/>
  </r>
  <r>
    <s v="DPOPPELL"/>
    <s v="04"/>
    <s v="EWSIMMON"/>
    <s v="JERRY SMITH RD"/>
    <x v="279"/>
    <x v="0"/>
    <x v="1"/>
    <s v="Invoice"/>
    <s v="98105"/>
    <x v="268"/>
    <x v="236"/>
    <x v="22"/>
    <x v="2"/>
    <n v="5"/>
  </r>
  <r>
    <s v="DPOPPELL"/>
    <s v="04"/>
    <s v="EWSIMMON"/>
    <s v="JERRY SMITH RD"/>
    <x v="279"/>
    <x v="0"/>
    <x v="1"/>
    <s v="Invoice"/>
    <s v="98105"/>
    <x v="357"/>
    <x v="317"/>
    <x v="25"/>
    <x v="0"/>
    <n v="1.55"/>
  </r>
  <r>
    <s v="DPOPPELL"/>
    <s v="04"/>
    <s v="SOUTHERNHILL"/>
    <s v="SCHOFIELD"/>
    <x v="279"/>
    <x v="0"/>
    <x v="1"/>
    <s v="Invoice"/>
    <s v="98107"/>
    <x v="72"/>
    <x v="65"/>
    <x v="22"/>
    <x v="2"/>
    <n v="7.5"/>
  </r>
  <r>
    <s v="DPOPPELL"/>
    <s v="04"/>
    <s v="MIDWAYF"/>
    <s v="NURSERY"/>
    <x v="279"/>
    <x v="0"/>
    <x v="1"/>
    <s v="Invoice"/>
    <s v="98108"/>
    <x v="27"/>
    <x v="22"/>
    <x v="22"/>
    <x v="2"/>
    <n v="8.5"/>
  </r>
  <r>
    <s v="DPOPPELL"/>
    <s v="04"/>
    <s v="GILLMANBUDD"/>
    <s v="FORBES"/>
    <x v="279"/>
    <x v="0"/>
    <x v="1"/>
    <s v="Invoice"/>
    <s v="98109"/>
    <x v="63"/>
    <x v="56"/>
    <x v="22"/>
    <x v="2"/>
    <n v="3.7475000000000001"/>
  </r>
  <r>
    <s v=""/>
    <s v="04"/>
    <s v="PORTER HA"/>
    <s v="BILLS PLACE"/>
    <x v="280"/>
    <x v="0"/>
    <x v="1"/>
    <s v="Invoice"/>
    <s v="98110"/>
    <x v="59"/>
    <x v="52"/>
    <x v="22"/>
    <x v="2"/>
    <n v="9.0124999999999993"/>
  </r>
  <r>
    <s v=""/>
    <s v="04"/>
    <s v="SOTERO"/>
    <s v="SOTERO"/>
    <x v="280"/>
    <x v="0"/>
    <x v="1"/>
    <s v="Invoice"/>
    <s v="98112"/>
    <x v="53"/>
    <x v="46"/>
    <x v="22"/>
    <x v="2"/>
    <n v="0.75"/>
  </r>
  <r>
    <s v="DPOPPELL"/>
    <s v="04"/>
    <s v="CIRCLEGF&amp;R LLC"/>
    <s v="KNIGHTS-N/NORTH"/>
    <x v="280"/>
    <x v="0"/>
    <x v="1"/>
    <s v="Invoice"/>
    <s v="98113"/>
    <x v="27"/>
    <x v="22"/>
    <x v="22"/>
    <x v="2"/>
    <n v="15"/>
  </r>
  <r>
    <s v="DPOPPELL"/>
    <s v="04"/>
    <s v="SWEETLIFE"/>
    <s v="FOSTER DUKES N"/>
    <x v="280"/>
    <x v="0"/>
    <x v="1"/>
    <s v="Invoice"/>
    <s v="98116"/>
    <x v="27"/>
    <x v="22"/>
    <x v="22"/>
    <x v="2"/>
    <n v="9.5175000000000001"/>
  </r>
  <r>
    <s v="DPOPPELL"/>
    <s v="04"/>
    <s v="GERALDWI"/>
    <s v="CW'S"/>
    <x v="280"/>
    <x v="0"/>
    <x v="1"/>
    <s v="Invoice"/>
    <s v="98117"/>
    <x v="43"/>
    <x v="38"/>
    <x v="22"/>
    <x v="2"/>
    <n v="5.0125000000000002"/>
  </r>
  <r>
    <s v="DPOPPELL"/>
    <s v="04"/>
    <s v="CHARLIEG-LLC"/>
    <s v="LAMPP ROAD"/>
    <x v="280"/>
    <x v="0"/>
    <x v="1"/>
    <s v="Invoice"/>
    <s v="98118"/>
    <x v="27"/>
    <x v="22"/>
    <x v="22"/>
    <x v="2"/>
    <n v="2.5099999999999998"/>
  </r>
  <r>
    <s v="DPOPPELL"/>
    <s v="04"/>
    <s v="STEVEMAT"/>
    <s v="LOSTLK"/>
    <x v="280"/>
    <x v="0"/>
    <x v="1"/>
    <s v="Invoice"/>
    <s v="98119"/>
    <x v="346"/>
    <x v="59"/>
    <x v="32"/>
    <x v="0"/>
    <n v="250"/>
  </r>
  <r>
    <s v="DPOPPELL"/>
    <s v="04"/>
    <s v="FERRISFA"/>
    <s v="STRABERRIES"/>
    <x v="267"/>
    <x v="0"/>
    <x v="1"/>
    <s v="Invoice"/>
    <s v="98127"/>
    <x v="72"/>
    <x v="65"/>
    <x v="22"/>
    <x v="2"/>
    <n v="10.0075"/>
  </r>
  <r>
    <s v="DPOPPELL"/>
    <s v="04"/>
    <s v="FERRISFA"/>
    <s v="BLUEBERRY-NEW"/>
    <x v="267"/>
    <x v="0"/>
    <x v="1"/>
    <s v="Invoice"/>
    <s v="98128"/>
    <x v="62"/>
    <x v="55"/>
    <x v="22"/>
    <x v="2"/>
    <n v="5.0025000000000004"/>
  </r>
  <r>
    <s v="DPOPPELL"/>
    <s v="04"/>
    <s v="PALMAJOSE"/>
    <s v="JAUDON RD"/>
    <x v="267"/>
    <x v="0"/>
    <x v="1"/>
    <s v="Invoice"/>
    <s v="98129"/>
    <x v="63"/>
    <x v="56"/>
    <x v="22"/>
    <x v="2"/>
    <n v="1.25"/>
  </r>
  <r>
    <s v="DPOPPELL"/>
    <s v="04"/>
    <s v="PALMAJOSE"/>
    <s v="MAIN"/>
    <x v="267"/>
    <x v="0"/>
    <x v="1"/>
    <s v="Invoice"/>
    <s v="98130"/>
    <x v="63"/>
    <x v="56"/>
    <x v="22"/>
    <x v="2"/>
    <n v="1.25"/>
  </r>
  <r>
    <s v="DPOPPELL"/>
    <s v="04"/>
    <s v="JOSEHERN"/>
    <s v="DURANT"/>
    <x v="267"/>
    <x v="0"/>
    <x v="1"/>
    <s v="Invoice"/>
    <s v="98132"/>
    <x v="43"/>
    <x v="38"/>
    <x v="22"/>
    <x v="2"/>
    <n v="10.02"/>
  </r>
  <r>
    <s v="DPOPPELL"/>
    <s v="04"/>
    <s v="SWEETLIFE"/>
    <s v="KNIGHTS GRIFFIN"/>
    <x v="271"/>
    <x v="0"/>
    <x v="1"/>
    <s v="Invoice"/>
    <s v="98136"/>
    <x v="27"/>
    <x v="22"/>
    <x v="22"/>
    <x v="2"/>
    <n v="5.0075000000000003"/>
  </r>
  <r>
    <s v="DPOPPELL"/>
    <s v="04"/>
    <s v="SWEETLIFE"/>
    <s v="KNIGHTS GRIFFIN"/>
    <x v="271"/>
    <x v="0"/>
    <x v="1"/>
    <s v="Invoice"/>
    <s v="98137"/>
    <x v="27"/>
    <x v="22"/>
    <x v="22"/>
    <x v="2"/>
    <n v="15.022500000000001"/>
  </r>
  <r>
    <s v="DPOPPELL"/>
    <s v="04"/>
    <s v="PALMAJOSE"/>
    <s v="JAUDON RD"/>
    <x v="271"/>
    <x v="0"/>
    <x v="1"/>
    <s v="Invoice"/>
    <s v="98138"/>
    <x v="77"/>
    <x v="37"/>
    <x v="30"/>
    <x v="0"/>
    <n v="60"/>
  </r>
  <r>
    <s v="DPOPPELL"/>
    <s v="04"/>
    <s v="MIDWAYF"/>
    <s v="WILLIAMS RD-N"/>
    <x v="271"/>
    <x v="0"/>
    <x v="1"/>
    <s v="Invoice"/>
    <s v="98139"/>
    <x v="27"/>
    <x v="22"/>
    <x v="22"/>
    <x v="2"/>
    <n v="7.5225"/>
  </r>
  <r>
    <s v="DPOPPELL"/>
    <s v="04"/>
    <s v="CHARLIEG-LLC"/>
    <s v="DAIRY"/>
    <x v="271"/>
    <x v="0"/>
    <x v="1"/>
    <s v="Invoice"/>
    <s v="98140"/>
    <x v="27"/>
    <x v="22"/>
    <x v="22"/>
    <x v="2"/>
    <n v="5.0075000000000003"/>
  </r>
  <r>
    <s v="DPOPPELL"/>
    <s v="04"/>
    <s v="SWEETLIFE"/>
    <s v="SWINDLES"/>
    <x v="271"/>
    <x v="0"/>
    <x v="1"/>
    <s v="Invoice"/>
    <s v="98142"/>
    <x v="27"/>
    <x v="22"/>
    <x v="22"/>
    <x v="2"/>
    <n v="10.005000000000001"/>
  </r>
  <r>
    <s v="DPOPPELL"/>
    <s v="04"/>
    <s v="ALONSOFARMS"/>
    <s v="SUMNER"/>
    <x v="271"/>
    <x v="0"/>
    <x v="1"/>
    <s v="Invoice"/>
    <s v="98143"/>
    <x v="43"/>
    <x v="38"/>
    <x v="22"/>
    <x v="2"/>
    <n v="2.0449999999999999"/>
  </r>
  <r>
    <s v="DPOPPELL"/>
    <s v="04"/>
    <s v="MIDWAYF"/>
    <s v="KNIGHTSGRIFFIN"/>
    <x v="271"/>
    <x v="0"/>
    <x v="1"/>
    <s v="Invoice"/>
    <s v="98146"/>
    <x v="27"/>
    <x v="22"/>
    <x v="22"/>
    <x v="2"/>
    <n v="2.5074999999999998"/>
  </r>
  <r>
    <s v="DPOPPELL"/>
    <s v="04"/>
    <s v="CHARLIEG-LLC"/>
    <s v="LAMPP ROAD"/>
    <x v="271"/>
    <x v="0"/>
    <x v="1"/>
    <s v="Invoice"/>
    <s v="98147"/>
    <x v="27"/>
    <x v="22"/>
    <x v="22"/>
    <x v="2"/>
    <n v="5.0225"/>
  </r>
  <r>
    <s v="DPOPPELL"/>
    <s v="04"/>
    <s v="GWFARMS"/>
    <s v="SYDNEY"/>
    <x v="281"/>
    <x v="0"/>
    <x v="1"/>
    <s v="Invoice"/>
    <s v="98148"/>
    <x v="43"/>
    <x v="38"/>
    <x v="22"/>
    <x v="2"/>
    <n v="5.0175000000000001"/>
  </r>
  <r>
    <s v="DPOPPELL"/>
    <s v="04"/>
    <s v="SWEETLIFE"/>
    <s v="GALLAGHER"/>
    <x v="281"/>
    <x v="0"/>
    <x v="1"/>
    <s v="Invoice"/>
    <s v="98149"/>
    <x v="27"/>
    <x v="22"/>
    <x v="22"/>
    <x v="2"/>
    <n v="10.0075"/>
  </r>
  <r>
    <s v="DPOPPELL"/>
    <s v="04"/>
    <s v="EWSIMMON"/>
    <s v="TURKEY CRK"/>
    <x v="271"/>
    <x v="0"/>
    <x v="1"/>
    <s v="Invoice"/>
    <s v="98150"/>
    <x v="268"/>
    <x v="236"/>
    <x v="22"/>
    <x v="2"/>
    <n v="5.0025000000000004"/>
  </r>
  <r>
    <s v="DPOPPELL"/>
    <s v="04"/>
    <s v="EWSIMMON"/>
    <s v="TURKEY CRK"/>
    <x v="271"/>
    <x v="0"/>
    <x v="1"/>
    <s v="Invoice"/>
    <s v="98150"/>
    <x v="357"/>
    <x v="317"/>
    <x v="25"/>
    <x v="0"/>
    <n v="1.875"/>
  </r>
  <r>
    <s v="DPOPPELL"/>
    <s v="04"/>
    <s v="HINTONFA"/>
    <s v="SYDNEY NORTH"/>
    <x v="281"/>
    <x v="0"/>
    <x v="1"/>
    <s v="Invoice"/>
    <s v="98151"/>
    <x v="43"/>
    <x v="38"/>
    <x v="22"/>
    <x v="2"/>
    <n v="10"/>
  </r>
  <r>
    <s v="DPOPPELL"/>
    <s v="04"/>
    <s v="CIRCLEGF&amp;R LLC"/>
    <s v="KNIGHTS-N-#16"/>
    <x v="281"/>
    <x v="0"/>
    <x v="1"/>
    <s v="Invoice"/>
    <s v="98152"/>
    <x v="27"/>
    <x v="22"/>
    <x v="22"/>
    <x v="2"/>
    <n v="15"/>
  </r>
  <r>
    <s v="DPOPPELL"/>
    <s v="04"/>
    <s v="CIRCLEGF&amp;R LLC"/>
    <s v="PUMP4"/>
    <x v="281"/>
    <x v="0"/>
    <x v="1"/>
    <s v="Invoice"/>
    <s v="98153"/>
    <x v="27"/>
    <x v="22"/>
    <x v="22"/>
    <x v="2"/>
    <n v="15.01"/>
  </r>
  <r>
    <s v="DPOPPELL"/>
    <s v="04"/>
    <s v="GERALDWI"/>
    <s v="WALDENSHEFFIELD"/>
    <x v="281"/>
    <x v="0"/>
    <x v="1"/>
    <s v="Invoice"/>
    <s v="98154"/>
    <x v="43"/>
    <x v="38"/>
    <x v="22"/>
    <x v="2"/>
    <n v="1.2649999999999999"/>
  </r>
  <r>
    <s v="DPOPPELL"/>
    <s v="04"/>
    <s v="EWSIMMON"/>
    <s v="JERRY SMITH RD"/>
    <x v="281"/>
    <x v="0"/>
    <x v="1"/>
    <s v="Invoice"/>
    <s v="98155"/>
    <x v="268"/>
    <x v="236"/>
    <x v="22"/>
    <x v="2"/>
    <n v="4.9924999999999997"/>
  </r>
  <r>
    <s v="DPOPPELL"/>
    <s v="04"/>
    <s v="EWSIMMON"/>
    <s v="JERRY SMITH RD"/>
    <x v="281"/>
    <x v="0"/>
    <x v="1"/>
    <s v="Invoice"/>
    <s v="98155"/>
    <x v="357"/>
    <x v="317"/>
    <x v="25"/>
    <x v="0"/>
    <n v="1.875"/>
  </r>
  <r>
    <s v="DPOPPELL"/>
    <s v="04"/>
    <s v="IFASGULF"/>
    <s v="BALM-STRAWBERRY"/>
    <x v="281"/>
    <x v="0"/>
    <x v="1"/>
    <s v="Invoice"/>
    <s v="98156"/>
    <x v="28"/>
    <x v="23"/>
    <x v="22"/>
    <x v="2"/>
    <n v="7.5"/>
  </r>
  <r>
    <s v="DPOPPELL"/>
    <s v="04"/>
    <s v="CHAVEZJOR"/>
    <s v="JOSE' CHAV- COD"/>
    <x v="281"/>
    <x v="0"/>
    <x v="1"/>
    <s v="Invoice"/>
    <s v="98157"/>
    <x v="53"/>
    <x v="46"/>
    <x v="22"/>
    <x v="2"/>
    <n v="0.3"/>
  </r>
  <r>
    <s v="DPOPPELL"/>
    <s v="04"/>
    <s v="GAONA, ESPER"/>
    <s v="WILLIAMSRD"/>
    <x v="281"/>
    <x v="0"/>
    <x v="1"/>
    <s v="Invoice"/>
    <s v="98158"/>
    <x v="58"/>
    <x v="51"/>
    <x v="22"/>
    <x v="2"/>
    <n v="3.0049999999999999"/>
  </r>
  <r>
    <s v="DPOPPELL"/>
    <s v="04"/>
    <s v="CHARLIEG-LLC"/>
    <s v="WILDER LOOP"/>
    <x v="281"/>
    <x v="0"/>
    <x v="1"/>
    <s v="Invoice"/>
    <s v="98159"/>
    <x v="27"/>
    <x v="22"/>
    <x v="22"/>
    <x v="2"/>
    <n v="5.01"/>
  </r>
  <r>
    <s v="DPOPPELL"/>
    <s v="04"/>
    <s v="FLORIDAAG"/>
    <s v="DOVER"/>
    <x v="281"/>
    <x v="0"/>
    <x v="1"/>
    <s v="Invoice"/>
    <s v="98160"/>
    <x v="52"/>
    <x v="45"/>
    <x v="22"/>
    <x v="2"/>
    <n v="2.25"/>
  </r>
  <r>
    <s v="DPOPPELL"/>
    <s v="04"/>
    <s v="FRANKLIN"/>
    <s v="THONOTOSASSA"/>
    <x v="272"/>
    <x v="0"/>
    <x v="1"/>
    <s v="Invoice"/>
    <s v="98161"/>
    <x v="43"/>
    <x v="38"/>
    <x v="22"/>
    <x v="2"/>
    <n v="9"/>
  </r>
  <r>
    <s v="DPOPPELL"/>
    <s v="04"/>
    <s v="SWEETLIFE"/>
    <s v="MCGEE RD."/>
    <x v="272"/>
    <x v="0"/>
    <x v="1"/>
    <s v="Invoice"/>
    <s v="98162"/>
    <x v="27"/>
    <x v="22"/>
    <x v="22"/>
    <x v="2"/>
    <n v="12"/>
  </r>
  <r>
    <s v="DPOPPELL"/>
    <s v="04"/>
    <s v="MIDWAYF"/>
    <s v="NURSERY"/>
    <x v="272"/>
    <x v="0"/>
    <x v="1"/>
    <s v="Invoice"/>
    <s v="98172"/>
    <x v="27"/>
    <x v="22"/>
    <x v="22"/>
    <x v="2"/>
    <n v="12.75"/>
  </r>
  <r>
    <s v="DPOPPELL"/>
    <s v="04"/>
    <s v="LAWSONFA"/>
    <s v="CARUTHERS RD."/>
    <x v="272"/>
    <x v="0"/>
    <x v="1"/>
    <s v="Invoice"/>
    <s v="98173"/>
    <x v="108"/>
    <x v="59"/>
    <x v="32"/>
    <x v="0"/>
    <n v="5"/>
  </r>
  <r>
    <s v="DPOPPELL"/>
    <s v="04"/>
    <s v="LAWSONFA"/>
    <s v="CARUTHERS RD."/>
    <x v="272"/>
    <x v="0"/>
    <x v="1"/>
    <s v="Invoice"/>
    <s v="98174"/>
    <x v="28"/>
    <x v="23"/>
    <x v="22"/>
    <x v="2"/>
    <n v="1.01"/>
  </r>
  <r>
    <s v="DPOPPELL"/>
    <s v="04"/>
    <s v="CENFLO ORGANICS"/>
    <s v="HWY92"/>
    <x v="272"/>
    <x v="0"/>
    <x v="1"/>
    <s v="Invoice"/>
    <s v="98175"/>
    <x v="57"/>
    <x v="50"/>
    <x v="22"/>
    <x v="2"/>
    <n v="1.2575000000000001"/>
  </r>
  <r>
    <s v="DPOPPELL"/>
    <s v="04"/>
    <s v="MENDOZAHEC"/>
    <s v="JAUDON RD"/>
    <x v="272"/>
    <x v="0"/>
    <x v="1"/>
    <s v="Invoice"/>
    <s v="98176"/>
    <x v="43"/>
    <x v="38"/>
    <x v="22"/>
    <x v="2"/>
    <n v="2.5049999999999999"/>
  </r>
  <r>
    <s v="DPOPPELL"/>
    <s v="04"/>
    <s v="EWSIMMON"/>
    <s v="CARUTHERS RD"/>
    <x v="272"/>
    <x v="0"/>
    <x v="1"/>
    <s v="Invoice"/>
    <s v="98177"/>
    <x v="268"/>
    <x v="236"/>
    <x v="22"/>
    <x v="2"/>
    <n v="5.01"/>
  </r>
  <r>
    <s v="DPOPPELL"/>
    <s v="04"/>
    <s v="EWSIMMON"/>
    <s v="CARUTHERS RD"/>
    <x v="272"/>
    <x v="0"/>
    <x v="1"/>
    <s v="Invoice"/>
    <s v="98177"/>
    <x v="357"/>
    <x v="317"/>
    <x v="25"/>
    <x v="0"/>
    <n v="1.875"/>
  </r>
  <r>
    <s v="DPOPPELL"/>
    <s v="04"/>
    <s v="COLORFULH"/>
    <s v="BETHLEHEM"/>
    <x v="272"/>
    <x v="0"/>
    <x v="1"/>
    <s v="Invoice"/>
    <s v="98178"/>
    <x v="69"/>
    <x v="62"/>
    <x v="22"/>
    <x v="2"/>
    <n v="2.5150000000000001"/>
  </r>
  <r>
    <s v="DPOPPELL"/>
    <s v="04"/>
    <s v="BERRYBLISS"/>
    <s v="TRAPNELL"/>
    <x v="272"/>
    <x v="0"/>
    <x v="1"/>
    <s v="Invoice"/>
    <s v="98179"/>
    <x v="43"/>
    <x v="38"/>
    <x v="22"/>
    <x v="2"/>
    <n v="5.0175000000000001"/>
  </r>
  <r>
    <s v="DPOPPELL"/>
    <s v="04"/>
    <s v="SOUTHERNHILL"/>
    <s v="SCHOFIELD"/>
    <x v="276"/>
    <x v="0"/>
    <x v="1"/>
    <s v="Invoice"/>
    <s v="98183"/>
    <x v="43"/>
    <x v="38"/>
    <x v="22"/>
    <x v="2"/>
    <n v="5.0175000000000001"/>
  </r>
  <r>
    <s v="DPOPPELL"/>
    <s v="04"/>
    <s v="GUTIERREZDAN"/>
    <s v="TANNER RD."/>
    <x v="268"/>
    <x v="0"/>
    <x v="1"/>
    <s v="Invoice"/>
    <s v="98188"/>
    <x v="43"/>
    <x v="38"/>
    <x v="22"/>
    <x v="2"/>
    <n v="13.5"/>
  </r>
  <r>
    <s v="DPOPPELL"/>
    <s v="04"/>
    <s v="PARKESDA"/>
    <s v="BILOXI"/>
    <x v="268"/>
    <x v="0"/>
    <x v="1"/>
    <s v="Invoice"/>
    <s v="98189"/>
    <x v="57"/>
    <x v="50"/>
    <x v="22"/>
    <x v="2"/>
    <n v="10"/>
  </r>
  <r>
    <s v="DPOPPELL"/>
    <s v="04"/>
    <s v="GUTIERREZDAN"/>
    <s v="HWY 92"/>
    <x v="268"/>
    <x v="0"/>
    <x v="1"/>
    <s v="Invoice"/>
    <s v="98190"/>
    <x v="43"/>
    <x v="38"/>
    <x v="22"/>
    <x v="2"/>
    <n v="9.75"/>
  </r>
  <r>
    <s v="DPOPPELL"/>
    <s v="04"/>
    <s v="FANCYFAR"/>
    <s v="FUTCH LOOP-CTR."/>
    <x v="268"/>
    <x v="0"/>
    <x v="1"/>
    <s v="Invoice"/>
    <s v="98191"/>
    <x v="347"/>
    <x v="308"/>
    <x v="22"/>
    <x v="2"/>
    <n v="15.025"/>
  </r>
  <r>
    <s v="DPOPPELL"/>
    <s v="04"/>
    <s v="GUTIERREZA"/>
    <s v="TOMGALLAGHER"/>
    <x v="268"/>
    <x v="0"/>
    <x v="1"/>
    <s v="Invoice"/>
    <s v="98194"/>
    <x v="69"/>
    <x v="62"/>
    <x v="22"/>
    <x v="2"/>
    <n v="6"/>
  </r>
  <r>
    <s v="DPOPPELL"/>
    <s v="04"/>
    <s v="CHARLIEG-LLC"/>
    <s v="ALBRITTON"/>
    <x v="268"/>
    <x v="0"/>
    <x v="1"/>
    <s v="Invoice"/>
    <s v="98195"/>
    <x v="27"/>
    <x v="22"/>
    <x v="22"/>
    <x v="2"/>
    <n v="5"/>
  </r>
  <r>
    <s v="DPOPPELL"/>
    <s v="04"/>
    <s v="CHARLIEG-LLC"/>
    <s v="LAMPP ROAD"/>
    <x v="268"/>
    <x v="0"/>
    <x v="1"/>
    <s v="Invoice"/>
    <s v="98196"/>
    <x v="27"/>
    <x v="22"/>
    <x v="22"/>
    <x v="2"/>
    <n v="15.02"/>
  </r>
  <r>
    <s v="DPOPPELL"/>
    <s v="04"/>
    <s v="CHARLIEG-LLC"/>
    <s v="DAIRY"/>
    <x v="269"/>
    <x v="0"/>
    <x v="1"/>
    <s v="Invoice"/>
    <s v="98197"/>
    <x v="27"/>
    <x v="22"/>
    <x v="22"/>
    <x v="2"/>
    <n v="10.029999999999999"/>
  </r>
  <r>
    <s v="DPOPPELL"/>
    <s v="04"/>
    <s v="LEE GILLM"/>
    <s v="COW PENS/WEST"/>
    <x v="269"/>
    <x v="0"/>
    <x v="1"/>
    <s v="Invoice"/>
    <s v="98198"/>
    <x v="63"/>
    <x v="56"/>
    <x v="22"/>
    <x v="2"/>
    <n v="2.4900000000000002"/>
  </r>
  <r>
    <s v="DPOPPELL"/>
    <s v="04"/>
    <s v="SWEETLIFE"/>
    <s v="KNIGHTS GRIFFIN"/>
    <x v="269"/>
    <x v="0"/>
    <x v="1"/>
    <s v="Invoice"/>
    <s v="98200"/>
    <x v="27"/>
    <x v="22"/>
    <x v="22"/>
    <x v="2"/>
    <n v="15.02"/>
  </r>
  <r>
    <s v="DPOPPELL"/>
    <s v="04"/>
    <s v="GUTIERREZA"/>
    <s v="WASHINGTON"/>
    <x v="269"/>
    <x v="0"/>
    <x v="1"/>
    <s v="Invoice"/>
    <s v="98201"/>
    <x v="43"/>
    <x v="38"/>
    <x v="22"/>
    <x v="2"/>
    <n v="4.01"/>
  </r>
  <r>
    <s v="DPOPPELL"/>
    <s v="04"/>
    <s v="SWEETLIFE"/>
    <s v="GALLAGHER"/>
    <x v="269"/>
    <x v="0"/>
    <x v="1"/>
    <s v="Invoice"/>
    <s v="98202"/>
    <x v="27"/>
    <x v="22"/>
    <x v="22"/>
    <x v="2"/>
    <n v="10.02"/>
  </r>
  <r>
    <s v="DPOPPELL"/>
    <s v="04"/>
    <s v="FLORIDAAG"/>
    <s v="KINGSWAY"/>
    <x v="269"/>
    <x v="0"/>
    <x v="1"/>
    <s v="Invoice"/>
    <s v="98203"/>
    <x v="326"/>
    <x v="289"/>
    <x v="22"/>
    <x v="2"/>
    <n v="2.25"/>
  </r>
  <r>
    <s v="DPOPPELL"/>
    <s v="04"/>
    <s v="5KFARMS"/>
    <s v="MAIN"/>
    <x v="269"/>
    <x v="0"/>
    <x v="1"/>
    <s v="Invoice"/>
    <s v="98205"/>
    <x v="34"/>
    <x v="29"/>
    <x v="26"/>
    <x v="0"/>
    <n v="5"/>
  </r>
  <r>
    <s v="DPOPPELL"/>
    <s v="04"/>
    <s v="5KFARMS"/>
    <s v="MAIN"/>
    <x v="269"/>
    <x v="0"/>
    <x v="1"/>
    <s v="Invoice"/>
    <s v="98205"/>
    <x v="40"/>
    <x v="35"/>
    <x v="29"/>
    <x v="0"/>
    <n v="10"/>
  </r>
  <r>
    <s v="DPOPPELL"/>
    <s v="04"/>
    <s v="SRISAIAY"/>
    <s v="SYDNEY DOVER"/>
    <x v="269"/>
    <x v="0"/>
    <x v="1"/>
    <s v="Invoice"/>
    <s v="98207"/>
    <x v="59"/>
    <x v="52"/>
    <x v="22"/>
    <x v="2"/>
    <n v="2.5"/>
  </r>
  <r>
    <s v="DPOPPELL"/>
    <s v="04"/>
    <s v="MIDWAYF"/>
    <s v="ALS - NORTH"/>
    <x v="269"/>
    <x v="0"/>
    <x v="1"/>
    <s v="Invoice"/>
    <s v="98208"/>
    <x v="27"/>
    <x v="22"/>
    <x v="22"/>
    <x v="2"/>
    <n v="11.02"/>
  </r>
  <r>
    <s v="DPOPPELL"/>
    <s v="04"/>
    <s v="JOSEHERN"/>
    <s v="COLSON RD"/>
    <x v="269"/>
    <x v="0"/>
    <x v="1"/>
    <s v="Invoice"/>
    <s v="98210"/>
    <x v="43"/>
    <x v="38"/>
    <x v="22"/>
    <x v="2"/>
    <n v="2.0099999999999998"/>
  </r>
  <r>
    <s v="DPOPPELL"/>
    <s v="04"/>
    <s v="SWEETLIFE"/>
    <s v="BRYANT S"/>
    <x v="282"/>
    <x v="0"/>
    <x v="1"/>
    <s v="Invoice"/>
    <s v="98213"/>
    <x v="27"/>
    <x v="22"/>
    <x v="22"/>
    <x v="2"/>
    <n v="7.52"/>
  </r>
  <r>
    <s v="DPOPPELL"/>
    <s v="04"/>
    <s v="CARLTONTHOMAS"/>
    <s v="GRANGEHALL"/>
    <x v="282"/>
    <x v="0"/>
    <x v="1"/>
    <s v="Invoice"/>
    <s v="98214"/>
    <x v="71"/>
    <x v="64"/>
    <x v="22"/>
    <x v="2"/>
    <n v="10.02"/>
  </r>
  <r>
    <s v="DPOPPELL"/>
    <s v="04"/>
    <s v="M&amp;GFARMS"/>
    <s v="HWY 640"/>
    <x v="282"/>
    <x v="0"/>
    <x v="1"/>
    <s v="Invoice"/>
    <s v="98215"/>
    <x v="58"/>
    <x v="51"/>
    <x v="22"/>
    <x v="2"/>
    <n v="5.0125000000000002"/>
  </r>
  <r>
    <s v="DPOPPELL"/>
    <s v="04"/>
    <s v="FRANKLIN"/>
    <s v="MCGEE RD. SOUTH"/>
    <x v="282"/>
    <x v="0"/>
    <x v="1"/>
    <s v="Invoice"/>
    <s v="98216"/>
    <x v="28"/>
    <x v="23"/>
    <x v="22"/>
    <x v="2"/>
    <n v="7.5"/>
  </r>
  <r>
    <s v="DPOPPELL"/>
    <s v="04"/>
    <s v="GILLMANBUDD"/>
    <s v="FORBES"/>
    <x v="282"/>
    <x v="0"/>
    <x v="1"/>
    <s v="Invoice"/>
    <s v="98217"/>
    <x v="43"/>
    <x v="38"/>
    <x v="22"/>
    <x v="2"/>
    <n v="2.52"/>
  </r>
  <r>
    <s v="DPOPPELL"/>
    <s v="04"/>
    <s v="ELIASCEDILLO"/>
    <s v="GALLAGHER"/>
    <x v="282"/>
    <x v="0"/>
    <x v="1"/>
    <s v="Invoice"/>
    <s v="98218"/>
    <x v="43"/>
    <x v="38"/>
    <x v="22"/>
    <x v="2"/>
    <n v="8.25"/>
  </r>
  <r>
    <s v="DPOPPELL"/>
    <s v="04"/>
    <s v="MIKELOTT"/>
    <s v="HILLSBOROUGH"/>
    <x v="282"/>
    <x v="0"/>
    <x v="1"/>
    <s v="Invoice"/>
    <s v="98219"/>
    <x v="43"/>
    <x v="38"/>
    <x v="22"/>
    <x v="2"/>
    <n v="5"/>
  </r>
  <r>
    <s v="DPOPPELL"/>
    <s v="04"/>
    <s v="JOSEHERN"/>
    <s v="DURANT"/>
    <x v="282"/>
    <x v="0"/>
    <x v="1"/>
    <s v="Invoice"/>
    <s v="98220"/>
    <x v="43"/>
    <x v="38"/>
    <x v="22"/>
    <x v="2"/>
    <n v="10.01"/>
  </r>
  <r>
    <s v="DPOPPELL"/>
    <s v="04"/>
    <s v="JOEPENA"/>
    <s v="JIMREDMAN"/>
    <x v="282"/>
    <x v="0"/>
    <x v="1"/>
    <s v="Invoice"/>
    <s v="98221"/>
    <x v="55"/>
    <x v="48"/>
    <x v="22"/>
    <x v="2"/>
    <n v="1"/>
  </r>
  <r>
    <s v="DPOPPELL"/>
    <s v="04"/>
    <s v="ROQUEFARMS"/>
    <s v="SWEETWATER"/>
    <x v="277"/>
    <x v="0"/>
    <x v="1"/>
    <s v="Invoice"/>
    <s v="98222"/>
    <x v="43"/>
    <x v="38"/>
    <x v="22"/>
    <x v="2"/>
    <n v="6"/>
  </r>
  <r>
    <s v=""/>
    <s v="04"/>
    <s v="GARCIAFARMS"/>
    <s v="MAIN"/>
    <x v="277"/>
    <x v="0"/>
    <x v="1"/>
    <s v="Invoice"/>
    <s v="98223"/>
    <x v="43"/>
    <x v="38"/>
    <x v="22"/>
    <x v="2"/>
    <n v="5"/>
  </r>
  <r>
    <s v="DPOPPELL"/>
    <s v="04"/>
    <s v="MIDWAYF"/>
    <s v="SAMALLEN"/>
    <x v="277"/>
    <x v="0"/>
    <x v="1"/>
    <s v="Invoice"/>
    <s v="98224"/>
    <x v="27"/>
    <x v="22"/>
    <x v="22"/>
    <x v="2"/>
    <n v="7.5"/>
  </r>
  <r>
    <s v="DPOPPELL"/>
    <s v="04"/>
    <s v="MIDWAYF"/>
    <s v="SAMALLEN"/>
    <x v="277"/>
    <x v="0"/>
    <x v="1"/>
    <s v="Invoice"/>
    <s v="98224A"/>
    <x v="27"/>
    <x v="22"/>
    <x v="22"/>
    <x v="2"/>
    <n v="7.5"/>
  </r>
  <r>
    <s v="DPOPPELL"/>
    <s v="04"/>
    <s v="MIDWAYF"/>
    <s v="NURSERY"/>
    <x v="277"/>
    <x v="0"/>
    <x v="1"/>
    <s v="Invoice"/>
    <s v="98225"/>
    <x v="27"/>
    <x v="22"/>
    <x v="22"/>
    <x v="2"/>
    <n v="4"/>
  </r>
  <r>
    <s v=""/>
    <s v="04"/>
    <s v="GARCIAFARMS"/>
    <s v="MAIN"/>
    <x v="277"/>
    <x v="0"/>
    <x v="1"/>
    <s v="Invoice"/>
    <s v="98226"/>
    <x v="223"/>
    <x v="19"/>
    <x v="19"/>
    <x v="0"/>
    <n v="10"/>
  </r>
  <r>
    <s v="DPOPPELL"/>
    <s v="04"/>
    <s v="IFASGULF"/>
    <s v="BALM-STRAWBERRY"/>
    <x v="277"/>
    <x v="0"/>
    <x v="1"/>
    <s v="Invoice"/>
    <s v="98228"/>
    <x v="28"/>
    <x v="23"/>
    <x v="22"/>
    <x v="2"/>
    <n v="7.4874999999999998"/>
  </r>
  <r>
    <s v="DPOPPELL"/>
    <s v="04"/>
    <s v="SPIVEYFA"/>
    <s v="HOPEWELL"/>
    <x v="277"/>
    <x v="0"/>
    <x v="1"/>
    <s v="Invoice"/>
    <s v="98229"/>
    <x v="56"/>
    <x v="49"/>
    <x v="22"/>
    <x v="2"/>
    <n v="3.5074999999999998"/>
  </r>
  <r>
    <s v="DPOPPELL"/>
    <s v="04"/>
    <s v="ROQUEFARMS"/>
    <s v="MEEKHORIZON"/>
    <x v="277"/>
    <x v="0"/>
    <x v="1"/>
    <s v="Invoice"/>
    <s v="98231"/>
    <x v="43"/>
    <x v="38"/>
    <x v="22"/>
    <x v="2"/>
    <n v="5"/>
  </r>
  <r>
    <s v="DPOPPELL"/>
    <s v="04"/>
    <s v="FAVORITE"/>
    <s v="BETHLEHEM ROAD"/>
    <x v="277"/>
    <x v="0"/>
    <x v="1"/>
    <s v="Invoice"/>
    <s v="98232"/>
    <x v="43"/>
    <x v="38"/>
    <x v="22"/>
    <x v="2"/>
    <n v="5"/>
  </r>
  <r>
    <s v="DPOPPELL"/>
    <s v="04"/>
    <s v="PARKESDA"/>
    <s v="HILL"/>
    <x v="277"/>
    <x v="0"/>
    <x v="1"/>
    <s v="Invoice"/>
    <s v="98233"/>
    <x v="57"/>
    <x v="50"/>
    <x v="22"/>
    <x v="2"/>
    <n v="10"/>
  </r>
  <r>
    <s v="DPOPPELL"/>
    <s v="04"/>
    <s v="SRISAIAY"/>
    <s v="SYDNEY DOVER"/>
    <x v="273"/>
    <x v="0"/>
    <x v="1"/>
    <s v="Invoice"/>
    <s v="98241"/>
    <x v="59"/>
    <x v="52"/>
    <x v="22"/>
    <x v="2"/>
    <n v="3.75"/>
  </r>
  <r>
    <s v="DPOPPELL"/>
    <s v="04"/>
    <s v="MENDOZAHEC"/>
    <s v="HWY60"/>
    <x v="273"/>
    <x v="0"/>
    <x v="1"/>
    <s v="Invoice"/>
    <s v="98242"/>
    <x v="43"/>
    <x v="38"/>
    <x v="22"/>
    <x v="2"/>
    <n v="2.5"/>
  </r>
  <r>
    <s v="DPOPPELL"/>
    <s v="04"/>
    <s v="SWEETLIFE"/>
    <s v="FOSTER DUKES N"/>
    <x v="273"/>
    <x v="0"/>
    <x v="1"/>
    <s v="Invoice"/>
    <s v="98243"/>
    <x v="27"/>
    <x v="22"/>
    <x v="22"/>
    <x v="2"/>
    <n v="10.01"/>
  </r>
  <r>
    <s v="DPOPPELL"/>
    <s v="04"/>
    <s v="MIDWAYF"/>
    <s v="ALS - NORTH"/>
    <x v="273"/>
    <x v="0"/>
    <x v="1"/>
    <s v="Invoice"/>
    <s v="98244"/>
    <x v="27"/>
    <x v="22"/>
    <x v="22"/>
    <x v="2"/>
    <n v="3.5"/>
  </r>
  <r>
    <s v="DPOPPELL"/>
    <s v="04"/>
    <s v="LARRYENN"/>
    <s v="CASON ROAD"/>
    <x v="273"/>
    <x v="0"/>
    <x v="1"/>
    <s v="Invoice"/>
    <s v="98246"/>
    <x v="58"/>
    <x v="51"/>
    <x v="22"/>
    <x v="2"/>
    <n v="11.01"/>
  </r>
  <r>
    <s v="DPOPPELL"/>
    <s v="04"/>
    <s v="EWSIMMON"/>
    <s v="JERRY SMITH RD"/>
    <x v="273"/>
    <x v="0"/>
    <x v="1"/>
    <s v="Invoice"/>
    <s v="98247"/>
    <x v="268"/>
    <x v="236"/>
    <x v="22"/>
    <x v="2"/>
    <n v="5"/>
  </r>
  <r>
    <s v="DPOPPELL"/>
    <s v="04"/>
    <s v="EWSIMMON"/>
    <s v="JERRY SMITH RD"/>
    <x v="273"/>
    <x v="0"/>
    <x v="1"/>
    <s v="Invoice"/>
    <s v="98247"/>
    <x v="357"/>
    <x v="317"/>
    <x v="25"/>
    <x v="0"/>
    <n v="1.875"/>
  </r>
  <r>
    <s v="DPOPPELL"/>
    <s v="04"/>
    <s v="VENTURAFARMS"/>
    <s v="HOUSE"/>
    <x v="273"/>
    <x v="0"/>
    <x v="1"/>
    <s v="Invoice"/>
    <s v="98248"/>
    <x v="56"/>
    <x v="49"/>
    <x v="22"/>
    <x v="2"/>
    <n v="2"/>
  </r>
  <r>
    <s v="DPOPPELL"/>
    <s v="04"/>
    <s v="SWEETLIFE"/>
    <s v="SWINDLEN"/>
    <x v="273"/>
    <x v="0"/>
    <x v="1"/>
    <s v="Invoice"/>
    <s v="98249"/>
    <x v="27"/>
    <x v="22"/>
    <x v="22"/>
    <x v="2"/>
    <n v="12.4975"/>
  </r>
  <r>
    <s v="DPOPPELL"/>
    <s v="04"/>
    <s v="GAONA, ESPER"/>
    <s v="SMOKINACES"/>
    <x v="273"/>
    <x v="0"/>
    <x v="1"/>
    <s v="Invoice"/>
    <s v="98250"/>
    <x v="58"/>
    <x v="51"/>
    <x v="22"/>
    <x v="2"/>
    <n v="1.25"/>
  </r>
  <r>
    <s v="HOUSE"/>
    <s v="05"/>
    <s v="NATURALEARTH"/>
    <s v="OVIEDO"/>
    <x v="278"/>
    <x v="0"/>
    <x v="1"/>
    <s v="Invoice"/>
    <s v="98034"/>
    <x v="8"/>
    <x v="67"/>
    <x v="7"/>
    <x v="0"/>
    <n v="60"/>
  </r>
  <r>
    <s v="HOUSE"/>
    <s v="05"/>
    <s v="CPSBOYNTON"/>
    <s v="BOYNTON BCH"/>
    <x v="270"/>
    <x v="0"/>
    <x v="1"/>
    <s v="Invoice"/>
    <s v="98069"/>
    <x v="101"/>
    <x v="21"/>
    <x v="21"/>
    <x v="0"/>
    <n v="180"/>
  </r>
  <r>
    <s v="HOUSE"/>
    <s v="05"/>
    <s v="SOUTHERN"/>
    <s v="SOUTHERN AG"/>
    <x v="266"/>
    <x v="0"/>
    <x v="1"/>
    <s v="Invoice"/>
    <s v="98086"/>
    <x v="133"/>
    <x v="109"/>
    <x v="45"/>
    <x v="0"/>
    <n v="30"/>
  </r>
  <r>
    <s v="HOUSE"/>
    <s v="05"/>
    <s v="SOUTHERN"/>
    <s v="SOUTHERN AG"/>
    <x v="266"/>
    <x v="0"/>
    <x v="1"/>
    <s v="Invoice"/>
    <s v="98086"/>
    <x v="5"/>
    <x v="72"/>
    <x v="4"/>
    <x v="0"/>
    <n v="60"/>
  </r>
  <r>
    <s v="HOUSE"/>
    <s v="05"/>
    <s v="SOUTHERN"/>
    <s v="SOUTHERN AG"/>
    <x v="266"/>
    <x v="0"/>
    <x v="1"/>
    <s v="Invoice"/>
    <s v="98086"/>
    <x v="122"/>
    <x v="63"/>
    <x v="33"/>
    <x v="0"/>
    <n v="60"/>
  </r>
  <r>
    <s v="HOUSE"/>
    <s v="05"/>
    <s v="CPSHOMES"/>
    <s v="HOMESTEAD"/>
    <x v="267"/>
    <x v="0"/>
    <x v="1"/>
    <s v="Invoice"/>
    <s v="98121"/>
    <x v="48"/>
    <x v="33"/>
    <x v="28"/>
    <x v="0"/>
    <n v="180"/>
  </r>
  <r>
    <s v="HOUSE"/>
    <s v="05"/>
    <s v="CPSBOYNTON"/>
    <s v="BOYNTON BCH"/>
    <x v="267"/>
    <x v="0"/>
    <x v="1"/>
    <s v="Invoice"/>
    <s v="98122"/>
    <x v="101"/>
    <x v="21"/>
    <x v="21"/>
    <x v="0"/>
    <n v="180"/>
  </r>
  <r>
    <s v="HOUSE"/>
    <s v="05"/>
    <s v="CPSHOMES"/>
    <s v="HOMESTEAD"/>
    <x v="271"/>
    <x v="0"/>
    <x v="1"/>
    <s v="Invoice"/>
    <s v="98134"/>
    <x v="148"/>
    <x v="128"/>
    <x v="29"/>
    <x v="0"/>
    <n v="180"/>
  </r>
  <r>
    <s v="HOUSE"/>
    <s v="05"/>
    <s v="SOUTHERN"/>
    <s v="SOUTHERN AG"/>
    <x v="269"/>
    <x v="0"/>
    <x v="1"/>
    <s v="Invoice"/>
    <s v="98204"/>
    <x v="10"/>
    <x v="253"/>
    <x v="9"/>
    <x v="0"/>
    <n v="120"/>
  </r>
  <r>
    <s v="HOUSE"/>
    <s v="05"/>
    <s v="SOUTHERN"/>
    <s v="SOUTHERN AG"/>
    <x v="269"/>
    <x v="0"/>
    <x v="1"/>
    <s v="Invoice"/>
    <s v="98204"/>
    <x v="148"/>
    <x v="128"/>
    <x v="29"/>
    <x v="0"/>
    <n v="10"/>
  </r>
  <r>
    <s v="HOUSE"/>
    <s v="05"/>
    <s v="SOUTHERN"/>
    <s v="SOUTHERN AG"/>
    <x v="269"/>
    <x v="0"/>
    <x v="1"/>
    <s v="Invoice"/>
    <s v="98204"/>
    <x v="358"/>
    <x v="18"/>
    <x v="18"/>
    <x v="0"/>
    <n v="60"/>
  </r>
  <r>
    <s v="CHEAD"/>
    <s v="07"/>
    <s v="MAYO"/>
    <s v="WILLISTON"/>
    <x v="279"/>
    <x v="0"/>
    <x v="1"/>
    <s v="Invoice"/>
    <s v="98106"/>
    <x v="210"/>
    <x v="186"/>
    <x v="22"/>
    <x v="2"/>
    <n v="1.2849999999999999"/>
  </r>
  <r>
    <s v=""/>
    <s v="07"/>
    <s v="BARNESFE"/>
    <s v="HASTINGS"/>
    <x v="268"/>
    <x v="0"/>
    <x v="1"/>
    <s v="Invoice"/>
    <s v="98192"/>
    <x v="359"/>
    <x v="318"/>
    <x v="20"/>
    <x v="1"/>
    <n v="19500"/>
  </r>
  <r>
    <s v="CHEAD"/>
    <s v="07"/>
    <s v="BARNESFE"/>
    <s v="HASTINGS"/>
    <x v="273"/>
    <x v="0"/>
    <x v="1"/>
    <s v="Invoice"/>
    <s v="98239"/>
    <x v="360"/>
    <x v="319"/>
    <x v="22"/>
    <x v="2"/>
    <n v="1.25"/>
  </r>
  <r>
    <s v="DPOPPELL1"/>
    <s v="08"/>
    <s v="COASTALAGSUPPLY"/>
    <s v="MULBERRY"/>
    <x v="278"/>
    <x v="0"/>
    <x v="1"/>
    <s v="Invoice"/>
    <s v="98032"/>
    <x v="75"/>
    <x v="68"/>
    <x v="22"/>
    <x v="2"/>
    <n v="1.25"/>
  </r>
  <r>
    <s v="DPOPPELL1"/>
    <s v="08"/>
    <s v="TRIANGLE"/>
    <s v="TRIANGLE/PC"/>
    <x v="278"/>
    <x v="0"/>
    <x v="1"/>
    <s v="Invoice"/>
    <s v="98039"/>
    <x v="346"/>
    <x v="59"/>
    <x v="32"/>
    <x v="0"/>
    <n v="1000"/>
  </r>
  <r>
    <s v="DPOPPELL1"/>
    <s v="08"/>
    <s v="TRIANGLE"/>
    <s v="TRIANGLE/PC"/>
    <x v="278"/>
    <x v="0"/>
    <x v="1"/>
    <s v="Invoice"/>
    <s v="98040"/>
    <x v="5"/>
    <x v="72"/>
    <x v="4"/>
    <x v="0"/>
    <n v="180"/>
  </r>
  <r>
    <s v="DPOPPELL1"/>
    <s v="08"/>
    <s v="TRIANGLE"/>
    <s v="TRIANGLE/PC"/>
    <x v="278"/>
    <x v="0"/>
    <x v="1"/>
    <s v="Invoice"/>
    <s v="98040"/>
    <x v="34"/>
    <x v="29"/>
    <x v="26"/>
    <x v="0"/>
    <n v="180"/>
  </r>
  <r>
    <s v="DPOPPELL1"/>
    <s v="08"/>
    <s v="TRIANGLE"/>
    <s v="TRIANGLE/PC"/>
    <x v="278"/>
    <x v="0"/>
    <x v="1"/>
    <s v="Invoice"/>
    <s v="98041"/>
    <x v="361"/>
    <x v="285"/>
    <x v="89"/>
    <x v="0"/>
    <n v="750"/>
  </r>
  <r>
    <s v="DPOPPELL1"/>
    <s v="08"/>
    <s v="CPSMULB"/>
    <s v="UAP/MULBERRY"/>
    <x v="270"/>
    <x v="0"/>
    <x v="1"/>
    <s v="Invoice"/>
    <s v="98068"/>
    <x v="5"/>
    <x v="72"/>
    <x v="4"/>
    <x v="0"/>
    <n v="360"/>
  </r>
  <r>
    <s v="DPOPPELL1"/>
    <s v="08"/>
    <s v="MAYO"/>
    <s v="PLANTCITY"/>
    <x v="265"/>
    <x v="0"/>
    <x v="1"/>
    <s v="Invoice"/>
    <s v="98078"/>
    <x v="244"/>
    <x v="218"/>
    <x v="22"/>
    <x v="2"/>
    <n v="6.125"/>
  </r>
  <r>
    <s v="DPOPPELL1"/>
    <s v="08"/>
    <s v="COASTALAGSUPPLY"/>
    <s v="MULBERRY"/>
    <x v="280"/>
    <x v="0"/>
    <x v="1"/>
    <s v="Invoice"/>
    <s v="98111"/>
    <x v="96"/>
    <x v="90"/>
    <x v="39"/>
    <x v="0"/>
    <n v="120"/>
  </r>
  <r>
    <s v="DPOPPELL1"/>
    <s v="08"/>
    <s v="COASTALAGSUPPLY"/>
    <s v="MAILING"/>
    <x v="271"/>
    <x v="0"/>
    <x v="1"/>
    <s v="Invoice"/>
    <s v="98133"/>
    <x v="34"/>
    <x v="29"/>
    <x v="26"/>
    <x v="0"/>
    <n v="360"/>
  </r>
  <r>
    <s v="DPOPPELL1"/>
    <s v="08"/>
    <s v="COASTALAGSUPPLY"/>
    <s v="MULBERRY"/>
    <x v="276"/>
    <x v="0"/>
    <x v="1"/>
    <s v="Invoice"/>
    <s v="98182"/>
    <x v="58"/>
    <x v="51"/>
    <x v="22"/>
    <x v="2"/>
    <n v="2.5024999999999999"/>
  </r>
  <r>
    <s v="DPOPPELL1"/>
    <s v="08"/>
    <s v="COASTALAGSUPPLY"/>
    <s v="MULBERRY"/>
    <x v="277"/>
    <x v="0"/>
    <x v="1"/>
    <s v="Invoice"/>
    <s v="98227"/>
    <x v="5"/>
    <x v="72"/>
    <x v="4"/>
    <x v="0"/>
    <n v="50"/>
  </r>
  <r>
    <s v="GEORGIA"/>
    <s v="09"/>
    <s v="GREENRES"/>
    <s v="NATURESELECT"/>
    <x v="274"/>
    <x v="0"/>
    <x v="1"/>
    <s v="Invoice"/>
    <s v="98016"/>
    <x v="109"/>
    <x v="80"/>
    <x v="2"/>
    <x v="0"/>
    <n v="275"/>
  </r>
  <r>
    <s v=""/>
    <s v="09"/>
    <s v="GREENRES"/>
    <s v="OCEAN HWY-NC"/>
    <x v="262"/>
    <x v="0"/>
    <x v="1"/>
    <s v="Invoice"/>
    <s v="98026"/>
    <x v="109"/>
    <x v="80"/>
    <x v="2"/>
    <x v="0"/>
    <n v="1000"/>
  </r>
  <r>
    <s v=""/>
    <s v="09"/>
    <s v="GREENRES"/>
    <s v="OCEAN HWY-NC"/>
    <x v="262"/>
    <x v="0"/>
    <x v="1"/>
    <s v="Invoice"/>
    <s v="98026"/>
    <x v="88"/>
    <x v="80"/>
    <x v="2"/>
    <x v="0"/>
    <n v="55"/>
  </r>
  <r>
    <s v=""/>
    <s v="09"/>
    <s v="NUTRATURF"/>
    <s v="CRUMP ST, NC"/>
    <x v="272"/>
    <x v="0"/>
    <x v="1"/>
    <s v="Invoice"/>
    <s v="98169"/>
    <x v="168"/>
    <x v="88"/>
    <x v="8"/>
    <x v="0"/>
    <n v="15"/>
  </r>
  <r>
    <s v=""/>
    <s v="09"/>
    <s v="NUTRATURF"/>
    <s v="CRUMP ST, NC"/>
    <x v="272"/>
    <x v="0"/>
    <x v="1"/>
    <s v="Invoice"/>
    <s v="98169"/>
    <x v="79"/>
    <x v="72"/>
    <x v="4"/>
    <x v="0"/>
    <n v="55"/>
  </r>
  <r>
    <s v=""/>
    <s v="09"/>
    <s v="NUTRATURF"/>
    <s v="CRUMP ST, NC"/>
    <x v="272"/>
    <x v="0"/>
    <x v="1"/>
    <s v="Invoice"/>
    <s v="98169"/>
    <x v="81"/>
    <x v="74"/>
    <x v="13"/>
    <x v="0"/>
    <n v="55"/>
  </r>
  <r>
    <s v=""/>
    <s v="09"/>
    <s v="NUTRATURF"/>
    <s v="CRUMP ST, NC"/>
    <x v="272"/>
    <x v="0"/>
    <x v="1"/>
    <s v="Invoice"/>
    <s v="98169"/>
    <x v="82"/>
    <x v="75"/>
    <x v="26"/>
    <x v="0"/>
    <n v="55"/>
  </r>
  <r>
    <s v=""/>
    <s v="09"/>
    <s v="NUTRATURF"/>
    <s v="CRUMP ST, NC"/>
    <x v="272"/>
    <x v="0"/>
    <x v="1"/>
    <s v="Invoice"/>
    <s v="98169"/>
    <x v="257"/>
    <x v="32"/>
    <x v="3"/>
    <x v="0"/>
    <n v="250"/>
  </r>
  <r>
    <s v=""/>
    <s v="09"/>
    <s v="NUTRATURF"/>
    <s v="CRUMP ST, NC"/>
    <x v="272"/>
    <x v="0"/>
    <x v="1"/>
    <s v="Invoice"/>
    <s v="98169"/>
    <x v="362"/>
    <x v="78"/>
    <x v="36"/>
    <x v="0"/>
    <n v="110"/>
  </r>
  <r>
    <s v=""/>
    <s v="09"/>
    <s v="NUTRATURF"/>
    <s v="CRUMP ST, NC"/>
    <x v="272"/>
    <x v="0"/>
    <x v="1"/>
    <s v="Invoice"/>
    <s v="98170"/>
    <x v="78"/>
    <x v="71"/>
    <x v="34"/>
    <x v="0"/>
    <n v="55"/>
  </r>
  <r>
    <s v="CSWAFFORD"/>
    <s v="12"/>
    <s v="GOLFVENTURES"/>
    <s v="BONITANATIONAL"/>
    <x v="275"/>
    <x v="0"/>
    <x v="1"/>
    <s v="Invoice"/>
    <s v="98047"/>
    <x v="319"/>
    <x v="281"/>
    <x v="42"/>
    <x v="0"/>
    <n v="275"/>
  </r>
  <r>
    <s v="CSWAFFORD"/>
    <s v="12"/>
    <s v="GOLFVENTURES"/>
    <s v="NAPLESGRANDE"/>
    <x v="275"/>
    <x v="0"/>
    <x v="1"/>
    <s v="Invoice"/>
    <s v="98048"/>
    <x v="319"/>
    <x v="281"/>
    <x v="42"/>
    <x v="0"/>
    <n v="250"/>
  </r>
  <r>
    <s v="CSWAFFORD"/>
    <s v="12"/>
    <s v="GOLFVENTURES"/>
    <s v="S&amp;O"/>
    <x v="275"/>
    <x v="0"/>
    <x v="1"/>
    <s v="Invoice"/>
    <s v="98051"/>
    <x v="83"/>
    <x v="69"/>
    <x v="17"/>
    <x v="0"/>
    <n v="800"/>
  </r>
  <r>
    <s v="CSWAFFORD"/>
    <s v="12"/>
    <s v="GOLFVENTURES"/>
    <s v="COUNTRYBOY"/>
    <x v="263"/>
    <x v="0"/>
    <x v="1"/>
    <s v="Invoice"/>
    <s v="98054"/>
    <x v="83"/>
    <x v="69"/>
    <x v="17"/>
    <x v="0"/>
    <n v="250"/>
  </r>
  <r>
    <s v="CSWAFFORD"/>
    <s v="12"/>
    <s v="GOLFVENTURES"/>
    <s v="THEYACHT&amp;CC"/>
    <x v="270"/>
    <x v="0"/>
    <x v="1"/>
    <s v="Invoice"/>
    <s v="98066"/>
    <x v="363"/>
    <x v="320"/>
    <x v="63"/>
    <x v="0"/>
    <n v="250"/>
  </r>
  <r>
    <s v="CSWAFFORD"/>
    <s v="12"/>
    <s v="GOLFVENTURES"/>
    <s v="THEYACHT&amp;CC"/>
    <x v="270"/>
    <x v="0"/>
    <x v="1"/>
    <s v="Invoice"/>
    <s v="98066"/>
    <x v="320"/>
    <x v="282"/>
    <x v="87"/>
    <x v="0"/>
    <n v="250"/>
  </r>
  <r>
    <s v="CSWAFFORD"/>
    <s v="12"/>
    <s v="GOLFVENTURES"/>
    <s v="MAIN"/>
    <x v="266"/>
    <x v="0"/>
    <x v="1"/>
    <s v="Invoice"/>
    <s v="98093"/>
    <x v="83"/>
    <x v="69"/>
    <x v="17"/>
    <x v="0"/>
    <n v="275"/>
  </r>
  <r>
    <s v="CSWAFFORD"/>
    <s v="12"/>
    <s v="GOLFVENTURES"/>
    <s v="MAIN"/>
    <x v="279"/>
    <x v="0"/>
    <x v="1"/>
    <s v="Invoice"/>
    <s v="98097"/>
    <x v="364"/>
    <x v="321"/>
    <x v="96"/>
    <x v="0"/>
    <n v="120"/>
  </r>
  <r>
    <s v="CSWAFFORD"/>
    <s v="12"/>
    <s v="GOLFVENTURES"/>
    <s v="MAIN"/>
    <x v="279"/>
    <x v="0"/>
    <x v="1"/>
    <s v="Invoice"/>
    <s v="98097"/>
    <x v="365"/>
    <x v="298"/>
    <x v="53"/>
    <x v="0"/>
    <n v="60"/>
  </r>
  <r>
    <s v="CSWAFFORD"/>
    <s v="12"/>
    <s v="GOLFVENTURES"/>
    <s v="GLADESCC"/>
    <x v="267"/>
    <x v="0"/>
    <x v="1"/>
    <s v="Invoice"/>
    <s v="98114"/>
    <x v="319"/>
    <x v="281"/>
    <x v="42"/>
    <x v="0"/>
    <n v="250"/>
  </r>
  <r>
    <s v="CSWAFFORD"/>
    <s v="12"/>
    <s v="GOLFVENTURES"/>
    <s v="STONEYBROOK"/>
    <x v="267"/>
    <x v="0"/>
    <x v="1"/>
    <s v="Invoice"/>
    <s v="98115"/>
    <x v="310"/>
    <x v="322"/>
    <x v="56"/>
    <x v="0"/>
    <n v="250"/>
  </r>
  <r>
    <s v="CSWAFFORD"/>
    <s v="12"/>
    <s v="GOLFVENTURES"/>
    <s v="NAPLESHERITAGE"/>
    <x v="267"/>
    <x v="0"/>
    <x v="1"/>
    <s v="Invoice"/>
    <s v="98120"/>
    <x v="366"/>
    <x v="323"/>
    <x v="22"/>
    <x v="2"/>
    <n v="1.23"/>
  </r>
  <r>
    <s v="CSWAFFORD"/>
    <s v="12"/>
    <s v="GOLFVENTURES"/>
    <s v="BONITANATIONAL"/>
    <x v="267"/>
    <x v="0"/>
    <x v="1"/>
    <s v="Invoice"/>
    <s v="98123"/>
    <x v="319"/>
    <x v="281"/>
    <x v="42"/>
    <x v="0"/>
    <n v="275"/>
  </r>
  <r>
    <s v="CSWAFFORD"/>
    <s v="12"/>
    <s v="GOLFVENTURES"/>
    <s v="MAIN"/>
    <x v="267"/>
    <x v="0"/>
    <x v="1"/>
    <s v="Invoice"/>
    <s v="98124"/>
    <x v="364"/>
    <x v="321"/>
    <x v="96"/>
    <x v="0"/>
    <n v="120"/>
  </r>
  <r>
    <s v="CSWAFFORD"/>
    <s v="12"/>
    <s v="GOLFVENTURES"/>
    <s v="MAIN"/>
    <x v="267"/>
    <x v="0"/>
    <x v="1"/>
    <s v="Invoice"/>
    <s v="98124"/>
    <x v="365"/>
    <x v="298"/>
    <x v="53"/>
    <x v="0"/>
    <n v="60"/>
  </r>
  <r>
    <s v="CSWAFFORD"/>
    <s v="12"/>
    <s v="GOLFVENTURES"/>
    <s v="MAIN"/>
    <x v="272"/>
    <x v="0"/>
    <x v="1"/>
    <s v="Invoice"/>
    <s v="98165A"/>
    <x v="367"/>
    <x v="324"/>
    <x v="22"/>
    <x v="2"/>
    <n v="0.55000000000000004"/>
  </r>
  <r>
    <s v="CSWAFFORD"/>
    <s v="12"/>
    <s v="GOLFVENTURES"/>
    <s v="MAIN"/>
    <x v="272"/>
    <x v="0"/>
    <x v="1"/>
    <s v="Invoice"/>
    <s v="98166"/>
    <x v="368"/>
    <x v="325"/>
    <x v="36"/>
    <x v="0"/>
    <n v="110"/>
  </r>
  <r>
    <s v="CSWAFFORD"/>
    <s v="12"/>
    <s v="GOLFVENTURES"/>
    <s v="MAIN"/>
    <x v="272"/>
    <x v="0"/>
    <x v="1"/>
    <s v="Invoice"/>
    <s v="98167"/>
    <x v="365"/>
    <x v="298"/>
    <x v="53"/>
    <x v="0"/>
    <n v="180"/>
  </r>
  <r>
    <s v="CSWAFFORD"/>
    <s v="12"/>
    <s v="GOLFVENTURES"/>
    <s v="MAIN"/>
    <x v="276"/>
    <x v="0"/>
    <x v="1"/>
    <s v="Invoice"/>
    <s v="98181"/>
    <x v="369"/>
    <x v="326"/>
    <x v="97"/>
    <x v="0"/>
    <n v="1000"/>
  </r>
  <r>
    <s v="CSWAFFORD"/>
    <s v="12"/>
    <s v="GOLFVENTURES"/>
    <s v="MAIN"/>
    <x v="268"/>
    <x v="0"/>
    <x v="1"/>
    <s v="Invoice"/>
    <s v="98184"/>
    <x v="370"/>
    <x v="320"/>
    <x v="63"/>
    <x v="0"/>
    <n v="10"/>
  </r>
  <r>
    <s v="CSWAFFORD"/>
    <s v="12"/>
    <s v="CHEMDYNA"/>
    <s v="MAIN"/>
    <x v="276"/>
    <x v="0"/>
    <x v="1"/>
    <s v="Invoice"/>
    <s v="98186"/>
    <x v="371"/>
    <x v="283"/>
    <x v="88"/>
    <x v="0"/>
    <n v="10"/>
  </r>
  <r>
    <s v="CSWAFFORD"/>
    <s v="12"/>
    <s v="GOLFVENTURES"/>
    <s v="SANIBELISLAND"/>
    <x v="277"/>
    <x v="0"/>
    <x v="1"/>
    <s v="Invoice"/>
    <s v="98212"/>
    <x v="337"/>
    <x v="298"/>
    <x v="53"/>
    <x v="0"/>
    <n v="250"/>
  </r>
  <r>
    <s v="CSWAFFORD"/>
    <s v="12"/>
    <s v="GOLFVENTURES"/>
    <s v="SANIBELISLAND"/>
    <x v="277"/>
    <x v="0"/>
    <x v="1"/>
    <s v="Invoice"/>
    <s v="98212"/>
    <x v="372"/>
    <x v="295"/>
    <x v="43"/>
    <x v="0"/>
    <n v="250"/>
  </r>
  <r>
    <s v="CSWAFFORD"/>
    <s v="12"/>
    <s v="GOLFVENTURES"/>
    <s v="SANIBELISLAND"/>
    <x v="277"/>
    <x v="0"/>
    <x v="1"/>
    <s v="Invoice"/>
    <s v="98212"/>
    <x v="373"/>
    <x v="327"/>
    <x v="82"/>
    <x v="0"/>
    <n v="250"/>
  </r>
  <r>
    <s v="CSWAFFORD"/>
    <s v="12"/>
    <s v="GOLFVENTURES"/>
    <s v="SANIBELISLAND"/>
    <x v="277"/>
    <x v="0"/>
    <x v="1"/>
    <s v="Invoice"/>
    <s v="98212"/>
    <x v="320"/>
    <x v="282"/>
    <x v="87"/>
    <x v="0"/>
    <n v="250"/>
  </r>
  <r>
    <s v="CSWAFFORD"/>
    <s v="12"/>
    <s v="GOLFVENTURES"/>
    <s v="LAWNWORX"/>
    <x v="273"/>
    <x v="0"/>
    <x v="1"/>
    <s v="Invoice"/>
    <s v="98234"/>
    <x v="83"/>
    <x v="69"/>
    <x v="17"/>
    <x v="0"/>
    <n v="400"/>
  </r>
  <r>
    <s v="CSWAFFORD"/>
    <s v="12"/>
    <s v="GOLFVENTURES"/>
    <s v="GRANDHARBOR"/>
    <x v="273"/>
    <x v="0"/>
    <x v="1"/>
    <s v="Invoice"/>
    <s v="98235"/>
    <x v="321"/>
    <x v="283"/>
    <x v="88"/>
    <x v="0"/>
    <n v="250"/>
  </r>
  <r>
    <s v="HAP"/>
    <s v="01"/>
    <s v="GREENWAY"/>
    <s v="COUNTRY CLUB"/>
    <x v="283"/>
    <x v="1"/>
    <x v="1"/>
    <s v="Invoice"/>
    <s v="98308"/>
    <x v="2"/>
    <x v="0"/>
    <x v="0"/>
    <x v="0"/>
    <n v="35"/>
  </r>
  <r>
    <s v="HAP"/>
    <s v="01"/>
    <s v="GREENWAY"/>
    <s v="ROYAL PALM GC"/>
    <x v="284"/>
    <x v="1"/>
    <x v="1"/>
    <s v="Invoice"/>
    <s v="98318"/>
    <x v="3"/>
    <x v="2"/>
    <x v="2"/>
    <x v="0"/>
    <n v="25"/>
  </r>
  <r>
    <s v="HAP"/>
    <s v="01"/>
    <s v="GREENWAY"/>
    <s v="ROYAL PALM GC"/>
    <x v="284"/>
    <x v="1"/>
    <x v="1"/>
    <s v="Invoice"/>
    <s v="98318"/>
    <x v="5"/>
    <x v="4"/>
    <x v="4"/>
    <x v="0"/>
    <n v="50"/>
  </r>
  <r>
    <s v="HAP"/>
    <s v="01"/>
    <s v="GREENWAY"/>
    <s v="ROYAL PALM GC"/>
    <x v="284"/>
    <x v="1"/>
    <x v="1"/>
    <s v="Invoice"/>
    <s v="98318"/>
    <x v="6"/>
    <x v="5"/>
    <x v="5"/>
    <x v="0"/>
    <n v="25"/>
  </r>
  <r>
    <s v="HAP"/>
    <s v="01"/>
    <s v="GREENWAY"/>
    <s v="ROYAL PALM GC"/>
    <x v="284"/>
    <x v="1"/>
    <x v="1"/>
    <s v="Invoice"/>
    <s v="98318"/>
    <x v="2"/>
    <x v="0"/>
    <x v="0"/>
    <x v="0"/>
    <n v="50"/>
  </r>
  <r>
    <s v="HAP"/>
    <s v="01"/>
    <s v="GREENWAY"/>
    <s v="PARKLAND"/>
    <x v="285"/>
    <x v="1"/>
    <x v="1"/>
    <s v="Invoice"/>
    <s v="98358"/>
    <x v="1"/>
    <x v="1"/>
    <x v="1"/>
    <x v="0"/>
    <n v="110"/>
  </r>
  <r>
    <s v="HAP"/>
    <s v="01"/>
    <s v="GREENWAY"/>
    <s v="MAILING-WPBCH"/>
    <x v="286"/>
    <x v="1"/>
    <x v="1"/>
    <s v="Invoice"/>
    <s v="98402"/>
    <x v="8"/>
    <x v="7"/>
    <x v="7"/>
    <x v="0"/>
    <n v="60"/>
  </r>
  <r>
    <s v="HAP"/>
    <s v="01"/>
    <s v="GREENWAY"/>
    <s v="MAILING-WPBCH"/>
    <x v="286"/>
    <x v="1"/>
    <x v="1"/>
    <s v="Invoice"/>
    <s v="98402"/>
    <x v="21"/>
    <x v="16"/>
    <x v="16"/>
    <x v="0"/>
    <n v="60"/>
  </r>
  <r>
    <s v="HAP"/>
    <s v="01"/>
    <s v="GREENWAY"/>
    <s v="MAILING-WPBCH"/>
    <x v="286"/>
    <x v="1"/>
    <x v="1"/>
    <s v="Invoice"/>
    <s v="98402"/>
    <x v="12"/>
    <x v="11"/>
    <x v="11"/>
    <x v="0"/>
    <n v="120"/>
  </r>
  <r>
    <s v="HAP"/>
    <s v="01"/>
    <s v="GREENWAY"/>
    <s v="MAILING-WPBCH"/>
    <x v="286"/>
    <x v="1"/>
    <x v="1"/>
    <s v="Invoice"/>
    <s v="98402"/>
    <x v="6"/>
    <x v="5"/>
    <x v="5"/>
    <x v="0"/>
    <n v="120"/>
  </r>
  <r>
    <s v="HAP"/>
    <s v="01"/>
    <s v="GREENWAY"/>
    <s v="MAILING-WPBCH"/>
    <x v="286"/>
    <x v="1"/>
    <x v="1"/>
    <s v="Invoice"/>
    <s v="98402"/>
    <x v="2"/>
    <x v="0"/>
    <x v="0"/>
    <x v="0"/>
    <n v="120"/>
  </r>
  <r>
    <s v="HAP"/>
    <s v="01"/>
    <s v="GREENWAY"/>
    <s v="JACARANDA G C"/>
    <x v="287"/>
    <x v="1"/>
    <x v="1"/>
    <s v="Invoice"/>
    <s v="98451"/>
    <x v="188"/>
    <x v="17"/>
    <x v="17"/>
    <x v="0"/>
    <n v="55"/>
  </r>
  <r>
    <s v="HAP"/>
    <s v="01"/>
    <s v="GREENWAY"/>
    <s v="JACARANDA G C"/>
    <x v="287"/>
    <x v="1"/>
    <x v="1"/>
    <s v="Invoice"/>
    <s v="98451"/>
    <x v="2"/>
    <x v="0"/>
    <x v="0"/>
    <x v="0"/>
    <n v="55"/>
  </r>
  <r>
    <s v="HAP"/>
    <s v="01"/>
    <s v="GREENWAY"/>
    <s v="CORALCREEK"/>
    <x v="288"/>
    <x v="1"/>
    <x v="1"/>
    <s v="Invoice"/>
    <s v="98473"/>
    <x v="6"/>
    <x v="5"/>
    <x v="5"/>
    <x v="0"/>
    <n v="20"/>
  </r>
  <r>
    <s v="HAP"/>
    <s v="01"/>
    <s v="GREENWAY"/>
    <s v="MIZNER C. CLUB"/>
    <x v="288"/>
    <x v="1"/>
    <x v="1"/>
    <s v="Invoice"/>
    <s v="98474"/>
    <x v="3"/>
    <x v="2"/>
    <x v="2"/>
    <x v="0"/>
    <n v="30"/>
  </r>
  <r>
    <s v="HAP"/>
    <s v="01"/>
    <s v="GREENWAY"/>
    <s v="MIZNER C. CLUB"/>
    <x v="288"/>
    <x v="1"/>
    <x v="1"/>
    <s v="Invoice"/>
    <s v="98474"/>
    <x v="5"/>
    <x v="4"/>
    <x v="4"/>
    <x v="0"/>
    <n v="60"/>
  </r>
  <r>
    <s v="HAP"/>
    <s v="01"/>
    <s v="GREENWAY"/>
    <s v="MIZNER C. CLUB"/>
    <x v="288"/>
    <x v="1"/>
    <x v="1"/>
    <s v="Invoice"/>
    <s v="98474"/>
    <x v="6"/>
    <x v="5"/>
    <x v="5"/>
    <x v="0"/>
    <n v="30"/>
  </r>
  <r>
    <s v="HAP"/>
    <s v="01"/>
    <s v="GREENWAY"/>
    <s v="MIZNER C. CLUB"/>
    <x v="288"/>
    <x v="1"/>
    <x v="1"/>
    <s v="Invoice"/>
    <s v="98474"/>
    <x v="2"/>
    <x v="0"/>
    <x v="0"/>
    <x v="0"/>
    <n v="60"/>
  </r>
  <r>
    <s v="HAP"/>
    <s v="01"/>
    <s v="GREENWAY"/>
    <s v="HOUSTONOAKS"/>
    <x v="289"/>
    <x v="1"/>
    <x v="1"/>
    <s v="Invoice"/>
    <s v="98548"/>
    <x v="3"/>
    <x v="2"/>
    <x v="2"/>
    <x v="0"/>
    <n v="40"/>
  </r>
  <r>
    <s v="HAP"/>
    <s v="01"/>
    <s v="GREENWAY"/>
    <s v="HOUSTONOAKS"/>
    <x v="289"/>
    <x v="1"/>
    <x v="1"/>
    <s v="Invoice"/>
    <s v="98548"/>
    <x v="4"/>
    <x v="3"/>
    <x v="3"/>
    <x v="0"/>
    <n v="40"/>
  </r>
  <r>
    <s v="HAP"/>
    <s v="01"/>
    <s v="GREENWAY"/>
    <s v="HOUSTONOAKS"/>
    <x v="289"/>
    <x v="1"/>
    <x v="1"/>
    <s v="Invoice"/>
    <s v="98548"/>
    <x v="5"/>
    <x v="4"/>
    <x v="4"/>
    <x v="0"/>
    <n v="40"/>
  </r>
  <r>
    <s v="HAP"/>
    <s v="01"/>
    <s v="GREENWAY"/>
    <s v="HOUSTONOAKS"/>
    <x v="289"/>
    <x v="1"/>
    <x v="1"/>
    <s v="Invoice"/>
    <s v="98548"/>
    <x v="6"/>
    <x v="5"/>
    <x v="5"/>
    <x v="0"/>
    <n v="40"/>
  </r>
  <r>
    <s v="HAP"/>
    <s v="01"/>
    <s v="GREENWAY"/>
    <s v="HOUSTONOAKS"/>
    <x v="289"/>
    <x v="1"/>
    <x v="1"/>
    <s v="Invoice"/>
    <s v="98548"/>
    <x v="2"/>
    <x v="0"/>
    <x v="0"/>
    <x v="0"/>
    <n v="40"/>
  </r>
  <r>
    <s v="HAP"/>
    <s v="01"/>
    <s v="GREENWAY"/>
    <s v="WINDSOR POLO"/>
    <x v="290"/>
    <x v="1"/>
    <x v="1"/>
    <s v="Invoice"/>
    <s v="98563"/>
    <x v="88"/>
    <x v="2"/>
    <x v="2"/>
    <x v="0"/>
    <n v="55"/>
  </r>
  <r>
    <s v="HAP"/>
    <s v="01"/>
    <s v="GREENWAY"/>
    <s v="WINDSOR POLO"/>
    <x v="290"/>
    <x v="1"/>
    <x v="1"/>
    <s v="Invoice"/>
    <s v="98563"/>
    <x v="0"/>
    <x v="0"/>
    <x v="0"/>
    <x v="0"/>
    <n v="55"/>
  </r>
  <r>
    <s v="DAVID"/>
    <s v="02"/>
    <s v="BIGEARTH"/>
    <s v="TAMPA"/>
    <x v="291"/>
    <x v="1"/>
    <x v="1"/>
    <s v="Invoice"/>
    <s v="98266"/>
    <x v="307"/>
    <x v="271"/>
    <x v="92"/>
    <x v="0"/>
    <n v="50"/>
  </r>
  <r>
    <s v="DAVID"/>
    <s v="02"/>
    <s v="SOILCEA"/>
    <s v="MAIN"/>
    <x v="284"/>
    <x v="1"/>
    <x v="1"/>
    <s v="Invoice"/>
    <s v="98315"/>
    <x v="196"/>
    <x v="172"/>
    <x v="61"/>
    <x v="0"/>
    <n v="2.5"/>
  </r>
  <r>
    <s v="DAVID"/>
    <s v="02"/>
    <s v="TARGETSPECIALTY"/>
    <s v="TAMPA"/>
    <x v="292"/>
    <x v="1"/>
    <x v="1"/>
    <s v="Invoice"/>
    <s v="98336"/>
    <x v="323"/>
    <x v="285"/>
    <x v="89"/>
    <x v="0"/>
    <n v="900"/>
  </r>
  <r>
    <s v="DAVID"/>
    <s v="02"/>
    <s v="EVOQUAWATER"/>
    <s v="COUNTYOFCOLLIER"/>
    <x v="292"/>
    <x v="1"/>
    <x v="1"/>
    <s v="Invoice"/>
    <s v="98344"/>
    <x v="295"/>
    <x v="231"/>
    <x v="54"/>
    <x v="0"/>
    <n v="150"/>
  </r>
  <r>
    <s v="DAVID"/>
    <s v="02"/>
    <s v="MAYO"/>
    <s v="MAYO"/>
    <x v="293"/>
    <x v="1"/>
    <x v="1"/>
    <s v="Invoice"/>
    <s v="98378"/>
    <x v="29"/>
    <x v="24"/>
    <x v="20"/>
    <x v="1"/>
    <n v="45220"/>
  </r>
  <r>
    <s v="DAVID"/>
    <s v="02"/>
    <s v="FLORIDAF"/>
    <s v="FLORIDA FERTILI"/>
    <x v="287"/>
    <x v="1"/>
    <x v="1"/>
    <s v="Invoice"/>
    <s v="98428"/>
    <x v="374"/>
    <x v="328"/>
    <x v="98"/>
    <x v="0"/>
    <n v="250"/>
  </r>
  <r>
    <s v="DAVID"/>
    <s v="02"/>
    <s v="SOUTHERN"/>
    <s v="SOUTHERN AG"/>
    <x v="287"/>
    <x v="1"/>
    <x v="1"/>
    <s v="Invoice"/>
    <s v="98443"/>
    <x v="26"/>
    <x v="21"/>
    <x v="21"/>
    <x v="0"/>
    <n v="2200"/>
  </r>
  <r>
    <s v="DAVID"/>
    <s v="02"/>
    <s v="BIGEARTH"/>
    <s v="SARASOTA"/>
    <x v="294"/>
    <x v="1"/>
    <x v="1"/>
    <s v="Invoice"/>
    <s v="98518"/>
    <x v="22"/>
    <x v="69"/>
    <x v="17"/>
    <x v="0"/>
    <n v="50"/>
  </r>
  <r>
    <s v="JUSTIN"/>
    <s v="03"/>
    <s v="COUNCILO"/>
    <s v="COUNCIL-OXFORD"/>
    <x v="291"/>
    <x v="1"/>
    <x v="1"/>
    <s v="Invoice"/>
    <s v="98265"/>
    <x v="136"/>
    <x v="111"/>
    <x v="46"/>
    <x v="0"/>
    <n v="260"/>
  </r>
  <r>
    <s v="JUSTIN"/>
    <s v="03"/>
    <s v="COUNCILO"/>
    <s v="COUNCIL-OXFORD"/>
    <x v="291"/>
    <x v="1"/>
    <x v="1"/>
    <s v="Invoice"/>
    <s v="98265"/>
    <x v="40"/>
    <x v="35"/>
    <x v="29"/>
    <x v="0"/>
    <n v="180"/>
  </r>
  <r>
    <s v="JUSTIN"/>
    <s v="03"/>
    <s v="G&amp;DFARMS"/>
    <s v="MIDDLE"/>
    <x v="291"/>
    <x v="1"/>
    <x v="1"/>
    <s v="Invoice"/>
    <s v="98268"/>
    <x v="99"/>
    <x v="93"/>
    <x v="22"/>
    <x v="2"/>
    <n v="15.025"/>
  </r>
  <r>
    <s v="JUSTIN"/>
    <s v="03"/>
    <s v="CPSMULB"/>
    <s v="UAP/MULBERRY"/>
    <x v="283"/>
    <x v="1"/>
    <x v="1"/>
    <s v="Invoice"/>
    <s v="98294"/>
    <x v="40"/>
    <x v="35"/>
    <x v="29"/>
    <x v="0"/>
    <n v="540"/>
  </r>
  <r>
    <s v="JUSTIN"/>
    <s v="03"/>
    <s v="G&amp;DFARMS"/>
    <s v="MIDDLE"/>
    <x v="283"/>
    <x v="1"/>
    <x v="1"/>
    <s v="Invoice"/>
    <s v="98299"/>
    <x v="99"/>
    <x v="93"/>
    <x v="22"/>
    <x v="2"/>
    <n v="15.025"/>
  </r>
  <r>
    <s v="JUSTIN"/>
    <s v="03"/>
    <s v="COUNCILO"/>
    <s v="COUNCIL-OXFORD"/>
    <x v="284"/>
    <x v="1"/>
    <x v="1"/>
    <s v="Invoice"/>
    <s v="98320"/>
    <x v="34"/>
    <x v="29"/>
    <x v="26"/>
    <x v="0"/>
    <n v="180"/>
  </r>
  <r>
    <s v="JUSTIN"/>
    <s v="03"/>
    <s v="COUNCILO"/>
    <s v="COUNCIL-OXFORD"/>
    <x v="284"/>
    <x v="1"/>
    <x v="1"/>
    <s v="Invoice"/>
    <s v="98320"/>
    <x v="41"/>
    <x v="36"/>
    <x v="26"/>
    <x v="0"/>
    <n v="500"/>
  </r>
  <r>
    <s v="JUSTIN"/>
    <s v="03"/>
    <s v="CPSWACHU"/>
    <s v="WAUCHULA"/>
    <x v="285"/>
    <x v="1"/>
    <x v="1"/>
    <s v="Invoice"/>
    <s v="98349"/>
    <x v="324"/>
    <x v="286"/>
    <x v="13"/>
    <x v="0"/>
    <n v="750"/>
  </r>
  <r>
    <s v="JUSTIN"/>
    <s v="03"/>
    <s v="G&amp;DFARMS"/>
    <s v="MIDDLE"/>
    <x v="293"/>
    <x v="1"/>
    <x v="1"/>
    <s v="Invoice"/>
    <s v="98380"/>
    <x v="99"/>
    <x v="93"/>
    <x v="22"/>
    <x v="2"/>
    <n v="15.025"/>
  </r>
  <r>
    <s v="JUSTIN"/>
    <s v="03"/>
    <s v="CPSPARRI"/>
    <s v="PARRISH"/>
    <x v="295"/>
    <x v="1"/>
    <x v="1"/>
    <s v="Invoice"/>
    <s v="98458"/>
    <x v="5"/>
    <x v="72"/>
    <x v="4"/>
    <x v="0"/>
    <n v="180"/>
  </r>
  <r>
    <s v="JUSTIN"/>
    <s v="03"/>
    <s v="G&amp;DFARMS"/>
    <s v="MIDDLE"/>
    <x v="288"/>
    <x v="1"/>
    <x v="1"/>
    <s v="Invoice"/>
    <s v="98465"/>
    <x v="99"/>
    <x v="93"/>
    <x v="22"/>
    <x v="2"/>
    <n v="15.0175"/>
  </r>
  <r>
    <s v="JUSTIN"/>
    <s v="03"/>
    <s v="CPSPARRI"/>
    <s v="PARRISH"/>
    <x v="296"/>
    <x v="1"/>
    <x v="1"/>
    <s v="Invoice"/>
    <s v="98484"/>
    <x v="40"/>
    <x v="35"/>
    <x v="29"/>
    <x v="0"/>
    <n v="180"/>
  </r>
  <r>
    <s v="JUSTIN"/>
    <s v="03"/>
    <s v="G&amp;DFARMS"/>
    <s v="MIDDLE"/>
    <x v="294"/>
    <x v="1"/>
    <x v="1"/>
    <s v="Invoice"/>
    <s v="98516"/>
    <x v="99"/>
    <x v="93"/>
    <x v="22"/>
    <x v="2"/>
    <n v="15.02"/>
  </r>
  <r>
    <s v="JUSTIN"/>
    <s v="03"/>
    <s v="FLORIDAF"/>
    <s v="FLORIDA FERTILI"/>
    <x v="289"/>
    <x v="1"/>
    <x v="1"/>
    <s v="Invoice"/>
    <s v="98525"/>
    <x v="29"/>
    <x v="24"/>
    <x v="20"/>
    <x v="1"/>
    <n v="6575"/>
  </r>
  <r>
    <s v=""/>
    <s v="03"/>
    <s v="CPSMULB"/>
    <s v="UAP/MULBERRY"/>
    <x v="289"/>
    <x v="1"/>
    <x v="1"/>
    <s v="Invoice"/>
    <s v="98526"/>
    <x v="5"/>
    <x v="72"/>
    <x v="4"/>
    <x v="0"/>
    <n v="540"/>
  </r>
  <r>
    <s v="JUSTIN"/>
    <s v="03"/>
    <s v="COUNCILO"/>
    <s v="COUNCIL-OXFORD"/>
    <x v="289"/>
    <x v="1"/>
    <x v="1"/>
    <s v="Invoice"/>
    <s v="98544"/>
    <x v="136"/>
    <x v="111"/>
    <x v="46"/>
    <x v="0"/>
    <n v="120"/>
  </r>
  <r>
    <s v="JUSTIN"/>
    <s v="03"/>
    <s v="COUNCILO"/>
    <s v="COUNCIL-OXFORD"/>
    <x v="289"/>
    <x v="1"/>
    <x v="1"/>
    <s v="Invoice"/>
    <s v="98544"/>
    <x v="34"/>
    <x v="29"/>
    <x v="26"/>
    <x v="0"/>
    <n v="180"/>
  </r>
  <r>
    <s v="JUSTIN"/>
    <s v="03"/>
    <s v="COUNCILO"/>
    <s v="COUNCIL-OXFORD"/>
    <x v="289"/>
    <x v="1"/>
    <x v="1"/>
    <s v="Invoice"/>
    <s v="98544"/>
    <x v="41"/>
    <x v="36"/>
    <x v="26"/>
    <x v="0"/>
    <n v="500"/>
  </r>
  <r>
    <s v="JUSTIN"/>
    <s v="03"/>
    <s v="TRIANGLE"/>
    <s v="TRIANGLE/LAKEPL"/>
    <x v="289"/>
    <x v="1"/>
    <x v="1"/>
    <s v="Invoice"/>
    <s v="98546"/>
    <x v="100"/>
    <x v="94"/>
    <x v="41"/>
    <x v="0"/>
    <n v="500"/>
  </r>
  <r>
    <s v="JUSTIN"/>
    <s v="03"/>
    <s v="CPSOKEE"/>
    <s v="OKEE-LIQ PLANT"/>
    <x v="290"/>
    <x v="1"/>
    <x v="1"/>
    <s v="Invoice"/>
    <s v="98556"/>
    <x v="134"/>
    <x v="94"/>
    <x v="41"/>
    <x v="0"/>
    <n v="3974.72"/>
  </r>
  <r>
    <s v="JUSTIN"/>
    <s v="03"/>
    <s v="TRIYIELD"/>
    <s v="MAIN"/>
    <x v="290"/>
    <x v="1"/>
    <x v="1"/>
    <s v="Invoice"/>
    <s v="98562"/>
    <x v="237"/>
    <x v="75"/>
    <x v="26"/>
    <x v="0"/>
    <n v="30"/>
  </r>
  <r>
    <s v="DPOPPELL"/>
    <s v="04"/>
    <s v="FORTGREENFARMS"/>
    <s v="FTGREEN"/>
    <x v="297"/>
    <x v="1"/>
    <x v="1"/>
    <s v="Invoice"/>
    <s v="98252A"/>
    <x v="43"/>
    <x v="38"/>
    <x v="22"/>
    <x v="2"/>
    <n v="7.5"/>
  </r>
  <r>
    <s v="DPOPPELL"/>
    <s v="04"/>
    <s v="SANCHEZFARM"/>
    <s v="WISTERA"/>
    <x v="297"/>
    <x v="1"/>
    <x v="1"/>
    <s v="Invoice"/>
    <s v="98253"/>
    <x v="59"/>
    <x v="52"/>
    <x v="22"/>
    <x v="2"/>
    <n v="5"/>
  </r>
  <r>
    <s v="DPOPPELL"/>
    <s v="04"/>
    <s v="SANCHEZFARM"/>
    <s v="WISTERA"/>
    <x v="297"/>
    <x v="1"/>
    <x v="1"/>
    <s v="Invoice"/>
    <s v="98254"/>
    <x v="43"/>
    <x v="38"/>
    <x v="22"/>
    <x v="2"/>
    <n v="6.5"/>
  </r>
  <r>
    <s v="DPOPPELL"/>
    <s v="04"/>
    <s v="BEAUCHAMP"/>
    <s v="GALLAGHER"/>
    <x v="298"/>
    <x v="1"/>
    <x v="1"/>
    <s v="Invoice"/>
    <s v="98256"/>
    <x v="50"/>
    <x v="43"/>
    <x v="22"/>
    <x v="2"/>
    <n v="10.535"/>
  </r>
  <r>
    <s v="DPOPPELL"/>
    <s v="04"/>
    <s v="FANCYFAR"/>
    <s v="FUTCH LOOP-CTR."/>
    <x v="298"/>
    <x v="1"/>
    <x v="1"/>
    <s v="Invoice"/>
    <s v="98258"/>
    <x v="347"/>
    <x v="308"/>
    <x v="22"/>
    <x v="2"/>
    <n v="15"/>
  </r>
  <r>
    <s v="DPOPPELL"/>
    <s v="04"/>
    <s v="M&amp;GFARMS"/>
    <s v="COUNTY LINE RD"/>
    <x v="298"/>
    <x v="1"/>
    <x v="1"/>
    <s v="Invoice"/>
    <s v="98259"/>
    <x v="58"/>
    <x v="51"/>
    <x v="22"/>
    <x v="2"/>
    <n v="12"/>
  </r>
  <r>
    <s v="DPOPPELL"/>
    <s v="04"/>
    <s v="CHAVEZJOR"/>
    <s v="JOSE' CHAV- COD"/>
    <x v="298"/>
    <x v="1"/>
    <x v="1"/>
    <s v="Invoice"/>
    <s v="98260"/>
    <x v="53"/>
    <x v="46"/>
    <x v="22"/>
    <x v="2"/>
    <n v="0.3"/>
  </r>
  <r>
    <s v="DPOPPELL"/>
    <s v="04"/>
    <s v="IFASGULF"/>
    <s v="BALM-STRAWBERRY"/>
    <x v="298"/>
    <x v="1"/>
    <x v="1"/>
    <s v="Invoice"/>
    <s v="98261"/>
    <x v="28"/>
    <x v="23"/>
    <x v="22"/>
    <x v="2"/>
    <n v="7.5125000000000002"/>
  </r>
  <r>
    <s v="DPOPPELL"/>
    <s v="04"/>
    <s v="GERALDWI"/>
    <s v="MCINTOSH ROAD"/>
    <x v="298"/>
    <x v="1"/>
    <x v="1"/>
    <s v="Invoice"/>
    <s v="98262A"/>
    <x v="43"/>
    <x v="38"/>
    <x v="22"/>
    <x v="2"/>
    <n v="4.4974999999999996"/>
  </r>
  <r>
    <s v="DPOPPELL"/>
    <s v="04"/>
    <s v="JOSEHERN"/>
    <s v="SPARKMAN"/>
    <x v="298"/>
    <x v="1"/>
    <x v="1"/>
    <s v="Invoice"/>
    <s v="98263"/>
    <x v="58"/>
    <x v="51"/>
    <x v="22"/>
    <x v="2"/>
    <n v="15.03"/>
  </r>
  <r>
    <s v="DPOPPELL"/>
    <s v="04"/>
    <s v="JOSEHERN"/>
    <s v="SPARKMAN"/>
    <x v="298"/>
    <x v="1"/>
    <x v="1"/>
    <s v="Invoice"/>
    <s v="98263"/>
    <x v="357"/>
    <x v="317"/>
    <x v="25"/>
    <x v="0"/>
    <n v="5.625"/>
  </r>
  <r>
    <s v="DPOPPELL"/>
    <s v="04"/>
    <s v="THREESTA"/>
    <s v="WALDEN-SHEFFIEL"/>
    <x v="298"/>
    <x v="1"/>
    <x v="1"/>
    <s v="Invoice"/>
    <s v="98264"/>
    <x v="67"/>
    <x v="60"/>
    <x v="22"/>
    <x v="2"/>
    <n v="15.03"/>
  </r>
  <r>
    <s v="DPOPPELL"/>
    <s v="04"/>
    <s v="SWEETLIFE"/>
    <s v="MCGEE RD."/>
    <x v="298"/>
    <x v="1"/>
    <x v="1"/>
    <s v="Invoice"/>
    <s v="98269"/>
    <x v="27"/>
    <x v="22"/>
    <x v="22"/>
    <x v="2"/>
    <n v="4.5049999999999999"/>
  </r>
  <r>
    <s v="DPOPPELL"/>
    <s v="04"/>
    <s v="MIDWAYF"/>
    <s v="FORBES"/>
    <x v="298"/>
    <x v="1"/>
    <x v="1"/>
    <s v="Invoice"/>
    <s v="98270"/>
    <x v="27"/>
    <x v="22"/>
    <x v="22"/>
    <x v="2"/>
    <n v="4.76"/>
  </r>
  <r>
    <s v="DPOPPELL"/>
    <s v="04"/>
    <s v="SWEETLIFE"/>
    <s v="SAMALLEN-NORTH"/>
    <x v="298"/>
    <x v="1"/>
    <x v="1"/>
    <s v="Invoice"/>
    <s v="98271"/>
    <x v="27"/>
    <x v="22"/>
    <x v="22"/>
    <x v="2"/>
    <n v="13.512499999999999"/>
  </r>
  <r>
    <s v="DPOPPELL"/>
    <s v="04"/>
    <s v="CARLTONTHOMAS"/>
    <s v="GRANGEHALL"/>
    <x v="291"/>
    <x v="1"/>
    <x v="1"/>
    <s v="Invoice"/>
    <s v="98272"/>
    <x v="71"/>
    <x v="64"/>
    <x v="22"/>
    <x v="2"/>
    <n v="15.06"/>
  </r>
  <r>
    <s v="DPOPPELL"/>
    <s v="04"/>
    <s v="CIRCLEGF&amp;R LLC"/>
    <s v="PUMP4"/>
    <x v="291"/>
    <x v="1"/>
    <x v="1"/>
    <s v="Invoice"/>
    <s v="98273"/>
    <x v="27"/>
    <x v="22"/>
    <x v="22"/>
    <x v="2"/>
    <n v="14.994999999999999"/>
  </r>
  <r>
    <s v="DPOPPELL"/>
    <s v="04"/>
    <s v="FRANKLIN"/>
    <s v="MCGEE RD. NORTH"/>
    <x v="291"/>
    <x v="1"/>
    <x v="1"/>
    <s v="Invoice"/>
    <s v="98274"/>
    <x v="28"/>
    <x v="23"/>
    <x v="22"/>
    <x v="2"/>
    <n v="7.5049999999999999"/>
  </r>
  <r>
    <s v="DPOPPELL"/>
    <s v="04"/>
    <s v="LEE GILLM"/>
    <s v="THONOTOSASSA"/>
    <x v="291"/>
    <x v="1"/>
    <x v="1"/>
    <s v="Invoice"/>
    <s v="98275"/>
    <x v="63"/>
    <x v="56"/>
    <x v="22"/>
    <x v="2"/>
    <n v="2.99"/>
  </r>
  <r>
    <s v="DPOPPELL"/>
    <s v="04"/>
    <s v="CIRCLEGF&amp;R LLC"/>
    <s v="KNIGHTS-N-#16"/>
    <x v="291"/>
    <x v="1"/>
    <x v="1"/>
    <s v="Invoice"/>
    <s v="98276"/>
    <x v="27"/>
    <x v="22"/>
    <x v="22"/>
    <x v="2"/>
    <n v="7.51"/>
  </r>
  <r>
    <s v="DPOPPELL"/>
    <s v="04"/>
    <s v="GAONA, ESPER"/>
    <s v="STRAUSS RD."/>
    <x v="291"/>
    <x v="1"/>
    <x v="1"/>
    <s v="Invoice"/>
    <s v="98277"/>
    <x v="58"/>
    <x v="51"/>
    <x v="22"/>
    <x v="2"/>
    <n v="1.2575000000000001"/>
  </r>
  <r>
    <s v="DPOPPELL"/>
    <s v="04"/>
    <s v="FFA"/>
    <s v="MAIN"/>
    <x v="291"/>
    <x v="1"/>
    <x v="1"/>
    <s v="Invoice"/>
    <s v="98278"/>
    <x v="58"/>
    <x v="51"/>
    <x v="22"/>
    <x v="2"/>
    <n v="0.49249999999999999"/>
  </r>
  <r>
    <s v="DPOPPELL"/>
    <s v="04"/>
    <s v="TWINFARMS"/>
    <s v="MAIN"/>
    <x v="299"/>
    <x v="1"/>
    <x v="1"/>
    <s v="Invoice"/>
    <s v="98279"/>
    <x v="53"/>
    <x v="46"/>
    <x v="22"/>
    <x v="2"/>
    <n v="0.15"/>
  </r>
  <r>
    <s v="DPOPPELL"/>
    <s v="04"/>
    <s v="MIDWAYF"/>
    <s v="WILDER RD."/>
    <x v="300"/>
    <x v="1"/>
    <x v="1"/>
    <s v="Invoice"/>
    <s v="98280"/>
    <x v="27"/>
    <x v="22"/>
    <x v="22"/>
    <x v="2"/>
    <n v="12.5"/>
  </r>
  <r>
    <s v="DPOPPELL"/>
    <s v="04"/>
    <s v="MIDWAYF"/>
    <s v="KNIGHTSGRIFFIN"/>
    <x v="300"/>
    <x v="1"/>
    <x v="1"/>
    <s v="Invoice"/>
    <s v="98281"/>
    <x v="27"/>
    <x v="22"/>
    <x v="22"/>
    <x v="2"/>
    <n v="2.5"/>
  </r>
  <r>
    <s v="DPOPPELL"/>
    <s v="04"/>
    <s v="SWEETFARMS"/>
    <s v="SPRINGHEAD"/>
    <x v="300"/>
    <x v="1"/>
    <x v="1"/>
    <s v="Invoice"/>
    <s v="98282"/>
    <x v="28"/>
    <x v="23"/>
    <x v="22"/>
    <x v="2"/>
    <n v="2"/>
  </r>
  <r>
    <s v="DPOPPELL"/>
    <s v="04"/>
    <s v="GUTIERREZA"/>
    <s v="JOE KING RD"/>
    <x v="300"/>
    <x v="1"/>
    <x v="1"/>
    <s v="Invoice"/>
    <s v="98283"/>
    <x v="43"/>
    <x v="38"/>
    <x v="22"/>
    <x v="2"/>
    <n v="3.75"/>
  </r>
  <r>
    <s v="DPOPPELL"/>
    <s v="04"/>
    <s v="JOSEHERN"/>
    <s v="KEYSVILLE N"/>
    <x v="300"/>
    <x v="1"/>
    <x v="1"/>
    <s v="Invoice"/>
    <s v="98284"/>
    <x v="58"/>
    <x v="51"/>
    <x v="22"/>
    <x v="2"/>
    <n v="10.01"/>
  </r>
  <r>
    <s v="DPOPPELL"/>
    <s v="04"/>
    <s v="CIRCLEGF&amp;R LLC"/>
    <s v="KNIGHTS-N/NORTH"/>
    <x v="299"/>
    <x v="1"/>
    <x v="1"/>
    <s v="Invoice"/>
    <s v="98285"/>
    <x v="27"/>
    <x v="22"/>
    <x v="22"/>
    <x v="2"/>
    <n v="15.03"/>
  </r>
  <r>
    <s v="DPOPPELL"/>
    <s v="04"/>
    <s v="FCFARMS"/>
    <s v="PEEPLES"/>
    <x v="299"/>
    <x v="1"/>
    <x v="1"/>
    <s v="Invoice"/>
    <s v="98286"/>
    <x v="58"/>
    <x v="51"/>
    <x v="22"/>
    <x v="2"/>
    <n v="2"/>
  </r>
  <r>
    <s v="DPOPPELL"/>
    <s v="04"/>
    <s v="CIRCLEGF&amp;R LLC"/>
    <s v="KNIGHTS-N-#12"/>
    <x v="299"/>
    <x v="1"/>
    <x v="1"/>
    <s v="Invoice"/>
    <s v="98287"/>
    <x v="27"/>
    <x v="22"/>
    <x v="22"/>
    <x v="2"/>
    <n v="6"/>
  </r>
  <r>
    <s v="DPOPPELL"/>
    <s v="04"/>
    <s v="FCFARMS"/>
    <s v="HWY39"/>
    <x v="299"/>
    <x v="1"/>
    <x v="1"/>
    <s v="Invoice"/>
    <s v="98288"/>
    <x v="28"/>
    <x v="23"/>
    <x v="22"/>
    <x v="2"/>
    <n v="2"/>
  </r>
  <r>
    <s v="DPOPPELL"/>
    <s v="04"/>
    <s v="JOSEHERN"/>
    <s v="DURANT"/>
    <x v="299"/>
    <x v="1"/>
    <x v="1"/>
    <s v="Invoice"/>
    <s v="98290"/>
    <x v="58"/>
    <x v="51"/>
    <x v="22"/>
    <x v="2"/>
    <n v="14.0025"/>
  </r>
  <r>
    <s v=""/>
    <s v="04"/>
    <s v="SOTERO"/>
    <s v="SOTERO"/>
    <x v="299"/>
    <x v="1"/>
    <x v="1"/>
    <s v="Invoice"/>
    <s v="98291"/>
    <x v="146"/>
    <x v="103"/>
    <x v="43"/>
    <x v="0"/>
    <n v="5"/>
  </r>
  <r>
    <s v="DPOPPELL"/>
    <s v="04"/>
    <s v="MIDWAYF"/>
    <s v="HAGGERTY ROAD"/>
    <x v="299"/>
    <x v="1"/>
    <x v="1"/>
    <s v="Invoice"/>
    <s v="98292"/>
    <x v="27"/>
    <x v="22"/>
    <x v="22"/>
    <x v="2"/>
    <n v="4.5"/>
  </r>
  <r>
    <s v="DPOPPELL"/>
    <s v="04"/>
    <s v="ELIASCEDILLO"/>
    <s v="GALLAGHER"/>
    <x v="299"/>
    <x v="1"/>
    <x v="1"/>
    <s v="Invoice"/>
    <s v="98296"/>
    <x v="43"/>
    <x v="38"/>
    <x v="22"/>
    <x v="2"/>
    <n v="1.25"/>
  </r>
  <r>
    <s v="DPOPPELL"/>
    <s v="04"/>
    <s v="MENDOZAHEC"/>
    <s v="OLIVERRD"/>
    <x v="299"/>
    <x v="1"/>
    <x v="1"/>
    <s v="Invoice"/>
    <s v="98297"/>
    <x v="43"/>
    <x v="38"/>
    <x v="22"/>
    <x v="2"/>
    <n v="9.75"/>
  </r>
  <r>
    <s v="DPOPPELL"/>
    <s v="04"/>
    <s v="SWEETLIFE"/>
    <s v="KNIGHTS GRIFFIN"/>
    <x v="299"/>
    <x v="1"/>
    <x v="1"/>
    <s v="Invoice"/>
    <s v="98298"/>
    <x v="27"/>
    <x v="22"/>
    <x v="22"/>
    <x v="2"/>
    <n v="20"/>
  </r>
  <r>
    <s v="DPOPPELL"/>
    <s v="04"/>
    <s v="STRAWBERRYR"/>
    <s v="RANCH 2"/>
    <x v="283"/>
    <x v="1"/>
    <x v="1"/>
    <s v="Invoice"/>
    <s v="98300"/>
    <x v="67"/>
    <x v="60"/>
    <x v="22"/>
    <x v="2"/>
    <n v="15.0275"/>
  </r>
  <r>
    <s v="DPOPPELL"/>
    <s v="04"/>
    <s v="STRAWBERRYR"/>
    <s v="RANCH 2"/>
    <x v="283"/>
    <x v="1"/>
    <x v="1"/>
    <s v="Invoice"/>
    <s v="98300"/>
    <x v="357"/>
    <x v="317"/>
    <x v="25"/>
    <x v="0"/>
    <n v="5.625"/>
  </r>
  <r>
    <s v="DPOPPELL"/>
    <s v="04"/>
    <s v="TWINFARMS"/>
    <s v="MAIN"/>
    <x v="283"/>
    <x v="1"/>
    <x v="1"/>
    <s v="Invoice"/>
    <s v="98301"/>
    <x v="77"/>
    <x v="37"/>
    <x v="30"/>
    <x v="0"/>
    <n v="30"/>
  </r>
  <r>
    <s v="DPOPPELL"/>
    <s v="04"/>
    <s v="CENFLO ORGANICS"/>
    <s v="MCINTOSH"/>
    <x v="283"/>
    <x v="1"/>
    <x v="1"/>
    <s v="Invoice"/>
    <s v="98303"/>
    <x v="57"/>
    <x v="50"/>
    <x v="22"/>
    <x v="2"/>
    <n v="5"/>
  </r>
  <r>
    <s v="DPOPPELL"/>
    <s v="04"/>
    <s v="DURGAFARMS"/>
    <s v="MAIN"/>
    <x v="283"/>
    <x v="1"/>
    <x v="1"/>
    <s v="Invoice"/>
    <s v="98304"/>
    <x v="58"/>
    <x v="51"/>
    <x v="22"/>
    <x v="2"/>
    <n v="5.01"/>
  </r>
  <r>
    <s v="DPOPPELL"/>
    <s v="04"/>
    <s v="SYDNEYFA"/>
    <s v="SYDNEY-WASHER"/>
    <x v="283"/>
    <x v="1"/>
    <x v="1"/>
    <s v="Invoice"/>
    <s v="98305"/>
    <x v="67"/>
    <x v="60"/>
    <x v="22"/>
    <x v="2"/>
    <n v="5.0125000000000002"/>
  </r>
  <r>
    <s v="DPOPPELL"/>
    <s v="04"/>
    <s v="FIDELCAS"/>
    <s v="CORK / NORTH"/>
    <x v="283"/>
    <x v="1"/>
    <x v="1"/>
    <s v="Invoice"/>
    <s v="98306"/>
    <x v="69"/>
    <x v="62"/>
    <x v="22"/>
    <x v="2"/>
    <n v="2"/>
  </r>
  <r>
    <s v="DPOPPELL"/>
    <s v="04"/>
    <s v="MIKELOTT"/>
    <s v="HILLSBOROUGH"/>
    <x v="283"/>
    <x v="1"/>
    <x v="1"/>
    <s v="Invoice"/>
    <s v="98307"/>
    <x v="43"/>
    <x v="38"/>
    <x v="22"/>
    <x v="2"/>
    <n v="6.25"/>
  </r>
  <r>
    <s v="DPOPPELL"/>
    <s v="04"/>
    <s v="FIDELCAS"/>
    <s v="CORK / NORTH"/>
    <x v="284"/>
    <x v="1"/>
    <x v="1"/>
    <s v="Invoice"/>
    <s v="98309"/>
    <x v="5"/>
    <x v="72"/>
    <x v="4"/>
    <x v="0"/>
    <n v="50"/>
  </r>
  <r>
    <s v="DPOPPELL"/>
    <s v="04"/>
    <s v="FIDELCAS"/>
    <s v="CORK / NORTH"/>
    <x v="284"/>
    <x v="1"/>
    <x v="1"/>
    <s v="Invoice"/>
    <s v="98309"/>
    <x v="34"/>
    <x v="29"/>
    <x v="26"/>
    <x v="0"/>
    <n v="50"/>
  </r>
  <r>
    <s v="DPOPPELL"/>
    <s v="04"/>
    <s v="FERRISFA"/>
    <s v="STRABERRIES"/>
    <x v="284"/>
    <x v="1"/>
    <x v="1"/>
    <s v="Invoice"/>
    <s v="98311"/>
    <x v="72"/>
    <x v="65"/>
    <x v="22"/>
    <x v="2"/>
    <n v="15.0175"/>
  </r>
  <r>
    <s v="DPOPPELL"/>
    <s v="04"/>
    <s v="SWEETFARMS"/>
    <s v="JIMJOHNSON"/>
    <x v="284"/>
    <x v="1"/>
    <x v="1"/>
    <s v="Invoice"/>
    <s v="98312"/>
    <x v="28"/>
    <x v="23"/>
    <x v="22"/>
    <x v="2"/>
    <n v="3"/>
  </r>
  <r>
    <s v="DPOPPELL"/>
    <s v="04"/>
    <s v="TGFARMS"/>
    <s v="MAIN"/>
    <x v="284"/>
    <x v="1"/>
    <x v="1"/>
    <s v="Invoice"/>
    <s v="98313"/>
    <x v="58"/>
    <x v="51"/>
    <x v="22"/>
    <x v="2"/>
    <n v="10.0075"/>
  </r>
  <r>
    <s v="DPOPPELL"/>
    <s v="04"/>
    <s v="FRANKLIN"/>
    <s v="MCGEE RD. NORTH"/>
    <x v="284"/>
    <x v="1"/>
    <x v="1"/>
    <s v="Invoice"/>
    <s v="98314"/>
    <x v="116"/>
    <x v="103"/>
    <x v="43"/>
    <x v="0"/>
    <n v="60"/>
  </r>
  <r>
    <s v="DPOPPELL"/>
    <s v="04"/>
    <s v="MARTINEZMIGUEL"/>
    <s v="MAIN"/>
    <x v="284"/>
    <x v="1"/>
    <x v="1"/>
    <s v="Invoice"/>
    <s v="98316"/>
    <x v="53"/>
    <x v="46"/>
    <x v="22"/>
    <x v="2"/>
    <n v="0.3"/>
  </r>
  <r>
    <s v="DPOPPELL"/>
    <s v="04"/>
    <s v="CHARLIEG-LLC"/>
    <s v="DAIRY"/>
    <x v="284"/>
    <x v="1"/>
    <x v="1"/>
    <s v="Invoice"/>
    <s v="98317"/>
    <x v="27"/>
    <x v="22"/>
    <x v="22"/>
    <x v="2"/>
    <n v="15.0175"/>
  </r>
  <r>
    <s v="DPOPPELL"/>
    <s v="04"/>
    <s v="MIDWAYF"/>
    <s v="NURSERY"/>
    <x v="284"/>
    <x v="1"/>
    <x v="1"/>
    <s v="Invoice"/>
    <s v="98319"/>
    <x v="27"/>
    <x v="22"/>
    <x v="22"/>
    <x v="2"/>
    <n v="9.5225000000000009"/>
  </r>
  <r>
    <s v="DPOPPELL"/>
    <s v="04"/>
    <s v="MIDWAYF"/>
    <s v="ALS - SOUTH"/>
    <x v="284"/>
    <x v="1"/>
    <x v="1"/>
    <s v="Invoice"/>
    <s v="98321"/>
    <x v="27"/>
    <x v="22"/>
    <x v="22"/>
    <x v="2"/>
    <n v="3.5074999999999998"/>
  </r>
  <r>
    <s v="DPOPPELL"/>
    <s v="04"/>
    <s v="MIDWAYF"/>
    <s v="ALS - NORTH"/>
    <x v="284"/>
    <x v="1"/>
    <x v="1"/>
    <s v="Invoice"/>
    <s v="98322"/>
    <x v="27"/>
    <x v="22"/>
    <x v="22"/>
    <x v="2"/>
    <n v="5.0025000000000004"/>
  </r>
  <r>
    <s v="DPOPPELL"/>
    <s v="04"/>
    <s v="MENDOZAHEC"/>
    <s v="HWY60"/>
    <x v="284"/>
    <x v="1"/>
    <x v="1"/>
    <s v="Invoice"/>
    <s v="98323"/>
    <x v="43"/>
    <x v="38"/>
    <x v="22"/>
    <x v="2"/>
    <n v="3.5"/>
  </r>
  <r>
    <s v=""/>
    <s v="04"/>
    <s v="M&amp;GFARMS"/>
    <s v="HAREFAMILYLN"/>
    <x v="284"/>
    <x v="1"/>
    <x v="1"/>
    <s v="Invoice"/>
    <s v="98324"/>
    <x v="58"/>
    <x v="51"/>
    <x v="22"/>
    <x v="2"/>
    <n v="9.01"/>
  </r>
  <r>
    <s v="DPOPPELL"/>
    <s v="04"/>
    <s v="GUTIERREZA"/>
    <s v="JL"/>
    <x v="292"/>
    <x v="1"/>
    <x v="1"/>
    <s v="Invoice"/>
    <s v="98328"/>
    <x v="58"/>
    <x v="51"/>
    <x v="22"/>
    <x v="2"/>
    <n v="4.0250000000000004"/>
  </r>
  <r>
    <s v="DPOPPELL"/>
    <s v="04"/>
    <s v="FAVORITE"/>
    <s v="MCINTOSH ROAD"/>
    <x v="292"/>
    <x v="1"/>
    <x v="1"/>
    <s v="Invoice"/>
    <s v="98330"/>
    <x v="43"/>
    <x v="38"/>
    <x v="22"/>
    <x v="2"/>
    <n v="10.01"/>
  </r>
  <r>
    <s v="DPOPPELL"/>
    <s v="04"/>
    <s v="GWFARMS"/>
    <s v="JAUDONNORTH"/>
    <x v="292"/>
    <x v="1"/>
    <x v="1"/>
    <s v="Invoice"/>
    <s v="98331"/>
    <x v="43"/>
    <x v="38"/>
    <x v="22"/>
    <x v="2"/>
    <n v="1.2549999999999999"/>
  </r>
  <r>
    <s v="DPOPPELL"/>
    <s v="04"/>
    <s v="ALVAREZJ"/>
    <s v="SYDNEY RD"/>
    <x v="292"/>
    <x v="1"/>
    <x v="1"/>
    <s v="Invoice"/>
    <s v="98332"/>
    <x v="58"/>
    <x v="51"/>
    <x v="22"/>
    <x v="2"/>
    <n v="2.0125000000000002"/>
  </r>
  <r>
    <s v="DPOPPELL"/>
    <s v="04"/>
    <s v="ALVAREZJ"/>
    <s v="ROGERS"/>
    <x v="292"/>
    <x v="1"/>
    <x v="1"/>
    <s v="Invoice"/>
    <s v="98333"/>
    <x v="43"/>
    <x v="38"/>
    <x v="22"/>
    <x v="2"/>
    <n v="1.0125"/>
  </r>
  <r>
    <s v="DPOPPELL"/>
    <s v="04"/>
    <s v="FANCYFAR"/>
    <s v="FUTCH LOOP-CTR."/>
    <x v="292"/>
    <x v="1"/>
    <x v="1"/>
    <s v="Invoice"/>
    <s v="98334"/>
    <x v="347"/>
    <x v="308"/>
    <x v="22"/>
    <x v="2"/>
    <n v="15.005000000000001"/>
  </r>
  <r>
    <s v="DPOPPELL"/>
    <s v="04"/>
    <s v="SOUTHERNHILL"/>
    <s v="SCHOFIELD"/>
    <x v="292"/>
    <x v="1"/>
    <x v="1"/>
    <s v="Invoice"/>
    <s v="98335"/>
    <x v="72"/>
    <x v="65"/>
    <x v="22"/>
    <x v="2"/>
    <n v="5.0025000000000004"/>
  </r>
  <r>
    <s v="DPOPPELL"/>
    <s v="04"/>
    <s v="STRAWBERRYR"/>
    <s v="RANCH 1"/>
    <x v="292"/>
    <x v="1"/>
    <x v="1"/>
    <s v="Invoice"/>
    <s v="98339"/>
    <x v="67"/>
    <x v="60"/>
    <x v="22"/>
    <x v="2"/>
    <n v="15.045"/>
  </r>
  <r>
    <s v="DPOPPELL"/>
    <s v="04"/>
    <s v="STRAWBERRYR"/>
    <s v="RANCH 1"/>
    <x v="292"/>
    <x v="1"/>
    <x v="1"/>
    <s v="Invoice"/>
    <s v="98339"/>
    <x v="357"/>
    <x v="317"/>
    <x v="25"/>
    <x v="0"/>
    <n v="5.625"/>
  </r>
  <r>
    <s v=""/>
    <s v="04"/>
    <s v="PORTER HA"/>
    <s v="PASTURE"/>
    <x v="292"/>
    <x v="1"/>
    <x v="1"/>
    <s v="Invoice"/>
    <s v="98340"/>
    <x v="59"/>
    <x v="52"/>
    <x v="22"/>
    <x v="2"/>
    <n v="8.52"/>
  </r>
  <r>
    <s v="DPOPPELL"/>
    <s v="04"/>
    <s v="GUTIERREZA"/>
    <s v="AL SIMMONS RD"/>
    <x v="292"/>
    <x v="1"/>
    <x v="1"/>
    <s v="Invoice"/>
    <s v="98341"/>
    <x v="58"/>
    <x v="51"/>
    <x v="22"/>
    <x v="2"/>
    <n v="1.2549999999999999"/>
  </r>
  <r>
    <s v="DPOPPELL"/>
    <s v="04"/>
    <s v="M&amp;GFARMS"/>
    <s v="SR-674"/>
    <x v="285"/>
    <x v="1"/>
    <x v="1"/>
    <s v="Invoice"/>
    <s v="98346"/>
    <x v="102"/>
    <x v="71"/>
    <x v="34"/>
    <x v="0"/>
    <n v="500"/>
  </r>
  <r>
    <s v="DPOPPELL"/>
    <s v="04"/>
    <s v="IFASGULF"/>
    <s v="BALM-STRAWBERRY"/>
    <x v="285"/>
    <x v="1"/>
    <x v="1"/>
    <s v="Invoice"/>
    <s v="98350"/>
    <x v="111"/>
    <x v="99"/>
    <x v="22"/>
    <x v="2"/>
    <n v="3.75"/>
  </r>
  <r>
    <s v="DPOPPELL"/>
    <s v="04"/>
    <s v="SWEETLIFE"/>
    <s v="GALLAGHER"/>
    <x v="292"/>
    <x v="1"/>
    <x v="1"/>
    <s v="Invoice"/>
    <s v="98351"/>
    <x v="27"/>
    <x v="22"/>
    <x v="22"/>
    <x v="2"/>
    <n v="10.0075"/>
  </r>
  <r>
    <s v="DPOPPELL"/>
    <s v="04"/>
    <s v="GAONA, ESPER"/>
    <s v="WILLIAMSRD"/>
    <x v="292"/>
    <x v="1"/>
    <x v="1"/>
    <s v="Invoice"/>
    <s v="98352"/>
    <x v="58"/>
    <x v="51"/>
    <x v="22"/>
    <x v="2"/>
    <n v="4.2549999999999999"/>
  </r>
  <r>
    <s v="DPOPPELL"/>
    <s v="04"/>
    <s v="ROQUEFARMS"/>
    <s v="SWEETWATER"/>
    <x v="285"/>
    <x v="1"/>
    <x v="1"/>
    <s v="Invoice"/>
    <s v="98353"/>
    <x v="43"/>
    <x v="38"/>
    <x v="22"/>
    <x v="2"/>
    <n v="5"/>
  </r>
  <r>
    <s v="DPOPPELL"/>
    <s v="04"/>
    <s v="GUTIERREZA"/>
    <s v="JOE KING RD"/>
    <x v="285"/>
    <x v="1"/>
    <x v="1"/>
    <s v="Invoice"/>
    <s v="98354"/>
    <x v="43"/>
    <x v="38"/>
    <x v="22"/>
    <x v="2"/>
    <n v="3.2675000000000001"/>
  </r>
  <r>
    <s v="DPOPPELL"/>
    <s v="04"/>
    <s v="CHARLIEG-LLC"/>
    <s v="CHANCY"/>
    <x v="285"/>
    <x v="1"/>
    <x v="1"/>
    <s v="Invoice"/>
    <s v="98355"/>
    <x v="27"/>
    <x v="22"/>
    <x v="22"/>
    <x v="2"/>
    <n v="8.7650000000000006"/>
  </r>
  <r>
    <s v="DPOPPELL"/>
    <s v="04"/>
    <s v="JOEPENA"/>
    <s v="HWY 92"/>
    <x v="285"/>
    <x v="1"/>
    <x v="1"/>
    <s v="Invoice"/>
    <s v="98356"/>
    <x v="114"/>
    <x v="101"/>
    <x v="22"/>
    <x v="2"/>
    <n v="0.75"/>
  </r>
  <r>
    <s v="DPOPPELL"/>
    <s v="04"/>
    <s v="MIDWAYF"/>
    <s v="FRAZIER"/>
    <x v="285"/>
    <x v="1"/>
    <x v="1"/>
    <s v="Invoice"/>
    <s v="98357"/>
    <x v="27"/>
    <x v="22"/>
    <x v="22"/>
    <x v="2"/>
    <n v="5.5149999999999997"/>
  </r>
  <r>
    <s v="DPOPPELL"/>
    <s v="04"/>
    <s v="ROQUEFARMS"/>
    <s v="SWEETWATER"/>
    <x v="301"/>
    <x v="1"/>
    <x v="1"/>
    <s v="Invoice"/>
    <s v="98365"/>
    <x v="110"/>
    <x v="97"/>
    <x v="16"/>
    <x v="0"/>
    <n v="250"/>
  </r>
  <r>
    <s v="DPOPPELL"/>
    <s v="04"/>
    <s v="JOSEHERN"/>
    <s v="TRAPNELL RD/E"/>
    <x v="285"/>
    <x v="1"/>
    <x v="1"/>
    <s v="Invoice"/>
    <s v="98366"/>
    <x v="58"/>
    <x v="51"/>
    <x v="22"/>
    <x v="2"/>
    <n v="2.0074999999999998"/>
  </r>
  <r>
    <s v="DPOPPELL"/>
    <s v="04"/>
    <s v="JOSEHERN"/>
    <s v="COLSON RD"/>
    <x v="285"/>
    <x v="1"/>
    <x v="1"/>
    <s v="Invoice"/>
    <s v="98367"/>
    <x v="43"/>
    <x v="38"/>
    <x v="22"/>
    <x v="2"/>
    <n v="2.0024999999999999"/>
  </r>
  <r>
    <s v="DPOPPELL"/>
    <s v="04"/>
    <s v="RAILROADCITY"/>
    <s v="MAIN"/>
    <x v="301"/>
    <x v="1"/>
    <x v="1"/>
    <s v="Invoice"/>
    <s v="98369"/>
    <x v="43"/>
    <x v="38"/>
    <x v="22"/>
    <x v="2"/>
    <n v="2.5"/>
  </r>
  <r>
    <s v="DPOPPELL"/>
    <s v="04"/>
    <s v="GUTIERREZDAN"/>
    <s v="AL SIMMONS"/>
    <x v="285"/>
    <x v="1"/>
    <x v="1"/>
    <s v="Invoice"/>
    <s v="98370"/>
    <x v="58"/>
    <x v="51"/>
    <x v="22"/>
    <x v="2"/>
    <n v="3"/>
  </r>
  <r>
    <s v="DPOPPELL"/>
    <s v="04"/>
    <s v="CHARLIEG-LLC"/>
    <s v="DAIRY"/>
    <x v="301"/>
    <x v="1"/>
    <x v="1"/>
    <s v="Invoice"/>
    <s v="98371"/>
    <x v="27"/>
    <x v="22"/>
    <x v="22"/>
    <x v="2"/>
    <n v="7.52"/>
  </r>
  <r>
    <s v="DPOPPELL"/>
    <s v="04"/>
    <s v="SYDNEYFA"/>
    <s v="FORBES ROAD"/>
    <x v="301"/>
    <x v="1"/>
    <x v="1"/>
    <s v="Invoice"/>
    <s v="98372"/>
    <x v="67"/>
    <x v="60"/>
    <x v="22"/>
    <x v="2"/>
    <n v="10.012499999999999"/>
  </r>
  <r>
    <s v="DPOPPELL"/>
    <s v="04"/>
    <s v="CARLTONTHOMAS"/>
    <s v="GRANGEHALL"/>
    <x v="301"/>
    <x v="1"/>
    <x v="1"/>
    <s v="Invoice"/>
    <s v="98373"/>
    <x v="71"/>
    <x v="64"/>
    <x v="22"/>
    <x v="2"/>
    <n v="15.035"/>
  </r>
  <r>
    <s v="DPOPPELL"/>
    <s v="04"/>
    <s v="EWSIMMON"/>
    <s v="JERRY SMITH RD"/>
    <x v="301"/>
    <x v="1"/>
    <x v="1"/>
    <s v="Invoice"/>
    <s v="98374"/>
    <x v="268"/>
    <x v="236"/>
    <x v="22"/>
    <x v="2"/>
    <n v="10.029999999999999"/>
  </r>
  <r>
    <s v="DPOPPELL"/>
    <s v="04"/>
    <s v="EWSIMMON"/>
    <s v="JERRY SMITH RD"/>
    <x v="301"/>
    <x v="1"/>
    <x v="1"/>
    <s v="Invoice"/>
    <s v="98374"/>
    <x v="357"/>
    <x v="317"/>
    <x v="25"/>
    <x v="0"/>
    <n v="3.75"/>
  </r>
  <r>
    <s v="DPOPPELL"/>
    <s v="04"/>
    <s v="FLORIDAAG"/>
    <s v="KINGSWAY"/>
    <x v="301"/>
    <x v="1"/>
    <x v="1"/>
    <s v="Invoice"/>
    <s v="98375"/>
    <x v="326"/>
    <x v="289"/>
    <x v="22"/>
    <x v="2"/>
    <n v="2.2475000000000001"/>
  </r>
  <r>
    <s v="DPOPPELL"/>
    <s v="04"/>
    <s v="GUTIERREZDAN"/>
    <s v="THEHILL"/>
    <x v="301"/>
    <x v="1"/>
    <x v="1"/>
    <s v="Invoice"/>
    <s v="98377"/>
    <x v="58"/>
    <x v="51"/>
    <x v="22"/>
    <x v="2"/>
    <n v="14.01"/>
  </r>
  <r>
    <s v="DPOPPELL"/>
    <s v="04"/>
    <s v="MIKELOTT"/>
    <s v="MAILING"/>
    <x v="293"/>
    <x v="1"/>
    <x v="1"/>
    <s v="Invoice"/>
    <s v="98379"/>
    <x v="45"/>
    <x v="37"/>
    <x v="30"/>
    <x v="0"/>
    <n v="250"/>
  </r>
  <r>
    <s v="DPOPPELL"/>
    <s v="04"/>
    <s v="M&amp;GFARMS"/>
    <s v="COUNTY LINE RD"/>
    <x v="293"/>
    <x v="1"/>
    <x v="1"/>
    <s v="Invoice"/>
    <s v="98381"/>
    <x v="58"/>
    <x v="51"/>
    <x v="22"/>
    <x v="2"/>
    <n v="4.0175000000000001"/>
  </r>
  <r>
    <s v="DPOPPELL"/>
    <s v="04"/>
    <s v="GWFARMS"/>
    <s v="JAUDONNORTH"/>
    <x v="293"/>
    <x v="1"/>
    <x v="1"/>
    <s v="Invoice"/>
    <s v="98382B"/>
    <x v="43"/>
    <x v="38"/>
    <x v="22"/>
    <x v="2"/>
    <n v="1.2649999999999999"/>
  </r>
  <r>
    <s v="DPOPPELL"/>
    <s v="04"/>
    <s v="THREESTA"/>
    <s v="WALDEN-SHEFFIEL"/>
    <x v="293"/>
    <x v="1"/>
    <x v="1"/>
    <s v="Invoice"/>
    <s v="98383"/>
    <x v="67"/>
    <x v="60"/>
    <x v="22"/>
    <x v="2"/>
    <n v="10"/>
  </r>
  <r>
    <s v="DPOPPELL"/>
    <s v="04"/>
    <s v="THREESTA"/>
    <s v="WALDEN-SHEFFIEL"/>
    <x v="293"/>
    <x v="1"/>
    <x v="1"/>
    <s v="Invoice"/>
    <s v="98383"/>
    <x v="357"/>
    <x v="317"/>
    <x v="25"/>
    <x v="0"/>
    <n v="3.65"/>
  </r>
  <r>
    <s v="DPOPPELL"/>
    <s v="04"/>
    <s v="LEE GILLM"/>
    <s v="PASTUREPUMP"/>
    <x v="293"/>
    <x v="1"/>
    <x v="1"/>
    <s v="Invoice"/>
    <s v="98384"/>
    <x v="63"/>
    <x v="56"/>
    <x v="22"/>
    <x v="2"/>
    <n v="4.0199999999999996"/>
  </r>
  <r>
    <s v="DPOPPELL"/>
    <s v="04"/>
    <s v="SPIVEYFA"/>
    <s v="HOPEWELL"/>
    <x v="293"/>
    <x v="1"/>
    <x v="1"/>
    <s v="Invoice"/>
    <s v="98385"/>
    <x v="56"/>
    <x v="49"/>
    <x v="22"/>
    <x v="2"/>
    <n v="4"/>
  </r>
  <r>
    <s v="DPOPPELL"/>
    <s v="04"/>
    <s v="ALONSOFARMS"/>
    <s v="SUMNER"/>
    <x v="293"/>
    <x v="1"/>
    <x v="1"/>
    <s v="Invoice"/>
    <s v="98386"/>
    <x v="43"/>
    <x v="38"/>
    <x v="22"/>
    <x v="2"/>
    <n v="3"/>
  </r>
  <r>
    <s v="DPOPPELL"/>
    <s v="04"/>
    <s v="SWEETLIFE"/>
    <s v="KNIGHTS GRIFFIN"/>
    <x v="293"/>
    <x v="1"/>
    <x v="1"/>
    <s v="Invoice"/>
    <s v="98387"/>
    <x v="27"/>
    <x v="22"/>
    <x v="22"/>
    <x v="2"/>
    <n v="14.994999999999999"/>
  </r>
  <r>
    <s v="DPOPPELL"/>
    <s v="04"/>
    <s v="CIRCLEGF&amp;R LLC"/>
    <s v="KNIGHTS-S/W"/>
    <x v="286"/>
    <x v="1"/>
    <x v="1"/>
    <s v="Invoice"/>
    <s v="98388"/>
    <x v="27"/>
    <x v="22"/>
    <x v="22"/>
    <x v="2"/>
    <n v="7.5"/>
  </r>
  <r>
    <s v="DPOPPELL"/>
    <s v="04"/>
    <s v="MIDWAYF"/>
    <s v="WILLIAMS RD-N"/>
    <x v="286"/>
    <x v="1"/>
    <x v="1"/>
    <s v="Invoice"/>
    <s v="98389"/>
    <x v="27"/>
    <x v="22"/>
    <x v="22"/>
    <x v="2"/>
    <n v="2.2675000000000001"/>
  </r>
  <r>
    <s v="DPOPPELL"/>
    <s v="04"/>
    <s v="ROQUEFARMS"/>
    <s v="MEEKHORIZON"/>
    <x v="286"/>
    <x v="1"/>
    <x v="1"/>
    <s v="Invoice"/>
    <s v="98392"/>
    <x v="43"/>
    <x v="38"/>
    <x v="22"/>
    <x v="2"/>
    <n v="5"/>
  </r>
  <r>
    <s v="DPOPPELL"/>
    <s v="04"/>
    <s v="BEAUCHAMP"/>
    <s v="GALLAGHER"/>
    <x v="286"/>
    <x v="1"/>
    <x v="1"/>
    <s v="Invoice"/>
    <s v="98393"/>
    <x v="50"/>
    <x v="43"/>
    <x v="22"/>
    <x v="2"/>
    <n v="9.0075000000000003"/>
  </r>
  <r>
    <s v="DPOPPELL"/>
    <s v="04"/>
    <s v="SRISAIAY"/>
    <s v="SYDNEY DOVER"/>
    <x v="286"/>
    <x v="1"/>
    <x v="1"/>
    <s v="Invoice"/>
    <s v="98394"/>
    <x v="59"/>
    <x v="52"/>
    <x v="22"/>
    <x v="2"/>
    <n v="7.7675000000000001"/>
  </r>
  <r>
    <s v="DPOPPELL"/>
    <s v="04"/>
    <s v="CHBERRY"/>
    <s v="BOBCAT"/>
    <x v="286"/>
    <x v="1"/>
    <x v="1"/>
    <s v="Invoice"/>
    <s v="98395"/>
    <x v="58"/>
    <x v="51"/>
    <x v="22"/>
    <x v="2"/>
    <n v="2.5"/>
  </r>
  <r>
    <s v="DPOPPELL"/>
    <s v="04"/>
    <s v="FRANKLIN"/>
    <s v="THONOTOSASSA"/>
    <x v="286"/>
    <x v="1"/>
    <x v="1"/>
    <s v="Invoice"/>
    <s v="98396"/>
    <x v="110"/>
    <x v="97"/>
    <x v="16"/>
    <x v="0"/>
    <n v="250"/>
  </r>
  <r>
    <s v="DPOPPELL"/>
    <s v="04"/>
    <s v="MENDOZAHEC"/>
    <s v="LONEOAK"/>
    <x v="286"/>
    <x v="1"/>
    <x v="1"/>
    <s v="Invoice"/>
    <s v="98397"/>
    <x v="45"/>
    <x v="37"/>
    <x v="30"/>
    <x v="0"/>
    <n v="250"/>
  </r>
  <r>
    <s v="DPOPPELL"/>
    <s v="04"/>
    <s v="PARKESDA"/>
    <s v="HILL"/>
    <x v="286"/>
    <x v="1"/>
    <x v="1"/>
    <s v="Invoice"/>
    <s v="98399"/>
    <x v="57"/>
    <x v="50"/>
    <x v="22"/>
    <x v="2"/>
    <n v="10"/>
  </r>
  <r>
    <s v="DPOPPELL"/>
    <s v="04"/>
    <s v="PARKESDA"/>
    <s v="BILOXI"/>
    <x v="286"/>
    <x v="1"/>
    <x v="1"/>
    <s v="Invoice"/>
    <s v="98400"/>
    <x v="57"/>
    <x v="50"/>
    <x v="22"/>
    <x v="2"/>
    <n v="7.5"/>
  </r>
  <r>
    <s v="DPOPPELL"/>
    <s v="04"/>
    <s v="FFA"/>
    <s v="BARRINGTON"/>
    <x v="286"/>
    <x v="1"/>
    <x v="1"/>
    <s v="Invoice"/>
    <s v="98401"/>
    <x v="58"/>
    <x v="51"/>
    <x v="22"/>
    <x v="2"/>
    <n v="1.2575000000000001"/>
  </r>
  <r>
    <s v="DPOPPELL"/>
    <s v="04"/>
    <s v="TWINFARMS"/>
    <s v="MAIN"/>
    <x v="302"/>
    <x v="1"/>
    <x v="1"/>
    <s v="Invoice"/>
    <s v="98404"/>
    <x v="53"/>
    <x v="46"/>
    <x v="22"/>
    <x v="2"/>
    <n v="0.3"/>
  </r>
  <r>
    <s v="DPOPPELL"/>
    <s v="04"/>
    <s v="ALONSOFARMS"/>
    <s v="WIMAUMA"/>
    <x v="302"/>
    <x v="1"/>
    <x v="1"/>
    <s v="Invoice"/>
    <s v="98406"/>
    <x v="58"/>
    <x v="51"/>
    <x v="22"/>
    <x v="2"/>
    <n v="5"/>
  </r>
  <r>
    <s v="DPOPPELL"/>
    <s v="04"/>
    <s v="IFASGULF"/>
    <s v="BALM-STRAWBERRY"/>
    <x v="302"/>
    <x v="1"/>
    <x v="1"/>
    <s v="Invoice"/>
    <s v="98407"/>
    <x v="28"/>
    <x v="23"/>
    <x v="22"/>
    <x v="2"/>
    <n v="7.5149999999999997"/>
  </r>
  <r>
    <s v="DPOPPELL"/>
    <s v="04"/>
    <s v="MIDWAYF"/>
    <s v="FORBES"/>
    <x v="302"/>
    <x v="1"/>
    <x v="1"/>
    <s v="Invoice"/>
    <s v="98408"/>
    <x v="27"/>
    <x v="22"/>
    <x v="22"/>
    <x v="2"/>
    <n v="8.7624999999999993"/>
  </r>
  <r>
    <s v="DPOPPELL"/>
    <s v="04"/>
    <s v="SWEETLIFE"/>
    <s v="BRYANT S"/>
    <x v="302"/>
    <x v="1"/>
    <x v="1"/>
    <s v="Invoice"/>
    <s v="98409"/>
    <x v="27"/>
    <x v="22"/>
    <x v="22"/>
    <x v="2"/>
    <n v="8.5325000000000006"/>
  </r>
  <r>
    <s v="DPOPPELL"/>
    <s v="04"/>
    <s v="CHAVEZJOR"/>
    <s v="JOSE' CHAV- COD"/>
    <x v="302"/>
    <x v="1"/>
    <x v="1"/>
    <s v="Invoice"/>
    <s v="98410"/>
    <x v="53"/>
    <x v="46"/>
    <x v="22"/>
    <x v="2"/>
    <n v="0.3"/>
  </r>
  <r>
    <s v="DPOPPELL"/>
    <s v="04"/>
    <s v="JOSEHERN"/>
    <s v="KEYSVILLE N"/>
    <x v="302"/>
    <x v="1"/>
    <x v="1"/>
    <s v="Invoice"/>
    <s v="98411A"/>
    <x v="58"/>
    <x v="51"/>
    <x v="22"/>
    <x v="2"/>
    <n v="10.0075"/>
  </r>
  <r>
    <s v="DPOPPELL"/>
    <s v="04"/>
    <s v="JOSEHERN"/>
    <s v="KEYSVILLE N"/>
    <x v="302"/>
    <x v="1"/>
    <x v="1"/>
    <s v="Invoice"/>
    <s v="98412A"/>
    <x v="58"/>
    <x v="51"/>
    <x v="22"/>
    <x v="2"/>
    <n v="10.012499999999999"/>
  </r>
  <r>
    <s v="DPOPPELL"/>
    <s v="04"/>
    <s v="GUTIERREZA"/>
    <s v="DUETTE"/>
    <x v="302"/>
    <x v="1"/>
    <x v="1"/>
    <s v="Invoice"/>
    <s v="98413"/>
    <x v="43"/>
    <x v="38"/>
    <x v="22"/>
    <x v="2"/>
    <n v="10.0075"/>
  </r>
  <r>
    <s v="DPOPPELL"/>
    <s v="04"/>
    <s v="FORTGREENFARMS"/>
    <s v="MAIN"/>
    <x v="302"/>
    <x v="1"/>
    <x v="1"/>
    <s v="Invoice"/>
    <s v="98414"/>
    <x v="34"/>
    <x v="29"/>
    <x v="26"/>
    <x v="0"/>
    <n v="40"/>
  </r>
  <r>
    <s v="DPOPPELL"/>
    <s v="04"/>
    <s v="GUTIERREZA"/>
    <s v="DUETTE"/>
    <x v="302"/>
    <x v="1"/>
    <x v="1"/>
    <s v="Invoice"/>
    <s v="98415"/>
    <x v="43"/>
    <x v="38"/>
    <x v="22"/>
    <x v="2"/>
    <n v="5.0149999999999997"/>
  </r>
  <r>
    <s v="DPOPPELL"/>
    <s v="04"/>
    <s v="JOSEHERN"/>
    <s v="DURANT"/>
    <x v="302"/>
    <x v="1"/>
    <x v="1"/>
    <s v="Invoice"/>
    <s v="98416A"/>
    <x v="58"/>
    <x v="51"/>
    <x v="22"/>
    <x v="2"/>
    <n v="10.0025"/>
  </r>
  <r>
    <s v="DPOPPELL"/>
    <s v="04"/>
    <s v="GAONA, ESPER"/>
    <s v="KEENE"/>
    <x v="302"/>
    <x v="1"/>
    <x v="1"/>
    <s v="Invoice"/>
    <s v="98417A"/>
    <x v="58"/>
    <x v="51"/>
    <x v="22"/>
    <x v="2"/>
    <n v="2.7574999999999998"/>
  </r>
  <r>
    <s v="DPOPPELL"/>
    <s v="04"/>
    <s v="MIDWAYF"/>
    <s v="HAGGERTY ROAD"/>
    <x v="302"/>
    <x v="1"/>
    <x v="1"/>
    <s v="Invoice"/>
    <s v="98418"/>
    <x v="27"/>
    <x v="22"/>
    <x v="22"/>
    <x v="2"/>
    <n v="10.01"/>
  </r>
  <r>
    <s v="DPOPPELL"/>
    <s v="04"/>
    <s v="FORTGREENFARMS"/>
    <s v="MAIN"/>
    <x v="287"/>
    <x v="1"/>
    <x v="1"/>
    <s v="Invoice"/>
    <s v="98420A"/>
    <x v="58"/>
    <x v="51"/>
    <x v="22"/>
    <x v="2"/>
    <n v="7.5"/>
  </r>
  <r>
    <s v="DPOPPELL"/>
    <s v="04"/>
    <s v="FORTGREENFARMS"/>
    <s v="FTGREEN"/>
    <x v="287"/>
    <x v="1"/>
    <x v="1"/>
    <s v="Invoice"/>
    <s v="98421B"/>
    <x v="43"/>
    <x v="38"/>
    <x v="22"/>
    <x v="2"/>
    <n v="2.5"/>
  </r>
  <r>
    <s v="DPOPPELL"/>
    <s v="04"/>
    <s v="DURGAFARMS"/>
    <s v="MAIN"/>
    <x v="287"/>
    <x v="1"/>
    <x v="1"/>
    <s v="Invoice"/>
    <s v="98422"/>
    <x v="58"/>
    <x v="51"/>
    <x v="22"/>
    <x v="2"/>
    <n v="5"/>
  </r>
  <r>
    <s v="DPOPPELL"/>
    <s v="04"/>
    <s v="MENDOZAHEC"/>
    <s v="HWY60"/>
    <x v="287"/>
    <x v="1"/>
    <x v="1"/>
    <s v="Invoice"/>
    <s v="98423"/>
    <x v="27"/>
    <x v="22"/>
    <x v="22"/>
    <x v="2"/>
    <n v="3.51"/>
  </r>
  <r>
    <s v="DPOPPELL"/>
    <s v="04"/>
    <s v="GUTIERREZA"/>
    <s v="WASHINGTON"/>
    <x v="287"/>
    <x v="1"/>
    <x v="1"/>
    <s v="Invoice"/>
    <s v="98424A"/>
    <x v="69"/>
    <x v="62"/>
    <x v="22"/>
    <x v="2"/>
    <n v="4"/>
  </r>
  <r>
    <s v="DPOPPELL"/>
    <s v="04"/>
    <s v="FERRISFA"/>
    <s v="STRABERRIES"/>
    <x v="287"/>
    <x v="1"/>
    <x v="1"/>
    <s v="Invoice"/>
    <s v="98425A"/>
    <x v="72"/>
    <x v="65"/>
    <x v="22"/>
    <x v="2"/>
    <n v="10.012499999999999"/>
  </r>
  <r>
    <s v="DPOPPELL"/>
    <s v="04"/>
    <s v="FERRISFA"/>
    <s v="BLUEBERRY-NEW"/>
    <x v="287"/>
    <x v="1"/>
    <x v="1"/>
    <s v="Invoice"/>
    <s v="98426A"/>
    <x v="62"/>
    <x v="55"/>
    <x v="22"/>
    <x v="2"/>
    <n v="5"/>
  </r>
  <r>
    <s v="DPOPPELL"/>
    <s v="04"/>
    <s v="FANCYFAR"/>
    <s v="VOLVO"/>
    <x v="287"/>
    <x v="1"/>
    <x v="1"/>
    <s v="Invoice"/>
    <s v="98427"/>
    <x v="347"/>
    <x v="308"/>
    <x v="22"/>
    <x v="2"/>
    <n v="15.0075"/>
  </r>
  <r>
    <s v="DPOPPELL"/>
    <s v="04"/>
    <s v="FFA"/>
    <s v="SIMMONS"/>
    <x v="287"/>
    <x v="1"/>
    <x v="1"/>
    <s v="Invoice"/>
    <s v="98430"/>
    <x v="28"/>
    <x v="23"/>
    <x v="22"/>
    <x v="2"/>
    <n v="0.15"/>
  </r>
  <r>
    <s v="DPOPPELL"/>
    <s v="04"/>
    <s v="ALVAREZJ"/>
    <s v="ROGERS"/>
    <x v="287"/>
    <x v="1"/>
    <x v="1"/>
    <s v="Invoice"/>
    <s v="98431"/>
    <x v="68"/>
    <x v="61"/>
    <x v="22"/>
    <x v="2"/>
    <n v="2.9950000000000001"/>
  </r>
  <r>
    <s v="DPOPPELL"/>
    <s v="04"/>
    <s v="MENDOZAHEC"/>
    <s v="JAUDON RD"/>
    <x v="287"/>
    <x v="1"/>
    <x v="1"/>
    <s v="Invoice"/>
    <s v="98433"/>
    <x v="69"/>
    <x v="62"/>
    <x v="22"/>
    <x v="2"/>
    <n v="2.4975000000000001"/>
  </r>
  <r>
    <s v="DPOPPELL"/>
    <s v="04"/>
    <s v="BERRYBLISS"/>
    <s v="JAUDONSOUTH"/>
    <x v="287"/>
    <x v="1"/>
    <x v="1"/>
    <s v="Invoice"/>
    <s v="98435A"/>
    <x v="43"/>
    <x v="38"/>
    <x v="22"/>
    <x v="2"/>
    <n v="1.27"/>
  </r>
  <r>
    <s v="DPOPPELL"/>
    <s v="04"/>
    <s v="BUTTSKARL"/>
    <s v="MAIN"/>
    <x v="287"/>
    <x v="1"/>
    <x v="1"/>
    <s v="Invoice"/>
    <s v="98440"/>
    <x v="114"/>
    <x v="101"/>
    <x v="22"/>
    <x v="2"/>
    <n v="2.5"/>
  </r>
  <r>
    <s v="DPOPPELL"/>
    <s v="04"/>
    <s v="FFA"/>
    <s v="DURANT"/>
    <x v="287"/>
    <x v="1"/>
    <x v="1"/>
    <s v="Invoice"/>
    <s v="98441"/>
    <x v="28"/>
    <x v="23"/>
    <x v="22"/>
    <x v="2"/>
    <n v="1"/>
  </r>
  <r>
    <s v="DPOPPELL"/>
    <s v="04"/>
    <s v="EWSIMMON"/>
    <s v="MUD LK-BLUEBERR"/>
    <x v="287"/>
    <x v="1"/>
    <x v="1"/>
    <s v="Invoice"/>
    <s v="98442"/>
    <x v="268"/>
    <x v="236"/>
    <x v="22"/>
    <x v="2"/>
    <n v="7.51"/>
  </r>
  <r>
    <s v="DPOPPELL"/>
    <s v="04"/>
    <s v="EWSIMMON"/>
    <s v="MUD LK-BLUEBERR"/>
    <x v="287"/>
    <x v="1"/>
    <x v="1"/>
    <s v="Invoice"/>
    <s v="98442"/>
    <x v="357"/>
    <x v="317"/>
    <x v="25"/>
    <x v="0"/>
    <n v="2.8125"/>
  </r>
  <r>
    <s v="DPOPPELL"/>
    <s v="04"/>
    <s v="DESHONGK"/>
    <s v="KNIGHTS/SCHOOL"/>
    <x v="287"/>
    <x v="1"/>
    <x v="1"/>
    <s v="Invoice"/>
    <s v="98444A"/>
    <x v="43"/>
    <x v="38"/>
    <x v="22"/>
    <x v="2"/>
    <n v="7.02"/>
  </r>
  <r>
    <s v="DPOPPELL"/>
    <s v="04"/>
    <s v="ROQUEFARMS"/>
    <s v="SWEETWATER"/>
    <x v="287"/>
    <x v="1"/>
    <x v="1"/>
    <s v="Invoice"/>
    <s v="98448"/>
    <x v="43"/>
    <x v="38"/>
    <x v="22"/>
    <x v="2"/>
    <n v="6"/>
  </r>
  <r>
    <s v="DPOPPELL"/>
    <s v="04"/>
    <s v="TWINFARMS"/>
    <s v="MAIN"/>
    <x v="287"/>
    <x v="1"/>
    <x v="1"/>
    <s v="Invoice"/>
    <s v="98449"/>
    <x v="34"/>
    <x v="29"/>
    <x v="26"/>
    <x v="0"/>
    <n v="5"/>
  </r>
  <r>
    <s v="DPOPPELL"/>
    <s v="04"/>
    <s v="TWINFARMS"/>
    <s v="MAIN"/>
    <x v="287"/>
    <x v="1"/>
    <x v="1"/>
    <s v="Invoice"/>
    <s v="98450"/>
    <x v="53"/>
    <x v="46"/>
    <x v="22"/>
    <x v="2"/>
    <n v="0.15"/>
  </r>
  <r>
    <s v="DPOPPELL"/>
    <s v="04"/>
    <s v="M&amp;GFARMS"/>
    <s v="HWY 640"/>
    <x v="287"/>
    <x v="1"/>
    <x v="1"/>
    <s v="Invoice"/>
    <s v="98452"/>
    <x v="58"/>
    <x v="51"/>
    <x v="22"/>
    <x v="2"/>
    <n v="5"/>
  </r>
  <r>
    <s v="DPOPPELL"/>
    <s v="04"/>
    <s v="FILEMONMARTINEZ"/>
    <s v="MAILING"/>
    <x v="287"/>
    <x v="1"/>
    <x v="1"/>
    <s v="Invoice"/>
    <s v="98453"/>
    <x v="77"/>
    <x v="37"/>
    <x v="30"/>
    <x v="0"/>
    <n v="30"/>
  </r>
  <r>
    <s v="DPOPPELL"/>
    <s v="04"/>
    <s v="SWEETLIFE"/>
    <s v="KNIGHTS GRIFFIN"/>
    <x v="295"/>
    <x v="1"/>
    <x v="1"/>
    <s v="Invoice"/>
    <s v="98454A"/>
    <x v="27"/>
    <x v="22"/>
    <x v="22"/>
    <x v="2"/>
    <n v="15.0025"/>
  </r>
  <r>
    <s v="DPOPPELL"/>
    <s v="04"/>
    <s v="SOUTHERNHILL"/>
    <s v="SCHOFIELD"/>
    <x v="295"/>
    <x v="1"/>
    <x v="1"/>
    <s v="Invoice"/>
    <s v="98455"/>
    <x v="43"/>
    <x v="38"/>
    <x v="22"/>
    <x v="2"/>
    <n v="1.2725"/>
  </r>
  <r>
    <s v="DPOPPELL"/>
    <s v="04"/>
    <s v="SOUTHERNHILL"/>
    <s v="SCHOFIELD"/>
    <x v="295"/>
    <x v="1"/>
    <x v="1"/>
    <s v="Invoice"/>
    <s v="98456A"/>
    <x v="72"/>
    <x v="65"/>
    <x v="22"/>
    <x v="2"/>
    <n v="4.99"/>
  </r>
  <r>
    <s v="DPOPPELL"/>
    <s v="04"/>
    <s v="CIRCLEGF&amp;R LLC"/>
    <s v="KNIGHTS-N-#16"/>
    <x v="295"/>
    <x v="1"/>
    <x v="1"/>
    <s v="Invoice"/>
    <s v="98457A"/>
    <x v="27"/>
    <x v="22"/>
    <x v="22"/>
    <x v="2"/>
    <n v="15.022500000000001"/>
  </r>
  <r>
    <s v="DPOPPELL"/>
    <s v="04"/>
    <s v="CIRCLEGF&amp;R LLC"/>
    <s v="PUMP4"/>
    <x v="295"/>
    <x v="1"/>
    <x v="1"/>
    <s v="Invoice"/>
    <s v="98459"/>
    <x v="27"/>
    <x v="22"/>
    <x v="22"/>
    <x v="2"/>
    <n v="15.045"/>
  </r>
  <r>
    <s v="DPOPPELL"/>
    <s v="04"/>
    <s v="SWEETLIFE"/>
    <s v="FOSTER DUKES N"/>
    <x v="295"/>
    <x v="1"/>
    <x v="1"/>
    <s v="Invoice"/>
    <s v="98460"/>
    <x v="27"/>
    <x v="22"/>
    <x v="22"/>
    <x v="2"/>
    <n v="14.0375"/>
  </r>
  <r>
    <s v="DPOPPELL"/>
    <s v="04"/>
    <s v="FRANKLIN"/>
    <s v="FRANKLIN FARM"/>
    <x v="295"/>
    <x v="1"/>
    <x v="1"/>
    <s v="Invoice"/>
    <s v="98461"/>
    <x v="43"/>
    <x v="38"/>
    <x v="22"/>
    <x v="2"/>
    <n v="9.9975000000000005"/>
  </r>
  <r>
    <s v="DPOPPELL"/>
    <s v="04"/>
    <s v="FRANKLIN"/>
    <s v="MCGEE RD. NORTH"/>
    <x v="295"/>
    <x v="1"/>
    <x v="1"/>
    <s v="Invoice"/>
    <s v="98462"/>
    <x v="375"/>
    <x v="329"/>
    <x v="22"/>
    <x v="2"/>
    <n v="5"/>
  </r>
  <r>
    <s v="DPOPPELL"/>
    <s v="04"/>
    <s v="STRAWBERRYR"/>
    <s v="RANCH 4"/>
    <x v="295"/>
    <x v="1"/>
    <x v="1"/>
    <s v="Invoice"/>
    <s v="98464"/>
    <x v="67"/>
    <x v="60"/>
    <x v="22"/>
    <x v="2"/>
    <n v="15"/>
  </r>
  <r>
    <s v="DPOPPELL"/>
    <s v="04"/>
    <s v="STRAWBERRYR"/>
    <s v="RANCH 4"/>
    <x v="295"/>
    <x v="1"/>
    <x v="1"/>
    <s v="Invoice"/>
    <s v="98464"/>
    <x v="357"/>
    <x v="317"/>
    <x v="25"/>
    <x v="0"/>
    <n v="5.625"/>
  </r>
  <r>
    <s v="DPOPPELL"/>
    <s v="04"/>
    <s v="SWEETLIFE"/>
    <s v="SAMALLEN-NORTH"/>
    <x v="288"/>
    <x v="1"/>
    <x v="1"/>
    <s v="Invoice"/>
    <s v="98466"/>
    <x v="27"/>
    <x v="22"/>
    <x v="22"/>
    <x v="2"/>
    <n v="15.0175"/>
  </r>
  <r>
    <s v="DPOPPELL"/>
    <s v="04"/>
    <s v="SWEETLIFE"/>
    <s v="SWINDLEN"/>
    <x v="288"/>
    <x v="1"/>
    <x v="1"/>
    <s v="Invoice"/>
    <s v="98467"/>
    <x v="27"/>
    <x v="22"/>
    <x v="22"/>
    <x v="2"/>
    <n v="15"/>
  </r>
  <r>
    <s v="DPOPPELL"/>
    <s v="04"/>
    <s v="BONIFACIO"/>
    <s v="MAILING"/>
    <x v="288"/>
    <x v="1"/>
    <x v="1"/>
    <s v="Invoice"/>
    <s v="98468"/>
    <x v="77"/>
    <x v="37"/>
    <x v="30"/>
    <x v="0"/>
    <n v="30"/>
  </r>
  <r>
    <s v="DPOPPELL"/>
    <s v="04"/>
    <s v="GUTIERREZA"/>
    <s v="TOMGALLAGHER"/>
    <x v="288"/>
    <x v="1"/>
    <x v="1"/>
    <s v="Invoice"/>
    <s v="98469"/>
    <x v="58"/>
    <x v="51"/>
    <x v="22"/>
    <x v="2"/>
    <n v="6"/>
  </r>
  <r>
    <s v="DPOPPELL"/>
    <s v="04"/>
    <s v="CENFLO ORGANICS"/>
    <s v="MCINTOSH"/>
    <x v="288"/>
    <x v="1"/>
    <x v="1"/>
    <s v="Invoice"/>
    <s v="98470"/>
    <x v="65"/>
    <x v="58"/>
    <x v="22"/>
    <x v="2"/>
    <n v="5.0025000000000004"/>
  </r>
  <r>
    <s v="DPOPPELL"/>
    <s v="04"/>
    <s v="MIDWAYF"/>
    <s v="ALS - SOUTH"/>
    <x v="288"/>
    <x v="1"/>
    <x v="1"/>
    <s v="Invoice"/>
    <s v="98471"/>
    <x v="27"/>
    <x v="22"/>
    <x v="22"/>
    <x v="2"/>
    <n v="5.7575000000000003"/>
  </r>
  <r>
    <s v="DPOPPELL"/>
    <s v="04"/>
    <s v="MIDWAYF"/>
    <s v="NURSERY"/>
    <x v="288"/>
    <x v="1"/>
    <x v="1"/>
    <s v="Invoice"/>
    <s v="98472"/>
    <x v="27"/>
    <x v="22"/>
    <x v="22"/>
    <x v="2"/>
    <n v="7.0075000000000003"/>
  </r>
  <r>
    <s v="DPOPPELL"/>
    <s v="04"/>
    <s v="IFASGULF"/>
    <s v="BALM-STRAWBERRY"/>
    <x v="288"/>
    <x v="1"/>
    <x v="1"/>
    <s v="Invoice"/>
    <s v="98475A"/>
    <x v="28"/>
    <x v="23"/>
    <x v="22"/>
    <x v="2"/>
    <n v="7.4850000000000003"/>
  </r>
  <r>
    <s v="DPOPPELL"/>
    <s v="04"/>
    <s v="MIDWAYF"/>
    <s v="FRAZIER"/>
    <x v="288"/>
    <x v="1"/>
    <x v="1"/>
    <s v="Invoice"/>
    <s v="98476"/>
    <x v="27"/>
    <x v="22"/>
    <x v="22"/>
    <x v="2"/>
    <n v="8.2449999999999992"/>
  </r>
  <r>
    <s v="DPOPPELL"/>
    <s v="04"/>
    <s v="SYDNEYFA"/>
    <s v="SYDNEY-WASHER"/>
    <x v="288"/>
    <x v="1"/>
    <x v="1"/>
    <s v="Invoice"/>
    <s v="98477"/>
    <x v="67"/>
    <x v="60"/>
    <x v="22"/>
    <x v="2"/>
    <n v="2.5"/>
  </r>
  <r>
    <s v="DPOPPELL"/>
    <s v="04"/>
    <s v="FANCYFAR"/>
    <s v="CASON3"/>
    <x v="296"/>
    <x v="1"/>
    <x v="1"/>
    <s v="Invoice"/>
    <s v="98479"/>
    <x v="347"/>
    <x v="308"/>
    <x v="22"/>
    <x v="2"/>
    <n v="15.02"/>
  </r>
  <r>
    <s v="DPOPPELL"/>
    <s v="04"/>
    <s v="CIRCLEGF&amp;R LLC"/>
    <s v="KNIGHTS-N/NORTH"/>
    <x v="288"/>
    <x v="1"/>
    <x v="1"/>
    <s v="Invoice"/>
    <s v="98480"/>
    <x v="27"/>
    <x v="22"/>
    <x v="22"/>
    <x v="2"/>
    <n v="3.0074999999999998"/>
  </r>
  <r>
    <s v="DPOPPELL"/>
    <s v="04"/>
    <s v="SWEETLIFE"/>
    <s v="KEENE RD."/>
    <x v="288"/>
    <x v="1"/>
    <x v="1"/>
    <s v="Invoice"/>
    <s v="98481"/>
    <x v="27"/>
    <x v="22"/>
    <x v="22"/>
    <x v="2"/>
    <n v="9.0574999999999992"/>
  </r>
  <r>
    <s v="DPOPPELL"/>
    <s v="04"/>
    <s v="SANCHEZFARM"/>
    <s v="574"/>
    <x v="288"/>
    <x v="1"/>
    <x v="1"/>
    <s v="Invoice"/>
    <s v="98482"/>
    <x v="67"/>
    <x v="60"/>
    <x v="22"/>
    <x v="2"/>
    <n v="13.03"/>
  </r>
  <r>
    <s v="DPOPPELL"/>
    <s v="04"/>
    <s v="CARLTONTHOMAS"/>
    <s v="GRANGEHALL"/>
    <x v="296"/>
    <x v="1"/>
    <x v="1"/>
    <s v="Invoice"/>
    <s v="98483"/>
    <x v="71"/>
    <x v="64"/>
    <x v="22"/>
    <x v="2"/>
    <n v="15"/>
  </r>
  <r>
    <s v="DPOPPELL"/>
    <s v="04"/>
    <s v="EWSIMMON"/>
    <s v="JERRYSMITH/SO"/>
    <x v="296"/>
    <x v="1"/>
    <x v="1"/>
    <s v="Invoice"/>
    <s v="98485"/>
    <x v="142"/>
    <x v="123"/>
    <x v="0"/>
    <x v="0"/>
    <n v="250"/>
  </r>
  <r>
    <s v="DPOPPELL"/>
    <s v="04"/>
    <s v="MARTINEZMIGUEL"/>
    <s v="MAIN"/>
    <x v="296"/>
    <x v="1"/>
    <x v="1"/>
    <s v="Invoice"/>
    <s v="98486"/>
    <x v="53"/>
    <x v="46"/>
    <x v="22"/>
    <x v="2"/>
    <n v="0.3"/>
  </r>
  <r>
    <s v="DPOPPELL"/>
    <s v="04"/>
    <s v="JOSEHERN"/>
    <s v="SPARKMAN"/>
    <x v="296"/>
    <x v="1"/>
    <x v="1"/>
    <s v="Invoice"/>
    <s v="98487"/>
    <x v="58"/>
    <x v="51"/>
    <x v="22"/>
    <x v="2"/>
    <n v="10.02"/>
  </r>
  <r>
    <s v="DPOPPELL"/>
    <s v="04"/>
    <s v="JOSEHERN"/>
    <s v="SPARKMAN"/>
    <x v="296"/>
    <x v="1"/>
    <x v="1"/>
    <s v="Invoice"/>
    <s v="98487"/>
    <x v="357"/>
    <x v="317"/>
    <x v="25"/>
    <x v="0"/>
    <n v="3.75"/>
  </r>
  <r>
    <s v="DPOPPELL"/>
    <s v="04"/>
    <s v="CHARLIEG-LLC"/>
    <s v="FORBES RD"/>
    <x v="296"/>
    <x v="1"/>
    <x v="1"/>
    <s v="Invoice"/>
    <s v="98488"/>
    <x v="27"/>
    <x v="22"/>
    <x v="22"/>
    <x v="2"/>
    <n v="12.53"/>
  </r>
  <r>
    <s v="DPOPPELL"/>
    <s v="04"/>
    <s v="LARRYENN"/>
    <s v="CASON ROAD"/>
    <x v="296"/>
    <x v="1"/>
    <x v="1"/>
    <s v="Invoice"/>
    <s v="98489"/>
    <x v="58"/>
    <x v="51"/>
    <x v="22"/>
    <x v="2"/>
    <n v="3.76"/>
  </r>
  <r>
    <s v="DPOPPELL"/>
    <s v="04"/>
    <s v="STRAWBERRYR"/>
    <s v="RANCH 1"/>
    <x v="296"/>
    <x v="1"/>
    <x v="1"/>
    <s v="Invoice"/>
    <s v="98490"/>
    <x v="143"/>
    <x v="125"/>
    <x v="52"/>
    <x v="0"/>
    <n v="500"/>
  </r>
  <r>
    <s v="DPOPPELL"/>
    <s v="04"/>
    <s v="FANCYFAR"/>
    <s v="FUTCH LOOP-CTR."/>
    <x v="296"/>
    <x v="1"/>
    <x v="1"/>
    <s v="Invoice"/>
    <s v="98491"/>
    <x v="45"/>
    <x v="37"/>
    <x v="30"/>
    <x v="0"/>
    <n v="250"/>
  </r>
  <r>
    <s v="DPOPPELL"/>
    <s v="04"/>
    <s v="THREESTA"/>
    <s v="WALDEN-SHEFFIEL"/>
    <x v="296"/>
    <x v="1"/>
    <x v="1"/>
    <s v="Invoice"/>
    <s v="98492"/>
    <x v="67"/>
    <x v="60"/>
    <x v="22"/>
    <x v="2"/>
    <n v="5"/>
  </r>
  <r>
    <s v="DPOPPELL"/>
    <s v="04"/>
    <s v="THREESTA"/>
    <s v="WALDEN-SHEFFIEL"/>
    <x v="296"/>
    <x v="1"/>
    <x v="1"/>
    <s v="Invoice"/>
    <s v="98492"/>
    <x v="357"/>
    <x v="317"/>
    <x v="25"/>
    <x v="0"/>
    <n v="1.875"/>
  </r>
  <r>
    <s v="DPOPPELL"/>
    <s v="04"/>
    <s v="ALONSOFARMS"/>
    <s v="SCARPO"/>
    <x v="296"/>
    <x v="1"/>
    <x v="1"/>
    <s v="Invoice"/>
    <s v="98493"/>
    <x v="58"/>
    <x v="51"/>
    <x v="22"/>
    <x v="2"/>
    <n v="7.5"/>
  </r>
  <r>
    <s v="DPOPPELL"/>
    <s v="04"/>
    <s v="SANCHEZFARM"/>
    <s v="FORBES RD/SOUTH"/>
    <x v="303"/>
    <x v="1"/>
    <x v="1"/>
    <s v="Invoice"/>
    <s v="98496"/>
    <x v="67"/>
    <x v="60"/>
    <x v="22"/>
    <x v="2"/>
    <n v="5"/>
  </r>
  <r>
    <s v="DPOPPELL"/>
    <s v="04"/>
    <s v="GERALDWI"/>
    <s v="WALDENSHEFFIELD"/>
    <x v="303"/>
    <x v="1"/>
    <x v="1"/>
    <s v="Invoice"/>
    <s v="98497"/>
    <x v="43"/>
    <x v="38"/>
    <x v="22"/>
    <x v="2"/>
    <n v="2.5099999999999998"/>
  </r>
  <r>
    <s v="DPOPPELL"/>
    <s v="04"/>
    <s v="LEE GILLM"/>
    <s v="COW PENS/WEST"/>
    <x v="303"/>
    <x v="1"/>
    <x v="1"/>
    <s v="Invoice"/>
    <s v="98498"/>
    <x v="63"/>
    <x v="56"/>
    <x v="22"/>
    <x v="2"/>
    <n v="2.4849999999999999"/>
  </r>
  <r>
    <s v="DPOPPELL"/>
    <s v="04"/>
    <s v="SPIVEYFA"/>
    <s v="HOPEWELL"/>
    <x v="303"/>
    <x v="1"/>
    <x v="1"/>
    <s v="Invoice"/>
    <s v="98499"/>
    <x v="56"/>
    <x v="49"/>
    <x v="22"/>
    <x v="2"/>
    <n v="3.0225"/>
  </r>
  <r>
    <s v="DPOPPELL"/>
    <s v="04"/>
    <s v="SWEETLIFE"/>
    <s v="KNIGHTS GRIFFIN"/>
    <x v="303"/>
    <x v="1"/>
    <x v="1"/>
    <s v="Invoice"/>
    <s v="98500"/>
    <x v="27"/>
    <x v="22"/>
    <x v="22"/>
    <x v="2"/>
    <n v="10.015000000000001"/>
  </r>
  <r>
    <s v="DPOPPELL"/>
    <s v="04"/>
    <s v="TWINFARMS"/>
    <s v="MAIN"/>
    <x v="303"/>
    <x v="1"/>
    <x v="1"/>
    <s v="Invoice"/>
    <s v="98501"/>
    <x v="53"/>
    <x v="46"/>
    <x v="22"/>
    <x v="2"/>
    <n v="0.3"/>
  </r>
  <r>
    <s v="DPOPPELL"/>
    <s v="04"/>
    <s v="ELIASCEDILLO"/>
    <s v="JESS WALDEN"/>
    <x v="303"/>
    <x v="1"/>
    <x v="1"/>
    <s v="Invoice"/>
    <s v="98502"/>
    <x v="58"/>
    <x v="51"/>
    <x v="22"/>
    <x v="2"/>
    <n v="3.75"/>
  </r>
  <r>
    <s v="DPOPPELL"/>
    <s v="04"/>
    <s v="FLORIDAAG"/>
    <s v="DOVER"/>
    <x v="303"/>
    <x v="1"/>
    <x v="1"/>
    <s v="Invoice"/>
    <s v="98505"/>
    <x v="52"/>
    <x v="45"/>
    <x v="22"/>
    <x v="2"/>
    <n v="2.2749999999999999"/>
  </r>
  <r>
    <s v="DPOPPELL"/>
    <s v="04"/>
    <s v="M&amp;GFARMS"/>
    <s v="ALLENRD"/>
    <x v="303"/>
    <x v="1"/>
    <x v="1"/>
    <s v="Invoice"/>
    <s v="98506"/>
    <x v="28"/>
    <x v="23"/>
    <x v="22"/>
    <x v="2"/>
    <n v="13"/>
  </r>
  <r>
    <s v="DPOPPELL"/>
    <s v="04"/>
    <s v="GUTIERREZDAN"/>
    <s v="FORBES/SLATON"/>
    <x v="303"/>
    <x v="1"/>
    <x v="1"/>
    <s v="Invoice"/>
    <s v="98507"/>
    <x v="58"/>
    <x v="51"/>
    <x v="22"/>
    <x v="2"/>
    <n v="5"/>
  </r>
  <r>
    <s v="DPOPPELL"/>
    <s v="04"/>
    <s v="LEE GILLM"/>
    <s v="THONOTOSASSA"/>
    <x v="303"/>
    <x v="1"/>
    <x v="1"/>
    <s v="Invoice"/>
    <s v="98508"/>
    <x v="63"/>
    <x v="56"/>
    <x v="22"/>
    <x v="2"/>
    <n v="3"/>
  </r>
  <r>
    <s v="DPOPPELL"/>
    <s v="04"/>
    <s v="MIDWAYF"/>
    <s v="ALS - NORTH"/>
    <x v="303"/>
    <x v="1"/>
    <x v="1"/>
    <s v="Invoice"/>
    <s v="98509"/>
    <x v="27"/>
    <x v="22"/>
    <x v="22"/>
    <x v="2"/>
    <n v="5"/>
  </r>
  <r>
    <s v="DPOPPELL"/>
    <s v="04"/>
    <s v="FAVORITE"/>
    <s v="BETHLEHEM ROAD"/>
    <x v="294"/>
    <x v="1"/>
    <x v="1"/>
    <s v="Invoice"/>
    <s v="98514"/>
    <x v="28"/>
    <x v="23"/>
    <x v="22"/>
    <x v="2"/>
    <n v="5"/>
  </r>
  <r>
    <s v="DPOPPELL"/>
    <s v="04"/>
    <s v="MIKELOTT"/>
    <s v="HILLSBOROUGH/E"/>
    <x v="294"/>
    <x v="1"/>
    <x v="1"/>
    <s v="Invoice"/>
    <s v="98515"/>
    <x v="43"/>
    <x v="38"/>
    <x v="22"/>
    <x v="2"/>
    <n v="10.01"/>
  </r>
  <r>
    <s v=""/>
    <s v="04"/>
    <s v="SRISAIAY"/>
    <s v="MAIN"/>
    <x v="294"/>
    <x v="1"/>
    <x v="1"/>
    <s v="Invoice"/>
    <s v="98519"/>
    <x v="59"/>
    <x v="52"/>
    <x v="22"/>
    <x v="2"/>
    <n v="8.75"/>
  </r>
  <r>
    <s v="DPOPPELL"/>
    <s v="04"/>
    <s v="GUTIERREZA"/>
    <s v="DUETTE"/>
    <x v="294"/>
    <x v="1"/>
    <x v="1"/>
    <s v="Invoice"/>
    <s v="98520"/>
    <x v="43"/>
    <x v="38"/>
    <x v="22"/>
    <x v="2"/>
    <n v="12.5"/>
  </r>
  <r>
    <s v=""/>
    <s v="04"/>
    <s v="FCFARMS"/>
    <s v="MAIN"/>
    <x v="294"/>
    <x v="1"/>
    <x v="1"/>
    <s v="Invoice"/>
    <s v="98521"/>
    <x v="28"/>
    <x v="23"/>
    <x v="22"/>
    <x v="2"/>
    <n v="2.5"/>
  </r>
  <r>
    <s v="DPOPPELL"/>
    <s v="04"/>
    <s v="GAONA, ESPER"/>
    <s v="WILLIAMSRD"/>
    <x v="294"/>
    <x v="1"/>
    <x v="1"/>
    <s v="Invoice"/>
    <s v="98522"/>
    <x v="28"/>
    <x v="23"/>
    <x v="22"/>
    <x v="2"/>
    <n v="2.5"/>
  </r>
  <r>
    <s v="DPOPPELL"/>
    <s v="04"/>
    <s v="PORTER HA"/>
    <s v="PASTURE"/>
    <x v="294"/>
    <x v="1"/>
    <x v="1"/>
    <s v="Invoice"/>
    <s v="98523"/>
    <x v="59"/>
    <x v="52"/>
    <x v="22"/>
    <x v="2"/>
    <n v="5"/>
  </r>
  <r>
    <s v="DPOPPELL"/>
    <s v="04"/>
    <s v="FLORIDAAG"/>
    <s v="KINGSWAY"/>
    <x v="289"/>
    <x v="1"/>
    <x v="1"/>
    <s v="Invoice"/>
    <s v="98527"/>
    <x v="326"/>
    <x v="289"/>
    <x v="22"/>
    <x v="2"/>
    <n v="2.2599999999999998"/>
  </r>
  <r>
    <s v="DPOPPELL"/>
    <s v="04"/>
    <s v="BEAUCHAMP"/>
    <s v="SAM ALLEN"/>
    <x v="289"/>
    <x v="1"/>
    <x v="1"/>
    <s v="Invoice"/>
    <s v="98528"/>
    <x v="50"/>
    <x v="43"/>
    <x v="22"/>
    <x v="2"/>
    <n v="7"/>
  </r>
  <r>
    <s v="DPOPPELL"/>
    <s v="04"/>
    <s v="GUTIERREZDAN"/>
    <s v="TANNER RD."/>
    <x v="289"/>
    <x v="1"/>
    <x v="1"/>
    <s v="Invoice"/>
    <s v="98539"/>
    <x v="58"/>
    <x v="51"/>
    <x v="22"/>
    <x v="2"/>
    <n v="14.9975"/>
  </r>
  <r>
    <s v="DPOPPELL"/>
    <s v="04"/>
    <s v="JOEPENA"/>
    <s v="HWY 92"/>
    <x v="289"/>
    <x v="1"/>
    <x v="1"/>
    <s v="Invoice"/>
    <s v="98540"/>
    <x v="114"/>
    <x v="101"/>
    <x v="22"/>
    <x v="2"/>
    <n v="0.75"/>
  </r>
  <r>
    <s v="DPOPPELL"/>
    <s v="04"/>
    <s v="GUTIERREZA"/>
    <s v="DUETTE"/>
    <x v="289"/>
    <x v="1"/>
    <x v="1"/>
    <s v="Invoice"/>
    <s v="98541"/>
    <x v="69"/>
    <x v="62"/>
    <x v="22"/>
    <x v="2"/>
    <n v="12.53"/>
  </r>
  <r>
    <s v="DPOPPELL"/>
    <s v="04"/>
    <s v="FANCYFAR"/>
    <s v="MAILING"/>
    <x v="289"/>
    <x v="1"/>
    <x v="1"/>
    <s v="Invoice"/>
    <s v="98543"/>
    <x v="376"/>
    <x v="330"/>
    <x v="99"/>
    <x v="0"/>
    <n v="5"/>
  </r>
  <r>
    <s v="DPOPPELL"/>
    <s v="04"/>
    <s v="5KFARMS"/>
    <s v="MAIN"/>
    <x v="289"/>
    <x v="1"/>
    <x v="1"/>
    <s v="Invoice"/>
    <s v="98547"/>
    <x v="34"/>
    <x v="29"/>
    <x v="26"/>
    <x v="0"/>
    <n v="45"/>
  </r>
  <r>
    <s v="DPOPPELL"/>
    <s v="04"/>
    <s v="FCFARMS"/>
    <s v="GALLAGHER"/>
    <x v="290"/>
    <x v="1"/>
    <x v="1"/>
    <s v="Invoice"/>
    <s v="98550"/>
    <x v="69"/>
    <x v="62"/>
    <x v="22"/>
    <x v="2"/>
    <n v="3.5"/>
  </r>
  <r>
    <s v="DPOPPELL"/>
    <s v="04"/>
    <s v="JOSEHERN"/>
    <s v="TRAPNELL RD/E"/>
    <x v="290"/>
    <x v="1"/>
    <x v="1"/>
    <s v="Invoice"/>
    <s v="98551"/>
    <x v="55"/>
    <x v="48"/>
    <x v="22"/>
    <x v="2"/>
    <n v="2"/>
  </r>
  <r>
    <s v="DPOPPELL"/>
    <s v="04"/>
    <s v="JOSEHERN"/>
    <s v="DURANT"/>
    <x v="290"/>
    <x v="1"/>
    <x v="1"/>
    <s v="Invoice"/>
    <s v="98552"/>
    <x v="55"/>
    <x v="48"/>
    <x v="22"/>
    <x v="2"/>
    <n v="10"/>
  </r>
  <r>
    <s v="DPOPPELL"/>
    <s v="04"/>
    <s v="JOSEHERN"/>
    <s v="COLSON RD"/>
    <x v="290"/>
    <x v="1"/>
    <x v="1"/>
    <s v="Invoice"/>
    <s v="98553"/>
    <x v="43"/>
    <x v="38"/>
    <x v="22"/>
    <x v="2"/>
    <n v="2"/>
  </r>
  <r>
    <s v="DPOPPELL"/>
    <s v="04"/>
    <s v="CENFLO ORGANICS"/>
    <s v="HWY92"/>
    <x v="290"/>
    <x v="1"/>
    <x v="1"/>
    <s v="Invoice"/>
    <s v="98557"/>
    <x v="65"/>
    <x v="58"/>
    <x v="22"/>
    <x v="2"/>
    <n v="2.0024999999999999"/>
  </r>
  <r>
    <s v="DPOPPELL"/>
    <s v="04"/>
    <s v="GUTIERREZA"/>
    <s v="AL SIMMONS RD"/>
    <x v="290"/>
    <x v="1"/>
    <x v="1"/>
    <s v="Invoice"/>
    <s v="98558"/>
    <x v="58"/>
    <x v="51"/>
    <x v="22"/>
    <x v="2"/>
    <n v="1"/>
  </r>
  <r>
    <s v="DPOPPELL"/>
    <s v="04"/>
    <s v="GUTIERREZDAN"/>
    <s v="HWY 92"/>
    <x v="290"/>
    <x v="1"/>
    <x v="1"/>
    <s v="Invoice"/>
    <s v="98559"/>
    <x v="58"/>
    <x v="51"/>
    <x v="22"/>
    <x v="2"/>
    <n v="4.01"/>
  </r>
  <r>
    <s v="DPOPPELL"/>
    <s v="04"/>
    <s v="MIDWAYF"/>
    <s v="ALS - NORTH"/>
    <x v="290"/>
    <x v="1"/>
    <x v="1"/>
    <s v="Invoice"/>
    <s v="98560"/>
    <x v="27"/>
    <x v="22"/>
    <x v="22"/>
    <x v="2"/>
    <n v="13.5075"/>
  </r>
  <r>
    <s v="DPOPPELL"/>
    <s v="04"/>
    <s v="GUTIERREZA"/>
    <s v="WASHINGTON"/>
    <x v="290"/>
    <x v="1"/>
    <x v="1"/>
    <s v="Invoice"/>
    <s v="98561"/>
    <x v="69"/>
    <x v="62"/>
    <x v="22"/>
    <x v="2"/>
    <n v="4"/>
  </r>
  <r>
    <s v="DPOPPELL"/>
    <s v="04"/>
    <s v="MENDOZAHEC"/>
    <s v="HWY60"/>
    <x v="290"/>
    <x v="1"/>
    <x v="1"/>
    <s v="Invoice"/>
    <s v="98564"/>
    <x v="27"/>
    <x v="22"/>
    <x v="22"/>
    <x v="2"/>
    <n v="8.5374999999999996"/>
  </r>
  <r>
    <s v="DPOPPELL"/>
    <s v="04"/>
    <s v="TWINFARMS"/>
    <s v="WIMAUMA"/>
    <x v="290"/>
    <x v="1"/>
    <x v="1"/>
    <s v="Invoice"/>
    <s v="98565"/>
    <x v="53"/>
    <x v="46"/>
    <x v="22"/>
    <x v="2"/>
    <n v="2"/>
  </r>
  <r>
    <s v="DPOPPELL"/>
    <s v="04"/>
    <s v="MIDWAYF"/>
    <s v="WILLIAMS RD-N"/>
    <x v="290"/>
    <x v="1"/>
    <x v="1"/>
    <s v="Invoice"/>
    <s v="98567"/>
    <x v="27"/>
    <x v="22"/>
    <x v="22"/>
    <x v="2"/>
    <n v="2"/>
  </r>
  <r>
    <s v="DPOPPELL"/>
    <s v="04"/>
    <s v="PARKESDA"/>
    <s v="HILL"/>
    <x v="290"/>
    <x v="1"/>
    <x v="1"/>
    <s v="Invoice"/>
    <s v="98568"/>
    <x v="65"/>
    <x v="58"/>
    <x v="22"/>
    <x v="2"/>
    <n v="10"/>
  </r>
  <r>
    <s v="DPOPPELL"/>
    <s v="04"/>
    <s v="BERRYBLISS"/>
    <s v="TURKEY CREEK/SO"/>
    <x v="290"/>
    <x v="1"/>
    <x v="1"/>
    <s v="Invoice"/>
    <s v="98569"/>
    <x v="43"/>
    <x v="38"/>
    <x v="22"/>
    <x v="2"/>
    <n v="2.5"/>
  </r>
  <r>
    <s v="DPOPPELL"/>
    <s v="04"/>
    <s v="THREESTA"/>
    <s v="WALDEN-SHEFFIEL"/>
    <x v="290"/>
    <x v="1"/>
    <x v="1"/>
    <s v="Invoice"/>
    <s v="98570"/>
    <x v="377"/>
    <x v="331"/>
    <x v="22"/>
    <x v="2"/>
    <n v="12.0175"/>
  </r>
  <r>
    <s v="DPOPPELL"/>
    <s v="04"/>
    <s v="THREESTA"/>
    <s v="WALDEN-SHEFFIEL"/>
    <x v="290"/>
    <x v="1"/>
    <x v="1"/>
    <s v="Invoice"/>
    <s v="98570"/>
    <x v="357"/>
    <x v="317"/>
    <x v="25"/>
    <x v="0"/>
    <n v="4.5"/>
  </r>
  <r>
    <s v="HOUSE"/>
    <s v="05"/>
    <s v="SOUTHERN"/>
    <s v="SOUTHERN AG"/>
    <x v="284"/>
    <x v="1"/>
    <x v="1"/>
    <s v="Invoice"/>
    <s v="98325"/>
    <x v="101"/>
    <x v="21"/>
    <x v="21"/>
    <x v="0"/>
    <n v="60"/>
  </r>
  <r>
    <s v="HOUSE"/>
    <s v="05"/>
    <s v="SOUTHERN"/>
    <s v="SOUTHERN AG"/>
    <x v="284"/>
    <x v="1"/>
    <x v="1"/>
    <s v="Invoice"/>
    <s v="98325"/>
    <x v="33"/>
    <x v="28"/>
    <x v="2"/>
    <x v="0"/>
    <n v="180"/>
  </r>
  <r>
    <s v="HOUSE"/>
    <s v="05"/>
    <s v="SOUTHERN"/>
    <s v="SOUTHERN AG"/>
    <x v="284"/>
    <x v="1"/>
    <x v="1"/>
    <s v="Invoice"/>
    <s v="98325"/>
    <x v="119"/>
    <x v="108"/>
    <x v="44"/>
    <x v="0"/>
    <n v="60"/>
  </r>
  <r>
    <s v="HOUSE"/>
    <s v="05"/>
    <s v="SOUTHERN"/>
    <s v="SOUTHERN AG"/>
    <x v="284"/>
    <x v="1"/>
    <x v="1"/>
    <s v="Invoice"/>
    <s v="98325"/>
    <x v="122"/>
    <x v="63"/>
    <x v="33"/>
    <x v="0"/>
    <n v="60"/>
  </r>
  <r>
    <s v="HOUSE"/>
    <s v="05"/>
    <s v="COASTALAGSUPPLY"/>
    <s v="MAILING"/>
    <x v="292"/>
    <x v="1"/>
    <x v="1"/>
    <s v="Invoice"/>
    <s v="98337"/>
    <x v="378"/>
    <x v="332"/>
    <x v="3"/>
    <x v="0"/>
    <n v="60"/>
  </r>
  <r>
    <s v="HOUSE"/>
    <s v="05"/>
    <s v="CPSBOYNTON"/>
    <s v="BOYNTON BCH"/>
    <x v="301"/>
    <x v="1"/>
    <x v="1"/>
    <s v="Invoice"/>
    <s v="98364"/>
    <x v="121"/>
    <x v="110"/>
    <x v="1"/>
    <x v="0"/>
    <n v="180"/>
  </r>
  <r>
    <s v="HOUSE"/>
    <s v="05"/>
    <s v="CPSBOYNTON"/>
    <s v="BOYNTON BCH"/>
    <x v="303"/>
    <x v="1"/>
    <x v="1"/>
    <s v="Invoice"/>
    <s v="98504"/>
    <x v="101"/>
    <x v="21"/>
    <x v="21"/>
    <x v="0"/>
    <n v="140"/>
  </r>
  <r>
    <s v="HOUSE"/>
    <s v="05"/>
    <s v="SOUTHERN"/>
    <s v="SOUTHERN AG"/>
    <x v="294"/>
    <x v="1"/>
    <x v="1"/>
    <s v="Invoice"/>
    <s v="98511"/>
    <x v="122"/>
    <x v="63"/>
    <x v="33"/>
    <x v="0"/>
    <n v="180"/>
  </r>
  <r>
    <s v="HOUSE"/>
    <s v="05"/>
    <s v="SOUTHERN"/>
    <s v="SOUTHERN AG"/>
    <x v="294"/>
    <x v="1"/>
    <x v="1"/>
    <s v="Invoice"/>
    <s v="98512"/>
    <x v="48"/>
    <x v="33"/>
    <x v="28"/>
    <x v="0"/>
    <n v="180"/>
  </r>
  <r>
    <s v="HOUSE"/>
    <s v="05"/>
    <s v="SOUTHERN"/>
    <s v="SOUTHERN AG"/>
    <x v="294"/>
    <x v="1"/>
    <x v="1"/>
    <s v="Invoice"/>
    <s v="98512"/>
    <x v="96"/>
    <x v="90"/>
    <x v="39"/>
    <x v="0"/>
    <n v="60"/>
  </r>
  <r>
    <s v="BRIDGE"/>
    <s v="06"/>
    <s v="SIGMAORG"/>
    <s v="BRANSFORD AVE."/>
    <x v="285"/>
    <x v="1"/>
    <x v="1"/>
    <s v="Invoice"/>
    <s v="98359"/>
    <x v="222"/>
    <x v="333"/>
    <x v="65"/>
    <x v="0"/>
    <n v="2.5"/>
  </r>
  <r>
    <s v="BRIDGE"/>
    <s v="06"/>
    <s v="SIGMAORG"/>
    <s v="BRANSFORD AVE."/>
    <x v="285"/>
    <x v="1"/>
    <x v="1"/>
    <s v="Invoice"/>
    <s v="98359"/>
    <x v="196"/>
    <x v="172"/>
    <x v="61"/>
    <x v="0"/>
    <n v="2.5"/>
  </r>
  <r>
    <s v="CHEAD"/>
    <s v="07"/>
    <s v="UFPSUNIT"/>
    <s v="CITRA FARM"/>
    <x v="292"/>
    <x v="1"/>
    <x v="1"/>
    <s v="Invoice"/>
    <s v="98329"/>
    <x v="180"/>
    <x v="163"/>
    <x v="22"/>
    <x v="2"/>
    <n v="1.2649999999999999"/>
  </r>
  <r>
    <s v=""/>
    <s v="07"/>
    <s v="CPSHASTI"/>
    <s v="HASTINGS"/>
    <x v="292"/>
    <x v="1"/>
    <x v="1"/>
    <s v="Invoice"/>
    <s v="98343"/>
    <x v="96"/>
    <x v="90"/>
    <x v="39"/>
    <x v="0"/>
    <n v="180"/>
  </r>
  <r>
    <s v="CHEAD"/>
    <s v="07"/>
    <s v="TRIANGLE"/>
    <s v="MAILING"/>
    <x v="294"/>
    <x v="1"/>
    <x v="1"/>
    <s v="Invoice"/>
    <s v="98517"/>
    <x v="45"/>
    <x v="37"/>
    <x v="30"/>
    <x v="0"/>
    <n v="250"/>
  </r>
  <r>
    <s v="DPOPPELL1"/>
    <s v="08"/>
    <s v="CPSMULB"/>
    <s v="UAP/MULBERRY"/>
    <x v="283"/>
    <x v="1"/>
    <x v="1"/>
    <s v="Invoice"/>
    <s v="98293"/>
    <x v="102"/>
    <x v="71"/>
    <x v="34"/>
    <x v="0"/>
    <n v="1000"/>
  </r>
  <r>
    <s v="DPOPPELL1"/>
    <s v="08"/>
    <s v="CPSMULB"/>
    <s v="UAP/MULBERRY"/>
    <x v="283"/>
    <x v="1"/>
    <x v="1"/>
    <s v="Invoice"/>
    <s v="98295"/>
    <x v="102"/>
    <x v="71"/>
    <x v="34"/>
    <x v="0"/>
    <n v="2500"/>
  </r>
  <r>
    <s v="DPOPPELL1"/>
    <s v="08"/>
    <s v="TRIANGLE"/>
    <s v="TRIANGLE/PC"/>
    <x v="284"/>
    <x v="1"/>
    <x v="1"/>
    <s v="Invoice"/>
    <s v="98310"/>
    <x v="34"/>
    <x v="29"/>
    <x v="26"/>
    <x v="0"/>
    <n v="180"/>
  </r>
  <r>
    <s v="DPOPPELL1"/>
    <s v="08"/>
    <s v="PURLEYNK"/>
    <s v="MAIN"/>
    <x v="285"/>
    <x v="1"/>
    <x v="1"/>
    <s v="Invoice"/>
    <s v="98361"/>
    <x v="28"/>
    <x v="23"/>
    <x v="22"/>
    <x v="2"/>
    <n v="0.3"/>
  </r>
  <r>
    <s v="DPOPPELL1"/>
    <s v="08"/>
    <s v="MAYO"/>
    <s v="PLANTCITY"/>
    <x v="285"/>
    <x v="1"/>
    <x v="1"/>
    <s v="Invoice"/>
    <s v="98362"/>
    <x v="77"/>
    <x v="37"/>
    <x v="30"/>
    <x v="0"/>
    <n v="30"/>
  </r>
  <r>
    <s v="DPOPPELL1"/>
    <s v="08"/>
    <s v="CPSMULB"/>
    <s v="UAP/MULBERRY"/>
    <x v="287"/>
    <x v="1"/>
    <x v="1"/>
    <s v="Invoice"/>
    <s v="98419"/>
    <x v="102"/>
    <x v="71"/>
    <x v="100"/>
    <x v="0"/>
    <n v="2000"/>
  </r>
  <r>
    <s v="DPOPPELL1"/>
    <s v="08"/>
    <s v="TRIANGLE"/>
    <s v="TRIANGLE/PC"/>
    <x v="296"/>
    <x v="1"/>
    <x v="1"/>
    <s v="Invoice"/>
    <s v="98494"/>
    <x v="5"/>
    <x v="72"/>
    <x v="4"/>
    <x v="0"/>
    <n v="180"/>
  </r>
  <r>
    <s v="DPOPPELL1"/>
    <s v="08"/>
    <s v="TRIANGLE"/>
    <s v="TRIANGLE/PC"/>
    <x v="296"/>
    <x v="1"/>
    <x v="1"/>
    <s v="Invoice"/>
    <s v="98494"/>
    <x v="96"/>
    <x v="90"/>
    <x v="39"/>
    <x v="0"/>
    <n v="180"/>
  </r>
  <r>
    <s v="DPOPPELL1"/>
    <s v="08"/>
    <s v="TRIANGLE"/>
    <s v="TRIANGLE/PC"/>
    <x v="296"/>
    <x v="1"/>
    <x v="1"/>
    <s v="Invoice"/>
    <s v="98495"/>
    <x v="34"/>
    <x v="29"/>
    <x v="26"/>
    <x v="0"/>
    <n v="180"/>
  </r>
  <r>
    <s v="DPOPPELL1"/>
    <s v="08"/>
    <s v="COASTALAGSUPPLY"/>
    <s v="MULBERRY"/>
    <x v="290"/>
    <x v="1"/>
    <x v="1"/>
    <s v="Invoice"/>
    <s v="98566"/>
    <x v="378"/>
    <x v="332"/>
    <x v="3"/>
    <x v="0"/>
    <n v="120"/>
  </r>
  <r>
    <s v="DPOPPELL1"/>
    <s v="08"/>
    <s v="COASTALAGSUPPLY"/>
    <s v="MULBERRY"/>
    <x v="290"/>
    <x v="1"/>
    <x v="1"/>
    <s v="Invoice"/>
    <s v="98566"/>
    <x v="136"/>
    <x v="111"/>
    <x v="46"/>
    <x v="0"/>
    <n v="180"/>
  </r>
  <r>
    <s v=""/>
    <s v="09"/>
    <s v="GREENRES"/>
    <s v="OCEAN HWY-NC"/>
    <x v="292"/>
    <x v="1"/>
    <x v="1"/>
    <s v="Invoice"/>
    <s v="98345"/>
    <x v="211"/>
    <x v="187"/>
    <x v="17"/>
    <x v="0"/>
    <n v="90"/>
  </r>
  <r>
    <s v=""/>
    <s v="09"/>
    <s v="GREENRES"/>
    <s v="OCEAN HWY-NC"/>
    <x v="292"/>
    <x v="1"/>
    <x v="1"/>
    <s v="Invoice"/>
    <s v="98345"/>
    <x v="22"/>
    <x v="69"/>
    <x v="17"/>
    <x v="0"/>
    <n v="180"/>
  </r>
  <r>
    <s v=""/>
    <s v="09"/>
    <s v="GREENRES"/>
    <s v="OCEAN HWY-NC"/>
    <x v="292"/>
    <x v="1"/>
    <x v="1"/>
    <s v="Invoice"/>
    <s v="98345"/>
    <x v="12"/>
    <x v="76"/>
    <x v="11"/>
    <x v="0"/>
    <n v="180"/>
  </r>
  <r>
    <s v=""/>
    <s v="09"/>
    <s v="GREENRES"/>
    <s v="HIGHGREEN CT-NC"/>
    <x v="301"/>
    <x v="1"/>
    <x v="1"/>
    <s v="Invoice"/>
    <s v="98376"/>
    <x v="188"/>
    <x v="69"/>
    <x v="17"/>
    <x v="0"/>
    <n v="880"/>
  </r>
  <r>
    <s v=""/>
    <s v="09"/>
    <s v="GREENRES"/>
    <s v="HIGHGREEN CT-NC"/>
    <x v="301"/>
    <x v="1"/>
    <x v="1"/>
    <s v="Invoice"/>
    <s v="98376"/>
    <x v="22"/>
    <x v="69"/>
    <x v="17"/>
    <x v="0"/>
    <n v="180"/>
  </r>
  <r>
    <s v=""/>
    <s v="09"/>
    <s v="GREENRES"/>
    <s v="OCEAN HWY-NC"/>
    <x v="289"/>
    <x v="1"/>
    <x v="1"/>
    <s v="Invoice"/>
    <s v="98549"/>
    <x v="3"/>
    <x v="80"/>
    <x v="2"/>
    <x v="0"/>
    <n v="360"/>
  </r>
  <r>
    <s v="CSWAFFORD"/>
    <s v="12"/>
    <s v="GOLFVENTURES"/>
    <s v="MAIN"/>
    <x v="297"/>
    <x v="1"/>
    <x v="1"/>
    <s v="Invoice"/>
    <s v="98251"/>
    <x v="163"/>
    <x v="322"/>
    <x v="56"/>
    <x v="0"/>
    <n v="50"/>
  </r>
  <r>
    <s v="CSWAFFORD"/>
    <s v="12"/>
    <s v="GOLFVENTURES"/>
    <s v="MAIN"/>
    <x v="297"/>
    <x v="1"/>
    <x v="1"/>
    <s v="Invoice"/>
    <s v="98251"/>
    <x v="249"/>
    <x v="294"/>
    <x v="70"/>
    <x v="0"/>
    <n v="130"/>
  </r>
  <r>
    <s v="CSWAFFORD"/>
    <s v="12"/>
    <s v="GOLFVENTURES"/>
    <s v="SPANISHWELLS"/>
    <x v="298"/>
    <x v="1"/>
    <x v="1"/>
    <s v="Invoice"/>
    <s v="98257"/>
    <x v="379"/>
    <x v="299"/>
    <x v="45"/>
    <x v="0"/>
    <n v="30"/>
  </r>
  <r>
    <s v="CSWAFFORD"/>
    <s v="12"/>
    <s v="GOLFVENTURES"/>
    <s v="WATERLEFE"/>
    <x v="291"/>
    <x v="1"/>
    <x v="1"/>
    <s v="Invoice"/>
    <s v="98267"/>
    <x v="317"/>
    <x v="267"/>
    <x v="80"/>
    <x v="0"/>
    <n v="250"/>
  </r>
  <r>
    <s v="CSWAFFORD"/>
    <s v="12"/>
    <s v="GOLFVENTURES"/>
    <s v="COUNTRYBOY"/>
    <x v="283"/>
    <x v="1"/>
    <x v="1"/>
    <s v="Invoice"/>
    <s v="98302"/>
    <x v="380"/>
    <x v="334"/>
    <x v="80"/>
    <x v="0"/>
    <n v="250"/>
  </r>
  <r>
    <s v="CSWAFFORD"/>
    <s v="12"/>
    <s v="GOLFVENTURES"/>
    <s v="SANIBELISLAND"/>
    <x v="284"/>
    <x v="1"/>
    <x v="1"/>
    <s v="Invoice"/>
    <s v="98326"/>
    <x v="381"/>
    <x v="335"/>
    <x v="22"/>
    <x v="2"/>
    <n v="1.25"/>
  </r>
  <r>
    <s v="CSWAFFORD"/>
    <s v="12"/>
    <s v="GOLFVENTURES"/>
    <s v="IMPERIALGOLF"/>
    <x v="284"/>
    <x v="1"/>
    <x v="1"/>
    <s v="Invoice"/>
    <s v="98327"/>
    <x v="366"/>
    <x v="336"/>
    <x v="22"/>
    <x v="2"/>
    <n v="10.0175"/>
  </r>
  <r>
    <s v="CSWAFFORD"/>
    <s v="12"/>
    <s v="GOLFVENTURES"/>
    <s v="JOHNISLAND"/>
    <x v="292"/>
    <x v="1"/>
    <x v="1"/>
    <s v="Invoice"/>
    <s v="98342"/>
    <x v="319"/>
    <x v="281"/>
    <x v="42"/>
    <x v="0"/>
    <n v="275"/>
  </r>
  <r>
    <s v="CSWAFFORD"/>
    <s v="12"/>
    <s v="GOLFVENTURES"/>
    <s v="SPANISHWELLS"/>
    <x v="285"/>
    <x v="1"/>
    <x v="1"/>
    <s v="Invoice"/>
    <s v="98347"/>
    <x v="382"/>
    <x v="337"/>
    <x v="22"/>
    <x v="2"/>
    <n v="0.27500000000000002"/>
  </r>
  <r>
    <s v="CSWAFFORD"/>
    <s v="12"/>
    <s v="GOLFVENTURES"/>
    <s v="SPANISHWELLS"/>
    <x v="285"/>
    <x v="1"/>
    <x v="1"/>
    <s v="Invoice"/>
    <s v="98348"/>
    <x v="383"/>
    <x v="281"/>
    <x v="42"/>
    <x v="0"/>
    <n v="30"/>
  </r>
  <r>
    <s v="CSWAFFORD"/>
    <s v="12"/>
    <s v="GOLFVENTURES"/>
    <s v="SPANISHWELLS"/>
    <x v="285"/>
    <x v="1"/>
    <x v="1"/>
    <s v="Invoice"/>
    <s v="98348"/>
    <x v="384"/>
    <x v="320"/>
    <x v="63"/>
    <x v="0"/>
    <n v="60"/>
  </r>
  <r>
    <s v="CSWAFFORD"/>
    <s v="12"/>
    <s v="GOLFVENTURES"/>
    <s v="WEDGEFIELD"/>
    <x v="301"/>
    <x v="1"/>
    <x v="1"/>
    <s v="Invoice"/>
    <s v="98363"/>
    <x v="363"/>
    <x v="320"/>
    <x v="63"/>
    <x v="0"/>
    <n v="250"/>
  </r>
  <r>
    <s v="CSWAFFORD"/>
    <s v="12"/>
    <s v="GOLFVENTURES"/>
    <s v="MAIN"/>
    <x v="286"/>
    <x v="1"/>
    <x v="1"/>
    <s v="Invoice"/>
    <s v="98391"/>
    <x v="369"/>
    <x v="338"/>
    <x v="97"/>
    <x v="0"/>
    <n v="500"/>
  </r>
  <r>
    <s v="CSWAFFORD"/>
    <s v="12"/>
    <s v="GOLFVENTURES"/>
    <s v="COUNTRYBOY"/>
    <x v="286"/>
    <x v="1"/>
    <x v="1"/>
    <s v="Invoice"/>
    <s v="98398"/>
    <x v="380"/>
    <x v="334"/>
    <x v="80"/>
    <x v="0"/>
    <n v="250"/>
  </r>
  <r>
    <s v="CSWAFFORD"/>
    <s v="12"/>
    <s v="GOLFVENTURES"/>
    <s v="MAIN"/>
    <x v="302"/>
    <x v="1"/>
    <x v="1"/>
    <s v="Invoice"/>
    <s v="98405"/>
    <x v="368"/>
    <x v="325"/>
    <x v="36"/>
    <x v="0"/>
    <n v="55"/>
  </r>
  <r>
    <s v="CSWAFFORD"/>
    <s v="12"/>
    <s v="GOLFVENTURES"/>
    <s v="MAIN"/>
    <x v="303"/>
    <x v="1"/>
    <x v="1"/>
    <s v="Invoice"/>
    <s v="98503"/>
    <x v="368"/>
    <x v="325"/>
    <x v="36"/>
    <x v="0"/>
    <n v="110"/>
  </r>
  <r>
    <s v="CSWAFFORD"/>
    <s v="12"/>
    <s v="GOLFVENTURES"/>
    <s v="DEERINGBAY"/>
    <x v="289"/>
    <x v="1"/>
    <x v="1"/>
    <s v="Invoice"/>
    <s v="98524"/>
    <x v="335"/>
    <x v="297"/>
    <x v="91"/>
    <x v="0"/>
    <n v="250"/>
  </r>
  <r>
    <s v="CSWAFFORD"/>
    <s v="12"/>
    <s v="GOLFVENTURES"/>
    <s v="GRANDHARBOR"/>
    <x v="289"/>
    <x v="1"/>
    <x v="1"/>
    <s v="Invoice"/>
    <s v="98529"/>
    <x v="320"/>
    <x v="282"/>
    <x v="87"/>
    <x v="0"/>
    <n v="250"/>
  </r>
  <r>
    <s v="CSWAFFORD"/>
    <s v="12"/>
    <s v="GOLFVENTURES"/>
    <s v="FARROWPEST"/>
    <x v="289"/>
    <x v="1"/>
    <x v="1"/>
    <s v="Invoice"/>
    <s v="98545"/>
    <x v="321"/>
    <x v="283"/>
    <x v="88"/>
    <x v="0"/>
    <n v="500"/>
  </r>
  <r>
    <s v="CSWAFFORD"/>
    <s v="12"/>
    <s v="GOLFVENTURES"/>
    <s v="MAIN"/>
    <x v="289"/>
    <x v="1"/>
    <x v="1"/>
    <s v="Invoice"/>
    <s v="98584"/>
    <x v="385"/>
    <x v="321"/>
    <x v="96"/>
    <x v="0"/>
    <n v="110"/>
  </r>
  <r>
    <s v="HAP"/>
    <s v="01"/>
    <s v="GREENWAY"/>
    <s v="EMERALDHILLS"/>
    <x v="304"/>
    <x v="2"/>
    <x v="1"/>
    <s v="Invoice"/>
    <s v="98578"/>
    <x v="90"/>
    <x v="13"/>
    <x v="13"/>
    <x v="0"/>
    <n v="5"/>
  </r>
  <r>
    <s v="HAP"/>
    <s v="01"/>
    <s v="GREENWAY"/>
    <s v="EMERALDHILLS"/>
    <x v="304"/>
    <x v="2"/>
    <x v="1"/>
    <s v="Invoice"/>
    <s v="98578"/>
    <x v="3"/>
    <x v="2"/>
    <x v="2"/>
    <x v="0"/>
    <n v="30"/>
  </r>
  <r>
    <s v="HAP"/>
    <s v="01"/>
    <s v="GREENWAY"/>
    <s v="EMERALDHILLS"/>
    <x v="304"/>
    <x v="2"/>
    <x v="1"/>
    <s v="Invoice"/>
    <s v="98578"/>
    <x v="8"/>
    <x v="7"/>
    <x v="7"/>
    <x v="0"/>
    <n v="40"/>
  </r>
  <r>
    <s v="HAP"/>
    <s v="01"/>
    <s v="GREENWAY"/>
    <s v="EMERALDHILLS"/>
    <x v="304"/>
    <x v="2"/>
    <x v="1"/>
    <s v="Invoice"/>
    <s v="98578"/>
    <x v="10"/>
    <x v="9"/>
    <x v="9"/>
    <x v="0"/>
    <n v="30"/>
  </r>
  <r>
    <s v="HAP"/>
    <s v="01"/>
    <s v="GREENWAY"/>
    <s v="EMERALDHILLS"/>
    <x v="304"/>
    <x v="2"/>
    <x v="1"/>
    <s v="Invoice"/>
    <s v="98578"/>
    <x v="11"/>
    <x v="10"/>
    <x v="10"/>
    <x v="0"/>
    <n v="10"/>
  </r>
  <r>
    <s v="HAP"/>
    <s v="01"/>
    <s v="GREENWAY"/>
    <s v="EMERALDHILLS"/>
    <x v="304"/>
    <x v="2"/>
    <x v="1"/>
    <s v="Invoice"/>
    <s v="98578"/>
    <x v="22"/>
    <x v="17"/>
    <x v="17"/>
    <x v="0"/>
    <n v="30"/>
  </r>
  <r>
    <s v="HAP"/>
    <s v="01"/>
    <s v="GREENWAY"/>
    <s v="JACARANDA G C"/>
    <x v="305"/>
    <x v="2"/>
    <x v="1"/>
    <s v="Invoice"/>
    <s v="98589"/>
    <x v="6"/>
    <x v="5"/>
    <x v="5"/>
    <x v="0"/>
    <n v="30"/>
  </r>
  <r>
    <s v="HAP"/>
    <s v="01"/>
    <s v="GREENWAY"/>
    <s v="WAREHOUSE"/>
    <x v="306"/>
    <x v="2"/>
    <x v="1"/>
    <s v="Invoice"/>
    <s v="98609"/>
    <x v="90"/>
    <x v="13"/>
    <x v="13"/>
    <x v="0"/>
    <n v="60"/>
  </r>
  <r>
    <s v="HAP"/>
    <s v="01"/>
    <s v="GREENWAY"/>
    <s v="WAREHOUSE"/>
    <x v="306"/>
    <x v="2"/>
    <x v="1"/>
    <s v="Invoice"/>
    <s v="98609"/>
    <x v="3"/>
    <x v="2"/>
    <x v="2"/>
    <x v="0"/>
    <n v="120"/>
  </r>
  <r>
    <s v="HAP"/>
    <s v="01"/>
    <s v="GREENWAY"/>
    <s v="WAREHOUSE"/>
    <x v="306"/>
    <x v="2"/>
    <x v="1"/>
    <s v="Invoice"/>
    <s v="98609"/>
    <x v="10"/>
    <x v="9"/>
    <x v="9"/>
    <x v="0"/>
    <n v="30"/>
  </r>
  <r>
    <s v="HAP"/>
    <s v="01"/>
    <s v="GREENWAY"/>
    <s v="WAREHOUSE"/>
    <x v="306"/>
    <x v="2"/>
    <x v="1"/>
    <s v="Invoice"/>
    <s v="98609"/>
    <x v="11"/>
    <x v="10"/>
    <x v="10"/>
    <x v="0"/>
    <n v="30"/>
  </r>
  <r>
    <s v="HAP"/>
    <s v="01"/>
    <s v="GREENWAY"/>
    <s v="WAREHOUSE"/>
    <x v="306"/>
    <x v="2"/>
    <x v="1"/>
    <s v="Invoice"/>
    <s v="98609"/>
    <x v="5"/>
    <x v="4"/>
    <x v="4"/>
    <x v="0"/>
    <n v="120"/>
  </r>
  <r>
    <s v="HAP"/>
    <s v="01"/>
    <s v="GREENWAY"/>
    <s v="WAREHOUSE"/>
    <x v="306"/>
    <x v="2"/>
    <x v="1"/>
    <s v="Invoice"/>
    <s v="98609"/>
    <x v="6"/>
    <x v="5"/>
    <x v="5"/>
    <x v="0"/>
    <n v="120"/>
  </r>
  <r>
    <s v="HAP"/>
    <s v="01"/>
    <s v="GREENWAY"/>
    <s v="WAREHOUSE"/>
    <x v="306"/>
    <x v="2"/>
    <x v="1"/>
    <s v="Invoice"/>
    <s v="98609"/>
    <x v="2"/>
    <x v="0"/>
    <x v="0"/>
    <x v="0"/>
    <n v="120"/>
  </r>
  <r>
    <s v="HAP"/>
    <s v="01"/>
    <s v="GREENWAY"/>
    <s v="BANYAN CREEK"/>
    <x v="307"/>
    <x v="2"/>
    <x v="1"/>
    <s v="Invoice"/>
    <s v="98651"/>
    <x v="88"/>
    <x v="2"/>
    <x v="2"/>
    <x v="0"/>
    <n v="55"/>
  </r>
  <r>
    <s v="HAP"/>
    <s v="01"/>
    <s v="GREENWAY"/>
    <s v="BANYAN CREEK"/>
    <x v="307"/>
    <x v="2"/>
    <x v="1"/>
    <s v="Invoice"/>
    <s v="98651"/>
    <x v="188"/>
    <x v="17"/>
    <x v="17"/>
    <x v="0"/>
    <n v="55"/>
  </r>
  <r>
    <s v="HAP"/>
    <s v="01"/>
    <s v="GREENWAY"/>
    <s v="BANYAN CREEK"/>
    <x v="307"/>
    <x v="2"/>
    <x v="1"/>
    <s v="Invoice"/>
    <s v="98651"/>
    <x v="6"/>
    <x v="5"/>
    <x v="5"/>
    <x v="0"/>
    <n v="25"/>
  </r>
  <r>
    <s v="HAP"/>
    <s v="01"/>
    <s v="GREENWAY"/>
    <s v="BANYAN CREEK"/>
    <x v="307"/>
    <x v="2"/>
    <x v="1"/>
    <s v="Invoice"/>
    <s v="98651"/>
    <x v="0"/>
    <x v="0"/>
    <x v="0"/>
    <x v="0"/>
    <n v="55"/>
  </r>
  <r>
    <s v="HAP"/>
    <s v="01"/>
    <s v="GREENWAY"/>
    <s v="WAREHOUSE"/>
    <x v="308"/>
    <x v="2"/>
    <x v="1"/>
    <s v="Invoice"/>
    <s v="98764"/>
    <x v="3"/>
    <x v="2"/>
    <x v="2"/>
    <x v="0"/>
    <n v="120"/>
  </r>
  <r>
    <s v="HAP"/>
    <s v="01"/>
    <s v="GREENWAY"/>
    <s v="WAREHOUSE"/>
    <x v="308"/>
    <x v="2"/>
    <x v="1"/>
    <s v="Invoice"/>
    <s v="98764"/>
    <x v="4"/>
    <x v="3"/>
    <x v="3"/>
    <x v="0"/>
    <n v="60"/>
  </r>
  <r>
    <s v="HAP"/>
    <s v="01"/>
    <s v="GREENWAY"/>
    <s v="WAREHOUSE"/>
    <x v="308"/>
    <x v="2"/>
    <x v="1"/>
    <s v="Invoice"/>
    <s v="98764"/>
    <x v="10"/>
    <x v="9"/>
    <x v="9"/>
    <x v="0"/>
    <n v="60"/>
  </r>
  <r>
    <s v="HAP"/>
    <s v="01"/>
    <s v="GREENWAY"/>
    <s v="WAREHOUSE"/>
    <x v="308"/>
    <x v="2"/>
    <x v="1"/>
    <s v="Invoice"/>
    <s v="98764"/>
    <x v="21"/>
    <x v="16"/>
    <x v="16"/>
    <x v="0"/>
    <n v="120"/>
  </r>
  <r>
    <s v="HAP"/>
    <s v="01"/>
    <s v="GREENWAY"/>
    <s v="WAREHOUSE"/>
    <x v="308"/>
    <x v="2"/>
    <x v="1"/>
    <s v="Invoice"/>
    <s v="98764"/>
    <x v="22"/>
    <x v="17"/>
    <x v="17"/>
    <x v="0"/>
    <n v="60"/>
  </r>
  <r>
    <s v="HAP"/>
    <s v="01"/>
    <s v="GREENWAY"/>
    <s v="WAREHOUSE"/>
    <x v="308"/>
    <x v="2"/>
    <x v="1"/>
    <s v="Invoice"/>
    <s v="98764"/>
    <x v="2"/>
    <x v="0"/>
    <x v="0"/>
    <x v="0"/>
    <n v="120"/>
  </r>
  <r>
    <s v="HAP"/>
    <s v="01"/>
    <s v="GREENWAY"/>
    <s v="JACARANDA G C"/>
    <x v="309"/>
    <x v="2"/>
    <x v="1"/>
    <s v="Invoice"/>
    <s v="98792"/>
    <x v="188"/>
    <x v="17"/>
    <x v="17"/>
    <x v="0"/>
    <n v="55"/>
  </r>
  <r>
    <s v="HAP"/>
    <s v="01"/>
    <s v="GREENWAY"/>
    <s v="JACARANDA G C"/>
    <x v="309"/>
    <x v="2"/>
    <x v="1"/>
    <s v="Invoice"/>
    <s v="98792"/>
    <x v="6"/>
    <x v="5"/>
    <x v="5"/>
    <x v="0"/>
    <n v="30"/>
  </r>
  <r>
    <s v="HAP"/>
    <s v="01"/>
    <s v="GREENWAY"/>
    <s v="JACARANDA G C"/>
    <x v="309"/>
    <x v="2"/>
    <x v="1"/>
    <s v="Invoice"/>
    <s v="98792"/>
    <x v="2"/>
    <x v="0"/>
    <x v="0"/>
    <x v="0"/>
    <n v="55"/>
  </r>
  <r>
    <s v="DAVID"/>
    <s v="02"/>
    <s v="CPSBOYNTON"/>
    <s v="BOYNTON BCH"/>
    <x v="310"/>
    <x v="2"/>
    <x v="1"/>
    <s v="Invoice"/>
    <s v="98629"/>
    <x v="101"/>
    <x v="21"/>
    <x v="21"/>
    <x v="0"/>
    <n v="180"/>
  </r>
  <r>
    <s v="DAVID"/>
    <s v="02"/>
    <s v="EVOQUAWATER"/>
    <s v="MAIN"/>
    <x v="311"/>
    <x v="2"/>
    <x v="1"/>
    <s v="Invoice"/>
    <s v="98630"/>
    <x v="160"/>
    <x v="231"/>
    <x v="54"/>
    <x v="0"/>
    <n v="360"/>
  </r>
  <r>
    <s v="DAVID"/>
    <s v="02"/>
    <s v="FLORIDAGAR"/>
    <s v="GARDENSUPPLIES"/>
    <x v="311"/>
    <x v="2"/>
    <x v="1"/>
    <s v="Invoice"/>
    <s v="98631"/>
    <x v="304"/>
    <x v="268"/>
    <x v="73"/>
    <x v="0"/>
    <n v="150"/>
  </r>
  <r>
    <s v="DAVID"/>
    <s v="02"/>
    <s v="CAROLINATU"/>
    <s v="GRANDOVER RESOR"/>
    <x v="312"/>
    <x v="2"/>
    <x v="1"/>
    <s v="Invoice"/>
    <s v="98672"/>
    <x v="22"/>
    <x v="69"/>
    <x v="17"/>
    <x v="0"/>
    <n v="255"/>
  </r>
  <r>
    <s v="DAVID"/>
    <s v="02"/>
    <s v="CAROLINATU"/>
    <s v="GRANDOVER RESOR"/>
    <x v="312"/>
    <x v="2"/>
    <x v="1"/>
    <s v="Invoice"/>
    <s v="98672"/>
    <x v="163"/>
    <x v="227"/>
    <x v="56"/>
    <x v="0"/>
    <n v="125"/>
  </r>
  <r>
    <s v="DAVID"/>
    <s v="02"/>
    <s v="SOUTHAG"/>
    <s v="HENDERSONVILLE"/>
    <x v="312"/>
    <x v="2"/>
    <x v="1"/>
    <s v="Invoice"/>
    <s v="98687"/>
    <x v="22"/>
    <x v="69"/>
    <x v="17"/>
    <x v="0"/>
    <n v="180"/>
  </r>
  <r>
    <s v="DAVID"/>
    <s v="02"/>
    <s v="SOUTHAG"/>
    <s v="HENDERSONVILLE"/>
    <x v="312"/>
    <x v="2"/>
    <x v="1"/>
    <s v="Invoice"/>
    <s v="98687"/>
    <x v="96"/>
    <x v="90"/>
    <x v="39"/>
    <x v="0"/>
    <n v="540"/>
  </r>
  <r>
    <s v="DAVID"/>
    <s v="02"/>
    <s v="TERRAFEED"/>
    <s v="MAILING"/>
    <x v="313"/>
    <x v="2"/>
    <x v="1"/>
    <s v="Invoice"/>
    <s v="98700"/>
    <x v="162"/>
    <x v="144"/>
    <x v="55"/>
    <x v="0"/>
    <n v="250"/>
  </r>
  <r>
    <s v="DAVID"/>
    <s v="02"/>
    <s v="FRITIND"/>
    <s v="MAIN"/>
    <x v="314"/>
    <x v="2"/>
    <x v="1"/>
    <s v="Invoice"/>
    <s v="98716"/>
    <x v="342"/>
    <x v="303"/>
    <x v="20"/>
    <x v="1"/>
    <n v="9918"/>
  </r>
  <r>
    <s v="DAVID"/>
    <s v="02"/>
    <s v="SHININGLIGHT"/>
    <s v="MAILING"/>
    <x v="308"/>
    <x v="2"/>
    <x v="1"/>
    <s v="Invoice"/>
    <s v="98761"/>
    <x v="122"/>
    <x v="63"/>
    <x v="33"/>
    <x v="0"/>
    <n v="25"/>
  </r>
  <r>
    <s v="DAVID"/>
    <s v="02"/>
    <s v="EVOQUAWATER"/>
    <s v="MAIN"/>
    <x v="315"/>
    <x v="2"/>
    <x v="1"/>
    <s v="Invoice"/>
    <s v="98799"/>
    <x v="160"/>
    <x v="231"/>
    <x v="54"/>
    <x v="0"/>
    <n v="180"/>
  </r>
  <r>
    <s v="DAVID"/>
    <s v="02"/>
    <s v="OHARAPEST"/>
    <s v="MAILIING"/>
    <x v="316"/>
    <x v="2"/>
    <x v="1"/>
    <s v="Invoice"/>
    <s v="98819"/>
    <x v="247"/>
    <x v="76"/>
    <x v="11"/>
    <x v="0"/>
    <n v="250"/>
  </r>
  <r>
    <s v="JUSTIN"/>
    <s v="03"/>
    <s v="CPSPARRI"/>
    <s v="PARRISH"/>
    <x v="306"/>
    <x v="2"/>
    <x v="1"/>
    <s v="Invoice"/>
    <s v="98615"/>
    <x v="34"/>
    <x v="29"/>
    <x v="26"/>
    <x v="0"/>
    <n v="180"/>
  </r>
  <r>
    <s v="JUSTIN"/>
    <s v="03"/>
    <s v="CPSPARRI"/>
    <s v="PARRISH"/>
    <x v="306"/>
    <x v="2"/>
    <x v="1"/>
    <s v="Invoice"/>
    <s v="98615"/>
    <x v="40"/>
    <x v="35"/>
    <x v="29"/>
    <x v="0"/>
    <n v="180"/>
  </r>
  <r>
    <s v="JUSTIN"/>
    <s v="03"/>
    <s v="G&amp;DFARMS"/>
    <s v="MIDDLE"/>
    <x v="311"/>
    <x v="2"/>
    <x v="1"/>
    <s v="Invoice"/>
    <s v="98620"/>
    <x v="99"/>
    <x v="93"/>
    <x v="22"/>
    <x v="2"/>
    <n v="15.0075"/>
  </r>
  <r>
    <s v="JUSTIN"/>
    <s v="03"/>
    <s v="G&amp;DFARMS"/>
    <s v="MIDDLE"/>
    <x v="317"/>
    <x v="2"/>
    <x v="1"/>
    <s v="Invoice"/>
    <s v="98667"/>
    <x v="99"/>
    <x v="93"/>
    <x v="22"/>
    <x v="2"/>
    <n v="15.01"/>
  </r>
  <r>
    <s v="JUSTIN"/>
    <s v="03"/>
    <s v="CPSPARRI"/>
    <s v="PARRISH"/>
    <x v="312"/>
    <x v="2"/>
    <x v="1"/>
    <s v="Invoice"/>
    <s v="98671"/>
    <x v="40"/>
    <x v="35"/>
    <x v="29"/>
    <x v="0"/>
    <n v="180"/>
  </r>
  <r>
    <s v="JUSTIN"/>
    <s v="03"/>
    <s v="CPSPARRI"/>
    <s v="PARRISH"/>
    <x v="312"/>
    <x v="2"/>
    <x v="1"/>
    <s v="Invoice"/>
    <s v="98673"/>
    <x v="136"/>
    <x v="111"/>
    <x v="46"/>
    <x v="0"/>
    <n v="180"/>
  </r>
  <r>
    <s v="JUSTIN"/>
    <s v="03"/>
    <s v="TRIANGLE"/>
    <s v="TRIANGLE/LAKEPL"/>
    <x v="318"/>
    <x v="2"/>
    <x v="1"/>
    <s v="Invoice"/>
    <s v="98734"/>
    <x v="100"/>
    <x v="94"/>
    <x v="41"/>
    <x v="0"/>
    <n v="750"/>
  </r>
  <r>
    <s v=""/>
    <s v="03"/>
    <s v="CPSMULB"/>
    <s v="UAP/MULBERRY"/>
    <x v="319"/>
    <x v="2"/>
    <x v="1"/>
    <s v="Invoice"/>
    <s v="98754"/>
    <x v="102"/>
    <x v="71"/>
    <x v="100"/>
    <x v="0"/>
    <n v="750"/>
  </r>
  <r>
    <s v=""/>
    <s v="03"/>
    <s v="CPSMULB"/>
    <s v="UAP/MULBERRY"/>
    <x v="319"/>
    <x v="2"/>
    <x v="1"/>
    <s v="Invoice"/>
    <s v="98754"/>
    <x v="34"/>
    <x v="29"/>
    <x v="26"/>
    <x v="0"/>
    <n v="540"/>
  </r>
  <r>
    <s v="JUSTIN"/>
    <s v="03"/>
    <s v="BIGEARTH"/>
    <s v="SARASOTA"/>
    <x v="308"/>
    <x v="2"/>
    <x v="1"/>
    <s v="Invoice"/>
    <s v="98771"/>
    <x v="3"/>
    <x v="80"/>
    <x v="2"/>
    <x v="0"/>
    <n v="90"/>
  </r>
  <r>
    <s v="JUSTIN"/>
    <s v="03"/>
    <s v="G&amp;DFARMS"/>
    <s v="MIDDLE"/>
    <x v="320"/>
    <x v="2"/>
    <x v="1"/>
    <s v="Invoice"/>
    <s v="98774"/>
    <x v="99"/>
    <x v="93"/>
    <x v="22"/>
    <x v="2"/>
    <n v="15.015000000000001"/>
  </r>
  <r>
    <s v="JUSTIN"/>
    <s v="03"/>
    <s v="COUNCILO"/>
    <s v="COUNCIL-OXFORD"/>
    <x v="309"/>
    <x v="2"/>
    <x v="1"/>
    <s v="Invoice"/>
    <s v="98784"/>
    <x v="137"/>
    <x v="153"/>
    <x v="23"/>
    <x v="0"/>
    <n v="180"/>
  </r>
  <r>
    <s v=""/>
    <s v="03"/>
    <s v="CPSMULB"/>
    <s v="UAP/MULBERRY"/>
    <x v="315"/>
    <x v="2"/>
    <x v="1"/>
    <s v="Invoice"/>
    <s v="98795"/>
    <x v="40"/>
    <x v="35"/>
    <x v="29"/>
    <x v="0"/>
    <n v="360"/>
  </r>
  <r>
    <s v="JUSTIN"/>
    <s v="03"/>
    <s v="G&amp;DFARMS"/>
    <s v="MIDDLE"/>
    <x v="316"/>
    <x v="2"/>
    <x v="1"/>
    <s v="Invoice"/>
    <s v="98817"/>
    <x v="99"/>
    <x v="93"/>
    <x v="22"/>
    <x v="2"/>
    <n v="9.9975000000000005"/>
  </r>
  <r>
    <s v="DPOPPELL"/>
    <s v="04"/>
    <s v="FORTGREENFARMS"/>
    <s v="FTGREEN"/>
    <x v="304"/>
    <x v="2"/>
    <x v="1"/>
    <s v="Invoice"/>
    <s v="98571"/>
    <x v="58"/>
    <x v="51"/>
    <x v="22"/>
    <x v="2"/>
    <n v="7.5"/>
  </r>
  <r>
    <s v="DPOPPELL"/>
    <s v="04"/>
    <s v="ROQUEFARMS"/>
    <s v="SWEETWATER"/>
    <x v="304"/>
    <x v="2"/>
    <x v="1"/>
    <s v="Invoice"/>
    <s v="98572"/>
    <x v="43"/>
    <x v="38"/>
    <x v="22"/>
    <x v="2"/>
    <n v="5"/>
  </r>
  <r>
    <s v="DPOPPELL"/>
    <s v="04"/>
    <s v="FIDELCAS"/>
    <s v="THONOTOSASSA RD"/>
    <x v="304"/>
    <x v="2"/>
    <x v="1"/>
    <s v="Invoice"/>
    <s v="98573"/>
    <x v="58"/>
    <x v="51"/>
    <x v="22"/>
    <x v="2"/>
    <n v="5.01"/>
  </r>
  <r>
    <s v="DPOPPELL"/>
    <s v="04"/>
    <s v="PARKESDA"/>
    <s v="BILOXI"/>
    <x v="304"/>
    <x v="2"/>
    <x v="1"/>
    <s v="Invoice"/>
    <s v="98574"/>
    <x v="65"/>
    <x v="58"/>
    <x v="22"/>
    <x v="2"/>
    <n v="10.012499999999999"/>
  </r>
  <r>
    <s v="DPOPPELL"/>
    <s v="04"/>
    <s v="STRAWBERRYR"/>
    <s v="RANCH 1"/>
    <x v="304"/>
    <x v="2"/>
    <x v="1"/>
    <s v="Invoice"/>
    <s v="98575"/>
    <x v="64"/>
    <x v="57"/>
    <x v="22"/>
    <x v="2"/>
    <n v="15.02"/>
  </r>
  <r>
    <s v="DPOPPELL"/>
    <s v="04"/>
    <s v="STRAWBERRYR"/>
    <s v="RANCH 1"/>
    <x v="304"/>
    <x v="2"/>
    <x v="1"/>
    <s v="Invoice"/>
    <s v="98575"/>
    <x v="357"/>
    <x v="317"/>
    <x v="25"/>
    <x v="0"/>
    <n v="5.625"/>
  </r>
  <r>
    <s v="DPOPPELL"/>
    <s v="04"/>
    <s v="FRANKLIN"/>
    <s v="MCGEE RD. NORTH"/>
    <x v="304"/>
    <x v="2"/>
    <x v="1"/>
    <s v="Invoice"/>
    <s v="98576"/>
    <x v="116"/>
    <x v="103"/>
    <x v="43"/>
    <x v="0"/>
    <n v="60"/>
  </r>
  <r>
    <s v="DPOPPELL"/>
    <s v="04"/>
    <s v="FANCYFAR"/>
    <s v="FANCY FARM/CENT"/>
    <x v="304"/>
    <x v="2"/>
    <x v="1"/>
    <s v="Invoice"/>
    <s v="98580"/>
    <x v="347"/>
    <x v="308"/>
    <x v="22"/>
    <x v="2"/>
    <n v="10"/>
  </r>
  <r>
    <s v="DPOPPELL"/>
    <s v="04"/>
    <s v="JOEPENA"/>
    <s v="JIMREDMAN"/>
    <x v="304"/>
    <x v="2"/>
    <x v="1"/>
    <s v="Invoice"/>
    <s v="98582"/>
    <x v="55"/>
    <x v="48"/>
    <x v="22"/>
    <x v="2"/>
    <n v="1"/>
  </r>
  <r>
    <s v="DPOPPELL"/>
    <s v="04"/>
    <s v="STRAWBERRYR"/>
    <s v="RANCH 4"/>
    <x v="304"/>
    <x v="2"/>
    <x v="1"/>
    <s v="Invoice"/>
    <s v="98583"/>
    <x v="64"/>
    <x v="57"/>
    <x v="22"/>
    <x v="2"/>
    <n v="15.0075"/>
  </r>
  <r>
    <s v="DPOPPELL"/>
    <s v="04"/>
    <s v="STRAWBERRYR"/>
    <s v="RANCH 4"/>
    <x v="304"/>
    <x v="2"/>
    <x v="1"/>
    <s v="Invoice"/>
    <s v="98583"/>
    <x v="357"/>
    <x v="317"/>
    <x v="25"/>
    <x v="0"/>
    <n v="5.625"/>
  </r>
  <r>
    <s v="DPOPPELL"/>
    <s v="04"/>
    <s v="SYDNEYFA"/>
    <s v="FORBES ROAD"/>
    <x v="304"/>
    <x v="2"/>
    <x v="1"/>
    <s v="Invoice"/>
    <s v="98585"/>
    <x v="377"/>
    <x v="331"/>
    <x v="22"/>
    <x v="2"/>
    <n v="5"/>
  </r>
  <r>
    <s v="DPOPPELL"/>
    <s v="04"/>
    <s v="MIDWAYF"/>
    <s v="NURSERY"/>
    <x v="305"/>
    <x v="2"/>
    <x v="1"/>
    <s v="Invoice"/>
    <s v="98586"/>
    <x v="27"/>
    <x v="22"/>
    <x v="22"/>
    <x v="2"/>
    <n v="10.005000000000001"/>
  </r>
  <r>
    <s v="DPOPPELL"/>
    <s v="04"/>
    <s v="CHARLIEG-LLC"/>
    <s v="LAMPP ROAD"/>
    <x v="305"/>
    <x v="2"/>
    <x v="1"/>
    <s v="Invoice"/>
    <s v="98587"/>
    <x v="27"/>
    <x v="22"/>
    <x v="22"/>
    <x v="2"/>
    <n v="13.25"/>
  </r>
  <r>
    <s v="DPOPPELL"/>
    <s v="04"/>
    <s v="MENDOZAHEC"/>
    <s v="HWY60"/>
    <x v="305"/>
    <x v="2"/>
    <x v="1"/>
    <s v="Invoice"/>
    <s v="98591"/>
    <x v="27"/>
    <x v="22"/>
    <x v="22"/>
    <x v="2"/>
    <n v="3.4975000000000001"/>
  </r>
  <r>
    <s v="DPOPPELL"/>
    <s v="04"/>
    <s v="GUTIERREZA"/>
    <s v="JOE KING RD"/>
    <x v="305"/>
    <x v="2"/>
    <x v="1"/>
    <s v="Invoice"/>
    <s v="98592"/>
    <x v="58"/>
    <x v="51"/>
    <x v="22"/>
    <x v="2"/>
    <n v="3.5"/>
  </r>
  <r>
    <s v="DPOPPELL"/>
    <s v="04"/>
    <s v="CARLTONTHOMAS"/>
    <s v="GRANGEHALL"/>
    <x v="305"/>
    <x v="2"/>
    <x v="1"/>
    <s v="Invoice"/>
    <s v="98593"/>
    <x v="71"/>
    <x v="64"/>
    <x v="22"/>
    <x v="2"/>
    <n v="10.0025"/>
  </r>
  <r>
    <s v="DPOPPELL"/>
    <s v="04"/>
    <s v="CHARLIEG-LLC"/>
    <s v="WILDER RD/WEST"/>
    <x v="305"/>
    <x v="2"/>
    <x v="1"/>
    <s v="Invoice"/>
    <s v="98594"/>
    <x v="27"/>
    <x v="22"/>
    <x v="22"/>
    <x v="2"/>
    <n v="15.012499999999999"/>
  </r>
  <r>
    <s v="DPOPPELL"/>
    <s v="04"/>
    <s v="SWEETLIFE"/>
    <s v="FOSTERDUKES"/>
    <x v="305"/>
    <x v="2"/>
    <x v="1"/>
    <s v="Invoice"/>
    <s v="98595"/>
    <x v="27"/>
    <x v="22"/>
    <x v="22"/>
    <x v="2"/>
    <n v="9.0124999999999993"/>
  </r>
  <r>
    <s v="DPOPPELL"/>
    <s v="04"/>
    <s v="ALVAREZJ"/>
    <s v="SYDNEY RD"/>
    <x v="305"/>
    <x v="2"/>
    <x v="1"/>
    <s v="Invoice"/>
    <s v="98596"/>
    <x v="58"/>
    <x v="51"/>
    <x v="22"/>
    <x v="2"/>
    <n v="2"/>
  </r>
  <r>
    <s v="DPOPPELL"/>
    <s v="04"/>
    <s v="EWSIMMON"/>
    <s v="JERRY SMITH RD"/>
    <x v="305"/>
    <x v="2"/>
    <x v="1"/>
    <s v="Invoice"/>
    <s v="98597"/>
    <x v="268"/>
    <x v="236"/>
    <x v="22"/>
    <x v="2"/>
    <n v="7.5"/>
  </r>
  <r>
    <s v="DPOPPELL"/>
    <s v="04"/>
    <s v="EWSIMMON"/>
    <s v="JERRY SMITH RD"/>
    <x v="305"/>
    <x v="2"/>
    <x v="1"/>
    <s v="Invoice"/>
    <s v="98597"/>
    <x v="357"/>
    <x v="317"/>
    <x v="25"/>
    <x v="0"/>
    <n v="2.8125"/>
  </r>
  <r>
    <s v="DPOPPELL"/>
    <s v="04"/>
    <s v="CHBERRY"/>
    <s v="BOBCAT"/>
    <x v="305"/>
    <x v="2"/>
    <x v="1"/>
    <s v="Invoice"/>
    <s v="98598"/>
    <x v="58"/>
    <x v="51"/>
    <x v="22"/>
    <x v="2"/>
    <n v="2.9874999999999998"/>
  </r>
  <r>
    <s v="DPOPPELL"/>
    <s v="04"/>
    <s v="MARTINEZMIGUEL"/>
    <s v="MAIN"/>
    <x v="306"/>
    <x v="2"/>
    <x v="1"/>
    <s v="Invoice"/>
    <s v="98600"/>
    <x v="53"/>
    <x v="46"/>
    <x v="22"/>
    <x v="2"/>
    <n v="0.15"/>
  </r>
  <r>
    <s v="DPOPPELL"/>
    <s v="04"/>
    <s v="SOUTHERNHILL"/>
    <s v="SCHOFIELD"/>
    <x v="306"/>
    <x v="2"/>
    <x v="1"/>
    <s v="Invoice"/>
    <s v="98601"/>
    <x v="47"/>
    <x v="41"/>
    <x v="22"/>
    <x v="2"/>
    <n v="5"/>
  </r>
  <r>
    <s v="DPOPPELL"/>
    <s v="04"/>
    <s v="SOUTHERNHILL"/>
    <s v="SCHOFIELD"/>
    <x v="306"/>
    <x v="2"/>
    <x v="1"/>
    <s v="Invoice"/>
    <s v="98602"/>
    <x v="43"/>
    <x v="38"/>
    <x v="22"/>
    <x v="2"/>
    <n v="2.5"/>
  </r>
  <r>
    <s v="DPOPPELL"/>
    <s v="04"/>
    <s v="SWEETFARMS"/>
    <s v="SPRINGHEAD"/>
    <x v="306"/>
    <x v="2"/>
    <x v="1"/>
    <s v="Invoice"/>
    <s v="98603"/>
    <x v="28"/>
    <x v="23"/>
    <x v="22"/>
    <x v="2"/>
    <n v="2.5"/>
  </r>
  <r>
    <s v="DPOPPELL"/>
    <s v="04"/>
    <s v="JOSEHERN"/>
    <s v="SPARKMAN"/>
    <x v="306"/>
    <x v="2"/>
    <x v="1"/>
    <s v="Invoice"/>
    <s v="98604"/>
    <x v="58"/>
    <x v="51"/>
    <x v="22"/>
    <x v="2"/>
    <n v="10"/>
  </r>
  <r>
    <s v="DPOPPELL"/>
    <s v="04"/>
    <s v="JOSEHERN"/>
    <s v="SPARKMAN"/>
    <x v="306"/>
    <x v="2"/>
    <x v="1"/>
    <s v="Invoice"/>
    <s v="98604"/>
    <x v="357"/>
    <x v="317"/>
    <x v="25"/>
    <x v="0"/>
    <n v="3.75"/>
  </r>
  <r>
    <s v="DPOPPELL"/>
    <s v="04"/>
    <s v="JOSEHERN"/>
    <s v="KEYSVILLE N"/>
    <x v="306"/>
    <x v="2"/>
    <x v="1"/>
    <s v="Invoice"/>
    <s v="98605"/>
    <x v="58"/>
    <x v="51"/>
    <x v="22"/>
    <x v="2"/>
    <n v="10.02"/>
  </r>
  <r>
    <s v="DPOPPELL"/>
    <s v="04"/>
    <s v="SPIVEYFA"/>
    <s v="HOPEWELL"/>
    <x v="306"/>
    <x v="2"/>
    <x v="1"/>
    <s v="Invoice"/>
    <s v="98606"/>
    <x v="56"/>
    <x v="49"/>
    <x v="22"/>
    <x v="2"/>
    <n v="4"/>
  </r>
  <r>
    <s v="DPOPPELL"/>
    <s v="04"/>
    <s v="JOSEHERN"/>
    <s v="KEYSVILLE N"/>
    <x v="306"/>
    <x v="2"/>
    <x v="1"/>
    <s v="Invoice"/>
    <s v="98607"/>
    <x v="58"/>
    <x v="51"/>
    <x v="22"/>
    <x v="2"/>
    <n v="10"/>
  </r>
  <r>
    <s v="DPOPPELL"/>
    <s v="04"/>
    <s v="SWEETLIFE"/>
    <s v="SWINDLEN"/>
    <x v="306"/>
    <x v="2"/>
    <x v="1"/>
    <s v="Invoice"/>
    <s v="98608"/>
    <x v="27"/>
    <x v="22"/>
    <x v="22"/>
    <x v="2"/>
    <n v="12.51"/>
  </r>
  <r>
    <s v="DPOPPELL"/>
    <s v="04"/>
    <s v="CHAVEZJOR"/>
    <s v="JOSE' CHAV- COD"/>
    <x v="306"/>
    <x v="2"/>
    <x v="1"/>
    <s v="Invoice"/>
    <s v="98610"/>
    <x v="53"/>
    <x v="46"/>
    <x v="22"/>
    <x v="2"/>
    <n v="0.3"/>
  </r>
  <r>
    <s v="DPOPPELL"/>
    <s v="04"/>
    <s v="ELIASCEDILLO"/>
    <s v="GALLAGHER"/>
    <x v="306"/>
    <x v="2"/>
    <x v="1"/>
    <s v="Invoice"/>
    <s v="98611"/>
    <x v="58"/>
    <x v="51"/>
    <x v="22"/>
    <x v="2"/>
    <n v="1.25"/>
  </r>
  <r>
    <s v="DPOPPELL"/>
    <s v="04"/>
    <s v="FRANKLIN"/>
    <s v="MCGEE RD. NORTH"/>
    <x v="306"/>
    <x v="2"/>
    <x v="1"/>
    <s v="Invoice"/>
    <s v="98612"/>
    <x v="28"/>
    <x v="23"/>
    <x v="22"/>
    <x v="2"/>
    <n v="8.5024999999999995"/>
  </r>
  <r>
    <s v="DPOPPELL"/>
    <s v="04"/>
    <s v="STEVEMAT"/>
    <s v="DRAWDY"/>
    <x v="306"/>
    <x v="2"/>
    <x v="1"/>
    <s v="Invoice"/>
    <s v="98613"/>
    <x v="140"/>
    <x v="72"/>
    <x v="4"/>
    <x v="0"/>
    <n v="250"/>
  </r>
  <r>
    <s v="DPOPPELL"/>
    <s v="04"/>
    <s v="IFASGULF"/>
    <s v="BALM-STRAWBERRY"/>
    <x v="306"/>
    <x v="2"/>
    <x v="1"/>
    <s v="Invoice"/>
    <s v="98614"/>
    <x v="111"/>
    <x v="99"/>
    <x v="22"/>
    <x v="2"/>
    <n v="1.25"/>
  </r>
  <r>
    <s v="DPOPPELL"/>
    <s v="04"/>
    <s v="STEVEMAT"/>
    <s v="LOSTLK"/>
    <x v="306"/>
    <x v="2"/>
    <x v="1"/>
    <s v="Invoice"/>
    <s v="98616"/>
    <x v="140"/>
    <x v="72"/>
    <x v="4"/>
    <x v="0"/>
    <n v="250"/>
  </r>
  <r>
    <s v="DPOPPELL"/>
    <s v="04"/>
    <s v="SWEETLIFE"/>
    <s v="SWINDLES"/>
    <x v="311"/>
    <x v="2"/>
    <x v="1"/>
    <s v="Invoice"/>
    <s v="98619"/>
    <x v="27"/>
    <x v="22"/>
    <x v="22"/>
    <x v="2"/>
    <n v="10.005000000000001"/>
  </r>
  <r>
    <s v="DPOPPELL"/>
    <s v="04"/>
    <s v="SANCHEZFARM"/>
    <s v="WACHULA"/>
    <x v="311"/>
    <x v="2"/>
    <x v="1"/>
    <s v="Invoice"/>
    <s v="98621"/>
    <x v="43"/>
    <x v="38"/>
    <x v="22"/>
    <x v="2"/>
    <n v="11.25"/>
  </r>
  <r>
    <s v="DPOPPELL"/>
    <s v="04"/>
    <s v="SWEETLIFE"/>
    <s v="GALLAGHER"/>
    <x v="311"/>
    <x v="2"/>
    <x v="1"/>
    <s v="Invoice"/>
    <s v="98622"/>
    <x v="27"/>
    <x v="22"/>
    <x v="22"/>
    <x v="2"/>
    <n v="9.9975000000000005"/>
  </r>
  <r>
    <s v="DPOPPELL"/>
    <s v="04"/>
    <s v="ALONSOFARMS"/>
    <s v="GALLAGHER"/>
    <x v="311"/>
    <x v="2"/>
    <x v="1"/>
    <s v="Invoice"/>
    <s v="98623"/>
    <x v="28"/>
    <x v="23"/>
    <x v="22"/>
    <x v="2"/>
    <n v="5.0149999999999997"/>
  </r>
  <r>
    <s v="DPOPPELL"/>
    <s v="04"/>
    <s v="STRAWBERRYR"/>
    <s v="RANCH 2"/>
    <x v="311"/>
    <x v="2"/>
    <x v="1"/>
    <s v="Invoice"/>
    <s v="98624"/>
    <x v="64"/>
    <x v="57"/>
    <x v="22"/>
    <x v="2"/>
    <n v="10.1325"/>
  </r>
  <r>
    <s v="DPOPPELL"/>
    <s v="04"/>
    <s v="STRAWBERRYR"/>
    <s v="RANCH 2"/>
    <x v="311"/>
    <x v="2"/>
    <x v="1"/>
    <s v="Invoice"/>
    <s v="98624"/>
    <x v="357"/>
    <x v="317"/>
    <x v="25"/>
    <x v="0"/>
    <n v="3.75"/>
  </r>
  <r>
    <s v="DPOPPELL"/>
    <s v="04"/>
    <s v="SANCHEZFARM"/>
    <s v="WACHULA"/>
    <x v="311"/>
    <x v="2"/>
    <x v="1"/>
    <s v="Invoice"/>
    <s v="98625"/>
    <x v="59"/>
    <x v="52"/>
    <x v="22"/>
    <x v="2"/>
    <n v="4.0599999999999996"/>
  </r>
  <r>
    <s v="DPOPPELL"/>
    <s v="04"/>
    <s v="GILLMANBUDD"/>
    <s v="BENNETT RD"/>
    <x v="311"/>
    <x v="2"/>
    <x v="1"/>
    <s v="Invoice"/>
    <s v="98627"/>
    <x v="63"/>
    <x v="56"/>
    <x v="22"/>
    <x v="2"/>
    <n v="2.4900000000000002"/>
  </r>
  <r>
    <s v="DPOPPELL"/>
    <s v="04"/>
    <s v="SANCHEZFARM"/>
    <s v="WACHULA"/>
    <x v="311"/>
    <x v="2"/>
    <x v="1"/>
    <s v="Invoice"/>
    <s v="98628"/>
    <x v="59"/>
    <x v="52"/>
    <x v="22"/>
    <x v="2"/>
    <n v="14.05"/>
  </r>
  <r>
    <s v="DPOPPELL"/>
    <s v="04"/>
    <s v="MARTINEZMIGUEL"/>
    <s v="MAIN"/>
    <x v="310"/>
    <x v="2"/>
    <x v="1"/>
    <s v="Invoice"/>
    <s v="98632"/>
    <x v="53"/>
    <x v="46"/>
    <x v="22"/>
    <x v="2"/>
    <n v="0.15"/>
  </r>
  <r>
    <s v="DPOPPELL"/>
    <s v="04"/>
    <s v="MARTINEZMIGUEL"/>
    <s v="MAIN"/>
    <x v="310"/>
    <x v="2"/>
    <x v="1"/>
    <s v="Invoice"/>
    <s v="98633"/>
    <x v="53"/>
    <x v="46"/>
    <x v="22"/>
    <x v="2"/>
    <n v="0.15"/>
  </r>
  <r>
    <s v="DPOPPELL"/>
    <s v="04"/>
    <s v="MIDWAYF"/>
    <s v="VERNER"/>
    <x v="310"/>
    <x v="2"/>
    <x v="1"/>
    <s v="Invoice"/>
    <s v="98634"/>
    <x v="27"/>
    <x v="22"/>
    <x v="22"/>
    <x v="2"/>
    <n v="7.5"/>
  </r>
  <r>
    <s v="DPOPPELL"/>
    <s v="04"/>
    <s v="MIDWAYF"/>
    <s v="FORBES"/>
    <x v="310"/>
    <x v="2"/>
    <x v="1"/>
    <s v="Invoice"/>
    <s v="98635"/>
    <x v="27"/>
    <x v="22"/>
    <x v="22"/>
    <x v="2"/>
    <n v="15.02"/>
  </r>
  <r>
    <s v="DPOPPELL"/>
    <s v="04"/>
    <s v="CIRCLEGF&amp;R LLC"/>
    <s v="PUMP4"/>
    <x v="310"/>
    <x v="2"/>
    <x v="1"/>
    <s v="Invoice"/>
    <s v="98636"/>
    <x v="27"/>
    <x v="22"/>
    <x v="22"/>
    <x v="2"/>
    <n v="15.02"/>
  </r>
  <r>
    <s v="DPOPPELL"/>
    <s v="04"/>
    <s v="FLORIDAAG"/>
    <s v="KINGSWAY"/>
    <x v="310"/>
    <x v="2"/>
    <x v="1"/>
    <s v="Invoice"/>
    <s v="98639"/>
    <x v="326"/>
    <x v="289"/>
    <x v="22"/>
    <x v="2"/>
    <n v="2.25"/>
  </r>
  <r>
    <s v="DPOPPELL"/>
    <s v="04"/>
    <s v="CIRCLEGF&amp;R LLC"/>
    <s v="KNIGHTS-N-#12"/>
    <x v="310"/>
    <x v="2"/>
    <x v="1"/>
    <s v="Invoice"/>
    <s v="98640"/>
    <x v="27"/>
    <x v="22"/>
    <x v="22"/>
    <x v="2"/>
    <n v="7.5"/>
  </r>
  <r>
    <s v="DPOPPELL"/>
    <s v="04"/>
    <s v="LARRYENN"/>
    <s v="TRAPNELL ROAD"/>
    <x v="310"/>
    <x v="2"/>
    <x v="1"/>
    <s v="Invoice"/>
    <s v="98641"/>
    <x v="58"/>
    <x v="51"/>
    <x v="22"/>
    <x v="2"/>
    <n v="4.5149999999999997"/>
  </r>
  <r>
    <s v="DPOPPELL"/>
    <s v="04"/>
    <s v="ALONSOFARMS"/>
    <s v="WIMAUMA"/>
    <x v="310"/>
    <x v="2"/>
    <x v="1"/>
    <s v="Invoice"/>
    <s v="98642"/>
    <x v="28"/>
    <x v="23"/>
    <x v="22"/>
    <x v="2"/>
    <n v="5.0025000000000004"/>
  </r>
  <r>
    <s v="DPOPPELL"/>
    <s v="04"/>
    <s v="FLORIDAAG"/>
    <s v="DOVER"/>
    <x v="310"/>
    <x v="2"/>
    <x v="1"/>
    <s v="Invoice"/>
    <s v="98643"/>
    <x v="52"/>
    <x v="45"/>
    <x v="22"/>
    <x v="2"/>
    <n v="1.5"/>
  </r>
  <r>
    <s v="DPOPPELL"/>
    <s v="04"/>
    <s v="SYDNEYFA"/>
    <s v="SYDNEY-WASHER"/>
    <x v="310"/>
    <x v="2"/>
    <x v="1"/>
    <s v="Invoice"/>
    <s v="98644"/>
    <x v="377"/>
    <x v="331"/>
    <x v="22"/>
    <x v="2"/>
    <n v="10"/>
  </r>
  <r>
    <s v="DPOPPELL"/>
    <s v="04"/>
    <s v="GUTIERREZA"/>
    <s v="JL"/>
    <x v="310"/>
    <x v="2"/>
    <x v="1"/>
    <s v="Invoice"/>
    <s v="98645"/>
    <x v="58"/>
    <x v="51"/>
    <x v="22"/>
    <x v="2"/>
    <n v="3.9950000000000001"/>
  </r>
  <r>
    <s v=""/>
    <s v="04"/>
    <s v="M&amp;GFARMS"/>
    <s v="HAREFAMILYLN"/>
    <x v="310"/>
    <x v="2"/>
    <x v="1"/>
    <s v="Invoice"/>
    <s v="98646"/>
    <x v="59"/>
    <x v="52"/>
    <x v="22"/>
    <x v="2"/>
    <n v="8.01"/>
  </r>
  <r>
    <s v="DPOPPELL"/>
    <s v="04"/>
    <s v="MIDWAYF"/>
    <s v="ALS - NORTH"/>
    <x v="307"/>
    <x v="2"/>
    <x v="1"/>
    <s v="Invoice"/>
    <s v="98648"/>
    <x v="27"/>
    <x v="22"/>
    <x v="22"/>
    <x v="2"/>
    <n v="5.0025000000000004"/>
  </r>
  <r>
    <s v="DPOPPELL"/>
    <s v="04"/>
    <s v="SWEETLIFE"/>
    <s v="KNIGHTS GRIFFIN"/>
    <x v="307"/>
    <x v="2"/>
    <x v="1"/>
    <s v="Invoice"/>
    <s v="98649"/>
    <x v="27"/>
    <x v="22"/>
    <x v="22"/>
    <x v="2"/>
    <n v="20.05"/>
  </r>
  <r>
    <s v="DPOPPELL"/>
    <s v="04"/>
    <s v="MIKELOTT"/>
    <s v="MAILING"/>
    <x v="307"/>
    <x v="2"/>
    <x v="1"/>
    <s v="Invoice"/>
    <s v="98650"/>
    <x v="45"/>
    <x v="37"/>
    <x v="30"/>
    <x v="0"/>
    <n v="250"/>
  </r>
  <r>
    <s v="DPOPPELL"/>
    <s v="04"/>
    <s v="BEAUCHAMP"/>
    <s v="GALLAGHER"/>
    <x v="307"/>
    <x v="2"/>
    <x v="1"/>
    <s v="Invoice"/>
    <s v="98653"/>
    <x v="50"/>
    <x v="43"/>
    <x v="22"/>
    <x v="2"/>
    <n v="7.5075000000000003"/>
  </r>
  <r>
    <s v="DPOPPELL"/>
    <s v="04"/>
    <s v="GERALDWI"/>
    <s v="MCINTOSH ROAD"/>
    <x v="307"/>
    <x v="2"/>
    <x v="1"/>
    <s v="Invoice"/>
    <s v="98654"/>
    <x v="43"/>
    <x v="38"/>
    <x v="22"/>
    <x v="2"/>
    <n v="5.0075000000000003"/>
  </r>
  <r>
    <s v="DPOPPELL"/>
    <s v="04"/>
    <s v="MIDWAYF"/>
    <s v="NURSERY"/>
    <x v="307"/>
    <x v="2"/>
    <x v="1"/>
    <s v="Invoice"/>
    <s v="98655"/>
    <x v="27"/>
    <x v="22"/>
    <x v="22"/>
    <x v="2"/>
    <n v="3.4975000000000001"/>
  </r>
  <r>
    <s v="DPOPPELL"/>
    <s v="04"/>
    <s v="SRISAIAY"/>
    <s v="SYDNEY DOVER"/>
    <x v="307"/>
    <x v="2"/>
    <x v="1"/>
    <s v="Invoice"/>
    <s v="98656"/>
    <x v="59"/>
    <x v="52"/>
    <x v="22"/>
    <x v="2"/>
    <n v="2.5024999999999999"/>
  </r>
  <r>
    <s v="DPOPPELL"/>
    <s v="04"/>
    <s v="DURGAFARMS"/>
    <s v="SYDNEYDOVER"/>
    <x v="307"/>
    <x v="2"/>
    <x v="1"/>
    <s v="Invoice"/>
    <s v="98657"/>
    <x v="58"/>
    <x v="51"/>
    <x v="22"/>
    <x v="2"/>
    <n v="5.0049999999999999"/>
  </r>
  <r>
    <s v="DPOPPELL"/>
    <s v="04"/>
    <s v="THREESTA"/>
    <s v="WALDEN-SHEFFIEL"/>
    <x v="317"/>
    <x v="2"/>
    <x v="1"/>
    <s v="Invoice"/>
    <s v="98662"/>
    <x v="377"/>
    <x v="331"/>
    <x v="22"/>
    <x v="2"/>
    <n v="10.02"/>
  </r>
  <r>
    <s v="DPOPPELL"/>
    <s v="04"/>
    <s v="THREESTA"/>
    <s v="WALDEN-SHEFFIEL"/>
    <x v="317"/>
    <x v="2"/>
    <x v="1"/>
    <s v="Invoice"/>
    <s v="98662"/>
    <x v="357"/>
    <x v="317"/>
    <x v="25"/>
    <x v="0"/>
    <n v="3.75"/>
  </r>
  <r>
    <s v="DPOPPELL"/>
    <s v="04"/>
    <s v="EWSIMMON"/>
    <s v="JERRY SMITH RD"/>
    <x v="317"/>
    <x v="2"/>
    <x v="1"/>
    <s v="Invoice"/>
    <s v="98663"/>
    <x v="142"/>
    <x v="123"/>
    <x v="0"/>
    <x v="0"/>
    <n v="250"/>
  </r>
  <r>
    <s v="DPOPPELL"/>
    <s v="04"/>
    <s v="CIRCLEGF&amp;R LLC"/>
    <s v="KNIGHTS-N-#16"/>
    <x v="317"/>
    <x v="2"/>
    <x v="1"/>
    <s v="Invoice"/>
    <s v="98664"/>
    <x v="27"/>
    <x v="22"/>
    <x v="22"/>
    <x v="2"/>
    <n v="7.5075000000000003"/>
  </r>
  <r>
    <s v="DPOPPELL"/>
    <s v="04"/>
    <s v="CIRCLEGF&amp;R LLC"/>
    <s v="KNIGHTS-N-#13"/>
    <x v="317"/>
    <x v="2"/>
    <x v="1"/>
    <s v="Invoice"/>
    <s v="98665"/>
    <x v="27"/>
    <x v="22"/>
    <x v="22"/>
    <x v="2"/>
    <n v="12.5"/>
  </r>
  <r>
    <s v="DPOPPELL"/>
    <s v="04"/>
    <s v="PARKESDA"/>
    <s v="I-4"/>
    <x v="317"/>
    <x v="2"/>
    <x v="1"/>
    <s v="Invoice"/>
    <s v="98668"/>
    <x v="65"/>
    <x v="58"/>
    <x v="22"/>
    <x v="2"/>
    <n v="2.5024999999999999"/>
  </r>
  <r>
    <s v="DPOPPELL"/>
    <s v="04"/>
    <s v="GAONA, ESPER"/>
    <s v="SMOKINACES"/>
    <x v="317"/>
    <x v="2"/>
    <x v="1"/>
    <s v="Invoice"/>
    <s v="98669"/>
    <x v="28"/>
    <x v="23"/>
    <x v="22"/>
    <x v="2"/>
    <n v="4.5"/>
  </r>
  <r>
    <s v="DPOPPELL"/>
    <s v="04"/>
    <s v="HINTONFA"/>
    <s v="SYDNEY NORTH"/>
    <x v="317"/>
    <x v="2"/>
    <x v="1"/>
    <s v="Invoice"/>
    <s v="98670"/>
    <x v="154"/>
    <x v="136"/>
    <x v="22"/>
    <x v="2"/>
    <n v="10.005000000000001"/>
  </r>
  <r>
    <s v="DPOPPELL"/>
    <s v="04"/>
    <s v="JOSEHERN"/>
    <s v="TRAPNELL RD/E"/>
    <x v="312"/>
    <x v="2"/>
    <x v="1"/>
    <s v="Invoice"/>
    <s v="98683"/>
    <x v="55"/>
    <x v="48"/>
    <x v="22"/>
    <x v="2"/>
    <n v="2"/>
  </r>
  <r>
    <s v="DPOPPELL"/>
    <s v="04"/>
    <s v="JOSEHERN"/>
    <s v="SPARKMAN"/>
    <x v="312"/>
    <x v="2"/>
    <x v="1"/>
    <s v="Invoice"/>
    <s v="98684"/>
    <x v="58"/>
    <x v="51"/>
    <x v="22"/>
    <x v="2"/>
    <n v="10.02"/>
  </r>
  <r>
    <s v="DPOPPELL"/>
    <s v="04"/>
    <s v="JOSEHERN"/>
    <s v="SPARKMAN"/>
    <x v="312"/>
    <x v="2"/>
    <x v="1"/>
    <s v="Invoice"/>
    <s v="98684"/>
    <x v="357"/>
    <x v="317"/>
    <x v="25"/>
    <x v="0"/>
    <n v="3.75"/>
  </r>
  <r>
    <s v="DPOPPELL"/>
    <s v="04"/>
    <s v="TWINFARMS"/>
    <s v="WIMAUMA"/>
    <x v="312"/>
    <x v="2"/>
    <x v="1"/>
    <s v="Invoice"/>
    <s v="98685"/>
    <x v="53"/>
    <x v="46"/>
    <x v="22"/>
    <x v="2"/>
    <n v="2"/>
  </r>
  <r>
    <s v="DPOPPELL"/>
    <s v="04"/>
    <s v="JOSEHERN"/>
    <s v="COLSON RD"/>
    <x v="312"/>
    <x v="2"/>
    <x v="1"/>
    <s v="Invoice"/>
    <s v="98686"/>
    <x v="43"/>
    <x v="38"/>
    <x v="22"/>
    <x v="2"/>
    <n v="2"/>
  </r>
  <r>
    <s v="DPOPPELL"/>
    <s v="04"/>
    <s v="FAVORITE"/>
    <s v="MCINTOSH ROAD"/>
    <x v="312"/>
    <x v="2"/>
    <x v="1"/>
    <s v="Invoice"/>
    <s v="98688"/>
    <x v="28"/>
    <x v="23"/>
    <x v="22"/>
    <x v="2"/>
    <n v="10"/>
  </r>
  <r>
    <s v="DPOPPELL"/>
    <s v="04"/>
    <s v="SWEETLIFE"/>
    <s v="KEENE RD."/>
    <x v="312"/>
    <x v="2"/>
    <x v="1"/>
    <s v="Invoice"/>
    <s v="98689"/>
    <x v="27"/>
    <x v="22"/>
    <x v="22"/>
    <x v="2"/>
    <n v="9.9975000000000005"/>
  </r>
  <r>
    <s v="DPOPPELL"/>
    <s v="04"/>
    <s v="ROQUEFARMS"/>
    <s v="MEEKHORIZON"/>
    <x v="312"/>
    <x v="2"/>
    <x v="1"/>
    <s v="Invoice"/>
    <s v="98690"/>
    <x v="43"/>
    <x v="38"/>
    <x v="22"/>
    <x v="2"/>
    <n v="5"/>
  </r>
  <r>
    <s v="DPOPPELL"/>
    <s v="04"/>
    <s v="SWEETLIFE"/>
    <s v="SAMALLEN-NORTH"/>
    <x v="312"/>
    <x v="2"/>
    <x v="1"/>
    <s v="Invoice"/>
    <s v="98691"/>
    <x v="27"/>
    <x v="22"/>
    <x v="22"/>
    <x v="2"/>
    <n v="9.9975000000000005"/>
  </r>
  <r>
    <s v="DPOPPELL"/>
    <s v="04"/>
    <s v="TRUEALGAE"/>
    <s v="MAILIING"/>
    <x v="313"/>
    <x v="2"/>
    <x v="1"/>
    <s v="Invoice"/>
    <s v="98693"/>
    <x v="32"/>
    <x v="246"/>
    <x v="25"/>
    <x v="0"/>
    <n v="180"/>
  </r>
  <r>
    <s v="DPOPPELL"/>
    <s v="04"/>
    <s v="TRUEALGAE"/>
    <s v="MAILIING"/>
    <x v="313"/>
    <x v="2"/>
    <x v="1"/>
    <s v="Invoice"/>
    <s v="98693"/>
    <x v="32"/>
    <x v="246"/>
    <x v="25"/>
    <x v="0"/>
    <n v="14"/>
  </r>
  <r>
    <s v="DPOPPELL"/>
    <s v="04"/>
    <s v="FERRISFA"/>
    <s v="STRABERRIES"/>
    <x v="313"/>
    <x v="2"/>
    <x v="1"/>
    <s v="Invoice"/>
    <s v="98694"/>
    <x v="44"/>
    <x v="39"/>
    <x v="22"/>
    <x v="2"/>
    <n v="15.005000000000001"/>
  </r>
  <r>
    <s v="DPOPPELL"/>
    <s v="04"/>
    <s v="CARLTONTHOMAS"/>
    <s v="GRANGEHALL"/>
    <x v="313"/>
    <x v="2"/>
    <x v="1"/>
    <s v="Invoice"/>
    <s v="98695"/>
    <x v="71"/>
    <x v="64"/>
    <x v="22"/>
    <x v="2"/>
    <n v="14.9825"/>
  </r>
  <r>
    <s v="DPOPPELL"/>
    <s v="04"/>
    <s v="IFASGULF"/>
    <s v="BALM-STRAWBERRY"/>
    <x v="313"/>
    <x v="2"/>
    <x v="1"/>
    <s v="Invoice"/>
    <s v="98696"/>
    <x v="111"/>
    <x v="99"/>
    <x v="22"/>
    <x v="2"/>
    <n v="2.5"/>
  </r>
  <r>
    <s v="DPOPPELL"/>
    <s v="04"/>
    <s v="ROQUEFARMS"/>
    <s v="SWEETWATER"/>
    <x v="313"/>
    <x v="2"/>
    <x v="1"/>
    <s v="Invoice"/>
    <s v="98697"/>
    <x v="43"/>
    <x v="38"/>
    <x v="22"/>
    <x v="2"/>
    <n v="6"/>
  </r>
  <r>
    <s v="DPOPPELL"/>
    <s v="04"/>
    <s v="ALVAREZJ"/>
    <s v="ROGERS"/>
    <x v="313"/>
    <x v="2"/>
    <x v="1"/>
    <s v="Invoice"/>
    <s v="98698"/>
    <x v="68"/>
    <x v="61"/>
    <x v="22"/>
    <x v="2"/>
    <n v="1.9924999999999999"/>
  </r>
  <r>
    <s v="DPOPPELL"/>
    <s v="04"/>
    <s v="JOEPENA"/>
    <s v="HWY 92"/>
    <x v="313"/>
    <x v="2"/>
    <x v="1"/>
    <s v="Invoice"/>
    <s v="98699"/>
    <x v="114"/>
    <x v="101"/>
    <x v="22"/>
    <x v="2"/>
    <n v="1"/>
  </r>
  <r>
    <s v="DPOPPELL"/>
    <s v="04"/>
    <s v="M&amp;GFARMS"/>
    <s v="RED BARN"/>
    <x v="321"/>
    <x v="2"/>
    <x v="1"/>
    <s v="Invoice"/>
    <s v="98702"/>
    <x v="102"/>
    <x v="71"/>
    <x v="100"/>
    <x v="0"/>
    <n v="500"/>
  </r>
  <r>
    <s v="DPOPPELL"/>
    <s v="04"/>
    <s v="FFA"/>
    <s v="SIMMONS"/>
    <x v="321"/>
    <x v="2"/>
    <x v="1"/>
    <s v="Invoice"/>
    <s v="98705"/>
    <x v="53"/>
    <x v="46"/>
    <x v="22"/>
    <x v="2"/>
    <n v="0.15"/>
  </r>
  <r>
    <s v="DPOPPELL"/>
    <s v="04"/>
    <s v="LARRYENN"/>
    <s v="CASON ROAD"/>
    <x v="321"/>
    <x v="2"/>
    <x v="1"/>
    <s v="Invoice"/>
    <s v="98706"/>
    <x v="58"/>
    <x v="51"/>
    <x v="22"/>
    <x v="2"/>
    <n v="4.0175000000000001"/>
  </r>
  <r>
    <s v=""/>
    <s v="04"/>
    <s v="M&amp;GFARMS"/>
    <s v="HAREFAMILYLN"/>
    <x v="321"/>
    <x v="2"/>
    <x v="1"/>
    <s v="Invoice"/>
    <s v="98707"/>
    <x v="58"/>
    <x v="51"/>
    <x v="22"/>
    <x v="2"/>
    <n v="2.86"/>
  </r>
  <r>
    <s v="DPOPPELL"/>
    <s v="04"/>
    <s v="SWEETLIFE"/>
    <s v="BRYANT S"/>
    <x v="321"/>
    <x v="2"/>
    <x v="1"/>
    <s v="Invoice"/>
    <s v="98708"/>
    <x v="27"/>
    <x v="22"/>
    <x v="22"/>
    <x v="2"/>
    <n v="8.4949999999999992"/>
  </r>
  <r>
    <s v="DPOPPELL"/>
    <s v="04"/>
    <s v="GUTIERREZA"/>
    <s v="DUETTE"/>
    <x v="321"/>
    <x v="2"/>
    <x v="1"/>
    <s v="Invoice"/>
    <s v="98709"/>
    <x v="69"/>
    <x v="62"/>
    <x v="22"/>
    <x v="2"/>
    <n v="4.9874999999999998"/>
  </r>
  <r>
    <s v="DPOPPELL"/>
    <s v="04"/>
    <s v="FORTGREENFARMS"/>
    <s v="FTGREEN"/>
    <x v="321"/>
    <x v="2"/>
    <x v="1"/>
    <s v="Invoice"/>
    <s v="98710"/>
    <x v="58"/>
    <x v="51"/>
    <x v="22"/>
    <x v="2"/>
    <n v="8.25"/>
  </r>
  <r>
    <s v="DPOPPELL"/>
    <s v="04"/>
    <s v="MIKELOTT"/>
    <s v="HILLSBOROUGH"/>
    <x v="314"/>
    <x v="2"/>
    <x v="1"/>
    <s v="Invoice"/>
    <s v="98711"/>
    <x v="43"/>
    <x v="38"/>
    <x v="22"/>
    <x v="2"/>
    <n v="5.0025000000000004"/>
  </r>
  <r>
    <s v="DPOPPELL"/>
    <s v="04"/>
    <s v="LEE GILLM"/>
    <s v="BETHLEHAM RD"/>
    <x v="314"/>
    <x v="2"/>
    <x v="1"/>
    <s v="Invoice"/>
    <s v="98712"/>
    <x v="63"/>
    <x v="56"/>
    <x v="22"/>
    <x v="2"/>
    <n v="9.2650000000000006"/>
  </r>
  <r>
    <s v="DPOPPELL"/>
    <s v="04"/>
    <s v="TRIYIELD"/>
    <s v="MAIN"/>
    <x v="314"/>
    <x v="2"/>
    <x v="1"/>
    <s v="Invoice"/>
    <s v="98713"/>
    <x v="237"/>
    <x v="75"/>
    <x v="26"/>
    <x v="0"/>
    <n v="40"/>
  </r>
  <r>
    <s v="DPOPPELL"/>
    <s v="04"/>
    <s v="SWEETLIFE"/>
    <s v="KNIGHTS GRIFFIN"/>
    <x v="314"/>
    <x v="2"/>
    <x v="1"/>
    <s v="Invoice"/>
    <s v="98714"/>
    <x v="27"/>
    <x v="22"/>
    <x v="22"/>
    <x v="2"/>
    <n v="20.017499999999998"/>
  </r>
  <r>
    <s v="DPOPPELL"/>
    <s v="04"/>
    <s v="HINTONFA"/>
    <s v="MAILING"/>
    <x v="314"/>
    <x v="2"/>
    <x v="1"/>
    <s v="Invoice"/>
    <s v="98715"/>
    <x v="179"/>
    <x v="162"/>
    <x v="60"/>
    <x v="0"/>
    <n v="30"/>
  </r>
  <r>
    <s v="DPOPPELL"/>
    <s v="04"/>
    <s v="GUTIERREZA"/>
    <s v="WASHINGTON"/>
    <x v="314"/>
    <x v="2"/>
    <x v="1"/>
    <s v="Invoice"/>
    <s v="98717"/>
    <x v="69"/>
    <x v="62"/>
    <x v="22"/>
    <x v="2"/>
    <n v="4.0049999999999999"/>
  </r>
  <r>
    <s v="DPOPPELL"/>
    <s v="04"/>
    <s v="SPIVEYFA"/>
    <s v="HOPEWELL"/>
    <x v="314"/>
    <x v="2"/>
    <x v="1"/>
    <s v="Invoice"/>
    <s v="98718"/>
    <x v="56"/>
    <x v="49"/>
    <x v="22"/>
    <x v="2"/>
    <n v="3.5225"/>
  </r>
  <r>
    <s v="DPOPPELL"/>
    <s v="04"/>
    <s v="JOSEHERN"/>
    <s v="DURANT"/>
    <x v="314"/>
    <x v="2"/>
    <x v="1"/>
    <s v="Invoice"/>
    <s v="98719"/>
    <x v="55"/>
    <x v="48"/>
    <x v="22"/>
    <x v="2"/>
    <n v="10.0175"/>
  </r>
  <r>
    <s v="DPOPPELL"/>
    <s v="04"/>
    <s v="CENFLO ORGANICS"/>
    <s v="MCINTOSH"/>
    <x v="314"/>
    <x v="2"/>
    <x v="1"/>
    <s v="Invoice"/>
    <s v="98720"/>
    <x v="65"/>
    <x v="58"/>
    <x v="22"/>
    <x v="2"/>
    <n v="5.75"/>
  </r>
  <r>
    <s v=""/>
    <s v="04"/>
    <s v="SOTERO"/>
    <s v="SOTERO"/>
    <x v="314"/>
    <x v="2"/>
    <x v="1"/>
    <s v="Invoice"/>
    <s v="98721"/>
    <x v="53"/>
    <x v="46"/>
    <x v="22"/>
    <x v="2"/>
    <n v="0.45"/>
  </r>
  <r>
    <s v="DPOPPELL"/>
    <s v="04"/>
    <s v="MIDWAYF"/>
    <s v="WILDER RD."/>
    <x v="314"/>
    <x v="2"/>
    <x v="1"/>
    <s v="Invoice"/>
    <s v="98723"/>
    <x v="27"/>
    <x v="22"/>
    <x v="22"/>
    <x v="2"/>
    <n v="2.0074999999999998"/>
  </r>
  <r>
    <s v="DPOPPELL"/>
    <s v="04"/>
    <s v="MIDWAYF"/>
    <s v="ALS - NORTH"/>
    <x v="322"/>
    <x v="2"/>
    <x v="1"/>
    <s v="Invoice"/>
    <s v="98724"/>
    <x v="27"/>
    <x v="22"/>
    <x v="22"/>
    <x v="2"/>
    <n v="11.535"/>
  </r>
  <r>
    <s v="DPOPPELL"/>
    <s v="04"/>
    <s v="MIDWAYF"/>
    <s v="FRAZIER"/>
    <x v="322"/>
    <x v="2"/>
    <x v="1"/>
    <s v="Invoice"/>
    <s v="98726"/>
    <x v="27"/>
    <x v="22"/>
    <x v="22"/>
    <x v="2"/>
    <n v="9.7650000000000006"/>
  </r>
  <r>
    <s v="DPOPPELL"/>
    <s v="04"/>
    <s v="M&amp;GFARMS"/>
    <s v="HWY 640"/>
    <x v="318"/>
    <x v="2"/>
    <x v="1"/>
    <s v="Invoice"/>
    <s v="98730"/>
    <x v="28"/>
    <x v="23"/>
    <x v="22"/>
    <x v="2"/>
    <n v="4.9850000000000003"/>
  </r>
  <r>
    <s v="DPOPPELL"/>
    <s v="04"/>
    <s v="EWSIMMON"/>
    <s v="MUDLAKE ROAD"/>
    <x v="318"/>
    <x v="2"/>
    <x v="1"/>
    <s v="Invoice"/>
    <s v="98731"/>
    <x v="386"/>
    <x v="339"/>
    <x v="22"/>
    <x v="2"/>
    <n v="10.01"/>
  </r>
  <r>
    <s v="DPOPPELL"/>
    <s v="04"/>
    <s v="EWSIMMON"/>
    <s v="MUDLAKE ROAD"/>
    <x v="318"/>
    <x v="2"/>
    <x v="1"/>
    <s v="Invoice"/>
    <s v="98731"/>
    <x v="357"/>
    <x v="317"/>
    <x v="25"/>
    <x v="0"/>
    <n v="3.75"/>
  </r>
  <r>
    <s v="DPOPPELL"/>
    <s v="04"/>
    <s v="GUTIERREZA"/>
    <s v="DUETTE"/>
    <x v="318"/>
    <x v="2"/>
    <x v="1"/>
    <s v="Invoice"/>
    <s v="98735"/>
    <x v="69"/>
    <x v="62"/>
    <x v="22"/>
    <x v="2"/>
    <n v="15.01"/>
  </r>
  <r>
    <s v="DPOPPELL"/>
    <s v="04"/>
    <s v="GUTIERREZDAN"/>
    <s v="FORBES/SLATON"/>
    <x v="318"/>
    <x v="2"/>
    <x v="1"/>
    <s v="Invoice"/>
    <s v="98741"/>
    <x v="58"/>
    <x v="51"/>
    <x v="22"/>
    <x v="2"/>
    <n v="5.0025000000000004"/>
  </r>
  <r>
    <s v="DPOPPELL"/>
    <s v="04"/>
    <s v="CHARLIEG-LLC"/>
    <s v="DAIRY"/>
    <x v="318"/>
    <x v="2"/>
    <x v="1"/>
    <s v="Invoice"/>
    <s v="98742"/>
    <x v="27"/>
    <x v="22"/>
    <x v="22"/>
    <x v="2"/>
    <n v="5.0125000000000002"/>
  </r>
  <r>
    <s v="DPOPPELL"/>
    <s v="04"/>
    <s v="EWSIMMON"/>
    <s v="TURKEY CRK"/>
    <x v="318"/>
    <x v="2"/>
    <x v="1"/>
    <s v="Invoice"/>
    <s v="98743"/>
    <x v="386"/>
    <x v="339"/>
    <x v="22"/>
    <x v="2"/>
    <n v="3.7475000000000001"/>
  </r>
  <r>
    <s v="DPOPPELL"/>
    <s v="04"/>
    <s v="EWSIMMON"/>
    <s v="TURKEY CRK"/>
    <x v="318"/>
    <x v="2"/>
    <x v="1"/>
    <s v="Invoice"/>
    <s v="98743"/>
    <x v="357"/>
    <x v="317"/>
    <x v="25"/>
    <x v="0"/>
    <n v="1.41"/>
  </r>
  <r>
    <s v="DPOPPELL"/>
    <s v="04"/>
    <s v="IFASGULF"/>
    <s v="BALM-STRAWBERRY"/>
    <x v="318"/>
    <x v="2"/>
    <x v="1"/>
    <s v="Invoice"/>
    <s v="98745"/>
    <x v="28"/>
    <x v="23"/>
    <x v="22"/>
    <x v="2"/>
    <n v="7.49"/>
  </r>
  <r>
    <s v="DPOPPELL"/>
    <s v="04"/>
    <s v="FLORIDAAG"/>
    <s v="DOVER"/>
    <x v="318"/>
    <x v="2"/>
    <x v="1"/>
    <s v="Invoice"/>
    <s v="98746"/>
    <x v="77"/>
    <x v="37"/>
    <x v="30"/>
    <x v="0"/>
    <n v="30"/>
  </r>
  <r>
    <s v="DPOPPELL"/>
    <s v="04"/>
    <s v="CHARLIEG-LLC"/>
    <s v="LAMPP ROAD"/>
    <x v="318"/>
    <x v="2"/>
    <x v="1"/>
    <s v="Invoice"/>
    <s v="98747"/>
    <x v="27"/>
    <x v="22"/>
    <x v="22"/>
    <x v="2"/>
    <n v="15.095000000000001"/>
  </r>
  <r>
    <s v="DPOPPELL"/>
    <s v="04"/>
    <s v="FLORIDAAG"/>
    <s v="DOVER"/>
    <x v="319"/>
    <x v="2"/>
    <x v="1"/>
    <s v="Invoice"/>
    <s v="98748"/>
    <x v="52"/>
    <x v="45"/>
    <x v="22"/>
    <x v="2"/>
    <n v="1.0125"/>
  </r>
  <r>
    <s v="DPOPPELL"/>
    <s v="04"/>
    <s v="BONIFACIO"/>
    <s v="BONIFACIO"/>
    <x v="319"/>
    <x v="2"/>
    <x v="1"/>
    <s v="Invoice"/>
    <s v="98749"/>
    <x v="77"/>
    <x v="37"/>
    <x v="30"/>
    <x v="0"/>
    <n v="60"/>
  </r>
  <r>
    <s v="DPOPPELL"/>
    <s v="04"/>
    <s v="MENDOZAHEC"/>
    <s v="HWY60"/>
    <x v="319"/>
    <x v="2"/>
    <x v="1"/>
    <s v="Invoice"/>
    <s v="98750"/>
    <x v="27"/>
    <x v="22"/>
    <x v="22"/>
    <x v="2"/>
    <n v="7.2474999999999996"/>
  </r>
  <r>
    <s v="DPOPPELL"/>
    <s v="04"/>
    <s v="GAONA, ESPER"/>
    <s v="KEENE"/>
    <x v="319"/>
    <x v="2"/>
    <x v="1"/>
    <s v="Invoice"/>
    <s v="98751"/>
    <x v="28"/>
    <x v="23"/>
    <x v="22"/>
    <x v="2"/>
    <n v="2.4975000000000001"/>
  </r>
  <r>
    <s v="DPOPPELL"/>
    <s v="04"/>
    <s v="BONIFACIO"/>
    <s v="PANDORA"/>
    <x v="319"/>
    <x v="2"/>
    <x v="1"/>
    <s v="Invoice"/>
    <s v="98755"/>
    <x v="63"/>
    <x v="56"/>
    <x v="22"/>
    <x v="2"/>
    <n v="1.25"/>
  </r>
  <r>
    <s v="DPOPPELL"/>
    <s v="04"/>
    <s v="RAILROADCITY"/>
    <s v="MAIN"/>
    <x v="319"/>
    <x v="2"/>
    <x v="1"/>
    <s v="Invoice"/>
    <s v="98756"/>
    <x v="43"/>
    <x v="38"/>
    <x v="22"/>
    <x v="2"/>
    <n v="2.5"/>
  </r>
  <r>
    <s v="DPOPPELL"/>
    <s v="04"/>
    <s v="SYDNEYFA"/>
    <s v="FORBES ROAD"/>
    <x v="319"/>
    <x v="2"/>
    <x v="1"/>
    <s v="Invoice"/>
    <s v="98757"/>
    <x v="377"/>
    <x v="331"/>
    <x v="22"/>
    <x v="2"/>
    <n v="5.0075000000000003"/>
  </r>
  <r>
    <s v="DPOPPELL"/>
    <s v="04"/>
    <s v="MIDWAYF"/>
    <s v="EKNIGHTS"/>
    <x v="308"/>
    <x v="2"/>
    <x v="1"/>
    <s v="Invoice"/>
    <s v="98758"/>
    <x v="27"/>
    <x v="22"/>
    <x v="22"/>
    <x v="2"/>
    <n v="2.5150000000000001"/>
  </r>
  <r>
    <s v="DPOPPELL"/>
    <s v="04"/>
    <s v="PARKESDA"/>
    <s v="HILL"/>
    <x v="319"/>
    <x v="2"/>
    <x v="1"/>
    <s v="Invoice"/>
    <s v="98760"/>
    <x v="65"/>
    <x v="58"/>
    <x v="22"/>
    <x v="2"/>
    <n v="10.01"/>
  </r>
  <r>
    <s v="DPOPPELL"/>
    <s v="04"/>
    <s v="5KFARMS"/>
    <s v="MAIN"/>
    <x v="308"/>
    <x v="2"/>
    <x v="1"/>
    <s v="Invoice"/>
    <s v="98765"/>
    <x v="34"/>
    <x v="29"/>
    <x v="26"/>
    <x v="0"/>
    <n v="45"/>
  </r>
  <r>
    <s v="DPOPPELL"/>
    <s v="04"/>
    <s v="FRANKLIN"/>
    <s v="HARKALA S"/>
    <x v="308"/>
    <x v="2"/>
    <x v="1"/>
    <s v="Invoice"/>
    <s v="98766"/>
    <x v="28"/>
    <x v="23"/>
    <x v="22"/>
    <x v="2"/>
    <n v="7.5075000000000003"/>
  </r>
  <r>
    <s v="DPOPPELL"/>
    <s v="04"/>
    <s v="SWEETFARMS"/>
    <s v="JIMJOHNSON"/>
    <x v="308"/>
    <x v="2"/>
    <x v="1"/>
    <s v="Invoice"/>
    <s v="98772"/>
    <x v="386"/>
    <x v="339"/>
    <x v="22"/>
    <x v="2"/>
    <n v="2.5175000000000001"/>
  </r>
  <r>
    <s v="DPOPPELL"/>
    <s v="04"/>
    <s v="SWEETFARMS"/>
    <s v="JIMJOHNSON"/>
    <x v="308"/>
    <x v="2"/>
    <x v="1"/>
    <s v="Invoice"/>
    <s v="98772"/>
    <x v="357"/>
    <x v="317"/>
    <x v="25"/>
    <x v="0"/>
    <n v="0.9375"/>
  </r>
  <r>
    <s v="DPOPPELL"/>
    <s v="04"/>
    <s v="M&amp;GFARMS"/>
    <s v="COUNTY LINE RD"/>
    <x v="320"/>
    <x v="2"/>
    <x v="1"/>
    <s v="Invoice"/>
    <s v="98773"/>
    <x v="58"/>
    <x v="51"/>
    <x v="22"/>
    <x v="2"/>
    <n v="2.5125000000000002"/>
  </r>
  <r>
    <s v="DPOPPELL"/>
    <s v="04"/>
    <s v="ALONSOFARMS"/>
    <s v="SUMNER"/>
    <x v="320"/>
    <x v="2"/>
    <x v="1"/>
    <s v="Invoice"/>
    <s v="98776"/>
    <x v="43"/>
    <x v="38"/>
    <x v="22"/>
    <x v="2"/>
    <n v="3.0024999999999999"/>
  </r>
  <r>
    <s v="DPOPPELL"/>
    <s v="04"/>
    <s v="ELIASCEDILLO"/>
    <s v="LITHIA"/>
    <x v="320"/>
    <x v="2"/>
    <x v="1"/>
    <s v="Invoice"/>
    <s v="98778"/>
    <x v="58"/>
    <x v="51"/>
    <x v="22"/>
    <x v="2"/>
    <n v="3.75"/>
  </r>
  <r>
    <s v="DPOPPELL"/>
    <s v="04"/>
    <s v="BEAUCHAMP"/>
    <s v="HAGGERTY-NORTH"/>
    <x v="320"/>
    <x v="2"/>
    <x v="1"/>
    <s v="Invoice"/>
    <s v="98779"/>
    <x v="50"/>
    <x v="43"/>
    <x v="22"/>
    <x v="2"/>
    <n v="5.0149999999999997"/>
  </r>
  <r>
    <s v="DPOPPELL"/>
    <s v="04"/>
    <s v="GUTIERREZA"/>
    <s v="TOMGALLAGHER"/>
    <x v="320"/>
    <x v="2"/>
    <x v="1"/>
    <s v="Invoice"/>
    <s v="98780"/>
    <x v="58"/>
    <x v="51"/>
    <x v="22"/>
    <x v="2"/>
    <n v="6.2575000000000003"/>
  </r>
  <r>
    <s v="DPOPPELL"/>
    <s v="04"/>
    <s v="CHAVEZJOR"/>
    <s v="JOSE' CHAV- COD"/>
    <x v="320"/>
    <x v="2"/>
    <x v="1"/>
    <s v="Invoice"/>
    <s v="98781"/>
    <x v="53"/>
    <x v="46"/>
    <x v="22"/>
    <x v="2"/>
    <n v="0.15"/>
  </r>
  <r>
    <s v="DPOPPELL"/>
    <s v="04"/>
    <s v="STEVEMAT"/>
    <s v="DRAWDY"/>
    <x v="309"/>
    <x v="2"/>
    <x v="1"/>
    <s v="Invoice"/>
    <s v="98782"/>
    <x v="140"/>
    <x v="72"/>
    <x v="4"/>
    <x v="0"/>
    <n v="250"/>
  </r>
  <r>
    <s v="DPOPPELL"/>
    <s v="04"/>
    <s v="GUTIERREZDAN"/>
    <s v="COOLER"/>
    <x v="309"/>
    <x v="2"/>
    <x v="1"/>
    <s v="Invoice"/>
    <s v="98785"/>
    <x v="58"/>
    <x v="51"/>
    <x v="22"/>
    <x v="2"/>
    <n v="6.0175000000000001"/>
  </r>
  <r>
    <s v="DPOPPELL"/>
    <s v="04"/>
    <s v="CHBERRY"/>
    <s v="BOBCAT"/>
    <x v="309"/>
    <x v="2"/>
    <x v="1"/>
    <s v="Invoice"/>
    <s v="98786"/>
    <x v="58"/>
    <x v="51"/>
    <x v="22"/>
    <x v="2"/>
    <n v="3"/>
  </r>
  <r>
    <s v="DPOPPELL"/>
    <s v="04"/>
    <s v="JOSEHERN"/>
    <s v="SPARKMAN"/>
    <x v="309"/>
    <x v="2"/>
    <x v="1"/>
    <s v="Invoice"/>
    <s v="98787"/>
    <x v="58"/>
    <x v="51"/>
    <x v="22"/>
    <x v="2"/>
    <n v="9.9975000000000005"/>
  </r>
  <r>
    <s v="DPOPPELL"/>
    <s v="04"/>
    <s v="JOSEHERN"/>
    <s v="SPARKMAN"/>
    <x v="309"/>
    <x v="2"/>
    <x v="1"/>
    <s v="Invoice"/>
    <s v="98787"/>
    <x v="357"/>
    <x v="317"/>
    <x v="25"/>
    <x v="0"/>
    <n v="3.75"/>
  </r>
  <r>
    <s v="DPOPPELL"/>
    <s v="04"/>
    <s v="SWEETLIFE"/>
    <s v="VARN ROAD"/>
    <x v="309"/>
    <x v="2"/>
    <x v="1"/>
    <s v="Invoice"/>
    <s v="98788"/>
    <x v="107"/>
    <x v="98"/>
    <x v="36"/>
    <x v="0"/>
    <n v="2.5"/>
  </r>
  <r>
    <s v="DPOPPELL"/>
    <s v="04"/>
    <s v="EWSIMMON"/>
    <s v="CARUTHERS RD"/>
    <x v="309"/>
    <x v="2"/>
    <x v="1"/>
    <s v="Invoice"/>
    <s v="98789"/>
    <x v="386"/>
    <x v="339"/>
    <x v="22"/>
    <x v="2"/>
    <n v="3.75"/>
  </r>
  <r>
    <s v="DPOPPELL"/>
    <s v="04"/>
    <s v="EWSIMMON"/>
    <s v="CARUTHERS RD"/>
    <x v="309"/>
    <x v="2"/>
    <x v="1"/>
    <s v="Invoice"/>
    <s v="98789"/>
    <x v="357"/>
    <x v="317"/>
    <x v="25"/>
    <x v="0"/>
    <n v="1.41"/>
  </r>
  <r>
    <s v="DPOPPELL"/>
    <s v="04"/>
    <s v="THREESTA"/>
    <s v="WALDEN-SHEFFIEL"/>
    <x v="309"/>
    <x v="2"/>
    <x v="1"/>
    <s v="Invoice"/>
    <s v="98790"/>
    <x v="377"/>
    <x v="331"/>
    <x v="22"/>
    <x v="2"/>
    <n v="10"/>
  </r>
  <r>
    <s v="DPOPPELL"/>
    <s v="04"/>
    <s v="STRAWBERRYR"/>
    <s v="RANCH 1"/>
    <x v="309"/>
    <x v="2"/>
    <x v="1"/>
    <s v="Invoice"/>
    <s v="98791"/>
    <x v="377"/>
    <x v="331"/>
    <x v="22"/>
    <x v="2"/>
    <n v="15.02"/>
  </r>
  <r>
    <s v="DPOPPELL"/>
    <s v="04"/>
    <s v="STRAWBERRYR"/>
    <s v="RANCH 1"/>
    <x v="309"/>
    <x v="2"/>
    <x v="1"/>
    <s v="Invoice"/>
    <s v="98791"/>
    <x v="357"/>
    <x v="317"/>
    <x v="25"/>
    <x v="0"/>
    <n v="5.625"/>
  </r>
  <r>
    <s v="DPOPPELL"/>
    <s v="04"/>
    <s v="STRAWBERRYR"/>
    <s v="RANCH 2"/>
    <x v="309"/>
    <x v="2"/>
    <x v="1"/>
    <s v="Invoice"/>
    <s v="98793"/>
    <x v="377"/>
    <x v="331"/>
    <x v="22"/>
    <x v="2"/>
    <n v="15.02"/>
  </r>
  <r>
    <s v="DPOPPELL"/>
    <s v="04"/>
    <s v="STRAWBERRYR"/>
    <s v="RANCH 2"/>
    <x v="309"/>
    <x v="2"/>
    <x v="1"/>
    <s v="Invoice"/>
    <s v="98793"/>
    <x v="357"/>
    <x v="317"/>
    <x v="25"/>
    <x v="0"/>
    <n v="5.625"/>
  </r>
  <r>
    <s v="DPOPPELL"/>
    <s v="04"/>
    <s v="FAVORITE"/>
    <s v="BETHLEHEM ROAD"/>
    <x v="309"/>
    <x v="2"/>
    <x v="1"/>
    <s v="Invoice"/>
    <s v="98794"/>
    <x v="28"/>
    <x v="23"/>
    <x v="22"/>
    <x v="2"/>
    <n v="5"/>
  </r>
  <r>
    <s v="DPOPPELL"/>
    <s v="04"/>
    <s v="CARLTONTHOMAS"/>
    <s v="GRANGEHALL"/>
    <x v="315"/>
    <x v="2"/>
    <x v="1"/>
    <s v="Invoice"/>
    <s v="98797"/>
    <x v="71"/>
    <x v="64"/>
    <x v="22"/>
    <x v="2"/>
    <n v="10"/>
  </r>
  <r>
    <s v="DPOPPELL"/>
    <s v="04"/>
    <s v="M&amp;GFARMS"/>
    <s v="ALLENRD"/>
    <x v="315"/>
    <x v="2"/>
    <x v="1"/>
    <s v="Invoice"/>
    <s v="98798"/>
    <x v="28"/>
    <x v="23"/>
    <x v="22"/>
    <x v="2"/>
    <n v="4.9749999999999996"/>
  </r>
  <r>
    <s v="DPOPPELL"/>
    <s v="04"/>
    <s v="GUTIERREZA"/>
    <s v="JOE KING RD"/>
    <x v="315"/>
    <x v="2"/>
    <x v="1"/>
    <s v="Invoice"/>
    <s v="98800"/>
    <x v="58"/>
    <x v="51"/>
    <x v="22"/>
    <x v="2"/>
    <n v="2.5"/>
  </r>
  <r>
    <s v="DPOPPELL"/>
    <s v="04"/>
    <s v="ROQUEFARMS"/>
    <s v="MEEKHORIZON"/>
    <x v="315"/>
    <x v="2"/>
    <x v="1"/>
    <s v="Invoice"/>
    <s v="98801"/>
    <x v="43"/>
    <x v="38"/>
    <x v="22"/>
    <x v="2"/>
    <n v="5"/>
  </r>
  <r>
    <s v="DPOPPELL"/>
    <s v="04"/>
    <s v="SYDNEYFA"/>
    <s v="FORBES/NORTH"/>
    <x v="315"/>
    <x v="2"/>
    <x v="1"/>
    <s v="Invoice"/>
    <s v="98802"/>
    <x v="377"/>
    <x v="331"/>
    <x v="22"/>
    <x v="2"/>
    <n v="9.9924999999999997"/>
  </r>
  <r>
    <s v="DPOPPELL"/>
    <s v="04"/>
    <s v="MIDWAYF"/>
    <s v="HAGGERTY ROAD"/>
    <x v="315"/>
    <x v="2"/>
    <x v="1"/>
    <s v="Invoice"/>
    <s v="98804"/>
    <x v="27"/>
    <x v="22"/>
    <x v="22"/>
    <x v="2"/>
    <n v="4.5125000000000002"/>
  </r>
  <r>
    <s v="DPOPPELL"/>
    <s v="04"/>
    <s v="CIRCLEGF&amp;R LLC"/>
    <s v="PUMP4"/>
    <x v="315"/>
    <x v="2"/>
    <x v="1"/>
    <s v="Invoice"/>
    <s v="98805"/>
    <x v="27"/>
    <x v="22"/>
    <x v="22"/>
    <x v="2"/>
    <n v="10.005000000000001"/>
  </r>
  <r>
    <s v="DPOPPELL"/>
    <s v="04"/>
    <s v="SOUTHERNHILL"/>
    <s v="SCHOFIELD"/>
    <x v="323"/>
    <x v="2"/>
    <x v="1"/>
    <s v="Invoice"/>
    <s v="98806"/>
    <x v="47"/>
    <x v="41"/>
    <x v="22"/>
    <x v="2"/>
    <n v="5"/>
  </r>
  <r>
    <s v="DPOPPELL"/>
    <s v="04"/>
    <s v="FRANKLIN"/>
    <s v="FRANKLIN FARM"/>
    <x v="323"/>
    <x v="2"/>
    <x v="1"/>
    <s v="Invoice"/>
    <s v="98807"/>
    <x v="43"/>
    <x v="38"/>
    <x v="22"/>
    <x v="2"/>
    <n v="10.005000000000001"/>
  </r>
  <r>
    <s v="DPOPPELL"/>
    <s v="04"/>
    <s v="SWEETLIFE"/>
    <s v="GALLAGHER"/>
    <x v="323"/>
    <x v="2"/>
    <x v="1"/>
    <s v="Invoice"/>
    <s v="98808"/>
    <x v="27"/>
    <x v="22"/>
    <x v="22"/>
    <x v="2"/>
    <n v="10"/>
  </r>
  <r>
    <s v="DPOPPELL"/>
    <s v="04"/>
    <s v="FLORIDAAG"/>
    <s v="DOVER"/>
    <x v="323"/>
    <x v="2"/>
    <x v="1"/>
    <s v="Invoice"/>
    <s v="98809"/>
    <x v="223"/>
    <x v="19"/>
    <x v="19"/>
    <x v="0"/>
    <n v="2.5"/>
  </r>
  <r>
    <s v="DPOPPELL"/>
    <s v="04"/>
    <s v="MENDOZAHEC"/>
    <s v="JAUDON RD"/>
    <x v="323"/>
    <x v="2"/>
    <x v="1"/>
    <s v="Invoice"/>
    <s v="98810"/>
    <x v="27"/>
    <x v="22"/>
    <x v="22"/>
    <x v="2"/>
    <n v="9.52"/>
  </r>
  <r>
    <s v="DPOPPELL"/>
    <s v="04"/>
    <s v="SWEETLIFE"/>
    <s v="KNIGHTS GRIFFIN"/>
    <x v="316"/>
    <x v="2"/>
    <x v="1"/>
    <s v="Invoice"/>
    <s v="98813"/>
    <x v="27"/>
    <x v="22"/>
    <x v="22"/>
    <x v="2"/>
    <n v="9.9924999999999997"/>
  </r>
  <r>
    <s v="DPOPPELL"/>
    <s v="04"/>
    <s v="PARKESDA"/>
    <s v="BILOXI"/>
    <x v="316"/>
    <x v="2"/>
    <x v="1"/>
    <s v="Invoice"/>
    <s v="98814"/>
    <x v="65"/>
    <x v="58"/>
    <x v="22"/>
    <x v="2"/>
    <n v="2.4925000000000002"/>
  </r>
  <r>
    <s v="DPOPPELL"/>
    <s v="04"/>
    <s v="MIKELOTT"/>
    <s v="SHADY ACRE"/>
    <x v="316"/>
    <x v="2"/>
    <x v="1"/>
    <s v="Invoice"/>
    <s v="98815"/>
    <x v="43"/>
    <x v="38"/>
    <x v="22"/>
    <x v="2"/>
    <n v="1.25"/>
  </r>
  <r>
    <s v="DPOPPELL"/>
    <s v="04"/>
    <s v="BEAUCHAMP"/>
    <s v="GALLAGHER"/>
    <x v="316"/>
    <x v="2"/>
    <x v="1"/>
    <s v="Invoice"/>
    <s v="98816"/>
    <x v="50"/>
    <x v="43"/>
    <x v="22"/>
    <x v="2"/>
    <n v="2.5"/>
  </r>
  <r>
    <s v="DPOPPELL"/>
    <s v="04"/>
    <s v="ALVAREZJ"/>
    <s v="SYDNEY RD"/>
    <x v="316"/>
    <x v="2"/>
    <x v="1"/>
    <s v="Invoice"/>
    <s v="98818"/>
    <x v="58"/>
    <x v="51"/>
    <x v="22"/>
    <x v="2"/>
    <n v="2"/>
  </r>
  <r>
    <s v="DPOPPELL"/>
    <s v="04"/>
    <s v="CIRCLEGF&amp;R LLC"/>
    <s v="KNIGHTS-N-#16"/>
    <x v="316"/>
    <x v="2"/>
    <x v="1"/>
    <s v="Invoice"/>
    <s v="98820"/>
    <x v="27"/>
    <x v="22"/>
    <x v="22"/>
    <x v="2"/>
    <n v="10.01"/>
  </r>
  <r>
    <s v="DPOPPELL"/>
    <s v="04"/>
    <s v="MARTINEZMIGUEL"/>
    <s v="MAIN"/>
    <x v="316"/>
    <x v="2"/>
    <x v="1"/>
    <s v="Invoice"/>
    <s v="98821"/>
    <x v="53"/>
    <x v="46"/>
    <x v="22"/>
    <x v="2"/>
    <n v="0.45"/>
  </r>
  <r>
    <s v="DPOPPELL"/>
    <s v="04"/>
    <s v="5KFARMS"/>
    <s v="MAIN"/>
    <x v="316"/>
    <x v="2"/>
    <x v="1"/>
    <s v="Invoice"/>
    <s v="98822"/>
    <x v="34"/>
    <x v="29"/>
    <x v="26"/>
    <x v="0"/>
    <n v="20"/>
  </r>
  <r>
    <s v="DPOPPELL"/>
    <s v="04"/>
    <s v="GUTIERREZA"/>
    <s v="DUETTE"/>
    <x v="316"/>
    <x v="2"/>
    <x v="1"/>
    <s v="Invoice"/>
    <s v="98823"/>
    <x v="69"/>
    <x v="62"/>
    <x v="22"/>
    <x v="2"/>
    <n v="12.515000000000001"/>
  </r>
  <r>
    <s v="DPOPPELL"/>
    <s v="04"/>
    <s v="SANCHEZFARM"/>
    <s v="FORBES-N"/>
    <x v="324"/>
    <x v="2"/>
    <x v="1"/>
    <s v="Invoice"/>
    <s v="98824"/>
    <x v="67"/>
    <x v="60"/>
    <x v="22"/>
    <x v="2"/>
    <n v="11.75"/>
  </r>
  <r>
    <s v="DPOPPELL"/>
    <s v="04"/>
    <s v="GAONA, ESPER"/>
    <s v="SMOKINACES"/>
    <x v="316"/>
    <x v="2"/>
    <x v="1"/>
    <s v="Invoice"/>
    <s v="98825"/>
    <x v="28"/>
    <x v="23"/>
    <x v="22"/>
    <x v="2"/>
    <n v="3.2524999999999999"/>
  </r>
  <r>
    <s v="HOUSE"/>
    <s v="05"/>
    <s v="CPSHOMES"/>
    <s v="HOMESTEAD"/>
    <x v="305"/>
    <x v="2"/>
    <x v="1"/>
    <s v="Invoice"/>
    <s v="98588"/>
    <x v="48"/>
    <x v="33"/>
    <x v="28"/>
    <x v="0"/>
    <n v="180"/>
  </r>
  <r>
    <s v="HOUSE"/>
    <s v="05"/>
    <s v="CPSBOYNTON"/>
    <s v="BOYNTON BCH"/>
    <x v="310"/>
    <x v="2"/>
    <x v="1"/>
    <s v="Invoice"/>
    <s v="98626"/>
    <x v="101"/>
    <x v="21"/>
    <x v="21"/>
    <x v="0"/>
    <n v="40"/>
  </r>
  <r>
    <s v="HOUSE"/>
    <s v="05"/>
    <s v="SOUTHERN"/>
    <s v="SOUTHERN AG"/>
    <x v="307"/>
    <x v="2"/>
    <x v="1"/>
    <s v="Invoice"/>
    <s v="98652"/>
    <x v="26"/>
    <x v="21"/>
    <x v="21"/>
    <x v="0"/>
    <n v="550"/>
  </r>
  <r>
    <s v="HOUSE"/>
    <s v="05"/>
    <s v="SOUTHERN"/>
    <s v="SOUTHERN AG"/>
    <x v="319"/>
    <x v="2"/>
    <x v="1"/>
    <s v="Invoice"/>
    <s v="98753"/>
    <x v="177"/>
    <x v="158"/>
    <x v="1"/>
    <x v="0"/>
    <n v="250"/>
  </r>
  <r>
    <s v="HOUSE"/>
    <s v="05"/>
    <s v="SOUTHEASTTURF"/>
    <s v="SHELLPOINT"/>
    <x v="308"/>
    <x v="2"/>
    <x v="1"/>
    <s v="Invoice"/>
    <s v="98768"/>
    <x v="298"/>
    <x v="109"/>
    <x v="45"/>
    <x v="0"/>
    <n v="55"/>
  </r>
  <r>
    <s v="HOUSE"/>
    <s v="05"/>
    <s v="SOUTHEASTTURF"/>
    <s v="TARA GOLD &amp; CC"/>
    <x v="309"/>
    <x v="2"/>
    <x v="1"/>
    <s v="Invoice"/>
    <s v="98783"/>
    <x v="387"/>
    <x v="340"/>
    <x v="72"/>
    <x v="0"/>
    <n v="250"/>
  </r>
  <r>
    <s v="HOUSE"/>
    <s v="05"/>
    <s v="CPSHOMES"/>
    <s v="HOMESTEAD"/>
    <x v="323"/>
    <x v="2"/>
    <x v="1"/>
    <s v="Invoice"/>
    <s v="98803"/>
    <x v="157"/>
    <x v="138"/>
    <x v="53"/>
    <x v="0"/>
    <n v="1000"/>
  </r>
  <r>
    <s v="HOUSE"/>
    <s v="05"/>
    <s v="CPSHOMES"/>
    <s v="HOMESTEAD"/>
    <x v="323"/>
    <x v="2"/>
    <x v="1"/>
    <s v="Invoice"/>
    <s v="98803"/>
    <x v="156"/>
    <x v="138"/>
    <x v="53"/>
    <x v="0"/>
    <n v="180"/>
  </r>
  <r>
    <s v="HOUSE"/>
    <s v="05"/>
    <s v="SOUTHERN"/>
    <s v="SOUTHERN AG"/>
    <x v="316"/>
    <x v="2"/>
    <x v="1"/>
    <s v="Invoice"/>
    <s v="98812"/>
    <x v="388"/>
    <x v="33"/>
    <x v="28"/>
    <x v="0"/>
    <n v="55"/>
  </r>
  <r>
    <s v="BRIDGE"/>
    <s v="06"/>
    <s v="SIGMAORG"/>
    <s v="BRANSFORD AVE."/>
    <x v="312"/>
    <x v="2"/>
    <x v="1"/>
    <s v="Invoice"/>
    <s v="98676"/>
    <x v="389"/>
    <x v="333"/>
    <x v="65"/>
    <x v="0"/>
    <n v="250"/>
  </r>
  <r>
    <s v=""/>
    <s v="07"/>
    <s v="BARNESFE"/>
    <s v="HASTINGS"/>
    <x v="304"/>
    <x v="2"/>
    <x v="1"/>
    <s v="Invoice"/>
    <s v="98581"/>
    <x v="359"/>
    <x v="318"/>
    <x v="20"/>
    <x v="1"/>
    <n v="7320"/>
  </r>
  <r>
    <s v=""/>
    <s v="07"/>
    <s v="BARNESFE"/>
    <s v="HASTINGS"/>
    <x v="318"/>
    <x v="2"/>
    <x v="1"/>
    <s v="Invoice"/>
    <s v="98729"/>
    <x v="48"/>
    <x v="33"/>
    <x v="28"/>
    <x v="0"/>
    <n v="30"/>
  </r>
  <r>
    <s v="DPOPPELL1"/>
    <s v="08"/>
    <s v="COASTALAGSUPPLY"/>
    <s v="JLCFARM"/>
    <x v="311"/>
    <x v="2"/>
    <x v="1"/>
    <s v="Invoice"/>
    <s v="98618"/>
    <x v="75"/>
    <x v="68"/>
    <x v="22"/>
    <x v="2"/>
    <n v="3.34"/>
  </r>
  <r>
    <s v="DPOPPELL1"/>
    <s v="08"/>
    <s v="TRIANGLE"/>
    <s v="TRIANGLE/PC"/>
    <x v="310"/>
    <x v="2"/>
    <x v="1"/>
    <s v="Invoice"/>
    <s v="98638"/>
    <x v="136"/>
    <x v="111"/>
    <x v="46"/>
    <x v="0"/>
    <n v="50"/>
  </r>
  <r>
    <s v="DPOPPELL1"/>
    <s v="08"/>
    <s v="MAYO"/>
    <s v="PLANTCITY"/>
    <x v="310"/>
    <x v="2"/>
    <x v="1"/>
    <s v="Invoice"/>
    <s v="98647"/>
    <x v="77"/>
    <x v="37"/>
    <x v="30"/>
    <x v="0"/>
    <n v="270"/>
  </r>
  <r>
    <s v="DPOPPELL1"/>
    <s v="08"/>
    <s v="TRIANGLE"/>
    <s v="TRIANGLE/PC"/>
    <x v="321"/>
    <x v="2"/>
    <x v="1"/>
    <s v="Invoice"/>
    <s v="98704"/>
    <x v="40"/>
    <x v="35"/>
    <x v="29"/>
    <x v="0"/>
    <n v="180"/>
  </r>
  <r>
    <s v="DPOPPELL1"/>
    <s v="08"/>
    <s v="TRIANGLE"/>
    <s v="TRIANGLE/PC"/>
    <x v="321"/>
    <x v="2"/>
    <x v="1"/>
    <s v="Invoice"/>
    <s v="98704"/>
    <x v="77"/>
    <x v="37"/>
    <x v="30"/>
    <x v="0"/>
    <n v="300"/>
  </r>
  <r>
    <s v="DPOPPELL1"/>
    <s v="08"/>
    <s v="TRIANGLE"/>
    <s v="TRIANGLE/PC"/>
    <x v="322"/>
    <x v="2"/>
    <x v="1"/>
    <s v="Invoice"/>
    <s v="98725"/>
    <x v="34"/>
    <x v="29"/>
    <x v="26"/>
    <x v="0"/>
    <n v="360"/>
  </r>
  <r>
    <s v="DPOPPELL1"/>
    <s v="08"/>
    <s v="COASTALAGSUPPLY"/>
    <s v="MULBERRY"/>
    <x v="318"/>
    <x v="2"/>
    <x v="1"/>
    <s v="Invoice"/>
    <s v="98733"/>
    <x v="34"/>
    <x v="29"/>
    <x v="26"/>
    <x v="0"/>
    <n v="360"/>
  </r>
  <r>
    <s v="DPOPPELL1"/>
    <s v="08"/>
    <s v="MAYO"/>
    <s v="PLANTCITY"/>
    <x v="319"/>
    <x v="2"/>
    <x v="1"/>
    <s v="Invoice"/>
    <s v="98759"/>
    <x v="210"/>
    <x v="186"/>
    <x v="22"/>
    <x v="2"/>
    <n v="12.012499999999999"/>
  </r>
  <r>
    <s v="DPOPPELL1"/>
    <s v="08"/>
    <s v="TRIANGLE"/>
    <s v="TRIANGLE/PC"/>
    <x v="320"/>
    <x v="2"/>
    <x v="1"/>
    <s v="Invoice"/>
    <s v="98777"/>
    <x v="34"/>
    <x v="29"/>
    <x v="26"/>
    <x v="0"/>
    <n v="180"/>
  </r>
  <r>
    <s v="DPOPPELL1"/>
    <s v="08"/>
    <s v="COASTALAGSUPPLY"/>
    <s v="MULBERRY"/>
    <x v="316"/>
    <x v="2"/>
    <x v="1"/>
    <s v="Invoice"/>
    <s v="98811"/>
    <x v="166"/>
    <x v="29"/>
    <x v="26"/>
    <x v="0"/>
    <n v="250"/>
  </r>
  <r>
    <s v="DPOPPELL1"/>
    <s v="08"/>
    <s v="TRIANGLE"/>
    <s v="TRIANGLE/PC"/>
    <x v="316"/>
    <x v="2"/>
    <x v="1"/>
    <s v="Invoice"/>
    <s v="98826"/>
    <x v="5"/>
    <x v="72"/>
    <x v="4"/>
    <x v="0"/>
    <n v="360"/>
  </r>
  <r>
    <s v="CSWAFFORD"/>
    <s v="12"/>
    <s v="GOLFVENTURES"/>
    <s v="BONITANATIONAL"/>
    <x v="305"/>
    <x v="2"/>
    <x v="1"/>
    <s v="Invoice"/>
    <s v="98590"/>
    <x v="366"/>
    <x v="336"/>
    <x v="22"/>
    <x v="2"/>
    <n v="5"/>
  </r>
  <r>
    <s v="CSWAFFORD"/>
    <s v="12"/>
    <s v="GOLFVENTURES"/>
    <s v="COUNTRYBOY"/>
    <x v="311"/>
    <x v="2"/>
    <x v="1"/>
    <s v="Invoice"/>
    <s v="98617"/>
    <x v="380"/>
    <x v="334"/>
    <x v="80"/>
    <x v="0"/>
    <n v="250"/>
  </r>
  <r>
    <s v="CSWAFFORD"/>
    <s v="12"/>
    <s v="GOLFVENTURES"/>
    <s v="GLADESCC"/>
    <x v="312"/>
    <x v="2"/>
    <x v="1"/>
    <s v="Invoice"/>
    <s v="98674"/>
    <x v="319"/>
    <x v="281"/>
    <x v="42"/>
    <x v="0"/>
    <n v="275"/>
  </r>
  <r>
    <s v="CSWAFFORD"/>
    <s v="12"/>
    <s v="GOLFVENTURES"/>
    <s v="MAIN"/>
    <x v="312"/>
    <x v="2"/>
    <x v="1"/>
    <s v="Invoice"/>
    <s v="98675"/>
    <x v="364"/>
    <x v="321"/>
    <x v="96"/>
    <x v="0"/>
    <n v="90"/>
  </r>
  <r>
    <s v="CSWAFFORD"/>
    <s v="12"/>
    <s v="GOLFVENTURES"/>
    <s v="MAIN"/>
    <x v="312"/>
    <x v="2"/>
    <x v="1"/>
    <s v="Invoice"/>
    <s v="98675"/>
    <x v="303"/>
    <x v="267"/>
    <x v="80"/>
    <x v="0"/>
    <n v="90"/>
  </r>
  <r>
    <s v="CSWAFFORD"/>
    <s v="12"/>
    <s v="GOLFVENTURES"/>
    <s v="LAWNWORX"/>
    <x v="321"/>
    <x v="2"/>
    <x v="1"/>
    <s v="Invoice"/>
    <s v="98701"/>
    <x v="380"/>
    <x v="334"/>
    <x v="80"/>
    <x v="0"/>
    <n v="500"/>
  </r>
  <r>
    <s v="CSWAFFORD"/>
    <s v="12"/>
    <s v="GOLFVENTURES"/>
    <s v="COUNTRYBOY"/>
    <x v="314"/>
    <x v="2"/>
    <x v="1"/>
    <s v="Invoice"/>
    <s v="98722"/>
    <x v="380"/>
    <x v="334"/>
    <x v="80"/>
    <x v="0"/>
    <n v="250"/>
  </r>
  <r>
    <s v="CSWAFFORD"/>
    <s v="12"/>
    <s v="GOLFVENTURES"/>
    <s v="MAIN"/>
    <x v="322"/>
    <x v="2"/>
    <x v="1"/>
    <s v="Invoice"/>
    <s v="98727"/>
    <x v="85"/>
    <x v="213"/>
    <x v="35"/>
    <x v="0"/>
    <n v="5"/>
  </r>
  <r>
    <s v="CSWAFFORD"/>
    <s v="12"/>
    <s v="GOLFVENTURES"/>
    <s v="MAIN"/>
    <x v="318"/>
    <x v="2"/>
    <x v="1"/>
    <s v="Invoice"/>
    <s v="98732"/>
    <x v="380"/>
    <x v="334"/>
    <x v="80"/>
    <x v="0"/>
    <n v="1000"/>
  </r>
  <r>
    <s v="CSWAFFORD"/>
    <s v="12"/>
    <s v="GOLFVENTURES"/>
    <s v="SANIBELISLAND"/>
    <x v="308"/>
    <x v="2"/>
    <x v="1"/>
    <s v="Invoice"/>
    <s v="98767"/>
    <x v="337"/>
    <x v="298"/>
    <x v="53"/>
    <x v="0"/>
    <n v="250"/>
  </r>
  <r>
    <s v="CSWAFFORD"/>
    <s v="12"/>
    <s v="GOLFVENTURES"/>
    <s v="SANIBELISLAND"/>
    <x v="308"/>
    <x v="2"/>
    <x v="1"/>
    <s v="Invoice"/>
    <s v="98767"/>
    <x v="372"/>
    <x v="295"/>
    <x v="43"/>
    <x v="0"/>
    <n v="500"/>
  </r>
  <r>
    <s v="CSWAFFORD"/>
    <s v="12"/>
    <s v="GOLFVENTURES"/>
    <s v="SANIBELISLAND"/>
    <x v="308"/>
    <x v="2"/>
    <x v="1"/>
    <s v="Invoice"/>
    <s v="98767"/>
    <x v="373"/>
    <x v="327"/>
    <x v="82"/>
    <x v="0"/>
    <n v="250"/>
  </r>
  <r>
    <s v="CSWAFFORD"/>
    <s v="12"/>
    <s v="GOLFVENTURES"/>
    <s v="SANIBELISLAND"/>
    <x v="308"/>
    <x v="2"/>
    <x v="1"/>
    <s v="Invoice"/>
    <s v="98767"/>
    <x v="319"/>
    <x v="281"/>
    <x v="42"/>
    <x v="0"/>
    <n v="275"/>
  </r>
  <r>
    <s v="CSWAFFORD"/>
    <s v="12"/>
    <s v="GOLFVENTURES"/>
    <s v="FARROWPEST"/>
    <x v="308"/>
    <x v="2"/>
    <x v="1"/>
    <s v="Invoice"/>
    <s v="98769"/>
    <x v="321"/>
    <x v="283"/>
    <x v="88"/>
    <x v="0"/>
    <n v="500"/>
  </r>
  <r>
    <s v="CSWAFFORD"/>
    <s v="12"/>
    <s v="GOLFVENTURES"/>
    <s v="CHSEAGLERIDGE"/>
    <x v="308"/>
    <x v="2"/>
    <x v="1"/>
    <s v="Invoice"/>
    <s v="98770"/>
    <x v="319"/>
    <x v="281"/>
    <x v="42"/>
    <x v="0"/>
    <n v="275"/>
  </r>
  <r>
    <s v="CSWAFFORD"/>
    <s v="12"/>
    <s v="GOLFVENTURES"/>
    <s v="EMERALDPEST"/>
    <x v="315"/>
    <x v="2"/>
    <x v="1"/>
    <s v="Invoice"/>
    <s v="98796"/>
    <x v="320"/>
    <x v="282"/>
    <x v="87"/>
    <x v="0"/>
    <n v="250"/>
  </r>
  <r>
    <s v="HAP"/>
    <s v="01"/>
    <s v="GREENWAY"/>
    <s v="WINDSOR POLO"/>
    <x v="325"/>
    <x v="3"/>
    <x v="2"/>
    <s v="Invoice"/>
    <s v="98873"/>
    <x v="88"/>
    <x v="2"/>
    <x v="2"/>
    <x v="0"/>
    <n v="55"/>
  </r>
  <r>
    <s v="HAP"/>
    <s v="01"/>
    <s v="GREENWAY"/>
    <s v="WINDSOR POLO"/>
    <x v="325"/>
    <x v="3"/>
    <x v="2"/>
    <s v="Invoice"/>
    <s v="98873"/>
    <x v="0"/>
    <x v="0"/>
    <x v="0"/>
    <x v="0"/>
    <n v="55"/>
  </r>
  <r>
    <s v="HAP"/>
    <s v="01"/>
    <s v="GREENWAY"/>
    <s v="IRON HORSE G.C."/>
    <x v="326"/>
    <x v="3"/>
    <x v="2"/>
    <s v="Invoice"/>
    <s v="98908"/>
    <x v="1"/>
    <x v="1"/>
    <x v="1"/>
    <x v="0"/>
    <n v="110"/>
  </r>
  <r>
    <s v="HAP"/>
    <s v="01"/>
    <s v="GREENWAY"/>
    <s v="MADISONGREEN"/>
    <x v="327"/>
    <x v="3"/>
    <x v="2"/>
    <s v="Invoice"/>
    <s v="98984"/>
    <x v="90"/>
    <x v="13"/>
    <x v="13"/>
    <x v="0"/>
    <n v="30"/>
  </r>
  <r>
    <s v="HAP"/>
    <s v="01"/>
    <s v="GREENWAY"/>
    <s v="MADISONGREEN"/>
    <x v="327"/>
    <x v="3"/>
    <x v="2"/>
    <s v="Invoice"/>
    <s v="98984"/>
    <x v="3"/>
    <x v="2"/>
    <x v="2"/>
    <x v="0"/>
    <n v="110"/>
  </r>
  <r>
    <s v="HAP"/>
    <s v="01"/>
    <s v="GREENWAY"/>
    <s v="MADISONGREEN"/>
    <x v="327"/>
    <x v="3"/>
    <x v="2"/>
    <s v="Invoice"/>
    <s v="98984"/>
    <x v="10"/>
    <x v="9"/>
    <x v="9"/>
    <x v="0"/>
    <n v="30"/>
  </r>
  <r>
    <s v="HAP"/>
    <s v="01"/>
    <s v="GREENWAY"/>
    <s v="MADISONGREEN"/>
    <x v="327"/>
    <x v="3"/>
    <x v="2"/>
    <s v="Invoice"/>
    <s v="98984"/>
    <x v="22"/>
    <x v="17"/>
    <x v="17"/>
    <x v="0"/>
    <n v="110"/>
  </r>
  <r>
    <s v="HAP"/>
    <s v="01"/>
    <s v="GREENWAY"/>
    <s v="MADISONGREEN"/>
    <x v="327"/>
    <x v="3"/>
    <x v="2"/>
    <s v="Invoice"/>
    <s v="98984"/>
    <x v="12"/>
    <x v="11"/>
    <x v="11"/>
    <x v="0"/>
    <n v="110"/>
  </r>
  <r>
    <s v="HAP"/>
    <s v="01"/>
    <s v="GREENWAY"/>
    <s v="MIZNER C. CLUB"/>
    <x v="327"/>
    <x v="3"/>
    <x v="2"/>
    <s v="Invoice"/>
    <s v="98985"/>
    <x v="3"/>
    <x v="2"/>
    <x v="2"/>
    <x v="0"/>
    <n v="50"/>
  </r>
  <r>
    <s v="HAP"/>
    <s v="01"/>
    <s v="GREENWAY"/>
    <s v="MIZNER C. CLUB"/>
    <x v="327"/>
    <x v="3"/>
    <x v="2"/>
    <s v="Invoice"/>
    <s v="98985"/>
    <x v="5"/>
    <x v="4"/>
    <x v="4"/>
    <x v="0"/>
    <n v="100"/>
  </r>
  <r>
    <s v="HAP"/>
    <s v="01"/>
    <s v="GREENWAY"/>
    <s v="MIZNER C. CLUB"/>
    <x v="327"/>
    <x v="3"/>
    <x v="2"/>
    <s v="Invoice"/>
    <s v="98985"/>
    <x v="6"/>
    <x v="5"/>
    <x v="5"/>
    <x v="0"/>
    <n v="50"/>
  </r>
  <r>
    <s v="HAP"/>
    <s v="01"/>
    <s v="GREENWAY"/>
    <s v="MIZNER C. CLUB"/>
    <x v="327"/>
    <x v="3"/>
    <x v="2"/>
    <s v="Invoice"/>
    <s v="98985"/>
    <x v="2"/>
    <x v="0"/>
    <x v="0"/>
    <x v="0"/>
    <n v="100"/>
  </r>
  <r>
    <s v="HAP"/>
    <s v="01"/>
    <s v="GREENWAY"/>
    <s v="WINDSOR POLO"/>
    <x v="328"/>
    <x v="3"/>
    <x v="2"/>
    <s v="Invoice"/>
    <s v="98994"/>
    <x v="88"/>
    <x v="2"/>
    <x v="2"/>
    <x v="0"/>
    <n v="55"/>
  </r>
  <r>
    <s v="HAP"/>
    <s v="01"/>
    <s v="GREENWAY"/>
    <s v="WINDSOR POLO"/>
    <x v="328"/>
    <x v="3"/>
    <x v="2"/>
    <s v="Invoice"/>
    <s v="98994"/>
    <x v="0"/>
    <x v="0"/>
    <x v="0"/>
    <x v="0"/>
    <n v="55"/>
  </r>
  <r>
    <s v="HAP"/>
    <s v="01"/>
    <s v="ALMARCH"/>
    <s v="THONOTOSASSA"/>
    <x v="329"/>
    <x v="3"/>
    <x v="2"/>
    <s v="Invoice"/>
    <s v="99027"/>
    <x v="92"/>
    <x v="82"/>
    <x v="35"/>
    <x v="0"/>
    <n v="90"/>
  </r>
  <r>
    <s v="HAP"/>
    <s v="01"/>
    <s v="ALMARCH"/>
    <s v="THONOTOSASSA"/>
    <x v="329"/>
    <x v="3"/>
    <x v="2"/>
    <s v="Invoice"/>
    <s v="99027"/>
    <x v="22"/>
    <x v="83"/>
    <x v="17"/>
    <x v="0"/>
    <n v="90"/>
  </r>
  <r>
    <s v="HAP"/>
    <s v="01"/>
    <s v="ALMARCH"/>
    <s v="THONOTOSASSA"/>
    <x v="329"/>
    <x v="3"/>
    <x v="2"/>
    <s v="Invoice"/>
    <s v="99027"/>
    <x v="93"/>
    <x v="84"/>
    <x v="37"/>
    <x v="0"/>
    <n v="90"/>
  </r>
  <r>
    <s v="HAP"/>
    <s v="01"/>
    <s v="GREENWAY"/>
    <s v="WAREHOUSE"/>
    <x v="329"/>
    <x v="3"/>
    <x v="2"/>
    <s v="Invoice"/>
    <s v="99037"/>
    <x v="90"/>
    <x v="13"/>
    <x v="13"/>
    <x v="0"/>
    <n v="60"/>
  </r>
  <r>
    <s v="HAP"/>
    <s v="01"/>
    <s v="GREENWAY"/>
    <s v="WAREHOUSE"/>
    <x v="329"/>
    <x v="3"/>
    <x v="2"/>
    <s v="Invoice"/>
    <s v="99037"/>
    <x v="7"/>
    <x v="6"/>
    <x v="6"/>
    <x v="0"/>
    <n v="60"/>
  </r>
  <r>
    <s v="HAP"/>
    <s v="01"/>
    <s v="GREENWAY"/>
    <s v="WAREHOUSE"/>
    <x v="329"/>
    <x v="3"/>
    <x v="2"/>
    <s v="Invoice"/>
    <s v="99037"/>
    <x v="8"/>
    <x v="7"/>
    <x v="7"/>
    <x v="0"/>
    <n v="30"/>
  </r>
  <r>
    <s v="HAP"/>
    <s v="01"/>
    <s v="GREENWAY"/>
    <s v="WAREHOUSE"/>
    <x v="329"/>
    <x v="3"/>
    <x v="2"/>
    <s v="Invoice"/>
    <s v="99037"/>
    <x v="91"/>
    <x v="14"/>
    <x v="14"/>
    <x v="0"/>
    <n v="30"/>
  </r>
  <r>
    <s v="HAP"/>
    <s v="01"/>
    <s v="GREENWAY"/>
    <s v="WAREHOUSE"/>
    <x v="329"/>
    <x v="3"/>
    <x v="2"/>
    <s v="Invoice"/>
    <s v="99037"/>
    <x v="5"/>
    <x v="4"/>
    <x v="4"/>
    <x v="0"/>
    <n v="120"/>
  </r>
  <r>
    <s v="HAP"/>
    <s v="01"/>
    <s v="GREENWAY"/>
    <s v="WAREHOUSE"/>
    <x v="329"/>
    <x v="3"/>
    <x v="2"/>
    <s v="Invoice"/>
    <s v="99037"/>
    <x v="12"/>
    <x v="11"/>
    <x v="11"/>
    <x v="0"/>
    <n v="60"/>
  </r>
  <r>
    <s v="HAP"/>
    <s v="01"/>
    <s v="GREENWAY"/>
    <s v="WAREHOUSE"/>
    <x v="329"/>
    <x v="3"/>
    <x v="2"/>
    <s v="Invoice"/>
    <s v="99037"/>
    <x v="6"/>
    <x v="5"/>
    <x v="5"/>
    <x v="0"/>
    <n v="120"/>
  </r>
  <r>
    <s v="HAP"/>
    <s v="01"/>
    <s v="GREENWAY"/>
    <s v="WAREHOUSE"/>
    <x v="329"/>
    <x v="3"/>
    <x v="2"/>
    <s v="Invoice"/>
    <s v="99037"/>
    <x v="2"/>
    <x v="0"/>
    <x v="0"/>
    <x v="0"/>
    <n v="120"/>
  </r>
  <r>
    <s v="HAP"/>
    <s v="01"/>
    <s v="GREENWAY"/>
    <s v="CORALCREEK"/>
    <x v="330"/>
    <x v="3"/>
    <x v="2"/>
    <s v="Invoice"/>
    <s v="99095"/>
    <x v="90"/>
    <x v="13"/>
    <x v="13"/>
    <x v="0"/>
    <n v="20"/>
  </r>
  <r>
    <s v="HAP"/>
    <s v="01"/>
    <s v="GREENWAY"/>
    <s v="CORALCREEK"/>
    <x v="330"/>
    <x v="3"/>
    <x v="2"/>
    <s v="Invoice"/>
    <s v="99095"/>
    <x v="7"/>
    <x v="6"/>
    <x v="6"/>
    <x v="0"/>
    <n v="20"/>
  </r>
  <r>
    <s v="HAP"/>
    <s v="01"/>
    <s v="GREENWAY"/>
    <s v="CORALCREEK"/>
    <x v="330"/>
    <x v="3"/>
    <x v="2"/>
    <s v="Invoice"/>
    <s v="99095"/>
    <x v="3"/>
    <x v="2"/>
    <x v="2"/>
    <x v="0"/>
    <n v="40"/>
  </r>
  <r>
    <s v="HAP"/>
    <s v="01"/>
    <s v="GREENWAY"/>
    <s v="CORALCREEK"/>
    <x v="330"/>
    <x v="3"/>
    <x v="2"/>
    <s v="Invoice"/>
    <s v="99095"/>
    <x v="88"/>
    <x v="2"/>
    <x v="2"/>
    <x v="0"/>
    <n v="55"/>
  </r>
  <r>
    <s v="HAP"/>
    <s v="01"/>
    <s v="GREENWAY"/>
    <s v="CORALCREEK"/>
    <x v="330"/>
    <x v="3"/>
    <x v="2"/>
    <s v="Invoice"/>
    <s v="99095"/>
    <x v="390"/>
    <x v="16"/>
    <x v="16"/>
    <x v="0"/>
    <n v="55"/>
  </r>
  <r>
    <s v="HAP"/>
    <s v="01"/>
    <s v="GREENWAY"/>
    <s v="CORALCREEK"/>
    <x v="330"/>
    <x v="3"/>
    <x v="2"/>
    <s v="Invoice"/>
    <s v="99095"/>
    <x v="5"/>
    <x v="4"/>
    <x v="4"/>
    <x v="0"/>
    <n v="40"/>
  </r>
  <r>
    <s v="HAP"/>
    <s v="01"/>
    <s v="GREENWAY"/>
    <s v="CORALCREEK"/>
    <x v="330"/>
    <x v="3"/>
    <x v="2"/>
    <s v="Invoice"/>
    <s v="99095"/>
    <x v="84"/>
    <x v="11"/>
    <x v="11"/>
    <x v="0"/>
    <n v="55"/>
  </r>
  <r>
    <s v="HAP"/>
    <s v="01"/>
    <s v="GREENWAY"/>
    <s v="CORALCREEK"/>
    <x v="330"/>
    <x v="3"/>
    <x v="2"/>
    <s v="Invoice"/>
    <s v="99095"/>
    <x v="2"/>
    <x v="0"/>
    <x v="0"/>
    <x v="0"/>
    <n v="40"/>
  </r>
  <r>
    <s v="DAVID"/>
    <s v="02"/>
    <s v="EVOQUAWATER"/>
    <s v="MAIN"/>
    <x v="331"/>
    <x v="3"/>
    <x v="2"/>
    <s v="Invoice"/>
    <s v="98833"/>
    <x v="160"/>
    <x v="231"/>
    <x v="54"/>
    <x v="0"/>
    <n v="360"/>
  </r>
  <r>
    <s v="DAVID"/>
    <s v="02"/>
    <s v="TARGETSPECIALTY"/>
    <s v="TAMPA"/>
    <x v="332"/>
    <x v="3"/>
    <x v="2"/>
    <s v="Invoice"/>
    <s v="98846"/>
    <x v="283"/>
    <x v="19"/>
    <x v="19"/>
    <x v="0"/>
    <n v="55"/>
  </r>
  <r>
    <s v="HOUSE"/>
    <s v="02"/>
    <s v="SOUTHERN"/>
    <s v="SOUTHERN AG"/>
    <x v="325"/>
    <x v="3"/>
    <x v="2"/>
    <s v="Invoice"/>
    <s v="98864"/>
    <x v="10"/>
    <x v="253"/>
    <x v="9"/>
    <x v="0"/>
    <n v="30"/>
  </r>
  <r>
    <s v="HOUSE"/>
    <s v="02"/>
    <s v="SOUTHERN"/>
    <s v="SOUTHERN AG"/>
    <x v="325"/>
    <x v="3"/>
    <x v="2"/>
    <s v="Invoice"/>
    <s v="98864"/>
    <x v="5"/>
    <x v="72"/>
    <x v="4"/>
    <x v="0"/>
    <n v="180"/>
  </r>
  <r>
    <s v="HOUSE"/>
    <s v="02"/>
    <s v="SOUTHERN"/>
    <s v="SOUTHERN AG"/>
    <x v="325"/>
    <x v="3"/>
    <x v="2"/>
    <s v="Invoice"/>
    <s v="98864"/>
    <x v="237"/>
    <x v="75"/>
    <x v="26"/>
    <x v="0"/>
    <n v="60"/>
  </r>
  <r>
    <s v="HOUSE"/>
    <s v="02"/>
    <s v="SOUTHERN"/>
    <s v="SOUTHERN AG"/>
    <x v="325"/>
    <x v="3"/>
    <x v="2"/>
    <s v="Invoice"/>
    <s v="98864"/>
    <x v="148"/>
    <x v="128"/>
    <x v="29"/>
    <x v="0"/>
    <n v="30"/>
  </r>
  <r>
    <s v="HOUSE"/>
    <s v="02"/>
    <s v="SOUTHERN"/>
    <s v="SOUTHERN AG"/>
    <x v="325"/>
    <x v="3"/>
    <x v="2"/>
    <s v="Invoice"/>
    <s v="98864"/>
    <x v="358"/>
    <x v="18"/>
    <x v="18"/>
    <x v="0"/>
    <n v="60"/>
  </r>
  <r>
    <s v="DAVID"/>
    <s v="02"/>
    <s v="FLORIDAF"/>
    <s v="FLORIDA FERTILI"/>
    <x v="333"/>
    <x v="3"/>
    <x v="2"/>
    <s v="Invoice"/>
    <s v="98885"/>
    <x v="29"/>
    <x v="24"/>
    <x v="20"/>
    <x v="1"/>
    <n v="6575"/>
  </r>
  <r>
    <s v="DAVID"/>
    <s v="02"/>
    <s v="EVOQUAWATER"/>
    <s v="STOR-N-MORE"/>
    <x v="333"/>
    <x v="3"/>
    <x v="2"/>
    <s v="Invoice"/>
    <s v="98887"/>
    <x v="160"/>
    <x v="231"/>
    <x v="54"/>
    <x v="0"/>
    <n v="360"/>
  </r>
  <r>
    <s v="HOUSE"/>
    <s v="02"/>
    <s v="SOUTHERN"/>
    <s v="SOUTHERN AG"/>
    <x v="334"/>
    <x v="3"/>
    <x v="2"/>
    <s v="Invoice"/>
    <s v="98916"/>
    <x v="26"/>
    <x v="21"/>
    <x v="21"/>
    <x v="0"/>
    <n v="1925"/>
  </r>
  <r>
    <s v="DAVID"/>
    <s v="02"/>
    <s v="SOUTHERN"/>
    <s v="SOUTHERN AG"/>
    <x v="334"/>
    <x v="3"/>
    <x v="2"/>
    <s v="Invoice"/>
    <s v="98918"/>
    <x v="26"/>
    <x v="21"/>
    <x v="21"/>
    <x v="0"/>
    <n v="825"/>
  </r>
  <r>
    <s v="DAVID"/>
    <s v="02"/>
    <s v="JHBIOTECH"/>
    <s v="JHBIOTECH"/>
    <x v="335"/>
    <x v="3"/>
    <x v="2"/>
    <s v="Invoice"/>
    <s v="98959"/>
    <x v="24"/>
    <x v="19"/>
    <x v="19"/>
    <x v="0"/>
    <n v="4894.9749000000002"/>
  </r>
  <r>
    <s v="HOUSE"/>
    <s v="02"/>
    <s v="SOUTHERN"/>
    <s v="SOUTHERN AG"/>
    <x v="328"/>
    <x v="3"/>
    <x v="2"/>
    <s v="Invoice"/>
    <s v="98996"/>
    <x v="101"/>
    <x v="21"/>
    <x v="21"/>
    <x v="0"/>
    <n v="60"/>
  </r>
  <r>
    <s v="DAVID"/>
    <s v="02"/>
    <s v="SOUTHAG"/>
    <s v="HENDERSONVILLE"/>
    <x v="336"/>
    <x v="3"/>
    <x v="2"/>
    <s v="Invoice"/>
    <s v="99025"/>
    <x v="391"/>
    <x v="69"/>
    <x v="17"/>
    <x v="0"/>
    <n v="90"/>
  </r>
  <r>
    <s v="DAVID"/>
    <s v="02"/>
    <s v="FLORIDAGAR"/>
    <s v="GARDENSUPPLIES"/>
    <x v="330"/>
    <x v="3"/>
    <x v="2"/>
    <s v="Invoice"/>
    <s v="99094"/>
    <x v="304"/>
    <x v="268"/>
    <x v="73"/>
    <x v="0"/>
    <n v="150"/>
  </r>
  <r>
    <s v="DAVID"/>
    <s v="02"/>
    <s v="FLORIDAGAR"/>
    <s v="GARDENSUPPLIES"/>
    <x v="330"/>
    <x v="3"/>
    <x v="2"/>
    <s v="Invoice"/>
    <s v="99094"/>
    <x v="392"/>
    <x v="341"/>
    <x v="101"/>
    <x v="0"/>
    <n v="150"/>
  </r>
  <r>
    <s v=""/>
    <s v="03"/>
    <s v="CPSMULB"/>
    <s v="UAP/MULBERRY"/>
    <x v="331"/>
    <x v="3"/>
    <x v="2"/>
    <s v="Invoice"/>
    <s v="98829"/>
    <x v="34"/>
    <x v="29"/>
    <x v="26"/>
    <x v="0"/>
    <n v="540"/>
  </r>
  <r>
    <s v="JUSTIN"/>
    <s v="03"/>
    <s v="CPSPARRI"/>
    <s v="PARRISH"/>
    <x v="325"/>
    <x v="3"/>
    <x v="2"/>
    <s v="Invoice"/>
    <s v="98858"/>
    <x v="5"/>
    <x v="72"/>
    <x v="4"/>
    <x v="0"/>
    <n v="180"/>
  </r>
  <r>
    <s v="JUSTIN"/>
    <s v="03"/>
    <s v="G&amp;DFARMS"/>
    <s v="MIDDLE"/>
    <x v="325"/>
    <x v="3"/>
    <x v="2"/>
    <s v="Invoice"/>
    <s v="98869"/>
    <x v="99"/>
    <x v="93"/>
    <x v="22"/>
    <x v="2"/>
    <n v="10.012499999999999"/>
  </r>
  <r>
    <s v="JUSTIN"/>
    <s v="03"/>
    <s v="CPSWAVER"/>
    <s v="WAVERLY"/>
    <x v="325"/>
    <x v="3"/>
    <x v="2"/>
    <s v="Invoice"/>
    <s v="98870"/>
    <x v="191"/>
    <x v="169"/>
    <x v="61"/>
    <x v="0"/>
    <n v="180"/>
  </r>
  <r>
    <s v="JUSTIN"/>
    <s v="03"/>
    <s v="CPSWAVER"/>
    <s v="WAVERLY"/>
    <x v="325"/>
    <x v="3"/>
    <x v="2"/>
    <s v="Invoice"/>
    <s v="98870"/>
    <x v="96"/>
    <x v="90"/>
    <x v="39"/>
    <x v="0"/>
    <n v="180"/>
  </r>
  <r>
    <s v="JUSTIN"/>
    <s v="03"/>
    <s v="CPSWACHU"/>
    <s v="WAUCHULA"/>
    <x v="333"/>
    <x v="3"/>
    <x v="2"/>
    <s v="Invoice"/>
    <s v="98883"/>
    <x v="196"/>
    <x v="172"/>
    <x v="61"/>
    <x v="0"/>
    <n v="180"/>
  </r>
  <r>
    <s v="JUSTIN"/>
    <s v="03"/>
    <s v="CPSWACHU"/>
    <s v="WAUCHULA"/>
    <x v="333"/>
    <x v="3"/>
    <x v="2"/>
    <s v="Invoice"/>
    <s v="98883"/>
    <x v="34"/>
    <x v="29"/>
    <x v="26"/>
    <x v="0"/>
    <n v="180"/>
  </r>
  <r>
    <s v="JUSTIN"/>
    <s v="03"/>
    <s v="CPSWACHU"/>
    <s v="WAUCHULA"/>
    <x v="333"/>
    <x v="3"/>
    <x v="2"/>
    <s v="Invoice"/>
    <s v="98884"/>
    <x v="191"/>
    <x v="169"/>
    <x v="61"/>
    <x v="0"/>
    <n v="360"/>
  </r>
  <r>
    <s v="JUSTIN"/>
    <s v="03"/>
    <s v="CPSWACHU"/>
    <s v="WAUCHULA"/>
    <x v="333"/>
    <x v="3"/>
    <x v="2"/>
    <s v="Invoice"/>
    <s v="98884"/>
    <x v="96"/>
    <x v="90"/>
    <x v="39"/>
    <x v="0"/>
    <n v="360"/>
  </r>
  <r>
    <s v="JUSTIN"/>
    <s v="03"/>
    <s v="G&amp;DFARMS"/>
    <s v="MIDDLE"/>
    <x v="337"/>
    <x v="3"/>
    <x v="2"/>
    <s v="Invoice"/>
    <s v="98935"/>
    <x v="99"/>
    <x v="93"/>
    <x v="22"/>
    <x v="2"/>
    <n v="12.5"/>
  </r>
  <r>
    <s v="JUSTIN"/>
    <s v="03"/>
    <s v="CPSWACHU"/>
    <s v="WAUCHULA"/>
    <x v="338"/>
    <x v="3"/>
    <x v="2"/>
    <s v="Invoice"/>
    <s v="98936"/>
    <x v="34"/>
    <x v="29"/>
    <x v="26"/>
    <x v="0"/>
    <n v="180"/>
  </r>
  <r>
    <s v="JUSTIN"/>
    <s v="03"/>
    <s v="CPSFTPIE"/>
    <s v="FT. PIERCE"/>
    <x v="338"/>
    <x v="3"/>
    <x v="2"/>
    <s v="Invoice"/>
    <s v="98940"/>
    <x v="74"/>
    <x v="67"/>
    <x v="7"/>
    <x v="0"/>
    <n v="1750"/>
  </r>
  <r>
    <s v="JUSTIN"/>
    <s v="03"/>
    <s v="CPSFTPIE"/>
    <s v="FT. PIERCE"/>
    <x v="338"/>
    <x v="3"/>
    <x v="2"/>
    <s v="Invoice"/>
    <s v="98941"/>
    <x v="166"/>
    <x v="29"/>
    <x v="26"/>
    <x v="0"/>
    <n v="500"/>
  </r>
  <r>
    <s v="JUSTIN"/>
    <s v="03"/>
    <s v="CPSIMMOK"/>
    <s v="IMMOKALEE"/>
    <x v="327"/>
    <x v="3"/>
    <x v="2"/>
    <s v="Invoice"/>
    <s v="98972"/>
    <x v="4"/>
    <x v="32"/>
    <x v="3"/>
    <x v="0"/>
    <n v="180"/>
  </r>
  <r>
    <s v="JUSTIN"/>
    <s v="03"/>
    <s v="CPSFTPIE"/>
    <s v="FT. PIERCE"/>
    <x v="327"/>
    <x v="3"/>
    <x v="2"/>
    <s v="Invoice"/>
    <s v="98974"/>
    <x v="74"/>
    <x v="67"/>
    <x v="7"/>
    <x v="0"/>
    <n v="1750"/>
  </r>
  <r>
    <s v="JUSTIN"/>
    <s v="03"/>
    <s v="CPSFTPIE"/>
    <s v="FT. PIERCE"/>
    <x v="327"/>
    <x v="3"/>
    <x v="2"/>
    <s v="Invoice"/>
    <s v="98975"/>
    <x v="74"/>
    <x v="67"/>
    <x v="7"/>
    <x v="0"/>
    <n v="750"/>
  </r>
  <r>
    <s v="JUSTIN"/>
    <s v="03"/>
    <s v="CPSFTPIE"/>
    <s v="FT. PIERCE"/>
    <x v="329"/>
    <x v="3"/>
    <x v="2"/>
    <s v="Invoice"/>
    <s v="99030"/>
    <x v="74"/>
    <x v="67"/>
    <x v="7"/>
    <x v="0"/>
    <n v="2250"/>
  </r>
  <r>
    <s v="JUSTIN"/>
    <s v="03"/>
    <s v="CPSIMMOK"/>
    <s v="IMMOKALEE"/>
    <x v="329"/>
    <x v="3"/>
    <x v="2"/>
    <s v="Invoice"/>
    <s v="99032"/>
    <x v="191"/>
    <x v="169"/>
    <x v="61"/>
    <x v="0"/>
    <n v="360"/>
  </r>
  <r>
    <s v="JUSTIN"/>
    <s v="03"/>
    <s v="CPSIMMOK"/>
    <s v="IMMOKALEE"/>
    <x v="329"/>
    <x v="3"/>
    <x v="2"/>
    <s v="Invoice"/>
    <s v="99032"/>
    <x v="96"/>
    <x v="90"/>
    <x v="39"/>
    <x v="0"/>
    <n v="180"/>
  </r>
  <r>
    <s v="JUSTIN"/>
    <s v="03"/>
    <s v="TRIYIELD"/>
    <s v="MAIN"/>
    <x v="339"/>
    <x v="3"/>
    <x v="2"/>
    <s v="Invoice"/>
    <s v="99046"/>
    <x v="237"/>
    <x v="75"/>
    <x v="26"/>
    <x v="0"/>
    <n v="70"/>
  </r>
  <r>
    <s v="JUSTIN"/>
    <s v="03"/>
    <s v="GRIFFINF"/>
    <s v="FROSTPROOF"/>
    <x v="340"/>
    <x v="3"/>
    <x v="2"/>
    <s v="Invoice"/>
    <s v="99048"/>
    <x v="34"/>
    <x v="29"/>
    <x v="26"/>
    <x v="0"/>
    <n v="720"/>
  </r>
  <r>
    <s v="JUSTIN"/>
    <s v="03"/>
    <s v="GRIFFINF"/>
    <s v="FROSTPROOF"/>
    <x v="340"/>
    <x v="3"/>
    <x v="2"/>
    <s v="Invoice"/>
    <s v="99049"/>
    <x v="5"/>
    <x v="72"/>
    <x v="4"/>
    <x v="0"/>
    <n v="720"/>
  </r>
  <r>
    <s v="JUSTIN"/>
    <s v="03"/>
    <s v="TRIANGLE"/>
    <s v="TRIANGLE/LAKEPL"/>
    <x v="340"/>
    <x v="3"/>
    <x v="2"/>
    <s v="Invoice"/>
    <s v="99057"/>
    <x v="127"/>
    <x v="115"/>
    <x v="20"/>
    <x v="1"/>
    <n v="1000"/>
  </r>
  <r>
    <s v="JUSTIN"/>
    <s v="03"/>
    <s v="CPSIMMOK"/>
    <s v="IMMOKALEE"/>
    <x v="340"/>
    <x v="3"/>
    <x v="2"/>
    <s v="Invoice"/>
    <s v="99059"/>
    <x v="96"/>
    <x v="90"/>
    <x v="39"/>
    <x v="0"/>
    <n v="120"/>
  </r>
  <r>
    <s v="JUSTIN"/>
    <s v="03"/>
    <s v="GRIFFINF"/>
    <s v="FROSTPROOF"/>
    <x v="341"/>
    <x v="3"/>
    <x v="2"/>
    <s v="Invoice"/>
    <s v="99065"/>
    <x v="34"/>
    <x v="29"/>
    <x v="26"/>
    <x v="0"/>
    <n v="2880"/>
  </r>
  <r>
    <s v="JUSTIN"/>
    <s v="03"/>
    <s v="GRIFFINF"/>
    <s v="FROSTPROOF"/>
    <x v="341"/>
    <x v="3"/>
    <x v="2"/>
    <s v="Invoice"/>
    <s v="99066"/>
    <x v="5"/>
    <x v="72"/>
    <x v="4"/>
    <x v="0"/>
    <n v="180"/>
  </r>
  <r>
    <s v="JUSTIN"/>
    <s v="03"/>
    <s v="G&amp;DFARMS"/>
    <s v="MIDDLE"/>
    <x v="341"/>
    <x v="3"/>
    <x v="2"/>
    <s v="Invoice"/>
    <s v="99069"/>
    <x v="99"/>
    <x v="93"/>
    <x v="22"/>
    <x v="2"/>
    <n v="15.01"/>
  </r>
  <r>
    <s v="JUSTIN"/>
    <s v="03"/>
    <s v="CPSPARRI"/>
    <s v="PARRISH"/>
    <x v="330"/>
    <x v="3"/>
    <x v="2"/>
    <s v="Invoice"/>
    <s v="99089"/>
    <x v="34"/>
    <x v="29"/>
    <x v="26"/>
    <x v="0"/>
    <n v="180"/>
  </r>
  <r>
    <s v="JUSTIN"/>
    <s v="03"/>
    <s v="CPSFTPIE"/>
    <s v="FT. PIERCE"/>
    <x v="342"/>
    <x v="3"/>
    <x v="2"/>
    <s v="Invoice"/>
    <s v="99101"/>
    <x v="166"/>
    <x v="29"/>
    <x v="26"/>
    <x v="0"/>
    <n v="500"/>
  </r>
  <r>
    <s v="JUSTIN"/>
    <s v="03"/>
    <s v="GRIFFINF"/>
    <s v="FROSTPROOF"/>
    <x v="342"/>
    <x v="3"/>
    <x v="2"/>
    <s v="Invoice"/>
    <s v="99102"/>
    <x v="166"/>
    <x v="29"/>
    <x v="26"/>
    <x v="0"/>
    <n v="750"/>
  </r>
  <r>
    <s v="JUSTIN"/>
    <s v="03"/>
    <s v="GRIFFINF"/>
    <s v="FROSTPROOF"/>
    <x v="342"/>
    <x v="3"/>
    <x v="2"/>
    <s v="Invoice"/>
    <s v="99103"/>
    <x v="96"/>
    <x v="90"/>
    <x v="39"/>
    <x v="0"/>
    <n v="180"/>
  </r>
  <r>
    <s v="JUSTIN"/>
    <s v="03"/>
    <s v="GRIFFINF"/>
    <s v="FROSTPROOF"/>
    <x v="342"/>
    <x v="3"/>
    <x v="2"/>
    <s v="Invoice"/>
    <s v="99104"/>
    <x v="5"/>
    <x v="72"/>
    <x v="4"/>
    <x v="0"/>
    <n v="180"/>
  </r>
  <r>
    <s v="JUSTIN"/>
    <s v="03"/>
    <s v="CPSWAVER"/>
    <s v="WAVERLY"/>
    <x v="342"/>
    <x v="3"/>
    <x v="2"/>
    <s v="Invoice"/>
    <s v="99105"/>
    <x v="5"/>
    <x v="72"/>
    <x v="4"/>
    <x v="0"/>
    <n v="180"/>
  </r>
  <r>
    <s v="JUSTIN"/>
    <s v="03"/>
    <s v="CPSWAVER"/>
    <s v="WAVERLY"/>
    <x v="342"/>
    <x v="3"/>
    <x v="2"/>
    <s v="Invoice"/>
    <s v="99105"/>
    <x v="35"/>
    <x v="30"/>
    <x v="27"/>
    <x v="0"/>
    <n v="180"/>
  </r>
  <r>
    <s v=""/>
    <s v="03"/>
    <s v="CPSMULB"/>
    <s v="UAP/MULBERRY"/>
    <x v="342"/>
    <x v="3"/>
    <x v="2"/>
    <s v="Invoice"/>
    <s v="99108"/>
    <x v="96"/>
    <x v="90"/>
    <x v="39"/>
    <x v="0"/>
    <n v="180"/>
  </r>
  <r>
    <s v="DPOPPELL"/>
    <s v="04"/>
    <s v="SWEETLIFE"/>
    <s v="KNIGHTS GRIFFIN"/>
    <x v="331"/>
    <x v="3"/>
    <x v="2"/>
    <s v="Invoice"/>
    <s v="98832"/>
    <x v="27"/>
    <x v="22"/>
    <x v="22"/>
    <x v="2"/>
    <n v="10"/>
  </r>
  <r>
    <s v="DPOPPELL"/>
    <s v="04"/>
    <s v="SWEETLIFE"/>
    <s v="FOSTERDUKES"/>
    <x v="331"/>
    <x v="3"/>
    <x v="2"/>
    <s v="Invoice"/>
    <s v="98834"/>
    <x v="27"/>
    <x v="22"/>
    <x v="22"/>
    <x v="2"/>
    <n v="10.0075"/>
  </r>
  <r>
    <s v="DPOPPELL"/>
    <s v="04"/>
    <s v="FORTGREENFARMS"/>
    <s v="FTGREEN"/>
    <x v="331"/>
    <x v="3"/>
    <x v="2"/>
    <s v="Invoice"/>
    <s v="98835"/>
    <x v="58"/>
    <x v="51"/>
    <x v="22"/>
    <x v="2"/>
    <n v="7.75"/>
  </r>
  <r>
    <s v="DPOPPELL"/>
    <s v="04"/>
    <s v="EWSIMMON"/>
    <s v="DRAWDY ROAD"/>
    <x v="343"/>
    <x v="3"/>
    <x v="2"/>
    <s v="Invoice"/>
    <s v="98836"/>
    <x v="143"/>
    <x v="125"/>
    <x v="52"/>
    <x v="0"/>
    <n v="250"/>
  </r>
  <r>
    <s v="DPOPPELL"/>
    <s v="04"/>
    <s v="JOSEHERN"/>
    <s v="DURANT"/>
    <x v="343"/>
    <x v="3"/>
    <x v="2"/>
    <s v="Invoice"/>
    <s v="98838"/>
    <x v="55"/>
    <x v="48"/>
    <x v="22"/>
    <x v="2"/>
    <n v="6.0125000000000002"/>
  </r>
  <r>
    <s v="DPOPPELL"/>
    <s v="04"/>
    <s v="MIDWAYF"/>
    <s v="ALS - NORTH"/>
    <x v="343"/>
    <x v="3"/>
    <x v="2"/>
    <s v="Invoice"/>
    <s v="98839"/>
    <x v="27"/>
    <x v="22"/>
    <x v="22"/>
    <x v="2"/>
    <n v="5.0075000000000003"/>
  </r>
  <r>
    <s v="DPOPPELL"/>
    <s v="04"/>
    <s v="GUTIERREZDAN"/>
    <s v="AL SIMMONS"/>
    <x v="343"/>
    <x v="3"/>
    <x v="2"/>
    <s v="Invoice"/>
    <s v="98840"/>
    <x v="55"/>
    <x v="48"/>
    <x v="22"/>
    <x v="2"/>
    <n v="13.5075"/>
  </r>
  <r>
    <s v=""/>
    <s v="04"/>
    <s v="SRISAIAY"/>
    <s v="MAIN"/>
    <x v="343"/>
    <x v="3"/>
    <x v="2"/>
    <s v="Invoice"/>
    <s v="98841"/>
    <x v="27"/>
    <x v="22"/>
    <x v="22"/>
    <x v="2"/>
    <n v="10"/>
  </r>
  <r>
    <s v="DPOPPELL"/>
    <s v="04"/>
    <s v="LARRYENN"/>
    <s v="CASON ROAD"/>
    <x v="343"/>
    <x v="3"/>
    <x v="2"/>
    <s v="Invoice"/>
    <s v="98842"/>
    <x v="58"/>
    <x v="51"/>
    <x v="22"/>
    <x v="2"/>
    <n v="7.5025000000000004"/>
  </r>
  <r>
    <s v="DPOPPELL"/>
    <s v="04"/>
    <s v="JOEPENA"/>
    <s v="JIMREDMAN"/>
    <x v="343"/>
    <x v="3"/>
    <x v="2"/>
    <s v="Invoice"/>
    <s v="98843"/>
    <x v="55"/>
    <x v="48"/>
    <x v="22"/>
    <x v="2"/>
    <n v="0.75"/>
  </r>
  <r>
    <s v="DPOPPELL"/>
    <s v="04"/>
    <s v="DURGAFARMS"/>
    <s v="SYDNEYDOVER"/>
    <x v="343"/>
    <x v="3"/>
    <x v="2"/>
    <s v="Invoice"/>
    <s v="98844"/>
    <x v="27"/>
    <x v="22"/>
    <x v="22"/>
    <x v="2"/>
    <n v="5.0175000000000001"/>
  </r>
  <r>
    <s v=""/>
    <s v="04"/>
    <s v="PORTER HA"/>
    <s v="PASTURE"/>
    <x v="343"/>
    <x v="3"/>
    <x v="2"/>
    <s v="Invoice"/>
    <s v="98845"/>
    <x v="27"/>
    <x v="22"/>
    <x v="22"/>
    <x v="2"/>
    <n v="5.01"/>
  </r>
  <r>
    <s v="DPOPPELL"/>
    <s v="04"/>
    <s v="M&amp;GFARMS"/>
    <s v="RED BARN"/>
    <x v="331"/>
    <x v="3"/>
    <x v="2"/>
    <s v="Invoice"/>
    <s v="98848"/>
    <x v="28"/>
    <x v="23"/>
    <x v="22"/>
    <x v="2"/>
    <n v="7.01"/>
  </r>
  <r>
    <s v="DPOPPELL"/>
    <s v="04"/>
    <s v="FERRISFA"/>
    <s v="STRABERRIES"/>
    <x v="332"/>
    <x v="3"/>
    <x v="2"/>
    <s v="Invoice"/>
    <s v="98850"/>
    <x v="154"/>
    <x v="136"/>
    <x v="22"/>
    <x v="2"/>
    <n v="20.052499999999998"/>
  </r>
  <r>
    <s v="DPOPPELL"/>
    <s v="04"/>
    <s v="CHAVEZJOR"/>
    <s v="JOSE' CHAV- COD"/>
    <x v="332"/>
    <x v="3"/>
    <x v="2"/>
    <s v="Invoice"/>
    <s v="98851"/>
    <x v="53"/>
    <x v="46"/>
    <x v="22"/>
    <x v="2"/>
    <n v="0.15"/>
  </r>
  <r>
    <s v="DPOPPELL"/>
    <s v="04"/>
    <s v="MIDWAYF"/>
    <s v="FORBES"/>
    <x v="332"/>
    <x v="3"/>
    <x v="2"/>
    <s v="Invoice"/>
    <s v="98852"/>
    <x v="27"/>
    <x v="22"/>
    <x v="22"/>
    <x v="2"/>
    <n v="2.5049999999999999"/>
  </r>
  <r>
    <s v="DPOPPELL"/>
    <s v="04"/>
    <s v="JOSEHERN"/>
    <s v="KEYSVILLE N"/>
    <x v="332"/>
    <x v="3"/>
    <x v="2"/>
    <s v="Invoice"/>
    <s v="98853"/>
    <x v="58"/>
    <x v="51"/>
    <x v="22"/>
    <x v="2"/>
    <n v="15.005000000000001"/>
  </r>
  <r>
    <s v="DPOPPELL"/>
    <s v="04"/>
    <s v="VENTURAFARMS"/>
    <s v="HOUSE"/>
    <x v="332"/>
    <x v="3"/>
    <x v="2"/>
    <s v="Invoice"/>
    <s v="98855"/>
    <x v="56"/>
    <x v="49"/>
    <x v="22"/>
    <x v="2"/>
    <n v="2"/>
  </r>
  <r>
    <s v="DPOPPELL"/>
    <s v="04"/>
    <s v="JOEPENA"/>
    <s v="HWY 92"/>
    <x v="332"/>
    <x v="3"/>
    <x v="2"/>
    <s v="Invoice"/>
    <s v="98857"/>
    <x v="114"/>
    <x v="101"/>
    <x v="22"/>
    <x v="2"/>
    <n v="1"/>
  </r>
  <r>
    <s v="DPOPPELL"/>
    <s v="04"/>
    <s v="ALVAREZJ"/>
    <s v="ROGERS"/>
    <x v="325"/>
    <x v="3"/>
    <x v="2"/>
    <s v="Invoice"/>
    <s v="98859"/>
    <x v="68"/>
    <x v="61"/>
    <x v="22"/>
    <x v="2"/>
    <n v="4.0075000000000003"/>
  </r>
  <r>
    <s v="DPOPPELL"/>
    <s v="04"/>
    <s v="MIDWAYF"/>
    <s v="FORBES"/>
    <x v="325"/>
    <x v="3"/>
    <x v="2"/>
    <s v="Invoice"/>
    <s v="98860"/>
    <x v="27"/>
    <x v="22"/>
    <x v="22"/>
    <x v="2"/>
    <n v="10.0075"/>
  </r>
  <r>
    <s v="DPOPPELL"/>
    <s v="04"/>
    <s v="LEE GILLM"/>
    <s v="THONOTOSASSA"/>
    <x v="325"/>
    <x v="3"/>
    <x v="2"/>
    <s v="Invoice"/>
    <s v="98861"/>
    <x v="63"/>
    <x v="56"/>
    <x v="22"/>
    <x v="2"/>
    <n v="2.5049999999999999"/>
  </r>
  <r>
    <s v="DPOPPELL"/>
    <s v="04"/>
    <s v="SPIVEYFA"/>
    <s v="HOPEWELL"/>
    <x v="325"/>
    <x v="3"/>
    <x v="2"/>
    <s v="Invoice"/>
    <s v="98862"/>
    <x v="56"/>
    <x v="49"/>
    <x v="22"/>
    <x v="2"/>
    <n v="4.51"/>
  </r>
  <r>
    <s v="DPOPPELL"/>
    <s v="04"/>
    <s v="FERRISFA"/>
    <s v="BLUEBERRY-NEW"/>
    <x v="325"/>
    <x v="3"/>
    <x v="2"/>
    <s v="Invoice"/>
    <s v="98863"/>
    <x v="62"/>
    <x v="55"/>
    <x v="22"/>
    <x v="2"/>
    <n v="19.98"/>
  </r>
  <r>
    <s v="DPOPPELL"/>
    <s v="04"/>
    <s v="TWINFARMS"/>
    <s v="WIMAUMA"/>
    <x v="325"/>
    <x v="3"/>
    <x v="2"/>
    <s v="Invoice"/>
    <s v="98865"/>
    <x v="69"/>
    <x v="62"/>
    <x v="22"/>
    <x v="2"/>
    <n v="2"/>
  </r>
  <r>
    <s v="DPOPPELL"/>
    <s v="04"/>
    <s v="TWINFARMS"/>
    <s v="MAIN"/>
    <x v="325"/>
    <x v="3"/>
    <x v="2"/>
    <s v="Invoice"/>
    <s v="98866"/>
    <x v="240"/>
    <x v="71"/>
    <x v="100"/>
    <x v="0"/>
    <n v="5"/>
  </r>
  <r>
    <s v="DPOPPELL"/>
    <s v="04"/>
    <s v="TWINFARMS"/>
    <s v="MAIN"/>
    <x v="325"/>
    <x v="3"/>
    <x v="2"/>
    <s v="Invoice"/>
    <s v="98866"/>
    <x v="34"/>
    <x v="29"/>
    <x v="26"/>
    <x v="0"/>
    <n v="10"/>
  </r>
  <r>
    <s v="DPOPPELL"/>
    <s v="04"/>
    <s v="MIDWAYF"/>
    <s v="ALS - NORTH"/>
    <x v="325"/>
    <x v="3"/>
    <x v="2"/>
    <s v="Invoice"/>
    <s v="98867"/>
    <x v="27"/>
    <x v="22"/>
    <x v="22"/>
    <x v="2"/>
    <n v="7.03"/>
  </r>
  <r>
    <s v="DPOPPELL"/>
    <s v="04"/>
    <s v="FANCYFAR"/>
    <s v="VOLVO"/>
    <x v="344"/>
    <x v="3"/>
    <x v="2"/>
    <s v="Invoice"/>
    <s v="98875"/>
    <x v="27"/>
    <x v="22"/>
    <x v="22"/>
    <x v="2"/>
    <n v="10.005000000000001"/>
  </r>
  <r>
    <s v="DPOPPELL"/>
    <s v="04"/>
    <s v="CHARLIEG-LLC"/>
    <s v="DAIRY"/>
    <x v="325"/>
    <x v="3"/>
    <x v="2"/>
    <s v="Invoice"/>
    <s v="98876"/>
    <x v="27"/>
    <x v="22"/>
    <x v="22"/>
    <x v="2"/>
    <n v="10.01"/>
  </r>
  <r>
    <s v="DPOPPELL"/>
    <s v="04"/>
    <s v="FANCYFAR"/>
    <s v="CASON1"/>
    <x v="344"/>
    <x v="3"/>
    <x v="2"/>
    <s v="Invoice"/>
    <s v="98877"/>
    <x v="27"/>
    <x v="22"/>
    <x v="22"/>
    <x v="2"/>
    <n v="2.5024999999999999"/>
  </r>
  <r>
    <s v="DPOPPELL"/>
    <s v="04"/>
    <s v="GUTIERREZDAN"/>
    <s v="FORBES/SLATON"/>
    <x v="325"/>
    <x v="3"/>
    <x v="2"/>
    <s v="Invoice"/>
    <s v="98878"/>
    <x v="73"/>
    <x v="66"/>
    <x v="22"/>
    <x v="2"/>
    <n v="5.5125000000000002"/>
  </r>
  <r>
    <s v="DPOPPELL"/>
    <s v="04"/>
    <s v="GUTIERREZA"/>
    <s v="WASHINGTON"/>
    <x v="344"/>
    <x v="3"/>
    <x v="2"/>
    <s v="Invoice"/>
    <s v="98879"/>
    <x v="58"/>
    <x v="51"/>
    <x v="22"/>
    <x v="2"/>
    <n v="3.9874999999999998"/>
  </r>
  <r>
    <s v="DPOPPELL"/>
    <s v="04"/>
    <s v="SWEETLIFE"/>
    <s v="SAMALLEN-SOUTH"/>
    <x v="325"/>
    <x v="3"/>
    <x v="2"/>
    <s v="Invoice"/>
    <s v="98880"/>
    <x v="27"/>
    <x v="22"/>
    <x v="22"/>
    <x v="2"/>
    <n v="7.51"/>
  </r>
  <r>
    <s v="DPOPPELL"/>
    <s v="04"/>
    <s v="CHARLIEG-LLC"/>
    <s v="LAMPP ROAD"/>
    <x v="333"/>
    <x v="3"/>
    <x v="2"/>
    <s v="Invoice"/>
    <s v="98886"/>
    <x v="27"/>
    <x v="22"/>
    <x v="22"/>
    <x v="2"/>
    <n v="14.525"/>
  </r>
  <r>
    <s v="DPOPPELL"/>
    <s v="04"/>
    <s v="SWEETLIFE"/>
    <s v="SAMALLEN-NORTH"/>
    <x v="333"/>
    <x v="3"/>
    <x v="2"/>
    <s v="Invoice"/>
    <s v="98890"/>
    <x v="27"/>
    <x v="22"/>
    <x v="22"/>
    <x v="2"/>
    <n v="10.01"/>
  </r>
  <r>
    <s v="DPOPPELL"/>
    <s v="04"/>
    <s v="MIDWAYF"/>
    <s v="ALS - NORTH"/>
    <x v="333"/>
    <x v="3"/>
    <x v="2"/>
    <s v="Invoice"/>
    <s v="98891"/>
    <x v="27"/>
    <x v="22"/>
    <x v="22"/>
    <x v="2"/>
    <n v="2.5049999999999999"/>
  </r>
  <r>
    <s v="DPOPPELL"/>
    <s v="04"/>
    <s v="SWEETLIFE"/>
    <s v="MAILING"/>
    <x v="333"/>
    <x v="3"/>
    <x v="2"/>
    <s v="Invoice"/>
    <s v="98892"/>
    <x v="195"/>
    <x v="171"/>
    <x v="8"/>
    <x v="0"/>
    <n v="7.5"/>
  </r>
  <r>
    <s v="DPOPPELL"/>
    <s v="04"/>
    <s v="JOSEHERN"/>
    <s v="SPARKMAN"/>
    <x v="333"/>
    <x v="3"/>
    <x v="2"/>
    <s v="Invoice"/>
    <s v="98893"/>
    <x v="58"/>
    <x v="51"/>
    <x v="22"/>
    <x v="2"/>
    <n v="10"/>
  </r>
  <r>
    <s v="DPOPPELL"/>
    <s v="04"/>
    <s v="JOSEHERN"/>
    <s v="SPARKMAN"/>
    <x v="333"/>
    <x v="3"/>
    <x v="2"/>
    <s v="Invoice"/>
    <s v="98893"/>
    <x v="357"/>
    <x v="317"/>
    <x v="25"/>
    <x v="0"/>
    <n v="3.75"/>
  </r>
  <r>
    <s v="DPOPPELL"/>
    <s v="04"/>
    <s v="FLORIDAAG"/>
    <s v="KINGSWAY"/>
    <x v="333"/>
    <x v="3"/>
    <x v="2"/>
    <s v="Invoice"/>
    <s v="98894"/>
    <x v="326"/>
    <x v="289"/>
    <x v="22"/>
    <x v="2"/>
    <n v="1.2350000000000001"/>
  </r>
  <r>
    <s v="DPOPPELL"/>
    <s v="04"/>
    <s v="SYDNEYFA"/>
    <s v="FORBES ROAD"/>
    <x v="345"/>
    <x v="3"/>
    <x v="2"/>
    <s v="Invoice"/>
    <s v="98897"/>
    <x v="377"/>
    <x v="331"/>
    <x v="22"/>
    <x v="2"/>
    <n v="5"/>
  </r>
  <r>
    <s v="DPOPPELL"/>
    <s v="04"/>
    <s v="SYDNEYFA"/>
    <s v="SYDNEY-WASHER"/>
    <x v="345"/>
    <x v="3"/>
    <x v="2"/>
    <s v="Invoice"/>
    <s v="98898"/>
    <x v="45"/>
    <x v="37"/>
    <x v="30"/>
    <x v="0"/>
    <n v="250"/>
  </r>
  <r>
    <s v="DPOPPELL"/>
    <s v="04"/>
    <s v="MIKELOTT"/>
    <s v="HILLSBOROUGH"/>
    <x v="345"/>
    <x v="3"/>
    <x v="2"/>
    <s v="Invoice"/>
    <s v="98902"/>
    <x v="43"/>
    <x v="38"/>
    <x v="22"/>
    <x v="2"/>
    <n v="5.0199999999999996"/>
  </r>
  <r>
    <s v="DPOPPELL"/>
    <s v="04"/>
    <s v="TRIANGLE"/>
    <s v="OAKHAMMOCK"/>
    <x v="345"/>
    <x v="3"/>
    <x v="2"/>
    <s v="Invoice"/>
    <s v="98904A"/>
    <x v="125"/>
    <x v="113"/>
    <x v="22"/>
    <x v="2"/>
    <n v="1.2450000000000001"/>
  </r>
  <r>
    <s v="DPOPPELL"/>
    <s v="04"/>
    <s v="MIDWAYF"/>
    <s v="FRAZIER"/>
    <x v="345"/>
    <x v="3"/>
    <x v="2"/>
    <s v="Invoice"/>
    <s v="98906"/>
    <x v="27"/>
    <x v="22"/>
    <x v="22"/>
    <x v="2"/>
    <n v="4.9974999999999996"/>
  </r>
  <r>
    <s v="DPOPPELL"/>
    <s v="04"/>
    <s v="CIRCLEGF&amp;R LLC"/>
    <s v="PUMP4"/>
    <x v="326"/>
    <x v="3"/>
    <x v="2"/>
    <s v="Invoice"/>
    <s v="98907"/>
    <x v="27"/>
    <x v="22"/>
    <x v="22"/>
    <x v="2"/>
    <n v="11.5025"/>
  </r>
  <r>
    <s v="DPOPPELL"/>
    <s v="04"/>
    <s v="BEAUCHAMP"/>
    <s v="GALLAGHER"/>
    <x v="326"/>
    <x v="3"/>
    <x v="2"/>
    <s v="Invoice"/>
    <s v="98909"/>
    <x v="50"/>
    <x v="43"/>
    <x v="22"/>
    <x v="2"/>
    <n v="7.5075000000000003"/>
  </r>
  <r>
    <s v="DPOPPELL"/>
    <s v="04"/>
    <s v="CIRCLEGF&amp;R LLC"/>
    <s v="KNIGHTS-N-#16"/>
    <x v="326"/>
    <x v="3"/>
    <x v="2"/>
    <s v="Invoice"/>
    <s v="98911"/>
    <x v="27"/>
    <x v="22"/>
    <x v="22"/>
    <x v="2"/>
    <n v="15"/>
  </r>
  <r>
    <s v="DPOPPELL"/>
    <s v="04"/>
    <s v="VENTURAFARMS"/>
    <s v="JOHNSON"/>
    <x v="334"/>
    <x v="3"/>
    <x v="2"/>
    <s v="Invoice"/>
    <s v="98915"/>
    <x v="393"/>
    <x v="342"/>
    <x v="22"/>
    <x v="2"/>
    <n v="1.25"/>
  </r>
  <r>
    <s v="DPOPPELL"/>
    <s v="04"/>
    <s v="FILEMONMARTINEZ"/>
    <s v="MAILING"/>
    <x v="334"/>
    <x v="3"/>
    <x v="2"/>
    <s v="Invoice"/>
    <s v="98919"/>
    <x v="77"/>
    <x v="37"/>
    <x v="30"/>
    <x v="0"/>
    <n v="30"/>
  </r>
  <r>
    <s v="DPOPPELL"/>
    <s v="04"/>
    <s v="SWEETLIFE"/>
    <s v="KNIGHTS GRIFFIN"/>
    <x v="334"/>
    <x v="3"/>
    <x v="2"/>
    <s v="Invoice"/>
    <s v="98921"/>
    <x v="27"/>
    <x v="22"/>
    <x v="22"/>
    <x v="2"/>
    <n v="20.0075"/>
  </r>
  <r>
    <s v="DPOPPELL"/>
    <s v="04"/>
    <s v="MIDWAYF"/>
    <s v="WILDER RD."/>
    <x v="334"/>
    <x v="3"/>
    <x v="2"/>
    <s v="Invoice"/>
    <s v="98922"/>
    <x v="27"/>
    <x v="22"/>
    <x v="22"/>
    <x v="2"/>
    <n v="5.0149999999999997"/>
  </r>
  <r>
    <s v="DPOPPELL"/>
    <s v="04"/>
    <s v="CARLTONTHOMAS"/>
    <s v="GRANGEHALL"/>
    <x v="334"/>
    <x v="3"/>
    <x v="2"/>
    <s v="Invoice"/>
    <s v="98923"/>
    <x v="71"/>
    <x v="64"/>
    <x v="22"/>
    <x v="2"/>
    <n v="15.0075"/>
  </r>
  <r>
    <s v="DPOPPELL"/>
    <s v="04"/>
    <s v="FLORIDAGREEN"/>
    <s v="MAIN"/>
    <x v="334"/>
    <x v="3"/>
    <x v="2"/>
    <s v="Invoice"/>
    <s v="98924"/>
    <x v="394"/>
    <x v="343"/>
    <x v="22"/>
    <x v="2"/>
    <n v="0.15"/>
  </r>
  <r>
    <s v="DPOPPELL"/>
    <s v="04"/>
    <s v="SOUTHERNHILL"/>
    <s v="SCHOFIELD"/>
    <x v="337"/>
    <x v="3"/>
    <x v="2"/>
    <s v="Invoice"/>
    <s v="98925"/>
    <x v="43"/>
    <x v="38"/>
    <x v="22"/>
    <x v="2"/>
    <n v="2.0024999999999999"/>
  </r>
  <r>
    <s v="DPOPPELL"/>
    <s v="04"/>
    <s v="SOUTHERNHILL"/>
    <s v="SCHOFIELD"/>
    <x v="337"/>
    <x v="3"/>
    <x v="2"/>
    <s v="Invoice"/>
    <s v="98926"/>
    <x v="47"/>
    <x v="41"/>
    <x v="22"/>
    <x v="2"/>
    <n v="6.2549999999999999"/>
  </r>
  <r>
    <s v="DPOPPELL"/>
    <s v="04"/>
    <s v="FANCYFAR"/>
    <s v="CASON1"/>
    <x v="337"/>
    <x v="3"/>
    <x v="2"/>
    <s v="Invoice"/>
    <s v="98927"/>
    <x v="27"/>
    <x v="22"/>
    <x v="22"/>
    <x v="2"/>
    <n v="5.0075000000000003"/>
  </r>
  <r>
    <s v="DPOPPELL"/>
    <s v="04"/>
    <s v="MIKELOTT"/>
    <s v="HILLSBOROUGH/E"/>
    <x v="337"/>
    <x v="3"/>
    <x v="2"/>
    <s v="Invoice"/>
    <s v="98928"/>
    <x v="99"/>
    <x v="93"/>
    <x v="22"/>
    <x v="2"/>
    <n v="2.5"/>
  </r>
  <r>
    <s v="DPOPPELL"/>
    <s v="04"/>
    <s v="ROQUEFARMS"/>
    <s v="SWEETWATER"/>
    <x v="337"/>
    <x v="3"/>
    <x v="2"/>
    <s v="Invoice"/>
    <s v="98929"/>
    <x v="109"/>
    <x v="80"/>
    <x v="2"/>
    <x v="0"/>
    <n v="250"/>
  </r>
  <r>
    <s v="DPOPPELL"/>
    <s v="04"/>
    <s v="ROQUEFARMS"/>
    <s v="SWEETWATER"/>
    <x v="337"/>
    <x v="3"/>
    <x v="2"/>
    <s v="Invoice"/>
    <s v="98929"/>
    <x v="110"/>
    <x v="97"/>
    <x v="16"/>
    <x v="0"/>
    <n v="250"/>
  </r>
  <r>
    <s v="DPOPPELL"/>
    <s v="04"/>
    <s v="CHANFARM"/>
    <s v="MAILING"/>
    <x v="337"/>
    <x v="3"/>
    <x v="2"/>
    <s v="Invoice"/>
    <s v="98931"/>
    <x v="301"/>
    <x v="264"/>
    <x v="56"/>
    <x v="0"/>
    <n v="25"/>
  </r>
  <r>
    <s v="DPOPPELL"/>
    <s v="04"/>
    <s v="M&amp;GFARMS"/>
    <s v="HWY 640"/>
    <x v="337"/>
    <x v="3"/>
    <x v="2"/>
    <s v="Invoice"/>
    <s v="98933"/>
    <x v="28"/>
    <x v="23"/>
    <x v="22"/>
    <x v="2"/>
    <n v="2.5"/>
  </r>
  <r>
    <s v="DPOPPELL"/>
    <s v="04"/>
    <s v="FCFARMS"/>
    <s v="PEEPLES"/>
    <x v="337"/>
    <x v="3"/>
    <x v="2"/>
    <s v="Invoice"/>
    <s v="98934"/>
    <x v="58"/>
    <x v="51"/>
    <x v="22"/>
    <x v="2"/>
    <n v="4.0250000000000004"/>
  </r>
  <r>
    <s v="DPOPPELL"/>
    <s v="04"/>
    <s v="GUTIERREZA"/>
    <s v="DUETTE"/>
    <x v="337"/>
    <x v="3"/>
    <x v="2"/>
    <s v="Invoice"/>
    <s v="98938"/>
    <x v="59"/>
    <x v="52"/>
    <x v="22"/>
    <x v="2"/>
    <n v="10.02"/>
  </r>
  <r>
    <s v="DPOPPELL"/>
    <s v="04"/>
    <s v="ROQUEFARMS"/>
    <s v="SWEETWATER"/>
    <x v="337"/>
    <x v="3"/>
    <x v="2"/>
    <s v="Invoice"/>
    <s v="98939"/>
    <x v="43"/>
    <x v="38"/>
    <x v="22"/>
    <x v="2"/>
    <n v="5"/>
  </r>
  <r>
    <s v="DPOPPELL"/>
    <s v="04"/>
    <s v="GUTIERREZA"/>
    <s v="TOMGALLAGHER"/>
    <x v="338"/>
    <x v="3"/>
    <x v="2"/>
    <s v="Invoice"/>
    <s v="98942"/>
    <x v="69"/>
    <x v="62"/>
    <x v="22"/>
    <x v="2"/>
    <n v="2.5125000000000002"/>
  </r>
  <r>
    <s v="DPOPPELL"/>
    <s v="04"/>
    <s v="THREESTA"/>
    <s v="WALDEN-SHEFFIEL"/>
    <x v="338"/>
    <x v="3"/>
    <x v="2"/>
    <s v="Invoice"/>
    <s v="98946"/>
    <x v="372"/>
    <x v="103"/>
    <x v="43"/>
    <x v="0"/>
    <n v="250"/>
  </r>
  <r>
    <s v="DPOPPELL"/>
    <s v="04"/>
    <s v="SYDNEYFA"/>
    <s v="SYDNEY-WASHER"/>
    <x v="338"/>
    <x v="3"/>
    <x v="2"/>
    <s v="Invoice"/>
    <s v="98947"/>
    <x v="372"/>
    <x v="103"/>
    <x v="43"/>
    <x v="0"/>
    <n v="250"/>
  </r>
  <r>
    <s v="DPOPPELL"/>
    <s v="04"/>
    <s v="MIDWAYF"/>
    <s v="HAGGERTY ROAD"/>
    <x v="338"/>
    <x v="3"/>
    <x v="2"/>
    <s v="Invoice"/>
    <s v="98949"/>
    <x v="27"/>
    <x v="22"/>
    <x v="22"/>
    <x v="2"/>
    <n v="4.5075000000000003"/>
  </r>
  <r>
    <s v="DPOPPELL"/>
    <s v="04"/>
    <s v="MIDWAYF"/>
    <s v="NURSERY"/>
    <x v="338"/>
    <x v="3"/>
    <x v="2"/>
    <s v="Invoice"/>
    <s v="98950"/>
    <x v="27"/>
    <x v="22"/>
    <x v="22"/>
    <x v="2"/>
    <n v="4.5149999999999997"/>
  </r>
  <r>
    <s v="DPOPPELL"/>
    <s v="04"/>
    <s v="EWSIMMON"/>
    <s v="JERRY SMITH RD"/>
    <x v="338"/>
    <x v="3"/>
    <x v="2"/>
    <s v="Invoice"/>
    <s v="98952"/>
    <x v="386"/>
    <x v="339"/>
    <x v="22"/>
    <x v="2"/>
    <n v="10.02"/>
  </r>
  <r>
    <s v="DPOPPELL"/>
    <s v="04"/>
    <s v="EWSIMMON"/>
    <s v="JERRY SMITH RD"/>
    <x v="338"/>
    <x v="3"/>
    <x v="2"/>
    <s v="Invoice"/>
    <s v="98952"/>
    <x v="357"/>
    <x v="317"/>
    <x v="25"/>
    <x v="0"/>
    <n v="3.75"/>
  </r>
  <r>
    <s v="DPOPPELL"/>
    <s v="04"/>
    <s v="FCFARMS"/>
    <s v="GALLAGHER"/>
    <x v="338"/>
    <x v="3"/>
    <x v="2"/>
    <s v="Invoice"/>
    <s v="98953"/>
    <x v="69"/>
    <x v="62"/>
    <x v="22"/>
    <x v="2"/>
    <n v="2.4900000000000002"/>
  </r>
  <r>
    <s v="DPOPPELL"/>
    <s v="04"/>
    <s v="LAWSONFA"/>
    <s v="CARUTHERS RD."/>
    <x v="338"/>
    <x v="3"/>
    <x v="2"/>
    <s v="Invoice"/>
    <s v="98954"/>
    <x v="28"/>
    <x v="23"/>
    <x v="22"/>
    <x v="2"/>
    <n v="0.76"/>
  </r>
  <r>
    <s v="DPOPPELL"/>
    <s v="04"/>
    <s v="LAWSONFA"/>
    <s v="CARUTHERS RD."/>
    <x v="338"/>
    <x v="3"/>
    <x v="2"/>
    <s v="Invoice"/>
    <s v="98955"/>
    <x v="42"/>
    <x v="37"/>
    <x v="30"/>
    <x v="0"/>
    <n v="5"/>
  </r>
  <r>
    <s v="DPOPPELL"/>
    <s v="04"/>
    <s v="IFASGULF"/>
    <s v="BALM-STRAWBERRY"/>
    <x v="335"/>
    <x v="3"/>
    <x v="2"/>
    <s v="Invoice"/>
    <s v="98956"/>
    <x v="28"/>
    <x v="23"/>
    <x v="22"/>
    <x v="2"/>
    <n v="7.5"/>
  </r>
  <r>
    <s v="DPOPPELL"/>
    <s v="04"/>
    <s v="MENDOZAHEC"/>
    <s v="HWY60"/>
    <x v="335"/>
    <x v="3"/>
    <x v="2"/>
    <s v="Invoice"/>
    <s v="98957"/>
    <x v="27"/>
    <x v="22"/>
    <x v="22"/>
    <x v="2"/>
    <n v="5"/>
  </r>
  <r>
    <s v="DPOPPELL"/>
    <s v="04"/>
    <s v="FORTGREENFARMS"/>
    <s v="FTGREEN"/>
    <x v="335"/>
    <x v="3"/>
    <x v="2"/>
    <s v="Invoice"/>
    <s v="98958"/>
    <x v="58"/>
    <x v="51"/>
    <x v="22"/>
    <x v="2"/>
    <n v="5"/>
  </r>
  <r>
    <s v="DPOPPELL"/>
    <s v="04"/>
    <s v="MIDWAYF"/>
    <s v="KNIGHTSGRIFFIN"/>
    <x v="335"/>
    <x v="3"/>
    <x v="2"/>
    <s v="Invoice"/>
    <s v="98961"/>
    <x v="27"/>
    <x v="22"/>
    <x v="22"/>
    <x v="2"/>
    <n v="2.5"/>
  </r>
  <r>
    <s v="DPOPPELL"/>
    <s v="04"/>
    <s v="PALMAJOSE"/>
    <s v="JAUDON RD"/>
    <x v="335"/>
    <x v="3"/>
    <x v="2"/>
    <s v="Invoice"/>
    <s v="98962"/>
    <x v="56"/>
    <x v="49"/>
    <x v="22"/>
    <x v="2"/>
    <n v="1.5"/>
  </r>
  <r>
    <s v="DPOPPELL"/>
    <s v="04"/>
    <s v="MANUELCH"/>
    <s v="MAILING"/>
    <x v="335"/>
    <x v="3"/>
    <x v="2"/>
    <s v="Invoice"/>
    <s v="98963"/>
    <x v="105"/>
    <x v="97"/>
    <x v="16"/>
    <x v="0"/>
    <n v="60"/>
  </r>
  <r>
    <s v="DPOPPELL"/>
    <s v="04"/>
    <s v="MANUELCH"/>
    <s v="HWY 39"/>
    <x v="335"/>
    <x v="3"/>
    <x v="2"/>
    <s v="Invoice"/>
    <s v="98964"/>
    <x v="102"/>
    <x v="71"/>
    <x v="100"/>
    <x v="0"/>
    <n v="250"/>
  </r>
  <r>
    <s v="DPOPPELL"/>
    <s v="04"/>
    <s v="SWEETLIFE"/>
    <s v="KNIGHTS GRIFFIN"/>
    <x v="335"/>
    <x v="3"/>
    <x v="2"/>
    <s v="Invoice"/>
    <s v="98966"/>
    <x v="395"/>
    <x v="157"/>
    <x v="49"/>
    <x v="0"/>
    <n v="500"/>
  </r>
  <r>
    <s v="DPOPPELL"/>
    <s v="04"/>
    <s v="CIRCLEGF&amp;R LLC"/>
    <s v="BARN - HUNTER R"/>
    <x v="335"/>
    <x v="3"/>
    <x v="2"/>
    <s v="Invoice"/>
    <s v="98967"/>
    <x v="396"/>
    <x v="157"/>
    <x v="49"/>
    <x v="0"/>
    <n v="100"/>
  </r>
  <r>
    <s v="DPOPPELL"/>
    <s v="04"/>
    <s v="CHARLIEG-LLC"/>
    <s v="DAIRY"/>
    <x v="335"/>
    <x v="3"/>
    <x v="2"/>
    <s v="Invoice"/>
    <s v="98968"/>
    <x v="396"/>
    <x v="157"/>
    <x v="49"/>
    <x v="0"/>
    <n v="75"/>
  </r>
  <r>
    <s v="DPOPPELL"/>
    <s v="04"/>
    <s v="KATHLEEN FARMS"/>
    <s v="PACKING HOUSE"/>
    <x v="335"/>
    <x v="3"/>
    <x v="2"/>
    <s v="Invoice"/>
    <s v="98969"/>
    <x v="396"/>
    <x v="157"/>
    <x v="49"/>
    <x v="0"/>
    <n v="90"/>
  </r>
  <r>
    <s v="DPOPPELL"/>
    <s v="04"/>
    <s v="CHAVEZJOR"/>
    <s v="JOSE' CHAV- COD"/>
    <x v="335"/>
    <x v="3"/>
    <x v="2"/>
    <s v="Invoice"/>
    <s v="98970"/>
    <x v="53"/>
    <x v="46"/>
    <x v="22"/>
    <x v="2"/>
    <n v="0.15"/>
  </r>
  <r>
    <s v="DPOPPELL"/>
    <s v="04"/>
    <s v="MIDWAYF"/>
    <s v="ALS - SOUTH"/>
    <x v="335"/>
    <x v="3"/>
    <x v="2"/>
    <s v="Invoice"/>
    <s v="98971"/>
    <x v="27"/>
    <x v="22"/>
    <x v="22"/>
    <x v="2"/>
    <n v="2.5125000000000002"/>
  </r>
  <r>
    <s v="DPOPPELL"/>
    <s v="04"/>
    <s v="MIDWAYF"/>
    <s v="ALS - NORTH"/>
    <x v="335"/>
    <x v="3"/>
    <x v="2"/>
    <s v="Invoice"/>
    <s v="98976"/>
    <x v="27"/>
    <x v="22"/>
    <x v="22"/>
    <x v="2"/>
    <n v="5.0075000000000003"/>
  </r>
  <r>
    <s v="DPOPPELL"/>
    <s v="04"/>
    <s v="SWEETLIFE"/>
    <s v="GALLAGHER"/>
    <x v="335"/>
    <x v="3"/>
    <x v="2"/>
    <s v="Invoice"/>
    <s v="98977"/>
    <x v="27"/>
    <x v="22"/>
    <x v="22"/>
    <x v="2"/>
    <n v="10.01"/>
  </r>
  <r>
    <s v="DPOPPELL"/>
    <s v="04"/>
    <s v="MIDWAYF"/>
    <s v="SAMALLEN"/>
    <x v="335"/>
    <x v="3"/>
    <x v="2"/>
    <s v="Invoice"/>
    <s v="98978"/>
    <x v="27"/>
    <x v="22"/>
    <x v="22"/>
    <x v="2"/>
    <n v="7.0125000000000002"/>
  </r>
  <r>
    <s v="DPOPPELL"/>
    <s v="04"/>
    <s v="MIDWAYF"/>
    <s v="NURSERY"/>
    <x v="327"/>
    <x v="3"/>
    <x v="2"/>
    <s v="Invoice"/>
    <s v="98979"/>
    <x v="396"/>
    <x v="157"/>
    <x v="49"/>
    <x v="0"/>
    <n v="145"/>
  </r>
  <r>
    <s v="DPOPPELL"/>
    <s v="04"/>
    <s v="ELIASCEDILLO"/>
    <s v="LITHIA"/>
    <x v="327"/>
    <x v="3"/>
    <x v="2"/>
    <s v="Invoice"/>
    <s v="98980"/>
    <x v="58"/>
    <x v="51"/>
    <x v="22"/>
    <x v="2"/>
    <n v="2.5"/>
  </r>
  <r>
    <s v="DPOPPELL"/>
    <s v="04"/>
    <s v="FRANKLIN"/>
    <s v="MCGEE RD. NORTH"/>
    <x v="327"/>
    <x v="3"/>
    <x v="2"/>
    <s v="Invoice"/>
    <s v="98982"/>
    <x v="28"/>
    <x v="23"/>
    <x v="22"/>
    <x v="2"/>
    <n v="9.0050000000000008"/>
  </r>
  <r>
    <s v="DPOPPELL"/>
    <s v="04"/>
    <s v="MIDWAYF"/>
    <s v="WILLIAMS RD-N"/>
    <x v="328"/>
    <x v="3"/>
    <x v="2"/>
    <s v="Invoice"/>
    <s v="98989"/>
    <x v="396"/>
    <x v="157"/>
    <x v="49"/>
    <x v="0"/>
    <n v="5"/>
  </r>
  <r>
    <s v="DPOPPELL"/>
    <s v="04"/>
    <s v="COLORFULH"/>
    <s v="TRAPNELL RD."/>
    <x v="328"/>
    <x v="3"/>
    <x v="2"/>
    <s v="Invoice"/>
    <s v="98990"/>
    <x v="396"/>
    <x v="157"/>
    <x v="49"/>
    <x v="0"/>
    <n v="75"/>
  </r>
  <r>
    <s v="DPOPPELL"/>
    <s v="04"/>
    <s v="COLORFULH"/>
    <s v="TRAPNELL RD."/>
    <x v="328"/>
    <x v="3"/>
    <x v="2"/>
    <s v="Invoice"/>
    <s v="98991"/>
    <x v="396"/>
    <x v="157"/>
    <x v="49"/>
    <x v="0"/>
    <n v="10"/>
  </r>
  <r>
    <s v="DPOPPELL"/>
    <s v="04"/>
    <s v="GAONA, ESPER"/>
    <s v="WILLIAMSRD"/>
    <x v="328"/>
    <x v="3"/>
    <x v="2"/>
    <s v="Invoice"/>
    <s v="98992"/>
    <x v="28"/>
    <x v="23"/>
    <x v="22"/>
    <x v="2"/>
    <n v="3.5"/>
  </r>
  <r>
    <s v="DPOPPELL"/>
    <s v="04"/>
    <s v="PARKESDA"/>
    <s v="HILL"/>
    <x v="328"/>
    <x v="3"/>
    <x v="2"/>
    <s v="Invoice"/>
    <s v="98993"/>
    <x v="65"/>
    <x v="58"/>
    <x v="22"/>
    <x v="2"/>
    <n v="10.0075"/>
  </r>
  <r>
    <s v="DPOPPELL"/>
    <s v="04"/>
    <s v="CENFLO ORGANICS"/>
    <s v="HWY92"/>
    <x v="328"/>
    <x v="3"/>
    <x v="2"/>
    <s v="Invoice"/>
    <s v="98997"/>
    <x v="65"/>
    <x v="58"/>
    <x v="22"/>
    <x v="2"/>
    <n v="5"/>
  </r>
  <r>
    <s v="DPOPPELL"/>
    <s v="04"/>
    <s v="ALONSOFARMS"/>
    <s v="WIMAUMA"/>
    <x v="346"/>
    <x v="3"/>
    <x v="2"/>
    <s v="Invoice"/>
    <s v="99000"/>
    <x v="28"/>
    <x v="23"/>
    <x v="22"/>
    <x v="2"/>
    <n v="2.5"/>
  </r>
  <r>
    <s v="DPOPPELL"/>
    <s v="04"/>
    <s v="SWEETLIFE"/>
    <s v="SWINDLES"/>
    <x v="346"/>
    <x v="3"/>
    <x v="2"/>
    <s v="Invoice"/>
    <s v="99002"/>
    <x v="27"/>
    <x v="22"/>
    <x v="22"/>
    <x v="2"/>
    <n v="15.01"/>
  </r>
  <r>
    <s v="DPOPPELL"/>
    <s v="04"/>
    <s v="BEAUCHAMP"/>
    <s v="GALLAGHER"/>
    <x v="346"/>
    <x v="3"/>
    <x v="2"/>
    <s v="Invoice"/>
    <s v="99003"/>
    <x v="50"/>
    <x v="43"/>
    <x v="22"/>
    <x v="2"/>
    <n v="5.0125000000000002"/>
  </r>
  <r>
    <s v="DPOPPELL"/>
    <s v="04"/>
    <s v="MIDWAYF"/>
    <s v="WILLIAMS RD-N"/>
    <x v="346"/>
    <x v="3"/>
    <x v="2"/>
    <s v="Invoice"/>
    <s v="99004"/>
    <x v="27"/>
    <x v="22"/>
    <x v="22"/>
    <x v="2"/>
    <n v="2"/>
  </r>
  <r>
    <s v="DPOPPELL"/>
    <s v="04"/>
    <s v="THREESTA"/>
    <s v="WALDEN-SHEFFIEL"/>
    <x v="346"/>
    <x v="3"/>
    <x v="2"/>
    <s v="Invoice"/>
    <s v="99005"/>
    <x v="377"/>
    <x v="331"/>
    <x v="22"/>
    <x v="2"/>
    <n v="10.0075"/>
  </r>
  <r>
    <s v="DPOPPELL"/>
    <s v="04"/>
    <s v="FAVORITE"/>
    <s v="MCINTOSH ROAD"/>
    <x v="346"/>
    <x v="3"/>
    <x v="2"/>
    <s v="Invoice"/>
    <s v="99006"/>
    <x v="28"/>
    <x v="23"/>
    <x v="22"/>
    <x v="2"/>
    <n v="15.0075"/>
  </r>
  <r>
    <s v="DPOPPELL"/>
    <s v="04"/>
    <s v="SWEETLIFE"/>
    <s v="BRYANT S"/>
    <x v="346"/>
    <x v="3"/>
    <x v="2"/>
    <s v="Invoice"/>
    <s v="99007"/>
    <x v="27"/>
    <x v="22"/>
    <x v="22"/>
    <x v="2"/>
    <n v="7.5"/>
  </r>
  <r>
    <s v="DPOPPELL"/>
    <s v="04"/>
    <s v="CARLTONTHOMAS"/>
    <s v="GRANGEHALL"/>
    <x v="346"/>
    <x v="3"/>
    <x v="2"/>
    <s v="Invoice"/>
    <s v="99008"/>
    <x v="71"/>
    <x v="64"/>
    <x v="22"/>
    <x v="2"/>
    <n v="15.022500000000001"/>
  </r>
  <r>
    <s v="DPOPPELL"/>
    <s v="04"/>
    <s v="FANCYFAR"/>
    <s v="CASON1"/>
    <x v="346"/>
    <x v="3"/>
    <x v="2"/>
    <s v="Invoice"/>
    <s v="99009"/>
    <x v="27"/>
    <x v="22"/>
    <x v="22"/>
    <x v="2"/>
    <n v="5"/>
  </r>
  <r>
    <s v="DPOPPELL"/>
    <s v="04"/>
    <s v="M&amp;GFARMS"/>
    <s v="RED BARN"/>
    <x v="346"/>
    <x v="3"/>
    <x v="2"/>
    <s v="Invoice"/>
    <s v="99010"/>
    <x v="28"/>
    <x v="23"/>
    <x v="22"/>
    <x v="2"/>
    <n v="8.0150000000000006"/>
  </r>
  <r>
    <s v="DPOPPELL"/>
    <s v="04"/>
    <s v="GAONA, ESPER"/>
    <s v="STRAUSS RD."/>
    <x v="346"/>
    <x v="3"/>
    <x v="2"/>
    <s v="Invoice"/>
    <s v="99011"/>
    <x v="28"/>
    <x v="23"/>
    <x v="22"/>
    <x v="2"/>
    <n v="3.4874999999999998"/>
  </r>
  <r>
    <s v="DPOPPELL"/>
    <s v="04"/>
    <s v="MIDWAYF"/>
    <s v="WILDER RD."/>
    <x v="346"/>
    <x v="3"/>
    <x v="2"/>
    <s v="Invoice"/>
    <s v="99012"/>
    <x v="27"/>
    <x v="22"/>
    <x v="22"/>
    <x v="2"/>
    <n v="7.01"/>
  </r>
  <r>
    <s v="DPOPPELL"/>
    <s v="04"/>
    <s v="G&amp;CAGVENTURES"/>
    <s v="FTMEADE"/>
    <x v="336"/>
    <x v="3"/>
    <x v="2"/>
    <s v="Invoice"/>
    <s v="99013"/>
    <x v="396"/>
    <x v="157"/>
    <x v="49"/>
    <x v="0"/>
    <n v="40"/>
  </r>
  <r>
    <s v="DPOPPELL"/>
    <s v="04"/>
    <s v="JOEPENA"/>
    <s v="HWY 92"/>
    <x v="336"/>
    <x v="3"/>
    <x v="2"/>
    <s v="Invoice"/>
    <s v="99019"/>
    <x v="114"/>
    <x v="101"/>
    <x v="22"/>
    <x v="2"/>
    <n v="1"/>
  </r>
  <r>
    <s v="DPOPPELL"/>
    <s v="04"/>
    <s v="FANCYFAR"/>
    <s v="VOLVO"/>
    <x v="336"/>
    <x v="3"/>
    <x v="2"/>
    <s v="Invoice"/>
    <s v="99020"/>
    <x v="27"/>
    <x v="22"/>
    <x v="22"/>
    <x v="2"/>
    <n v="5.0075000000000003"/>
  </r>
  <r>
    <s v="DPOPPELL"/>
    <s v="04"/>
    <s v="GUTIERREZA"/>
    <s v="DUETTE"/>
    <x v="336"/>
    <x v="3"/>
    <x v="2"/>
    <s v="Invoice"/>
    <s v="99021"/>
    <x v="59"/>
    <x v="52"/>
    <x v="22"/>
    <x v="2"/>
    <n v="7.02"/>
  </r>
  <r>
    <s v="DPOPPELL"/>
    <s v="04"/>
    <s v="FANCYFAR"/>
    <s v="CASON1"/>
    <x v="336"/>
    <x v="3"/>
    <x v="2"/>
    <s v="Invoice"/>
    <s v="99022"/>
    <x v="27"/>
    <x v="22"/>
    <x v="22"/>
    <x v="2"/>
    <n v="10.015000000000001"/>
  </r>
  <r>
    <s v="DPOPPELL"/>
    <s v="04"/>
    <s v="SWEETLIFE"/>
    <s v="KNIGHTS GRIFFIN"/>
    <x v="336"/>
    <x v="3"/>
    <x v="2"/>
    <s v="Invoice"/>
    <s v="99023"/>
    <x v="27"/>
    <x v="22"/>
    <x v="22"/>
    <x v="2"/>
    <n v="20.012499999999999"/>
  </r>
  <r>
    <s v="DPOPPELL"/>
    <s v="04"/>
    <s v="SPIVEYFA"/>
    <s v="HOPEWELL"/>
    <x v="336"/>
    <x v="3"/>
    <x v="2"/>
    <s v="Invoice"/>
    <s v="99024"/>
    <x v="56"/>
    <x v="49"/>
    <x v="22"/>
    <x v="2"/>
    <n v="3.4925000000000002"/>
  </r>
  <r>
    <s v="DPOPPELL"/>
    <s v="04"/>
    <s v="MARTINEZMIGUEL"/>
    <s v="MAIN"/>
    <x v="336"/>
    <x v="3"/>
    <x v="2"/>
    <s v="Invoice"/>
    <s v="99026"/>
    <x v="53"/>
    <x v="46"/>
    <x v="22"/>
    <x v="2"/>
    <n v="0.3"/>
  </r>
  <r>
    <s v="DPOPPELL"/>
    <s v="04"/>
    <s v="GUTIERREZA"/>
    <s v="DUETTE"/>
    <x v="329"/>
    <x v="3"/>
    <x v="2"/>
    <s v="Invoice"/>
    <s v="99028"/>
    <x v="59"/>
    <x v="52"/>
    <x v="22"/>
    <x v="2"/>
    <n v="5.0049999999999999"/>
  </r>
  <r>
    <s v="DPOPPELL"/>
    <s v="04"/>
    <s v="GUTIERREZA"/>
    <s v="DUETTE"/>
    <x v="329"/>
    <x v="3"/>
    <x v="2"/>
    <s v="Invoice"/>
    <s v="99029"/>
    <x v="59"/>
    <x v="52"/>
    <x v="22"/>
    <x v="2"/>
    <n v="10.0075"/>
  </r>
  <r>
    <s v="DPOPPELL"/>
    <s v="04"/>
    <s v="CHARLIEG-LLC"/>
    <s v="LAMPP ROAD"/>
    <x v="329"/>
    <x v="3"/>
    <x v="2"/>
    <s v="Invoice"/>
    <s v="99031"/>
    <x v="27"/>
    <x v="22"/>
    <x v="22"/>
    <x v="2"/>
    <n v="15.02"/>
  </r>
  <r>
    <s v="DPOPPELL"/>
    <s v="04"/>
    <s v="LEE GILLM"/>
    <s v="COW PENS/WEST"/>
    <x v="329"/>
    <x v="3"/>
    <x v="2"/>
    <s v="Invoice"/>
    <s v="99033"/>
    <x v="63"/>
    <x v="56"/>
    <x v="22"/>
    <x v="2"/>
    <n v="5"/>
  </r>
  <r>
    <s v="DPOPPELL"/>
    <s v="04"/>
    <s v="DESHONGK"/>
    <s v="KNIGHTS/SCHOOL"/>
    <x v="329"/>
    <x v="3"/>
    <x v="2"/>
    <s v="Invoice"/>
    <s v="99034"/>
    <x v="43"/>
    <x v="38"/>
    <x v="22"/>
    <x v="2"/>
    <n v="6.01"/>
  </r>
  <r>
    <s v=""/>
    <s v="04"/>
    <s v="SOTERO"/>
    <s v="SOTERO"/>
    <x v="329"/>
    <x v="3"/>
    <x v="2"/>
    <s v="Invoice"/>
    <s v="99035"/>
    <x v="53"/>
    <x v="46"/>
    <x v="22"/>
    <x v="2"/>
    <n v="0.75"/>
  </r>
  <r>
    <s v="DPOPPELL"/>
    <s v="04"/>
    <s v="G&amp;CAGVENTURES"/>
    <s v="FTMEADE"/>
    <x v="329"/>
    <x v="3"/>
    <x v="2"/>
    <s v="Invoice"/>
    <s v="99036"/>
    <x v="396"/>
    <x v="157"/>
    <x v="49"/>
    <x v="0"/>
    <n v="50"/>
  </r>
  <r>
    <s v="DPOPPELL"/>
    <s v="04"/>
    <s v="CHARLIEG-LLC"/>
    <s v="DAIRY"/>
    <x v="329"/>
    <x v="3"/>
    <x v="2"/>
    <s v="Invoice"/>
    <s v="99039"/>
    <x v="27"/>
    <x v="22"/>
    <x v="22"/>
    <x v="2"/>
    <n v="7.5"/>
  </r>
  <r>
    <s v="DPOPPELL"/>
    <s v="04"/>
    <s v="CIRCLEGF&amp;R LLC"/>
    <s v="KNIGHTS-N-#12"/>
    <x v="329"/>
    <x v="3"/>
    <x v="2"/>
    <s v="Invoice"/>
    <s v="99040"/>
    <x v="27"/>
    <x v="22"/>
    <x v="22"/>
    <x v="2"/>
    <n v="5"/>
  </r>
  <r>
    <s v="DPOPPELL"/>
    <s v="04"/>
    <s v="LARRYENN"/>
    <s v="CASON ROAD"/>
    <x v="329"/>
    <x v="3"/>
    <x v="2"/>
    <s v="Invoice"/>
    <s v="99041"/>
    <x v="58"/>
    <x v="51"/>
    <x v="22"/>
    <x v="2"/>
    <n v="2"/>
  </r>
  <r>
    <s v="DPOPPELL"/>
    <s v="04"/>
    <s v="STRAWBERRYR"/>
    <s v="RANCH 2"/>
    <x v="339"/>
    <x v="3"/>
    <x v="2"/>
    <s v="Invoice"/>
    <s v="99042"/>
    <x v="377"/>
    <x v="331"/>
    <x v="22"/>
    <x v="2"/>
    <n v="15.0275"/>
  </r>
  <r>
    <s v="DPOPPELL"/>
    <s v="04"/>
    <s v="STRAWBERRYR"/>
    <s v="RANCH 2"/>
    <x v="339"/>
    <x v="3"/>
    <x v="2"/>
    <s v="Invoice"/>
    <s v="99042"/>
    <x v="357"/>
    <x v="317"/>
    <x v="25"/>
    <x v="0"/>
    <n v="5.625"/>
  </r>
  <r>
    <s v="DPOPPELL"/>
    <s v="04"/>
    <s v="MIDWAYF"/>
    <s v="FORBES"/>
    <x v="339"/>
    <x v="3"/>
    <x v="2"/>
    <s v="Invoice"/>
    <s v="99043"/>
    <x v="27"/>
    <x v="22"/>
    <x v="22"/>
    <x v="2"/>
    <n v="4.25"/>
  </r>
  <r>
    <s v="DPOPPELL"/>
    <s v="04"/>
    <s v="MENDOZAHEC"/>
    <s v="LONEOAK"/>
    <x v="339"/>
    <x v="3"/>
    <x v="2"/>
    <s v="Invoice"/>
    <s v="99044"/>
    <x v="27"/>
    <x v="22"/>
    <x v="22"/>
    <x v="2"/>
    <n v="6.75"/>
  </r>
  <r>
    <s v="DPOPPELL"/>
    <s v="04"/>
    <s v="SYDNEYFA"/>
    <s v="FORBES/NORTH"/>
    <x v="339"/>
    <x v="3"/>
    <x v="2"/>
    <s v="Invoice"/>
    <s v="99045"/>
    <x v="377"/>
    <x v="331"/>
    <x v="22"/>
    <x v="2"/>
    <n v="7.5"/>
  </r>
  <r>
    <s v="DPOPPELL"/>
    <s v="04"/>
    <s v="GUTIERREZA"/>
    <s v="WASHINGTON"/>
    <x v="339"/>
    <x v="3"/>
    <x v="2"/>
    <s v="Invoice"/>
    <s v="99051"/>
    <x v="58"/>
    <x v="51"/>
    <x v="22"/>
    <x v="2"/>
    <n v="9"/>
  </r>
  <r>
    <s v="DPOPPELL"/>
    <s v="04"/>
    <s v="GUTIERREZDAN"/>
    <s v="GLENHARWELL 133"/>
    <x v="340"/>
    <x v="3"/>
    <x v="2"/>
    <s v="Invoice"/>
    <s v="99052"/>
    <x v="73"/>
    <x v="66"/>
    <x v="22"/>
    <x v="2"/>
    <n v="8.5"/>
  </r>
  <r>
    <s v=""/>
    <s v="04"/>
    <s v="PORTER HA"/>
    <s v="BILLS PLACE"/>
    <x v="340"/>
    <x v="3"/>
    <x v="2"/>
    <s v="Invoice"/>
    <s v="99053"/>
    <x v="27"/>
    <x v="22"/>
    <x v="22"/>
    <x v="2"/>
    <n v="5.0075000000000003"/>
  </r>
  <r>
    <s v="DPOPPELL"/>
    <s v="04"/>
    <s v="EWSIMMON"/>
    <s v="MUD LK-BLUEBERR"/>
    <x v="340"/>
    <x v="3"/>
    <x v="2"/>
    <s v="Invoice"/>
    <s v="99054"/>
    <x v="386"/>
    <x v="339"/>
    <x v="22"/>
    <x v="2"/>
    <n v="5.0049999999999999"/>
  </r>
  <r>
    <s v="DPOPPELL"/>
    <s v="04"/>
    <s v="EWSIMMON"/>
    <s v="MUD LK-BLUEBERR"/>
    <x v="340"/>
    <x v="3"/>
    <x v="2"/>
    <s v="Invoice"/>
    <s v="99054"/>
    <x v="357"/>
    <x v="317"/>
    <x v="25"/>
    <x v="0"/>
    <n v="1.875"/>
  </r>
  <r>
    <s v="DPOPPELL"/>
    <s v="04"/>
    <s v="JOSEHERN"/>
    <s v="SPARKMAN"/>
    <x v="340"/>
    <x v="3"/>
    <x v="2"/>
    <s v="Invoice"/>
    <s v="99055"/>
    <x v="58"/>
    <x v="51"/>
    <x v="22"/>
    <x v="2"/>
    <n v="10.005000000000001"/>
  </r>
  <r>
    <s v="DPOPPELL"/>
    <s v="04"/>
    <s v="JOSEHERN"/>
    <s v="SPARKMAN"/>
    <x v="340"/>
    <x v="3"/>
    <x v="2"/>
    <s v="Invoice"/>
    <s v="99055"/>
    <x v="357"/>
    <x v="317"/>
    <x v="25"/>
    <x v="0"/>
    <n v="3.75"/>
  </r>
  <r>
    <s v="DPOPPELL"/>
    <s v="04"/>
    <s v="KATHLEEN FARMS"/>
    <s v="BY THE SCHOOL"/>
    <x v="340"/>
    <x v="3"/>
    <x v="2"/>
    <s v="Invoice"/>
    <s v="99061"/>
    <x v="396"/>
    <x v="157"/>
    <x v="49"/>
    <x v="0"/>
    <n v="60"/>
  </r>
  <r>
    <s v="DPOPPELL"/>
    <s v="04"/>
    <s v="JOEPENA"/>
    <s v="JIMREDMAN"/>
    <x v="341"/>
    <x v="3"/>
    <x v="2"/>
    <s v="Invoice"/>
    <s v="99062"/>
    <x v="55"/>
    <x v="48"/>
    <x v="22"/>
    <x v="2"/>
    <n v="0.75"/>
  </r>
  <r>
    <s v="DPOPPELL"/>
    <s v="04"/>
    <s v="HINTONFA"/>
    <s v="MAILING"/>
    <x v="340"/>
    <x v="3"/>
    <x v="2"/>
    <s v="Invoice"/>
    <s v="99063"/>
    <x v="154"/>
    <x v="136"/>
    <x v="22"/>
    <x v="2"/>
    <n v="9.0124999999999993"/>
  </r>
  <r>
    <s v="DPOPPELL"/>
    <s v="04"/>
    <s v="M&amp;GFARMS"/>
    <s v="ALLENRD"/>
    <x v="340"/>
    <x v="3"/>
    <x v="2"/>
    <s v="Invoice"/>
    <s v="99064"/>
    <x v="28"/>
    <x v="23"/>
    <x v="22"/>
    <x v="2"/>
    <n v="10.0075"/>
  </r>
  <r>
    <s v="DPOPPELL"/>
    <s v="04"/>
    <s v="MIDWAYF"/>
    <s v="FRAZIER"/>
    <x v="341"/>
    <x v="3"/>
    <x v="2"/>
    <s v="Invoice"/>
    <s v="99072"/>
    <x v="27"/>
    <x v="22"/>
    <x v="22"/>
    <x v="2"/>
    <n v="14.5"/>
  </r>
  <r>
    <s v="DPOPPELL"/>
    <s v="04"/>
    <s v="ELIASCEDILLO"/>
    <s v="GALLAGHER"/>
    <x v="341"/>
    <x v="3"/>
    <x v="2"/>
    <s v="Invoice"/>
    <s v="99074"/>
    <x v="58"/>
    <x v="51"/>
    <x v="22"/>
    <x v="2"/>
    <n v="1.25"/>
  </r>
  <r>
    <s v="DPOPPELL"/>
    <s v="04"/>
    <s v="FORTGREENFARMS"/>
    <s v="FTGREEN"/>
    <x v="341"/>
    <x v="3"/>
    <x v="2"/>
    <s v="Invoice"/>
    <s v="99075"/>
    <x v="58"/>
    <x v="51"/>
    <x v="22"/>
    <x v="2"/>
    <n v="7.5"/>
  </r>
  <r>
    <s v="DPOPPELL"/>
    <s v="04"/>
    <s v="SRISAIAY"/>
    <s v="SYDNEY DOVER"/>
    <x v="341"/>
    <x v="3"/>
    <x v="2"/>
    <s v="Invoice"/>
    <s v="99076"/>
    <x v="27"/>
    <x v="22"/>
    <x v="22"/>
    <x v="2"/>
    <n v="6.25"/>
  </r>
  <r>
    <s v="DPOPPELL"/>
    <s v="04"/>
    <s v="DURGAFARMS"/>
    <s v="SYDNEYDOVER"/>
    <x v="341"/>
    <x v="3"/>
    <x v="2"/>
    <s v="Invoice"/>
    <s v="99077"/>
    <x v="27"/>
    <x v="22"/>
    <x v="22"/>
    <x v="2"/>
    <n v="5"/>
  </r>
  <r>
    <s v="DPOPPELL"/>
    <s v="04"/>
    <s v="MIDWAYF"/>
    <s v="ALS - NORTH"/>
    <x v="341"/>
    <x v="3"/>
    <x v="2"/>
    <s v="Invoice"/>
    <s v="99078"/>
    <x v="27"/>
    <x v="22"/>
    <x v="22"/>
    <x v="2"/>
    <n v="4.5125000000000002"/>
  </r>
  <r>
    <s v="DPOPPELL"/>
    <s v="04"/>
    <s v="THREESTA"/>
    <s v="WALDEN-SHEFFIEL"/>
    <x v="347"/>
    <x v="3"/>
    <x v="2"/>
    <s v="Invoice"/>
    <s v="99079"/>
    <x v="377"/>
    <x v="331"/>
    <x v="22"/>
    <x v="2"/>
    <n v="10"/>
  </r>
  <r>
    <s v="DPOPPELL"/>
    <s v="04"/>
    <s v="THREESTA"/>
    <s v="WALDEN-SHEFFIEL"/>
    <x v="347"/>
    <x v="3"/>
    <x v="2"/>
    <s v="Invoice"/>
    <s v="99079"/>
    <x v="357"/>
    <x v="317"/>
    <x v="25"/>
    <x v="0"/>
    <n v="3.75"/>
  </r>
  <r>
    <s v="DPOPPELL"/>
    <s v="04"/>
    <s v="LEE GILLM"/>
    <s v="THONOTOSASSA"/>
    <x v="347"/>
    <x v="3"/>
    <x v="2"/>
    <s v="Invoice"/>
    <s v="99080"/>
    <x v="63"/>
    <x v="56"/>
    <x v="22"/>
    <x v="2"/>
    <n v="2.5"/>
  </r>
  <r>
    <s v="DPOPPELL"/>
    <s v="04"/>
    <s v="CHARLIEG-LLC"/>
    <s v="ALBRITTON"/>
    <x v="347"/>
    <x v="3"/>
    <x v="2"/>
    <s v="Invoice"/>
    <s v="99083"/>
    <x v="27"/>
    <x v="22"/>
    <x v="22"/>
    <x v="2"/>
    <n v="15.015000000000001"/>
  </r>
  <r>
    <s v="DPOPPELL"/>
    <s v="04"/>
    <s v="SWEETLIFE"/>
    <s v="SAMALLEN-SOUTH"/>
    <x v="347"/>
    <x v="3"/>
    <x v="2"/>
    <s v="Invoice"/>
    <s v="99084"/>
    <x v="27"/>
    <x v="22"/>
    <x v="22"/>
    <x v="2"/>
    <n v="15.0075"/>
  </r>
  <r>
    <s v="DPOPPELL"/>
    <s v="04"/>
    <s v="M&amp;GFARMS"/>
    <s v="HWY 640"/>
    <x v="347"/>
    <x v="3"/>
    <x v="2"/>
    <s v="Invoice"/>
    <s v="99086"/>
    <x v="58"/>
    <x v="51"/>
    <x v="22"/>
    <x v="2"/>
    <n v="2.4925000000000002"/>
  </r>
  <r>
    <s v="DPOPPELL"/>
    <s v="04"/>
    <s v="FERRISFA"/>
    <s v="STRABERRIES"/>
    <x v="347"/>
    <x v="3"/>
    <x v="2"/>
    <s v="Invoice"/>
    <s v="99087"/>
    <x v="154"/>
    <x v="136"/>
    <x v="22"/>
    <x v="2"/>
    <n v="15.025"/>
  </r>
  <r>
    <s v="DPOPPELL"/>
    <s v="04"/>
    <s v="TWINFARMS"/>
    <s v="MAIN"/>
    <x v="330"/>
    <x v="3"/>
    <x v="2"/>
    <s v="Invoice"/>
    <s v="99090"/>
    <x v="5"/>
    <x v="72"/>
    <x v="4"/>
    <x v="0"/>
    <n v="5"/>
  </r>
  <r>
    <s v="DPOPPELL"/>
    <s v="04"/>
    <s v="TWINFARMS"/>
    <s v="MAIN"/>
    <x v="330"/>
    <x v="3"/>
    <x v="2"/>
    <s v="Invoice"/>
    <s v="99090"/>
    <x v="34"/>
    <x v="29"/>
    <x v="26"/>
    <x v="0"/>
    <n v="5"/>
  </r>
  <r>
    <s v="DPOPPELL"/>
    <s v="04"/>
    <s v="CARLTONTHOMAS"/>
    <s v="GRANGEHALL"/>
    <x v="330"/>
    <x v="3"/>
    <x v="2"/>
    <s v="Invoice"/>
    <s v="99091"/>
    <x v="71"/>
    <x v="64"/>
    <x v="22"/>
    <x v="2"/>
    <n v="15.01"/>
  </r>
  <r>
    <s v="DPOPPELL"/>
    <s v="04"/>
    <s v="SWEETLIFE"/>
    <s v="GALLAGHER"/>
    <x v="330"/>
    <x v="3"/>
    <x v="2"/>
    <s v="Invoice"/>
    <s v="99092"/>
    <x v="27"/>
    <x v="22"/>
    <x v="22"/>
    <x v="2"/>
    <n v="10.0075"/>
  </r>
  <r>
    <s v="DPOPPELL"/>
    <s v="04"/>
    <s v="SWEETLIFE"/>
    <s v="MCGEE RD."/>
    <x v="330"/>
    <x v="3"/>
    <x v="2"/>
    <s v="Invoice"/>
    <s v="99093"/>
    <x v="27"/>
    <x v="22"/>
    <x v="22"/>
    <x v="2"/>
    <n v="5"/>
  </r>
  <r>
    <s v="DPOPPELL"/>
    <s v="04"/>
    <s v="CIRCLEGF&amp;R LLC"/>
    <s v="KNIGHTS-N-#16"/>
    <x v="330"/>
    <x v="3"/>
    <x v="2"/>
    <s v="Invoice"/>
    <s v="99097"/>
    <x v="27"/>
    <x v="22"/>
    <x v="22"/>
    <x v="2"/>
    <n v="13.5"/>
  </r>
  <r>
    <s v="DPOPPELL"/>
    <s v="04"/>
    <s v="STRAWBERRYR"/>
    <s v="RANCH 1"/>
    <x v="330"/>
    <x v="3"/>
    <x v="2"/>
    <s v="Invoice"/>
    <s v="99098"/>
    <x v="377"/>
    <x v="331"/>
    <x v="22"/>
    <x v="2"/>
    <n v="15"/>
  </r>
  <r>
    <s v="DPOPPELL"/>
    <s v="04"/>
    <s v="STRAWBERRYR"/>
    <s v="RANCH 1"/>
    <x v="330"/>
    <x v="3"/>
    <x v="2"/>
    <s v="Invoice"/>
    <s v="99098"/>
    <x v="357"/>
    <x v="317"/>
    <x v="25"/>
    <x v="0"/>
    <n v="5.625"/>
  </r>
  <r>
    <s v="DPOPPELL"/>
    <s v="04"/>
    <s v="CIRCLEGF&amp;R LLC"/>
    <s v="PUMP4"/>
    <x v="330"/>
    <x v="3"/>
    <x v="2"/>
    <s v="Invoice"/>
    <s v="99099"/>
    <x v="27"/>
    <x v="22"/>
    <x v="22"/>
    <x v="2"/>
    <n v="13.5"/>
  </r>
  <r>
    <s v="DPOPPELL"/>
    <s v="04"/>
    <s v="BEAUCHAMP"/>
    <s v="GALLAGHER"/>
    <x v="330"/>
    <x v="3"/>
    <x v="2"/>
    <s v="Invoice"/>
    <s v="99100"/>
    <x v="50"/>
    <x v="43"/>
    <x v="22"/>
    <x v="2"/>
    <n v="9.01"/>
  </r>
  <r>
    <s v="DPOPPELL"/>
    <s v="04"/>
    <s v="SWEETFARMS"/>
    <s v="SPRINGHEAD"/>
    <x v="342"/>
    <x v="3"/>
    <x v="2"/>
    <s v="Invoice"/>
    <s v="99109"/>
    <x v="386"/>
    <x v="339"/>
    <x v="22"/>
    <x v="2"/>
    <n v="2"/>
  </r>
  <r>
    <s v="DPOPPELL"/>
    <s v="04"/>
    <s v="TWINFARMS"/>
    <s v="WIMAUMA"/>
    <x v="342"/>
    <x v="3"/>
    <x v="2"/>
    <s v="Invoice"/>
    <s v="99110"/>
    <x v="53"/>
    <x v="46"/>
    <x v="22"/>
    <x v="2"/>
    <n v="2"/>
  </r>
  <r>
    <s v="DPOPPELL"/>
    <s v="04"/>
    <s v="ALONSOFARMS"/>
    <s v="WIMAUMA"/>
    <x v="342"/>
    <x v="3"/>
    <x v="2"/>
    <s v="Invoice"/>
    <s v="99111"/>
    <x v="28"/>
    <x v="23"/>
    <x v="22"/>
    <x v="2"/>
    <n v="5"/>
  </r>
  <r>
    <s v="DPOPPELL"/>
    <s v="04"/>
    <s v="CIRCLEGF&amp;R LLC"/>
    <s v="KNIGHTS-N-#12"/>
    <x v="342"/>
    <x v="3"/>
    <x v="2"/>
    <s v="Invoice"/>
    <s v="99115"/>
    <x v="27"/>
    <x v="22"/>
    <x v="22"/>
    <x v="2"/>
    <n v="14"/>
  </r>
  <r>
    <s v="DPOPPELL"/>
    <s v="04"/>
    <s v="ALVAREZJ"/>
    <s v="SYDNEY RD"/>
    <x v="342"/>
    <x v="3"/>
    <x v="2"/>
    <s v="Invoice"/>
    <s v="99116"/>
    <x v="58"/>
    <x v="51"/>
    <x v="22"/>
    <x v="2"/>
    <n v="2"/>
  </r>
  <r>
    <s v="DPOPPELL"/>
    <s v="04"/>
    <s v="M&amp;GFARMS"/>
    <s v="HAREFAMILYLN"/>
    <x v="342"/>
    <x v="3"/>
    <x v="2"/>
    <s v="Invoice"/>
    <s v="99117"/>
    <x v="28"/>
    <x v="23"/>
    <x v="22"/>
    <x v="2"/>
    <n v="10"/>
  </r>
  <r>
    <s v="DPOPPELL"/>
    <s v="04"/>
    <s v="STEVEMAT"/>
    <s v="LOSTLK"/>
    <x v="342"/>
    <x v="3"/>
    <x v="2"/>
    <s v="Invoice"/>
    <s v="99118"/>
    <x v="140"/>
    <x v="72"/>
    <x v="4"/>
    <x v="0"/>
    <n v="500"/>
  </r>
  <r>
    <s v="DPOPPELL"/>
    <s v="04"/>
    <s v="GILLMANBUDD"/>
    <s v="BENNETT RD"/>
    <x v="342"/>
    <x v="3"/>
    <x v="2"/>
    <s v="Invoice"/>
    <s v="99119"/>
    <x v="43"/>
    <x v="38"/>
    <x v="22"/>
    <x v="2"/>
    <n v="1.5125"/>
  </r>
  <r>
    <s v="DPOPPELL"/>
    <s v="04"/>
    <s v="ALONSOFARMS"/>
    <s v="GALLAGHER"/>
    <x v="342"/>
    <x v="3"/>
    <x v="2"/>
    <s v="Invoice"/>
    <s v="99120"/>
    <x v="28"/>
    <x v="23"/>
    <x v="22"/>
    <x v="2"/>
    <n v="9.9949999999999992"/>
  </r>
  <r>
    <s v="HOUSE"/>
    <s v="05"/>
    <s v="CPSBOYNTON"/>
    <s v="BOYNTON BCH"/>
    <x v="327"/>
    <x v="3"/>
    <x v="2"/>
    <s v="Invoice"/>
    <s v="98973"/>
    <x v="101"/>
    <x v="21"/>
    <x v="21"/>
    <x v="0"/>
    <n v="360"/>
  </r>
  <r>
    <s v="HOUSE"/>
    <s v="05"/>
    <s v="CPSHOMES"/>
    <s v="HOMESTEAD"/>
    <x v="340"/>
    <x v="3"/>
    <x v="2"/>
    <s v="Invoice"/>
    <s v="99056"/>
    <x v="157"/>
    <x v="138"/>
    <x v="53"/>
    <x v="0"/>
    <n v="750"/>
  </r>
  <r>
    <s v="HOUSE"/>
    <s v="05"/>
    <s v="CPSHOMES"/>
    <s v="HOMESTEAD"/>
    <x v="342"/>
    <x v="3"/>
    <x v="2"/>
    <s v="Invoice"/>
    <s v="99107"/>
    <x v="157"/>
    <x v="138"/>
    <x v="53"/>
    <x v="0"/>
    <n v="1000"/>
  </r>
  <r>
    <s v=""/>
    <s v="07"/>
    <s v="BARNESFE"/>
    <s v="HASTINGS"/>
    <x v="332"/>
    <x v="3"/>
    <x v="2"/>
    <s v="Invoice"/>
    <s v="98854"/>
    <x v="397"/>
    <x v="344"/>
    <x v="102"/>
    <x v="0"/>
    <n v="360"/>
  </r>
  <r>
    <s v="CHEAD"/>
    <s v="07"/>
    <s v="UFPSUNIT"/>
    <s v="CITRA FARM"/>
    <x v="345"/>
    <x v="3"/>
    <x v="2"/>
    <s v="Invoice"/>
    <s v="98899"/>
    <x v="180"/>
    <x v="163"/>
    <x v="22"/>
    <x v="2"/>
    <n v="3.75"/>
  </r>
  <r>
    <s v="CHEAD"/>
    <s v="07"/>
    <s v="UFPSUNIT"/>
    <s v="CITRA FARM"/>
    <x v="345"/>
    <x v="3"/>
    <x v="2"/>
    <s v="Invoice"/>
    <s v="98900"/>
    <x v="36"/>
    <x v="31"/>
    <x v="4"/>
    <x v="0"/>
    <n v="30"/>
  </r>
  <r>
    <s v="CHEAD"/>
    <s v="07"/>
    <s v="TRIANGLE"/>
    <s v="ROWLANDCATTLE"/>
    <x v="345"/>
    <x v="3"/>
    <x v="2"/>
    <s v="Invoice"/>
    <s v="98903"/>
    <x v="244"/>
    <x v="218"/>
    <x v="22"/>
    <x v="2"/>
    <n v="1.2549999999999999"/>
  </r>
  <r>
    <s v="CHEAD"/>
    <s v="07"/>
    <s v="BARNESFE"/>
    <s v="HASTINGS"/>
    <x v="334"/>
    <x v="3"/>
    <x v="2"/>
    <s v="Invoice"/>
    <s v="98920"/>
    <x v="101"/>
    <x v="21"/>
    <x v="21"/>
    <x v="0"/>
    <n v="180"/>
  </r>
  <r>
    <s v="CHEAD"/>
    <s v="07"/>
    <s v="BARNESFE"/>
    <s v="HASTINGS"/>
    <x v="334"/>
    <x v="3"/>
    <x v="2"/>
    <s v="Invoice"/>
    <s v="98920"/>
    <x v="158"/>
    <x v="139"/>
    <x v="53"/>
    <x v="0"/>
    <n v="960"/>
  </r>
  <r>
    <s v="CHEAD"/>
    <s v="07"/>
    <s v="BARNESFE"/>
    <s v="HASTINGS"/>
    <x v="334"/>
    <x v="3"/>
    <x v="2"/>
    <s v="Invoice"/>
    <s v="98920"/>
    <x v="206"/>
    <x v="139"/>
    <x v="53"/>
    <x v="0"/>
    <n v="250"/>
  </r>
  <r>
    <s v="CHEAD"/>
    <s v="07"/>
    <s v="MAYO"/>
    <s v="WILLISTON"/>
    <x v="347"/>
    <x v="3"/>
    <x v="2"/>
    <s v="Invoice"/>
    <s v="99067"/>
    <x v="34"/>
    <x v="29"/>
    <x v="26"/>
    <x v="0"/>
    <n v="180"/>
  </r>
  <r>
    <s v="DPOPPELL1"/>
    <s v="08"/>
    <s v="COASTALAGSUPPLY"/>
    <s v="MULBERRY"/>
    <x v="332"/>
    <x v="3"/>
    <x v="2"/>
    <s v="Invoice"/>
    <s v="98847"/>
    <x v="87"/>
    <x v="88"/>
    <x v="8"/>
    <x v="0"/>
    <n v="250"/>
  </r>
  <r>
    <s v="DPOPPELL1"/>
    <s v="08"/>
    <s v="TRIANGLE"/>
    <s v="TRIANGLE/PC"/>
    <x v="325"/>
    <x v="3"/>
    <x v="2"/>
    <s v="Invoice"/>
    <s v="98874"/>
    <x v="77"/>
    <x v="37"/>
    <x v="30"/>
    <x v="0"/>
    <n v="300"/>
  </r>
  <r>
    <s v=""/>
    <s v="08"/>
    <s v="CPSMULB"/>
    <s v="UAP/MULBERRY"/>
    <x v="333"/>
    <x v="3"/>
    <x v="2"/>
    <s v="Invoice"/>
    <s v="98881"/>
    <x v="5"/>
    <x v="72"/>
    <x v="4"/>
    <x v="0"/>
    <n v="360"/>
  </r>
  <r>
    <s v="DPOPPELL1"/>
    <s v="08"/>
    <s v="CPSMULB"/>
    <s v="UAP/MULBERRY"/>
    <x v="333"/>
    <x v="3"/>
    <x v="2"/>
    <s v="Invoice"/>
    <s v="98882"/>
    <x v="102"/>
    <x v="71"/>
    <x v="100"/>
    <x v="0"/>
    <n v="1250"/>
  </r>
  <r>
    <s v="DPOPPELL1"/>
    <s v="08"/>
    <s v="COASTALAGSUPPLY"/>
    <s v="MULBERRY"/>
    <x v="345"/>
    <x v="3"/>
    <x v="2"/>
    <s v="Invoice"/>
    <s v="98905"/>
    <x v="87"/>
    <x v="88"/>
    <x v="8"/>
    <x v="0"/>
    <n v="250"/>
  </r>
  <r>
    <s v="DPOPPELL1"/>
    <s v="08"/>
    <s v="MAYO"/>
    <s v="PLANTCITY"/>
    <x v="335"/>
    <x v="3"/>
    <x v="2"/>
    <s v="Invoice"/>
    <s v="98965"/>
    <x v="77"/>
    <x v="37"/>
    <x v="30"/>
    <x v="0"/>
    <n v="30"/>
  </r>
  <r>
    <s v="DPOPPELL1"/>
    <s v="08"/>
    <s v="TRIANGLE"/>
    <s v="TRIANGLE/PC"/>
    <x v="346"/>
    <x v="3"/>
    <x v="2"/>
    <s v="Invoice"/>
    <s v="98999"/>
    <x v="96"/>
    <x v="90"/>
    <x v="39"/>
    <x v="0"/>
    <n v="180"/>
  </r>
  <r>
    <s v="DPOPPELL1"/>
    <s v="08"/>
    <s v="MAYO"/>
    <s v="PLANTCITY"/>
    <x v="329"/>
    <x v="3"/>
    <x v="2"/>
    <s v="Invoice"/>
    <s v="99038"/>
    <x v="398"/>
    <x v="345"/>
    <x v="22"/>
    <x v="2"/>
    <n v="6"/>
  </r>
  <r>
    <s v=""/>
    <s v="08"/>
    <s v="CPSMULB"/>
    <s v="UAP/MULBERRY"/>
    <x v="340"/>
    <x v="3"/>
    <x v="2"/>
    <s v="Invoice"/>
    <s v="99058"/>
    <x v="5"/>
    <x v="72"/>
    <x v="4"/>
    <x v="0"/>
    <n v="360"/>
  </r>
  <r>
    <s v="DPOPPELL1"/>
    <s v="08"/>
    <s v="COASTALAGSUPPLY"/>
    <s v="MULBERRY"/>
    <x v="341"/>
    <x v="3"/>
    <x v="2"/>
    <s v="Invoice"/>
    <s v="99068"/>
    <x v="87"/>
    <x v="88"/>
    <x v="8"/>
    <x v="0"/>
    <n v="500"/>
  </r>
  <r>
    <s v="DPOPPELL1"/>
    <s v="08"/>
    <s v="MAYO"/>
    <s v="PLANTCITY"/>
    <x v="341"/>
    <x v="3"/>
    <x v="2"/>
    <s v="Invoice"/>
    <s v="99073"/>
    <x v="210"/>
    <x v="186"/>
    <x v="22"/>
    <x v="2"/>
    <n v="6.02"/>
  </r>
  <r>
    <s v="DPOPPELL1"/>
    <s v="08"/>
    <s v="MAYO"/>
    <s v="PLANTCITY"/>
    <x v="347"/>
    <x v="3"/>
    <x v="2"/>
    <s v="Invoice"/>
    <s v="99088"/>
    <x v="77"/>
    <x v="37"/>
    <x v="30"/>
    <x v="0"/>
    <n v="150"/>
  </r>
  <r>
    <s v="DPOPPELL1"/>
    <s v="08"/>
    <s v="CPSMULB"/>
    <s v="UAP/MULBERRY"/>
    <x v="342"/>
    <x v="3"/>
    <x v="2"/>
    <s v="Invoice"/>
    <s v="99106"/>
    <x v="102"/>
    <x v="71"/>
    <x v="100"/>
    <x v="0"/>
    <n v="1000"/>
  </r>
  <r>
    <s v=""/>
    <s v="09"/>
    <s v="AGRIBUSI"/>
    <s v="AGB/ROOSEVELT"/>
    <x v="325"/>
    <x v="3"/>
    <x v="2"/>
    <s v="Invoice"/>
    <s v="98872"/>
    <x v="89"/>
    <x v="81"/>
    <x v="20"/>
    <x v="1"/>
    <n v="2500"/>
  </r>
  <r>
    <s v=""/>
    <s v="09"/>
    <s v="GREENRES"/>
    <s v="OCEAN HWY-NC"/>
    <x v="345"/>
    <x v="3"/>
    <x v="2"/>
    <s v="Invoice"/>
    <s v="98896"/>
    <x v="3"/>
    <x v="80"/>
    <x v="2"/>
    <x v="0"/>
    <n v="360"/>
  </r>
  <r>
    <s v="GEORGIA"/>
    <s v="09"/>
    <s v="AGRIBUSI"/>
    <s v="INTREPID/TUNICA"/>
    <x v="326"/>
    <x v="3"/>
    <x v="2"/>
    <s v="Invoice"/>
    <s v="98910"/>
    <x v="129"/>
    <x v="117"/>
    <x v="48"/>
    <x v="0"/>
    <n v="3710"/>
  </r>
  <r>
    <s v="GEORGIA"/>
    <s v="09"/>
    <s v="AGRIBUSI"/>
    <s v="INTREPID/TUNICA"/>
    <x v="337"/>
    <x v="3"/>
    <x v="2"/>
    <s v="Invoice"/>
    <s v="98932"/>
    <x v="159"/>
    <x v="117"/>
    <x v="48"/>
    <x v="0"/>
    <n v="3600"/>
  </r>
  <r>
    <s v="GEORGIA"/>
    <s v="09"/>
    <s v="AGRIBUSI"/>
    <s v="MAILING"/>
    <x v="338"/>
    <x v="3"/>
    <x v="2"/>
    <s v="Invoice"/>
    <s v="98943"/>
    <x v="89"/>
    <x v="81"/>
    <x v="20"/>
    <x v="1"/>
    <n v="2500"/>
  </r>
  <r>
    <s v="GEORGIA"/>
    <s v="09"/>
    <s v="AGRIBUSI"/>
    <s v="INTREPID/TUNICA"/>
    <x v="336"/>
    <x v="3"/>
    <x v="2"/>
    <s v="Invoice"/>
    <s v="99018"/>
    <x v="129"/>
    <x v="117"/>
    <x v="48"/>
    <x v="0"/>
    <n v="3710"/>
  </r>
  <r>
    <s v=""/>
    <s v="09"/>
    <s v="AGRIBUSI"/>
    <s v="INVICTUSBASTROP"/>
    <x v="340"/>
    <x v="3"/>
    <x v="2"/>
    <s v="Invoice"/>
    <s v="99060"/>
    <x v="159"/>
    <x v="117"/>
    <x v="48"/>
    <x v="0"/>
    <n v="3600"/>
  </r>
  <r>
    <s v="GEORGIA"/>
    <s v="09"/>
    <s v="AGRIBUSI"/>
    <s v="SGSLEACHVILLE"/>
    <x v="347"/>
    <x v="3"/>
    <x v="2"/>
    <s v="Invoice"/>
    <s v="99081"/>
    <x v="129"/>
    <x v="117"/>
    <x v="48"/>
    <x v="0"/>
    <n v="3710"/>
  </r>
  <r>
    <s v="GEORGIA"/>
    <s v="09"/>
    <s v="AGRIBUSI"/>
    <s v="PINNACLE/SHALLO"/>
    <x v="347"/>
    <x v="3"/>
    <x v="2"/>
    <s v="Invoice"/>
    <s v="99085"/>
    <x v="129"/>
    <x v="117"/>
    <x v="48"/>
    <x v="0"/>
    <n v="3710"/>
  </r>
  <r>
    <s v=""/>
    <s v="09"/>
    <s v="AGRIBUSI"/>
    <s v="AGB/ROOSEVELT"/>
    <x v="330"/>
    <x v="3"/>
    <x v="2"/>
    <s v="Invoice"/>
    <s v="99096"/>
    <x v="89"/>
    <x v="81"/>
    <x v="20"/>
    <x v="1"/>
    <n v="2700"/>
  </r>
  <r>
    <s v="CSWAFFORD"/>
    <s v="12"/>
    <s v="GOLFVENTURES"/>
    <s v="MAIN"/>
    <x v="343"/>
    <x v="3"/>
    <x v="2"/>
    <s v="Invoice"/>
    <s v="98837"/>
    <x v="372"/>
    <x v="295"/>
    <x v="43"/>
    <x v="0"/>
    <n v="250"/>
  </r>
  <r>
    <s v="CSWAFFORD"/>
    <s v="12"/>
    <s v="GOLFVENTURES"/>
    <s v="MAIN"/>
    <x v="343"/>
    <x v="3"/>
    <x v="2"/>
    <s v="Invoice"/>
    <s v="98837"/>
    <x v="330"/>
    <x v="292"/>
    <x v="36"/>
    <x v="0"/>
    <n v="250"/>
  </r>
  <r>
    <s v="CSWAFFORD"/>
    <s v="12"/>
    <s v="GOLFVENTURES"/>
    <s v="MAIN"/>
    <x v="332"/>
    <x v="3"/>
    <x v="2"/>
    <s v="Invoice"/>
    <s v="98856"/>
    <x v="384"/>
    <x v="320"/>
    <x v="63"/>
    <x v="0"/>
    <n v="60"/>
  </r>
  <r>
    <s v="CSWAFFORD"/>
    <s v="12"/>
    <s v="GOLFVENTURES"/>
    <s v="COUNTRYBOY"/>
    <x v="325"/>
    <x v="3"/>
    <x v="2"/>
    <s v="Invoice"/>
    <s v="98871"/>
    <x v="369"/>
    <x v="338"/>
    <x v="97"/>
    <x v="0"/>
    <n v="250"/>
  </r>
  <r>
    <s v="CSWAFFORD"/>
    <s v="12"/>
    <s v="GOLFVENTURES"/>
    <s v="MISSIONINN"/>
    <x v="345"/>
    <x v="3"/>
    <x v="2"/>
    <s v="Invoice"/>
    <s v="98895"/>
    <x v="363"/>
    <x v="320"/>
    <x v="63"/>
    <x v="0"/>
    <n v="750"/>
  </r>
  <r>
    <s v="CSWAFFORD"/>
    <s v="12"/>
    <s v="GOLFVENTURES"/>
    <s v="MAIN"/>
    <x v="345"/>
    <x v="3"/>
    <x v="2"/>
    <s v="Invoice"/>
    <s v="98901"/>
    <x v="364"/>
    <x v="321"/>
    <x v="96"/>
    <x v="0"/>
    <n v="180"/>
  </r>
  <r>
    <s v="CSWAFFORD"/>
    <s v="12"/>
    <s v="GOLFVENTURES"/>
    <s v="THEFLORIDACLUB"/>
    <x v="334"/>
    <x v="3"/>
    <x v="2"/>
    <s v="Invoice"/>
    <s v="98912"/>
    <x v="298"/>
    <x v="299"/>
    <x v="45"/>
    <x v="0"/>
    <n v="55"/>
  </r>
  <r>
    <s v="CSWAFFORD"/>
    <s v="12"/>
    <s v="GOLFVENTURES"/>
    <s v="THEYACHT&amp;CC"/>
    <x v="334"/>
    <x v="3"/>
    <x v="2"/>
    <s v="Invoice"/>
    <s v="98913"/>
    <x v="363"/>
    <x v="320"/>
    <x v="63"/>
    <x v="0"/>
    <n v="250"/>
  </r>
  <r>
    <s v="CSWAFFORD"/>
    <s v="12"/>
    <s v="GOLFVENTURES"/>
    <s v="THEYACHT&amp;CC"/>
    <x v="334"/>
    <x v="3"/>
    <x v="2"/>
    <s v="Invoice"/>
    <s v="98913"/>
    <x v="320"/>
    <x v="282"/>
    <x v="87"/>
    <x v="0"/>
    <n v="250"/>
  </r>
  <r>
    <s v="CSWAFFORD"/>
    <s v="12"/>
    <s v="GOLFVENTURES"/>
    <s v="GRANDHARBOR"/>
    <x v="334"/>
    <x v="3"/>
    <x v="2"/>
    <s v="Invoice"/>
    <s v="98914"/>
    <x v="321"/>
    <x v="283"/>
    <x v="88"/>
    <x v="0"/>
    <n v="250"/>
  </r>
  <r>
    <s v="CSWAFFORD"/>
    <s v="12"/>
    <s v="GOLFVENTURES"/>
    <s v="GRANDHARBOR"/>
    <x v="334"/>
    <x v="3"/>
    <x v="2"/>
    <s v="Invoice"/>
    <s v="98914"/>
    <x v="320"/>
    <x v="282"/>
    <x v="87"/>
    <x v="0"/>
    <n v="250"/>
  </r>
  <r>
    <s v="CSWAFFORD"/>
    <s v="12"/>
    <s v="GOLFVENTURES"/>
    <s v="MAIN"/>
    <x v="334"/>
    <x v="3"/>
    <x v="2"/>
    <s v="Invoice"/>
    <s v="98917"/>
    <x v="380"/>
    <x v="334"/>
    <x v="80"/>
    <x v="0"/>
    <n v="500"/>
  </r>
  <r>
    <s v="CSWAFFORD"/>
    <s v="12"/>
    <s v="GOLFVENTURES"/>
    <s v="MAIN"/>
    <x v="337"/>
    <x v="3"/>
    <x v="2"/>
    <s v="Invoice"/>
    <s v="98930"/>
    <x v="163"/>
    <x v="322"/>
    <x v="56"/>
    <x v="0"/>
    <n v="15"/>
  </r>
  <r>
    <s v="CSWAFFORD"/>
    <s v="12"/>
    <s v="GOLFVENTURES"/>
    <s v="MAIN"/>
    <x v="338"/>
    <x v="3"/>
    <x v="2"/>
    <s v="Invoice"/>
    <s v="98951A"/>
    <x v="163"/>
    <x v="322"/>
    <x v="56"/>
    <x v="0"/>
    <n v="90"/>
  </r>
  <r>
    <s v="CSWAFFORD"/>
    <s v="12"/>
    <s v="GOLFVENTURES"/>
    <s v="MAIN"/>
    <x v="338"/>
    <x v="3"/>
    <x v="2"/>
    <s v="Invoice"/>
    <s v="98951A"/>
    <x v="333"/>
    <x v="282"/>
    <x v="87"/>
    <x v="0"/>
    <n v="90"/>
  </r>
  <r>
    <s v="CSWAFFORD"/>
    <s v="12"/>
    <s v="GOLFVENTURES"/>
    <s v="COUNTRYBOY"/>
    <x v="327"/>
    <x v="3"/>
    <x v="2"/>
    <s v="Invoice"/>
    <s v="98981"/>
    <x v="369"/>
    <x v="338"/>
    <x v="97"/>
    <x v="0"/>
    <n v="250"/>
  </r>
  <r>
    <s v="CSWAFFORD"/>
    <s v="12"/>
    <s v="GOLFVENTURES"/>
    <s v="FARROWPEST"/>
    <x v="328"/>
    <x v="3"/>
    <x v="2"/>
    <s v="Invoice"/>
    <s v="98986"/>
    <x v="321"/>
    <x v="283"/>
    <x v="88"/>
    <x v="0"/>
    <n v="500"/>
  </r>
  <r>
    <s v="CSWAFFORD"/>
    <s v="12"/>
    <s v="GOLFVENTURES"/>
    <s v="ARROWHEAD"/>
    <x v="328"/>
    <x v="3"/>
    <x v="2"/>
    <s v="Invoice"/>
    <s v="98987"/>
    <x v="120"/>
    <x v="299"/>
    <x v="45"/>
    <x v="0"/>
    <n v="250"/>
  </r>
  <r>
    <s v="CSWAFFORD"/>
    <s v="12"/>
    <s v="GOLFVENTURES"/>
    <s v="ARROWHEAD"/>
    <x v="328"/>
    <x v="3"/>
    <x v="2"/>
    <s v="Invoice"/>
    <s v="98987"/>
    <x v="319"/>
    <x v="281"/>
    <x v="42"/>
    <x v="0"/>
    <n v="250"/>
  </r>
  <r>
    <s v="CSWAFFORD"/>
    <s v="12"/>
    <s v="GOLFVENTURES"/>
    <s v="ARROWHEAD"/>
    <x v="328"/>
    <x v="3"/>
    <x v="2"/>
    <s v="Invoice"/>
    <s v="98987"/>
    <x v="338"/>
    <x v="300"/>
    <x v="8"/>
    <x v="0"/>
    <n v="250"/>
  </r>
  <r>
    <s v="CSWAFFORD"/>
    <s v="12"/>
    <s v="GOLFVENTURES"/>
    <s v="BOCAROYALE"/>
    <x v="328"/>
    <x v="3"/>
    <x v="2"/>
    <s v="Invoice"/>
    <s v="98988"/>
    <x v="338"/>
    <x v="300"/>
    <x v="8"/>
    <x v="0"/>
    <n v="250"/>
  </r>
  <r>
    <s v="CSWAFFORD"/>
    <s v="12"/>
    <s v="GOLFVENTURES"/>
    <s v="MAIN"/>
    <x v="336"/>
    <x v="3"/>
    <x v="2"/>
    <s v="Invoice"/>
    <s v="99016"/>
    <x v="382"/>
    <x v="337"/>
    <x v="22"/>
    <x v="2"/>
    <n v="0.3"/>
  </r>
  <r>
    <s v="CSWAFFORD"/>
    <s v="12"/>
    <s v="GOLFVENTURES"/>
    <s v="CHSEAGLERIDGE"/>
    <x v="340"/>
    <x v="3"/>
    <x v="2"/>
    <s v="Invoice"/>
    <s v="99047"/>
    <x v="319"/>
    <x v="281"/>
    <x v="42"/>
    <x v="0"/>
    <n v="275"/>
  </r>
  <r>
    <s v="CSWAFFORD"/>
    <s v="12"/>
    <s v="GOLFVENTURES"/>
    <s v="NAPLESHERITAGE"/>
    <x v="340"/>
    <x v="3"/>
    <x v="2"/>
    <s v="Invoice"/>
    <s v="99050"/>
    <x v="366"/>
    <x v="336"/>
    <x v="22"/>
    <x v="2"/>
    <n v="1.25"/>
  </r>
  <r>
    <s v="HAP"/>
    <s v="01"/>
    <s v="GREENWAY"/>
    <s v="HOUSTONOAKS"/>
    <x v="348"/>
    <x v="4"/>
    <x v="2"/>
    <s v="Invoice"/>
    <s v="99141"/>
    <x v="3"/>
    <x v="2"/>
    <x v="2"/>
    <x v="0"/>
    <n v="40"/>
  </r>
  <r>
    <s v="HAP"/>
    <s v="01"/>
    <s v="GREENWAY"/>
    <s v="HOUSTONOAKS"/>
    <x v="348"/>
    <x v="4"/>
    <x v="2"/>
    <s v="Invoice"/>
    <s v="99141"/>
    <x v="4"/>
    <x v="3"/>
    <x v="3"/>
    <x v="0"/>
    <n v="40"/>
  </r>
  <r>
    <s v="HAP"/>
    <s v="01"/>
    <s v="GREENWAY"/>
    <s v="HOUSTONOAKS"/>
    <x v="348"/>
    <x v="4"/>
    <x v="2"/>
    <s v="Invoice"/>
    <s v="99141"/>
    <x v="5"/>
    <x v="4"/>
    <x v="4"/>
    <x v="0"/>
    <n v="40"/>
  </r>
  <r>
    <s v="HAP"/>
    <s v="01"/>
    <s v="GREENWAY"/>
    <s v="HOUSTONOAKS"/>
    <x v="348"/>
    <x v="4"/>
    <x v="2"/>
    <s v="Invoice"/>
    <s v="99141"/>
    <x v="6"/>
    <x v="5"/>
    <x v="5"/>
    <x v="0"/>
    <n v="40"/>
  </r>
  <r>
    <s v="HAP"/>
    <s v="01"/>
    <s v="GREENWAY"/>
    <s v="HOUSTONOAKS"/>
    <x v="348"/>
    <x v="4"/>
    <x v="2"/>
    <s v="Invoice"/>
    <s v="99141"/>
    <x v="2"/>
    <x v="0"/>
    <x v="0"/>
    <x v="0"/>
    <n v="40"/>
  </r>
  <r>
    <s v="HAP"/>
    <s v="01"/>
    <s v="GREENWAY"/>
    <s v="CORALCREEK"/>
    <x v="349"/>
    <x v="4"/>
    <x v="2"/>
    <s v="Invoice"/>
    <s v="99174"/>
    <x v="90"/>
    <x v="13"/>
    <x v="13"/>
    <x v="0"/>
    <n v="20"/>
  </r>
  <r>
    <s v="HAP"/>
    <s v="01"/>
    <s v="GREENWAY"/>
    <s v="ROYAL PALM GC"/>
    <x v="349"/>
    <x v="4"/>
    <x v="2"/>
    <s v="Invoice"/>
    <s v="99186"/>
    <x v="3"/>
    <x v="2"/>
    <x v="2"/>
    <x v="0"/>
    <n v="25"/>
  </r>
  <r>
    <s v="HAP"/>
    <s v="01"/>
    <s v="GREENWAY"/>
    <s v="ROYAL PALM GC"/>
    <x v="349"/>
    <x v="4"/>
    <x v="2"/>
    <s v="Invoice"/>
    <s v="99186"/>
    <x v="5"/>
    <x v="4"/>
    <x v="4"/>
    <x v="0"/>
    <n v="50"/>
  </r>
  <r>
    <s v="HAP"/>
    <s v="01"/>
    <s v="GREENWAY"/>
    <s v="ROYAL PALM GC"/>
    <x v="349"/>
    <x v="4"/>
    <x v="2"/>
    <s v="Invoice"/>
    <s v="99186"/>
    <x v="6"/>
    <x v="5"/>
    <x v="5"/>
    <x v="0"/>
    <n v="25"/>
  </r>
  <r>
    <s v="HAP"/>
    <s v="01"/>
    <s v="GREENWAY"/>
    <s v="ROYAL PALM GC"/>
    <x v="349"/>
    <x v="4"/>
    <x v="2"/>
    <s v="Invoice"/>
    <s v="99186"/>
    <x v="2"/>
    <x v="0"/>
    <x v="0"/>
    <x v="0"/>
    <n v="50"/>
  </r>
  <r>
    <s v="HAP"/>
    <s v="01"/>
    <s v="GREENWAY"/>
    <s v="CORALCREEK"/>
    <x v="350"/>
    <x v="4"/>
    <x v="2"/>
    <s v="Invoice"/>
    <s v="99233"/>
    <x v="6"/>
    <x v="5"/>
    <x v="5"/>
    <x v="0"/>
    <n v="20"/>
  </r>
  <r>
    <s v="HAP"/>
    <s v="01"/>
    <s v="GREENWAY"/>
    <s v="JACARANDA G C"/>
    <x v="351"/>
    <x v="4"/>
    <x v="2"/>
    <s v="Invoice"/>
    <s v="99243"/>
    <x v="188"/>
    <x v="17"/>
    <x v="17"/>
    <x v="0"/>
    <n v="55"/>
  </r>
  <r>
    <s v="HAP"/>
    <s v="01"/>
    <s v="GREENWAY"/>
    <s v="JACARANDA G C"/>
    <x v="351"/>
    <x v="4"/>
    <x v="2"/>
    <s v="Invoice"/>
    <s v="99243"/>
    <x v="6"/>
    <x v="5"/>
    <x v="5"/>
    <x v="0"/>
    <n v="30"/>
  </r>
  <r>
    <s v="HAP"/>
    <s v="01"/>
    <s v="GREENWAY"/>
    <s v="WELLINGTON"/>
    <x v="352"/>
    <x v="4"/>
    <x v="2"/>
    <s v="Invoice"/>
    <s v="99272"/>
    <x v="399"/>
    <x v="1"/>
    <x v="1"/>
    <x v="0"/>
    <n v="30"/>
  </r>
  <r>
    <s v="HAP"/>
    <s v="01"/>
    <s v="GREENWAY"/>
    <s v="WAREHOUSE"/>
    <x v="353"/>
    <x v="4"/>
    <x v="2"/>
    <s v="Invoice"/>
    <s v="99342"/>
    <x v="3"/>
    <x v="2"/>
    <x v="2"/>
    <x v="0"/>
    <n v="120"/>
  </r>
  <r>
    <s v="HAP"/>
    <s v="01"/>
    <s v="GREENWAY"/>
    <s v="WAREHOUSE"/>
    <x v="353"/>
    <x v="4"/>
    <x v="2"/>
    <s v="Invoice"/>
    <s v="99342"/>
    <x v="21"/>
    <x v="16"/>
    <x v="16"/>
    <x v="0"/>
    <n v="120"/>
  </r>
  <r>
    <s v="HAP"/>
    <s v="01"/>
    <s v="GREENWAY"/>
    <s v="WAREHOUSE"/>
    <x v="353"/>
    <x v="4"/>
    <x v="2"/>
    <s v="Invoice"/>
    <s v="99342"/>
    <x v="222"/>
    <x v="196"/>
    <x v="65"/>
    <x v="0"/>
    <n v="60"/>
  </r>
  <r>
    <s v="HAP"/>
    <s v="01"/>
    <s v="GREENWAY"/>
    <s v="WAREHOUSE"/>
    <x v="353"/>
    <x v="4"/>
    <x v="2"/>
    <s v="Invoice"/>
    <s v="99342"/>
    <x v="6"/>
    <x v="5"/>
    <x v="5"/>
    <x v="0"/>
    <n v="60"/>
  </r>
  <r>
    <s v="HAP"/>
    <s v="01"/>
    <s v="GREENWAY"/>
    <s v="MIZNER C. CLUB"/>
    <x v="354"/>
    <x v="4"/>
    <x v="2"/>
    <s v="Invoice"/>
    <s v="99359"/>
    <x v="3"/>
    <x v="2"/>
    <x v="2"/>
    <x v="0"/>
    <n v="50"/>
  </r>
  <r>
    <s v="HAP"/>
    <s v="01"/>
    <s v="GREENWAY"/>
    <s v="MIZNER C. CLUB"/>
    <x v="354"/>
    <x v="4"/>
    <x v="2"/>
    <s v="Invoice"/>
    <s v="99359"/>
    <x v="5"/>
    <x v="4"/>
    <x v="4"/>
    <x v="0"/>
    <n v="100"/>
  </r>
  <r>
    <s v="HAP"/>
    <s v="01"/>
    <s v="GREENWAY"/>
    <s v="MIZNER C. CLUB"/>
    <x v="354"/>
    <x v="4"/>
    <x v="2"/>
    <s v="Invoice"/>
    <s v="99359"/>
    <x v="6"/>
    <x v="5"/>
    <x v="5"/>
    <x v="0"/>
    <n v="50"/>
  </r>
  <r>
    <s v="HAP"/>
    <s v="01"/>
    <s v="GREENWAY"/>
    <s v="MIZNER C. CLUB"/>
    <x v="354"/>
    <x v="4"/>
    <x v="2"/>
    <s v="Invoice"/>
    <s v="99359"/>
    <x v="2"/>
    <x v="0"/>
    <x v="0"/>
    <x v="0"/>
    <n v="100"/>
  </r>
  <r>
    <s v="HAP"/>
    <s v="01"/>
    <s v="GREENWAY"/>
    <s v="WAREHOUSE"/>
    <x v="355"/>
    <x v="4"/>
    <x v="2"/>
    <s v="Invoice"/>
    <s v="99439"/>
    <x v="8"/>
    <x v="7"/>
    <x v="7"/>
    <x v="0"/>
    <n v="120"/>
  </r>
  <r>
    <s v="HAP"/>
    <s v="01"/>
    <s v="GREENWAY"/>
    <s v="WAREHOUSE"/>
    <x v="355"/>
    <x v="4"/>
    <x v="2"/>
    <s v="Invoice"/>
    <s v="99439"/>
    <x v="12"/>
    <x v="11"/>
    <x v="11"/>
    <x v="0"/>
    <n v="120"/>
  </r>
  <r>
    <s v="DAVID"/>
    <s v="02"/>
    <s v="GEOPONICSCORP"/>
    <s v="NAPLES UNIT-105"/>
    <x v="349"/>
    <x v="4"/>
    <x v="2"/>
    <s v="Invoice"/>
    <s v="99187"/>
    <x v="31"/>
    <x v="26"/>
    <x v="24"/>
    <x v="0"/>
    <n v="60"/>
  </r>
  <r>
    <s v="DAVID"/>
    <s v="02"/>
    <s v="TRIANGLE"/>
    <s v="LAKEWALES"/>
    <x v="356"/>
    <x v="4"/>
    <x v="2"/>
    <s v="Invoice"/>
    <s v="99351B"/>
    <x v="263"/>
    <x v="233"/>
    <x v="22"/>
    <x v="2"/>
    <n v="20.0075"/>
  </r>
  <r>
    <s v="DAVID"/>
    <s v="02"/>
    <s v="AGRIBUSI"/>
    <s v="INNVICTISINDIAN"/>
    <x v="357"/>
    <x v="4"/>
    <x v="2"/>
    <s v="Invoice"/>
    <s v="99371"/>
    <x v="159"/>
    <x v="117"/>
    <x v="48"/>
    <x v="0"/>
    <n v="3600"/>
  </r>
  <r>
    <s v="DAVID"/>
    <s v="02"/>
    <s v="EVOQUAWATER"/>
    <s v="MAIN"/>
    <x v="358"/>
    <x v="4"/>
    <x v="2"/>
    <s v="Invoice"/>
    <s v="99397"/>
    <x v="160"/>
    <x v="231"/>
    <x v="54"/>
    <x v="0"/>
    <n v="360"/>
  </r>
  <r>
    <s v="DAVID"/>
    <s v="02"/>
    <s v="MAYO"/>
    <s v="MAYO"/>
    <x v="355"/>
    <x v="4"/>
    <x v="2"/>
    <s v="Invoice"/>
    <s v="99417"/>
    <x v="29"/>
    <x v="24"/>
    <x v="20"/>
    <x v="1"/>
    <n v="46220"/>
  </r>
  <r>
    <s v="DAVID"/>
    <s v="02"/>
    <s v="AGRIBUSI"/>
    <s v="INNVICTISINDIAN"/>
    <x v="355"/>
    <x v="4"/>
    <x v="2"/>
    <s v="Invoice"/>
    <s v="99427"/>
    <x v="159"/>
    <x v="117"/>
    <x v="48"/>
    <x v="0"/>
    <n v="3600"/>
  </r>
  <r>
    <s v="JUSTIN"/>
    <s v="03"/>
    <s v="CPSFTPIE"/>
    <s v="FT. PIERCE"/>
    <x v="359"/>
    <x v="4"/>
    <x v="2"/>
    <s v="Invoice"/>
    <s v="99123"/>
    <x v="166"/>
    <x v="29"/>
    <x v="26"/>
    <x v="0"/>
    <n v="2000"/>
  </r>
  <r>
    <s v="JUSTIN"/>
    <s v="03"/>
    <s v="G&amp;DFARMS"/>
    <s v="MIDDLE"/>
    <x v="359"/>
    <x v="4"/>
    <x v="2"/>
    <s v="Invoice"/>
    <s v="99124"/>
    <x v="193"/>
    <x v="170"/>
    <x v="22"/>
    <x v="2"/>
    <n v="15.07"/>
  </r>
  <r>
    <s v="JUSTIN"/>
    <s v="03"/>
    <s v="COUNCILO"/>
    <s v="COUNCIL-OXFORD"/>
    <x v="348"/>
    <x v="4"/>
    <x v="2"/>
    <s v="Invoice"/>
    <s v="99133A"/>
    <x v="5"/>
    <x v="72"/>
    <x v="4"/>
    <x v="0"/>
    <n v="60"/>
  </r>
  <r>
    <s v="JUSTIN"/>
    <s v="03"/>
    <s v="COUNCILO"/>
    <s v="COUNCIL-OXFORD"/>
    <x v="348"/>
    <x v="4"/>
    <x v="2"/>
    <s v="Invoice"/>
    <s v="99133A"/>
    <x v="137"/>
    <x v="153"/>
    <x v="23"/>
    <x v="0"/>
    <n v="180"/>
  </r>
  <r>
    <s v="JUSTIN"/>
    <s v="03"/>
    <s v="COUNCILO"/>
    <s v="COUNCIL-OXFORD"/>
    <x v="348"/>
    <x v="4"/>
    <x v="2"/>
    <s v="Invoice"/>
    <s v="99133A"/>
    <x v="41"/>
    <x v="36"/>
    <x v="26"/>
    <x v="0"/>
    <n v="500"/>
  </r>
  <r>
    <s v="JUSTIN"/>
    <s v="03"/>
    <s v="CPSOKEE"/>
    <s v="OKEE-LIQ PLANT"/>
    <x v="360"/>
    <x v="4"/>
    <x v="2"/>
    <s v="Invoice"/>
    <s v="99151"/>
    <x v="134"/>
    <x v="94"/>
    <x v="41"/>
    <x v="0"/>
    <n v="3496"/>
  </r>
  <r>
    <s v=""/>
    <s v="03"/>
    <s v="CPSMULB"/>
    <s v="UAP/MULBERRY"/>
    <x v="360"/>
    <x v="4"/>
    <x v="2"/>
    <s v="Invoice"/>
    <s v="99162"/>
    <x v="5"/>
    <x v="72"/>
    <x v="4"/>
    <x v="0"/>
    <n v="180"/>
  </r>
  <r>
    <s v=""/>
    <s v="03"/>
    <s v="CPSMULB"/>
    <s v="UAP/MULBERRY"/>
    <x v="360"/>
    <x v="4"/>
    <x v="2"/>
    <s v="Invoice"/>
    <s v="99162"/>
    <x v="34"/>
    <x v="29"/>
    <x v="26"/>
    <x v="0"/>
    <n v="180"/>
  </r>
  <r>
    <s v=""/>
    <s v="03"/>
    <s v="CPSMULB"/>
    <s v="UAP/MULBERRY"/>
    <x v="360"/>
    <x v="4"/>
    <x v="2"/>
    <s v="Invoice"/>
    <s v="99163"/>
    <x v="5"/>
    <x v="72"/>
    <x v="4"/>
    <x v="0"/>
    <n v="180"/>
  </r>
  <r>
    <s v="JUSTIN"/>
    <s v="03"/>
    <s v="CPSIMMOK"/>
    <s v="IMMOKALEE"/>
    <x v="360"/>
    <x v="4"/>
    <x v="2"/>
    <s v="Invoice"/>
    <s v="99164"/>
    <x v="136"/>
    <x v="111"/>
    <x v="46"/>
    <x v="0"/>
    <n v="180"/>
  </r>
  <r>
    <s v=""/>
    <s v="03"/>
    <s v="CPSMULB"/>
    <s v="UAP/MULBERRY"/>
    <x v="360"/>
    <x v="4"/>
    <x v="2"/>
    <s v="Invoice"/>
    <s v="99165A"/>
    <x v="102"/>
    <x v="71"/>
    <x v="100"/>
    <x v="0"/>
    <n v="1000"/>
  </r>
  <r>
    <s v="JUSTIN"/>
    <s v="03"/>
    <s v="FLORIDAF"/>
    <s v="FLORIDA FERTILI"/>
    <x v="360"/>
    <x v="4"/>
    <x v="2"/>
    <s v="Invoice"/>
    <s v="99167"/>
    <x v="135"/>
    <x v="346"/>
    <x v="51"/>
    <x v="0"/>
    <n v="1000"/>
  </r>
  <r>
    <s v="JUSTIN"/>
    <s v="03"/>
    <s v="G&amp;DFARMS"/>
    <s v="MIDDLE"/>
    <x v="349"/>
    <x v="4"/>
    <x v="2"/>
    <s v="Invoice"/>
    <s v="99175"/>
    <x v="193"/>
    <x v="170"/>
    <x v="22"/>
    <x v="2"/>
    <n v="14.9975"/>
  </r>
  <r>
    <s v="JUSTIN"/>
    <s v="03"/>
    <s v="GRIFFINF"/>
    <s v="FROSTPROOF"/>
    <x v="349"/>
    <x v="4"/>
    <x v="2"/>
    <s v="Invoice"/>
    <s v="99182"/>
    <x v="5"/>
    <x v="72"/>
    <x v="4"/>
    <x v="0"/>
    <n v="360"/>
  </r>
  <r>
    <s v="JUSTIN"/>
    <s v="03"/>
    <s v="GRIFFINF"/>
    <s v="FROSTPROOF"/>
    <x v="349"/>
    <x v="4"/>
    <x v="2"/>
    <s v="Invoice"/>
    <s v="99182"/>
    <x v="166"/>
    <x v="29"/>
    <x v="26"/>
    <x v="0"/>
    <n v="500"/>
  </r>
  <r>
    <s v="JUSTIN"/>
    <s v="03"/>
    <s v="CPSWAVER"/>
    <s v="WAVERLY"/>
    <x v="350"/>
    <x v="4"/>
    <x v="2"/>
    <s v="Invoice"/>
    <s v="99220"/>
    <x v="5"/>
    <x v="72"/>
    <x v="4"/>
    <x v="0"/>
    <n v="180"/>
  </r>
  <r>
    <s v="JUSTIN"/>
    <s v="03"/>
    <s v="CPSWACHU"/>
    <s v="WAUCHULA"/>
    <x v="350"/>
    <x v="4"/>
    <x v="2"/>
    <s v="Invoice"/>
    <s v="99221"/>
    <x v="166"/>
    <x v="29"/>
    <x v="26"/>
    <x v="0"/>
    <n v="500"/>
  </r>
  <r>
    <s v="JUSTIN"/>
    <s v="03"/>
    <s v="CPSWAVER"/>
    <s v="WAVERLY"/>
    <x v="350"/>
    <x v="4"/>
    <x v="2"/>
    <s v="Invoice"/>
    <s v="99223"/>
    <x v="191"/>
    <x v="169"/>
    <x v="61"/>
    <x v="0"/>
    <n v="180"/>
  </r>
  <r>
    <s v="JUSTIN"/>
    <s v="03"/>
    <s v="CPSPARRI"/>
    <s v="PARRISH"/>
    <x v="351"/>
    <x v="4"/>
    <x v="2"/>
    <s v="Invoice"/>
    <s v="99237"/>
    <x v="96"/>
    <x v="90"/>
    <x v="39"/>
    <x v="0"/>
    <n v="120"/>
  </r>
  <r>
    <s v="JUSTIN"/>
    <s v="03"/>
    <s v="G&amp;DFARMS"/>
    <s v="MIDDLE"/>
    <x v="361"/>
    <x v="4"/>
    <x v="2"/>
    <s v="Invoice"/>
    <s v="99250"/>
    <x v="193"/>
    <x v="170"/>
    <x v="22"/>
    <x v="2"/>
    <n v="15.0075"/>
  </r>
  <r>
    <s v="JUSTIN"/>
    <s v="03"/>
    <s v="TRIANGLE"/>
    <s v="TRIANGLE/LAKEPL"/>
    <x v="361"/>
    <x v="4"/>
    <x v="2"/>
    <s v="Invoice"/>
    <s v="99251"/>
    <x v="166"/>
    <x v="29"/>
    <x v="26"/>
    <x v="0"/>
    <n v="1000"/>
  </r>
  <r>
    <s v="JUSTIN"/>
    <s v="03"/>
    <s v="CPSIMMOK"/>
    <s v="IMMOKALEE"/>
    <x v="361"/>
    <x v="4"/>
    <x v="2"/>
    <s v="Invoice"/>
    <s v="99253"/>
    <x v="191"/>
    <x v="169"/>
    <x v="61"/>
    <x v="0"/>
    <n v="120"/>
  </r>
  <r>
    <s v="JUSTIN"/>
    <s v="03"/>
    <s v="CPSIMMOK"/>
    <s v="IMMOKALEE"/>
    <x v="361"/>
    <x v="4"/>
    <x v="2"/>
    <s v="Invoice"/>
    <s v="99253"/>
    <x v="96"/>
    <x v="90"/>
    <x v="39"/>
    <x v="0"/>
    <n v="180"/>
  </r>
  <r>
    <s v="JUSTIN"/>
    <s v="03"/>
    <s v="GRIFFINF"/>
    <s v="FROSTPROOF"/>
    <x v="361"/>
    <x v="4"/>
    <x v="2"/>
    <s v="Invoice"/>
    <s v="99255"/>
    <x v="5"/>
    <x v="72"/>
    <x v="4"/>
    <x v="0"/>
    <n v="360"/>
  </r>
  <r>
    <s v="JUSTIN"/>
    <s v="03"/>
    <s v="GRIFFINF"/>
    <s v="FROSTPROOF"/>
    <x v="361"/>
    <x v="4"/>
    <x v="2"/>
    <s v="Invoice"/>
    <s v="99255"/>
    <x v="166"/>
    <x v="29"/>
    <x v="26"/>
    <x v="0"/>
    <n v="250"/>
  </r>
  <r>
    <s v="JUSTIN"/>
    <s v="03"/>
    <s v="COUNCILO"/>
    <s v="COUNCIL-OXFORD"/>
    <x v="352"/>
    <x v="4"/>
    <x v="2"/>
    <s v="Invoice"/>
    <s v="99265"/>
    <x v="168"/>
    <x v="88"/>
    <x v="8"/>
    <x v="0"/>
    <n v="180"/>
  </r>
  <r>
    <s v="JUSTIN"/>
    <s v="03"/>
    <s v="COUNCILO"/>
    <s v="COUNCIL-OXFORD"/>
    <x v="352"/>
    <x v="4"/>
    <x v="2"/>
    <s v="Invoice"/>
    <s v="99265"/>
    <x v="40"/>
    <x v="35"/>
    <x v="29"/>
    <x v="0"/>
    <n v="175"/>
  </r>
  <r>
    <s v="JUSTIN"/>
    <s v="03"/>
    <s v="CPSWACHU"/>
    <s v="WAUCHULA"/>
    <x v="362"/>
    <x v="4"/>
    <x v="2"/>
    <s v="Invoice"/>
    <s v="99276"/>
    <x v="194"/>
    <x v="29"/>
    <x v="26"/>
    <x v="0"/>
    <n v="1259"/>
  </r>
  <r>
    <s v="JUSTIN"/>
    <s v="03"/>
    <s v="CPSFTPIE"/>
    <s v="FT. PIERCE"/>
    <x v="362"/>
    <x v="4"/>
    <x v="2"/>
    <s v="Invoice"/>
    <s v="99279"/>
    <x v="38"/>
    <x v="30"/>
    <x v="27"/>
    <x v="0"/>
    <n v="975"/>
  </r>
  <r>
    <s v="JUSTIN"/>
    <s v="03"/>
    <s v="CPSFTPIE"/>
    <s v="FT. PIERCE"/>
    <x v="362"/>
    <x v="4"/>
    <x v="2"/>
    <s v="Invoice"/>
    <s v="99280"/>
    <x v="34"/>
    <x v="29"/>
    <x v="26"/>
    <x v="0"/>
    <n v="180"/>
  </r>
  <r>
    <s v="JUSTIN"/>
    <s v="03"/>
    <s v="CPSWACHU"/>
    <s v="WAUCHULA"/>
    <x v="362"/>
    <x v="4"/>
    <x v="2"/>
    <s v="Invoice"/>
    <s v="99286"/>
    <x v="166"/>
    <x v="29"/>
    <x v="26"/>
    <x v="0"/>
    <n v="500"/>
  </r>
  <r>
    <s v="JUSTIN"/>
    <s v="03"/>
    <s v="CPSIMMOK"/>
    <s v="IMMOKALEE"/>
    <x v="362"/>
    <x v="4"/>
    <x v="2"/>
    <s v="Invoice"/>
    <s v="99290"/>
    <x v="34"/>
    <x v="29"/>
    <x v="26"/>
    <x v="0"/>
    <n v="180"/>
  </r>
  <r>
    <s v="JUSTIN"/>
    <s v="03"/>
    <s v="CPSIMMOK"/>
    <s v="IMMOKALEE"/>
    <x v="362"/>
    <x v="4"/>
    <x v="2"/>
    <s v="Invoice"/>
    <s v="99290"/>
    <x v="166"/>
    <x v="29"/>
    <x v="26"/>
    <x v="0"/>
    <n v="750"/>
  </r>
  <r>
    <s v="JUSTIN"/>
    <s v="03"/>
    <s v="CPSWACHU"/>
    <s v="WAUCHULA"/>
    <x v="362"/>
    <x v="4"/>
    <x v="2"/>
    <s v="Invoice"/>
    <s v="99291"/>
    <x v="191"/>
    <x v="169"/>
    <x v="61"/>
    <x v="0"/>
    <n v="180"/>
  </r>
  <r>
    <s v="JUSTIN"/>
    <s v="03"/>
    <s v="CPSWACHU"/>
    <s v="WAUCHULA"/>
    <x v="362"/>
    <x v="4"/>
    <x v="2"/>
    <s v="Invoice"/>
    <s v="99291"/>
    <x v="96"/>
    <x v="90"/>
    <x v="39"/>
    <x v="0"/>
    <n v="360"/>
  </r>
  <r>
    <s v="JUSTIN"/>
    <s v="03"/>
    <s v="CPSWACHU"/>
    <s v="WAUCHULA"/>
    <x v="362"/>
    <x v="4"/>
    <x v="2"/>
    <s v="Invoice"/>
    <s v="99291"/>
    <x v="166"/>
    <x v="29"/>
    <x v="26"/>
    <x v="0"/>
    <n v="500"/>
  </r>
  <r>
    <s v="JUSTIN"/>
    <s v="03"/>
    <s v="CPSWACHU"/>
    <s v="WAUCHULA"/>
    <x v="362"/>
    <x v="4"/>
    <x v="2"/>
    <s v="Invoice"/>
    <s v="99292"/>
    <x v="324"/>
    <x v="286"/>
    <x v="13"/>
    <x v="0"/>
    <n v="265"/>
  </r>
  <r>
    <s v=""/>
    <s v="03"/>
    <s v="CPSMULB"/>
    <s v="UAP/MULBERRY"/>
    <x v="363"/>
    <x v="4"/>
    <x v="2"/>
    <s v="Invoice"/>
    <s v="99307"/>
    <x v="400"/>
    <x v="78"/>
    <x v="36"/>
    <x v="0"/>
    <n v="400"/>
  </r>
  <r>
    <s v="JUSTIN"/>
    <s v="03"/>
    <s v="TRIANGLE"/>
    <s v="TRIANGLE/LAKEPL"/>
    <x v="363"/>
    <x v="4"/>
    <x v="2"/>
    <s v="Invoice"/>
    <s v="99313"/>
    <x v="100"/>
    <x v="94"/>
    <x v="41"/>
    <x v="0"/>
    <n v="1300"/>
  </r>
  <r>
    <s v="JUSTIN"/>
    <s v="03"/>
    <s v="CPSPARRI"/>
    <s v="PARRISH"/>
    <x v="363"/>
    <x v="4"/>
    <x v="2"/>
    <s v="Invoice"/>
    <s v="99315"/>
    <x v="400"/>
    <x v="78"/>
    <x v="36"/>
    <x v="0"/>
    <n v="25"/>
  </r>
  <r>
    <s v="JUSTIN"/>
    <s v="03"/>
    <s v="G&amp;DFARMS"/>
    <s v="MIDDLE"/>
    <x v="364"/>
    <x v="4"/>
    <x v="2"/>
    <s v="Invoice"/>
    <s v="99319"/>
    <x v="193"/>
    <x v="170"/>
    <x v="22"/>
    <x v="2"/>
    <n v="15.005000000000001"/>
  </r>
  <r>
    <s v="JUSTIN"/>
    <s v="03"/>
    <s v="TRIYIELD"/>
    <s v="MAIN"/>
    <x v="365"/>
    <x v="4"/>
    <x v="2"/>
    <s v="Invoice"/>
    <s v="99321"/>
    <x v="237"/>
    <x v="75"/>
    <x v="26"/>
    <x v="0"/>
    <n v="40"/>
  </r>
  <r>
    <s v="JUSTIN"/>
    <s v="03"/>
    <s v="CPSWACHU"/>
    <s v="WAUCHULA"/>
    <x v="365"/>
    <x v="4"/>
    <x v="2"/>
    <s v="Invoice"/>
    <s v="99322"/>
    <x v="191"/>
    <x v="169"/>
    <x v="61"/>
    <x v="0"/>
    <n v="180"/>
  </r>
  <r>
    <s v="JUSTIN"/>
    <s v="03"/>
    <s v="CPSWAVER"/>
    <s v="WAVERLY"/>
    <x v="356"/>
    <x v="4"/>
    <x v="2"/>
    <s v="Invoice"/>
    <s v="99346"/>
    <x v="166"/>
    <x v="29"/>
    <x v="26"/>
    <x v="0"/>
    <n v="500"/>
  </r>
  <r>
    <s v="JUSTIN"/>
    <s v="03"/>
    <s v="G&amp;DFARMS"/>
    <s v="MIDDLE"/>
    <x v="356"/>
    <x v="4"/>
    <x v="2"/>
    <s v="Invoice"/>
    <s v="99356"/>
    <x v="193"/>
    <x v="170"/>
    <x v="22"/>
    <x v="2"/>
    <n v="15.035"/>
  </r>
  <r>
    <s v="JUSTIN"/>
    <s v="03"/>
    <s v="GRIFFINF"/>
    <s v="FROSTPROOF"/>
    <x v="354"/>
    <x v="4"/>
    <x v="2"/>
    <s v="Invoice"/>
    <s v="99358"/>
    <x v="138"/>
    <x v="94"/>
    <x v="41"/>
    <x v="0"/>
    <n v="30"/>
  </r>
  <r>
    <s v="JUSTIN"/>
    <s v="03"/>
    <s v="GRIFFINF"/>
    <s v="FROSTPROOF"/>
    <x v="354"/>
    <x v="4"/>
    <x v="2"/>
    <s v="Invoice"/>
    <s v="99358"/>
    <x v="5"/>
    <x v="72"/>
    <x v="4"/>
    <x v="0"/>
    <n v="360"/>
  </r>
  <r>
    <s v="JUSTIN"/>
    <s v="03"/>
    <s v="GRIFFINF"/>
    <s v="FROSTPROOF"/>
    <x v="354"/>
    <x v="4"/>
    <x v="2"/>
    <s v="Invoice"/>
    <s v="99358"/>
    <x v="34"/>
    <x v="29"/>
    <x v="26"/>
    <x v="0"/>
    <n v="720"/>
  </r>
  <r>
    <s v=""/>
    <s v="03"/>
    <s v="CPSMULB"/>
    <s v="UAP/MULBERRY"/>
    <x v="357"/>
    <x v="4"/>
    <x v="2"/>
    <s v="Invoice"/>
    <s v="99364"/>
    <x v="34"/>
    <x v="29"/>
    <x v="26"/>
    <x v="0"/>
    <n v="180"/>
  </r>
  <r>
    <s v="JUSTIN"/>
    <s v="03"/>
    <s v="COUNCILO"/>
    <s v="COUNCIL-OXFORD"/>
    <x v="357"/>
    <x v="4"/>
    <x v="2"/>
    <s v="Invoice"/>
    <s v="99365"/>
    <x v="168"/>
    <x v="88"/>
    <x v="8"/>
    <x v="0"/>
    <n v="180"/>
  </r>
  <r>
    <s v="JUSTIN"/>
    <s v="03"/>
    <s v="COUNCILO"/>
    <s v="COUNCIL-OXFORD"/>
    <x v="357"/>
    <x v="4"/>
    <x v="2"/>
    <s v="Invoice"/>
    <s v="99365"/>
    <x v="41"/>
    <x v="36"/>
    <x v="26"/>
    <x v="0"/>
    <n v="500"/>
  </r>
  <r>
    <s v="JUSTIN"/>
    <s v="03"/>
    <s v="CPSWACHU"/>
    <s v="WAUCHULA"/>
    <x v="357"/>
    <x v="4"/>
    <x v="2"/>
    <s v="Invoice"/>
    <s v="99367"/>
    <x v="191"/>
    <x v="169"/>
    <x v="61"/>
    <x v="0"/>
    <n v="180"/>
  </r>
  <r>
    <s v="JUSTIN"/>
    <s v="03"/>
    <s v="CPSWACHU"/>
    <s v="WAUCHULA"/>
    <x v="357"/>
    <x v="4"/>
    <x v="2"/>
    <s v="Invoice"/>
    <s v="99368"/>
    <x v="34"/>
    <x v="29"/>
    <x v="26"/>
    <x v="0"/>
    <n v="180"/>
  </r>
  <r>
    <s v=""/>
    <s v="03"/>
    <s v="CPSMULB"/>
    <s v="UAP/MULBERRY"/>
    <x v="357"/>
    <x v="4"/>
    <x v="2"/>
    <s v="Invoice"/>
    <s v="99372"/>
    <x v="34"/>
    <x v="29"/>
    <x v="26"/>
    <x v="0"/>
    <n v="285"/>
  </r>
  <r>
    <s v=""/>
    <s v="03"/>
    <s v="CPSMULB"/>
    <s v="UAP/MULBERRY"/>
    <x v="366"/>
    <x v="4"/>
    <x v="2"/>
    <s v="Invoice"/>
    <s v="99385"/>
    <x v="34"/>
    <x v="29"/>
    <x v="26"/>
    <x v="0"/>
    <n v="360"/>
  </r>
  <r>
    <s v=""/>
    <s v="03"/>
    <s v="CPSMULB"/>
    <s v="UAP/MULBERRY"/>
    <x v="366"/>
    <x v="4"/>
    <x v="2"/>
    <s v="Invoice"/>
    <s v="99387"/>
    <x v="5"/>
    <x v="72"/>
    <x v="4"/>
    <x v="0"/>
    <n v="360"/>
  </r>
  <r>
    <s v="JUSTIN"/>
    <s v="03"/>
    <s v="G&amp;DFARMS"/>
    <s v="MIDDLE"/>
    <x v="358"/>
    <x v="4"/>
    <x v="2"/>
    <s v="Invoice"/>
    <s v="99393"/>
    <x v="193"/>
    <x v="170"/>
    <x v="22"/>
    <x v="2"/>
    <n v="14.9925"/>
  </r>
  <r>
    <s v="JUSTIN"/>
    <s v="03"/>
    <s v="FLORIDAF"/>
    <s v="FLORIDA FERTILI"/>
    <x v="358"/>
    <x v="4"/>
    <x v="2"/>
    <s v="Invoice"/>
    <s v="99396"/>
    <x v="135"/>
    <x v="121"/>
    <x v="51"/>
    <x v="0"/>
    <n v="1500"/>
  </r>
  <r>
    <s v="JUSTIN"/>
    <s v="03"/>
    <s v="FLORIDAF"/>
    <s v="FLORIDA FERTILI"/>
    <x v="358"/>
    <x v="4"/>
    <x v="2"/>
    <s v="Invoice"/>
    <s v="99398"/>
    <x v="29"/>
    <x v="24"/>
    <x v="20"/>
    <x v="1"/>
    <n v="9862.5"/>
  </r>
  <r>
    <s v="JUSTIN"/>
    <s v="03"/>
    <s v="CPSPARRI"/>
    <s v="PARRISH"/>
    <x v="358"/>
    <x v="4"/>
    <x v="2"/>
    <s v="Invoice"/>
    <s v="99399"/>
    <x v="34"/>
    <x v="29"/>
    <x v="26"/>
    <x v="0"/>
    <n v="180"/>
  </r>
  <r>
    <s v="JUSTIN"/>
    <s v="03"/>
    <s v="CPSFTPIE"/>
    <s v="FT. PIERCE"/>
    <x v="367"/>
    <x v="4"/>
    <x v="2"/>
    <s v="Invoice"/>
    <s v="99412"/>
    <x v="34"/>
    <x v="29"/>
    <x v="26"/>
    <x v="0"/>
    <n v="180"/>
  </r>
  <r>
    <s v="JUSTIN"/>
    <s v="03"/>
    <s v="CPSFTPIE"/>
    <s v="FT. PIERCE"/>
    <x v="367"/>
    <x v="4"/>
    <x v="2"/>
    <s v="Invoice"/>
    <s v="99412"/>
    <x v="166"/>
    <x v="29"/>
    <x v="26"/>
    <x v="0"/>
    <n v="1500"/>
  </r>
  <r>
    <s v="JUSTIN"/>
    <s v="03"/>
    <s v="GRIFFINF"/>
    <s v="FROSTPROOF"/>
    <x v="367"/>
    <x v="4"/>
    <x v="2"/>
    <s v="Invoice"/>
    <s v="99415"/>
    <x v="166"/>
    <x v="29"/>
    <x v="26"/>
    <x v="0"/>
    <n v="250"/>
  </r>
  <r>
    <s v=""/>
    <s v="03"/>
    <s v="CPSMULB"/>
    <s v="UAP/MULBERRY"/>
    <x v="355"/>
    <x v="4"/>
    <x v="2"/>
    <s v="Invoice"/>
    <s v="99421"/>
    <x v="34"/>
    <x v="29"/>
    <x v="26"/>
    <x v="0"/>
    <n v="180"/>
  </r>
  <r>
    <s v="JUSTIN"/>
    <s v="03"/>
    <s v="CPSWACHU"/>
    <s v="WAUCHULA"/>
    <x v="355"/>
    <x v="4"/>
    <x v="2"/>
    <s v="Invoice"/>
    <s v="99422"/>
    <x v="34"/>
    <x v="29"/>
    <x v="26"/>
    <x v="0"/>
    <n v="360"/>
  </r>
  <r>
    <s v="JUSTIN"/>
    <s v="03"/>
    <s v="G&amp;DFARMS"/>
    <s v="MIDDLE"/>
    <x v="355"/>
    <x v="4"/>
    <x v="2"/>
    <s v="Invoice"/>
    <s v="99424"/>
    <x v="193"/>
    <x v="170"/>
    <x v="22"/>
    <x v="2"/>
    <n v="15.015000000000001"/>
  </r>
  <r>
    <s v="DPOPPELL"/>
    <s v="04"/>
    <s v="JGRANCH"/>
    <s v="WISCON RD."/>
    <x v="359"/>
    <x v="4"/>
    <x v="2"/>
    <s v="Invoice"/>
    <s v="99126"/>
    <x v="40"/>
    <x v="35"/>
    <x v="29"/>
    <x v="0"/>
    <n v="5"/>
  </r>
  <r>
    <s v="DPOPPELL"/>
    <s v="04"/>
    <s v="JGRANCH"/>
    <s v="WISCON RD."/>
    <x v="359"/>
    <x v="4"/>
    <x v="2"/>
    <s v="Invoice"/>
    <s v="99126"/>
    <x v="77"/>
    <x v="37"/>
    <x v="30"/>
    <x v="0"/>
    <n v="30"/>
  </r>
  <r>
    <s v="DPOPPELL"/>
    <s v="04"/>
    <s v="EWSIMMON"/>
    <s v="JERRY SMITH RD"/>
    <x v="359"/>
    <x v="4"/>
    <x v="2"/>
    <s v="Invoice"/>
    <s v="99127"/>
    <x v="386"/>
    <x v="339"/>
    <x v="22"/>
    <x v="2"/>
    <n v="4.9974999999999996"/>
  </r>
  <r>
    <s v="DPOPPELL"/>
    <s v="04"/>
    <s v="EWSIMMON"/>
    <s v="JERRY SMITH RD"/>
    <x v="359"/>
    <x v="4"/>
    <x v="2"/>
    <s v="Invoice"/>
    <s v="99127"/>
    <x v="357"/>
    <x v="317"/>
    <x v="25"/>
    <x v="0"/>
    <n v="1.875"/>
  </r>
  <r>
    <s v="DPOPPELL"/>
    <s v="04"/>
    <s v="MIDWAYF"/>
    <s v="FORBES"/>
    <x v="359"/>
    <x v="4"/>
    <x v="2"/>
    <s v="Invoice"/>
    <s v="99128"/>
    <x v="27"/>
    <x v="22"/>
    <x v="22"/>
    <x v="2"/>
    <n v="7.7549999999999999"/>
  </r>
  <r>
    <s v="DPOPPELL"/>
    <s v="04"/>
    <s v="JGRANCH"/>
    <s v="WISCON RD."/>
    <x v="359"/>
    <x v="4"/>
    <x v="2"/>
    <s v="Invoice"/>
    <s v="99129"/>
    <x v="28"/>
    <x v="23"/>
    <x v="22"/>
    <x v="2"/>
    <n v="2.4900000000000002"/>
  </r>
  <r>
    <s v="DPOPPELL"/>
    <s v="04"/>
    <s v="JOSEHERN"/>
    <s v="KEYSVILLE N"/>
    <x v="359"/>
    <x v="4"/>
    <x v="2"/>
    <s v="Invoice"/>
    <s v="99130"/>
    <x v="58"/>
    <x v="51"/>
    <x v="22"/>
    <x v="2"/>
    <n v="14.99"/>
  </r>
  <r>
    <s v="DPOPPELL"/>
    <s v="04"/>
    <s v="MIDWAYF"/>
    <s v="WILLIAMS RD-N"/>
    <x v="359"/>
    <x v="4"/>
    <x v="2"/>
    <s v="Invoice"/>
    <s v="99131"/>
    <x v="27"/>
    <x v="22"/>
    <x v="22"/>
    <x v="2"/>
    <n v="2"/>
  </r>
  <r>
    <s v="DPOPPELL"/>
    <s v="04"/>
    <s v="MIKELOTT"/>
    <s v="HILLSBOROUGH"/>
    <x v="359"/>
    <x v="4"/>
    <x v="2"/>
    <s v="Invoice"/>
    <s v="99132"/>
    <x v="58"/>
    <x v="51"/>
    <x v="22"/>
    <x v="2"/>
    <n v="10.01"/>
  </r>
  <r>
    <s v=""/>
    <s v="04"/>
    <s v="PORTER HA"/>
    <s v="PASTURE"/>
    <x v="348"/>
    <x v="4"/>
    <x v="2"/>
    <s v="Invoice"/>
    <s v="99134"/>
    <x v="27"/>
    <x v="22"/>
    <x v="22"/>
    <x v="2"/>
    <n v="5"/>
  </r>
  <r>
    <s v="DPOPPELL"/>
    <s v="04"/>
    <s v="PARKESDA"/>
    <s v="BILOXI"/>
    <x v="348"/>
    <x v="4"/>
    <x v="2"/>
    <s v="Invoice"/>
    <s v="99135"/>
    <x v="65"/>
    <x v="58"/>
    <x v="22"/>
    <x v="2"/>
    <n v="10.022500000000001"/>
  </r>
  <r>
    <s v="DPOPPELL"/>
    <s v="04"/>
    <s v="FCFARMS"/>
    <s v="KNIGHTSGRIFFIN"/>
    <x v="348"/>
    <x v="4"/>
    <x v="2"/>
    <s v="Invoice"/>
    <s v="99136"/>
    <x v="28"/>
    <x v="23"/>
    <x v="22"/>
    <x v="2"/>
    <n v="2.5"/>
  </r>
  <r>
    <s v="DPOPPELL"/>
    <s v="04"/>
    <s v="SOUTHERNHILL"/>
    <s v="SCHOFIELD"/>
    <x v="348"/>
    <x v="4"/>
    <x v="2"/>
    <s v="Invoice"/>
    <s v="99137"/>
    <x v="47"/>
    <x v="41"/>
    <x v="22"/>
    <x v="2"/>
    <n v="6.25"/>
  </r>
  <r>
    <s v="DPOPPELL"/>
    <s v="04"/>
    <s v="SOUTHERNHILL"/>
    <s v="SCHOFIELD"/>
    <x v="348"/>
    <x v="4"/>
    <x v="2"/>
    <s v="Invoice"/>
    <s v="99138"/>
    <x v="43"/>
    <x v="38"/>
    <x v="22"/>
    <x v="2"/>
    <n v="2.5024999999999999"/>
  </r>
  <r>
    <s v="DPOPPELL"/>
    <s v="04"/>
    <s v="FANCYFAR"/>
    <s v="DRANE FIELD"/>
    <x v="348"/>
    <x v="4"/>
    <x v="2"/>
    <s v="Invoice"/>
    <s v="99139"/>
    <x v="401"/>
    <x v="347"/>
    <x v="22"/>
    <x v="2"/>
    <n v="15"/>
  </r>
  <r>
    <s v="DPOPPELL"/>
    <s v="04"/>
    <s v="FRANKLIN"/>
    <s v="MCGEE RD. SOUTH"/>
    <x v="348"/>
    <x v="4"/>
    <x v="2"/>
    <s v="Invoice"/>
    <s v="99142"/>
    <x v="28"/>
    <x v="23"/>
    <x v="22"/>
    <x v="2"/>
    <n v="7.4874999999999998"/>
  </r>
  <r>
    <s v="DPOPPELL"/>
    <s v="04"/>
    <s v="ALVAREZJ"/>
    <s v="ROGERS"/>
    <x v="348"/>
    <x v="4"/>
    <x v="2"/>
    <s v="Invoice"/>
    <s v="99143"/>
    <x v="68"/>
    <x v="61"/>
    <x v="22"/>
    <x v="2"/>
    <n v="4"/>
  </r>
  <r>
    <s v="DPOPPELL"/>
    <s v="04"/>
    <s v="CHAVEZJOR"/>
    <s v="JOSE' CHAV- COD"/>
    <x v="348"/>
    <x v="4"/>
    <x v="2"/>
    <s v="Invoice"/>
    <s v="99144"/>
    <x v="53"/>
    <x v="46"/>
    <x v="22"/>
    <x v="2"/>
    <n v="0.3"/>
  </r>
  <r>
    <s v="DPOPPELL"/>
    <s v="04"/>
    <s v="SANCHEZFARM"/>
    <s v="WACHULA"/>
    <x v="348"/>
    <x v="4"/>
    <x v="2"/>
    <s v="Invoice"/>
    <s v="99147"/>
    <x v="43"/>
    <x v="38"/>
    <x v="22"/>
    <x v="2"/>
    <n v="5"/>
  </r>
  <r>
    <s v="DPOPPELL"/>
    <s v="04"/>
    <s v="SANCHEZFARM"/>
    <s v="WACHULA"/>
    <x v="348"/>
    <x v="4"/>
    <x v="2"/>
    <s v="Invoice"/>
    <s v="99148"/>
    <x v="59"/>
    <x v="52"/>
    <x v="22"/>
    <x v="2"/>
    <n v="8"/>
  </r>
  <r>
    <s v="DPOPPELL"/>
    <s v="04"/>
    <s v="EWSIMMON"/>
    <s v="MUD LAKE/W.SIDE"/>
    <x v="348"/>
    <x v="4"/>
    <x v="2"/>
    <s v="Invoice"/>
    <s v="99149"/>
    <x v="386"/>
    <x v="339"/>
    <x v="22"/>
    <x v="2"/>
    <n v="10"/>
  </r>
  <r>
    <s v="DPOPPELL"/>
    <s v="04"/>
    <s v="EWSIMMON"/>
    <s v="MUD LAKE/W.SIDE"/>
    <x v="348"/>
    <x v="4"/>
    <x v="2"/>
    <s v="Invoice"/>
    <s v="99149"/>
    <x v="357"/>
    <x v="317"/>
    <x v="25"/>
    <x v="0"/>
    <n v="3.75"/>
  </r>
  <r>
    <s v="DPOPPELL"/>
    <s v="04"/>
    <s v="EWSIMMON"/>
    <s v="TURKEY CRK"/>
    <x v="348"/>
    <x v="4"/>
    <x v="2"/>
    <s v="Invoice"/>
    <s v="99150"/>
    <x v="386"/>
    <x v="339"/>
    <x v="22"/>
    <x v="2"/>
    <n v="5"/>
  </r>
  <r>
    <s v="DPOPPELL"/>
    <s v="04"/>
    <s v="EWSIMMON"/>
    <s v="TURKEY CRK"/>
    <x v="348"/>
    <x v="4"/>
    <x v="2"/>
    <s v="Invoice"/>
    <s v="99150"/>
    <x v="357"/>
    <x v="317"/>
    <x v="25"/>
    <x v="0"/>
    <n v="1.875"/>
  </r>
  <r>
    <s v="DPOPPELL"/>
    <s v="04"/>
    <s v="MIDWAYF"/>
    <s v="ALS - SOUTH"/>
    <x v="348"/>
    <x v="4"/>
    <x v="2"/>
    <s v="Invoice"/>
    <s v="99152"/>
    <x v="27"/>
    <x v="22"/>
    <x v="22"/>
    <x v="2"/>
    <n v="7.7649999999999997"/>
  </r>
  <r>
    <s v="DPOPPELL"/>
    <s v="04"/>
    <s v="LARRYENN"/>
    <s v="TRAPNELL ROAD"/>
    <x v="348"/>
    <x v="4"/>
    <x v="2"/>
    <s v="Invoice"/>
    <s v="99153"/>
    <x v="58"/>
    <x v="51"/>
    <x v="22"/>
    <x v="2"/>
    <n v="4.5025000000000004"/>
  </r>
  <r>
    <s v="DPOPPELL"/>
    <s v="04"/>
    <s v="MENDOZAHEC"/>
    <s v="JAUDON RD"/>
    <x v="348"/>
    <x v="4"/>
    <x v="2"/>
    <s v="Invoice"/>
    <s v="99154"/>
    <x v="27"/>
    <x v="22"/>
    <x v="22"/>
    <x v="2"/>
    <n v="8.5050000000000008"/>
  </r>
  <r>
    <s v="DPOPPELL"/>
    <s v="04"/>
    <s v="GUTIERREZDAN"/>
    <s v="AL SIMMONS"/>
    <x v="348"/>
    <x v="4"/>
    <x v="2"/>
    <s v="Invoice"/>
    <s v="99155"/>
    <x v="73"/>
    <x v="66"/>
    <x v="22"/>
    <x v="2"/>
    <n v="6.0175000000000001"/>
  </r>
  <r>
    <s v="DPOPPELL"/>
    <s v="04"/>
    <s v="CHBERRY"/>
    <s v="BOBCAT"/>
    <x v="348"/>
    <x v="4"/>
    <x v="2"/>
    <s v="Invoice"/>
    <s v="99156"/>
    <x v="58"/>
    <x v="51"/>
    <x v="22"/>
    <x v="2"/>
    <n v="3"/>
  </r>
  <r>
    <s v="DPOPPELL"/>
    <s v="04"/>
    <s v="THREESTA"/>
    <s v="WALDEN-SHEFFIEL"/>
    <x v="348"/>
    <x v="4"/>
    <x v="2"/>
    <s v="Invoice"/>
    <s v="99157"/>
    <x v="377"/>
    <x v="331"/>
    <x v="22"/>
    <x v="2"/>
    <n v="12.01"/>
  </r>
  <r>
    <s v="DPOPPELL"/>
    <s v="04"/>
    <s v="THREESTA"/>
    <s v="WALDEN-SHEFFIEL"/>
    <x v="348"/>
    <x v="4"/>
    <x v="2"/>
    <s v="Invoice"/>
    <s v="99157"/>
    <x v="357"/>
    <x v="317"/>
    <x v="25"/>
    <x v="0"/>
    <n v="4.5"/>
  </r>
  <r>
    <s v="DPOPPELL"/>
    <s v="04"/>
    <s v="SWEETLIFE"/>
    <s v="FOSTER DUKES N"/>
    <x v="360"/>
    <x v="4"/>
    <x v="2"/>
    <s v="Invoice"/>
    <s v="99160"/>
    <x v="27"/>
    <x v="22"/>
    <x v="22"/>
    <x v="2"/>
    <n v="10"/>
  </r>
  <r>
    <s v="DPOPPELL"/>
    <s v="04"/>
    <s v="SYDNEYFA"/>
    <s v="FORBES ROAD"/>
    <x v="360"/>
    <x v="4"/>
    <x v="2"/>
    <s v="Invoice"/>
    <s v="99161"/>
    <x v="377"/>
    <x v="331"/>
    <x v="22"/>
    <x v="2"/>
    <n v="10"/>
  </r>
  <r>
    <s v="DPOPPELL"/>
    <s v="04"/>
    <s v="M&amp;GFARMS"/>
    <s v="SR-674"/>
    <x v="360"/>
    <x v="4"/>
    <x v="2"/>
    <s v="Invoice"/>
    <s v="99168"/>
    <x v="102"/>
    <x v="71"/>
    <x v="100"/>
    <x v="0"/>
    <n v="750"/>
  </r>
  <r>
    <s v="DPOPPELL"/>
    <s v="04"/>
    <s v="FFA"/>
    <s v="DURANT"/>
    <x v="360"/>
    <x v="4"/>
    <x v="2"/>
    <s v="Invoice"/>
    <s v="99169"/>
    <x v="28"/>
    <x v="23"/>
    <x v="22"/>
    <x v="2"/>
    <n v="1"/>
  </r>
  <r>
    <s v="DPOPPELL"/>
    <s v="04"/>
    <s v="PIGEONCOVE"/>
    <s v="MAIN"/>
    <x v="360"/>
    <x v="4"/>
    <x v="2"/>
    <s v="Invoice"/>
    <s v="99170"/>
    <x v="402"/>
    <x v="348"/>
    <x v="22"/>
    <x v="2"/>
    <n v="2.5"/>
  </r>
  <r>
    <s v="DPOPPELL"/>
    <s v="04"/>
    <s v="SPIVEYFA"/>
    <s v="HOPEWELL"/>
    <x v="360"/>
    <x v="4"/>
    <x v="2"/>
    <s v="Invoice"/>
    <s v="99171"/>
    <x v="56"/>
    <x v="49"/>
    <x v="22"/>
    <x v="2"/>
    <n v="4"/>
  </r>
  <r>
    <s v="DPOPPELL"/>
    <s v="04"/>
    <s v="M&amp;GFARMS"/>
    <s v="ONA"/>
    <x v="360"/>
    <x v="4"/>
    <x v="2"/>
    <s v="Invoice"/>
    <s v="99172"/>
    <x v="58"/>
    <x v="51"/>
    <x v="22"/>
    <x v="2"/>
    <n v="15"/>
  </r>
  <r>
    <s v="DPOPPELL"/>
    <s v="04"/>
    <s v="SWEETLIFE"/>
    <s v="KNIGHTS GRIFFIN"/>
    <x v="360"/>
    <x v="4"/>
    <x v="2"/>
    <s v="Invoice"/>
    <s v="99173"/>
    <x v="27"/>
    <x v="22"/>
    <x v="22"/>
    <x v="2"/>
    <n v="15.0025"/>
  </r>
  <r>
    <s v="DPOPPELL"/>
    <s v="04"/>
    <s v="GUTIERREZA"/>
    <s v="DUETTE"/>
    <x v="349"/>
    <x v="4"/>
    <x v="2"/>
    <s v="Invoice"/>
    <s v="99180"/>
    <x v="69"/>
    <x v="62"/>
    <x v="22"/>
    <x v="2"/>
    <n v="15.0375"/>
  </r>
  <r>
    <s v="DPOPPELL"/>
    <s v="04"/>
    <s v="GUTIERREZA"/>
    <s v="DUETTE"/>
    <x v="349"/>
    <x v="4"/>
    <x v="2"/>
    <s v="Invoice"/>
    <s v="99181"/>
    <x v="110"/>
    <x v="97"/>
    <x v="16"/>
    <x v="0"/>
    <n v="250"/>
  </r>
  <r>
    <s v="DPOPPELL"/>
    <s v="04"/>
    <s v="GUTIERREZA"/>
    <s v="DUETTE"/>
    <x v="349"/>
    <x v="4"/>
    <x v="2"/>
    <s v="Invoice"/>
    <s v="99183"/>
    <x v="109"/>
    <x v="80"/>
    <x v="2"/>
    <x v="0"/>
    <n v="250"/>
  </r>
  <r>
    <s v="DPOPPELL"/>
    <s v="04"/>
    <s v="GUTIERREZA"/>
    <s v="DUETTE"/>
    <x v="349"/>
    <x v="4"/>
    <x v="2"/>
    <s v="Invoice"/>
    <s v="99183"/>
    <x v="142"/>
    <x v="123"/>
    <x v="0"/>
    <x v="0"/>
    <n v="250"/>
  </r>
  <r>
    <s v="DPOPPELL"/>
    <s v="04"/>
    <s v="CARLTONTHOMAS"/>
    <s v="GRANGEHALL"/>
    <x v="349"/>
    <x v="4"/>
    <x v="2"/>
    <s v="Invoice"/>
    <s v="99184"/>
    <x v="71"/>
    <x v="64"/>
    <x v="22"/>
    <x v="2"/>
    <n v="15.022500000000001"/>
  </r>
  <r>
    <s v="DPOPPELL"/>
    <s v="04"/>
    <s v="GUTIERREZDAN"/>
    <s v="HWY 92"/>
    <x v="349"/>
    <x v="4"/>
    <x v="2"/>
    <s v="Invoice"/>
    <s v="99185"/>
    <x v="73"/>
    <x v="66"/>
    <x v="22"/>
    <x v="2"/>
    <n v="15.02"/>
  </r>
  <r>
    <s v="DPOPPELL"/>
    <s v="04"/>
    <s v="GAONA, ESPER"/>
    <s v="WILLIAMSRD"/>
    <x v="349"/>
    <x v="4"/>
    <x v="2"/>
    <s v="Invoice"/>
    <s v="99189"/>
    <x v="28"/>
    <x v="23"/>
    <x v="22"/>
    <x v="2"/>
    <n v="2.5125000000000002"/>
  </r>
  <r>
    <s v="DPOPPELL"/>
    <s v="04"/>
    <s v="MIDWAYF"/>
    <s v="ALS - NORTH"/>
    <x v="349"/>
    <x v="4"/>
    <x v="2"/>
    <s v="Invoice"/>
    <s v="99190"/>
    <x v="27"/>
    <x v="22"/>
    <x v="22"/>
    <x v="2"/>
    <n v="6.5125000000000002"/>
  </r>
  <r>
    <s v="DPOPPELL"/>
    <s v="04"/>
    <s v="FLORIDAAG"/>
    <s v="DOVER"/>
    <x v="368"/>
    <x v="4"/>
    <x v="2"/>
    <s v="Invoice"/>
    <s v="99191"/>
    <x v="52"/>
    <x v="45"/>
    <x v="22"/>
    <x v="2"/>
    <n v="2.0099999999999998"/>
  </r>
  <r>
    <s v="DPOPPELL"/>
    <s v="04"/>
    <s v="SWEETLIFE"/>
    <s v="KNIGHTS GRIFFIN"/>
    <x v="368"/>
    <x v="4"/>
    <x v="2"/>
    <s v="Invoice"/>
    <s v="99192"/>
    <x v="27"/>
    <x v="22"/>
    <x v="22"/>
    <x v="2"/>
    <n v="5"/>
  </r>
  <r>
    <s v="DPOPPELL"/>
    <s v="04"/>
    <s v="JOSEHERN"/>
    <s v="SPARKMAN"/>
    <x v="368"/>
    <x v="4"/>
    <x v="2"/>
    <s v="Invoice"/>
    <s v="99194"/>
    <x v="58"/>
    <x v="51"/>
    <x v="22"/>
    <x v="2"/>
    <n v="10.02"/>
  </r>
  <r>
    <s v="DPOPPELL"/>
    <s v="04"/>
    <s v="JOSEHERN"/>
    <s v="SPARKMAN"/>
    <x v="368"/>
    <x v="4"/>
    <x v="2"/>
    <s v="Invoice"/>
    <s v="99194"/>
    <x v="357"/>
    <x v="317"/>
    <x v="25"/>
    <x v="0"/>
    <n v="3.75"/>
  </r>
  <r>
    <s v="DPOPPELL"/>
    <s v="04"/>
    <s v="STRAWBERRYR"/>
    <s v="RANCH 4"/>
    <x v="368"/>
    <x v="4"/>
    <x v="2"/>
    <s v="Invoice"/>
    <s v="99195"/>
    <x v="377"/>
    <x v="331"/>
    <x v="22"/>
    <x v="2"/>
    <n v="15.022500000000001"/>
  </r>
  <r>
    <s v="DPOPPELL"/>
    <s v="04"/>
    <s v="STRAWBERRYR"/>
    <s v="RANCH 4"/>
    <x v="368"/>
    <x v="4"/>
    <x v="2"/>
    <s v="Invoice"/>
    <s v="99195"/>
    <x v="357"/>
    <x v="317"/>
    <x v="25"/>
    <x v="0"/>
    <n v="5.625"/>
  </r>
  <r>
    <s v="DPOPPELL"/>
    <s v="04"/>
    <s v="IFASGULF"/>
    <s v="BALM-STRAWBERRY"/>
    <x v="369"/>
    <x v="4"/>
    <x v="2"/>
    <s v="Invoice"/>
    <s v="99198"/>
    <x v="28"/>
    <x v="23"/>
    <x v="22"/>
    <x v="2"/>
    <n v="7.5225"/>
  </r>
  <r>
    <s v="DPOPPELL"/>
    <s v="04"/>
    <s v="ROQUEFARMS"/>
    <s v="SWEETWATER"/>
    <x v="369"/>
    <x v="4"/>
    <x v="2"/>
    <s v="Invoice"/>
    <s v="99199"/>
    <x v="43"/>
    <x v="38"/>
    <x v="22"/>
    <x v="2"/>
    <n v="5"/>
  </r>
  <r>
    <s v="DPOPPELL"/>
    <s v="04"/>
    <s v="FANCYFAR"/>
    <s v="CASON1"/>
    <x v="369"/>
    <x v="4"/>
    <x v="2"/>
    <s v="Invoice"/>
    <s v="99200"/>
    <x v="401"/>
    <x v="347"/>
    <x v="22"/>
    <x v="2"/>
    <n v="14.9975"/>
  </r>
  <r>
    <s v="DPOPPELL"/>
    <s v="04"/>
    <s v="GUILLERMOV"/>
    <s v="MAIN"/>
    <x v="369"/>
    <x v="4"/>
    <x v="2"/>
    <s v="Invoice"/>
    <s v="99203"/>
    <x v="42"/>
    <x v="37"/>
    <x v="30"/>
    <x v="0"/>
    <n v="5"/>
  </r>
  <r>
    <s v="DPOPPELL"/>
    <s v="04"/>
    <s v="MIDWAYF"/>
    <s v="NURSERY"/>
    <x v="369"/>
    <x v="4"/>
    <x v="2"/>
    <s v="Invoice"/>
    <s v="99204"/>
    <x v="27"/>
    <x v="22"/>
    <x v="22"/>
    <x v="2"/>
    <n v="4"/>
  </r>
  <r>
    <s v="DPOPPELL"/>
    <s v="04"/>
    <s v="LEE GILLM"/>
    <s v="PASTUREPUMP"/>
    <x v="369"/>
    <x v="4"/>
    <x v="2"/>
    <s v="Invoice"/>
    <s v="99205"/>
    <x v="63"/>
    <x v="56"/>
    <x v="22"/>
    <x v="2"/>
    <n v="7.01"/>
  </r>
  <r>
    <s v="DPOPPELL"/>
    <s v="04"/>
    <s v="SYDNEYFA"/>
    <s v="FORBES/NORTH"/>
    <x v="369"/>
    <x v="4"/>
    <x v="2"/>
    <s v="Invoice"/>
    <s v="99211"/>
    <x v="377"/>
    <x v="331"/>
    <x v="22"/>
    <x v="2"/>
    <n v="5"/>
  </r>
  <r>
    <s v="DPOPPELL"/>
    <s v="04"/>
    <s v="ROQUEFARMS"/>
    <s v="MEEKHORIZON"/>
    <x v="369"/>
    <x v="4"/>
    <x v="2"/>
    <s v="Invoice"/>
    <s v="99212"/>
    <x v="43"/>
    <x v="38"/>
    <x v="22"/>
    <x v="2"/>
    <n v="5"/>
  </r>
  <r>
    <s v="DPOPPELL"/>
    <s v="04"/>
    <s v="FAVORITE"/>
    <s v="BETHLEHEM ROAD"/>
    <x v="369"/>
    <x v="4"/>
    <x v="2"/>
    <s v="Invoice"/>
    <s v="99213"/>
    <x v="28"/>
    <x v="23"/>
    <x v="22"/>
    <x v="2"/>
    <n v="5"/>
  </r>
  <r>
    <s v="DPOPPELL"/>
    <s v="04"/>
    <s v="FIDELCAS"/>
    <s v="MAILING"/>
    <x v="350"/>
    <x v="4"/>
    <x v="2"/>
    <s v="Invoice"/>
    <s v="99219"/>
    <x v="5"/>
    <x v="72"/>
    <x v="4"/>
    <x v="0"/>
    <n v="50"/>
  </r>
  <r>
    <s v="DPOPPELL"/>
    <s v="04"/>
    <s v="FCFARMS"/>
    <s v="GALLAGHER"/>
    <x v="350"/>
    <x v="4"/>
    <x v="2"/>
    <s v="Invoice"/>
    <s v="99224"/>
    <x v="69"/>
    <x v="62"/>
    <x v="22"/>
    <x v="2"/>
    <n v="2.4925000000000002"/>
  </r>
  <r>
    <s v="DPOPPELL"/>
    <s v="04"/>
    <s v="SYDNEYFA"/>
    <s v="FORBES ROAD"/>
    <x v="350"/>
    <x v="4"/>
    <x v="2"/>
    <s v="Invoice"/>
    <s v="99225"/>
    <x v="377"/>
    <x v="331"/>
    <x v="22"/>
    <x v="2"/>
    <n v="5.01"/>
  </r>
  <r>
    <s v="DPOPPELL"/>
    <s v="04"/>
    <s v="MENDOZAHEC"/>
    <s v="OLIVERRD"/>
    <x v="350"/>
    <x v="4"/>
    <x v="2"/>
    <s v="Invoice"/>
    <s v="99226"/>
    <x v="27"/>
    <x v="22"/>
    <x v="22"/>
    <x v="2"/>
    <n v="1.51"/>
  </r>
  <r>
    <s v="DPOPPELL"/>
    <s v="04"/>
    <s v="SANCHEZFARM"/>
    <s v="FORBES-N"/>
    <x v="350"/>
    <x v="4"/>
    <x v="2"/>
    <s v="Invoice"/>
    <s v="99227"/>
    <x v="59"/>
    <x v="52"/>
    <x v="22"/>
    <x v="2"/>
    <n v="14.02"/>
  </r>
  <r>
    <s v="DPOPPELL"/>
    <s v="04"/>
    <s v="JOEPENA"/>
    <s v="HWY 92"/>
    <x v="350"/>
    <x v="4"/>
    <x v="2"/>
    <s v="Invoice"/>
    <s v="99228"/>
    <x v="42"/>
    <x v="37"/>
    <x v="30"/>
    <x v="0"/>
    <n v="5"/>
  </r>
  <r>
    <s v="DPOPPELL"/>
    <s v="04"/>
    <s v="JOEPENA"/>
    <s v="HWY 92"/>
    <x v="350"/>
    <x v="4"/>
    <x v="2"/>
    <s v="Invoice"/>
    <s v="99230"/>
    <x v="114"/>
    <x v="101"/>
    <x v="22"/>
    <x v="2"/>
    <n v="1"/>
  </r>
  <r>
    <s v="DPOPPELL"/>
    <s v="04"/>
    <s v="SIMMONS"/>
    <s v="MAILING"/>
    <x v="350"/>
    <x v="4"/>
    <x v="2"/>
    <s v="Invoice"/>
    <s v="99231"/>
    <x v="53"/>
    <x v="46"/>
    <x v="22"/>
    <x v="2"/>
    <n v="0.15"/>
  </r>
  <r>
    <s v="DPOPPELL"/>
    <s v="04"/>
    <s v="FLORIDAAG"/>
    <s v="DOVER"/>
    <x v="351"/>
    <x v="4"/>
    <x v="2"/>
    <s v="Invoice"/>
    <s v="99238"/>
    <x v="28"/>
    <x v="23"/>
    <x v="22"/>
    <x v="2"/>
    <n v="0.15"/>
  </r>
  <r>
    <s v="DPOPPELL"/>
    <s v="04"/>
    <s v="THREESTA"/>
    <s v="WALDEN-SHEFFIEL"/>
    <x v="351"/>
    <x v="4"/>
    <x v="2"/>
    <s v="Invoice"/>
    <s v="99241"/>
    <x v="377"/>
    <x v="331"/>
    <x v="22"/>
    <x v="2"/>
    <n v="10.012499999999999"/>
  </r>
  <r>
    <s v="DPOPPELL"/>
    <s v="04"/>
    <s v="THREESTA"/>
    <s v="WALDEN-SHEFFIEL"/>
    <x v="351"/>
    <x v="4"/>
    <x v="2"/>
    <s v="Invoice"/>
    <s v="99241"/>
    <x v="357"/>
    <x v="317"/>
    <x v="25"/>
    <x v="0"/>
    <n v="3.75"/>
  </r>
  <r>
    <s v="DPOPPELL"/>
    <s v="04"/>
    <s v="FRANKLIN"/>
    <s v="MCGEE RD. NORTH"/>
    <x v="351"/>
    <x v="4"/>
    <x v="2"/>
    <s v="Invoice"/>
    <s v="99244"/>
    <x v="45"/>
    <x v="37"/>
    <x v="30"/>
    <x v="0"/>
    <n v="500"/>
  </r>
  <r>
    <s v="DPOPPELL"/>
    <s v="04"/>
    <s v="SWEETLIFE"/>
    <s v="SWINDLEN"/>
    <x v="361"/>
    <x v="4"/>
    <x v="2"/>
    <s v="Invoice"/>
    <s v="99246"/>
    <x v="27"/>
    <x v="22"/>
    <x v="22"/>
    <x v="2"/>
    <n v="10.02"/>
  </r>
  <r>
    <s v="DPOPPELL"/>
    <s v="04"/>
    <s v="SWEETLIFE"/>
    <s v="SWINDLES"/>
    <x v="361"/>
    <x v="4"/>
    <x v="2"/>
    <s v="Invoice"/>
    <s v="99247"/>
    <x v="27"/>
    <x v="22"/>
    <x v="22"/>
    <x v="2"/>
    <n v="10.022500000000001"/>
  </r>
  <r>
    <s v="DPOPPELL"/>
    <s v="04"/>
    <s v="BEAUCHAMP"/>
    <s v="GALLAGHER"/>
    <x v="361"/>
    <x v="4"/>
    <x v="2"/>
    <s v="Invoice"/>
    <s v="99248"/>
    <x v="50"/>
    <x v="43"/>
    <x v="22"/>
    <x v="2"/>
    <n v="9.9975000000000005"/>
  </r>
  <r>
    <s v="DPOPPELL"/>
    <s v="04"/>
    <s v="MIDWAYF"/>
    <s v="FORBES"/>
    <x v="361"/>
    <x v="4"/>
    <x v="2"/>
    <s v="Invoice"/>
    <s v="99249"/>
    <x v="27"/>
    <x v="22"/>
    <x v="22"/>
    <x v="2"/>
    <n v="5.0225"/>
  </r>
  <r>
    <s v="DPOPPELL"/>
    <s v="04"/>
    <s v="M&amp;GFARMS"/>
    <s v="ALLENRD"/>
    <x v="361"/>
    <x v="4"/>
    <x v="2"/>
    <s v="Invoice"/>
    <s v="99256"/>
    <x v="28"/>
    <x v="23"/>
    <x v="22"/>
    <x v="2"/>
    <n v="15.0075"/>
  </r>
  <r>
    <s v="DPOPPELL"/>
    <s v="04"/>
    <s v="SRISAIAY"/>
    <s v="SYDNEY DOVER"/>
    <x v="361"/>
    <x v="4"/>
    <x v="2"/>
    <s v="Invoice"/>
    <s v="99259"/>
    <x v="27"/>
    <x v="22"/>
    <x v="22"/>
    <x v="2"/>
    <n v="7.4974999999999996"/>
  </r>
  <r>
    <s v="DPOPPELL"/>
    <s v="04"/>
    <s v="DURGAFARMS"/>
    <s v="SYDNEYDOVER"/>
    <x v="361"/>
    <x v="4"/>
    <x v="2"/>
    <s v="Invoice"/>
    <s v="99260"/>
    <x v="27"/>
    <x v="22"/>
    <x v="22"/>
    <x v="2"/>
    <n v="3.7425000000000002"/>
  </r>
  <r>
    <s v="DPOPPELL"/>
    <s v="04"/>
    <s v="PARKESDA"/>
    <s v="BILOXI"/>
    <x v="361"/>
    <x v="4"/>
    <x v="2"/>
    <s v="Invoice"/>
    <s v="99261"/>
    <x v="65"/>
    <x v="58"/>
    <x v="22"/>
    <x v="2"/>
    <n v="10.0075"/>
  </r>
  <r>
    <s v="DPOPPELL"/>
    <s v="04"/>
    <s v="EWSIMMON"/>
    <s v="JERRYSMITH/SO"/>
    <x v="361"/>
    <x v="4"/>
    <x v="2"/>
    <s v="Invoice"/>
    <s v="99263"/>
    <x v="386"/>
    <x v="339"/>
    <x v="22"/>
    <x v="2"/>
    <n v="10.0075"/>
  </r>
  <r>
    <s v="DPOPPELL"/>
    <s v="04"/>
    <s v="EWSIMMON"/>
    <s v="JERRYSMITH/SO"/>
    <x v="361"/>
    <x v="4"/>
    <x v="2"/>
    <s v="Invoice"/>
    <s v="99263"/>
    <x v="357"/>
    <x v="317"/>
    <x v="25"/>
    <x v="0"/>
    <n v="3.75"/>
  </r>
  <r>
    <s v="DPOPPELL"/>
    <s v="04"/>
    <s v="PARKESDA"/>
    <s v="I-4"/>
    <x v="361"/>
    <x v="4"/>
    <x v="2"/>
    <s v="Invoice"/>
    <s v="99264"/>
    <x v="65"/>
    <x v="58"/>
    <x v="22"/>
    <x v="2"/>
    <n v="2.4950000000000001"/>
  </r>
  <r>
    <s v="DPOPPELL"/>
    <s v="04"/>
    <s v="VENTURAFARMS"/>
    <s v="GALLAGHER"/>
    <x v="352"/>
    <x v="4"/>
    <x v="2"/>
    <s v="Invoice"/>
    <s v="99266"/>
    <x v="56"/>
    <x v="49"/>
    <x v="22"/>
    <x v="2"/>
    <n v="1.5"/>
  </r>
  <r>
    <s v="DPOPPELL"/>
    <s v="04"/>
    <s v="SWEETLIFE"/>
    <s v="BRYANT S"/>
    <x v="352"/>
    <x v="4"/>
    <x v="2"/>
    <s v="Invoice"/>
    <s v="99267"/>
    <x v="27"/>
    <x v="22"/>
    <x v="22"/>
    <x v="2"/>
    <n v="8.5"/>
  </r>
  <r>
    <s v="DPOPPELL"/>
    <s v="04"/>
    <s v="FORTGREENFARMS"/>
    <s v="FTGREEN"/>
    <x v="352"/>
    <x v="4"/>
    <x v="2"/>
    <s v="Invoice"/>
    <s v="99268"/>
    <x v="58"/>
    <x v="51"/>
    <x v="22"/>
    <x v="2"/>
    <n v="7.5"/>
  </r>
  <r>
    <s v="DPOPPELL"/>
    <s v="04"/>
    <s v="STRAWBERRYR"/>
    <s v="RANCH 4"/>
    <x v="352"/>
    <x v="4"/>
    <x v="2"/>
    <s v="Invoice"/>
    <s v="99270"/>
    <x v="64"/>
    <x v="57"/>
    <x v="22"/>
    <x v="2"/>
    <n v="14.99"/>
  </r>
  <r>
    <s v="DPOPPELL"/>
    <s v="04"/>
    <s v="STRAWBERRYR"/>
    <s v="RANCH 4"/>
    <x v="352"/>
    <x v="4"/>
    <x v="2"/>
    <s v="Invoice"/>
    <s v="99270"/>
    <x v="357"/>
    <x v="317"/>
    <x v="25"/>
    <x v="0"/>
    <n v="5.625"/>
  </r>
  <r>
    <s v="DPOPPELL"/>
    <s v="04"/>
    <s v="STRAWBERRYR"/>
    <s v="RANCH 1"/>
    <x v="352"/>
    <x v="4"/>
    <x v="2"/>
    <s v="Invoice"/>
    <s v="99271"/>
    <x v="64"/>
    <x v="57"/>
    <x v="22"/>
    <x v="2"/>
    <n v="15.01"/>
  </r>
  <r>
    <s v="DPOPPELL"/>
    <s v="04"/>
    <s v="STRAWBERRYR"/>
    <s v="RANCH 1"/>
    <x v="352"/>
    <x v="4"/>
    <x v="2"/>
    <s v="Invoice"/>
    <s v="99271"/>
    <x v="357"/>
    <x v="317"/>
    <x v="25"/>
    <x v="0"/>
    <n v="5.625"/>
  </r>
  <r>
    <s v="DPOPPELL"/>
    <s v="04"/>
    <s v="MIDWAYF"/>
    <s v="WILDER RD."/>
    <x v="352"/>
    <x v="4"/>
    <x v="2"/>
    <s v="Invoice"/>
    <s v="99273"/>
    <x v="27"/>
    <x v="22"/>
    <x v="22"/>
    <x v="2"/>
    <n v="10.0025"/>
  </r>
  <r>
    <s v="DPOPPELL"/>
    <s v="04"/>
    <s v="BERRYBLISS"/>
    <s v="TRAPNELL"/>
    <x v="352"/>
    <x v="4"/>
    <x v="2"/>
    <s v="Invoice"/>
    <s v="99274"/>
    <x v="58"/>
    <x v="51"/>
    <x v="22"/>
    <x v="2"/>
    <n v="2.4874999999999998"/>
  </r>
  <r>
    <s v="DPOPPELL"/>
    <s v="04"/>
    <s v="MIDWAYF"/>
    <s v="WILDER RD."/>
    <x v="352"/>
    <x v="4"/>
    <x v="2"/>
    <s v="Invoice"/>
    <s v="99275"/>
    <x v="27"/>
    <x v="22"/>
    <x v="22"/>
    <x v="2"/>
    <n v="2.0125000000000002"/>
  </r>
  <r>
    <s v="DPOPPELL"/>
    <s v="04"/>
    <s v="PARKESDA"/>
    <s v="BLACKBERRIES"/>
    <x v="362"/>
    <x v="4"/>
    <x v="2"/>
    <s v="Invoice"/>
    <s v="99281"/>
    <x v="69"/>
    <x v="62"/>
    <x v="22"/>
    <x v="2"/>
    <n v="1.2549999999999999"/>
  </r>
  <r>
    <s v="DPOPPELL"/>
    <s v="04"/>
    <s v="CARLTONTHOMAS"/>
    <s v="GRANGEHALL"/>
    <x v="362"/>
    <x v="4"/>
    <x v="2"/>
    <s v="Invoice"/>
    <s v="99282"/>
    <x v="71"/>
    <x v="64"/>
    <x v="22"/>
    <x v="2"/>
    <n v="15.012499999999999"/>
  </r>
  <r>
    <s v="DPOPPELL"/>
    <s v="04"/>
    <s v="GUTIERREZA"/>
    <s v="DUETTE"/>
    <x v="362"/>
    <x v="4"/>
    <x v="2"/>
    <s v="Invoice"/>
    <s v="99283"/>
    <x v="69"/>
    <x v="62"/>
    <x v="22"/>
    <x v="2"/>
    <n v="10.012499999999999"/>
  </r>
  <r>
    <s v="DPOPPELL"/>
    <s v="04"/>
    <s v="MIKELOTT"/>
    <s v="RUSSELLS"/>
    <x v="362"/>
    <x v="4"/>
    <x v="2"/>
    <s v="Invoice"/>
    <s v="99284"/>
    <x v="58"/>
    <x v="51"/>
    <x v="22"/>
    <x v="2"/>
    <n v="1.25"/>
  </r>
  <r>
    <s v="DPOPPELL"/>
    <s v="04"/>
    <s v="GUTIERREZA"/>
    <s v="WASHINGTON"/>
    <x v="362"/>
    <x v="4"/>
    <x v="2"/>
    <s v="Invoice"/>
    <s v="99287"/>
    <x v="69"/>
    <x v="62"/>
    <x v="22"/>
    <x v="2"/>
    <n v="3.9950000000000001"/>
  </r>
  <r>
    <s v="DPOPPELL"/>
    <s v="04"/>
    <s v="CHARLIEG-LLC"/>
    <s v="DAIRY"/>
    <x v="362"/>
    <x v="4"/>
    <x v="2"/>
    <s v="Invoice"/>
    <s v="99288"/>
    <x v="27"/>
    <x v="22"/>
    <x v="22"/>
    <x v="2"/>
    <n v="10.015000000000001"/>
  </r>
  <r>
    <s v="DPOPPELL"/>
    <s v="04"/>
    <s v="SWEETFARMS"/>
    <s v="JIMJOHNSON"/>
    <x v="362"/>
    <x v="4"/>
    <x v="2"/>
    <s v="Invoice"/>
    <s v="99289"/>
    <x v="58"/>
    <x v="51"/>
    <x v="22"/>
    <x v="2"/>
    <n v="2.5024999999999999"/>
  </r>
  <r>
    <s v="DPOPPELL"/>
    <s v="04"/>
    <s v="SWEETFARMS"/>
    <s v="JIMJOHNSON"/>
    <x v="362"/>
    <x v="4"/>
    <x v="2"/>
    <s v="Invoice"/>
    <s v="99289"/>
    <x v="357"/>
    <x v="317"/>
    <x v="25"/>
    <x v="0"/>
    <n v="0.9375"/>
  </r>
  <r>
    <s v="DPOPPELL"/>
    <s v="04"/>
    <s v="ALVAREZJ"/>
    <s v="SYDNEY RD"/>
    <x v="362"/>
    <x v="4"/>
    <x v="2"/>
    <s v="Invoice"/>
    <s v="99294"/>
    <x v="58"/>
    <x v="51"/>
    <x v="22"/>
    <x v="2"/>
    <n v="2.0099999999999998"/>
  </r>
  <r>
    <s v="DPOPPELL"/>
    <s v="04"/>
    <s v="CHAVEZJOR"/>
    <s v="JOSE' CHAV- COD"/>
    <x v="362"/>
    <x v="4"/>
    <x v="2"/>
    <s v="Invoice"/>
    <s v="99295"/>
    <x v="53"/>
    <x v="46"/>
    <x v="22"/>
    <x v="2"/>
    <n v="0.15"/>
  </r>
  <r>
    <s v="DPOPPELL"/>
    <s v="04"/>
    <s v="TRUEALGAE"/>
    <s v="MAILIING"/>
    <x v="363"/>
    <x v="4"/>
    <x v="2"/>
    <s v="Invoice"/>
    <s v="99297"/>
    <x v="61"/>
    <x v="54"/>
    <x v="31"/>
    <x v="0"/>
    <n v="50"/>
  </r>
  <r>
    <s v="DPOPPELL"/>
    <s v="04"/>
    <s v="SWEETLIFE"/>
    <s v="KNIGHTS GRIFFIN"/>
    <x v="362"/>
    <x v="4"/>
    <x v="2"/>
    <s v="Invoice"/>
    <s v="99298"/>
    <x v="27"/>
    <x v="22"/>
    <x v="22"/>
    <x v="2"/>
    <n v="10.0075"/>
  </r>
  <r>
    <s v="DPOPPELL"/>
    <s v="04"/>
    <s v="TWINFARMS"/>
    <s v="WIMAUMA"/>
    <x v="363"/>
    <x v="4"/>
    <x v="2"/>
    <s v="Invoice"/>
    <s v="99299"/>
    <x v="58"/>
    <x v="51"/>
    <x v="22"/>
    <x v="2"/>
    <n v="2"/>
  </r>
  <r>
    <s v="DPOPPELL"/>
    <s v="04"/>
    <s v="SPIVEYFA"/>
    <s v="HOPEWELL"/>
    <x v="363"/>
    <x v="4"/>
    <x v="2"/>
    <s v="Invoice"/>
    <s v="99301"/>
    <x v="56"/>
    <x v="49"/>
    <x v="22"/>
    <x v="2"/>
    <n v="3.5074999999999998"/>
  </r>
  <r>
    <s v="DPOPPELL"/>
    <s v="04"/>
    <s v="GUTIERREZA"/>
    <s v="DUETTE"/>
    <x v="363"/>
    <x v="4"/>
    <x v="2"/>
    <s v="Invoice"/>
    <s v="99302"/>
    <x v="69"/>
    <x v="62"/>
    <x v="22"/>
    <x v="2"/>
    <n v="10.02"/>
  </r>
  <r>
    <s v="DPOPPELL"/>
    <s v="04"/>
    <s v="FAVORITE"/>
    <s v="MCINTOSH ROAD"/>
    <x v="363"/>
    <x v="4"/>
    <x v="2"/>
    <s v="Invoice"/>
    <s v="99303"/>
    <x v="28"/>
    <x v="23"/>
    <x v="22"/>
    <x v="2"/>
    <n v="9.9975000000000005"/>
  </r>
  <r>
    <s v="DPOPPELL"/>
    <s v="04"/>
    <s v="TWINFARMS"/>
    <s v="MAIN"/>
    <x v="363"/>
    <x v="4"/>
    <x v="2"/>
    <s v="Invoice"/>
    <s v="99304"/>
    <x v="77"/>
    <x v="37"/>
    <x v="30"/>
    <x v="0"/>
    <n v="30"/>
  </r>
  <r>
    <s v="DPOPPELL"/>
    <s v="04"/>
    <s v="GILLMANBUDD"/>
    <s v="EDITH DELANEY"/>
    <x v="363"/>
    <x v="4"/>
    <x v="2"/>
    <s v="Invoice"/>
    <s v="99305"/>
    <x v="63"/>
    <x v="56"/>
    <x v="22"/>
    <x v="2"/>
    <n v="5.0025000000000004"/>
  </r>
  <r>
    <s v="DPOPPELL"/>
    <s v="04"/>
    <s v="CHARLIEG-LLC"/>
    <s v="DAIRY"/>
    <x v="363"/>
    <x v="4"/>
    <x v="2"/>
    <s v="Invoice"/>
    <s v="99308"/>
    <x v="27"/>
    <x v="22"/>
    <x v="22"/>
    <x v="2"/>
    <n v="15.0025"/>
  </r>
  <r>
    <s v="DPOPPELL"/>
    <s v="04"/>
    <s v="SWEETFARMS"/>
    <s v="SPRINGHEAD"/>
    <x v="363"/>
    <x v="4"/>
    <x v="2"/>
    <s v="Invoice"/>
    <s v="99309"/>
    <x v="58"/>
    <x v="51"/>
    <x v="22"/>
    <x v="2"/>
    <n v="2.0049999999999999"/>
  </r>
  <r>
    <s v="DPOPPELL"/>
    <s v="04"/>
    <s v="SWEETFARMS"/>
    <s v="SPRINGHEAD"/>
    <x v="363"/>
    <x v="4"/>
    <x v="2"/>
    <s v="Invoice"/>
    <s v="99309"/>
    <x v="357"/>
    <x v="317"/>
    <x v="25"/>
    <x v="0"/>
    <n v="0.75"/>
  </r>
  <r>
    <s v="DPOPPELL"/>
    <s v="04"/>
    <s v="CIRCLEGF&amp;R LLC"/>
    <s v="KNIGHTS-N-#16"/>
    <x v="363"/>
    <x v="4"/>
    <x v="2"/>
    <s v="Invoice"/>
    <s v="99310"/>
    <x v="27"/>
    <x v="22"/>
    <x v="22"/>
    <x v="2"/>
    <n v="14"/>
  </r>
  <r>
    <s v="DPOPPELL"/>
    <s v="04"/>
    <s v="CIRCLEGF&amp;R LLC"/>
    <s v="KNIGHTS-N-#13"/>
    <x v="363"/>
    <x v="4"/>
    <x v="2"/>
    <s v="Invoice"/>
    <s v="99316"/>
    <x v="27"/>
    <x v="22"/>
    <x v="22"/>
    <x v="2"/>
    <n v="2.5"/>
  </r>
  <r>
    <s v="DPOPPELL"/>
    <s v="04"/>
    <s v="ALONSOFARMS"/>
    <s v="SCARPO"/>
    <x v="363"/>
    <x v="4"/>
    <x v="2"/>
    <s v="Invoice"/>
    <s v="99317"/>
    <x v="28"/>
    <x v="23"/>
    <x v="22"/>
    <x v="2"/>
    <n v="7.5125000000000002"/>
  </r>
  <r>
    <s v="DPOPPELL"/>
    <s v="04"/>
    <s v="CIRCLEGF&amp;R LLC"/>
    <s v="PUMP4"/>
    <x v="363"/>
    <x v="4"/>
    <x v="2"/>
    <s v="Invoice"/>
    <s v="99318"/>
    <x v="27"/>
    <x v="22"/>
    <x v="22"/>
    <x v="2"/>
    <n v="15.0075"/>
  </r>
  <r>
    <s v="DPOPPELL"/>
    <s v="04"/>
    <s v="ALONSOFARMS"/>
    <s v="WIMAUMA"/>
    <x v="365"/>
    <x v="4"/>
    <x v="2"/>
    <s v="Invoice"/>
    <s v="99320"/>
    <x v="28"/>
    <x v="23"/>
    <x v="22"/>
    <x v="2"/>
    <n v="5.01"/>
  </r>
  <r>
    <s v="DPOPPELL"/>
    <s v="04"/>
    <s v="JOSEHERN"/>
    <s v="SPARKMAN"/>
    <x v="365"/>
    <x v="4"/>
    <x v="2"/>
    <s v="Invoice"/>
    <s v="99323"/>
    <x v="58"/>
    <x v="51"/>
    <x v="22"/>
    <x v="2"/>
    <n v="10"/>
  </r>
  <r>
    <s v="DPOPPELL"/>
    <s v="04"/>
    <s v="JOSEHERN"/>
    <s v="SPARKMAN"/>
    <x v="365"/>
    <x v="4"/>
    <x v="2"/>
    <s v="Invoice"/>
    <s v="99323"/>
    <x v="357"/>
    <x v="317"/>
    <x v="25"/>
    <x v="0"/>
    <n v="3.75"/>
  </r>
  <r>
    <s v="DPOPPELL"/>
    <s v="04"/>
    <s v="FLORIDAAG"/>
    <s v="DOVER"/>
    <x v="365"/>
    <x v="4"/>
    <x v="2"/>
    <s v="Invoice"/>
    <s v="99324"/>
    <x v="42"/>
    <x v="37"/>
    <x v="30"/>
    <x v="0"/>
    <n v="10"/>
  </r>
  <r>
    <s v="DPOPPELL"/>
    <s v="04"/>
    <s v="5KFARMS"/>
    <s v="MAIN"/>
    <x v="365"/>
    <x v="4"/>
    <x v="2"/>
    <s v="Invoice"/>
    <s v="99328"/>
    <x v="396"/>
    <x v="157"/>
    <x v="49"/>
    <x v="0"/>
    <n v="45"/>
  </r>
  <r>
    <s v="DPOPPELL"/>
    <s v="04"/>
    <s v="SWEETLIFE"/>
    <s v="KNIGHTS GRIFFIN"/>
    <x v="365"/>
    <x v="4"/>
    <x v="2"/>
    <s v="Invoice"/>
    <s v="99329"/>
    <x v="27"/>
    <x v="22"/>
    <x v="22"/>
    <x v="2"/>
    <n v="9.9949999999999992"/>
  </r>
  <r>
    <s v="DPOPPELL"/>
    <s v="04"/>
    <s v="SWEETLIFE"/>
    <s v="KNIGHTS GRIFFIN"/>
    <x v="365"/>
    <x v="4"/>
    <x v="2"/>
    <s v="Invoice"/>
    <s v="99330"/>
    <x v="27"/>
    <x v="22"/>
    <x v="22"/>
    <x v="2"/>
    <n v="4.9924999999999997"/>
  </r>
  <r>
    <s v="DPOPPELL"/>
    <s v="04"/>
    <s v="SOUTHERNHILL"/>
    <s v="SCHOFIELD"/>
    <x v="365"/>
    <x v="4"/>
    <x v="2"/>
    <s v="Invoice"/>
    <s v="99331"/>
    <x v="47"/>
    <x v="41"/>
    <x v="22"/>
    <x v="2"/>
    <n v="7.0049999999999999"/>
  </r>
  <r>
    <s v="DPOPPELL"/>
    <s v="04"/>
    <s v="SOUTHERNHILL"/>
    <s v="SCHOFIELD"/>
    <x v="365"/>
    <x v="4"/>
    <x v="2"/>
    <s v="Invoice"/>
    <s v="99332"/>
    <x v="43"/>
    <x v="38"/>
    <x v="22"/>
    <x v="2"/>
    <n v="2.4975000000000001"/>
  </r>
  <r>
    <s v="DPOPPELL"/>
    <s v="04"/>
    <s v="RAILROADCITY"/>
    <s v="MOTTRD"/>
    <x v="353"/>
    <x v="4"/>
    <x v="2"/>
    <s v="Invoice"/>
    <s v="99335"/>
    <x v="43"/>
    <x v="38"/>
    <x v="22"/>
    <x v="2"/>
    <n v="1.25"/>
  </r>
  <r>
    <s v="DPOPPELL"/>
    <s v="04"/>
    <s v="MENDOZAHEC"/>
    <s v="HWY60"/>
    <x v="353"/>
    <x v="4"/>
    <x v="2"/>
    <s v="Invoice"/>
    <s v="99336"/>
    <x v="27"/>
    <x v="22"/>
    <x v="22"/>
    <x v="2"/>
    <n v="8.51"/>
  </r>
  <r>
    <s v="DPOPPELL"/>
    <s v="04"/>
    <s v="BONIFACIO"/>
    <s v="BONIFACIO"/>
    <x v="353"/>
    <x v="4"/>
    <x v="2"/>
    <s v="Invoice"/>
    <s v="99337"/>
    <x v="77"/>
    <x v="37"/>
    <x v="30"/>
    <x v="0"/>
    <n v="60"/>
  </r>
  <r>
    <s v="DPOPPELL"/>
    <s v="04"/>
    <s v="MIDWAYF"/>
    <s v="SAMALLEN"/>
    <x v="353"/>
    <x v="4"/>
    <x v="2"/>
    <s v="Invoice"/>
    <s v="99338"/>
    <x v="27"/>
    <x v="22"/>
    <x v="22"/>
    <x v="2"/>
    <n v="15.005000000000001"/>
  </r>
  <r>
    <s v="DPOPPELL"/>
    <s v="04"/>
    <s v="MIDWAYF"/>
    <s v="HAGGERTY ROAD"/>
    <x v="353"/>
    <x v="4"/>
    <x v="2"/>
    <s v="Invoice"/>
    <s v="99341"/>
    <x v="27"/>
    <x v="22"/>
    <x v="22"/>
    <x v="2"/>
    <n v="7.0025000000000004"/>
  </r>
  <r>
    <s v="DPOPPELL"/>
    <s v="04"/>
    <s v="FANCYFAR"/>
    <s v="CASON1"/>
    <x v="356"/>
    <x v="4"/>
    <x v="2"/>
    <s v="Invoice"/>
    <s v="99347"/>
    <x v="401"/>
    <x v="347"/>
    <x v="22"/>
    <x v="2"/>
    <n v="15.0075"/>
  </r>
  <r>
    <s v="DPOPPELL"/>
    <s v="04"/>
    <s v="MIDWAYF"/>
    <s v="ALS - NORTH"/>
    <x v="356"/>
    <x v="4"/>
    <x v="2"/>
    <s v="Invoice"/>
    <s v="99349"/>
    <x v="27"/>
    <x v="22"/>
    <x v="22"/>
    <x v="2"/>
    <n v="4.4874999999999998"/>
  </r>
  <r>
    <s v="DPOPPELL"/>
    <s v="04"/>
    <s v="JOSEHERN"/>
    <s v="KEYSVILLE N"/>
    <x v="356"/>
    <x v="4"/>
    <x v="2"/>
    <s v="Invoice"/>
    <s v="99352"/>
    <x v="58"/>
    <x v="51"/>
    <x v="22"/>
    <x v="2"/>
    <n v="15.0175"/>
  </r>
  <r>
    <s v="DPOPPELL"/>
    <s v="04"/>
    <s v="SWEETLIFE"/>
    <s v="GALLAGHER"/>
    <x v="354"/>
    <x v="4"/>
    <x v="2"/>
    <s v="Invoice"/>
    <s v="99361"/>
    <x v="27"/>
    <x v="22"/>
    <x v="22"/>
    <x v="2"/>
    <n v="9.9550000000000001"/>
  </r>
  <r>
    <s v="DPOPPELL"/>
    <s v="04"/>
    <s v="FRANKLIN"/>
    <s v="MCGEE RD. NORTH"/>
    <x v="354"/>
    <x v="4"/>
    <x v="2"/>
    <s v="Invoice"/>
    <s v="99362"/>
    <x v="145"/>
    <x v="126"/>
    <x v="22"/>
    <x v="2"/>
    <n v="8.01"/>
  </r>
  <r>
    <s v="DPOPPELL"/>
    <s v="04"/>
    <s v="ROQUEFARMS"/>
    <s v="SWEETWATER"/>
    <x v="357"/>
    <x v="4"/>
    <x v="2"/>
    <s v="Invoice"/>
    <s v="99366"/>
    <x v="109"/>
    <x v="80"/>
    <x v="2"/>
    <x v="0"/>
    <n v="250"/>
  </r>
  <r>
    <s v="DPOPPELL"/>
    <s v="04"/>
    <s v="ROQUEFARMS"/>
    <s v="SWEETWATER"/>
    <x v="357"/>
    <x v="4"/>
    <x v="2"/>
    <s v="Invoice"/>
    <s v="99366"/>
    <x v="110"/>
    <x v="97"/>
    <x v="16"/>
    <x v="0"/>
    <n v="250"/>
  </r>
  <r>
    <s v="DPOPPELL"/>
    <s v="04"/>
    <s v="SWEETLIFE"/>
    <s v="KEENE RD."/>
    <x v="357"/>
    <x v="4"/>
    <x v="2"/>
    <s v="Invoice"/>
    <s v="99370"/>
    <x v="27"/>
    <x v="22"/>
    <x v="22"/>
    <x v="2"/>
    <n v="13.9975"/>
  </r>
  <r>
    <s v="DPOPPELL"/>
    <s v="04"/>
    <s v="FANCYFAR"/>
    <s v="VOLVO"/>
    <x v="357"/>
    <x v="4"/>
    <x v="2"/>
    <s v="Invoice"/>
    <s v="99373"/>
    <x v="43"/>
    <x v="38"/>
    <x v="22"/>
    <x v="2"/>
    <n v="10"/>
  </r>
  <r>
    <s v="DPOPPELL"/>
    <s v="04"/>
    <s v="BEAUCHAMP"/>
    <s v="GALLAGHER"/>
    <x v="357"/>
    <x v="4"/>
    <x v="2"/>
    <s v="Invoice"/>
    <s v="99374"/>
    <x v="50"/>
    <x v="43"/>
    <x v="22"/>
    <x v="2"/>
    <n v="4.0149999999999997"/>
  </r>
  <r>
    <s v="DPOPPELL"/>
    <s v="04"/>
    <s v="SWEETLIFE"/>
    <s v="SAMALLEN-SOUTH"/>
    <x v="357"/>
    <x v="4"/>
    <x v="2"/>
    <s v="Invoice"/>
    <s v="99375"/>
    <x v="27"/>
    <x v="22"/>
    <x v="22"/>
    <x v="2"/>
    <n v="7.4924999999999997"/>
  </r>
  <r>
    <s v="DPOPPELL"/>
    <s v="04"/>
    <s v="THREESTA"/>
    <s v="WALDEN-SHEFFIEL"/>
    <x v="357"/>
    <x v="4"/>
    <x v="2"/>
    <s v="Invoice"/>
    <s v="99377"/>
    <x v="64"/>
    <x v="57"/>
    <x v="22"/>
    <x v="2"/>
    <n v="10.01"/>
  </r>
  <r>
    <s v=""/>
    <s v="04"/>
    <s v="PORTER HA"/>
    <s v="BILLS PLACE"/>
    <x v="357"/>
    <x v="4"/>
    <x v="2"/>
    <s v="Invoice"/>
    <s v="99378"/>
    <x v="27"/>
    <x v="22"/>
    <x v="22"/>
    <x v="2"/>
    <n v="2.4950000000000001"/>
  </r>
  <r>
    <s v="DPOPPELL"/>
    <s v="04"/>
    <s v="EWSIMMON"/>
    <s v="JERRY SMITH RD"/>
    <x v="357"/>
    <x v="4"/>
    <x v="2"/>
    <s v="Invoice"/>
    <s v="99381"/>
    <x v="65"/>
    <x v="58"/>
    <x v="22"/>
    <x v="2"/>
    <n v="4.9775"/>
  </r>
  <r>
    <s v="DPOPPELL"/>
    <s v="04"/>
    <s v="MIKELOTT"/>
    <s v="HILLSBOROUGH"/>
    <x v="357"/>
    <x v="4"/>
    <x v="2"/>
    <s v="Invoice"/>
    <s v="99382"/>
    <x v="58"/>
    <x v="51"/>
    <x v="22"/>
    <x v="2"/>
    <n v="5.0049999999999999"/>
  </r>
  <r>
    <s v=""/>
    <s v="04"/>
    <s v="PORTER HA"/>
    <s v="PASTURE"/>
    <x v="357"/>
    <x v="4"/>
    <x v="2"/>
    <s v="Invoice"/>
    <s v="99383"/>
    <x v="27"/>
    <x v="22"/>
    <x v="22"/>
    <x v="2"/>
    <n v="4.9950000000000001"/>
  </r>
  <r>
    <s v=""/>
    <s v="04"/>
    <s v="VENTURAFARMS"/>
    <s v="MAIN"/>
    <x v="357"/>
    <x v="4"/>
    <x v="2"/>
    <s v="Invoice"/>
    <s v="99384"/>
    <x v="42"/>
    <x v="37"/>
    <x v="30"/>
    <x v="0"/>
    <n v="5"/>
  </r>
  <r>
    <s v="DPOPPELL"/>
    <s v="04"/>
    <s v="CARLTONTHOMAS"/>
    <s v="GRANGEHALL"/>
    <x v="366"/>
    <x v="4"/>
    <x v="2"/>
    <s v="Invoice"/>
    <s v="99388"/>
    <x v="71"/>
    <x v="64"/>
    <x v="22"/>
    <x v="2"/>
    <n v="15.01"/>
  </r>
  <r>
    <s v="DPOPPELL"/>
    <s v="04"/>
    <s v="FERRISFA"/>
    <s v="STRABERRIES"/>
    <x v="366"/>
    <x v="4"/>
    <x v="2"/>
    <s v="Invoice"/>
    <s v="99389"/>
    <x v="154"/>
    <x v="136"/>
    <x v="22"/>
    <x v="2"/>
    <n v="15.01"/>
  </r>
  <r>
    <s v="DPOPPELL"/>
    <s v="04"/>
    <s v="M&amp;GFARMS"/>
    <s v="SR-674"/>
    <x v="366"/>
    <x v="4"/>
    <x v="2"/>
    <s v="Invoice"/>
    <s v="99391"/>
    <x v="28"/>
    <x v="23"/>
    <x v="22"/>
    <x v="2"/>
    <n v="8.0124999999999993"/>
  </r>
  <r>
    <s v="DPOPPELL"/>
    <s v="04"/>
    <s v="FORTGREENFARMS"/>
    <s v="FTGREEN"/>
    <x v="366"/>
    <x v="4"/>
    <x v="2"/>
    <s v="Invoice"/>
    <s v="99392"/>
    <x v="58"/>
    <x v="51"/>
    <x v="22"/>
    <x v="2"/>
    <n v="5"/>
  </r>
  <r>
    <s v="DPOPPELL"/>
    <s v="04"/>
    <s v="JOSEHERN"/>
    <s v="TRAPNELL RD/E"/>
    <x v="358"/>
    <x v="4"/>
    <x v="2"/>
    <s v="Invoice"/>
    <s v="99394"/>
    <x v="43"/>
    <x v="38"/>
    <x v="22"/>
    <x v="2"/>
    <n v="2.0024999999999999"/>
  </r>
  <r>
    <s v="DPOPPELL"/>
    <s v="04"/>
    <s v="HINTONFA"/>
    <s v="FARM #2 NORTH"/>
    <x v="358"/>
    <x v="4"/>
    <x v="2"/>
    <s v="Invoice"/>
    <s v="99395"/>
    <x v="154"/>
    <x v="136"/>
    <x v="22"/>
    <x v="2"/>
    <n v="4.0025000000000004"/>
  </r>
  <r>
    <s v="DPOPPELL"/>
    <s v="04"/>
    <s v="FLORIDAAG"/>
    <s v="KINGSWAY"/>
    <x v="358"/>
    <x v="4"/>
    <x v="2"/>
    <s v="Invoice"/>
    <s v="99400"/>
    <x v="326"/>
    <x v="289"/>
    <x v="22"/>
    <x v="2"/>
    <n v="2.0074999999999998"/>
  </r>
  <r>
    <s v="DPOPPELL"/>
    <s v="04"/>
    <s v="GILLMANBUDD"/>
    <s v="FORBES"/>
    <x v="358"/>
    <x v="4"/>
    <x v="2"/>
    <s v="Invoice"/>
    <s v="99401"/>
    <x v="63"/>
    <x v="56"/>
    <x v="22"/>
    <x v="2"/>
    <n v="2.5"/>
  </r>
  <r>
    <s v="DPOPPELL"/>
    <s v="04"/>
    <s v="BERRYBLISS"/>
    <s v="JAUDONSOUTH"/>
    <x v="358"/>
    <x v="4"/>
    <x v="2"/>
    <s v="Invoice"/>
    <s v="99402"/>
    <x v="43"/>
    <x v="38"/>
    <x v="22"/>
    <x v="2"/>
    <n v="1.2549999999999999"/>
  </r>
  <r>
    <s v="DPOPPELL"/>
    <s v="04"/>
    <s v="FAVORITE"/>
    <s v="BETHLEHEM ROAD"/>
    <x v="358"/>
    <x v="4"/>
    <x v="2"/>
    <s v="Invoice"/>
    <s v="99404"/>
    <x v="28"/>
    <x v="23"/>
    <x v="22"/>
    <x v="2"/>
    <n v="4.9950000000000001"/>
  </r>
  <r>
    <s v="DPOPPELL"/>
    <s v="04"/>
    <s v="FRANKLIN"/>
    <s v="FRANKLIN FARM"/>
    <x v="358"/>
    <x v="4"/>
    <x v="2"/>
    <s v="Invoice"/>
    <s v="99405"/>
    <x v="43"/>
    <x v="38"/>
    <x v="22"/>
    <x v="2"/>
    <n v="10.02"/>
  </r>
  <r>
    <s v="DPOPPELL"/>
    <s v="04"/>
    <s v="SYDNEYFA"/>
    <s v="FORBES ROAD"/>
    <x v="367"/>
    <x v="4"/>
    <x v="2"/>
    <s v="Invoice"/>
    <s v="99408"/>
    <x v="64"/>
    <x v="57"/>
    <x v="22"/>
    <x v="2"/>
    <n v="14.99"/>
  </r>
  <r>
    <s v="DPOPPELL"/>
    <s v="04"/>
    <s v="MIDWAYF"/>
    <s v="FUTCH"/>
    <x v="367"/>
    <x v="4"/>
    <x v="2"/>
    <s v="Invoice"/>
    <s v="99410"/>
    <x v="27"/>
    <x v="22"/>
    <x v="22"/>
    <x v="2"/>
    <n v="6.9824999999999999"/>
  </r>
  <r>
    <s v="DPOPPELL"/>
    <s v="04"/>
    <s v="GUTIERREZA"/>
    <s v="AL SIMMONS RD"/>
    <x v="367"/>
    <x v="4"/>
    <x v="2"/>
    <s v="Invoice"/>
    <s v="99413"/>
    <x v="43"/>
    <x v="38"/>
    <x v="22"/>
    <x v="2"/>
    <n v="5.0075000000000003"/>
  </r>
  <r>
    <s v="DPOPPELL"/>
    <s v="04"/>
    <s v="GUTIERREZA"/>
    <s v="WASHINGTON"/>
    <x v="367"/>
    <x v="4"/>
    <x v="2"/>
    <s v="Invoice"/>
    <s v="99414"/>
    <x v="69"/>
    <x v="62"/>
    <x v="22"/>
    <x v="2"/>
    <n v="10.0075"/>
  </r>
  <r>
    <s v=""/>
    <s v="04"/>
    <s v="ELIASCEDILLO"/>
    <s v="ELIASCEDILLO"/>
    <x v="355"/>
    <x v="4"/>
    <x v="2"/>
    <s v="Invoice"/>
    <s v="99420"/>
    <x v="77"/>
    <x v="37"/>
    <x v="30"/>
    <x v="0"/>
    <n v="90"/>
  </r>
  <r>
    <s v="DPOPPELL"/>
    <s v="04"/>
    <s v="MIDWAYF"/>
    <s v="WILLIAMS RD-N"/>
    <x v="355"/>
    <x v="4"/>
    <x v="2"/>
    <s v="Invoice"/>
    <s v="99425"/>
    <x v="27"/>
    <x v="22"/>
    <x v="22"/>
    <x v="2"/>
    <n v="1.9850000000000001"/>
  </r>
  <r>
    <s v="DPOPPELL"/>
    <s v="04"/>
    <s v="MIDWAYF"/>
    <s v="ALS - NORTH"/>
    <x v="355"/>
    <x v="4"/>
    <x v="2"/>
    <s v="Invoice"/>
    <s v="99426"/>
    <x v="27"/>
    <x v="22"/>
    <x v="22"/>
    <x v="2"/>
    <n v="5.0049999999999999"/>
  </r>
  <r>
    <s v="DPOPPELL"/>
    <s v="04"/>
    <s v="DESHONGK"/>
    <s v="KNIGHTS/SCHOOL"/>
    <x v="355"/>
    <x v="4"/>
    <x v="2"/>
    <s v="Invoice"/>
    <s v="99428"/>
    <x v="43"/>
    <x v="38"/>
    <x v="22"/>
    <x v="2"/>
    <n v="4.99"/>
  </r>
  <r>
    <s v="DPOPPELL"/>
    <s v="04"/>
    <s v="BEAUCHAMP"/>
    <s v="GALLAGHER"/>
    <x v="355"/>
    <x v="4"/>
    <x v="2"/>
    <s v="Invoice"/>
    <s v="99429"/>
    <x v="50"/>
    <x v="43"/>
    <x v="22"/>
    <x v="2"/>
    <n v="4.01"/>
  </r>
  <r>
    <s v="DPOPPELL"/>
    <s v="04"/>
    <s v="SRISAIAY"/>
    <s v="SYDNEY DOVER"/>
    <x v="355"/>
    <x v="4"/>
    <x v="2"/>
    <s v="Invoice"/>
    <s v="99430"/>
    <x v="27"/>
    <x v="22"/>
    <x v="22"/>
    <x v="2"/>
    <n v="3.7425000000000002"/>
  </r>
  <r>
    <s v="DPOPPELL"/>
    <s v="04"/>
    <s v="DURGAFARMS"/>
    <s v="SYDNEYDOVER"/>
    <x v="355"/>
    <x v="4"/>
    <x v="2"/>
    <s v="Invoice"/>
    <s v="99431"/>
    <x v="27"/>
    <x v="22"/>
    <x v="22"/>
    <x v="2"/>
    <n v="5.0025000000000004"/>
  </r>
  <r>
    <s v="DPOPPELL"/>
    <s v="04"/>
    <s v="SRISAIAY"/>
    <s v="PASTURE"/>
    <x v="355"/>
    <x v="4"/>
    <x v="2"/>
    <s v="Invoice"/>
    <s v="99432"/>
    <x v="27"/>
    <x v="22"/>
    <x v="22"/>
    <x v="2"/>
    <n v="3.7524999999999999"/>
  </r>
  <r>
    <s v="DPOPPELL"/>
    <s v="04"/>
    <s v="ELIASCEDILLO"/>
    <s v="JESS WALDEN"/>
    <x v="355"/>
    <x v="4"/>
    <x v="2"/>
    <s v="Invoice"/>
    <s v="99436"/>
    <x v="58"/>
    <x v="51"/>
    <x v="22"/>
    <x v="2"/>
    <n v="1.25"/>
  </r>
  <r>
    <s v="DPOPPELL"/>
    <s v="04"/>
    <s v="MENDOZAHEC"/>
    <s v="LONEOAK"/>
    <x v="355"/>
    <x v="4"/>
    <x v="2"/>
    <s v="Invoice"/>
    <s v="99437"/>
    <x v="27"/>
    <x v="22"/>
    <x v="22"/>
    <x v="2"/>
    <n v="1.2575000000000001"/>
  </r>
  <r>
    <s v="DPOPPELL"/>
    <s v="04"/>
    <s v="ELIASCEDILLO"/>
    <s v="LITHIA"/>
    <x v="355"/>
    <x v="4"/>
    <x v="2"/>
    <s v="Invoice"/>
    <s v="99438"/>
    <x v="58"/>
    <x v="51"/>
    <x v="22"/>
    <x v="2"/>
    <n v="1.25"/>
  </r>
  <r>
    <s v="HOUSE"/>
    <s v="05"/>
    <s v="CPSBOYNTON"/>
    <s v="BOYNTON BCH"/>
    <x v="348"/>
    <x v="4"/>
    <x v="2"/>
    <s v="Invoice"/>
    <s v="99140"/>
    <x v="121"/>
    <x v="110"/>
    <x v="1"/>
    <x v="0"/>
    <n v="180"/>
  </r>
  <r>
    <s v="HOUSE"/>
    <s v="05"/>
    <s v="CPSHOMES"/>
    <s v="HOMESTEAD"/>
    <x v="350"/>
    <x v="4"/>
    <x v="2"/>
    <s v="Invoice"/>
    <s v="99222"/>
    <x v="157"/>
    <x v="138"/>
    <x v="53"/>
    <x v="0"/>
    <n v="500"/>
  </r>
  <r>
    <s v="HOUSE"/>
    <s v="05"/>
    <s v="CPSHOMES"/>
    <s v="HOMESTEAD"/>
    <x v="350"/>
    <x v="4"/>
    <x v="2"/>
    <s v="Invoice"/>
    <s v="99222"/>
    <x v="48"/>
    <x v="33"/>
    <x v="28"/>
    <x v="0"/>
    <n v="180"/>
  </r>
  <r>
    <s v="HOUSE"/>
    <s v="05"/>
    <s v="CPSHOMES"/>
    <s v="HOMESTEAD"/>
    <x v="356"/>
    <x v="4"/>
    <x v="2"/>
    <s v="Invoice"/>
    <s v="99348"/>
    <x v="157"/>
    <x v="138"/>
    <x v="53"/>
    <x v="0"/>
    <n v="250"/>
  </r>
  <r>
    <s v="HOUSE"/>
    <s v="05"/>
    <s v="CPSHOMES"/>
    <s v="HOMESTEAD"/>
    <x v="356"/>
    <x v="4"/>
    <x v="2"/>
    <s v="Invoice"/>
    <s v="99348"/>
    <x v="148"/>
    <x v="128"/>
    <x v="29"/>
    <x v="0"/>
    <n v="180"/>
  </r>
  <r>
    <s v="HOUSE"/>
    <s v="05"/>
    <s v="SOUTHEASTTURF"/>
    <s v="SARABAYCC"/>
    <x v="354"/>
    <x v="4"/>
    <x v="2"/>
    <s v="Invoice"/>
    <s v="99360"/>
    <x v="177"/>
    <x v="158"/>
    <x v="1"/>
    <x v="0"/>
    <n v="250"/>
  </r>
  <r>
    <s v=""/>
    <s v="07"/>
    <s v="BARNESFE"/>
    <s v="HASTINGS"/>
    <x v="369"/>
    <x v="4"/>
    <x v="2"/>
    <s v="Invoice"/>
    <s v="99202"/>
    <x v="359"/>
    <x v="318"/>
    <x v="20"/>
    <x v="1"/>
    <n v="41015"/>
  </r>
  <r>
    <s v="CHEAD"/>
    <s v="07"/>
    <s v="CRUCEFARMS"/>
    <s v="PERRY"/>
    <x v="350"/>
    <x v="4"/>
    <x v="2"/>
    <s v="Invoice"/>
    <s v="99214"/>
    <x v="34"/>
    <x v="29"/>
    <x v="26"/>
    <x v="0"/>
    <n v="55"/>
  </r>
  <r>
    <s v="CHEAD"/>
    <s v="07"/>
    <s v="CRUCEFARMS"/>
    <s v="PERRY"/>
    <x v="350"/>
    <x v="4"/>
    <x v="2"/>
    <s v="Invoice"/>
    <s v="99214"/>
    <x v="36"/>
    <x v="31"/>
    <x v="4"/>
    <x v="0"/>
    <n v="40"/>
  </r>
  <r>
    <s v="CHEAD"/>
    <s v="07"/>
    <s v="LONGANDSCOTT"/>
    <s v="MAIN"/>
    <x v="350"/>
    <x v="4"/>
    <x v="2"/>
    <s v="Invoice"/>
    <s v="99217A"/>
    <x v="181"/>
    <x v="108"/>
    <x v="44"/>
    <x v="0"/>
    <n v="250"/>
  </r>
  <r>
    <s v="CHEAD"/>
    <s v="07"/>
    <s v="UFPSUNIT"/>
    <s v="CITRA FARM"/>
    <x v="350"/>
    <x v="4"/>
    <x v="2"/>
    <s v="Invoice"/>
    <s v="99218"/>
    <x v="28"/>
    <x v="23"/>
    <x v="22"/>
    <x v="2"/>
    <n v="1.2524999999999999"/>
  </r>
  <r>
    <s v=""/>
    <s v="07"/>
    <s v="BARNESFE"/>
    <s v="HASTINGS"/>
    <x v="361"/>
    <x v="4"/>
    <x v="2"/>
    <s v="Invoice"/>
    <s v="99257"/>
    <x v="207"/>
    <x v="183"/>
    <x v="22"/>
    <x v="2"/>
    <n v="5.0125000000000002"/>
  </r>
  <r>
    <s v=""/>
    <s v="07"/>
    <s v="CPSHASTI"/>
    <s v="HASTINGS"/>
    <x v="352"/>
    <x v="4"/>
    <x v="2"/>
    <s v="Invoice"/>
    <s v="99258"/>
    <x v="158"/>
    <x v="139"/>
    <x v="53"/>
    <x v="0"/>
    <n v="720"/>
  </r>
  <r>
    <s v=""/>
    <s v="07"/>
    <s v="SUNNILAND"/>
    <s v="MAIN"/>
    <x v="363"/>
    <x v="4"/>
    <x v="2"/>
    <s v="Invoice"/>
    <s v="99300"/>
    <x v="124"/>
    <x v="112"/>
    <x v="20"/>
    <x v="1"/>
    <n v="24620"/>
  </r>
  <r>
    <s v=""/>
    <s v="07"/>
    <s v="CPSHASTI"/>
    <s v="HASTINGS"/>
    <x v="353"/>
    <x v="4"/>
    <x v="2"/>
    <s v="Invoice"/>
    <s v="99339"/>
    <x v="158"/>
    <x v="139"/>
    <x v="53"/>
    <x v="0"/>
    <n v="480"/>
  </r>
  <r>
    <s v=""/>
    <s v="07"/>
    <s v="CPSHASTI"/>
    <s v="HASTINGS"/>
    <x v="353"/>
    <x v="4"/>
    <x v="2"/>
    <s v="Invoice"/>
    <s v="99339"/>
    <x v="206"/>
    <x v="139"/>
    <x v="53"/>
    <x v="0"/>
    <n v="250"/>
  </r>
  <r>
    <s v=""/>
    <s v="07"/>
    <s v="CPSHASTI"/>
    <s v="HASTINGS"/>
    <x v="353"/>
    <x v="4"/>
    <x v="2"/>
    <s v="Invoice"/>
    <s v="99339"/>
    <x v="34"/>
    <x v="29"/>
    <x v="26"/>
    <x v="0"/>
    <n v="180"/>
  </r>
  <r>
    <s v=""/>
    <s v="07"/>
    <s v="BARNESFE"/>
    <s v="HASTINGS"/>
    <x v="353"/>
    <x v="4"/>
    <x v="2"/>
    <s v="Invoice"/>
    <s v="99340"/>
    <x v="158"/>
    <x v="139"/>
    <x v="53"/>
    <x v="0"/>
    <n v="480"/>
  </r>
  <r>
    <s v=""/>
    <s v="07"/>
    <s v="BARNESFE"/>
    <s v="HASTINGS"/>
    <x v="353"/>
    <x v="4"/>
    <x v="2"/>
    <s v="Invoice"/>
    <s v="99340"/>
    <x v="206"/>
    <x v="139"/>
    <x v="53"/>
    <x v="0"/>
    <n v="1000"/>
  </r>
  <r>
    <s v="CHEAD"/>
    <s v="07"/>
    <s v="MAYO"/>
    <s v="WILLISTON"/>
    <x v="354"/>
    <x v="4"/>
    <x v="2"/>
    <s v="Invoice"/>
    <s v="99355"/>
    <x v="34"/>
    <x v="29"/>
    <x v="26"/>
    <x v="0"/>
    <n v="180"/>
  </r>
  <r>
    <s v=""/>
    <s v="07"/>
    <s v="MILLERBL"/>
    <s v="PALATKA"/>
    <x v="358"/>
    <x v="4"/>
    <x v="2"/>
    <s v="Invoice"/>
    <s v="99403"/>
    <x v="208"/>
    <x v="184"/>
    <x v="22"/>
    <x v="2"/>
    <n v="15.005000000000001"/>
  </r>
  <r>
    <s v="CHEAD"/>
    <s v="07"/>
    <s v="UFPSUNIT"/>
    <s v="CITRA FARM"/>
    <x v="367"/>
    <x v="4"/>
    <x v="2"/>
    <s v="Invoice"/>
    <s v="99407"/>
    <x v="242"/>
    <x v="19"/>
    <x v="19"/>
    <x v="0"/>
    <n v="500"/>
  </r>
  <r>
    <s v=""/>
    <s v="07"/>
    <s v="BARNESFE"/>
    <s v="HASTINGS"/>
    <x v="367"/>
    <x v="4"/>
    <x v="2"/>
    <s v="Invoice"/>
    <s v="99411"/>
    <x v="207"/>
    <x v="183"/>
    <x v="22"/>
    <x v="2"/>
    <n v="5.0025000000000004"/>
  </r>
  <r>
    <s v="DPOPPELL1"/>
    <s v="08"/>
    <s v="COASTALAGSUPPLY"/>
    <s v="MULBERRY"/>
    <x v="359"/>
    <x v="4"/>
    <x v="2"/>
    <s v="Invoice"/>
    <s v="99125"/>
    <x v="141"/>
    <x v="124"/>
    <x v="24"/>
    <x v="0"/>
    <n v="250"/>
  </r>
  <r>
    <s v="DPOPPELL1"/>
    <s v="08"/>
    <s v="TRIANGLE"/>
    <s v="TRIANGLE/PC"/>
    <x v="360"/>
    <x v="4"/>
    <x v="2"/>
    <s v="Invoice"/>
    <s v="99158"/>
    <x v="5"/>
    <x v="72"/>
    <x v="4"/>
    <x v="0"/>
    <n v="180"/>
  </r>
  <r>
    <s v="DPOPPELL1"/>
    <s v="08"/>
    <s v="TRIANGLE"/>
    <s v="TRIANGLE/PC"/>
    <x v="360"/>
    <x v="4"/>
    <x v="2"/>
    <s v="Invoice"/>
    <s v="99158"/>
    <x v="34"/>
    <x v="29"/>
    <x v="26"/>
    <x v="0"/>
    <n v="360"/>
  </r>
  <r>
    <s v="DPOPPELL1"/>
    <s v="08"/>
    <s v="MAYO"/>
    <s v="PLANTCITY"/>
    <x v="350"/>
    <x v="4"/>
    <x v="2"/>
    <s v="Invoice"/>
    <s v="99234"/>
    <x v="398"/>
    <x v="345"/>
    <x v="22"/>
    <x v="2"/>
    <n v="7.5075000000000003"/>
  </r>
  <r>
    <s v="DPOPPELL1"/>
    <s v="08"/>
    <s v="COASTALAGSUPPLY"/>
    <s v="MULBERRY"/>
    <x v="351"/>
    <x v="4"/>
    <x v="2"/>
    <s v="Invoice"/>
    <s v="99240"/>
    <x v="58"/>
    <x v="51"/>
    <x v="22"/>
    <x v="2"/>
    <n v="2.4950000000000001"/>
  </r>
  <r>
    <s v="DPOPPELL1"/>
    <s v="08"/>
    <s v="MAYO"/>
    <s v="PLANTCITY"/>
    <x v="352"/>
    <x v="4"/>
    <x v="2"/>
    <s v="Invoice"/>
    <s v="99269"/>
    <x v="398"/>
    <x v="345"/>
    <x v="22"/>
    <x v="2"/>
    <n v="2.4975000000000001"/>
  </r>
  <r>
    <s v="DPOPPELL1"/>
    <s v="08"/>
    <s v="MAYO"/>
    <s v="PLANTCITY"/>
    <x v="362"/>
    <x v="4"/>
    <x v="2"/>
    <s v="Invoice"/>
    <s v="99296"/>
    <x v="398"/>
    <x v="345"/>
    <x v="22"/>
    <x v="2"/>
    <n v="2.5125000000000002"/>
  </r>
  <r>
    <s v="DPOPPELL1"/>
    <s v="08"/>
    <s v="TRIANGLE"/>
    <s v="TRIANGLE/PC"/>
    <x v="363"/>
    <x v="4"/>
    <x v="2"/>
    <s v="Invoice"/>
    <s v="99311"/>
    <x v="96"/>
    <x v="90"/>
    <x v="39"/>
    <x v="0"/>
    <n v="180"/>
  </r>
  <r>
    <s v="DPOPPELL1"/>
    <s v="08"/>
    <s v="TRIANGLE"/>
    <s v="TRIANGLE/PC"/>
    <x v="363"/>
    <x v="4"/>
    <x v="2"/>
    <s v="Invoice"/>
    <s v="99311"/>
    <x v="77"/>
    <x v="37"/>
    <x v="30"/>
    <x v="0"/>
    <n v="300"/>
  </r>
  <r>
    <s v="DPOPPELL1"/>
    <s v="08"/>
    <s v="CPSMULB"/>
    <s v="UAP/MULBERRY"/>
    <x v="356"/>
    <x v="4"/>
    <x v="2"/>
    <s v="Invoice"/>
    <s v="99345"/>
    <x v="102"/>
    <x v="71"/>
    <x v="100"/>
    <x v="0"/>
    <n v="750"/>
  </r>
  <r>
    <s v="DPOPPELL1"/>
    <s v="08"/>
    <s v="CPSMULB"/>
    <s v="UAP/MULBERRY"/>
    <x v="366"/>
    <x v="4"/>
    <x v="2"/>
    <s v="Invoice"/>
    <s v="99386"/>
    <x v="102"/>
    <x v="71"/>
    <x v="100"/>
    <x v="0"/>
    <n v="750"/>
  </r>
  <r>
    <s v="DPOPPELL1"/>
    <s v="08"/>
    <s v="TRIANGLE"/>
    <s v="TRIANGLE/PC"/>
    <x v="367"/>
    <x v="4"/>
    <x v="2"/>
    <s v="Invoice"/>
    <s v="99409"/>
    <x v="5"/>
    <x v="72"/>
    <x v="4"/>
    <x v="0"/>
    <n v="130"/>
  </r>
  <r>
    <s v="DPOPPELL1"/>
    <s v="08"/>
    <s v="MAYO"/>
    <s v="PLANTCITY"/>
    <x v="355"/>
    <x v="4"/>
    <x v="2"/>
    <s v="Invoice"/>
    <s v="99418"/>
    <x v="398"/>
    <x v="345"/>
    <x v="22"/>
    <x v="2"/>
    <n v="10.0175"/>
  </r>
  <r>
    <s v="DPOPPELL1"/>
    <s v="08"/>
    <s v="COASTALAGSUPPLY"/>
    <s v="MULBERRY"/>
    <x v="355"/>
    <x v="4"/>
    <x v="2"/>
    <s v="Invoice"/>
    <s v="99419"/>
    <x v="58"/>
    <x v="51"/>
    <x v="22"/>
    <x v="2"/>
    <n v="2.5"/>
  </r>
  <r>
    <s v="DPOPPELL1"/>
    <s v="08"/>
    <s v="COASTALAGSUPPLY"/>
    <s v="MULBERRY"/>
    <x v="355"/>
    <x v="4"/>
    <x v="2"/>
    <s v="Invoice"/>
    <s v="99423"/>
    <x v="34"/>
    <x v="29"/>
    <x v="26"/>
    <x v="0"/>
    <n v="360"/>
  </r>
  <r>
    <s v="DPOPPELL1"/>
    <s v="08"/>
    <s v="TRIANGLE"/>
    <s v="TRIANGLE/PC"/>
    <x v="355"/>
    <x v="4"/>
    <x v="2"/>
    <s v="Invoice"/>
    <s v="99440"/>
    <x v="5"/>
    <x v="72"/>
    <x v="4"/>
    <x v="0"/>
    <n v="360"/>
  </r>
  <r>
    <s v="DPOPPELL1"/>
    <s v="08"/>
    <s v="COASTALAGSUPPLY"/>
    <s v="MULBERRY"/>
    <x v="355"/>
    <x v="4"/>
    <x v="2"/>
    <s v="Invoice"/>
    <s v="99441"/>
    <x v="31"/>
    <x v="124"/>
    <x v="24"/>
    <x v="0"/>
    <n v="180"/>
  </r>
  <r>
    <s v=""/>
    <s v="09"/>
    <s v="GREENRES"/>
    <s v="GRANITE ST-NC"/>
    <x v="349"/>
    <x v="4"/>
    <x v="2"/>
    <s v="Invoice"/>
    <s v="99188"/>
    <x v="3"/>
    <x v="80"/>
    <x v="2"/>
    <x v="0"/>
    <n v="360"/>
  </r>
  <r>
    <s v="GEORGIA"/>
    <s v="09"/>
    <s v="AGRIBUSI"/>
    <s v="NUTRIENTIFTON"/>
    <x v="368"/>
    <x v="4"/>
    <x v="2"/>
    <s v="Invoice"/>
    <s v="99196"/>
    <x v="215"/>
    <x v="190"/>
    <x v="20"/>
    <x v="1"/>
    <n v="5000"/>
  </r>
  <r>
    <s v="GEORGIA"/>
    <s v="09"/>
    <s v="AGRIBUSI"/>
    <s v="INTREPID/TUNICA"/>
    <x v="369"/>
    <x v="4"/>
    <x v="2"/>
    <s v="Invoice"/>
    <s v="99210"/>
    <x v="129"/>
    <x v="117"/>
    <x v="48"/>
    <x v="0"/>
    <n v="3710"/>
  </r>
  <r>
    <s v="GEORGIA"/>
    <s v="09"/>
    <s v="AGRIBUSI"/>
    <s v="PINCECLIFF"/>
    <x v="369"/>
    <x v="4"/>
    <x v="2"/>
    <s v="Invoice"/>
    <s v="99215"/>
    <x v="212"/>
    <x v="188"/>
    <x v="20"/>
    <x v="1"/>
    <n v="1800"/>
  </r>
  <r>
    <s v=""/>
    <s v="09"/>
    <s v="CAROLINATU"/>
    <s v="STARMOUNT CC"/>
    <x v="350"/>
    <x v="4"/>
    <x v="2"/>
    <s v="Invoice"/>
    <s v="99232"/>
    <x v="12"/>
    <x v="76"/>
    <x v="11"/>
    <x v="0"/>
    <n v="80"/>
  </r>
  <r>
    <s v="GEORGIA"/>
    <s v="09"/>
    <s v="AGRIBUSI"/>
    <s v="SIMPLOT/PERU"/>
    <x v="350"/>
    <x v="4"/>
    <x v="2"/>
    <s v="Invoice"/>
    <s v="99236"/>
    <x v="129"/>
    <x v="117"/>
    <x v="48"/>
    <x v="0"/>
    <n v="3710"/>
  </r>
  <r>
    <s v=""/>
    <s v="09"/>
    <s v="AGRIBUSI"/>
    <s v="CDI"/>
    <x v="351"/>
    <x v="4"/>
    <x v="2"/>
    <s v="Invoice"/>
    <s v="99239"/>
    <x v="89"/>
    <x v="81"/>
    <x v="20"/>
    <x v="1"/>
    <n v="2500"/>
  </r>
  <r>
    <s v="GEORGIA"/>
    <s v="09"/>
    <s v="AGRIBUSI"/>
    <s v="SGSELCAMPO"/>
    <x v="361"/>
    <x v="4"/>
    <x v="2"/>
    <s v="Invoice"/>
    <s v="99252"/>
    <x v="159"/>
    <x v="117"/>
    <x v="48"/>
    <x v="0"/>
    <n v="3600"/>
  </r>
  <r>
    <s v="GEORGIA"/>
    <s v="09"/>
    <s v="AGRIBUSI"/>
    <s v="SGSHELM"/>
    <x v="362"/>
    <x v="4"/>
    <x v="2"/>
    <s v="Invoice"/>
    <s v="99285"/>
    <x v="159"/>
    <x v="117"/>
    <x v="48"/>
    <x v="0"/>
    <n v="3600"/>
  </r>
  <r>
    <s v=""/>
    <s v="09"/>
    <s v="AGRIBUSI"/>
    <s v="MEHERRIN/CHARLE"/>
    <x v="362"/>
    <x v="4"/>
    <x v="2"/>
    <s v="Invoice"/>
    <s v="99293"/>
    <x v="246"/>
    <x v="195"/>
    <x v="20"/>
    <x v="1"/>
    <n v="28050"/>
  </r>
  <r>
    <s v=""/>
    <s v="09"/>
    <s v="AGRIBUSI"/>
    <s v="MEHERRIN/CHARLE"/>
    <x v="362"/>
    <x v="4"/>
    <x v="2"/>
    <s v="Invoice"/>
    <s v="99293"/>
    <x v="220"/>
    <x v="195"/>
    <x v="20"/>
    <x v="1"/>
    <n v="12600"/>
  </r>
  <r>
    <s v="GEORGIA"/>
    <s v="09"/>
    <s v="AGRIBUSI"/>
    <s v="HAWKINSVILLE"/>
    <x v="363"/>
    <x v="4"/>
    <x v="2"/>
    <s v="Invoice"/>
    <s v="99312"/>
    <x v="291"/>
    <x v="256"/>
    <x v="1"/>
    <x v="0"/>
    <n v="180"/>
  </r>
  <r>
    <s v=""/>
    <s v="09"/>
    <s v="AGRIBUSI"/>
    <s v="AGB/ROOSEVELT"/>
    <x v="363"/>
    <x v="4"/>
    <x v="2"/>
    <s v="Invoice"/>
    <s v="99314"/>
    <x v="212"/>
    <x v="188"/>
    <x v="20"/>
    <x v="1"/>
    <n v="7200"/>
  </r>
  <r>
    <s v="GEORGIA"/>
    <s v="09"/>
    <s v="AGRIBUSI"/>
    <s v="INTREPID/TUNICA"/>
    <x v="365"/>
    <x v="4"/>
    <x v="2"/>
    <s v="Invoice"/>
    <s v="99326"/>
    <x v="159"/>
    <x v="117"/>
    <x v="48"/>
    <x v="0"/>
    <n v="3600"/>
  </r>
  <r>
    <s v=""/>
    <s v="09"/>
    <s v="AGRIBUSI"/>
    <s v="AGB/ROOSEVELT"/>
    <x v="353"/>
    <x v="4"/>
    <x v="2"/>
    <s v="Invoice"/>
    <s v="99343"/>
    <x v="214"/>
    <x v="189"/>
    <x v="20"/>
    <x v="1"/>
    <n v="7200"/>
  </r>
  <r>
    <s v="GEORGIA"/>
    <s v="09"/>
    <s v="AGRIBUSI"/>
    <s v="CURRYFARM"/>
    <x v="353"/>
    <x v="4"/>
    <x v="2"/>
    <s v="Invoice"/>
    <s v="99344"/>
    <x v="214"/>
    <x v="189"/>
    <x v="20"/>
    <x v="1"/>
    <n v="1800"/>
  </r>
  <r>
    <s v="GEORGIA"/>
    <s v="09"/>
    <s v="AGRIBUSI"/>
    <s v="CURRYFARM"/>
    <x v="353"/>
    <x v="4"/>
    <x v="2"/>
    <s v="Invoice"/>
    <s v="99344"/>
    <x v="403"/>
    <x v="349"/>
    <x v="20"/>
    <x v="1"/>
    <n v="1800"/>
  </r>
  <r>
    <s v=""/>
    <s v="09"/>
    <s v="AGRIBUSI"/>
    <s v="CDI"/>
    <x v="357"/>
    <x v="4"/>
    <x v="2"/>
    <s v="Invoice"/>
    <s v="99369"/>
    <x v="89"/>
    <x v="81"/>
    <x v="20"/>
    <x v="1"/>
    <n v="2700"/>
  </r>
  <r>
    <s v=""/>
    <s v="09"/>
    <s v="AGRIBUSI"/>
    <s v="AGB/ROOSEVELT"/>
    <x v="357"/>
    <x v="4"/>
    <x v="2"/>
    <s v="Invoice"/>
    <s v="99379"/>
    <x v="213"/>
    <x v="189"/>
    <x v="20"/>
    <x v="1"/>
    <n v="10000"/>
  </r>
  <r>
    <s v="GEORGIA"/>
    <s v="09"/>
    <s v="AGRIBUSI"/>
    <s v="NUTRIEN-CAMILA"/>
    <x v="358"/>
    <x v="4"/>
    <x v="2"/>
    <s v="Invoice"/>
    <s v="99406"/>
    <x v="404"/>
    <x v="188"/>
    <x v="20"/>
    <x v="1"/>
    <n v="2500"/>
  </r>
  <r>
    <s v=""/>
    <s v="09"/>
    <s v="AGRIBUSI"/>
    <s v="AGB/ROOSEVELT"/>
    <x v="367"/>
    <x v="4"/>
    <x v="2"/>
    <s v="Invoice"/>
    <s v="99416"/>
    <x v="403"/>
    <x v="349"/>
    <x v="20"/>
    <x v="1"/>
    <n v="1800"/>
  </r>
  <r>
    <s v="CSWAFFORD"/>
    <s v="12"/>
    <s v="GOLFVENTURES"/>
    <s v="JOHNISLAND"/>
    <x v="359"/>
    <x v="4"/>
    <x v="2"/>
    <s v="Invoice"/>
    <s v="99122"/>
    <x v="319"/>
    <x v="281"/>
    <x v="42"/>
    <x v="0"/>
    <n v="275"/>
  </r>
  <r>
    <s v="CSWAFFORD"/>
    <s v="12"/>
    <s v="GOLFVENTURES"/>
    <s v="MAIN"/>
    <x v="369"/>
    <x v="4"/>
    <x v="2"/>
    <s v="Invoice"/>
    <s v="99197"/>
    <x v="405"/>
    <x v="313"/>
    <x v="49"/>
    <x v="0"/>
    <n v="5"/>
  </r>
  <r>
    <s v="CSWAFFORD"/>
    <s v="12"/>
    <s v="GOLFVENTURES"/>
    <s v="MAIN"/>
    <x v="369"/>
    <x v="4"/>
    <x v="2"/>
    <s v="Invoice"/>
    <s v="99197"/>
    <x v="8"/>
    <x v="67"/>
    <x v="7"/>
    <x v="0"/>
    <n v="5"/>
  </r>
  <r>
    <s v="CSWAFFORD"/>
    <s v="12"/>
    <s v="GOLFVENTURES"/>
    <s v="MAIN"/>
    <x v="369"/>
    <x v="4"/>
    <x v="2"/>
    <s v="Invoice"/>
    <s v="99197"/>
    <x v="333"/>
    <x v="282"/>
    <x v="87"/>
    <x v="0"/>
    <n v="5"/>
  </r>
  <r>
    <s v="CSWAFFORD"/>
    <s v="12"/>
    <s v="GOLFVENTURES"/>
    <s v="COUNTRYBOY"/>
    <x v="350"/>
    <x v="4"/>
    <x v="2"/>
    <s v="Invoice"/>
    <s v="99216"/>
    <x v="369"/>
    <x v="338"/>
    <x v="97"/>
    <x v="0"/>
    <n v="250"/>
  </r>
  <r>
    <s v="CSWAFFORD"/>
    <s v="12"/>
    <s v="GOLFVENTURES"/>
    <s v="MAIN"/>
    <x v="351"/>
    <x v="4"/>
    <x v="2"/>
    <s v="Invoice"/>
    <s v="99245"/>
    <x v="384"/>
    <x v="320"/>
    <x v="63"/>
    <x v="0"/>
    <n v="60"/>
  </r>
  <r>
    <s v="CSWAFFORD"/>
    <s v="12"/>
    <s v="GOLFVENTURES"/>
    <s v="GRANDHARBOR"/>
    <x v="362"/>
    <x v="4"/>
    <x v="2"/>
    <s v="Invoice"/>
    <s v="99277"/>
    <x v="321"/>
    <x v="283"/>
    <x v="88"/>
    <x v="0"/>
    <n v="250"/>
  </r>
  <r>
    <s v="CSWAFFORD"/>
    <s v="12"/>
    <s v="GOLFVENTURES"/>
    <s v="GRANDHARBOR"/>
    <x v="362"/>
    <x v="4"/>
    <x v="2"/>
    <s v="Invoice"/>
    <s v="99277"/>
    <x v="320"/>
    <x v="282"/>
    <x v="87"/>
    <x v="0"/>
    <n v="250"/>
  </r>
  <r>
    <s v="CSWAFFORD"/>
    <s v="12"/>
    <s v="GOLFVENTURES"/>
    <s v="THEYACHT&amp;CC"/>
    <x v="362"/>
    <x v="4"/>
    <x v="2"/>
    <s v="Invoice"/>
    <s v="99278"/>
    <x v="120"/>
    <x v="299"/>
    <x v="45"/>
    <x v="0"/>
    <n v="250"/>
  </r>
  <r>
    <s v="CSWAFFORD"/>
    <s v="12"/>
    <s v="GOLFVENTURES"/>
    <s v="MAIN"/>
    <x v="365"/>
    <x v="4"/>
    <x v="2"/>
    <s v="Invoice"/>
    <s v="99325"/>
    <x v="406"/>
    <x v="294"/>
    <x v="70"/>
    <x v="0"/>
    <n v="30"/>
  </r>
  <r>
    <s v="CSWAFFORD"/>
    <s v="12"/>
    <s v="GOLFVENTURES"/>
    <s v="MAIN"/>
    <x v="365"/>
    <x v="4"/>
    <x v="2"/>
    <s v="Invoice"/>
    <s v="99325"/>
    <x v="384"/>
    <x v="320"/>
    <x v="63"/>
    <x v="0"/>
    <n v="30"/>
  </r>
  <r>
    <s v="CSWAFFORD"/>
    <s v="12"/>
    <s v="GOLFVENTURES"/>
    <s v="HOBESOUND"/>
    <x v="365"/>
    <x v="4"/>
    <x v="2"/>
    <s v="Invoice"/>
    <s v="99327"/>
    <x v="120"/>
    <x v="299"/>
    <x v="45"/>
    <x v="0"/>
    <n v="250"/>
  </r>
  <r>
    <s v="CSWAFFORD"/>
    <s v="12"/>
    <s v="GOLFVENTURES"/>
    <s v="HOBESOUND"/>
    <x v="365"/>
    <x v="4"/>
    <x v="2"/>
    <s v="Invoice"/>
    <s v="99327"/>
    <x v="373"/>
    <x v="327"/>
    <x v="82"/>
    <x v="0"/>
    <n v="250"/>
  </r>
  <r>
    <s v="CSWAFFORD"/>
    <s v="12"/>
    <s v="GOLFVENTURES"/>
    <s v="GASPARILLAINN"/>
    <x v="353"/>
    <x v="4"/>
    <x v="2"/>
    <s v="Invoice"/>
    <s v="99334"/>
    <x v="363"/>
    <x v="320"/>
    <x v="63"/>
    <x v="0"/>
    <n v="250"/>
  </r>
  <r>
    <s v="CSWAFFORD"/>
    <s v="12"/>
    <s v="GOLFVENTURES"/>
    <s v="SOTUHERNCARE"/>
    <x v="354"/>
    <x v="4"/>
    <x v="2"/>
    <s v="Invoice"/>
    <s v="99353"/>
    <x v="353"/>
    <x v="313"/>
    <x v="49"/>
    <x v="0"/>
    <n v="250"/>
  </r>
  <r>
    <s v="CSWAFFORD"/>
    <s v="12"/>
    <s v="GOLFVENTURES"/>
    <s v="FARROWPEST"/>
    <x v="354"/>
    <x v="4"/>
    <x v="2"/>
    <s v="Invoice"/>
    <s v="99354"/>
    <x v="321"/>
    <x v="283"/>
    <x v="88"/>
    <x v="0"/>
    <n v="500"/>
  </r>
  <r>
    <s v="CSWAFFORD"/>
    <s v="12"/>
    <s v="GOLFVENTURES"/>
    <s v="BONITANATIONAL"/>
    <x v="354"/>
    <x v="4"/>
    <x v="2"/>
    <s v="Invoice"/>
    <s v="99363"/>
    <x v="407"/>
    <x v="350"/>
    <x v="22"/>
    <x v="2"/>
    <n v="5"/>
  </r>
  <r>
    <s v="CSWAFFORD"/>
    <s v="12"/>
    <s v="GOLFVENTURES"/>
    <s v="MAIN"/>
    <x v="357"/>
    <x v="4"/>
    <x v="2"/>
    <s v="Invoice"/>
    <s v="99376"/>
    <x v="364"/>
    <x v="321"/>
    <x v="96"/>
    <x v="0"/>
    <n v="60"/>
  </r>
  <r>
    <s v="CSWAFFORD"/>
    <s v="12"/>
    <s v="GOLFVENTURES"/>
    <s v="MAIN"/>
    <x v="357"/>
    <x v="4"/>
    <x v="2"/>
    <s v="Invoice"/>
    <s v="99376"/>
    <x v="249"/>
    <x v="294"/>
    <x v="70"/>
    <x v="0"/>
    <n v="120"/>
  </r>
  <r>
    <s v="CSWAFFORD"/>
    <s v="12"/>
    <s v="GOLFVENTURES"/>
    <s v="MAIN"/>
    <x v="357"/>
    <x v="4"/>
    <x v="2"/>
    <s v="Invoice"/>
    <s v="99380"/>
    <x v="337"/>
    <x v="298"/>
    <x v="53"/>
    <x v="0"/>
    <n v="1375"/>
  </r>
  <r>
    <s v="CSWAFFORD"/>
    <s v="12"/>
    <s v="GOLFVENTURES"/>
    <s v="MAIN"/>
    <x v="357"/>
    <x v="4"/>
    <x v="2"/>
    <s v="Invoice"/>
    <s v="99380"/>
    <x v="317"/>
    <x v="267"/>
    <x v="80"/>
    <x v="0"/>
    <n v="1375"/>
  </r>
  <r>
    <s v="HAP"/>
    <s v="01"/>
    <s v="GREENWAY"/>
    <s v="MAILING-WPBCH"/>
    <x v="370"/>
    <x v="5"/>
    <x v="2"/>
    <s v="Invoice"/>
    <s v="99510"/>
    <x v="3"/>
    <x v="2"/>
    <x v="2"/>
    <x v="0"/>
    <n v="120"/>
  </r>
  <r>
    <s v="HAP"/>
    <s v="01"/>
    <s v="GREENWAY"/>
    <s v="MAILING-WPBCH"/>
    <x v="370"/>
    <x v="5"/>
    <x v="2"/>
    <s v="Invoice"/>
    <s v="99510"/>
    <x v="11"/>
    <x v="10"/>
    <x v="10"/>
    <x v="0"/>
    <n v="60"/>
  </r>
  <r>
    <s v="HAP"/>
    <s v="01"/>
    <s v="GREENWAY"/>
    <s v="MAILING-WPBCH"/>
    <x v="370"/>
    <x v="5"/>
    <x v="2"/>
    <s v="Invoice"/>
    <s v="99510"/>
    <x v="5"/>
    <x v="4"/>
    <x v="4"/>
    <x v="0"/>
    <n v="120"/>
  </r>
  <r>
    <s v="HAP"/>
    <s v="01"/>
    <s v="GREENWAY"/>
    <s v="MAILING-WPBCH"/>
    <x v="370"/>
    <x v="5"/>
    <x v="2"/>
    <s v="Invoice"/>
    <s v="99510"/>
    <x v="6"/>
    <x v="5"/>
    <x v="5"/>
    <x v="0"/>
    <n v="60"/>
  </r>
  <r>
    <s v="HAP"/>
    <s v="01"/>
    <s v="GREENWAY"/>
    <s v="MAILING-WPBCH"/>
    <x v="370"/>
    <x v="5"/>
    <x v="2"/>
    <s v="Invoice"/>
    <s v="99510"/>
    <x v="2"/>
    <x v="0"/>
    <x v="0"/>
    <x v="0"/>
    <n v="120"/>
  </r>
  <r>
    <s v="HAP"/>
    <s v="01"/>
    <s v="GREENWAY"/>
    <s v="JACARANDA G C"/>
    <x v="371"/>
    <x v="5"/>
    <x v="2"/>
    <s v="Invoice"/>
    <s v="99529"/>
    <x v="6"/>
    <x v="5"/>
    <x v="5"/>
    <x v="0"/>
    <n v="30"/>
  </r>
  <r>
    <s v="HAP"/>
    <s v="01"/>
    <s v="GREENWAY"/>
    <s v="JACARANDA G C"/>
    <x v="371"/>
    <x v="5"/>
    <x v="2"/>
    <s v="Invoice"/>
    <s v="99529"/>
    <x v="2"/>
    <x v="0"/>
    <x v="0"/>
    <x v="0"/>
    <n v="55"/>
  </r>
  <r>
    <s v="HAP"/>
    <s v="01"/>
    <s v="GREENWAY"/>
    <s v="WINDSOR POLO"/>
    <x v="372"/>
    <x v="5"/>
    <x v="2"/>
    <s v="Invoice"/>
    <s v="99637"/>
    <x v="88"/>
    <x v="2"/>
    <x v="2"/>
    <x v="0"/>
    <n v="55"/>
  </r>
  <r>
    <s v="HAP"/>
    <s v="01"/>
    <s v="GREENWAY"/>
    <s v="WINDSOR POLO"/>
    <x v="372"/>
    <x v="5"/>
    <x v="2"/>
    <s v="Invoice"/>
    <s v="99637"/>
    <x v="0"/>
    <x v="0"/>
    <x v="0"/>
    <x v="0"/>
    <n v="55"/>
  </r>
  <r>
    <s v="HAP"/>
    <s v="01"/>
    <s v="GREENWAY"/>
    <s v="ROYAL PALM GC"/>
    <x v="373"/>
    <x v="5"/>
    <x v="2"/>
    <s v="Invoice"/>
    <s v="99656"/>
    <x v="3"/>
    <x v="2"/>
    <x v="2"/>
    <x v="0"/>
    <n v="25"/>
  </r>
  <r>
    <s v="HAP"/>
    <s v="01"/>
    <s v="GREENWAY"/>
    <s v="ROYAL PALM GC"/>
    <x v="373"/>
    <x v="5"/>
    <x v="2"/>
    <s v="Invoice"/>
    <s v="99656"/>
    <x v="5"/>
    <x v="4"/>
    <x v="4"/>
    <x v="0"/>
    <n v="50"/>
  </r>
  <r>
    <s v="HAP"/>
    <s v="01"/>
    <s v="GREENWAY"/>
    <s v="ROYAL PALM GC"/>
    <x v="373"/>
    <x v="5"/>
    <x v="2"/>
    <s v="Invoice"/>
    <s v="99656"/>
    <x v="22"/>
    <x v="17"/>
    <x v="17"/>
    <x v="0"/>
    <n v="50"/>
  </r>
  <r>
    <s v="HAP"/>
    <s v="01"/>
    <s v="GREENWAY"/>
    <s v="ROYAL PALM GC"/>
    <x v="373"/>
    <x v="5"/>
    <x v="2"/>
    <s v="Invoice"/>
    <s v="99656"/>
    <x v="6"/>
    <x v="5"/>
    <x v="5"/>
    <x v="0"/>
    <n v="25"/>
  </r>
  <r>
    <s v="HAP"/>
    <s v="01"/>
    <s v="GREENWAY"/>
    <s v="ROYAL PALM GC"/>
    <x v="373"/>
    <x v="5"/>
    <x v="2"/>
    <s v="Invoice"/>
    <s v="99656"/>
    <x v="2"/>
    <x v="0"/>
    <x v="0"/>
    <x v="0"/>
    <n v="50"/>
  </r>
  <r>
    <s v="HAP"/>
    <s v="01"/>
    <s v="GREENWAY"/>
    <s v="THE WANDERERS"/>
    <x v="373"/>
    <x v="5"/>
    <x v="2"/>
    <s v="Invoice"/>
    <s v="99657"/>
    <x v="3"/>
    <x v="2"/>
    <x v="2"/>
    <x v="0"/>
    <n v="10"/>
  </r>
  <r>
    <s v="HAP"/>
    <s v="01"/>
    <s v="GREENWAY"/>
    <s v="THE WANDERERS"/>
    <x v="373"/>
    <x v="5"/>
    <x v="2"/>
    <s v="Invoice"/>
    <s v="99657"/>
    <x v="130"/>
    <x v="119"/>
    <x v="49"/>
    <x v="0"/>
    <n v="10"/>
  </r>
  <r>
    <s v="HAP"/>
    <s v="01"/>
    <s v="GREENWAY"/>
    <s v="THE WANDERERS"/>
    <x v="373"/>
    <x v="5"/>
    <x v="2"/>
    <s v="Invoice"/>
    <s v="99657"/>
    <x v="6"/>
    <x v="5"/>
    <x v="5"/>
    <x v="0"/>
    <n v="10"/>
  </r>
  <r>
    <s v="HAP"/>
    <s v="01"/>
    <s v="GREENWAY"/>
    <s v="THE WANDERERS"/>
    <x v="373"/>
    <x v="5"/>
    <x v="2"/>
    <s v="Invoice"/>
    <s v="99657"/>
    <x v="2"/>
    <x v="0"/>
    <x v="0"/>
    <x v="0"/>
    <n v="10"/>
  </r>
  <r>
    <s v="HAP"/>
    <s v="01"/>
    <s v="GREENWAY"/>
    <s v="WAREHOUSE"/>
    <x v="374"/>
    <x v="5"/>
    <x v="2"/>
    <s v="Invoice"/>
    <s v="99692"/>
    <x v="4"/>
    <x v="3"/>
    <x v="3"/>
    <x v="0"/>
    <n v="40"/>
  </r>
  <r>
    <s v="HAP"/>
    <s v="01"/>
    <s v="GREENWAY"/>
    <s v="WAREHOUSE"/>
    <x v="374"/>
    <x v="5"/>
    <x v="2"/>
    <s v="Invoice"/>
    <s v="99692"/>
    <x v="130"/>
    <x v="119"/>
    <x v="49"/>
    <x v="0"/>
    <n v="20"/>
  </r>
  <r>
    <s v="HAP"/>
    <s v="01"/>
    <s v="GREENWAY"/>
    <s v="WAREHOUSE"/>
    <x v="374"/>
    <x v="5"/>
    <x v="2"/>
    <s v="Invoice"/>
    <s v="99692"/>
    <x v="5"/>
    <x v="4"/>
    <x v="4"/>
    <x v="0"/>
    <n v="60"/>
  </r>
  <r>
    <s v="HAP"/>
    <s v="01"/>
    <s v="GREENWAY"/>
    <s v="WAREHOUSE"/>
    <x v="374"/>
    <x v="5"/>
    <x v="2"/>
    <s v="Invoice"/>
    <s v="99692"/>
    <x v="22"/>
    <x v="17"/>
    <x v="17"/>
    <x v="0"/>
    <n v="120"/>
  </r>
  <r>
    <s v="HAP"/>
    <s v="01"/>
    <s v="GREENWAY"/>
    <s v="WAREHOUSE"/>
    <x v="374"/>
    <x v="5"/>
    <x v="2"/>
    <s v="Invoice"/>
    <s v="99692"/>
    <x v="12"/>
    <x v="11"/>
    <x v="11"/>
    <x v="0"/>
    <n v="120"/>
  </r>
  <r>
    <s v="HAP"/>
    <s v="01"/>
    <s v="GREENWAY"/>
    <s v="WAREHOUSE"/>
    <x v="374"/>
    <x v="5"/>
    <x v="2"/>
    <s v="Invoice"/>
    <s v="99692"/>
    <x v="6"/>
    <x v="5"/>
    <x v="5"/>
    <x v="0"/>
    <n v="120"/>
  </r>
  <r>
    <s v="HAP"/>
    <s v="01"/>
    <s v="GREENWAY"/>
    <s v="WAREHOUSE"/>
    <x v="374"/>
    <x v="5"/>
    <x v="2"/>
    <s v="Invoice"/>
    <s v="99692"/>
    <x v="2"/>
    <x v="0"/>
    <x v="0"/>
    <x v="0"/>
    <n v="120"/>
  </r>
  <r>
    <s v="HAP"/>
    <s v="01"/>
    <s v="GREENWAY"/>
    <s v="WAREHOUSE"/>
    <x v="375"/>
    <x v="5"/>
    <x v="2"/>
    <s v="Invoice"/>
    <s v="99741"/>
    <x v="6"/>
    <x v="5"/>
    <x v="5"/>
    <x v="0"/>
    <n v="25"/>
  </r>
  <r>
    <s v="DAVID"/>
    <s v="02"/>
    <s v="CPSFTPIE"/>
    <s v="FT. PIERCE"/>
    <x v="376"/>
    <x v="5"/>
    <x v="2"/>
    <s v="Invoice"/>
    <s v="99450"/>
    <x v="267"/>
    <x v="235"/>
    <x v="75"/>
    <x v="0"/>
    <n v="70"/>
  </r>
  <r>
    <s v="DAVID"/>
    <s v="02"/>
    <s v="CPSMULB"/>
    <s v="UAP/MULBERRY"/>
    <x v="377"/>
    <x v="5"/>
    <x v="2"/>
    <s v="Invoice"/>
    <s v="99467"/>
    <x v="32"/>
    <x v="351"/>
    <x v="25"/>
    <x v="0"/>
    <n v="2975"/>
  </r>
  <r>
    <s v="DAVID"/>
    <s v="02"/>
    <s v="CPSFTPIE"/>
    <s v="FT. PIERCE"/>
    <x v="371"/>
    <x v="5"/>
    <x v="2"/>
    <s v="Invoice"/>
    <s v="99516"/>
    <x v="267"/>
    <x v="235"/>
    <x v="75"/>
    <x v="0"/>
    <n v="70"/>
  </r>
  <r>
    <s v="DAVID"/>
    <s v="02"/>
    <s v="EVOQUAWATER"/>
    <s v="COUNTYOFCOLLIER"/>
    <x v="371"/>
    <x v="5"/>
    <x v="2"/>
    <s v="Invoice"/>
    <s v="99527"/>
    <x v="295"/>
    <x v="231"/>
    <x v="54"/>
    <x v="0"/>
    <n v="150"/>
  </r>
  <r>
    <s v="DAVID"/>
    <s v="02"/>
    <s v="EVOQUAWATER"/>
    <s v="MAIN"/>
    <x v="371"/>
    <x v="5"/>
    <x v="2"/>
    <s v="Invoice"/>
    <s v="99528"/>
    <x v="160"/>
    <x v="231"/>
    <x v="54"/>
    <x v="0"/>
    <n v="360"/>
  </r>
  <r>
    <s v="DAVID"/>
    <s v="02"/>
    <s v="OHARAPEST"/>
    <s v="MAILIING"/>
    <x v="371"/>
    <x v="5"/>
    <x v="2"/>
    <s v="Invoice"/>
    <s v="99530"/>
    <x v="97"/>
    <x v="91"/>
    <x v="8"/>
    <x v="0"/>
    <n v="250"/>
  </r>
  <r>
    <s v="DAVID"/>
    <s v="02"/>
    <s v="OHARAPEST"/>
    <s v="MAILIING"/>
    <x v="371"/>
    <x v="5"/>
    <x v="2"/>
    <s v="Invoice"/>
    <s v="99530"/>
    <x v="12"/>
    <x v="76"/>
    <x v="11"/>
    <x v="0"/>
    <n v="25"/>
  </r>
  <r>
    <s v="DAVID"/>
    <s v="02"/>
    <s v="CPSFTPIE"/>
    <s v="FT. PIERCE"/>
    <x v="378"/>
    <x v="5"/>
    <x v="2"/>
    <s v="Invoice"/>
    <s v="99589"/>
    <x v="267"/>
    <x v="235"/>
    <x v="75"/>
    <x v="0"/>
    <n v="70"/>
  </r>
  <r>
    <s v="DAVID"/>
    <s v="02"/>
    <s v="CPSFTPIE"/>
    <s v="FT. PIERCE"/>
    <x v="379"/>
    <x v="5"/>
    <x v="2"/>
    <s v="Invoice"/>
    <s v="99593"/>
    <x v="267"/>
    <x v="235"/>
    <x v="75"/>
    <x v="0"/>
    <n v="70"/>
  </r>
  <r>
    <s v="DAVID"/>
    <s v="02"/>
    <s v="FLORIDAGAR"/>
    <s v="GARDENSUPPLIES"/>
    <x v="380"/>
    <x v="5"/>
    <x v="2"/>
    <s v="Invoice"/>
    <s v="99673"/>
    <x v="304"/>
    <x v="268"/>
    <x v="73"/>
    <x v="0"/>
    <n v="150"/>
  </r>
  <r>
    <s v="DAVID"/>
    <s v="02"/>
    <s v="EVOQUAWATER"/>
    <s v="MAIN"/>
    <x v="374"/>
    <x v="5"/>
    <x v="2"/>
    <s v="Invoice"/>
    <s v="99698"/>
    <x v="160"/>
    <x v="231"/>
    <x v="54"/>
    <x v="0"/>
    <n v="360"/>
  </r>
  <r>
    <s v="DAVID"/>
    <s v="02"/>
    <s v="GEOPONICSCORP"/>
    <s v="NAPLES UNIT-105"/>
    <x v="381"/>
    <x v="5"/>
    <x v="2"/>
    <s v="Invoice"/>
    <s v="99722"/>
    <x v="31"/>
    <x v="26"/>
    <x v="24"/>
    <x v="0"/>
    <n v="100"/>
  </r>
  <r>
    <s v="JUSTIN"/>
    <s v="03"/>
    <s v="CPSWACHU"/>
    <s v="WAUCHULA"/>
    <x v="376"/>
    <x v="5"/>
    <x v="2"/>
    <s v="Invoice"/>
    <s v="99442"/>
    <x v="34"/>
    <x v="29"/>
    <x v="26"/>
    <x v="0"/>
    <n v="360"/>
  </r>
  <r>
    <s v="JUSTIN"/>
    <s v="03"/>
    <s v="CPSWACHU"/>
    <s v="WAUCHULA"/>
    <x v="377"/>
    <x v="5"/>
    <x v="2"/>
    <s v="Invoice"/>
    <s v="99458"/>
    <x v="166"/>
    <x v="29"/>
    <x v="26"/>
    <x v="0"/>
    <n v="500"/>
  </r>
  <r>
    <s v="JUSTIN"/>
    <s v="03"/>
    <s v="CPSWAVER"/>
    <s v="WAVERLY"/>
    <x v="377"/>
    <x v="5"/>
    <x v="2"/>
    <s v="Invoice"/>
    <s v="99459"/>
    <x v="5"/>
    <x v="72"/>
    <x v="4"/>
    <x v="0"/>
    <n v="360"/>
  </r>
  <r>
    <s v="JUSTIN"/>
    <s v="03"/>
    <s v="CPSWACHU"/>
    <s v="WAUCHULA"/>
    <x v="377"/>
    <x v="5"/>
    <x v="2"/>
    <s v="Invoice"/>
    <s v="99462"/>
    <x v="196"/>
    <x v="172"/>
    <x v="61"/>
    <x v="0"/>
    <n v="180"/>
  </r>
  <r>
    <s v="JUSTIN"/>
    <s v="03"/>
    <s v="G&amp;DFARMS"/>
    <s v="MIDDLE"/>
    <x v="382"/>
    <x v="5"/>
    <x v="2"/>
    <s v="Invoice"/>
    <s v="99482"/>
    <x v="193"/>
    <x v="170"/>
    <x v="22"/>
    <x v="2"/>
    <n v="15.005000000000001"/>
  </r>
  <r>
    <s v="JUSTIN"/>
    <s v="03"/>
    <s v="CPSWACHU"/>
    <s v="WAUCHULA"/>
    <x v="382"/>
    <x v="5"/>
    <x v="2"/>
    <s v="Invoice"/>
    <s v="99487"/>
    <x v="166"/>
    <x v="29"/>
    <x v="26"/>
    <x v="0"/>
    <n v="500"/>
  </r>
  <r>
    <s v="JUSTIN"/>
    <s v="03"/>
    <s v="IMGCITRUS"/>
    <s v="CHERRYLAKE"/>
    <x v="382"/>
    <x v="5"/>
    <x v="2"/>
    <s v="Invoice"/>
    <s v="99488"/>
    <x v="408"/>
    <x v="352"/>
    <x v="22"/>
    <x v="2"/>
    <n v="1.25"/>
  </r>
  <r>
    <s v="JUSTIN"/>
    <s v="03"/>
    <s v="CPSPARRI"/>
    <s v="PARRISH"/>
    <x v="382"/>
    <x v="5"/>
    <x v="2"/>
    <s v="Invoice"/>
    <s v="99489"/>
    <x v="74"/>
    <x v="67"/>
    <x v="7"/>
    <x v="0"/>
    <n v="500"/>
  </r>
  <r>
    <s v="JUSTIN"/>
    <s v="03"/>
    <s v="CPSWACHU"/>
    <s v="WAUCHULA"/>
    <x v="382"/>
    <x v="5"/>
    <x v="2"/>
    <s v="Invoice"/>
    <s v="99490"/>
    <x v="34"/>
    <x v="29"/>
    <x v="26"/>
    <x v="0"/>
    <n v="360"/>
  </r>
  <r>
    <s v="JUSTIN"/>
    <s v="03"/>
    <s v="CPSFTPIE"/>
    <s v="FT. PIERCE"/>
    <x v="370"/>
    <x v="5"/>
    <x v="2"/>
    <s v="Invoice"/>
    <s v="99504"/>
    <x v="134"/>
    <x v="94"/>
    <x v="41"/>
    <x v="0"/>
    <n v="2426.5403000000001"/>
  </r>
  <r>
    <s v="JUSTIN"/>
    <s v="03"/>
    <s v="TRIANGLE"/>
    <s v="TRIANGLE/LAKEPL"/>
    <x v="371"/>
    <x v="5"/>
    <x v="2"/>
    <s v="Invoice"/>
    <s v="99517"/>
    <x v="100"/>
    <x v="94"/>
    <x v="41"/>
    <x v="0"/>
    <n v="750"/>
  </r>
  <r>
    <s v="JUSTIN"/>
    <s v="03"/>
    <s v="THEANDERSON"/>
    <s v="LK PLACID"/>
    <x v="371"/>
    <x v="5"/>
    <x v="2"/>
    <s v="Invoice"/>
    <s v="99518A"/>
    <x v="124"/>
    <x v="112"/>
    <x v="20"/>
    <x v="1"/>
    <n v="21020"/>
  </r>
  <r>
    <s v="JUSTIN"/>
    <s v="03"/>
    <s v="CPSWAVER"/>
    <s v="WAVERLY"/>
    <x v="383"/>
    <x v="5"/>
    <x v="2"/>
    <s v="Invoice"/>
    <s v="99534"/>
    <x v="5"/>
    <x v="72"/>
    <x v="4"/>
    <x v="0"/>
    <n v="180"/>
  </r>
  <r>
    <s v="JUSTIN"/>
    <s v="03"/>
    <s v="CPSFTPIE"/>
    <s v="FT. PIERCE"/>
    <x v="383"/>
    <x v="5"/>
    <x v="2"/>
    <s v="Invoice"/>
    <s v="99535"/>
    <x v="197"/>
    <x v="31"/>
    <x v="4"/>
    <x v="0"/>
    <n v="1750"/>
  </r>
  <r>
    <s v="JUSTIN"/>
    <s v="03"/>
    <s v="G&amp;DFARMS"/>
    <s v="MIDDLE"/>
    <x v="383"/>
    <x v="5"/>
    <x v="2"/>
    <s v="Invoice"/>
    <s v="99547"/>
    <x v="193"/>
    <x v="170"/>
    <x v="22"/>
    <x v="2"/>
    <n v="15.022500000000001"/>
  </r>
  <r>
    <s v="JUSTIN"/>
    <s v="03"/>
    <s v="G&amp;DFARMS"/>
    <s v="MIDDLE"/>
    <x v="384"/>
    <x v="5"/>
    <x v="2"/>
    <s v="Invoice"/>
    <s v="99571"/>
    <x v="193"/>
    <x v="170"/>
    <x v="22"/>
    <x v="2"/>
    <n v="15"/>
  </r>
  <r>
    <s v="JUSTIN"/>
    <s v="03"/>
    <s v="COUNCILO"/>
    <s v="COUNCIL-OXFORD"/>
    <x v="385"/>
    <x v="5"/>
    <x v="2"/>
    <s v="Invoice"/>
    <s v="99605"/>
    <x v="34"/>
    <x v="29"/>
    <x v="26"/>
    <x v="0"/>
    <n v="180"/>
  </r>
  <r>
    <s v="JUSTIN"/>
    <s v="03"/>
    <s v="COUNCILO"/>
    <s v="COUNCIL-OXFORD"/>
    <x v="385"/>
    <x v="5"/>
    <x v="2"/>
    <s v="Invoice"/>
    <s v="99605"/>
    <x v="40"/>
    <x v="35"/>
    <x v="29"/>
    <x v="0"/>
    <n v="180"/>
  </r>
  <r>
    <s v="JUSTIN"/>
    <s v="03"/>
    <s v="CPSWACHU"/>
    <s v="WAUCHULA"/>
    <x v="385"/>
    <x v="5"/>
    <x v="2"/>
    <s v="Invoice"/>
    <s v="99606"/>
    <x v="34"/>
    <x v="29"/>
    <x v="26"/>
    <x v="0"/>
    <n v="720"/>
  </r>
  <r>
    <s v="JUSTIN"/>
    <s v="03"/>
    <s v="G&amp;DFARMS"/>
    <s v="MIDDLE"/>
    <x v="385"/>
    <x v="5"/>
    <x v="2"/>
    <s v="Invoice"/>
    <s v="99607"/>
    <x v="193"/>
    <x v="170"/>
    <x v="22"/>
    <x v="2"/>
    <n v="14.9975"/>
  </r>
  <r>
    <s v="JUSTIN"/>
    <s v="03"/>
    <s v="TRIANGLE"/>
    <s v="TRIANGLE/LAKEPL"/>
    <x v="372"/>
    <x v="5"/>
    <x v="2"/>
    <s v="Invoice"/>
    <s v="99625"/>
    <x v="100"/>
    <x v="94"/>
    <x v="41"/>
    <x v="0"/>
    <n v="1300"/>
  </r>
  <r>
    <s v="JUSTIN"/>
    <s v="03"/>
    <s v="G&amp;DFARMS"/>
    <s v="MIDDLE"/>
    <x v="372"/>
    <x v="5"/>
    <x v="2"/>
    <s v="Invoice"/>
    <s v="99629"/>
    <x v="193"/>
    <x v="170"/>
    <x v="22"/>
    <x v="2"/>
    <n v="15.005000000000001"/>
  </r>
  <r>
    <s v="JUSTIN"/>
    <s v="03"/>
    <s v="CPSPARRI"/>
    <s v="PARRISH"/>
    <x v="386"/>
    <x v="5"/>
    <x v="2"/>
    <s v="Invoice"/>
    <s v="99644"/>
    <x v="35"/>
    <x v="30"/>
    <x v="27"/>
    <x v="0"/>
    <n v="180"/>
  </r>
  <r>
    <s v="JUSTIN"/>
    <s v="03"/>
    <s v="TRIANGLE"/>
    <s v="GROVELAND"/>
    <x v="386"/>
    <x v="5"/>
    <x v="2"/>
    <s v="Invoice"/>
    <s v="99646"/>
    <x v="166"/>
    <x v="29"/>
    <x v="26"/>
    <x v="0"/>
    <n v="250"/>
  </r>
  <r>
    <s v="JUSTIN"/>
    <s v="03"/>
    <s v="TRIANGLE"/>
    <s v="LAKEWALES"/>
    <x v="373"/>
    <x v="5"/>
    <x v="2"/>
    <s v="Invoice"/>
    <s v="99650"/>
    <x v="263"/>
    <x v="233"/>
    <x v="22"/>
    <x v="2"/>
    <n v="20"/>
  </r>
  <r>
    <s v="JUSTIN"/>
    <s v="03"/>
    <s v="CPSOKEE"/>
    <s v="OKEE-LIQ PLANT"/>
    <x v="387"/>
    <x v="5"/>
    <x v="2"/>
    <s v="Invoice"/>
    <s v="99658"/>
    <x v="134"/>
    <x v="94"/>
    <x v="41"/>
    <x v="0"/>
    <n v="2165"/>
  </r>
  <r>
    <s v=""/>
    <s v="03"/>
    <s v="CPSMULB"/>
    <s v="UAP/MULBERRY"/>
    <x v="387"/>
    <x v="5"/>
    <x v="2"/>
    <s v="Invoice"/>
    <s v="99661"/>
    <x v="32"/>
    <x v="353"/>
    <x v="25"/>
    <x v="0"/>
    <n v="3890"/>
  </r>
  <r>
    <s v="JUSTIN"/>
    <s v="03"/>
    <s v="CAINGROV"/>
    <s v="THORNBURG RD."/>
    <x v="387"/>
    <x v="5"/>
    <x v="2"/>
    <s v="Invoice"/>
    <s v="99670"/>
    <x v="409"/>
    <x v="354"/>
    <x v="103"/>
    <x v="0"/>
    <n v="2.5"/>
  </r>
  <r>
    <s v="JUSTIN"/>
    <s v="03"/>
    <s v="G&amp;DFARMS"/>
    <s v="MIDDLE"/>
    <x v="374"/>
    <x v="5"/>
    <x v="2"/>
    <s v="Invoice"/>
    <s v="99681"/>
    <x v="193"/>
    <x v="170"/>
    <x v="22"/>
    <x v="2"/>
    <n v="15.03"/>
  </r>
  <r>
    <s v="JUSTIN"/>
    <s v="03"/>
    <s v="COUNCILO"/>
    <s v="COUNCIL-OXFORD"/>
    <x v="374"/>
    <x v="5"/>
    <x v="2"/>
    <s v="Invoice"/>
    <s v="99686"/>
    <x v="34"/>
    <x v="29"/>
    <x v="26"/>
    <x v="0"/>
    <n v="180"/>
  </r>
  <r>
    <s v="JUSTIN"/>
    <s v="03"/>
    <s v="COUNCILO"/>
    <s v="COUNCIL-OXFORD"/>
    <x v="374"/>
    <x v="5"/>
    <x v="2"/>
    <s v="Invoice"/>
    <s v="99686"/>
    <x v="40"/>
    <x v="35"/>
    <x v="29"/>
    <x v="0"/>
    <n v="180"/>
  </r>
  <r>
    <s v="JUSTIN"/>
    <s v="03"/>
    <s v="TRIANGLE"/>
    <s v="LAKEWALES"/>
    <x v="374"/>
    <x v="5"/>
    <x v="2"/>
    <s v="Invoice"/>
    <s v="99687"/>
    <x v="263"/>
    <x v="233"/>
    <x v="22"/>
    <x v="2"/>
    <n v="20.012499999999999"/>
  </r>
  <r>
    <s v="JUSTIN"/>
    <s v="03"/>
    <s v="CPSWACHU"/>
    <s v="WAUCHULA"/>
    <x v="374"/>
    <x v="5"/>
    <x v="2"/>
    <s v="Invoice"/>
    <s v="99694"/>
    <x v="34"/>
    <x v="29"/>
    <x v="26"/>
    <x v="0"/>
    <n v="180"/>
  </r>
  <r>
    <s v="JUSTIN"/>
    <s v="03"/>
    <s v="TRIANGLE"/>
    <s v="LAKEWALES"/>
    <x v="381"/>
    <x v="5"/>
    <x v="2"/>
    <s v="Invoice"/>
    <s v="99706"/>
    <x v="263"/>
    <x v="233"/>
    <x v="22"/>
    <x v="2"/>
    <n v="20.017499999999998"/>
  </r>
  <r>
    <s v="JUSTIN"/>
    <s v="03"/>
    <s v="FLORIDAF"/>
    <s v="FLORIDA FERTILI"/>
    <x v="381"/>
    <x v="5"/>
    <x v="2"/>
    <s v="Invoice"/>
    <s v="99711"/>
    <x v="29"/>
    <x v="24"/>
    <x v="20"/>
    <x v="1"/>
    <n v="500"/>
  </r>
  <r>
    <s v="JUSTIN"/>
    <s v="03"/>
    <s v="CPSWACHU"/>
    <s v="WAUCHULA"/>
    <x v="381"/>
    <x v="5"/>
    <x v="2"/>
    <s v="Invoice"/>
    <s v="99715"/>
    <x v="324"/>
    <x v="286"/>
    <x v="13"/>
    <x v="0"/>
    <n v="750"/>
  </r>
  <r>
    <s v="JUSTIN"/>
    <s v="03"/>
    <s v="CPSWAVER"/>
    <s v="WAVERLY"/>
    <x v="381"/>
    <x v="5"/>
    <x v="2"/>
    <s v="Invoice"/>
    <s v="99717"/>
    <x v="5"/>
    <x v="72"/>
    <x v="4"/>
    <x v="0"/>
    <n v="180"/>
  </r>
  <r>
    <s v="JUSTIN"/>
    <s v="03"/>
    <s v="CPSWAVER"/>
    <s v="WAVERLY"/>
    <x v="381"/>
    <x v="5"/>
    <x v="2"/>
    <s v="Invoice"/>
    <s v="99717"/>
    <x v="136"/>
    <x v="111"/>
    <x v="46"/>
    <x v="0"/>
    <n v="180"/>
  </r>
  <r>
    <s v="JUSTIN"/>
    <s v="03"/>
    <s v="CPSWAVER"/>
    <s v="WAVERLY"/>
    <x v="381"/>
    <x v="5"/>
    <x v="2"/>
    <s v="Invoice"/>
    <s v="99717"/>
    <x v="191"/>
    <x v="169"/>
    <x v="61"/>
    <x v="0"/>
    <n v="180"/>
  </r>
  <r>
    <s v="JUSTIN"/>
    <s v="03"/>
    <s v="CPSWAVER"/>
    <s v="WAVERLY"/>
    <x v="381"/>
    <x v="5"/>
    <x v="2"/>
    <s v="Invoice"/>
    <s v="99719"/>
    <x v="410"/>
    <x v="35"/>
    <x v="29"/>
    <x v="0"/>
    <n v="750"/>
  </r>
  <r>
    <s v="JUSTIN"/>
    <s v="03"/>
    <s v="TRIANGLE"/>
    <s v="SYCAMORE"/>
    <x v="375"/>
    <x v="5"/>
    <x v="2"/>
    <s v="Invoice"/>
    <s v="99725"/>
    <x v="218"/>
    <x v="193"/>
    <x v="8"/>
    <x v="0"/>
    <n v="1080"/>
  </r>
  <r>
    <s v="JUSTIN"/>
    <s v="03"/>
    <s v="FLORIDAF"/>
    <s v="FLORIDA FERTILI"/>
    <x v="375"/>
    <x v="5"/>
    <x v="2"/>
    <s v="Invoice"/>
    <s v="99727"/>
    <x v="135"/>
    <x v="121"/>
    <x v="51"/>
    <x v="0"/>
    <n v="1500"/>
  </r>
  <r>
    <s v="JUSTIN"/>
    <s v="03"/>
    <s v="CPSFTPIE"/>
    <s v="FT. PIERCE"/>
    <x v="375"/>
    <x v="5"/>
    <x v="2"/>
    <s v="Invoice"/>
    <s v="99728"/>
    <x v="36"/>
    <x v="31"/>
    <x v="4"/>
    <x v="0"/>
    <n v="180"/>
  </r>
  <r>
    <s v="JUSTIN"/>
    <s v="03"/>
    <s v="FLORIDAF"/>
    <s v="FLORIDA FERTILI"/>
    <x v="375"/>
    <x v="5"/>
    <x v="2"/>
    <s v="Invoice"/>
    <s v="99729"/>
    <x v="411"/>
    <x v="355"/>
    <x v="104"/>
    <x v="0"/>
    <n v="750"/>
  </r>
  <r>
    <s v="JUSTIN"/>
    <s v="03"/>
    <s v="FLORIDAF"/>
    <s v="FLORIDA FERTILI"/>
    <x v="375"/>
    <x v="5"/>
    <x v="2"/>
    <s v="Invoice"/>
    <s v="99731"/>
    <x v="411"/>
    <x v="355"/>
    <x v="104"/>
    <x v="0"/>
    <n v="413"/>
  </r>
  <r>
    <s v="JUSTIN"/>
    <s v="03"/>
    <s v="CPSPARRI"/>
    <s v="PARRISH"/>
    <x v="375"/>
    <x v="5"/>
    <x v="2"/>
    <s v="Invoice"/>
    <s v="99732"/>
    <x v="34"/>
    <x v="29"/>
    <x v="26"/>
    <x v="0"/>
    <n v="180"/>
  </r>
  <r>
    <s v="JUSTIN"/>
    <s v="03"/>
    <s v="CPSPARRI"/>
    <s v="PARRISH"/>
    <x v="375"/>
    <x v="5"/>
    <x v="2"/>
    <s v="Invoice"/>
    <s v="99732"/>
    <x v="40"/>
    <x v="35"/>
    <x v="29"/>
    <x v="0"/>
    <n v="180"/>
  </r>
  <r>
    <s v="JUSTIN"/>
    <s v="03"/>
    <s v="CPSWACHU"/>
    <s v="WAUCHULA"/>
    <x v="375"/>
    <x v="5"/>
    <x v="2"/>
    <s v="Invoice"/>
    <s v="99733"/>
    <x v="34"/>
    <x v="29"/>
    <x v="26"/>
    <x v="0"/>
    <n v="180"/>
  </r>
  <r>
    <s v="DPOPPELL"/>
    <s v="04"/>
    <s v="CHAVEZJOR"/>
    <s v="JOSE' CHAV- COD"/>
    <x v="376"/>
    <x v="5"/>
    <x v="2"/>
    <s v="Invoice"/>
    <s v="99445"/>
    <x v="53"/>
    <x v="46"/>
    <x v="22"/>
    <x v="2"/>
    <n v="0.15"/>
  </r>
  <r>
    <s v="DPOPPELL"/>
    <s v="04"/>
    <s v="FORTGREENFARMS"/>
    <s v="FTGREEN"/>
    <x v="376"/>
    <x v="5"/>
    <x v="2"/>
    <s v="Invoice"/>
    <s v="99446"/>
    <x v="412"/>
    <x v="356"/>
    <x v="22"/>
    <x v="2"/>
    <n v="4.2575000000000003"/>
  </r>
  <r>
    <s v="DPOPPELL"/>
    <s v="04"/>
    <s v="M&amp;GFARMS"/>
    <s v="COUNTY LINE RD"/>
    <x v="376"/>
    <x v="5"/>
    <x v="2"/>
    <s v="Invoice"/>
    <s v="99451"/>
    <x v="58"/>
    <x v="51"/>
    <x v="22"/>
    <x v="2"/>
    <n v="2.5099999999999998"/>
  </r>
  <r>
    <s v="DPOPPELL"/>
    <s v="04"/>
    <s v="STRAWBERRYR"/>
    <s v="RANCH 4"/>
    <x v="376"/>
    <x v="5"/>
    <x v="2"/>
    <s v="Invoice"/>
    <s v="99452"/>
    <x v="64"/>
    <x v="57"/>
    <x v="22"/>
    <x v="2"/>
    <n v="15.01"/>
  </r>
  <r>
    <s v="DPOPPELL"/>
    <s v="04"/>
    <s v="STRAWBERRYR"/>
    <s v="RANCH 4"/>
    <x v="376"/>
    <x v="5"/>
    <x v="2"/>
    <s v="Invoice"/>
    <s v="99452"/>
    <x v="357"/>
    <x v="317"/>
    <x v="25"/>
    <x v="0"/>
    <n v="5.625"/>
  </r>
  <r>
    <s v="DPOPPELL"/>
    <s v="04"/>
    <s v="CENFLO ORGANICS"/>
    <s v="MCINTOSH"/>
    <x v="376"/>
    <x v="5"/>
    <x v="2"/>
    <s v="Invoice"/>
    <s v="99453"/>
    <x v="65"/>
    <x v="58"/>
    <x v="22"/>
    <x v="2"/>
    <n v="6.0049999999999999"/>
  </r>
  <r>
    <s v="DPOPPELL"/>
    <s v="04"/>
    <s v="STRAWBERRYR"/>
    <s v="RANCH 1"/>
    <x v="377"/>
    <x v="5"/>
    <x v="2"/>
    <s v="Invoice"/>
    <s v="99455"/>
    <x v="64"/>
    <x v="57"/>
    <x v="22"/>
    <x v="2"/>
    <n v="15.02"/>
  </r>
  <r>
    <s v="DPOPPELL"/>
    <s v="04"/>
    <s v="STRAWBERRYR"/>
    <s v="RANCH 1"/>
    <x v="377"/>
    <x v="5"/>
    <x v="2"/>
    <s v="Invoice"/>
    <s v="99455"/>
    <x v="357"/>
    <x v="317"/>
    <x v="25"/>
    <x v="0"/>
    <n v="5.625"/>
  </r>
  <r>
    <s v="DPOPPELL"/>
    <s v="04"/>
    <s v="GAONA, ESPER"/>
    <s v="SMOKINACES"/>
    <x v="377"/>
    <x v="5"/>
    <x v="2"/>
    <s v="Invoice"/>
    <s v="99456"/>
    <x v="28"/>
    <x v="23"/>
    <x v="22"/>
    <x v="2"/>
    <n v="4.5"/>
  </r>
  <r>
    <s v="DPOPPELL"/>
    <s v="04"/>
    <s v="SWEETLIFE"/>
    <s v="KNIGHTS GRIFFIN"/>
    <x v="377"/>
    <x v="5"/>
    <x v="2"/>
    <s v="Invoice"/>
    <s v="99457"/>
    <x v="27"/>
    <x v="22"/>
    <x v="22"/>
    <x v="2"/>
    <n v="19.997499999999999"/>
  </r>
  <r>
    <s v="DPOPPELL"/>
    <s v="04"/>
    <s v="EWSIMMON"/>
    <s v="MUD LAKE/W.SIDE"/>
    <x v="377"/>
    <x v="5"/>
    <x v="2"/>
    <s v="Invoice"/>
    <s v="99463"/>
    <x v="65"/>
    <x v="58"/>
    <x v="22"/>
    <x v="2"/>
    <n v="10"/>
  </r>
  <r>
    <s v="DPOPPELL"/>
    <s v="04"/>
    <s v="EWSIMMON"/>
    <s v="MUD LAKE/W.SIDE"/>
    <x v="377"/>
    <x v="5"/>
    <x v="2"/>
    <s v="Invoice"/>
    <s v="99463"/>
    <x v="357"/>
    <x v="317"/>
    <x v="25"/>
    <x v="0"/>
    <n v="3.75"/>
  </r>
  <r>
    <s v="DPOPPELL"/>
    <s v="04"/>
    <s v="MENDOZAHEC"/>
    <s v="JAUDON RD"/>
    <x v="377"/>
    <x v="5"/>
    <x v="2"/>
    <s v="Invoice"/>
    <s v="99464"/>
    <x v="27"/>
    <x v="22"/>
    <x v="22"/>
    <x v="2"/>
    <n v="4"/>
  </r>
  <r>
    <s v="DPOPPELL"/>
    <s v="04"/>
    <s v="MENDOZAHEC"/>
    <s v="HWY60"/>
    <x v="377"/>
    <x v="5"/>
    <x v="2"/>
    <s v="Invoice"/>
    <s v="99465"/>
    <x v="27"/>
    <x v="22"/>
    <x v="22"/>
    <x v="2"/>
    <n v="3.5"/>
  </r>
  <r>
    <s v="DPOPPELL"/>
    <s v="04"/>
    <s v="THREESTA"/>
    <s v="WALDEN-SHEFFIEL"/>
    <x v="377"/>
    <x v="5"/>
    <x v="2"/>
    <s v="Invoice"/>
    <s v="99466"/>
    <x v="67"/>
    <x v="60"/>
    <x v="22"/>
    <x v="2"/>
    <n v="10"/>
  </r>
  <r>
    <s v="DPOPPELL"/>
    <s v="04"/>
    <s v="THREESTA"/>
    <s v="WALDEN-SHEFFIEL"/>
    <x v="377"/>
    <x v="5"/>
    <x v="2"/>
    <s v="Invoice"/>
    <s v="99466"/>
    <x v="357"/>
    <x v="317"/>
    <x v="25"/>
    <x v="0"/>
    <n v="3.75"/>
  </r>
  <r>
    <s v="DPOPPELL"/>
    <s v="04"/>
    <s v="COLORFULH"/>
    <s v="TRAPNELL RD."/>
    <x v="377"/>
    <x v="5"/>
    <x v="2"/>
    <s v="Invoice"/>
    <s v="99469"/>
    <x v="77"/>
    <x v="37"/>
    <x v="30"/>
    <x v="0"/>
    <n v="120"/>
  </r>
  <r>
    <s v="DPOPPELL"/>
    <s v="04"/>
    <s v="M&amp;GFARMS"/>
    <s v="ALLENRD"/>
    <x v="377"/>
    <x v="5"/>
    <x v="2"/>
    <s v="Invoice"/>
    <s v="99470"/>
    <x v="28"/>
    <x v="23"/>
    <x v="22"/>
    <x v="2"/>
    <n v="5.0149999999999997"/>
  </r>
  <r>
    <s v="DPOPPELL"/>
    <s v="04"/>
    <s v="IFASGULF"/>
    <s v="BALM-STRAWBERRY"/>
    <x v="377"/>
    <x v="5"/>
    <x v="2"/>
    <s v="Invoice"/>
    <s v="99471"/>
    <x v="28"/>
    <x v="23"/>
    <x v="22"/>
    <x v="2"/>
    <n v="7.48"/>
  </r>
  <r>
    <s v="DPOPPELL"/>
    <s v="04"/>
    <s v="SWEETFARMS"/>
    <s v="SPRINGHEAD"/>
    <x v="377"/>
    <x v="5"/>
    <x v="2"/>
    <s v="Invoice"/>
    <s v="99473"/>
    <x v="58"/>
    <x v="51"/>
    <x v="22"/>
    <x v="2"/>
    <n v="2.0024999999999999"/>
  </r>
  <r>
    <s v="DPOPPELL"/>
    <s v="04"/>
    <s v="SWEETFARMS"/>
    <s v="SPRINGHEAD"/>
    <x v="377"/>
    <x v="5"/>
    <x v="2"/>
    <s v="Invoice"/>
    <s v="99473"/>
    <x v="357"/>
    <x v="317"/>
    <x v="25"/>
    <x v="0"/>
    <n v="0.75"/>
  </r>
  <r>
    <s v="DPOPPELL"/>
    <s v="04"/>
    <s v="MIDWAYF"/>
    <s v="KNIGHTSGRIFFIN"/>
    <x v="377"/>
    <x v="5"/>
    <x v="2"/>
    <s v="Invoice"/>
    <s v="99480"/>
    <x v="27"/>
    <x v="22"/>
    <x v="22"/>
    <x v="2"/>
    <n v="2.4900000000000002"/>
  </r>
  <r>
    <s v="DPOPPELL"/>
    <s v="04"/>
    <s v="MIDWAYF"/>
    <s v="FORBES"/>
    <x v="377"/>
    <x v="5"/>
    <x v="2"/>
    <s v="Invoice"/>
    <s v="99481"/>
    <x v="27"/>
    <x v="22"/>
    <x v="22"/>
    <x v="2"/>
    <n v="9.02"/>
  </r>
  <r>
    <s v="DPOPPELL"/>
    <s v="04"/>
    <s v="JOEPENA"/>
    <s v="HWY 92"/>
    <x v="382"/>
    <x v="5"/>
    <x v="2"/>
    <s v="Invoice"/>
    <s v="99485"/>
    <x v="114"/>
    <x v="101"/>
    <x v="22"/>
    <x v="2"/>
    <n v="1"/>
  </r>
  <r>
    <s v="DPOPPELL"/>
    <s v="04"/>
    <s v="CIRCLEGF&amp;R LLC"/>
    <s v="KNIGHTS-N-#13"/>
    <x v="382"/>
    <x v="5"/>
    <x v="2"/>
    <s v="Invoice"/>
    <s v="99486"/>
    <x v="27"/>
    <x v="22"/>
    <x v="22"/>
    <x v="2"/>
    <n v="2.0074999999999998"/>
  </r>
  <r>
    <s v="DPOPPELL"/>
    <s v="04"/>
    <s v="CHARLIEG-LLC"/>
    <s v="DAIRY"/>
    <x v="382"/>
    <x v="5"/>
    <x v="2"/>
    <s v="Invoice"/>
    <s v="99491"/>
    <x v="27"/>
    <x v="22"/>
    <x v="22"/>
    <x v="2"/>
    <n v="15"/>
  </r>
  <r>
    <s v="DPOPPELL"/>
    <s v="04"/>
    <s v="CHBERRY"/>
    <s v="BOBCAT"/>
    <x v="382"/>
    <x v="5"/>
    <x v="2"/>
    <s v="Invoice"/>
    <s v="99492"/>
    <x v="58"/>
    <x v="51"/>
    <x v="22"/>
    <x v="2"/>
    <n v="2.99"/>
  </r>
  <r>
    <s v="DPOPPELL"/>
    <s v="04"/>
    <s v="LEE GILLM"/>
    <s v="STAFFORD/HOME"/>
    <x v="382"/>
    <x v="5"/>
    <x v="2"/>
    <s v="Invoice"/>
    <s v="99493"/>
    <x v="63"/>
    <x v="56"/>
    <x v="22"/>
    <x v="2"/>
    <n v="6.5025000000000004"/>
  </r>
  <r>
    <s v="DPOPPELL"/>
    <s v="04"/>
    <s v="ALVAREZJ"/>
    <s v="ROGERS"/>
    <x v="382"/>
    <x v="5"/>
    <x v="2"/>
    <s v="Invoice"/>
    <s v="99494"/>
    <x v="68"/>
    <x v="61"/>
    <x v="22"/>
    <x v="2"/>
    <n v="3.01"/>
  </r>
  <r>
    <s v="DPOPPELL"/>
    <s v="04"/>
    <s v="ALVAREZJ"/>
    <s v="SYDNEY RD"/>
    <x v="382"/>
    <x v="5"/>
    <x v="2"/>
    <s v="Invoice"/>
    <s v="99495"/>
    <x v="58"/>
    <x v="51"/>
    <x v="22"/>
    <x v="2"/>
    <n v="2.0024999999999999"/>
  </r>
  <r>
    <s v="DPOPPELL"/>
    <s v="04"/>
    <s v="CHARLIEG-LLC"/>
    <s v="ALBRITTON"/>
    <x v="382"/>
    <x v="5"/>
    <x v="2"/>
    <s v="Invoice"/>
    <s v="99496"/>
    <x v="27"/>
    <x v="22"/>
    <x v="22"/>
    <x v="2"/>
    <n v="12.51"/>
  </r>
  <r>
    <s v="DPOPPELL"/>
    <s v="04"/>
    <s v="CIRCLEGF&amp;R LLC"/>
    <s v="PUMP4"/>
    <x v="370"/>
    <x v="5"/>
    <x v="2"/>
    <s v="Invoice"/>
    <s v="99499"/>
    <x v="27"/>
    <x v="22"/>
    <x v="22"/>
    <x v="2"/>
    <n v="14.9925"/>
  </r>
  <r>
    <s v="DPOPPELL"/>
    <s v="04"/>
    <s v="GWFARMS"/>
    <s v="JAUDONNORTH"/>
    <x v="370"/>
    <x v="5"/>
    <x v="2"/>
    <s v="Invoice"/>
    <s v="99503"/>
    <x v="43"/>
    <x v="38"/>
    <x v="22"/>
    <x v="2"/>
    <n v="1.25"/>
  </r>
  <r>
    <s v="DPOPPELL"/>
    <s v="04"/>
    <s v="CIRCLEGF&amp;R LLC"/>
    <s v="KNIGHTS-N-#16"/>
    <x v="370"/>
    <x v="5"/>
    <x v="2"/>
    <s v="Invoice"/>
    <s v="99505"/>
    <x v="27"/>
    <x v="22"/>
    <x v="22"/>
    <x v="2"/>
    <n v="14.5"/>
  </r>
  <r>
    <s v="DPOPPELL"/>
    <s v="04"/>
    <s v="GUTIERREZA"/>
    <s v="DUETTE"/>
    <x v="370"/>
    <x v="5"/>
    <x v="2"/>
    <s v="Invoice"/>
    <s v="99507"/>
    <x v="69"/>
    <x v="62"/>
    <x v="22"/>
    <x v="2"/>
    <n v="2.5099999999999998"/>
  </r>
  <r>
    <s v="DPOPPELL"/>
    <s v="04"/>
    <s v="GUTIERREZDAN"/>
    <s v="COOLER"/>
    <x v="370"/>
    <x v="5"/>
    <x v="2"/>
    <s v="Invoice"/>
    <s v="99511"/>
    <x v="69"/>
    <x v="62"/>
    <x v="22"/>
    <x v="2"/>
    <n v="14.9925"/>
  </r>
  <r>
    <s v=""/>
    <s v="04"/>
    <s v="NORMFRY"/>
    <s v="MAILING"/>
    <x v="371"/>
    <x v="5"/>
    <x v="2"/>
    <s v="Invoice"/>
    <s v="99519"/>
    <x v="323"/>
    <x v="285"/>
    <x v="89"/>
    <x v="0"/>
    <n v="15"/>
  </r>
  <r>
    <s v="DPOPPELL"/>
    <s v="04"/>
    <s v="M&amp;GFARMS"/>
    <s v="RED BARN"/>
    <x v="371"/>
    <x v="5"/>
    <x v="2"/>
    <s v="Invoice"/>
    <s v="99520"/>
    <x v="413"/>
    <x v="357"/>
    <x v="22"/>
    <x v="2"/>
    <n v="5"/>
  </r>
  <r>
    <s v="DPOPPELL"/>
    <s v="04"/>
    <s v="GUTIERREZDAN"/>
    <s v="AL SIMMONS"/>
    <x v="371"/>
    <x v="5"/>
    <x v="2"/>
    <s v="Invoice"/>
    <s v="99521"/>
    <x v="69"/>
    <x v="62"/>
    <x v="22"/>
    <x v="2"/>
    <n v="5.9924999999999997"/>
  </r>
  <r>
    <s v="DPOPPELL"/>
    <s v="04"/>
    <s v="M&amp;GFARMS"/>
    <s v="HAREFAMILYLN"/>
    <x v="371"/>
    <x v="5"/>
    <x v="2"/>
    <s v="Invoice"/>
    <s v="99524"/>
    <x v="28"/>
    <x v="23"/>
    <x v="22"/>
    <x v="2"/>
    <n v="2.9750000000000001"/>
  </r>
  <r>
    <s v="DPOPPELL"/>
    <s v="04"/>
    <s v="GERALDWI"/>
    <s v="MCINTOSH ROAD"/>
    <x v="371"/>
    <x v="5"/>
    <x v="2"/>
    <s v="Invoice"/>
    <s v="99525"/>
    <x v="59"/>
    <x v="52"/>
    <x v="22"/>
    <x v="2"/>
    <n v="5.0125000000000002"/>
  </r>
  <r>
    <s v="DPOPPELL"/>
    <s v="04"/>
    <s v="M&amp;GFARMS"/>
    <s v="HAREFAMILYLN"/>
    <x v="371"/>
    <x v="5"/>
    <x v="2"/>
    <s v="Invoice"/>
    <s v="99526"/>
    <x v="58"/>
    <x v="51"/>
    <x v="22"/>
    <x v="2"/>
    <n v="5.0049999999999999"/>
  </r>
  <r>
    <s v="DPOPPELL"/>
    <s v="04"/>
    <s v="GUTIERREZA"/>
    <s v="DUETTE"/>
    <x v="383"/>
    <x v="5"/>
    <x v="2"/>
    <s v="Invoice"/>
    <s v="99539"/>
    <x v="69"/>
    <x v="62"/>
    <x v="22"/>
    <x v="2"/>
    <n v="15.0075"/>
  </r>
  <r>
    <s v="DPOPPELL"/>
    <s v="04"/>
    <s v="JOSEHERN"/>
    <s v="SPARKMAN"/>
    <x v="383"/>
    <x v="5"/>
    <x v="2"/>
    <s v="Invoice"/>
    <s v="99541"/>
    <x v="58"/>
    <x v="51"/>
    <x v="22"/>
    <x v="2"/>
    <n v="10.0075"/>
  </r>
  <r>
    <s v="DPOPPELL"/>
    <s v="04"/>
    <s v="JOSEHERN"/>
    <s v="SPARKMAN"/>
    <x v="383"/>
    <x v="5"/>
    <x v="2"/>
    <s v="Invoice"/>
    <s v="99541"/>
    <x v="357"/>
    <x v="317"/>
    <x v="25"/>
    <x v="0"/>
    <n v="3.75"/>
  </r>
  <r>
    <s v="DPOPPELL"/>
    <s v="04"/>
    <s v="ALONSOFARMS"/>
    <s v="WIMAUMA"/>
    <x v="383"/>
    <x v="5"/>
    <x v="2"/>
    <s v="Invoice"/>
    <s v="99542"/>
    <x v="28"/>
    <x v="23"/>
    <x v="22"/>
    <x v="2"/>
    <n v="5.01"/>
  </r>
  <r>
    <s v="DPOPPELL"/>
    <s v="04"/>
    <s v="SPIVEYFA"/>
    <s v="HOPEWELL"/>
    <x v="383"/>
    <x v="5"/>
    <x v="2"/>
    <s v="Invoice"/>
    <s v="99543"/>
    <x v="56"/>
    <x v="49"/>
    <x v="22"/>
    <x v="2"/>
    <n v="3.98"/>
  </r>
  <r>
    <s v="DPOPPELL"/>
    <s v="04"/>
    <s v="SOUTHERNHILL"/>
    <s v="SCHOFIELD"/>
    <x v="383"/>
    <x v="5"/>
    <x v="2"/>
    <s v="Invoice"/>
    <s v="99544"/>
    <x v="47"/>
    <x v="41"/>
    <x v="22"/>
    <x v="2"/>
    <n v="5.0125000000000002"/>
  </r>
  <r>
    <s v="DPOPPELL"/>
    <s v="04"/>
    <s v="SOUTHERNHILL"/>
    <s v="SCHOFIELD"/>
    <x v="383"/>
    <x v="5"/>
    <x v="2"/>
    <s v="Invoice"/>
    <s v="99545"/>
    <x v="43"/>
    <x v="38"/>
    <x v="22"/>
    <x v="2"/>
    <n v="3.7574999999999998"/>
  </r>
  <r>
    <s v="DPOPPELL"/>
    <s v="04"/>
    <s v="MIDWAYF"/>
    <s v="KNIGHTSGRIFFIN"/>
    <x v="388"/>
    <x v="5"/>
    <x v="2"/>
    <s v="Invoice"/>
    <s v="99551"/>
    <x v="27"/>
    <x v="22"/>
    <x v="22"/>
    <x v="2"/>
    <n v="12.5"/>
  </r>
  <r>
    <s v="DPOPPELL"/>
    <s v="04"/>
    <s v="CARLTONTHOMAS"/>
    <s v="GRANGEHALL"/>
    <x v="383"/>
    <x v="5"/>
    <x v="2"/>
    <s v="Invoice"/>
    <s v="99552"/>
    <x v="71"/>
    <x v="64"/>
    <x v="22"/>
    <x v="2"/>
    <n v="15.015000000000001"/>
  </r>
  <r>
    <s v="DPOPPELL"/>
    <s v="04"/>
    <s v="M&amp;GFARMS"/>
    <s v="ONA"/>
    <x v="389"/>
    <x v="5"/>
    <x v="2"/>
    <s v="Invoice"/>
    <s v="99553"/>
    <x v="58"/>
    <x v="51"/>
    <x v="22"/>
    <x v="2"/>
    <n v="15.0175"/>
  </r>
  <r>
    <s v="DPOPPELL"/>
    <s v="04"/>
    <s v="FANCYFAR"/>
    <s v="FUTCH LOOP-CTR."/>
    <x v="389"/>
    <x v="5"/>
    <x v="2"/>
    <s v="Invoice"/>
    <s v="99555"/>
    <x v="401"/>
    <x v="347"/>
    <x v="22"/>
    <x v="2"/>
    <n v="12.5"/>
  </r>
  <r>
    <s v="DPOPPELL"/>
    <s v="04"/>
    <s v="THREESTA"/>
    <s v="BILLY GREEN"/>
    <x v="389"/>
    <x v="5"/>
    <x v="2"/>
    <s v="Invoice"/>
    <s v="99556"/>
    <x v="44"/>
    <x v="39"/>
    <x v="22"/>
    <x v="2"/>
    <n v="4.9950000000000001"/>
  </r>
  <r>
    <s v="DPOPPELL"/>
    <s v="04"/>
    <s v="THREESTA"/>
    <s v="BILLY GREEN"/>
    <x v="389"/>
    <x v="5"/>
    <x v="2"/>
    <s v="Invoice"/>
    <s v="99556"/>
    <x v="357"/>
    <x v="317"/>
    <x v="25"/>
    <x v="0"/>
    <n v="1.875"/>
  </r>
  <r>
    <s v="DPOPPELL"/>
    <s v="04"/>
    <s v="SWEETLIFE"/>
    <s v="FOSTER DUKES N"/>
    <x v="389"/>
    <x v="5"/>
    <x v="2"/>
    <s v="Invoice"/>
    <s v="99557"/>
    <x v="27"/>
    <x v="22"/>
    <x v="22"/>
    <x v="2"/>
    <n v="10"/>
  </r>
  <r>
    <s v="DPOPPELL"/>
    <s v="04"/>
    <s v="PARKESDA"/>
    <s v="HILL"/>
    <x v="389"/>
    <x v="5"/>
    <x v="2"/>
    <s v="Invoice"/>
    <s v="99558"/>
    <x v="65"/>
    <x v="58"/>
    <x v="22"/>
    <x v="2"/>
    <n v="7.5049999999999999"/>
  </r>
  <r>
    <s v="DPOPPELL"/>
    <s v="04"/>
    <s v="PARKESDA"/>
    <s v="BILOXI"/>
    <x v="389"/>
    <x v="5"/>
    <x v="2"/>
    <s v="Invoice"/>
    <s v="99559"/>
    <x v="65"/>
    <x v="58"/>
    <x v="22"/>
    <x v="2"/>
    <n v="10.005000000000001"/>
  </r>
  <r>
    <s v="DPOPPELL"/>
    <s v="04"/>
    <s v="ELIASCEDILLO"/>
    <s v="TRAPNELL"/>
    <x v="384"/>
    <x v="5"/>
    <x v="2"/>
    <s v="Invoice"/>
    <s v="99563"/>
    <x v="43"/>
    <x v="38"/>
    <x v="22"/>
    <x v="2"/>
    <n v="1.25"/>
  </r>
  <r>
    <s v="DPOPPELL"/>
    <s v="04"/>
    <s v="SWEETLIFE"/>
    <s v="GALLAGHER"/>
    <x v="389"/>
    <x v="5"/>
    <x v="2"/>
    <s v="Invoice"/>
    <s v="99564"/>
    <x v="27"/>
    <x v="22"/>
    <x v="22"/>
    <x v="2"/>
    <n v="10.012499999999999"/>
  </r>
  <r>
    <s v="DPOPPELL"/>
    <s v="04"/>
    <s v="FORTGREENFARMS"/>
    <s v="FTGREEN"/>
    <x v="389"/>
    <x v="5"/>
    <x v="2"/>
    <s v="Invoice"/>
    <s v="99565"/>
    <x v="58"/>
    <x v="51"/>
    <x v="22"/>
    <x v="2"/>
    <n v="7.5"/>
  </r>
  <r>
    <s v="DPOPPELL"/>
    <s v="04"/>
    <s v="GUTIERREZA"/>
    <s v="JOE KING RD"/>
    <x v="389"/>
    <x v="5"/>
    <x v="2"/>
    <s v="Invoice"/>
    <s v="99566"/>
    <x v="43"/>
    <x v="38"/>
    <x v="22"/>
    <x v="2"/>
    <n v="4.0025000000000004"/>
  </r>
  <r>
    <s v="DPOPPELL"/>
    <s v="04"/>
    <s v="HAPPYGROVES"/>
    <s v="MAIN"/>
    <x v="384"/>
    <x v="5"/>
    <x v="2"/>
    <s v="Invoice"/>
    <s v="99568"/>
    <x v="34"/>
    <x v="29"/>
    <x v="26"/>
    <x v="0"/>
    <n v="10"/>
  </r>
  <r>
    <s v="DPOPPELL"/>
    <s v="04"/>
    <s v="SWEETFARMS"/>
    <s v="JIMJOHNSON"/>
    <x v="384"/>
    <x v="5"/>
    <x v="2"/>
    <s v="Invoice"/>
    <s v="99569"/>
    <x v="58"/>
    <x v="51"/>
    <x v="22"/>
    <x v="2"/>
    <n v="2.0024999999999999"/>
  </r>
  <r>
    <s v="DPOPPELL"/>
    <s v="04"/>
    <s v="SWEETFARMS"/>
    <s v="JIMJOHNSON"/>
    <x v="384"/>
    <x v="5"/>
    <x v="2"/>
    <s v="Invoice"/>
    <s v="99569"/>
    <x v="357"/>
    <x v="317"/>
    <x v="25"/>
    <x v="0"/>
    <n v="0.75"/>
  </r>
  <r>
    <s v="DPOPPELL"/>
    <s v="04"/>
    <s v="MIKELOTT"/>
    <s v="HILLSBOROUGH"/>
    <x v="384"/>
    <x v="5"/>
    <x v="2"/>
    <s v="Invoice"/>
    <s v="99570"/>
    <x v="43"/>
    <x v="38"/>
    <x v="22"/>
    <x v="2"/>
    <n v="10.0075"/>
  </r>
  <r>
    <s v=""/>
    <s v="04"/>
    <s v="PORTER HA"/>
    <s v="BILLS PLACE"/>
    <x v="384"/>
    <x v="5"/>
    <x v="2"/>
    <s v="Invoice"/>
    <s v="99572"/>
    <x v="28"/>
    <x v="23"/>
    <x v="22"/>
    <x v="2"/>
    <n v="2.9824999999999999"/>
  </r>
  <r>
    <s v="DPOPPELL"/>
    <s v="04"/>
    <s v="EWSIMMON"/>
    <s v="TURKEY CRK"/>
    <x v="384"/>
    <x v="5"/>
    <x v="2"/>
    <s v="Invoice"/>
    <s v="99573"/>
    <x v="65"/>
    <x v="58"/>
    <x v="22"/>
    <x v="2"/>
    <n v="2.5099999999999998"/>
  </r>
  <r>
    <s v="DPOPPELL"/>
    <s v="04"/>
    <s v="EWSIMMON"/>
    <s v="TURKEY CRK"/>
    <x v="384"/>
    <x v="5"/>
    <x v="2"/>
    <s v="Invoice"/>
    <s v="99573"/>
    <x v="357"/>
    <x v="317"/>
    <x v="25"/>
    <x v="0"/>
    <n v="0.9375"/>
  </r>
  <r>
    <s v="DPOPPELL"/>
    <s v="04"/>
    <s v="MIDWAYF"/>
    <s v="ALS - NORTH"/>
    <x v="384"/>
    <x v="5"/>
    <x v="2"/>
    <s v="Invoice"/>
    <s v="99580"/>
    <x v="27"/>
    <x v="22"/>
    <x v="22"/>
    <x v="2"/>
    <n v="3.4950000000000001"/>
  </r>
  <r>
    <s v="DPOPPELL"/>
    <s v="04"/>
    <s v="MIDWAYF"/>
    <s v="FUTCH"/>
    <x v="384"/>
    <x v="5"/>
    <x v="2"/>
    <s v="Invoice"/>
    <s v="99581"/>
    <x v="27"/>
    <x v="22"/>
    <x v="22"/>
    <x v="2"/>
    <n v="5.5"/>
  </r>
  <r>
    <s v="DPOPPELL"/>
    <s v="04"/>
    <s v="JOSEHERN"/>
    <s v="TRAPNELL RD/E"/>
    <x v="378"/>
    <x v="5"/>
    <x v="2"/>
    <s v="Invoice"/>
    <s v="99582"/>
    <x v="43"/>
    <x v="38"/>
    <x v="22"/>
    <x v="2"/>
    <n v="2"/>
  </r>
  <r>
    <s v="DPOPPELL"/>
    <s v="04"/>
    <s v="CHAVEZJOR"/>
    <s v="JOSE' CHAV- COD"/>
    <x v="378"/>
    <x v="5"/>
    <x v="2"/>
    <s v="Invoice"/>
    <s v="99583"/>
    <x v="53"/>
    <x v="46"/>
    <x v="22"/>
    <x v="2"/>
    <n v="0.3"/>
  </r>
  <r>
    <s v="DPOPPELL"/>
    <s v="04"/>
    <s v="M&amp;GFARMS"/>
    <s v="HWY 640"/>
    <x v="378"/>
    <x v="5"/>
    <x v="2"/>
    <s v="Invoice"/>
    <s v="99586"/>
    <x v="28"/>
    <x v="23"/>
    <x v="22"/>
    <x v="2"/>
    <n v="2.9950000000000001"/>
  </r>
  <r>
    <s v="DPOPPELL"/>
    <s v="04"/>
    <s v="FERRISFA"/>
    <s v="BLUEBERRY-NEW"/>
    <x v="378"/>
    <x v="5"/>
    <x v="2"/>
    <s v="Invoice"/>
    <s v="99587"/>
    <x v="62"/>
    <x v="55"/>
    <x v="22"/>
    <x v="2"/>
    <n v="15"/>
  </r>
  <r>
    <s v="DPOPPELL"/>
    <s v="04"/>
    <s v="SANCHEZFARM"/>
    <s v="WACHULA"/>
    <x v="378"/>
    <x v="5"/>
    <x v="2"/>
    <s v="Invoice"/>
    <s v="99588"/>
    <x v="43"/>
    <x v="38"/>
    <x v="22"/>
    <x v="2"/>
    <n v="10.02"/>
  </r>
  <r>
    <s v="DPOPPELL"/>
    <s v="04"/>
    <s v="FRANKLIN"/>
    <s v="MCGEE RD. SOUTH"/>
    <x v="378"/>
    <x v="5"/>
    <x v="2"/>
    <s v="Invoice"/>
    <s v="99592"/>
    <x v="145"/>
    <x v="126"/>
    <x v="22"/>
    <x v="2"/>
    <n v="7.5049999999999999"/>
  </r>
  <r>
    <s v="DPOPPELL"/>
    <s v="04"/>
    <s v="JOSEHERN"/>
    <s v="KEYSVILLE N"/>
    <x v="379"/>
    <x v="5"/>
    <x v="2"/>
    <s v="Invoice"/>
    <s v="99595"/>
    <x v="58"/>
    <x v="51"/>
    <x v="22"/>
    <x v="2"/>
    <n v="5.99"/>
  </r>
  <r>
    <s v="DPOPPELL"/>
    <s v="04"/>
    <s v="FCFARMS"/>
    <s v="GALLAGHER"/>
    <x v="379"/>
    <x v="5"/>
    <x v="2"/>
    <s v="Invoice"/>
    <s v="99598"/>
    <x v="43"/>
    <x v="38"/>
    <x v="22"/>
    <x v="2"/>
    <n v="2.5024999999999999"/>
  </r>
  <r>
    <s v="DPOPPELL"/>
    <s v="04"/>
    <s v="SWEETLIFE"/>
    <s v="MCGEE RD."/>
    <x v="379"/>
    <x v="5"/>
    <x v="2"/>
    <s v="Invoice"/>
    <s v="99599"/>
    <x v="233"/>
    <x v="209"/>
    <x v="22"/>
    <x v="2"/>
    <n v="12.5"/>
  </r>
  <r>
    <s v="DPOPPELL"/>
    <s v="04"/>
    <s v="FAVORITE"/>
    <s v="MCINTOSH ROAD"/>
    <x v="379"/>
    <x v="5"/>
    <x v="2"/>
    <s v="Invoice"/>
    <s v="99600"/>
    <x v="28"/>
    <x v="23"/>
    <x v="22"/>
    <x v="2"/>
    <n v="10.01"/>
  </r>
  <r>
    <s v="DPOPPELL"/>
    <s v="04"/>
    <s v="SYDNEYFA"/>
    <s v="FORBES ROAD"/>
    <x v="379"/>
    <x v="5"/>
    <x v="2"/>
    <s v="Invoice"/>
    <s v="99602"/>
    <x v="67"/>
    <x v="60"/>
    <x v="22"/>
    <x v="2"/>
    <n v="10.0025"/>
  </r>
  <r>
    <s v="DPOPPELL"/>
    <s v="04"/>
    <s v="M&amp;GFARMS"/>
    <s v="HAREFAMILYLN"/>
    <x v="379"/>
    <x v="5"/>
    <x v="2"/>
    <s v="Invoice"/>
    <s v="99603"/>
    <x v="102"/>
    <x v="71"/>
    <x v="100"/>
    <x v="0"/>
    <n v="500"/>
  </r>
  <r>
    <s v="DPOPPELL"/>
    <s v="04"/>
    <s v="THREESTA"/>
    <s v="WALDEN-SHEFFIEL"/>
    <x v="379"/>
    <x v="5"/>
    <x v="2"/>
    <s v="Invoice"/>
    <s v="99604"/>
    <x v="44"/>
    <x v="39"/>
    <x v="22"/>
    <x v="2"/>
    <n v="10.0025"/>
  </r>
  <r>
    <s v="DPOPPELL"/>
    <s v="04"/>
    <s v="THREESTA"/>
    <s v="WALDEN-SHEFFIEL"/>
    <x v="379"/>
    <x v="5"/>
    <x v="2"/>
    <s v="Invoice"/>
    <s v="99604"/>
    <x v="357"/>
    <x v="317"/>
    <x v="25"/>
    <x v="0"/>
    <n v="3.75"/>
  </r>
  <r>
    <s v="DPOPPELL"/>
    <s v="04"/>
    <s v="SWEETLIFE"/>
    <s v="SWINDLEN"/>
    <x v="385"/>
    <x v="5"/>
    <x v="2"/>
    <s v="Invoice"/>
    <s v="99608"/>
    <x v="233"/>
    <x v="209"/>
    <x v="22"/>
    <x v="2"/>
    <n v="13"/>
  </r>
  <r>
    <s v="DPOPPELL"/>
    <s v="04"/>
    <s v="MIDWAYF"/>
    <s v="WILDER RD."/>
    <x v="385"/>
    <x v="5"/>
    <x v="2"/>
    <s v="Invoice"/>
    <s v="99610"/>
    <x v="233"/>
    <x v="209"/>
    <x v="22"/>
    <x v="2"/>
    <n v="2"/>
  </r>
  <r>
    <s v="DPOPPELL"/>
    <s v="04"/>
    <s v="JOEPENA"/>
    <s v="JIMREDMAN"/>
    <x v="385"/>
    <x v="5"/>
    <x v="2"/>
    <s v="Invoice"/>
    <s v="99611"/>
    <x v="55"/>
    <x v="48"/>
    <x v="22"/>
    <x v="2"/>
    <n v="1"/>
  </r>
  <r>
    <s v="DPOPPELL"/>
    <s v="04"/>
    <s v="ROQUEFARMS"/>
    <s v="SWEETWATER"/>
    <x v="390"/>
    <x v="5"/>
    <x v="2"/>
    <s v="Invoice"/>
    <s v="99618"/>
    <x v="43"/>
    <x v="38"/>
    <x v="22"/>
    <x v="2"/>
    <n v="2.5"/>
  </r>
  <r>
    <s v="DPOPPELL"/>
    <s v="04"/>
    <s v="STRAWBERRYR"/>
    <s v="RANCH 2"/>
    <x v="385"/>
    <x v="5"/>
    <x v="2"/>
    <s v="Invoice"/>
    <s v="99619"/>
    <x v="65"/>
    <x v="58"/>
    <x v="22"/>
    <x v="2"/>
    <n v="15.012499999999999"/>
  </r>
  <r>
    <s v="DPOPPELL"/>
    <s v="04"/>
    <s v="STRAWBERRYR"/>
    <s v="RANCH 2"/>
    <x v="385"/>
    <x v="5"/>
    <x v="2"/>
    <s v="Invoice"/>
    <s v="99619"/>
    <x v="357"/>
    <x v="317"/>
    <x v="25"/>
    <x v="0"/>
    <n v="5.625"/>
  </r>
  <r>
    <s v="DPOPPELL"/>
    <s v="04"/>
    <s v="M&amp;GFARMS"/>
    <s v="SWEATTLP"/>
    <x v="372"/>
    <x v="5"/>
    <x v="2"/>
    <s v="Invoice"/>
    <s v="99628"/>
    <x v="58"/>
    <x v="51"/>
    <x v="22"/>
    <x v="2"/>
    <n v="9"/>
  </r>
  <r>
    <s v="DPOPPELL"/>
    <s v="04"/>
    <s v="MIDWAYF"/>
    <s v="FORBES"/>
    <x v="372"/>
    <x v="5"/>
    <x v="2"/>
    <s v="Invoice"/>
    <s v="99631"/>
    <x v="233"/>
    <x v="209"/>
    <x v="22"/>
    <x v="2"/>
    <n v="11.487500000000001"/>
  </r>
  <r>
    <s v="DPOPPELL"/>
    <s v="04"/>
    <s v="FLORIDAAG"/>
    <s v="DOVER"/>
    <x v="372"/>
    <x v="5"/>
    <x v="2"/>
    <s v="Invoice"/>
    <s v="99632"/>
    <x v="52"/>
    <x v="45"/>
    <x v="22"/>
    <x v="2"/>
    <n v="1.01"/>
  </r>
  <r>
    <s v="DPOPPELL"/>
    <s v="04"/>
    <s v="SWEETLIFE"/>
    <s v="KEENE RD."/>
    <x v="372"/>
    <x v="5"/>
    <x v="2"/>
    <s v="Invoice"/>
    <s v="99633"/>
    <x v="233"/>
    <x v="209"/>
    <x v="22"/>
    <x v="2"/>
    <n v="9.9924999999999997"/>
  </r>
  <r>
    <s v="DPOPPELL"/>
    <s v="04"/>
    <s v="IFASGULF"/>
    <s v="BALM-STRAWBERRY"/>
    <x v="372"/>
    <x v="5"/>
    <x v="2"/>
    <s v="Invoice"/>
    <s v="99634"/>
    <x v="28"/>
    <x v="23"/>
    <x v="22"/>
    <x v="2"/>
    <n v="7.5"/>
  </r>
  <r>
    <s v="DPOPPELL"/>
    <s v="04"/>
    <s v="PARKESDA"/>
    <s v="BLACKBERRIES"/>
    <x v="372"/>
    <x v="5"/>
    <x v="2"/>
    <s v="Invoice"/>
    <s v="99639"/>
    <x v="65"/>
    <x v="58"/>
    <x v="22"/>
    <x v="2"/>
    <n v="1.25"/>
  </r>
  <r>
    <s v="DPOPPELL"/>
    <s v="04"/>
    <s v="JOSEHERN"/>
    <s v="DURANT"/>
    <x v="372"/>
    <x v="5"/>
    <x v="2"/>
    <s v="Invoice"/>
    <s v="99640"/>
    <x v="43"/>
    <x v="38"/>
    <x v="22"/>
    <x v="2"/>
    <n v="6.0075000000000003"/>
  </r>
  <r>
    <s v="DPOPPELL"/>
    <s v="04"/>
    <s v="M&amp;GFARMS"/>
    <s v="SWEATTLP"/>
    <x v="386"/>
    <x v="5"/>
    <x v="2"/>
    <s v="Invoice"/>
    <s v="99643"/>
    <x v="45"/>
    <x v="37"/>
    <x v="30"/>
    <x v="0"/>
    <n v="250"/>
  </r>
  <r>
    <s v="DPOPPELL"/>
    <s v="04"/>
    <s v="MIDWAYF"/>
    <s v="ALS - NORTH"/>
    <x v="386"/>
    <x v="5"/>
    <x v="2"/>
    <s v="Invoice"/>
    <s v="99645"/>
    <x v="233"/>
    <x v="209"/>
    <x v="22"/>
    <x v="2"/>
    <n v="4"/>
  </r>
  <r>
    <s v="DPOPPELL"/>
    <s v="04"/>
    <s v="GILLMANBUDD"/>
    <s v="EDITH DELANEY"/>
    <x v="386"/>
    <x v="5"/>
    <x v="2"/>
    <s v="Invoice"/>
    <s v="99647"/>
    <x v="43"/>
    <x v="38"/>
    <x v="22"/>
    <x v="2"/>
    <n v="5.0199999999999996"/>
  </r>
  <r>
    <s v="DPOPPELL"/>
    <s v="04"/>
    <s v="LARRYENN"/>
    <s v="TRAPNELL ROAD"/>
    <x v="386"/>
    <x v="5"/>
    <x v="2"/>
    <s v="Invoice"/>
    <s v="99648"/>
    <x v="43"/>
    <x v="38"/>
    <x v="22"/>
    <x v="2"/>
    <n v="5.5"/>
  </r>
  <r>
    <s v="DPOPPELL"/>
    <s v="04"/>
    <s v="CHARLIEG-LLC"/>
    <s v="WILDER LOOP"/>
    <x v="373"/>
    <x v="5"/>
    <x v="2"/>
    <s v="Invoice"/>
    <s v="99649"/>
    <x v="233"/>
    <x v="209"/>
    <x v="22"/>
    <x v="2"/>
    <n v="3.4824999999999999"/>
  </r>
  <r>
    <s v="DPOPPELL"/>
    <s v="04"/>
    <s v="GUTIERREZA"/>
    <s v="DUETTE"/>
    <x v="373"/>
    <x v="5"/>
    <x v="2"/>
    <s v="Invoice"/>
    <s v="99654"/>
    <x v="43"/>
    <x v="38"/>
    <x v="22"/>
    <x v="2"/>
    <n v="12.505000000000001"/>
  </r>
  <r>
    <s v="DPOPPELL"/>
    <s v="04"/>
    <s v="GUTIERREZA"/>
    <s v="DUETTE"/>
    <x v="373"/>
    <x v="5"/>
    <x v="2"/>
    <s v="Invoice"/>
    <s v="99655"/>
    <x v="58"/>
    <x v="51"/>
    <x v="22"/>
    <x v="2"/>
    <n v="10.02"/>
  </r>
  <r>
    <s v="DPOPPELL"/>
    <s v="04"/>
    <s v="MARTINEZMIGUEL"/>
    <s v="MAIN"/>
    <x v="387"/>
    <x v="5"/>
    <x v="2"/>
    <s v="Invoice"/>
    <s v="99659"/>
    <x v="53"/>
    <x v="46"/>
    <x v="22"/>
    <x v="2"/>
    <n v="1.25"/>
  </r>
  <r>
    <s v="DPOPPELL"/>
    <s v="04"/>
    <s v="MIDWAYF"/>
    <s v="KNIGHTSGRIFFIN"/>
    <x v="387"/>
    <x v="5"/>
    <x v="2"/>
    <s v="Invoice"/>
    <s v="99660"/>
    <x v="233"/>
    <x v="209"/>
    <x v="22"/>
    <x v="2"/>
    <n v="2.5"/>
  </r>
  <r>
    <s v="DPOPPELL"/>
    <s v="04"/>
    <s v="CHAVEZJOR"/>
    <s v="JOSE' CHAV- COD"/>
    <x v="387"/>
    <x v="5"/>
    <x v="2"/>
    <s v="Invoice"/>
    <s v="99662"/>
    <x v="53"/>
    <x v="46"/>
    <x v="22"/>
    <x v="2"/>
    <n v="0.15"/>
  </r>
  <r>
    <s v="DPOPPELL"/>
    <s v="04"/>
    <s v="CIRCLEGF&amp;R LLC"/>
    <s v="KNIGHTS-N-#16"/>
    <x v="387"/>
    <x v="5"/>
    <x v="2"/>
    <s v="Invoice"/>
    <s v="99668"/>
    <x v="233"/>
    <x v="209"/>
    <x v="22"/>
    <x v="2"/>
    <n v="11.5"/>
  </r>
  <r>
    <s v="DPOPPELL"/>
    <s v="04"/>
    <s v="SPIVEYFA"/>
    <s v="HOPEWELL"/>
    <x v="387"/>
    <x v="5"/>
    <x v="2"/>
    <s v="Invoice"/>
    <s v="99669"/>
    <x v="56"/>
    <x v="49"/>
    <x v="22"/>
    <x v="2"/>
    <n v="3.4975000000000001"/>
  </r>
  <r>
    <s v="DPOPPELL"/>
    <s v="04"/>
    <s v="JOEPENA"/>
    <s v="HWY 92"/>
    <x v="387"/>
    <x v="5"/>
    <x v="2"/>
    <s v="Invoice"/>
    <s v="99671"/>
    <x v="53"/>
    <x v="46"/>
    <x v="22"/>
    <x v="2"/>
    <n v="1"/>
  </r>
  <r>
    <s v="DPOPPELL"/>
    <s v="04"/>
    <s v="STRAWBERRYR"/>
    <s v="RANCH 1"/>
    <x v="380"/>
    <x v="5"/>
    <x v="2"/>
    <s v="Invoice"/>
    <s v="99675"/>
    <x v="43"/>
    <x v="38"/>
    <x v="22"/>
    <x v="2"/>
    <n v="15.0025"/>
  </r>
  <r>
    <s v="DPOPPELL"/>
    <s v="04"/>
    <s v="THREESTA"/>
    <s v="WALDEN-SHEFFIEL"/>
    <x v="380"/>
    <x v="5"/>
    <x v="2"/>
    <s v="Invoice"/>
    <s v="99676"/>
    <x v="44"/>
    <x v="39"/>
    <x v="22"/>
    <x v="2"/>
    <n v="10.005000000000001"/>
  </r>
  <r>
    <s v="DPOPPELL"/>
    <s v="04"/>
    <s v="THREESTA"/>
    <s v="WALDEN-SHEFFIEL"/>
    <x v="380"/>
    <x v="5"/>
    <x v="2"/>
    <s v="Invoice"/>
    <s v="99676"/>
    <x v="357"/>
    <x v="317"/>
    <x v="25"/>
    <x v="0"/>
    <n v="3.75"/>
  </r>
  <r>
    <s v=""/>
    <s v="04"/>
    <s v="PORTER HA"/>
    <s v="BILLS PLACE"/>
    <x v="380"/>
    <x v="5"/>
    <x v="2"/>
    <s v="Invoice"/>
    <s v="99677"/>
    <x v="414"/>
    <x v="358"/>
    <x v="22"/>
    <x v="2"/>
    <n v="4.9950000000000001"/>
  </r>
  <r>
    <s v="DPOPPELL"/>
    <s v="04"/>
    <s v="STRAWBERRYR"/>
    <s v="RANCH 2"/>
    <x v="380"/>
    <x v="5"/>
    <x v="2"/>
    <s v="Invoice"/>
    <s v="99678"/>
    <x v="43"/>
    <x v="38"/>
    <x v="22"/>
    <x v="2"/>
    <n v="14.9925"/>
  </r>
  <r>
    <s v="DPOPPELL"/>
    <s v="04"/>
    <s v="MIKELOTT"/>
    <s v="HILLSBOROUGH"/>
    <x v="374"/>
    <x v="5"/>
    <x v="2"/>
    <s v="Invoice"/>
    <s v="99688"/>
    <x v="43"/>
    <x v="38"/>
    <x v="22"/>
    <x v="2"/>
    <n v="5.0149999999999997"/>
  </r>
  <r>
    <s v="DPOPPELL"/>
    <s v="04"/>
    <s v="CHARLIEG-LLC"/>
    <s v="DAIRY"/>
    <x v="374"/>
    <x v="5"/>
    <x v="2"/>
    <s v="Invoice"/>
    <s v="99689"/>
    <x v="233"/>
    <x v="209"/>
    <x v="22"/>
    <x v="2"/>
    <n v="4.9824999999999999"/>
  </r>
  <r>
    <s v="DPOPPELL"/>
    <s v="04"/>
    <s v="SYDNEYFA"/>
    <s v="FORBES/NORTH"/>
    <x v="374"/>
    <x v="5"/>
    <x v="2"/>
    <s v="Invoice"/>
    <s v="99690"/>
    <x v="43"/>
    <x v="38"/>
    <x v="22"/>
    <x v="2"/>
    <n v="5.01"/>
  </r>
  <r>
    <s v="DPOPPELL"/>
    <s v="04"/>
    <s v="MANUELCH"/>
    <s v="TURKEYCREEK"/>
    <x v="374"/>
    <x v="5"/>
    <x v="2"/>
    <s v="Invoice"/>
    <s v="99695"/>
    <x v="102"/>
    <x v="71"/>
    <x v="100"/>
    <x v="0"/>
    <n v="250"/>
  </r>
  <r>
    <s v="DPOPPELL"/>
    <s v="04"/>
    <s v="HAPPYGROVES"/>
    <s v="MAIN"/>
    <x v="374"/>
    <x v="5"/>
    <x v="2"/>
    <s v="Invoice"/>
    <s v="99696"/>
    <x v="309"/>
    <x v="273"/>
    <x v="20"/>
    <x v="1"/>
    <n v="2700"/>
  </r>
  <r>
    <s v="DPOPPELL"/>
    <s v="04"/>
    <s v="SRISAIAY"/>
    <s v="SYDNEY DOVER"/>
    <x v="374"/>
    <x v="5"/>
    <x v="2"/>
    <s v="Invoice"/>
    <s v="99699"/>
    <x v="27"/>
    <x v="22"/>
    <x v="22"/>
    <x v="2"/>
    <n v="1.25"/>
  </r>
  <r>
    <s v="DPOPPELL"/>
    <s v="04"/>
    <s v="DURGAFARMS"/>
    <s v="SYDNEYDOVER"/>
    <x v="374"/>
    <x v="5"/>
    <x v="2"/>
    <s v="Invoice"/>
    <s v="99700"/>
    <x v="27"/>
    <x v="22"/>
    <x v="22"/>
    <x v="2"/>
    <n v="2.5"/>
  </r>
  <r>
    <s v="DPOPPELL"/>
    <s v="04"/>
    <s v="SRISAIAY"/>
    <s v="PASTURE"/>
    <x v="374"/>
    <x v="5"/>
    <x v="2"/>
    <s v="Invoice"/>
    <s v="99701"/>
    <x v="414"/>
    <x v="358"/>
    <x v="22"/>
    <x v="2"/>
    <n v="5"/>
  </r>
  <r>
    <s v="DPOPPELL"/>
    <s v="04"/>
    <s v="BERRYBLISS"/>
    <s v="JAUDONSOUTH"/>
    <x v="381"/>
    <x v="5"/>
    <x v="2"/>
    <s v="Invoice"/>
    <s v="99704"/>
    <x v="43"/>
    <x v="38"/>
    <x v="22"/>
    <x v="2"/>
    <n v="3.78"/>
  </r>
  <r>
    <s v="DPOPPELL"/>
    <s v="04"/>
    <s v="BONIFACIO"/>
    <s v="BONIFACIO"/>
    <x v="381"/>
    <x v="5"/>
    <x v="2"/>
    <s v="Invoice"/>
    <s v="99710"/>
    <x v="77"/>
    <x v="37"/>
    <x v="30"/>
    <x v="0"/>
    <n v="60"/>
  </r>
  <r>
    <s v="DPOPPELL"/>
    <s v="04"/>
    <s v="GAONA, ESPER"/>
    <s v="WILLIAMSRD"/>
    <x v="381"/>
    <x v="5"/>
    <x v="2"/>
    <s v="Invoice"/>
    <s v="99712"/>
    <x v="43"/>
    <x v="38"/>
    <x v="22"/>
    <x v="2"/>
    <n v="2.4975000000000001"/>
  </r>
  <r>
    <s v="DPOPPELL"/>
    <s v="04"/>
    <s v="M&amp;GFARMS"/>
    <s v="COUNTY LINE RD"/>
    <x v="381"/>
    <x v="5"/>
    <x v="2"/>
    <s v="Invoice"/>
    <s v="99713"/>
    <x v="58"/>
    <x v="51"/>
    <x v="22"/>
    <x v="2"/>
    <n v="2.5024999999999999"/>
  </r>
  <r>
    <s v="DPOPPELL"/>
    <s v="04"/>
    <s v="MIDWAYF"/>
    <s v="WILDER RD."/>
    <x v="381"/>
    <x v="5"/>
    <x v="2"/>
    <s v="Invoice"/>
    <s v="99714"/>
    <x v="27"/>
    <x v="22"/>
    <x v="22"/>
    <x v="2"/>
    <n v="2"/>
  </r>
  <r>
    <s v="DPOPPELL"/>
    <s v="04"/>
    <s v="PARKESDA"/>
    <s v="HILL"/>
    <x v="381"/>
    <x v="5"/>
    <x v="2"/>
    <s v="Invoice"/>
    <s v="99716"/>
    <x v="69"/>
    <x v="62"/>
    <x v="22"/>
    <x v="2"/>
    <n v="10.015000000000001"/>
  </r>
  <r>
    <s v="DPOPPELL"/>
    <s v="04"/>
    <s v="GAONA, ESPER"/>
    <s v="MAILING"/>
    <x v="381"/>
    <x v="5"/>
    <x v="2"/>
    <s v="Invoice"/>
    <s v="99718"/>
    <x v="43"/>
    <x v="38"/>
    <x v="22"/>
    <x v="2"/>
    <n v="1.51"/>
  </r>
  <r>
    <s v="DPOPPELL"/>
    <s v="04"/>
    <s v="GUTIERREZA"/>
    <s v="JOE KING RD"/>
    <x v="381"/>
    <x v="5"/>
    <x v="2"/>
    <s v="Invoice"/>
    <s v="99720"/>
    <x v="43"/>
    <x v="38"/>
    <x v="22"/>
    <x v="2"/>
    <n v="3.4950000000000001"/>
  </r>
  <r>
    <s v="DPOPPELL"/>
    <s v="04"/>
    <s v="MENDOZAHEC"/>
    <s v="HWY60"/>
    <x v="381"/>
    <x v="5"/>
    <x v="2"/>
    <s v="Invoice"/>
    <s v="99721"/>
    <x v="69"/>
    <x v="62"/>
    <x v="22"/>
    <x v="2"/>
    <n v="6.5049999999999999"/>
  </r>
  <r>
    <s v="DPOPPELL"/>
    <s v="04"/>
    <s v="JOSEHERN"/>
    <s v="TRAPNELL RD/E"/>
    <x v="375"/>
    <x v="5"/>
    <x v="2"/>
    <s v="Invoice"/>
    <s v="99730"/>
    <x v="55"/>
    <x v="48"/>
    <x v="22"/>
    <x v="2"/>
    <n v="2"/>
  </r>
  <r>
    <s v="DPOPPELL"/>
    <s v="04"/>
    <s v="CHAVEZJOR"/>
    <s v="JOSE' CHAV- COD"/>
    <x v="375"/>
    <x v="5"/>
    <x v="2"/>
    <s v="Invoice"/>
    <s v="99734"/>
    <x v="53"/>
    <x v="46"/>
    <x v="22"/>
    <x v="2"/>
    <n v="0.3"/>
  </r>
  <r>
    <s v="DPOPPELL"/>
    <s v="04"/>
    <s v="FANCYFAR"/>
    <s v="VOLVO"/>
    <x v="375"/>
    <x v="5"/>
    <x v="2"/>
    <s v="Invoice"/>
    <s v="99735"/>
    <x v="43"/>
    <x v="38"/>
    <x v="22"/>
    <x v="2"/>
    <n v="5.0175000000000001"/>
  </r>
  <r>
    <s v="DPOPPELL"/>
    <s v="04"/>
    <s v="SYDNEYFA"/>
    <s v="FORBES ROAD"/>
    <x v="375"/>
    <x v="5"/>
    <x v="2"/>
    <s v="Invoice"/>
    <s v="99736"/>
    <x v="43"/>
    <x v="38"/>
    <x v="22"/>
    <x v="2"/>
    <n v="10.220000000000001"/>
  </r>
  <r>
    <s v="DPOPPELL"/>
    <s v="04"/>
    <s v="MIDWAYF"/>
    <s v="SAMALLEN"/>
    <x v="375"/>
    <x v="5"/>
    <x v="2"/>
    <s v="Invoice"/>
    <s v="99737"/>
    <x v="233"/>
    <x v="209"/>
    <x v="22"/>
    <x v="2"/>
    <n v="3.7524999999999999"/>
  </r>
  <r>
    <s v="DPOPPELL"/>
    <s v="04"/>
    <s v="GILLMANBUDD"/>
    <s v="FORBES"/>
    <x v="375"/>
    <x v="5"/>
    <x v="2"/>
    <s v="Invoice"/>
    <s v="99738"/>
    <x v="43"/>
    <x v="38"/>
    <x v="22"/>
    <x v="2"/>
    <n v="2.4950000000000001"/>
  </r>
  <r>
    <s v="DPOPPELL"/>
    <s v="04"/>
    <s v="FLORIDAAG"/>
    <s v="KINGSWAY"/>
    <x v="375"/>
    <x v="5"/>
    <x v="2"/>
    <s v="Invoice"/>
    <s v="99739"/>
    <x v="326"/>
    <x v="289"/>
    <x v="22"/>
    <x v="2"/>
    <n v="2.2725"/>
  </r>
  <r>
    <s v="DPOPPELL"/>
    <s v="04"/>
    <s v="THREESTA"/>
    <s v="WALDEN-SHEFFIEL"/>
    <x v="391"/>
    <x v="5"/>
    <x v="2"/>
    <s v="Invoice"/>
    <s v="99746"/>
    <x v="43"/>
    <x v="38"/>
    <x v="22"/>
    <x v="2"/>
    <n v="8.0124999999999993"/>
  </r>
  <r>
    <s v="DPOPPELL"/>
    <s v="04"/>
    <s v="GUTIERREZDAN"/>
    <s v="HWY 92"/>
    <x v="391"/>
    <x v="5"/>
    <x v="2"/>
    <s v="Invoice"/>
    <s v="99747"/>
    <x v="58"/>
    <x v="51"/>
    <x v="22"/>
    <x v="2"/>
    <n v="6.0175000000000001"/>
  </r>
  <r>
    <s v="DPOPPELL"/>
    <s v="04"/>
    <s v="JOSEHERN"/>
    <s v="KEYSVILLE N"/>
    <x v="391"/>
    <x v="5"/>
    <x v="2"/>
    <s v="Invoice"/>
    <s v="99748"/>
    <x v="43"/>
    <x v="38"/>
    <x v="22"/>
    <x v="2"/>
    <n v="3.0125000000000002"/>
  </r>
  <r>
    <s v="DPOPPELL"/>
    <s v="04"/>
    <s v="VENTURAFARMS"/>
    <s v="GALLAGHER"/>
    <x v="391"/>
    <x v="5"/>
    <x v="2"/>
    <s v="Invoice"/>
    <s v="99749"/>
    <x v="63"/>
    <x v="56"/>
    <x v="22"/>
    <x v="2"/>
    <n v="1"/>
  </r>
  <r>
    <s v="DPOPPELL"/>
    <s v="04"/>
    <s v="JOSEHERN"/>
    <s v="KEYSVILLE N"/>
    <x v="391"/>
    <x v="5"/>
    <x v="2"/>
    <s v="Invoice"/>
    <s v="99750"/>
    <x v="55"/>
    <x v="48"/>
    <x v="22"/>
    <x v="2"/>
    <n v="6.0125000000000002"/>
  </r>
  <r>
    <s v="DPOPPELL"/>
    <s v="04"/>
    <s v="SOUTHERNHILL"/>
    <s v="SCHOFIELD"/>
    <x v="391"/>
    <x v="5"/>
    <x v="2"/>
    <s v="Invoice"/>
    <s v="99751"/>
    <x v="43"/>
    <x v="38"/>
    <x v="22"/>
    <x v="2"/>
    <n v="6.2450000000000001"/>
  </r>
  <r>
    <s v="HOUSE"/>
    <s v="05"/>
    <s v="CPSBOYNTON"/>
    <s v="BOYNTON BCH"/>
    <x v="377"/>
    <x v="5"/>
    <x v="2"/>
    <s v="Invoice"/>
    <s v="99460"/>
    <x v="101"/>
    <x v="21"/>
    <x v="21"/>
    <x v="0"/>
    <n v="180"/>
  </r>
  <r>
    <s v="HOUSE"/>
    <s v="05"/>
    <s v="CPSHOMES"/>
    <s v="HOMESTEAD"/>
    <x v="377"/>
    <x v="5"/>
    <x v="2"/>
    <s v="Invoice"/>
    <s v="99461"/>
    <x v="157"/>
    <x v="138"/>
    <x v="53"/>
    <x v="0"/>
    <n v="1000"/>
  </r>
  <r>
    <s v="HOUSE"/>
    <s v="05"/>
    <s v="SOUTHERN"/>
    <s v="SOUTHERN AG"/>
    <x v="382"/>
    <x v="5"/>
    <x v="2"/>
    <s v="Invoice"/>
    <s v="99483"/>
    <x v="96"/>
    <x v="90"/>
    <x v="39"/>
    <x v="0"/>
    <n v="60"/>
  </r>
  <r>
    <s v="HOUSE"/>
    <s v="05"/>
    <s v="SOUTHERN"/>
    <s v="SOUTHERN AG"/>
    <x v="383"/>
    <x v="5"/>
    <x v="2"/>
    <s v="Invoice"/>
    <s v="99538"/>
    <x v="358"/>
    <x v="18"/>
    <x v="18"/>
    <x v="0"/>
    <n v="60"/>
  </r>
  <r>
    <s v="HOUSE"/>
    <s v="05"/>
    <s v="SOUTHERN"/>
    <s v="SOUTHERN AG"/>
    <x v="385"/>
    <x v="5"/>
    <x v="2"/>
    <s v="Invoice"/>
    <s v="99609"/>
    <x v="119"/>
    <x v="108"/>
    <x v="44"/>
    <x v="0"/>
    <n v="30"/>
  </r>
  <r>
    <s v="HOUSE"/>
    <s v="05"/>
    <s v="SOUTHERN"/>
    <s v="SOUTHERN AG"/>
    <x v="385"/>
    <x v="5"/>
    <x v="2"/>
    <s v="Invoice"/>
    <s v="99609"/>
    <x v="148"/>
    <x v="128"/>
    <x v="29"/>
    <x v="0"/>
    <n v="30"/>
  </r>
  <r>
    <s v="HOUSE"/>
    <s v="05"/>
    <s v="SOUTHERN"/>
    <s v="SOUTHERN AG"/>
    <x v="385"/>
    <x v="5"/>
    <x v="2"/>
    <s v="Invoice"/>
    <s v="99609"/>
    <x v="48"/>
    <x v="33"/>
    <x v="28"/>
    <x v="0"/>
    <n v="60"/>
  </r>
  <r>
    <s v="HOUSE"/>
    <s v="05"/>
    <s v="SOUTHERN"/>
    <s v="SOUTHERN AG"/>
    <x v="385"/>
    <x v="5"/>
    <x v="2"/>
    <s v="Invoice"/>
    <s v="99609"/>
    <x v="22"/>
    <x v="69"/>
    <x v="17"/>
    <x v="0"/>
    <n v="180"/>
  </r>
  <r>
    <s v="HOUSE"/>
    <s v="05"/>
    <s v="SOUTHERN"/>
    <s v="SOUTHERN AG"/>
    <x v="385"/>
    <x v="5"/>
    <x v="2"/>
    <s v="Invoice"/>
    <s v="99609A"/>
    <x v="237"/>
    <x v="75"/>
    <x v="26"/>
    <x v="0"/>
    <n v="40"/>
  </r>
  <r>
    <s v="HOUSE"/>
    <s v="05"/>
    <s v="CPSHOMES"/>
    <s v="HOMESTEAD"/>
    <x v="372"/>
    <x v="5"/>
    <x v="2"/>
    <s v="Invoice"/>
    <s v="99626"/>
    <x v="156"/>
    <x v="138"/>
    <x v="53"/>
    <x v="0"/>
    <n v="180"/>
  </r>
  <r>
    <s v="HOUSE"/>
    <s v="05"/>
    <s v="CPSHOMES"/>
    <s v="HOMESTEAD"/>
    <x v="372"/>
    <x v="5"/>
    <x v="2"/>
    <s v="Invoice"/>
    <s v="99626"/>
    <x v="48"/>
    <x v="33"/>
    <x v="28"/>
    <x v="0"/>
    <n v="180"/>
  </r>
  <r>
    <s v="HOUSE"/>
    <s v="05"/>
    <s v="SOUTHERN"/>
    <s v="SOUTHERN AG"/>
    <x v="387"/>
    <x v="5"/>
    <x v="2"/>
    <s v="Invoice"/>
    <s v="99663"/>
    <x v="237"/>
    <x v="75"/>
    <x v="26"/>
    <x v="0"/>
    <n v="50"/>
  </r>
  <r>
    <s v="HOUSE"/>
    <s v="05"/>
    <s v="SOUTHERN"/>
    <s v="SOUTHERN AG"/>
    <x v="387"/>
    <x v="5"/>
    <x v="2"/>
    <s v="Invoice"/>
    <s v="99666"/>
    <x v="96"/>
    <x v="90"/>
    <x v="39"/>
    <x v="0"/>
    <n v="180"/>
  </r>
  <r>
    <s v=""/>
    <s v="07"/>
    <s v="BIG HOUSE FARMS"/>
    <s v="MAYO"/>
    <x v="371"/>
    <x v="5"/>
    <x v="2"/>
    <s v="Invoice"/>
    <s v="99512"/>
    <x v="85"/>
    <x v="213"/>
    <x v="35"/>
    <x v="0"/>
    <n v="15"/>
  </r>
  <r>
    <s v=""/>
    <s v="07"/>
    <s v="BIG HOUSE FARMS"/>
    <s v="MAYO"/>
    <x v="371"/>
    <x v="5"/>
    <x v="2"/>
    <s v="Invoice"/>
    <s v="99512"/>
    <x v="34"/>
    <x v="29"/>
    <x v="26"/>
    <x v="0"/>
    <n v="40"/>
  </r>
  <r>
    <s v=""/>
    <s v="07"/>
    <s v="BARNESFE"/>
    <s v="HASTINGS"/>
    <x v="371"/>
    <x v="5"/>
    <x v="2"/>
    <s v="Invoice"/>
    <s v="99515"/>
    <x v="158"/>
    <x v="139"/>
    <x v="53"/>
    <x v="0"/>
    <n v="720"/>
  </r>
  <r>
    <s v=""/>
    <s v="07"/>
    <s v="BARNESFE"/>
    <s v="HASTINGS"/>
    <x v="371"/>
    <x v="5"/>
    <x v="2"/>
    <s v="Invoice"/>
    <s v="99515"/>
    <x v="206"/>
    <x v="139"/>
    <x v="53"/>
    <x v="0"/>
    <n v="500"/>
  </r>
  <r>
    <s v="CHEAD"/>
    <s v="07"/>
    <s v="UFPSUNIT"/>
    <s v="CITRA FARM"/>
    <x v="371"/>
    <x v="5"/>
    <x v="2"/>
    <s v="Invoice"/>
    <s v="99522"/>
    <x v="241"/>
    <x v="216"/>
    <x v="22"/>
    <x v="2"/>
    <n v="1.2649999999999999"/>
  </r>
  <r>
    <s v=""/>
    <s v="07"/>
    <s v="BIG HOUSE FARMS"/>
    <s v="MAYO"/>
    <x v="371"/>
    <x v="5"/>
    <x v="2"/>
    <s v="Invoice"/>
    <s v="99523"/>
    <x v="243"/>
    <x v="217"/>
    <x v="22"/>
    <x v="2"/>
    <n v="5.0075000000000003"/>
  </r>
  <r>
    <s v=""/>
    <s v="07"/>
    <s v="BARNESFE"/>
    <s v="HASTINGS"/>
    <x v="389"/>
    <x v="5"/>
    <x v="2"/>
    <s v="Invoice"/>
    <s v="99548"/>
    <x v="397"/>
    <x v="344"/>
    <x v="102"/>
    <x v="0"/>
    <n v="180"/>
  </r>
  <r>
    <s v=""/>
    <s v="07"/>
    <s v="CPSHASTI"/>
    <s v="HASTINGS"/>
    <x v="389"/>
    <x v="5"/>
    <x v="2"/>
    <s v="Invoice"/>
    <s v="99549"/>
    <x v="96"/>
    <x v="90"/>
    <x v="39"/>
    <x v="0"/>
    <n v="180"/>
  </r>
  <r>
    <s v=""/>
    <s v="07"/>
    <s v="CPSHASTI"/>
    <s v="HASTINGS"/>
    <x v="389"/>
    <x v="5"/>
    <x v="2"/>
    <s v="Invoice"/>
    <s v="99550"/>
    <x v="206"/>
    <x v="139"/>
    <x v="53"/>
    <x v="0"/>
    <n v="750"/>
  </r>
  <r>
    <s v=""/>
    <s v="07"/>
    <s v="CPSHASTI"/>
    <s v="HASTINGS"/>
    <x v="379"/>
    <x v="5"/>
    <x v="2"/>
    <s v="Invoice"/>
    <s v="99596"/>
    <x v="206"/>
    <x v="139"/>
    <x v="53"/>
    <x v="0"/>
    <n v="1000"/>
  </r>
  <r>
    <s v=""/>
    <s v="07"/>
    <s v="BARNESFE"/>
    <s v="HASTINGS"/>
    <x v="390"/>
    <x v="5"/>
    <x v="2"/>
    <s v="Invoice"/>
    <s v="99620"/>
    <x v="206"/>
    <x v="139"/>
    <x v="53"/>
    <x v="0"/>
    <n v="500"/>
  </r>
  <r>
    <s v="CHEAD"/>
    <s v="07"/>
    <s v="ROBINSONFARMS"/>
    <s v="MAIN"/>
    <x v="372"/>
    <x v="5"/>
    <x v="2"/>
    <s v="Invoice"/>
    <s v="99627"/>
    <x v="85"/>
    <x v="213"/>
    <x v="35"/>
    <x v="0"/>
    <n v="20"/>
  </r>
  <r>
    <s v="CHEAD"/>
    <s v="07"/>
    <s v="CPSSOUTH"/>
    <s v="MOULTRIE"/>
    <x v="372"/>
    <x v="5"/>
    <x v="2"/>
    <s v="Invoice"/>
    <s v="99635A"/>
    <x v="40"/>
    <x v="35"/>
    <x v="29"/>
    <x v="0"/>
    <n v="180"/>
  </r>
  <r>
    <s v=""/>
    <s v="07"/>
    <s v="BARNESFE"/>
    <s v="HASTINGS"/>
    <x v="386"/>
    <x v="5"/>
    <x v="2"/>
    <s v="Invoice"/>
    <s v="99641A"/>
    <x v="207"/>
    <x v="183"/>
    <x v="22"/>
    <x v="2"/>
    <n v="5.0049999999999999"/>
  </r>
  <r>
    <s v=""/>
    <s v="07"/>
    <s v="BARNESFE"/>
    <s v="HASTINGS"/>
    <x v="386"/>
    <x v="5"/>
    <x v="2"/>
    <s v="Invoice"/>
    <s v="99642A"/>
    <x v="348"/>
    <x v="309"/>
    <x v="93"/>
    <x v="0"/>
    <n v="360"/>
  </r>
  <r>
    <s v=""/>
    <s v="07"/>
    <s v="BARNESFE"/>
    <s v="HASTINGS"/>
    <x v="373"/>
    <x v="5"/>
    <x v="2"/>
    <s v="Invoice"/>
    <s v="99653A"/>
    <x v="415"/>
    <x v="359"/>
    <x v="65"/>
    <x v="0"/>
    <n v="180"/>
  </r>
  <r>
    <s v=""/>
    <s v="07"/>
    <s v="BARNESFE"/>
    <s v="HASTINGS"/>
    <x v="373"/>
    <x v="5"/>
    <x v="2"/>
    <s v="Invoice"/>
    <s v="99653A"/>
    <x v="348"/>
    <x v="309"/>
    <x v="93"/>
    <x v="0"/>
    <n v="360"/>
  </r>
  <r>
    <s v=""/>
    <s v="07"/>
    <s v="BARNESFE"/>
    <s v="HASTINGS"/>
    <x v="373"/>
    <x v="5"/>
    <x v="2"/>
    <s v="Invoice"/>
    <s v="99653A"/>
    <x v="158"/>
    <x v="139"/>
    <x v="53"/>
    <x v="0"/>
    <n v="480"/>
  </r>
  <r>
    <s v="CHEAD"/>
    <s v="07"/>
    <s v="TRIANGLE"/>
    <s v="SHADYBROOK"/>
    <x v="374"/>
    <x v="5"/>
    <x v="2"/>
    <s v="Invoice"/>
    <s v="99691"/>
    <x v="224"/>
    <x v="199"/>
    <x v="22"/>
    <x v="2"/>
    <n v="5"/>
  </r>
  <r>
    <s v=""/>
    <s v="07"/>
    <s v="CPSHASTI"/>
    <s v="HASTINGS"/>
    <x v="381"/>
    <x v="5"/>
    <x v="2"/>
    <s v="Invoice"/>
    <s v="99707"/>
    <x v="158"/>
    <x v="139"/>
    <x v="53"/>
    <x v="0"/>
    <n v="480"/>
  </r>
  <r>
    <s v=""/>
    <s v="07"/>
    <s v="CPSHASTI"/>
    <s v="HASTINGS"/>
    <x v="381"/>
    <x v="5"/>
    <x v="2"/>
    <s v="Invoice"/>
    <s v="99707"/>
    <x v="206"/>
    <x v="139"/>
    <x v="53"/>
    <x v="0"/>
    <n v="250"/>
  </r>
  <r>
    <s v="CHEAD"/>
    <s v="07"/>
    <s v="MAYO"/>
    <s v="WILLISTON"/>
    <x v="381"/>
    <x v="5"/>
    <x v="2"/>
    <s v="Invoice"/>
    <s v="99708"/>
    <x v="34"/>
    <x v="29"/>
    <x v="26"/>
    <x v="0"/>
    <n v="180"/>
  </r>
  <r>
    <s v=""/>
    <s v="07"/>
    <s v="CPSHASTI"/>
    <s v="HASTINGS"/>
    <x v="381"/>
    <x v="5"/>
    <x v="2"/>
    <s v="Invoice"/>
    <s v="99709"/>
    <x v="206"/>
    <x v="139"/>
    <x v="53"/>
    <x v="0"/>
    <n v="1000"/>
  </r>
  <r>
    <s v="DPOPPELL1"/>
    <s v="08"/>
    <s v="COASTALAGSUPPLY"/>
    <s v="MULBERRY"/>
    <x v="382"/>
    <x v="5"/>
    <x v="2"/>
    <s v="Invoice"/>
    <s v="99497"/>
    <x v="5"/>
    <x v="72"/>
    <x v="4"/>
    <x v="0"/>
    <n v="180"/>
  </r>
  <r>
    <s v="DPOPPELL1"/>
    <s v="08"/>
    <s v="COASTALAGSUPPLY"/>
    <s v="MULBERRY"/>
    <x v="370"/>
    <x v="5"/>
    <x v="2"/>
    <s v="Invoice"/>
    <s v="99498"/>
    <x v="5"/>
    <x v="72"/>
    <x v="4"/>
    <x v="0"/>
    <n v="30"/>
  </r>
  <r>
    <s v="DPOPPELL1"/>
    <s v="08"/>
    <s v="MAYO"/>
    <s v="PLANTCITY"/>
    <x v="370"/>
    <x v="5"/>
    <x v="2"/>
    <s v="Invoice"/>
    <s v="99508A"/>
    <x v="398"/>
    <x v="345"/>
    <x v="22"/>
    <x v="2"/>
    <n v="10"/>
  </r>
  <r>
    <s v="DPOPPELL1"/>
    <s v="08"/>
    <s v="COASTALAGSUPPLY"/>
    <s v="MULBERRY"/>
    <x v="371"/>
    <x v="5"/>
    <x v="2"/>
    <s v="Invoice"/>
    <s v="99513"/>
    <x v="5"/>
    <x v="72"/>
    <x v="4"/>
    <x v="0"/>
    <n v="150"/>
  </r>
  <r>
    <s v="DPOPPELL1"/>
    <s v="08"/>
    <s v="COASTALAGSUPPLY"/>
    <s v="MULBERRY"/>
    <x v="371"/>
    <x v="5"/>
    <x v="2"/>
    <s v="Invoice"/>
    <s v="99514"/>
    <x v="170"/>
    <x v="33"/>
    <x v="28"/>
    <x v="0"/>
    <n v="500"/>
  </r>
  <r>
    <s v="DPOPPELL1"/>
    <s v="08"/>
    <s v="COASTALAGSUPPLY"/>
    <s v="MAILING"/>
    <x v="383"/>
    <x v="5"/>
    <x v="2"/>
    <s v="Invoice"/>
    <s v="99546"/>
    <x v="5"/>
    <x v="72"/>
    <x v="4"/>
    <x v="0"/>
    <n v="180"/>
  </r>
  <r>
    <s v="DPOPPELL1"/>
    <s v="08"/>
    <s v="COASTALAGSUPPLY"/>
    <s v="MULBERRY"/>
    <x v="384"/>
    <x v="5"/>
    <x v="2"/>
    <s v="Invoice"/>
    <s v="99567"/>
    <x v="136"/>
    <x v="111"/>
    <x v="46"/>
    <x v="0"/>
    <n v="180"/>
  </r>
  <r>
    <s v="DPOPPELL1"/>
    <s v="08"/>
    <s v="COASTALAGSUPPLY"/>
    <s v="MULBERRY"/>
    <x v="379"/>
    <x v="5"/>
    <x v="2"/>
    <s v="Invoice"/>
    <s v="99597"/>
    <x v="35"/>
    <x v="30"/>
    <x v="27"/>
    <x v="0"/>
    <n v="540"/>
  </r>
  <r>
    <s v="DPOPPELL1"/>
    <s v="08"/>
    <s v="TRIANGLE"/>
    <s v="TRIANGLE/PC"/>
    <x v="372"/>
    <x v="5"/>
    <x v="2"/>
    <s v="Invoice"/>
    <s v="99624"/>
    <x v="34"/>
    <x v="29"/>
    <x v="26"/>
    <x v="0"/>
    <n v="360"/>
  </r>
  <r>
    <s v="DPOPPELL1"/>
    <s v="08"/>
    <s v="COASTALAGSUPPLY"/>
    <s v="MULBERRY"/>
    <x v="373"/>
    <x v="5"/>
    <x v="2"/>
    <s v="Invoice"/>
    <s v="99651"/>
    <x v="218"/>
    <x v="193"/>
    <x v="8"/>
    <x v="0"/>
    <n v="180"/>
  </r>
  <r>
    <s v="DPOPPELL1"/>
    <s v="08"/>
    <s v="COASTALAGSUPPLY"/>
    <s v="MULBERRY"/>
    <x v="373"/>
    <x v="5"/>
    <x v="2"/>
    <s v="Invoice"/>
    <s v="99652"/>
    <x v="75"/>
    <x v="68"/>
    <x v="22"/>
    <x v="2"/>
    <n v="1.2424999999999999"/>
  </r>
  <r>
    <s v="GEORGIA"/>
    <s v="09"/>
    <s v="AGRIBUSI"/>
    <s v="SIMPLOT/PERU"/>
    <x v="377"/>
    <x v="5"/>
    <x v="2"/>
    <s v="Invoice"/>
    <s v="99468"/>
    <x v="159"/>
    <x v="117"/>
    <x v="48"/>
    <x v="0"/>
    <n v="3600"/>
  </r>
  <r>
    <s v="GEORGIA"/>
    <s v="09"/>
    <s v="AGRIBUSI"/>
    <s v="SIMPLOT/PERU"/>
    <x v="370"/>
    <x v="5"/>
    <x v="2"/>
    <s v="Invoice"/>
    <s v="99506"/>
    <x v="129"/>
    <x v="117"/>
    <x v="48"/>
    <x v="0"/>
    <n v="3710"/>
  </r>
  <r>
    <s v=""/>
    <s v="09"/>
    <s v="AGRIBUSI"/>
    <s v="CDI"/>
    <x v="383"/>
    <x v="5"/>
    <x v="2"/>
    <s v="Invoice"/>
    <s v="99537"/>
    <x v="89"/>
    <x v="81"/>
    <x v="20"/>
    <x v="1"/>
    <n v="2700"/>
  </r>
  <r>
    <s v="GEORGIA"/>
    <s v="09"/>
    <s v="AGRIBUSI"/>
    <s v="SIMPLOT/PERU"/>
    <x v="389"/>
    <x v="5"/>
    <x v="2"/>
    <s v="Invoice"/>
    <s v="99554"/>
    <x v="129"/>
    <x v="117"/>
    <x v="48"/>
    <x v="0"/>
    <n v="3710"/>
  </r>
  <r>
    <s v=""/>
    <s v="09"/>
    <s v="CAROLINATU"/>
    <s v="GREENSBOR,C.C."/>
    <x v="389"/>
    <x v="5"/>
    <x v="2"/>
    <s v="Invoice"/>
    <s v="99560"/>
    <x v="84"/>
    <x v="76"/>
    <x v="11"/>
    <x v="0"/>
    <n v="55"/>
  </r>
  <r>
    <s v="GEORGIA"/>
    <s v="09"/>
    <s v="AGRIBUSI"/>
    <s v="EDDIEMILLER"/>
    <x v="389"/>
    <x v="5"/>
    <x v="2"/>
    <s v="Invoice"/>
    <s v="99561"/>
    <x v="219"/>
    <x v="194"/>
    <x v="20"/>
    <x v="1"/>
    <n v="1800"/>
  </r>
  <r>
    <s v="GEORGIA"/>
    <s v="09"/>
    <s v="AGRIBUSI"/>
    <s v="EDDIEMILLER"/>
    <x v="389"/>
    <x v="5"/>
    <x v="2"/>
    <s v="Invoice"/>
    <s v="99561"/>
    <x v="219"/>
    <x v="194"/>
    <x v="20"/>
    <x v="1"/>
    <n v="200"/>
  </r>
  <r>
    <s v=""/>
    <s v="09"/>
    <s v="AGRIBUSI"/>
    <s v="MEHERRIN/KINGST"/>
    <x v="389"/>
    <x v="5"/>
    <x v="2"/>
    <s v="Invoice"/>
    <s v="99562"/>
    <x v="221"/>
    <x v="194"/>
    <x v="20"/>
    <x v="1"/>
    <n v="2500"/>
  </r>
  <r>
    <s v="GEORGIA"/>
    <s v="09"/>
    <s v="GREENRES"/>
    <s v="MGMT WAY-NC"/>
    <x v="384"/>
    <x v="5"/>
    <x v="2"/>
    <s v="Invoice"/>
    <s v="99575A"/>
    <x v="22"/>
    <x v="69"/>
    <x v="17"/>
    <x v="0"/>
    <n v="180"/>
  </r>
  <r>
    <s v=""/>
    <s v="09"/>
    <s v="NUTRATURF"/>
    <s v="CRUMP ST, NC"/>
    <x v="378"/>
    <x v="5"/>
    <x v="2"/>
    <s v="Invoice"/>
    <s v="99577"/>
    <x v="240"/>
    <x v="71"/>
    <x v="100"/>
    <x v="0"/>
    <n v="30"/>
  </r>
  <r>
    <s v=""/>
    <s v="09"/>
    <s v="NUTRATURF"/>
    <s v="CRUMP ST, NC"/>
    <x v="378"/>
    <x v="5"/>
    <x v="2"/>
    <s v="Invoice"/>
    <s v="99577"/>
    <x v="78"/>
    <x v="71"/>
    <x v="100"/>
    <x v="0"/>
    <n v="165"/>
  </r>
  <r>
    <s v=""/>
    <s v="09"/>
    <s v="NUTRATURF"/>
    <s v="CRUMP ST, NC"/>
    <x v="378"/>
    <x v="5"/>
    <x v="2"/>
    <s v="Invoice"/>
    <s v="99577"/>
    <x v="251"/>
    <x v="28"/>
    <x v="2"/>
    <x v="0"/>
    <n v="55"/>
  </r>
  <r>
    <s v=""/>
    <s v="09"/>
    <s v="NUTRATURF"/>
    <s v="CRUMP ST, NC"/>
    <x v="378"/>
    <x v="5"/>
    <x v="2"/>
    <s v="Invoice"/>
    <s v="99577"/>
    <x v="164"/>
    <x v="147"/>
    <x v="57"/>
    <x v="0"/>
    <n v="30"/>
  </r>
  <r>
    <s v=""/>
    <s v="09"/>
    <s v="NUTRATURF"/>
    <s v="CRUMP ST, NC"/>
    <x v="378"/>
    <x v="5"/>
    <x v="2"/>
    <s v="Invoice"/>
    <s v="99577"/>
    <x v="416"/>
    <x v="147"/>
    <x v="57"/>
    <x v="0"/>
    <n v="250"/>
  </r>
  <r>
    <s v=""/>
    <s v="09"/>
    <s v="NUTRATURF"/>
    <s v="CRUMP ST, NC"/>
    <x v="378"/>
    <x v="5"/>
    <x v="2"/>
    <s v="Invoice"/>
    <s v="99577"/>
    <x v="417"/>
    <x v="147"/>
    <x v="57"/>
    <x v="0"/>
    <n v="55"/>
  </r>
  <r>
    <s v=""/>
    <s v="09"/>
    <s v="NUTRATURF"/>
    <s v="CRUMP ST, NC"/>
    <x v="378"/>
    <x v="5"/>
    <x v="2"/>
    <s v="Invoice"/>
    <s v="99577"/>
    <x v="10"/>
    <x v="253"/>
    <x v="9"/>
    <x v="0"/>
    <n v="20"/>
  </r>
  <r>
    <s v=""/>
    <s v="09"/>
    <s v="NUTRATURF"/>
    <s v="CRUMP ST, NC"/>
    <x v="378"/>
    <x v="5"/>
    <x v="2"/>
    <s v="Invoice"/>
    <s v="99577"/>
    <x v="5"/>
    <x v="72"/>
    <x v="4"/>
    <x v="0"/>
    <n v="20"/>
  </r>
  <r>
    <s v=""/>
    <s v="09"/>
    <s v="NUTRATURF"/>
    <s v="CRUMP ST, NC"/>
    <x v="378"/>
    <x v="5"/>
    <x v="2"/>
    <s v="Invoice"/>
    <s v="99577"/>
    <x v="140"/>
    <x v="72"/>
    <x v="4"/>
    <x v="0"/>
    <n v="250"/>
  </r>
  <r>
    <s v=""/>
    <s v="09"/>
    <s v="NUTRATURF"/>
    <s v="CRUMP ST, NC"/>
    <x v="378"/>
    <x v="5"/>
    <x v="2"/>
    <s v="Invoice"/>
    <s v="99577"/>
    <x v="80"/>
    <x v="73"/>
    <x v="4"/>
    <x v="0"/>
    <n v="55"/>
  </r>
  <r>
    <s v=""/>
    <s v="09"/>
    <s v="NUTRATURF"/>
    <s v="CRUMP ST, NC"/>
    <x v="378"/>
    <x v="5"/>
    <x v="2"/>
    <s v="Invoice"/>
    <s v="99577"/>
    <x v="106"/>
    <x v="74"/>
    <x v="13"/>
    <x v="0"/>
    <n v="15"/>
  </r>
  <r>
    <s v=""/>
    <s v="09"/>
    <s v="NUTRATURF"/>
    <s v="CRUMP ST, NC"/>
    <x v="378"/>
    <x v="5"/>
    <x v="2"/>
    <s v="Invoice"/>
    <s v="99577"/>
    <x v="253"/>
    <x v="74"/>
    <x v="13"/>
    <x v="0"/>
    <n v="250"/>
  </r>
  <r>
    <s v=""/>
    <s v="09"/>
    <s v="NUTRATURF"/>
    <s v="CRUMP ST, NC"/>
    <x v="378"/>
    <x v="5"/>
    <x v="2"/>
    <s v="Invoice"/>
    <s v="99577"/>
    <x v="237"/>
    <x v="75"/>
    <x v="26"/>
    <x v="0"/>
    <n v="15"/>
  </r>
  <r>
    <s v=""/>
    <s v="09"/>
    <s v="NUTRATURF"/>
    <s v="CRUMP ST, NC"/>
    <x v="378"/>
    <x v="5"/>
    <x v="2"/>
    <s v="Invoice"/>
    <s v="99577"/>
    <x v="254"/>
    <x v="75"/>
    <x v="26"/>
    <x v="0"/>
    <n v="250"/>
  </r>
  <r>
    <s v=""/>
    <s v="09"/>
    <s v="NUTRATURF"/>
    <s v="CRUMP ST, NC"/>
    <x v="378"/>
    <x v="5"/>
    <x v="2"/>
    <s v="Invoice"/>
    <s v="99577"/>
    <x v="186"/>
    <x v="225"/>
    <x v="13"/>
    <x v="0"/>
    <n v="110"/>
  </r>
  <r>
    <s v=""/>
    <s v="09"/>
    <s v="NUTRATURF"/>
    <s v="CRUMP ST, NC"/>
    <x v="378"/>
    <x v="5"/>
    <x v="2"/>
    <s v="Invoice"/>
    <s v="99577"/>
    <x v="22"/>
    <x v="69"/>
    <x v="17"/>
    <x v="0"/>
    <n v="60"/>
  </r>
  <r>
    <s v=""/>
    <s v="09"/>
    <s v="NUTRATURF"/>
    <s v="CRUMP ST, NC"/>
    <x v="378"/>
    <x v="5"/>
    <x v="2"/>
    <s v="Invoice"/>
    <s v="99577"/>
    <x v="83"/>
    <x v="69"/>
    <x v="17"/>
    <x v="0"/>
    <n v="250"/>
  </r>
  <r>
    <s v=""/>
    <s v="09"/>
    <s v="NUTRATURF"/>
    <s v="CRUMP ST, NC"/>
    <x v="378"/>
    <x v="5"/>
    <x v="2"/>
    <s v="Invoice"/>
    <s v="99577"/>
    <x v="247"/>
    <x v="76"/>
    <x v="11"/>
    <x v="0"/>
    <n v="500"/>
  </r>
  <r>
    <s v=""/>
    <s v="09"/>
    <s v="NUTRATURF"/>
    <s v="CRUMP ST, NC"/>
    <x v="378"/>
    <x v="5"/>
    <x v="2"/>
    <s v="Invoice"/>
    <s v="99577"/>
    <x v="121"/>
    <x v="110"/>
    <x v="1"/>
    <x v="0"/>
    <n v="10"/>
  </r>
  <r>
    <s v=""/>
    <s v="09"/>
    <s v="NUTRATURF"/>
    <s v="CRUMP ST, NC"/>
    <x v="378"/>
    <x v="5"/>
    <x v="2"/>
    <s v="Invoice"/>
    <s v="99577"/>
    <x v="1"/>
    <x v="110"/>
    <x v="1"/>
    <x v="0"/>
    <n v="165"/>
  </r>
  <r>
    <s v=""/>
    <s v="09"/>
    <s v="NUTRATURF"/>
    <s v="CRUMP ST, NC"/>
    <x v="378"/>
    <x v="5"/>
    <x v="2"/>
    <s v="Invoice"/>
    <s v="99577"/>
    <x v="418"/>
    <x v="32"/>
    <x v="3"/>
    <x v="0"/>
    <n v="55"/>
  </r>
  <r>
    <s v=""/>
    <s v="09"/>
    <s v="NUTRATURF"/>
    <s v="CRUMP ST, NC"/>
    <x v="378"/>
    <x v="5"/>
    <x v="2"/>
    <s v="Invoice"/>
    <s v="99577"/>
    <x v="400"/>
    <x v="78"/>
    <x v="36"/>
    <x v="0"/>
    <n v="25"/>
  </r>
  <r>
    <s v=""/>
    <s v="09"/>
    <s v="NUTRATURF"/>
    <s v="CRUMP ST, NC"/>
    <x v="378"/>
    <x v="5"/>
    <x v="2"/>
    <s v="Invoice"/>
    <s v="99577"/>
    <x v="86"/>
    <x v="78"/>
    <x v="36"/>
    <x v="0"/>
    <n v="500"/>
  </r>
  <r>
    <s v=""/>
    <s v="09"/>
    <s v="NUTRATURF"/>
    <s v="CRUMP ST, NC"/>
    <x v="384"/>
    <x v="5"/>
    <x v="2"/>
    <s v="Invoice"/>
    <s v="99578"/>
    <x v="419"/>
    <x v="88"/>
    <x v="8"/>
    <x v="0"/>
    <n v="55"/>
  </r>
  <r>
    <s v=""/>
    <s v="09"/>
    <s v="NUTRATURF"/>
    <s v="CRUMP ST, NC"/>
    <x v="384"/>
    <x v="5"/>
    <x v="2"/>
    <s v="Invoice"/>
    <s v="99578"/>
    <x v="251"/>
    <x v="28"/>
    <x v="2"/>
    <x v="0"/>
    <n v="55"/>
  </r>
  <r>
    <s v=""/>
    <s v="09"/>
    <s v="NUTRATURF"/>
    <s v="CRUMP ST, NC"/>
    <x v="384"/>
    <x v="5"/>
    <x v="2"/>
    <s v="Invoice"/>
    <s v="99578"/>
    <x v="177"/>
    <x v="158"/>
    <x v="1"/>
    <x v="0"/>
    <n v="250"/>
  </r>
  <r>
    <s v="GEORGIA"/>
    <s v="09"/>
    <s v="AGRIBUSI"/>
    <s v="SIMPLOT/PERU"/>
    <x v="378"/>
    <x v="5"/>
    <x v="2"/>
    <s v="Invoice"/>
    <s v="99584"/>
    <x v="129"/>
    <x v="117"/>
    <x v="48"/>
    <x v="0"/>
    <n v="3710"/>
  </r>
  <r>
    <s v=""/>
    <s v="09"/>
    <s v="CAROLINATU"/>
    <s v="NORTHRIDGE"/>
    <x v="378"/>
    <x v="5"/>
    <x v="2"/>
    <s v="Invoice"/>
    <s v="99590"/>
    <x v="217"/>
    <x v="192"/>
    <x v="56"/>
    <x v="0"/>
    <n v="500"/>
  </r>
  <r>
    <s v=""/>
    <s v="09"/>
    <s v="GREENRES"/>
    <s v="HIGHGREEN CT-NC"/>
    <x v="378"/>
    <x v="5"/>
    <x v="2"/>
    <s v="Invoice"/>
    <s v="99591"/>
    <x v="209"/>
    <x v="185"/>
    <x v="63"/>
    <x v="0"/>
    <n v="540"/>
  </r>
  <r>
    <s v=""/>
    <s v="09"/>
    <s v="GREENRES"/>
    <s v="HIGHGREEN CT-NC"/>
    <x v="378"/>
    <x v="5"/>
    <x v="2"/>
    <s v="Invoice"/>
    <s v="99591"/>
    <x v="420"/>
    <x v="185"/>
    <x v="63"/>
    <x v="0"/>
    <n v="180"/>
  </r>
  <r>
    <s v="GEORGIA"/>
    <s v="09"/>
    <s v="CAROLINATU"/>
    <s v="KNOLLWOOD"/>
    <x v="378"/>
    <x v="5"/>
    <x v="2"/>
    <s v="Invoice"/>
    <s v="99594"/>
    <x v="421"/>
    <x v="360"/>
    <x v="105"/>
    <x v="0"/>
    <n v="10"/>
  </r>
  <r>
    <s v="GEORGIA"/>
    <s v="09"/>
    <s v="SOUTHAG"/>
    <s v="BOONE"/>
    <x v="390"/>
    <x v="5"/>
    <x v="2"/>
    <s v="Invoice"/>
    <s v="99622"/>
    <x v="10"/>
    <x v="253"/>
    <x v="9"/>
    <x v="0"/>
    <n v="300"/>
  </r>
  <r>
    <s v="GEORGIA"/>
    <s v="09"/>
    <s v="SOUTHAG"/>
    <s v="BOONE"/>
    <x v="390"/>
    <x v="5"/>
    <x v="2"/>
    <s v="Invoice"/>
    <s v="99622"/>
    <x v="5"/>
    <x v="72"/>
    <x v="4"/>
    <x v="0"/>
    <n v="720"/>
  </r>
  <r>
    <s v="GEORGIA"/>
    <s v="09"/>
    <s v="SOUTHAG"/>
    <s v="BOONE"/>
    <x v="390"/>
    <x v="5"/>
    <x v="2"/>
    <s v="Invoice"/>
    <s v="99622"/>
    <x v="48"/>
    <x v="33"/>
    <x v="28"/>
    <x v="0"/>
    <n v="60"/>
  </r>
  <r>
    <s v="GEORGIA"/>
    <s v="09"/>
    <s v="SOUTHAG"/>
    <s v="BOONE"/>
    <x v="390"/>
    <x v="5"/>
    <x v="2"/>
    <s v="Invoice"/>
    <s v="99622"/>
    <x v="7"/>
    <x v="243"/>
    <x v="6"/>
    <x v="0"/>
    <n v="60"/>
  </r>
  <r>
    <s v="GEORGIA"/>
    <s v="09"/>
    <s v="SOUTHAG"/>
    <s v="BOONE"/>
    <x v="390"/>
    <x v="5"/>
    <x v="2"/>
    <s v="Invoice"/>
    <s v="99622"/>
    <x v="22"/>
    <x v="69"/>
    <x v="17"/>
    <x v="0"/>
    <n v="900"/>
  </r>
  <r>
    <s v="GEORGIA"/>
    <s v="09"/>
    <s v="SOUTHAG"/>
    <s v="BOONE"/>
    <x v="390"/>
    <x v="5"/>
    <x v="2"/>
    <s v="Invoice"/>
    <s v="99622"/>
    <x v="96"/>
    <x v="90"/>
    <x v="39"/>
    <x v="0"/>
    <n v="900"/>
  </r>
  <r>
    <s v="GEORGIA"/>
    <s v="09"/>
    <s v="AGRIBUSI"/>
    <s v="NUTRIEN-CAMILA"/>
    <x v="390"/>
    <x v="5"/>
    <x v="2"/>
    <s v="Invoice"/>
    <s v="99623"/>
    <x v="404"/>
    <x v="188"/>
    <x v="20"/>
    <x v="1"/>
    <n v="2500"/>
  </r>
  <r>
    <s v="GEORGIA"/>
    <s v="09"/>
    <s v="CPSCAROLINAS"/>
    <s v="UAP/ORANGEBURG"/>
    <x v="372"/>
    <x v="5"/>
    <x v="2"/>
    <s v="Invoice"/>
    <s v="99636"/>
    <x v="101"/>
    <x v="21"/>
    <x v="21"/>
    <x v="0"/>
    <n v="360"/>
  </r>
  <r>
    <s v="GEORGIA"/>
    <s v="09"/>
    <s v="TRIANGLE"/>
    <s v="LEESBURG,GA"/>
    <x v="372"/>
    <x v="5"/>
    <x v="2"/>
    <s v="Invoice"/>
    <s v="99638"/>
    <x v="179"/>
    <x v="220"/>
    <x v="60"/>
    <x v="0"/>
    <n v="2160"/>
  </r>
  <r>
    <s v="GEORGIA"/>
    <s v="09"/>
    <s v="AGRIBUSI"/>
    <s v="PINCECLIFF"/>
    <x v="387"/>
    <x v="5"/>
    <x v="2"/>
    <s v="Invoice"/>
    <s v="99664"/>
    <x v="212"/>
    <x v="188"/>
    <x v="20"/>
    <x v="1"/>
    <n v="1800"/>
  </r>
  <r>
    <s v=""/>
    <s v="09"/>
    <s v="AGRIBUSI"/>
    <s v="AGB/ROOSEVELT"/>
    <x v="387"/>
    <x v="5"/>
    <x v="2"/>
    <s v="Invoice"/>
    <s v="99665"/>
    <x v="212"/>
    <x v="188"/>
    <x v="20"/>
    <x v="1"/>
    <n v="1800"/>
  </r>
  <r>
    <s v="GEORGIA"/>
    <s v="09"/>
    <s v="TRIANGLE"/>
    <s v="LEESBURG,GA"/>
    <x v="380"/>
    <x v="5"/>
    <x v="2"/>
    <s v="Invoice"/>
    <s v="99674"/>
    <x v="179"/>
    <x v="220"/>
    <x v="60"/>
    <x v="0"/>
    <n v="1800"/>
  </r>
  <r>
    <s v="GEORGIA"/>
    <s v="09"/>
    <s v="CAROLINATU"/>
    <s v="HOPEVALLEY"/>
    <x v="380"/>
    <x v="5"/>
    <x v="2"/>
    <s v="Invoice"/>
    <s v="99679"/>
    <x v="422"/>
    <x v="192"/>
    <x v="56"/>
    <x v="0"/>
    <n v="75"/>
  </r>
  <r>
    <s v="GEORGIA"/>
    <s v="09"/>
    <s v="CAROLINATU"/>
    <s v="SUMMERFIELDFEED"/>
    <x v="374"/>
    <x v="5"/>
    <x v="2"/>
    <s v="Invoice"/>
    <s v="99693"/>
    <x v="249"/>
    <x v="222"/>
    <x v="70"/>
    <x v="0"/>
    <n v="50"/>
  </r>
  <r>
    <s v="GEORGIA"/>
    <s v="09"/>
    <s v="CAROLINATU"/>
    <s v="SUMMERFIELDFEED"/>
    <x v="374"/>
    <x v="5"/>
    <x v="2"/>
    <s v="Invoice"/>
    <s v="99693"/>
    <x v="259"/>
    <x v="226"/>
    <x v="56"/>
    <x v="0"/>
    <n v="90"/>
  </r>
  <r>
    <s v="GEORGIA"/>
    <s v="09"/>
    <s v="CAROLINATU"/>
    <s v="SUMMERFIELDFEED"/>
    <x v="374"/>
    <x v="5"/>
    <x v="2"/>
    <s v="Invoice"/>
    <s v="99693"/>
    <x v="163"/>
    <x v="227"/>
    <x v="56"/>
    <x v="0"/>
    <n v="40"/>
  </r>
  <r>
    <s v=""/>
    <s v="09"/>
    <s v="NUTRATURF"/>
    <s v="CRUMP ST, NC"/>
    <x v="381"/>
    <x v="5"/>
    <x v="2"/>
    <s v="Invoice"/>
    <s v="99723"/>
    <x v="83"/>
    <x v="69"/>
    <x v="17"/>
    <x v="0"/>
    <n v="250"/>
  </r>
  <r>
    <s v=""/>
    <s v="09"/>
    <s v="NUTRATURF"/>
    <s v="CRUMP ST, NC"/>
    <x v="381"/>
    <x v="5"/>
    <x v="2"/>
    <s v="Invoice"/>
    <s v="99723"/>
    <x v="257"/>
    <x v="361"/>
    <x v="3"/>
    <x v="0"/>
    <n v="250"/>
  </r>
  <r>
    <s v="GEORGIA"/>
    <s v="09"/>
    <s v="GREENRES"/>
    <s v="OCEAN HWY-NC"/>
    <x v="381"/>
    <x v="5"/>
    <x v="2"/>
    <s v="Invoice"/>
    <s v="99724"/>
    <x v="119"/>
    <x v="108"/>
    <x v="44"/>
    <x v="0"/>
    <n v="90"/>
  </r>
  <r>
    <s v="GEORGIA"/>
    <s v="09"/>
    <s v="GREENRES"/>
    <s v="OCEAN HWY-NC"/>
    <x v="381"/>
    <x v="5"/>
    <x v="2"/>
    <s v="Invoice"/>
    <s v="99724"/>
    <x v="10"/>
    <x v="253"/>
    <x v="9"/>
    <x v="0"/>
    <n v="90"/>
  </r>
  <r>
    <s v="GEORGIA"/>
    <s v="09"/>
    <s v="GREENRES"/>
    <s v="OCEAN HWY-NC"/>
    <x v="381"/>
    <x v="5"/>
    <x v="2"/>
    <s v="Invoice"/>
    <s v="99724"/>
    <x v="247"/>
    <x v="76"/>
    <x v="11"/>
    <x v="0"/>
    <n v="500"/>
  </r>
  <r>
    <s v="RPOUND"/>
    <s v="10"/>
    <s v="THEMILL"/>
    <s v="MAIN"/>
    <x v="374"/>
    <x v="5"/>
    <x v="2"/>
    <s v="Invoice"/>
    <s v="99682"/>
    <x v="257"/>
    <x v="361"/>
    <x v="3"/>
    <x v="0"/>
    <n v="2000"/>
  </r>
  <r>
    <s v="CSWAFFORD"/>
    <s v="12"/>
    <s v="GOLFVENTURES"/>
    <s v="NAPLESGRANDE"/>
    <x v="376"/>
    <x v="5"/>
    <x v="2"/>
    <s v="Invoice"/>
    <s v="99443"/>
    <x v="319"/>
    <x v="281"/>
    <x v="42"/>
    <x v="0"/>
    <n v="250"/>
  </r>
  <r>
    <s v="CSWAFFORD"/>
    <s v="12"/>
    <s v="GOLFVENTURES"/>
    <s v="MAIN"/>
    <x v="382"/>
    <x v="5"/>
    <x v="2"/>
    <s v="Invoice"/>
    <s v="99484"/>
    <x v="3"/>
    <x v="80"/>
    <x v="2"/>
    <x v="0"/>
    <n v="10"/>
  </r>
  <r>
    <s v="CSWAFFORD"/>
    <s v="12"/>
    <s v="GOLFVENTURES"/>
    <s v="MAIN"/>
    <x v="382"/>
    <x v="5"/>
    <x v="2"/>
    <s v="Invoice"/>
    <s v="99484"/>
    <x v="336"/>
    <x v="292"/>
    <x v="36"/>
    <x v="0"/>
    <n v="170"/>
  </r>
  <r>
    <s v="CSWAFFORD"/>
    <s v="12"/>
    <s v="GOLFVENTURES"/>
    <s v="MAIN"/>
    <x v="370"/>
    <x v="5"/>
    <x v="2"/>
    <s v="Invoice"/>
    <s v="99500"/>
    <x v="423"/>
    <x v="300"/>
    <x v="22"/>
    <x v="2"/>
    <n v="0.3"/>
  </r>
  <r>
    <s v="CSWAFFORD"/>
    <s v="12"/>
    <s v="GOLFVENTURES"/>
    <s v="WHITEHERON"/>
    <x v="383"/>
    <x v="5"/>
    <x v="2"/>
    <s v="Invoice"/>
    <s v="99531"/>
    <x v="423"/>
    <x v="300"/>
    <x v="22"/>
    <x v="2"/>
    <n v="1.38"/>
  </r>
  <r>
    <s v="CSWAFFORD"/>
    <s v="12"/>
    <s v="GOLFVENTURES"/>
    <s v="WEDGEFIELD"/>
    <x v="383"/>
    <x v="5"/>
    <x v="2"/>
    <s v="Invoice"/>
    <s v="99532"/>
    <x v="363"/>
    <x v="320"/>
    <x v="63"/>
    <x v="0"/>
    <n v="275"/>
  </r>
  <r>
    <s v="CSWAFFORD"/>
    <s v="12"/>
    <s v="GOLFVENTURES"/>
    <s v="WHITEHERON"/>
    <x v="383"/>
    <x v="5"/>
    <x v="2"/>
    <s v="Invoice"/>
    <s v="99533"/>
    <x v="423"/>
    <x v="300"/>
    <x v="22"/>
    <x v="2"/>
    <n v="1.3812500000000001"/>
  </r>
  <r>
    <s v="CSWAFFORD"/>
    <s v="12"/>
    <s v="GOLFVENTURES"/>
    <s v="ATLANTICFIELDS"/>
    <x v="383"/>
    <x v="5"/>
    <x v="2"/>
    <s v="Invoice"/>
    <s v="99536"/>
    <x v="120"/>
    <x v="299"/>
    <x v="45"/>
    <x v="0"/>
    <n v="250"/>
  </r>
  <r>
    <s v="CSWAFFORD"/>
    <s v="12"/>
    <s v="GOLFVENTURES"/>
    <s v="MAIN"/>
    <x v="383"/>
    <x v="5"/>
    <x v="2"/>
    <s v="Invoice"/>
    <s v="99540"/>
    <x v="9"/>
    <x v="300"/>
    <x v="8"/>
    <x v="0"/>
    <n v="50"/>
  </r>
  <r>
    <s v="CSWAFFORD"/>
    <s v="12"/>
    <s v="GOLFVENTURES"/>
    <s v="MAIN"/>
    <x v="384"/>
    <x v="5"/>
    <x v="2"/>
    <s v="Invoice"/>
    <s v="99574"/>
    <x v="298"/>
    <x v="293"/>
    <x v="45"/>
    <x v="0"/>
    <n v="55"/>
  </r>
  <r>
    <s v="CSWAFFORD"/>
    <s v="12"/>
    <s v="GOLFVENTURES"/>
    <s v="SOTUHERNCARE"/>
    <x v="378"/>
    <x v="5"/>
    <x v="2"/>
    <s v="Invoice"/>
    <s v="99579"/>
    <x v="353"/>
    <x v="313"/>
    <x v="49"/>
    <x v="0"/>
    <n v="250"/>
  </r>
  <r>
    <s v="CSWAFFORD"/>
    <s v="12"/>
    <s v="GOLFVENTURES"/>
    <s v="SANIBELISLAND"/>
    <x v="390"/>
    <x v="5"/>
    <x v="2"/>
    <s v="Invoice"/>
    <s v="99612"/>
    <x v="381"/>
    <x v="335"/>
    <x v="22"/>
    <x v="2"/>
    <n v="1.25"/>
  </r>
  <r>
    <s v="CSWAFFORD"/>
    <s v="12"/>
    <s v="GOLFVENTURES"/>
    <s v="SANIBELISLAND"/>
    <x v="390"/>
    <x v="5"/>
    <x v="2"/>
    <s v="Invoice"/>
    <s v="99613"/>
    <x v="382"/>
    <x v="337"/>
    <x v="22"/>
    <x v="2"/>
    <n v="1.25"/>
  </r>
  <r>
    <s v="CSWAFFORD"/>
    <s v="12"/>
    <s v="GOLFVENTURES"/>
    <s v="FARROWPEST"/>
    <x v="390"/>
    <x v="5"/>
    <x v="2"/>
    <s v="Invoice"/>
    <s v="99614"/>
    <x v="321"/>
    <x v="283"/>
    <x v="88"/>
    <x v="0"/>
    <n v="500"/>
  </r>
  <r>
    <s v="CSWAFFORD"/>
    <s v="12"/>
    <s v="GOLFVENTURES"/>
    <s v="SANIBELISLAND"/>
    <x v="390"/>
    <x v="5"/>
    <x v="2"/>
    <s v="Invoice"/>
    <s v="99615"/>
    <x v="366"/>
    <x v="336"/>
    <x v="22"/>
    <x v="2"/>
    <n v="1.25"/>
  </r>
  <r>
    <s v="CSWAFFORD"/>
    <s v="12"/>
    <s v="GOLFVENTURES"/>
    <s v="SANIBELISLAND"/>
    <x v="390"/>
    <x v="5"/>
    <x v="2"/>
    <s v="Invoice"/>
    <s v="99616"/>
    <x v="373"/>
    <x v="327"/>
    <x v="82"/>
    <x v="0"/>
    <n v="250"/>
  </r>
  <r>
    <s v="CSWAFFORD"/>
    <s v="12"/>
    <s v="GOLFVENTURES"/>
    <s v="SANIBELISLAND"/>
    <x v="390"/>
    <x v="5"/>
    <x v="2"/>
    <s v="Invoice"/>
    <s v="99616"/>
    <x v="320"/>
    <x v="282"/>
    <x v="87"/>
    <x v="0"/>
    <n v="250"/>
  </r>
  <r>
    <s v="CSWAFFORD"/>
    <s v="12"/>
    <s v="GOLFVENTURES"/>
    <s v="MIAKKAGC"/>
    <x v="390"/>
    <x v="5"/>
    <x v="2"/>
    <s v="Invoice"/>
    <s v="99617"/>
    <x v="423"/>
    <x v="300"/>
    <x v="22"/>
    <x v="2"/>
    <n v="4.3975"/>
  </r>
  <r>
    <s v="CSWAFFORD"/>
    <s v="12"/>
    <s v="GOLFVENTURES"/>
    <s v="MAIN"/>
    <x v="374"/>
    <x v="5"/>
    <x v="2"/>
    <s v="Invoice"/>
    <s v="99683"/>
    <x v="424"/>
    <x v="362"/>
    <x v="47"/>
    <x v="0"/>
    <n v="90"/>
  </r>
  <r>
    <s v="CSWAFFORD"/>
    <s v="12"/>
    <s v="GOLFVENTURES"/>
    <s v="MAIN"/>
    <x v="374"/>
    <x v="5"/>
    <x v="2"/>
    <s v="Invoice"/>
    <s v="99683"/>
    <x v="8"/>
    <x v="67"/>
    <x v="7"/>
    <x v="0"/>
    <n v="90"/>
  </r>
  <r>
    <s v="CSWAFFORD"/>
    <s v="12"/>
    <s v="GOLFVENTURES"/>
    <s v="MAIN"/>
    <x v="374"/>
    <x v="5"/>
    <x v="2"/>
    <s v="Invoice"/>
    <s v="99684"/>
    <x v="249"/>
    <x v="294"/>
    <x v="70"/>
    <x v="0"/>
    <n v="210"/>
  </r>
  <r>
    <s v="CSWAFFORD"/>
    <s v="12"/>
    <s v="GOLFVENTURES"/>
    <s v="MAIN"/>
    <x v="374"/>
    <x v="5"/>
    <x v="2"/>
    <s v="Invoice"/>
    <s v="99684"/>
    <x v="303"/>
    <x v="267"/>
    <x v="80"/>
    <x v="0"/>
    <n v="420"/>
  </r>
  <r>
    <s v="CSWAFFORD"/>
    <s v="12"/>
    <s v="GOLFVENTURES"/>
    <s v="MAIN"/>
    <x v="374"/>
    <x v="5"/>
    <x v="2"/>
    <s v="Invoice"/>
    <s v="99685"/>
    <x v="337"/>
    <x v="298"/>
    <x v="53"/>
    <x v="0"/>
    <n v="250"/>
  </r>
  <r>
    <s v="CSWAFFORD"/>
    <s v="12"/>
    <s v="GOLFVENTURES"/>
    <s v="MLK"/>
    <x v="374"/>
    <x v="5"/>
    <x v="2"/>
    <s v="Invoice"/>
    <s v="99703"/>
    <x v="302"/>
    <x v="265"/>
    <x v="79"/>
    <x v="0"/>
    <n v="550"/>
  </r>
  <r>
    <s v="CSWAFFORD"/>
    <s v="12"/>
    <s v="GOLFVENTURES"/>
    <s v="STONEYBROOK"/>
    <x v="375"/>
    <x v="5"/>
    <x v="2"/>
    <s v="Invoice"/>
    <s v="99726"/>
    <x v="120"/>
    <x v="299"/>
    <x v="45"/>
    <x v="0"/>
    <n v="250"/>
  </r>
  <r>
    <s v="CSWAFFORD"/>
    <s v="12"/>
    <s v="GOLFVENTURES"/>
    <s v="S&amp;O"/>
    <x v="375"/>
    <x v="5"/>
    <x v="2"/>
    <s v="Invoice"/>
    <s v="99740"/>
    <x v="337"/>
    <x v="298"/>
    <x v="53"/>
    <x v="0"/>
    <n v="250"/>
  </r>
  <r>
    <s v="CSWAFFORD"/>
    <s v="12"/>
    <s v="GOLFVENTURES"/>
    <s v="WILLOWLAKES"/>
    <x v="391"/>
    <x v="5"/>
    <x v="2"/>
    <s v="Invoice"/>
    <s v="99742"/>
    <x v="368"/>
    <x v="325"/>
    <x v="36"/>
    <x v="0"/>
    <n v="55"/>
  </r>
  <r>
    <s v="CSWAFFORD"/>
    <s v="12"/>
    <s v="GOLFVENTURES"/>
    <s v="WILLOWLAKES"/>
    <x v="391"/>
    <x v="5"/>
    <x v="2"/>
    <s v="Invoice"/>
    <s v="99744"/>
    <x v="367"/>
    <x v="324"/>
    <x v="22"/>
    <x v="2"/>
    <n v="0.27500000000000002"/>
  </r>
  <r>
    <s v="HAP"/>
    <s v="01"/>
    <s v="GREENWAY"/>
    <s v="JACARANDA G C"/>
    <x v="392"/>
    <x v="6"/>
    <x v="2"/>
    <s v="Invoice"/>
    <s v="99761"/>
    <x v="188"/>
    <x v="17"/>
    <x v="17"/>
    <x v="0"/>
    <n v="55"/>
  </r>
  <r>
    <s v="HAP"/>
    <s v="01"/>
    <s v="GREENWAY"/>
    <s v="WINDSOR POLO"/>
    <x v="392"/>
    <x v="6"/>
    <x v="2"/>
    <s v="Invoice"/>
    <s v="99762"/>
    <x v="79"/>
    <x v="4"/>
    <x v="4"/>
    <x v="0"/>
    <n v="55"/>
  </r>
  <r>
    <s v="HAP"/>
    <s v="01"/>
    <s v="GREENWAY"/>
    <s v="BANYAN CREEK"/>
    <x v="393"/>
    <x v="6"/>
    <x v="2"/>
    <s v="Invoice"/>
    <s v="99794"/>
    <x v="88"/>
    <x v="2"/>
    <x v="2"/>
    <x v="0"/>
    <n v="55"/>
  </r>
  <r>
    <s v="HAP"/>
    <s v="01"/>
    <s v="GREENWAY"/>
    <s v="BANYAN CREEK"/>
    <x v="393"/>
    <x v="6"/>
    <x v="2"/>
    <s v="Invoice"/>
    <s v="99794"/>
    <x v="188"/>
    <x v="17"/>
    <x v="17"/>
    <x v="0"/>
    <n v="55"/>
  </r>
  <r>
    <s v="HAP"/>
    <s v="01"/>
    <s v="GREENWAY"/>
    <s v="BANYAN CREEK"/>
    <x v="393"/>
    <x v="6"/>
    <x v="2"/>
    <s v="Invoice"/>
    <s v="99794"/>
    <x v="0"/>
    <x v="0"/>
    <x v="0"/>
    <x v="0"/>
    <n v="55"/>
  </r>
  <r>
    <s v="HAP"/>
    <s v="01"/>
    <s v="GREENWAY"/>
    <s v="WINDSOR POLO"/>
    <x v="394"/>
    <x v="6"/>
    <x v="2"/>
    <s v="Invoice"/>
    <s v="99871"/>
    <x v="4"/>
    <x v="3"/>
    <x v="3"/>
    <x v="0"/>
    <n v="20"/>
  </r>
  <r>
    <s v="HAP"/>
    <s v="01"/>
    <s v="GREENWAY"/>
    <s v="CORALCREEK"/>
    <x v="395"/>
    <x v="6"/>
    <x v="2"/>
    <s v="Invoice"/>
    <s v="99884"/>
    <x v="3"/>
    <x v="2"/>
    <x v="2"/>
    <x v="0"/>
    <n v="40"/>
  </r>
  <r>
    <s v="HAP"/>
    <s v="01"/>
    <s v="GREENWAY"/>
    <s v="CORALCREEK"/>
    <x v="395"/>
    <x v="6"/>
    <x v="2"/>
    <s v="Invoice"/>
    <s v="99884"/>
    <x v="5"/>
    <x v="4"/>
    <x v="4"/>
    <x v="0"/>
    <n v="40"/>
  </r>
  <r>
    <s v="HAP"/>
    <s v="01"/>
    <s v="GREENWAY"/>
    <s v="CORALCREEK"/>
    <x v="395"/>
    <x v="6"/>
    <x v="2"/>
    <s v="Invoice"/>
    <s v="99884"/>
    <x v="6"/>
    <x v="5"/>
    <x v="5"/>
    <x v="0"/>
    <n v="40"/>
  </r>
  <r>
    <s v="HAP"/>
    <s v="01"/>
    <s v="GREENWAY"/>
    <s v="CORALCREEK"/>
    <x v="395"/>
    <x v="6"/>
    <x v="2"/>
    <s v="Invoice"/>
    <s v="99884"/>
    <x v="2"/>
    <x v="0"/>
    <x v="0"/>
    <x v="0"/>
    <n v="40"/>
  </r>
  <r>
    <s v="HAP"/>
    <s v="01"/>
    <s v="ALMARCH"/>
    <s v="THONOTOSASSA"/>
    <x v="396"/>
    <x v="6"/>
    <x v="2"/>
    <s v="Invoice"/>
    <s v="99890"/>
    <x v="92"/>
    <x v="82"/>
    <x v="35"/>
    <x v="0"/>
    <n v="90"/>
  </r>
  <r>
    <s v="HAP"/>
    <s v="01"/>
    <s v="ALMARCH"/>
    <s v="THONOTOSASSA"/>
    <x v="396"/>
    <x v="6"/>
    <x v="2"/>
    <s v="Invoice"/>
    <s v="99890"/>
    <x v="22"/>
    <x v="83"/>
    <x v="17"/>
    <x v="0"/>
    <n v="90"/>
  </r>
  <r>
    <s v="HAP"/>
    <s v="01"/>
    <s v="ALMARCH"/>
    <s v="THONOTOSASSA"/>
    <x v="396"/>
    <x v="6"/>
    <x v="2"/>
    <s v="Invoice"/>
    <s v="99890"/>
    <x v="93"/>
    <x v="84"/>
    <x v="37"/>
    <x v="0"/>
    <n v="90"/>
  </r>
  <r>
    <s v="HAP"/>
    <s v="01"/>
    <s v="GREENWAY"/>
    <s v="CORALCREEK"/>
    <x v="397"/>
    <x v="6"/>
    <x v="2"/>
    <s v="Invoice"/>
    <s v="99907"/>
    <x v="88"/>
    <x v="2"/>
    <x v="2"/>
    <x v="0"/>
    <n v="55"/>
  </r>
  <r>
    <s v="HAP"/>
    <s v="01"/>
    <s v="GREENWAY"/>
    <s v="CORALCREEK"/>
    <x v="397"/>
    <x v="6"/>
    <x v="2"/>
    <s v="Invoice"/>
    <s v="99907"/>
    <x v="390"/>
    <x v="16"/>
    <x v="16"/>
    <x v="0"/>
    <n v="55"/>
  </r>
  <r>
    <s v="HAP"/>
    <s v="01"/>
    <s v="GREENWAY"/>
    <s v="CORALCREEK"/>
    <x v="397"/>
    <x v="6"/>
    <x v="2"/>
    <s v="Invoice"/>
    <s v="99907"/>
    <x v="84"/>
    <x v="11"/>
    <x v="11"/>
    <x v="0"/>
    <n v="55"/>
  </r>
  <r>
    <s v="HAP"/>
    <s v="01"/>
    <s v="GREENWAY"/>
    <s v="MIZNER C. CLUB"/>
    <x v="398"/>
    <x v="6"/>
    <x v="2"/>
    <s v="Invoice"/>
    <s v="99956"/>
    <x v="3"/>
    <x v="2"/>
    <x v="2"/>
    <x v="0"/>
    <n v="50"/>
  </r>
  <r>
    <s v="HAP"/>
    <s v="01"/>
    <s v="GREENWAY"/>
    <s v="MIZNER C. CLUB"/>
    <x v="398"/>
    <x v="6"/>
    <x v="2"/>
    <s v="Invoice"/>
    <s v="99956"/>
    <x v="5"/>
    <x v="4"/>
    <x v="4"/>
    <x v="0"/>
    <n v="100"/>
  </r>
  <r>
    <s v="HAP"/>
    <s v="01"/>
    <s v="GREENWAY"/>
    <s v="MIZNER C. CLUB"/>
    <x v="398"/>
    <x v="6"/>
    <x v="2"/>
    <s v="Invoice"/>
    <s v="99956"/>
    <x v="6"/>
    <x v="5"/>
    <x v="5"/>
    <x v="0"/>
    <n v="50"/>
  </r>
  <r>
    <s v="HAP"/>
    <s v="01"/>
    <s v="GREENWAY"/>
    <s v="MIZNER C. CLUB"/>
    <x v="398"/>
    <x v="6"/>
    <x v="2"/>
    <s v="Invoice"/>
    <s v="99956"/>
    <x v="2"/>
    <x v="0"/>
    <x v="0"/>
    <x v="0"/>
    <n v="100"/>
  </r>
  <r>
    <s v="HAP"/>
    <s v="01"/>
    <s v="GREENWAY"/>
    <s v="JACARANDA G C"/>
    <x v="399"/>
    <x v="6"/>
    <x v="2"/>
    <s v="Invoice"/>
    <s v="99983"/>
    <x v="6"/>
    <x v="5"/>
    <x v="5"/>
    <x v="0"/>
    <n v="30"/>
  </r>
  <r>
    <s v="HAP"/>
    <s v="01"/>
    <s v="GREENWAY"/>
    <s v="JACARANDA G C"/>
    <x v="399"/>
    <x v="6"/>
    <x v="2"/>
    <s v="Invoice"/>
    <s v="99983"/>
    <x v="2"/>
    <x v="0"/>
    <x v="0"/>
    <x v="0"/>
    <n v="55"/>
  </r>
  <r>
    <s v="HAP"/>
    <s v="01"/>
    <s v="GREENWAY"/>
    <s v="WINDSOR POLO"/>
    <x v="399"/>
    <x v="6"/>
    <x v="2"/>
    <s v="Invoice"/>
    <s v="99985"/>
    <x v="88"/>
    <x v="2"/>
    <x v="2"/>
    <x v="0"/>
    <n v="55"/>
  </r>
  <r>
    <s v="HAP"/>
    <s v="01"/>
    <s v="GREENWAY"/>
    <s v="WINDSOR POLO"/>
    <x v="399"/>
    <x v="6"/>
    <x v="2"/>
    <s v="Invoice"/>
    <s v="99985"/>
    <x v="4"/>
    <x v="3"/>
    <x v="3"/>
    <x v="0"/>
    <n v="20"/>
  </r>
  <r>
    <s v="HAP"/>
    <s v="01"/>
    <s v="GREENWAY"/>
    <s v="WINDSOR POLO"/>
    <x v="399"/>
    <x v="6"/>
    <x v="2"/>
    <s v="Invoice"/>
    <s v="99985"/>
    <x v="0"/>
    <x v="0"/>
    <x v="0"/>
    <x v="0"/>
    <n v="55"/>
  </r>
  <r>
    <s v="HAP"/>
    <s v="01"/>
    <s v="GREENWAY"/>
    <s v="WAREHOUSE"/>
    <x v="400"/>
    <x v="6"/>
    <x v="2"/>
    <s v="Invoice"/>
    <s v="99994"/>
    <x v="7"/>
    <x v="6"/>
    <x v="6"/>
    <x v="0"/>
    <n v="30"/>
  </r>
  <r>
    <s v="HAP"/>
    <s v="01"/>
    <s v="GREENWAY"/>
    <s v="WAREHOUSE"/>
    <x v="400"/>
    <x v="6"/>
    <x v="2"/>
    <s v="Invoice"/>
    <s v="99994"/>
    <x v="3"/>
    <x v="2"/>
    <x v="2"/>
    <x v="0"/>
    <n v="120"/>
  </r>
  <r>
    <s v="HAP"/>
    <s v="01"/>
    <s v="GREENWAY"/>
    <s v="WAREHOUSE"/>
    <x v="400"/>
    <x v="6"/>
    <x v="2"/>
    <s v="Invoice"/>
    <s v="99994"/>
    <x v="4"/>
    <x v="3"/>
    <x v="3"/>
    <x v="0"/>
    <n v="60"/>
  </r>
  <r>
    <s v="HAP"/>
    <s v="01"/>
    <s v="GREENWAY"/>
    <s v="WAREHOUSE"/>
    <x v="400"/>
    <x v="6"/>
    <x v="2"/>
    <s v="Invoice"/>
    <s v="99994"/>
    <x v="8"/>
    <x v="7"/>
    <x v="7"/>
    <x v="0"/>
    <n v="30"/>
  </r>
  <r>
    <s v="HAP"/>
    <s v="01"/>
    <s v="GREENWAY"/>
    <s v="WAREHOUSE"/>
    <x v="400"/>
    <x v="6"/>
    <x v="2"/>
    <s v="Invoice"/>
    <s v="99994"/>
    <x v="21"/>
    <x v="16"/>
    <x v="16"/>
    <x v="0"/>
    <n v="120"/>
  </r>
  <r>
    <s v="HAP"/>
    <s v="01"/>
    <s v="GREENWAY"/>
    <s v="WAREHOUSE"/>
    <x v="400"/>
    <x v="6"/>
    <x v="2"/>
    <s v="Invoice"/>
    <s v="99994"/>
    <x v="5"/>
    <x v="4"/>
    <x v="4"/>
    <x v="0"/>
    <n v="60"/>
  </r>
  <r>
    <s v="HAP"/>
    <s v="01"/>
    <s v="GREENWAY"/>
    <s v="WAREHOUSE"/>
    <x v="400"/>
    <x v="6"/>
    <x v="2"/>
    <s v="Invoice"/>
    <s v="99994"/>
    <x v="6"/>
    <x v="5"/>
    <x v="5"/>
    <x v="0"/>
    <n v="60"/>
  </r>
  <r>
    <s v="HAP"/>
    <s v="01"/>
    <s v="GREENWAY"/>
    <s v="WAREHOUSE"/>
    <x v="400"/>
    <x v="6"/>
    <x v="2"/>
    <s v="Invoice"/>
    <s v="99994"/>
    <x v="2"/>
    <x v="0"/>
    <x v="0"/>
    <x v="0"/>
    <n v="120"/>
  </r>
  <r>
    <s v="DAVID"/>
    <s v="02"/>
    <s v="COUNCILO"/>
    <s v="COUNCIL-OXFORD"/>
    <x v="401"/>
    <x v="6"/>
    <x v="2"/>
    <s v="Invoice"/>
    <s v="00857"/>
    <x v="26"/>
    <x v="21"/>
    <x v="21"/>
    <x v="0"/>
    <n v="510"/>
  </r>
  <r>
    <s v="DAVID"/>
    <s v="02"/>
    <s v="CPSFTPIE"/>
    <s v="FT. PIERCE"/>
    <x v="392"/>
    <x v="6"/>
    <x v="2"/>
    <s v="Invoice"/>
    <s v="99767"/>
    <x v="267"/>
    <x v="235"/>
    <x v="75"/>
    <x v="0"/>
    <n v="70"/>
  </r>
  <r>
    <s v="DAVID"/>
    <s v="02"/>
    <s v="CPSFTPIE"/>
    <s v="FT. PIERCE"/>
    <x v="402"/>
    <x v="6"/>
    <x v="2"/>
    <s v="Invoice"/>
    <s v="99783"/>
    <x v="267"/>
    <x v="235"/>
    <x v="75"/>
    <x v="0"/>
    <n v="70"/>
  </r>
  <r>
    <s v="DAVID"/>
    <s v="02"/>
    <s v="EVOQUAWATER"/>
    <s v="MAIN"/>
    <x v="402"/>
    <x v="6"/>
    <x v="2"/>
    <s v="Invoice"/>
    <s v="99786"/>
    <x v="160"/>
    <x v="231"/>
    <x v="54"/>
    <x v="0"/>
    <n v="360"/>
  </r>
  <r>
    <s v="DAVID"/>
    <s v="02"/>
    <s v="CARSONDAVID"/>
    <s v="MAIN"/>
    <x v="403"/>
    <x v="6"/>
    <x v="2"/>
    <s v="Invoice"/>
    <s v="99815"/>
    <x v="309"/>
    <x v="273"/>
    <x v="20"/>
    <x v="1"/>
    <n v="50"/>
  </r>
  <r>
    <s v="DAVID"/>
    <s v="02"/>
    <s v="CPSFTPIE"/>
    <s v="FT. PIERCE"/>
    <x v="403"/>
    <x v="6"/>
    <x v="2"/>
    <s v="Invoice"/>
    <s v="99822"/>
    <x v="267"/>
    <x v="235"/>
    <x v="75"/>
    <x v="0"/>
    <n v="60"/>
  </r>
  <r>
    <s v="DAVID"/>
    <s v="02"/>
    <s v="CPSFTPIE"/>
    <s v="FT. PIERCE"/>
    <x v="404"/>
    <x v="6"/>
    <x v="2"/>
    <s v="Invoice"/>
    <s v="99846"/>
    <x v="267"/>
    <x v="235"/>
    <x v="75"/>
    <x v="0"/>
    <n v="70"/>
  </r>
  <r>
    <s v="DAVID"/>
    <s v="02"/>
    <s v="FLORIDAF"/>
    <s v="FLORIDA FERTILI"/>
    <x v="394"/>
    <x v="6"/>
    <x v="2"/>
    <s v="Invoice"/>
    <s v="99859"/>
    <x v="29"/>
    <x v="24"/>
    <x v="20"/>
    <x v="1"/>
    <n v="13150"/>
  </r>
  <r>
    <s v="DAVID"/>
    <s v="02"/>
    <s v="FLORIDAGAR"/>
    <s v="GARDENSUPPLIES"/>
    <x v="397"/>
    <x v="6"/>
    <x v="2"/>
    <s v="Invoice"/>
    <s v="99908"/>
    <x v="392"/>
    <x v="341"/>
    <x v="101"/>
    <x v="0"/>
    <n v="150"/>
  </r>
  <r>
    <s v="DAVID"/>
    <s v="02"/>
    <s v="CPSWACHU"/>
    <s v="WAUCHULA"/>
    <x v="405"/>
    <x v="6"/>
    <x v="2"/>
    <s v="Invoice"/>
    <s v="99931"/>
    <x v="267"/>
    <x v="235"/>
    <x v="75"/>
    <x v="0"/>
    <n v="70"/>
  </r>
  <r>
    <s v="DAVID"/>
    <s v="02"/>
    <s v="EVOQUAWATER"/>
    <s v="PUBLICSTORAGE"/>
    <x v="399"/>
    <x v="6"/>
    <x v="2"/>
    <s v="Invoice"/>
    <s v="99986"/>
    <x v="160"/>
    <x v="231"/>
    <x v="54"/>
    <x v="0"/>
    <n v="360"/>
  </r>
  <r>
    <s v="DAVID"/>
    <s v="02"/>
    <s v="EVOQUAWATER"/>
    <s v="STOR-N-MORE"/>
    <x v="399"/>
    <x v="6"/>
    <x v="2"/>
    <s v="Invoice"/>
    <s v="99987"/>
    <x v="160"/>
    <x v="231"/>
    <x v="54"/>
    <x v="0"/>
    <n v="360"/>
  </r>
  <r>
    <s v="JUSTIN"/>
    <s v="03"/>
    <s v="TRIANGLE"/>
    <s v="LAKEWALES"/>
    <x v="401"/>
    <x v="6"/>
    <x v="2"/>
    <s v="Invoice"/>
    <s v="00897"/>
    <x v="262"/>
    <x v="232"/>
    <x v="22"/>
    <x v="2"/>
    <n v="20.012"/>
  </r>
  <r>
    <s v="JUSTIN"/>
    <s v="03"/>
    <s v="GRIFFINF"/>
    <s v="FROSTPROOF"/>
    <x v="401"/>
    <x v="6"/>
    <x v="2"/>
    <s v="Invoice"/>
    <s v="01114A"/>
    <x v="36"/>
    <x v="31"/>
    <x v="4"/>
    <x v="0"/>
    <n v="1080"/>
  </r>
  <r>
    <s v="JUSTIN"/>
    <s v="03"/>
    <s v="TRIANGLE"/>
    <s v="TRIANGLE/LAKEPL"/>
    <x v="401"/>
    <x v="6"/>
    <x v="2"/>
    <s v="Invoice"/>
    <s v="01182"/>
    <x v="197"/>
    <x v="31"/>
    <x v="4"/>
    <x v="0"/>
    <n v="500"/>
  </r>
  <r>
    <s v="JUSTIN"/>
    <s v="03"/>
    <s v="TRIANGLE"/>
    <s v="SHADYBROOK"/>
    <x v="406"/>
    <x v="6"/>
    <x v="2"/>
    <s v="Invoice"/>
    <s v="99691A"/>
    <x v="224"/>
    <x v="199"/>
    <x v="22"/>
    <x v="2"/>
    <n v="5"/>
  </r>
  <r>
    <s v="JUSTIN"/>
    <s v="03"/>
    <s v="CPSFTPIE"/>
    <s v="FT. PIERCE"/>
    <x v="392"/>
    <x v="6"/>
    <x v="2"/>
    <s v="Invoice"/>
    <s v="99759"/>
    <x v="100"/>
    <x v="94"/>
    <x v="41"/>
    <x v="0"/>
    <n v="2500"/>
  </r>
  <r>
    <s v="JUSTIN"/>
    <s v="03"/>
    <s v="CPSOKEE"/>
    <s v="OKEE-LIQ PLANT"/>
    <x v="393"/>
    <x v="6"/>
    <x v="2"/>
    <s v="Invoice"/>
    <s v="99777"/>
    <x v="134"/>
    <x v="94"/>
    <x v="41"/>
    <x v="0"/>
    <n v="1004.74"/>
  </r>
  <r>
    <s v="JUSTIN"/>
    <s v="03"/>
    <s v="CPSWACHU"/>
    <s v="WAUCHULA"/>
    <x v="402"/>
    <x v="6"/>
    <x v="2"/>
    <s v="Invoice"/>
    <s v="99778"/>
    <x v="34"/>
    <x v="29"/>
    <x v="26"/>
    <x v="0"/>
    <n v="180"/>
  </r>
  <r>
    <s v="JUSTIN"/>
    <s v="03"/>
    <s v="GRIFFINF"/>
    <s v="FROSTPROOF"/>
    <x v="402"/>
    <x v="6"/>
    <x v="2"/>
    <s v="Invoice"/>
    <s v="99779"/>
    <x v="5"/>
    <x v="72"/>
    <x v="4"/>
    <x v="0"/>
    <n v="1080"/>
  </r>
  <r>
    <s v="JUSTIN"/>
    <s v="03"/>
    <s v="TRIANGLE"/>
    <s v="TRIANGLE/LAKEPL"/>
    <x v="402"/>
    <x v="6"/>
    <x v="2"/>
    <s v="Invoice"/>
    <s v="99781"/>
    <x v="100"/>
    <x v="94"/>
    <x v="41"/>
    <x v="0"/>
    <n v="750"/>
  </r>
  <r>
    <s v="JUSTIN"/>
    <s v="03"/>
    <s v="CPSWACHU"/>
    <s v="WAUCHULA"/>
    <x v="393"/>
    <x v="6"/>
    <x v="2"/>
    <s v="Invoice"/>
    <s v="99788"/>
    <x v="34"/>
    <x v="29"/>
    <x v="26"/>
    <x v="0"/>
    <n v="180"/>
  </r>
  <r>
    <s v="JUSTIN"/>
    <s v="03"/>
    <s v="GRIFFINF"/>
    <s v="FROSTPROOF"/>
    <x v="393"/>
    <x v="6"/>
    <x v="2"/>
    <s v="Invoice"/>
    <s v="99789"/>
    <x v="5"/>
    <x v="72"/>
    <x v="4"/>
    <x v="0"/>
    <n v="1800"/>
  </r>
  <r>
    <s v="JUSTIN"/>
    <s v="03"/>
    <s v="CPSWACHU"/>
    <s v="WAUCHULA"/>
    <x v="393"/>
    <x v="6"/>
    <x v="2"/>
    <s v="Invoice"/>
    <s v="99791"/>
    <x v="34"/>
    <x v="29"/>
    <x v="26"/>
    <x v="0"/>
    <n v="360"/>
  </r>
  <r>
    <s v="JUSTIN"/>
    <s v="03"/>
    <s v="CPSWAVER"/>
    <s v="WAVERLY"/>
    <x v="407"/>
    <x v="6"/>
    <x v="2"/>
    <s v="Invoice"/>
    <s v="99798"/>
    <x v="34"/>
    <x v="29"/>
    <x v="26"/>
    <x v="0"/>
    <n v="180"/>
  </r>
  <r>
    <s v="JUSTIN"/>
    <s v="03"/>
    <s v="CPSWACHU"/>
    <s v="WAUCHULA"/>
    <x v="407"/>
    <x v="6"/>
    <x v="2"/>
    <s v="Invoice"/>
    <s v="99799"/>
    <x v="191"/>
    <x v="169"/>
    <x v="61"/>
    <x v="0"/>
    <n v="360"/>
  </r>
  <r>
    <s v="JUSTIN"/>
    <s v="03"/>
    <s v="CPSWACHU"/>
    <s v="WAUCHULA"/>
    <x v="403"/>
    <x v="6"/>
    <x v="2"/>
    <s v="Invoice"/>
    <s v="99820"/>
    <x v="34"/>
    <x v="29"/>
    <x v="26"/>
    <x v="0"/>
    <n v="360"/>
  </r>
  <r>
    <s v="JUSTIN"/>
    <s v="03"/>
    <s v="TRIANGLE"/>
    <s v="GROVELAND"/>
    <x v="403"/>
    <x v="6"/>
    <x v="2"/>
    <s v="Invoice"/>
    <s v="99821"/>
    <x v="35"/>
    <x v="30"/>
    <x v="27"/>
    <x v="0"/>
    <n v="60"/>
  </r>
  <r>
    <s v="JUSTIN"/>
    <s v="03"/>
    <s v="CPSFTPIE"/>
    <s v="FT. PIERCE"/>
    <x v="408"/>
    <x v="6"/>
    <x v="2"/>
    <s v="Invoice"/>
    <s v="99824"/>
    <x v="100"/>
    <x v="94"/>
    <x v="41"/>
    <x v="0"/>
    <n v="250"/>
  </r>
  <r>
    <s v="JUSTIN"/>
    <s v="03"/>
    <s v="TRIANGLE"/>
    <s v="LAKEWALES"/>
    <x v="408"/>
    <x v="6"/>
    <x v="2"/>
    <s v="Invoice"/>
    <s v="99829"/>
    <x v="263"/>
    <x v="233"/>
    <x v="22"/>
    <x v="2"/>
    <n v="20"/>
  </r>
  <r>
    <s v="JUSTIN"/>
    <s v="03"/>
    <s v="CPSOKEE"/>
    <s v="OKEE-LIQ PLANT"/>
    <x v="409"/>
    <x v="6"/>
    <x v="2"/>
    <s v="Invoice"/>
    <s v="99839"/>
    <x v="134"/>
    <x v="94"/>
    <x v="41"/>
    <x v="0"/>
    <n v="3015"/>
  </r>
  <r>
    <s v="JUSTIN"/>
    <s v="03"/>
    <s v="TRIANGLE"/>
    <s v="TRIANGLE/LAKEPL"/>
    <x v="404"/>
    <x v="6"/>
    <x v="2"/>
    <s v="Invoice"/>
    <s v="99845"/>
    <x v="100"/>
    <x v="94"/>
    <x v="41"/>
    <x v="0"/>
    <n v="2000"/>
  </r>
  <r>
    <s v="JUSTIN"/>
    <s v="03"/>
    <s v="TRIANGLE"/>
    <s v="LAKEWALES"/>
    <x v="404"/>
    <x v="6"/>
    <x v="2"/>
    <s v="Invoice"/>
    <s v="99853"/>
    <x v="263"/>
    <x v="233"/>
    <x v="22"/>
    <x v="2"/>
    <n v="20.010000000000002"/>
  </r>
  <r>
    <s v="JUSTIN"/>
    <s v="03"/>
    <s v="COUNCILO"/>
    <s v="COUNCIL-OXFORD"/>
    <x v="394"/>
    <x v="6"/>
    <x v="2"/>
    <s v="Invoice"/>
    <s v="99857"/>
    <x v="34"/>
    <x v="29"/>
    <x v="26"/>
    <x v="0"/>
    <n v="360"/>
  </r>
  <r>
    <s v="JUSTIN"/>
    <s v="03"/>
    <s v="COUNCILO"/>
    <s v="COUNCIL-OXFORD"/>
    <x v="394"/>
    <x v="6"/>
    <x v="2"/>
    <s v="Invoice"/>
    <s v="99857"/>
    <x v="40"/>
    <x v="35"/>
    <x v="29"/>
    <x v="0"/>
    <n v="180"/>
  </r>
  <r>
    <s v="JUSTIN"/>
    <s v="03"/>
    <s v="COUNCILO"/>
    <s v="COUNCIL-OXFORD"/>
    <x v="394"/>
    <x v="6"/>
    <x v="2"/>
    <s v="Invoice"/>
    <s v="99858"/>
    <x v="136"/>
    <x v="111"/>
    <x v="46"/>
    <x v="0"/>
    <n v="180"/>
  </r>
  <r>
    <s v="JUSTIN"/>
    <s v="03"/>
    <s v="TRIANGLE"/>
    <s v="SYCAMORE"/>
    <x v="395"/>
    <x v="6"/>
    <x v="2"/>
    <s v="Invoice"/>
    <s v="99879"/>
    <x v="248"/>
    <x v="221"/>
    <x v="69"/>
    <x v="0"/>
    <n v="3960"/>
  </r>
  <r>
    <s v="JUSTIN"/>
    <s v="03"/>
    <s v="CPSWACHU"/>
    <s v="WAUCHULA"/>
    <x v="395"/>
    <x v="6"/>
    <x v="2"/>
    <s v="Invoice"/>
    <s v="99882"/>
    <x v="34"/>
    <x v="29"/>
    <x v="26"/>
    <x v="0"/>
    <n v="360"/>
  </r>
  <r>
    <s v="JUSTIN"/>
    <s v="03"/>
    <s v="TRIANGLE"/>
    <s v="LAKEWALES"/>
    <x v="397"/>
    <x v="6"/>
    <x v="2"/>
    <s v="Invoice"/>
    <s v="99901"/>
    <x v="263"/>
    <x v="233"/>
    <x v="22"/>
    <x v="2"/>
    <n v="20.017499999999998"/>
  </r>
  <r>
    <s v="JUSTIN"/>
    <s v="03"/>
    <s v="BIGEARTH"/>
    <s v="SARASOTA"/>
    <x v="405"/>
    <x v="6"/>
    <x v="2"/>
    <s v="Invoice"/>
    <s v="99932"/>
    <x v="22"/>
    <x v="69"/>
    <x v="17"/>
    <x v="0"/>
    <n v="60"/>
  </r>
  <r>
    <s v="JUSTIN"/>
    <s v="03"/>
    <s v="COUNCILO"/>
    <s v="COUNCIL-OXFORD"/>
    <x v="405"/>
    <x v="6"/>
    <x v="2"/>
    <s v="Invoice"/>
    <s v="99936"/>
    <x v="34"/>
    <x v="29"/>
    <x v="26"/>
    <x v="0"/>
    <n v="180"/>
  </r>
  <r>
    <s v="JUSTIN"/>
    <s v="03"/>
    <s v="COUNCILO"/>
    <s v="COUNCIL-OXFORD"/>
    <x v="405"/>
    <x v="6"/>
    <x v="2"/>
    <s v="Invoice"/>
    <s v="99936"/>
    <x v="40"/>
    <x v="35"/>
    <x v="29"/>
    <x v="0"/>
    <n v="180"/>
  </r>
  <r>
    <s v="JUSTIN"/>
    <s v="03"/>
    <s v="CPSWACHU"/>
    <s v="WAUCHULA"/>
    <x v="398"/>
    <x v="6"/>
    <x v="2"/>
    <s v="Invoice"/>
    <s v="99945"/>
    <x v="34"/>
    <x v="29"/>
    <x v="26"/>
    <x v="0"/>
    <n v="360"/>
  </r>
  <r>
    <s v="JUSTIN"/>
    <s v="03"/>
    <s v="CPSFTPIE"/>
    <s v="FT. PIERCE"/>
    <x v="398"/>
    <x v="6"/>
    <x v="2"/>
    <s v="Invoice"/>
    <s v="99946"/>
    <x v="34"/>
    <x v="29"/>
    <x v="26"/>
    <x v="0"/>
    <n v="180"/>
  </r>
  <r>
    <s v="JUSTIN"/>
    <s v="03"/>
    <s v="CPSFTPIE"/>
    <s v="FT. PIERCE"/>
    <x v="398"/>
    <x v="6"/>
    <x v="2"/>
    <s v="Invoice"/>
    <s v="99946"/>
    <x v="197"/>
    <x v="31"/>
    <x v="4"/>
    <x v="0"/>
    <n v="500"/>
  </r>
  <r>
    <s v="JUSTIN"/>
    <s v="03"/>
    <s v="FLORIDAF"/>
    <s v="FLORIDA FERTILI"/>
    <x v="410"/>
    <x v="6"/>
    <x v="2"/>
    <s v="Invoice"/>
    <s v="99965"/>
    <x v="5"/>
    <x v="72"/>
    <x v="4"/>
    <x v="0"/>
    <n v="240"/>
  </r>
  <r>
    <s v="JUSTIN"/>
    <s v="03"/>
    <s v="FLORIDAF"/>
    <s v="FLORIDA FERTILI"/>
    <x v="410"/>
    <x v="6"/>
    <x v="2"/>
    <s v="Invoice"/>
    <s v="99965"/>
    <x v="237"/>
    <x v="75"/>
    <x v="26"/>
    <x v="0"/>
    <n v="120"/>
  </r>
  <r>
    <s v="JUSTIN"/>
    <s v="03"/>
    <s v="CPSWAVER"/>
    <s v="WAVERLY"/>
    <x v="410"/>
    <x v="6"/>
    <x v="2"/>
    <s v="Invoice"/>
    <s v="99967"/>
    <x v="191"/>
    <x v="169"/>
    <x v="61"/>
    <x v="0"/>
    <n v="180"/>
  </r>
  <r>
    <s v="JUSTIN"/>
    <s v="03"/>
    <s v="CPSWAVER"/>
    <s v="WAVERLY"/>
    <x v="410"/>
    <x v="6"/>
    <x v="2"/>
    <s v="Invoice"/>
    <s v="99967"/>
    <x v="40"/>
    <x v="35"/>
    <x v="29"/>
    <x v="0"/>
    <n v="180"/>
  </r>
  <r>
    <s v="JUSTIN"/>
    <s v="03"/>
    <s v="CPSIMMOK"/>
    <s v="IMMOKALEE"/>
    <x v="399"/>
    <x v="6"/>
    <x v="2"/>
    <s v="Invoice"/>
    <s v="99974"/>
    <x v="191"/>
    <x v="169"/>
    <x v="61"/>
    <x v="0"/>
    <n v="540"/>
  </r>
  <r>
    <s v="JUSTIN"/>
    <s v="03"/>
    <s v="CPSFTPIE"/>
    <s v="FT. PIERCE"/>
    <x v="400"/>
    <x v="6"/>
    <x v="2"/>
    <s v="Invoice"/>
    <s v="99990"/>
    <x v="35"/>
    <x v="30"/>
    <x v="27"/>
    <x v="0"/>
    <n v="180"/>
  </r>
  <r>
    <s v="JUSTIN"/>
    <s v="03"/>
    <s v="THEANDERSON"/>
    <s v="LK PLACID"/>
    <x v="400"/>
    <x v="6"/>
    <x v="2"/>
    <s v="Invoice"/>
    <s v="99991"/>
    <x v="124"/>
    <x v="201"/>
    <x v="20"/>
    <x v="1"/>
    <n v="44890"/>
  </r>
  <r>
    <s v="JUSTIN"/>
    <s v="03"/>
    <s v="TRIANGLE"/>
    <s v="TRIANGLE/LAKEPL"/>
    <x v="400"/>
    <x v="6"/>
    <x v="2"/>
    <s v="Invoice"/>
    <s v="99992"/>
    <x v="410"/>
    <x v="35"/>
    <x v="29"/>
    <x v="0"/>
    <n v="500"/>
  </r>
  <r>
    <s v="JUSTIN"/>
    <s v="03"/>
    <s v="CPSWACHU"/>
    <s v="WAUCHULA"/>
    <x v="400"/>
    <x v="6"/>
    <x v="2"/>
    <s v="Invoice"/>
    <s v="99995"/>
    <x v="34"/>
    <x v="29"/>
    <x v="26"/>
    <x v="0"/>
    <n v="360"/>
  </r>
  <r>
    <s v="JUSTIN"/>
    <s v="03"/>
    <s v="CPSOKEE"/>
    <s v="OKEE-LIQ PLANT"/>
    <x v="411"/>
    <x v="6"/>
    <x v="2"/>
    <s v="Invoice"/>
    <s v="99998"/>
    <x v="134"/>
    <x v="94"/>
    <x v="41"/>
    <x v="0"/>
    <n v="2533.96"/>
  </r>
  <r>
    <s v="DPOPPELL"/>
    <s v="04"/>
    <s v="STRAWBERRYR"/>
    <s v="RANCH 2"/>
    <x v="400"/>
    <x v="6"/>
    <x v="2"/>
    <s v="Invoice"/>
    <s v="00449"/>
    <x v="269"/>
    <x v="237"/>
    <x v="22"/>
    <x v="2"/>
    <n v="15.0175"/>
  </r>
  <r>
    <s v="DPOPPELL"/>
    <s v="04"/>
    <s v="STRAWBERRYR"/>
    <s v="RANCH 1"/>
    <x v="411"/>
    <x v="6"/>
    <x v="2"/>
    <s v="Invoice"/>
    <s v="00629"/>
    <x v="269"/>
    <x v="237"/>
    <x v="22"/>
    <x v="2"/>
    <n v="15.026999999999999"/>
  </r>
  <r>
    <s v="DPOPPELL"/>
    <s v="04"/>
    <s v="SYDNEYFA"/>
    <s v="FORBES/NORTH"/>
    <x v="400"/>
    <x v="6"/>
    <x v="2"/>
    <s v="Invoice"/>
    <s v="00705"/>
    <x v="269"/>
    <x v="237"/>
    <x v="22"/>
    <x v="2"/>
    <n v="5.0125000000000002"/>
  </r>
  <r>
    <s v="DPOPPELL"/>
    <s v="04"/>
    <s v="SYDNEYFA"/>
    <s v="FORBES ROAD"/>
    <x v="411"/>
    <x v="6"/>
    <x v="2"/>
    <s v="Invoice"/>
    <s v="00708"/>
    <x v="269"/>
    <x v="237"/>
    <x v="22"/>
    <x v="2"/>
    <n v="10.0075"/>
  </r>
  <r>
    <s v="DPOPPELL"/>
    <s v="04"/>
    <s v="TWINFARMS"/>
    <s v="DAD WELDON RD"/>
    <x v="411"/>
    <x v="6"/>
    <x v="2"/>
    <s v="Invoice"/>
    <s v="00802"/>
    <x v="53"/>
    <x v="46"/>
    <x v="22"/>
    <x v="2"/>
    <n v="1"/>
  </r>
  <r>
    <s v="DPOPPELL"/>
    <s v="04"/>
    <s v="GAONA, ESPER"/>
    <s v="WILLIAMSRD"/>
    <x v="401"/>
    <x v="6"/>
    <x v="2"/>
    <s v="Invoice"/>
    <s v="00896"/>
    <x v="69"/>
    <x v="62"/>
    <x v="22"/>
    <x v="2"/>
    <n v="2.5"/>
  </r>
  <r>
    <s v="DPOPPELL"/>
    <s v="04"/>
    <s v="MIDWAYF"/>
    <s v="ALS - NORTH"/>
    <x v="401"/>
    <x v="6"/>
    <x v="2"/>
    <s v="Invoice"/>
    <s v="00917"/>
    <x v="275"/>
    <x v="242"/>
    <x v="22"/>
    <x v="2"/>
    <n v="5.5"/>
  </r>
  <r>
    <s v="DPOPPELL"/>
    <s v="04"/>
    <s v="CHARLIEG-LLC"/>
    <s v="WILDER LOOP"/>
    <x v="401"/>
    <x v="6"/>
    <x v="2"/>
    <s v="Invoice"/>
    <s v="00923"/>
    <x v="275"/>
    <x v="242"/>
    <x v="22"/>
    <x v="2"/>
    <n v="3.5"/>
  </r>
  <r>
    <s v="DPOPPELL"/>
    <s v="04"/>
    <s v="THREESTA"/>
    <s v="WALDEN-SHEFFIEL"/>
    <x v="401"/>
    <x v="6"/>
    <x v="2"/>
    <s v="Invoice"/>
    <s v="01188"/>
    <x v="269"/>
    <x v="237"/>
    <x v="22"/>
    <x v="2"/>
    <n v="12"/>
  </r>
  <r>
    <s v="DPOPPELL"/>
    <s v="04"/>
    <s v="SOUTHERNHILL"/>
    <s v="SCHOFIELD"/>
    <x v="401"/>
    <x v="6"/>
    <x v="2"/>
    <s v="Invoice"/>
    <s v="01406"/>
    <x v="43"/>
    <x v="38"/>
    <x v="22"/>
    <x v="2"/>
    <n v="3.2475000000000001"/>
  </r>
  <r>
    <s v="DPOPPELL"/>
    <s v="04"/>
    <s v="MIDWAYF"/>
    <s v="FRAZIER"/>
    <x v="401"/>
    <x v="6"/>
    <x v="2"/>
    <s v="Invoice"/>
    <s v="01440"/>
    <x v="233"/>
    <x v="209"/>
    <x v="22"/>
    <x v="2"/>
    <n v="3.6225000000000001"/>
  </r>
  <r>
    <s v="DPOPPELL"/>
    <s v="04"/>
    <s v="MIDWAYF"/>
    <s v="FORBES"/>
    <x v="401"/>
    <x v="6"/>
    <x v="2"/>
    <s v="Invoice"/>
    <s v="01447"/>
    <x v="233"/>
    <x v="209"/>
    <x v="22"/>
    <x v="2"/>
    <n v="2.4950000000000001"/>
  </r>
  <r>
    <s v="DPOPPELL"/>
    <s v="04"/>
    <s v="M&amp;GFARMS"/>
    <s v="SWEATTLP"/>
    <x v="401"/>
    <x v="6"/>
    <x v="2"/>
    <s v="Invoice"/>
    <s v="01777"/>
    <x v="58"/>
    <x v="51"/>
    <x v="22"/>
    <x v="2"/>
    <n v="8.0124999999999993"/>
  </r>
  <r>
    <s v="DPOPPELL"/>
    <s v="04"/>
    <s v="SPIVEYFA"/>
    <s v="HOPEWELL"/>
    <x v="401"/>
    <x v="6"/>
    <x v="2"/>
    <s v="Invoice"/>
    <s v="02133"/>
    <x v="425"/>
    <x v="363"/>
    <x v="22"/>
    <x v="2"/>
    <n v="3.9950000000000001"/>
  </r>
  <r>
    <s v="DPOPPELL"/>
    <s v="04"/>
    <s v="LARRYENN"/>
    <s v="TRAPNELL ROAD"/>
    <x v="401"/>
    <x v="6"/>
    <x v="2"/>
    <s v="Invoice"/>
    <s v="02134"/>
    <x v="43"/>
    <x v="38"/>
    <x v="22"/>
    <x v="2"/>
    <n v="4.49"/>
  </r>
  <r>
    <s v="DPOPPELL"/>
    <s v="04"/>
    <s v="FLORIDAAG"/>
    <s v="KINGSWAY"/>
    <x v="412"/>
    <x v="6"/>
    <x v="2"/>
    <s v="Invoice"/>
    <s v="02136"/>
    <x v="326"/>
    <x v="289"/>
    <x v="22"/>
    <x v="2"/>
    <n v="2.2850000000000001"/>
  </r>
  <r>
    <s v="DPOPPELL"/>
    <s v="04"/>
    <s v="GILLMANBUDD"/>
    <s v="FORBES"/>
    <x v="412"/>
    <x v="6"/>
    <x v="2"/>
    <s v="Invoice"/>
    <s v="02137"/>
    <x v="43"/>
    <x v="38"/>
    <x v="22"/>
    <x v="2"/>
    <n v="5.0025000000000004"/>
  </r>
  <r>
    <s v="DPOPPELL"/>
    <s v="04"/>
    <s v="GERALDWI"/>
    <s v="MCINTOSH ROAD"/>
    <x v="412"/>
    <x v="6"/>
    <x v="2"/>
    <s v="Invoice"/>
    <s v="02198"/>
    <x v="58"/>
    <x v="51"/>
    <x v="22"/>
    <x v="2"/>
    <n v="5.0175000000000001"/>
  </r>
  <r>
    <s v="DPOPPELL"/>
    <s v="04"/>
    <s v="FAVORITE"/>
    <s v="MCINTOSH ROAD"/>
    <x v="412"/>
    <x v="6"/>
    <x v="2"/>
    <s v="Invoice"/>
    <s v="02282"/>
    <x v="426"/>
    <x v="208"/>
    <x v="66"/>
    <x v="0"/>
    <n v="30"/>
  </r>
  <r>
    <s v="DPOPPELL"/>
    <s v="04"/>
    <s v="MIDWAYF"/>
    <s v="KNIGHTSGRIFFIN"/>
    <x v="412"/>
    <x v="6"/>
    <x v="2"/>
    <s v="Invoice"/>
    <s v="02311"/>
    <x v="275"/>
    <x v="242"/>
    <x v="22"/>
    <x v="2"/>
    <n v="2.52"/>
  </r>
  <r>
    <s v="DPOPPELL"/>
    <s v="04"/>
    <s v="JOSEHERN"/>
    <s v="KEYSVILLE N"/>
    <x v="412"/>
    <x v="6"/>
    <x v="2"/>
    <s v="Invoice"/>
    <s v="02358"/>
    <x v="43"/>
    <x v="38"/>
    <x v="22"/>
    <x v="2"/>
    <n v="3.0049999999999999"/>
  </r>
  <r>
    <s v="DPOPPELL"/>
    <s v="04"/>
    <s v="JOSEHERN"/>
    <s v="KEYSVILLE N"/>
    <x v="412"/>
    <x v="6"/>
    <x v="2"/>
    <s v="Invoice"/>
    <s v="02446"/>
    <x v="55"/>
    <x v="48"/>
    <x v="22"/>
    <x v="2"/>
    <n v="6"/>
  </r>
  <r>
    <s v=""/>
    <s v="04"/>
    <s v="CARLTONTHOMAS"/>
    <s v="MAIN"/>
    <x v="412"/>
    <x v="6"/>
    <x v="2"/>
    <s v="Invoice"/>
    <s v="98593A"/>
    <x v="71"/>
    <x v="64"/>
    <x v="22"/>
    <x v="2"/>
    <n v="5"/>
  </r>
  <r>
    <s v="DPOPPELL"/>
    <s v="04"/>
    <s v="PARKESDA"/>
    <s v="BILOXI"/>
    <x v="412"/>
    <x v="6"/>
    <x v="2"/>
    <s v="Invoice"/>
    <s v="98814A"/>
    <x v="65"/>
    <x v="58"/>
    <x v="22"/>
    <x v="2"/>
    <n v="10"/>
  </r>
  <r>
    <s v="DPOPPELL"/>
    <s v="04"/>
    <s v="GUTIERREZA"/>
    <s v="DUETTE"/>
    <x v="406"/>
    <x v="6"/>
    <x v="2"/>
    <s v="Invoice"/>
    <s v="99283A"/>
    <x v="69"/>
    <x v="62"/>
    <x v="22"/>
    <x v="2"/>
    <n v="5"/>
  </r>
  <r>
    <s v="DPOPPELL"/>
    <s v="04"/>
    <s v="FERRISFA"/>
    <s v="BLUEBERRY-NEW"/>
    <x v="406"/>
    <x v="6"/>
    <x v="2"/>
    <s v="Invoice"/>
    <s v="99756"/>
    <x v="240"/>
    <x v="71"/>
    <x v="100"/>
    <x v="0"/>
    <n v="20"/>
  </r>
  <r>
    <s v="DPOPPELL"/>
    <s v="04"/>
    <s v="FERRISFA"/>
    <s v="BLUEBERRY-NEW"/>
    <x v="406"/>
    <x v="6"/>
    <x v="2"/>
    <s v="Invoice"/>
    <s v="99756"/>
    <x v="3"/>
    <x v="80"/>
    <x v="2"/>
    <x v="0"/>
    <n v="20"/>
  </r>
  <r>
    <s v="DPOPPELL"/>
    <s v="04"/>
    <s v="M&amp;GFARMS"/>
    <s v="ONA"/>
    <x v="406"/>
    <x v="6"/>
    <x v="2"/>
    <s v="Invoice"/>
    <s v="99757"/>
    <x v="58"/>
    <x v="51"/>
    <x v="22"/>
    <x v="2"/>
    <n v="15.022500000000001"/>
  </r>
  <r>
    <s v="DPOPPELL"/>
    <s v="04"/>
    <s v="MIDWAYF"/>
    <s v="ALS - NORTH"/>
    <x v="406"/>
    <x v="6"/>
    <x v="2"/>
    <s v="Invoice"/>
    <s v="99758"/>
    <x v="233"/>
    <x v="209"/>
    <x v="22"/>
    <x v="2"/>
    <n v="12.48"/>
  </r>
  <r>
    <s v="DPOPPELL"/>
    <s v="04"/>
    <s v="CENFLO ORGANICS"/>
    <s v="MCINTOSH"/>
    <x v="392"/>
    <x v="6"/>
    <x v="2"/>
    <s v="Invoice"/>
    <s v="99764"/>
    <x v="69"/>
    <x v="62"/>
    <x v="22"/>
    <x v="2"/>
    <n v="5.0049999999999999"/>
  </r>
  <r>
    <s v="DPOPPELL"/>
    <s v="04"/>
    <s v="ALONSOFARMS"/>
    <s v="SUMNER"/>
    <x v="392"/>
    <x v="6"/>
    <x v="2"/>
    <s v="Invoice"/>
    <s v="99765"/>
    <x v="43"/>
    <x v="38"/>
    <x v="22"/>
    <x v="2"/>
    <n v="3.0125000000000002"/>
  </r>
  <r>
    <s v="DPOPPELL"/>
    <s v="04"/>
    <s v="GUTIERREZA"/>
    <s v="AL SIMMONS RD"/>
    <x v="392"/>
    <x v="6"/>
    <x v="2"/>
    <s v="Invoice"/>
    <s v="99766"/>
    <x v="58"/>
    <x v="51"/>
    <x v="22"/>
    <x v="2"/>
    <n v="1.2524999999999999"/>
  </r>
  <r>
    <s v="DPOPPELL"/>
    <s v="04"/>
    <s v="STRAWBERRYR"/>
    <s v="RANCH 4"/>
    <x v="392"/>
    <x v="6"/>
    <x v="2"/>
    <s v="Invoice"/>
    <s v="99768"/>
    <x v="43"/>
    <x v="38"/>
    <x v="22"/>
    <x v="2"/>
    <n v="15.025"/>
  </r>
  <r>
    <s v="DPOPPELL"/>
    <s v="04"/>
    <s v="GERALDWI"/>
    <s v="CW'S"/>
    <x v="392"/>
    <x v="6"/>
    <x v="2"/>
    <s v="Invoice"/>
    <s v="99770"/>
    <x v="43"/>
    <x v="38"/>
    <x v="22"/>
    <x v="2"/>
    <n v="5"/>
  </r>
  <r>
    <s v="DPOPPELL"/>
    <s v="04"/>
    <s v="GUTIERREZA"/>
    <s v="WASHINGTON"/>
    <x v="392"/>
    <x v="6"/>
    <x v="2"/>
    <s v="Invoice"/>
    <s v="99771"/>
    <x v="43"/>
    <x v="38"/>
    <x v="22"/>
    <x v="2"/>
    <n v="3.9874999999999998"/>
  </r>
  <r>
    <s v="DPOPPELL"/>
    <s v="04"/>
    <s v="ROQUEFARMS"/>
    <s v="MEEKHORIZON"/>
    <x v="392"/>
    <x v="6"/>
    <x v="2"/>
    <s v="Invoice"/>
    <s v="99772"/>
    <x v="43"/>
    <x v="38"/>
    <x v="22"/>
    <x v="2"/>
    <n v="5"/>
  </r>
  <r>
    <s v="DPOPPELL"/>
    <s v="04"/>
    <s v="JOEPENA"/>
    <s v="HWY 92"/>
    <x v="402"/>
    <x v="6"/>
    <x v="2"/>
    <s v="Invoice"/>
    <s v="99780"/>
    <x v="55"/>
    <x v="48"/>
    <x v="22"/>
    <x v="2"/>
    <n v="1"/>
  </r>
  <r>
    <s v="DPOPPELL"/>
    <s v="04"/>
    <s v="CIRCLEGF&amp;R LLC"/>
    <s v="KNIGHTS-N-#16"/>
    <x v="402"/>
    <x v="6"/>
    <x v="2"/>
    <s v="Invoice"/>
    <s v="99784"/>
    <x v="233"/>
    <x v="209"/>
    <x v="22"/>
    <x v="2"/>
    <n v="9"/>
  </r>
  <r>
    <s v="DPOPPELL"/>
    <s v="04"/>
    <s v="ROQUEFARMS"/>
    <s v="SWEETWATER"/>
    <x v="402"/>
    <x v="6"/>
    <x v="2"/>
    <s v="Invoice"/>
    <s v="99785"/>
    <x v="43"/>
    <x v="38"/>
    <x v="22"/>
    <x v="2"/>
    <n v="5"/>
  </r>
  <r>
    <s v="DPOPPELL"/>
    <s v="04"/>
    <s v="SANCHEZFARM"/>
    <s v="FORBES-N"/>
    <x v="393"/>
    <x v="6"/>
    <x v="2"/>
    <s v="Invoice"/>
    <s v="99795"/>
    <x v="67"/>
    <x v="60"/>
    <x v="22"/>
    <x v="2"/>
    <n v="6.5075000000000003"/>
  </r>
  <r>
    <s v="DPOPPELL"/>
    <s v="04"/>
    <s v="SANCHEZFARM"/>
    <s v="SOUTH FORBES"/>
    <x v="393"/>
    <x v="6"/>
    <x v="2"/>
    <s v="Invoice"/>
    <s v="99796"/>
    <x v="43"/>
    <x v="38"/>
    <x v="22"/>
    <x v="2"/>
    <n v="2.0049999999999999"/>
  </r>
  <r>
    <s v="DPOPPELL"/>
    <s v="04"/>
    <s v="THREESTA"/>
    <s v="WALDEN-SHEFFIEL"/>
    <x v="407"/>
    <x v="6"/>
    <x v="2"/>
    <s v="Invoice"/>
    <s v="99797"/>
    <x v="43"/>
    <x v="38"/>
    <x v="22"/>
    <x v="2"/>
    <n v="10.02"/>
  </r>
  <r>
    <s v="DPOPPELL"/>
    <s v="04"/>
    <s v="TWINFARMS"/>
    <s v="MAIN"/>
    <x v="407"/>
    <x v="6"/>
    <x v="2"/>
    <s v="Invoice"/>
    <s v="99800"/>
    <x v="77"/>
    <x v="37"/>
    <x v="30"/>
    <x v="0"/>
    <n v="30"/>
  </r>
  <r>
    <s v="DPOPPELL"/>
    <s v="04"/>
    <s v="MIKELOTT"/>
    <s v="HILLSBOROUGH"/>
    <x v="407"/>
    <x v="6"/>
    <x v="2"/>
    <s v="Invoice"/>
    <s v="99801"/>
    <x v="43"/>
    <x v="38"/>
    <x v="22"/>
    <x v="2"/>
    <n v="10.0175"/>
  </r>
  <r>
    <s v="DPOPPELL"/>
    <s v="04"/>
    <s v="M&amp;GFARMS"/>
    <s v="HAREFAMILYLN"/>
    <x v="407"/>
    <x v="6"/>
    <x v="2"/>
    <s v="Invoice"/>
    <s v="99802"/>
    <x v="114"/>
    <x v="101"/>
    <x v="22"/>
    <x v="2"/>
    <n v="3.9975000000000001"/>
  </r>
  <r>
    <s v="DPOPPELL"/>
    <s v="04"/>
    <s v="CHAVEZJOR"/>
    <s v="JOSE' CHAV- COD"/>
    <x v="407"/>
    <x v="6"/>
    <x v="2"/>
    <s v="Invoice"/>
    <s v="99811"/>
    <x v="53"/>
    <x v="46"/>
    <x v="22"/>
    <x v="2"/>
    <n v="0.15"/>
  </r>
  <r>
    <s v="DPOPPELL"/>
    <s v="04"/>
    <s v="FAVORITE"/>
    <s v="MCINTOSH ROAD"/>
    <x v="407"/>
    <x v="6"/>
    <x v="2"/>
    <s v="Invoice"/>
    <s v="99812"/>
    <x v="43"/>
    <x v="38"/>
    <x v="22"/>
    <x v="2"/>
    <n v="5.0149999999999997"/>
  </r>
  <r>
    <s v="DPOPPELL"/>
    <s v="04"/>
    <s v="5KFARMS"/>
    <s v="MAIN"/>
    <x v="403"/>
    <x v="6"/>
    <x v="2"/>
    <s v="Invoice"/>
    <s v="99819"/>
    <x v="136"/>
    <x v="111"/>
    <x v="46"/>
    <x v="0"/>
    <n v="10"/>
  </r>
  <r>
    <s v="DPOPPELL"/>
    <s v="04"/>
    <s v="GUTIERREZA"/>
    <s v="JL"/>
    <x v="408"/>
    <x v="6"/>
    <x v="2"/>
    <s v="Invoice"/>
    <s v="99830"/>
    <x v="58"/>
    <x v="51"/>
    <x v="22"/>
    <x v="2"/>
    <n v="7.01"/>
  </r>
  <r>
    <s v=""/>
    <s v="04"/>
    <s v="GARCIAFARMS"/>
    <s v="MAIN"/>
    <x v="408"/>
    <x v="6"/>
    <x v="2"/>
    <s v="Invoice"/>
    <s v="99831"/>
    <x v="43"/>
    <x v="38"/>
    <x v="22"/>
    <x v="2"/>
    <n v="5"/>
  </r>
  <r>
    <s v="DPOPPELL"/>
    <s v="04"/>
    <s v="CHARLIEG-LLC"/>
    <s v="WILDER LOOP"/>
    <x v="408"/>
    <x v="6"/>
    <x v="2"/>
    <s v="Invoice"/>
    <s v="99832"/>
    <x v="233"/>
    <x v="209"/>
    <x v="22"/>
    <x v="2"/>
    <n v="5.5"/>
  </r>
  <r>
    <s v="DPOPPELL"/>
    <s v="04"/>
    <s v="MIDWAYF"/>
    <s v="WILDER RD."/>
    <x v="408"/>
    <x v="6"/>
    <x v="2"/>
    <s v="Invoice"/>
    <s v="99833"/>
    <x v="233"/>
    <x v="209"/>
    <x v="22"/>
    <x v="2"/>
    <n v="2"/>
  </r>
  <r>
    <s v="DPOPPELL"/>
    <s v="04"/>
    <s v="RAILROADCITY"/>
    <s v="MOTTRD"/>
    <x v="409"/>
    <x v="6"/>
    <x v="2"/>
    <s v="Invoice"/>
    <s v="99835"/>
    <x v="43"/>
    <x v="38"/>
    <x v="22"/>
    <x v="2"/>
    <n v="2.5"/>
  </r>
  <r>
    <s v="DPOPPELL"/>
    <s v="04"/>
    <s v="GILLMANBUDD"/>
    <s v="BENNETT RD"/>
    <x v="409"/>
    <x v="6"/>
    <x v="2"/>
    <s v="Invoice"/>
    <s v="99836"/>
    <x v="43"/>
    <x v="38"/>
    <x v="22"/>
    <x v="2"/>
    <n v="8.25"/>
  </r>
  <r>
    <s v="DPOPPELL"/>
    <s v="04"/>
    <s v="STRAWBERRYR"/>
    <s v="RANCH 1"/>
    <x v="409"/>
    <x v="6"/>
    <x v="2"/>
    <s v="Invoice"/>
    <s v="99841"/>
    <x v="43"/>
    <x v="38"/>
    <x v="22"/>
    <x v="2"/>
    <n v="15"/>
  </r>
  <r>
    <s v="DPOPPELL"/>
    <s v="04"/>
    <s v="ALVAREZJ"/>
    <s v="ROGERS"/>
    <x v="409"/>
    <x v="6"/>
    <x v="2"/>
    <s v="Invoice"/>
    <s v="99843"/>
    <x v="43"/>
    <x v="38"/>
    <x v="22"/>
    <x v="2"/>
    <n v="3.0125000000000002"/>
  </r>
  <r>
    <s v="DPOPPELL"/>
    <s v="04"/>
    <s v="MIDWAYF"/>
    <s v="FORBES"/>
    <x v="409"/>
    <x v="6"/>
    <x v="2"/>
    <s v="Invoice"/>
    <s v="99844"/>
    <x v="233"/>
    <x v="209"/>
    <x v="22"/>
    <x v="2"/>
    <n v="9.4975000000000005"/>
  </r>
  <r>
    <s v="DPOPPELL"/>
    <s v="04"/>
    <s v="IFASGULF"/>
    <s v="BALM-STRAWBERRY"/>
    <x v="404"/>
    <x v="6"/>
    <x v="2"/>
    <s v="Invoice"/>
    <s v="99847"/>
    <x v="28"/>
    <x v="23"/>
    <x v="22"/>
    <x v="2"/>
    <n v="7.5"/>
  </r>
  <r>
    <s v="DPOPPELL"/>
    <s v="04"/>
    <s v="GUTIERREZDAN"/>
    <s v="AL SIMMONS"/>
    <x v="404"/>
    <x v="6"/>
    <x v="2"/>
    <s v="Invoice"/>
    <s v="99848"/>
    <x v="73"/>
    <x v="66"/>
    <x v="22"/>
    <x v="2"/>
    <n v="13.5"/>
  </r>
  <r>
    <s v="DPOPPELL"/>
    <s v="04"/>
    <s v="MIDWAYF"/>
    <s v="ALS - NORTH"/>
    <x v="404"/>
    <x v="6"/>
    <x v="2"/>
    <s v="Invoice"/>
    <s v="99854"/>
    <x v="233"/>
    <x v="209"/>
    <x v="22"/>
    <x v="2"/>
    <n v="4.4850000000000003"/>
  </r>
  <r>
    <s v="DPOPPELL"/>
    <s v="04"/>
    <s v="CIRCLEGF&amp;R LLC"/>
    <s v="KNIGHTS-N-#16"/>
    <x v="404"/>
    <x v="6"/>
    <x v="2"/>
    <s v="Invoice"/>
    <s v="99855"/>
    <x v="233"/>
    <x v="209"/>
    <x v="22"/>
    <x v="2"/>
    <n v="6.4924999999999997"/>
  </r>
  <r>
    <s v="DPOPPELL"/>
    <s v="04"/>
    <s v="THREESTA"/>
    <s v="WALDEN-SHEFFIEL"/>
    <x v="394"/>
    <x v="6"/>
    <x v="2"/>
    <s v="Invoice"/>
    <s v="99856"/>
    <x v="43"/>
    <x v="38"/>
    <x v="22"/>
    <x v="2"/>
    <n v="11.99"/>
  </r>
  <r>
    <s v="DPOPPELL"/>
    <s v="04"/>
    <s v="SWEETLIFE"/>
    <s v="SAMALLEN-NORTH"/>
    <x v="394"/>
    <x v="6"/>
    <x v="2"/>
    <s v="Invoice"/>
    <s v="99864"/>
    <x v="233"/>
    <x v="209"/>
    <x v="22"/>
    <x v="2"/>
    <n v="14.48"/>
  </r>
  <r>
    <s v="DPOPPELL"/>
    <s v="04"/>
    <s v="PARKESDA"/>
    <s v="HILL"/>
    <x v="394"/>
    <x v="6"/>
    <x v="2"/>
    <s v="Invoice"/>
    <s v="99867"/>
    <x v="69"/>
    <x v="62"/>
    <x v="22"/>
    <x v="2"/>
    <n v="10"/>
  </r>
  <r>
    <s v="DPOPPELL"/>
    <s v="04"/>
    <s v="SWEETLIFE"/>
    <s v="MCGEE RD."/>
    <x v="394"/>
    <x v="6"/>
    <x v="2"/>
    <s v="Invoice"/>
    <s v="99870"/>
    <x v="233"/>
    <x v="209"/>
    <x v="22"/>
    <x v="2"/>
    <n v="4"/>
  </r>
  <r>
    <s v=""/>
    <s v="04"/>
    <s v="SOTERO"/>
    <s v="SOTERO"/>
    <x v="394"/>
    <x v="6"/>
    <x v="2"/>
    <s v="Invoice"/>
    <s v="99873"/>
    <x v="53"/>
    <x v="46"/>
    <x v="22"/>
    <x v="2"/>
    <n v="0.75"/>
  </r>
  <r>
    <s v="DPOPPELL"/>
    <s v="04"/>
    <s v="CHAVEZJOR"/>
    <s v="JOSE' CHAV- COD"/>
    <x v="394"/>
    <x v="6"/>
    <x v="2"/>
    <s v="Invoice"/>
    <s v="99874"/>
    <x v="53"/>
    <x v="46"/>
    <x v="22"/>
    <x v="2"/>
    <n v="0.3"/>
  </r>
  <r>
    <s v="DPOPPELL"/>
    <s v="04"/>
    <s v="STRAWBERRYR"/>
    <s v="RANCH 4"/>
    <x v="394"/>
    <x v="6"/>
    <x v="2"/>
    <s v="Invoice"/>
    <s v="99875"/>
    <x v="43"/>
    <x v="38"/>
    <x v="22"/>
    <x v="2"/>
    <n v="15.0075"/>
  </r>
  <r>
    <s v="DPOPPELL"/>
    <s v="04"/>
    <s v="SYDNEYFA"/>
    <s v="FORBES ROAD"/>
    <x v="394"/>
    <x v="6"/>
    <x v="2"/>
    <s v="Invoice"/>
    <s v="99876"/>
    <x v="43"/>
    <x v="38"/>
    <x v="22"/>
    <x v="2"/>
    <n v="5.0075000000000003"/>
  </r>
  <r>
    <s v="DPOPPELL"/>
    <s v="04"/>
    <s v="SYDNEYFA"/>
    <s v="FORBES ROAD"/>
    <x v="394"/>
    <x v="6"/>
    <x v="2"/>
    <s v="Invoice"/>
    <s v="99878"/>
    <x v="43"/>
    <x v="38"/>
    <x v="22"/>
    <x v="2"/>
    <n v="10.005000000000001"/>
  </r>
  <r>
    <s v="DPOPPELL"/>
    <s v="04"/>
    <s v="SPIVEYFA"/>
    <s v="HOPEWELL"/>
    <x v="395"/>
    <x v="6"/>
    <x v="2"/>
    <s v="Invoice"/>
    <s v="99880"/>
    <x v="425"/>
    <x v="363"/>
    <x v="22"/>
    <x v="2"/>
    <n v="4.0049999999999999"/>
  </r>
  <r>
    <s v="DPOPPELL"/>
    <s v="04"/>
    <s v="M&amp;GFARMS"/>
    <s v="SWEATTLP"/>
    <x v="395"/>
    <x v="6"/>
    <x v="2"/>
    <s v="Invoice"/>
    <s v="99881"/>
    <x v="58"/>
    <x v="51"/>
    <x v="22"/>
    <x v="2"/>
    <n v="7.0250000000000004"/>
  </r>
  <r>
    <s v="DPOPPELL"/>
    <s v="04"/>
    <s v="JOEPENA"/>
    <s v="HWY 92"/>
    <x v="395"/>
    <x v="6"/>
    <x v="2"/>
    <s v="Invoice"/>
    <s v="99885"/>
    <x v="55"/>
    <x v="48"/>
    <x v="22"/>
    <x v="2"/>
    <n v="1"/>
  </r>
  <r>
    <s v="DPOPPELL"/>
    <s v="04"/>
    <s v="GUTIERREZA"/>
    <s v="DUETTE"/>
    <x v="395"/>
    <x v="6"/>
    <x v="2"/>
    <s v="Invoice"/>
    <s v="99886"/>
    <x v="43"/>
    <x v="38"/>
    <x v="22"/>
    <x v="2"/>
    <n v="10"/>
  </r>
  <r>
    <s v="DPOPPELL"/>
    <s v="04"/>
    <s v="JOSEHERN"/>
    <s v="KEYSVILLE N"/>
    <x v="395"/>
    <x v="6"/>
    <x v="2"/>
    <s v="Invoice"/>
    <s v="99887"/>
    <x v="55"/>
    <x v="48"/>
    <x v="22"/>
    <x v="2"/>
    <n v="5.0149999999999997"/>
  </r>
  <r>
    <s v="DPOPPELL"/>
    <s v="04"/>
    <s v="JOSEHERN"/>
    <s v="KEYSVILLE N"/>
    <x v="395"/>
    <x v="6"/>
    <x v="2"/>
    <s v="Invoice"/>
    <s v="99888"/>
    <x v="43"/>
    <x v="38"/>
    <x v="22"/>
    <x v="2"/>
    <n v="6.02"/>
  </r>
  <r>
    <s v="DPOPPELL"/>
    <s v="04"/>
    <s v="M&amp;GFARMS"/>
    <s v="ONA"/>
    <x v="395"/>
    <x v="6"/>
    <x v="2"/>
    <s v="Invoice"/>
    <s v="99889"/>
    <x v="73"/>
    <x v="66"/>
    <x v="22"/>
    <x v="2"/>
    <n v="15.0275"/>
  </r>
  <r>
    <s v="DPOPPELL"/>
    <s v="04"/>
    <s v="SWEETLIFE"/>
    <s v="SWINDLES"/>
    <x v="396"/>
    <x v="6"/>
    <x v="2"/>
    <s v="Invoice"/>
    <s v="99891"/>
    <x v="233"/>
    <x v="209"/>
    <x v="22"/>
    <x v="2"/>
    <n v="15"/>
  </r>
  <r>
    <s v="DPOPPELL"/>
    <s v="04"/>
    <s v="BERRYBLISS"/>
    <s v="JAUDONSOUTH"/>
    <x v="396"/>
    <x v="6"/>
    <x v="2"/>
    <s v="Invoice"/>
    <s v="99892"/>
    <x v="58"/>
    <x v="51"/>
    <x v="22"/>
    <x v="2"/>
    <n v="1.25"/>
  </r>
  <r>
    <s v="DPOPPELL"/>
    <s v="04"/>
    <s v="MENDOZAHEC"/>
    <s v="JAUDON RD"/>
    <x v="396"/>
    <x v="6"/>
    <x v="2"/>
    <s v="Invoice"/>
    <s v="99893"/>
    <x v="69"/>
    <x v="62"/>
    <x v="22"/>
    <x v="2"/>
    <n v="2.5"/>
  </r>
  <r>
    <s v="DPOPPELL"/>
    <s v="04"/>
    <s v="GERALDWI"/>
    <s v="WALDENSHEFFIELD"/>
    <x v="396"/>
    <x v="6"/>
    <x v="2"/>
    <s v="Invoice"/>
    <s v="99894"/>
    <x v="43"/>
    <x v="38"/>
    <x v="22"/>
    <x v="2"/>
    <n v="5.0199999999999996"/>
  </r>
  <r>
    <s v="DPOPPELL"/>
    <s v="04"/>
    <s v="STRAWBERRYR"/>
    <s v="RANCH 2"/>
    <x v="396"/>
    <x v="6"/>
    <x v="2"/>
    <s v="Invoice"/>
    <s v="99898"/>
    <x v="43"/>
    <x v="38"/>
    <x v="22"/>
    <x v="2"/>
    <n v="15.01"/>
  </r>
  <r>
    <s v="DPOPPELL"/>
    <s v="04"/>
    <s v="SOUTHERNHILL"/>
    <s v="SCHOFIELD"/>
    <x v="396"/>
    <x v="6"/>
    <x v="2"/>
    <s v="Invoice"/>
    <s v="99899"/>
    <x v="43"/>
    <x v="38"/>
    <x v="22"/>
    <x v="2"/>
    <n v="5"/>
  </r>
  <r>
    <s v="DPOPPELL"/>
    <s v="04"/>
    <s v="GAONA, ESPER"/>
    <s v="KEENE"/>
    <x v="397"/>
    <x v="6"/>
    <x v="2"/>
    <s v="Invoice"/>
    <s v="99903"/>
    <x v="69"/>
    <x v="62"/>
    <x v="22"/>
    <x v="2"/>
    <n v="3.5"/>
  </r>
  <r>
    <s v="DPOPPELL"/>
    <s v="04"/>
    <s v="THREESTA"/>
    <s v="BILLY GREEN"/>
    <x v="397"/>
    <x v="6"/>
    <x v="2"/>
    <s v="Invoice"/>
    <s v="99904"/>
    <x v="43"/>
    <x v="38"/>
    <x v="22"/>
    <x v="2"/>
    <n v="10.01"/>
  </r>
  <r>
    <s v="DPOPPELL"/>
    <s v="04"/>
    <s v="SYDNEYFA"/>
    <s v="FORBES/NORTH"/>
    <x v="397"/>
    <x v="6"/>
    <x v="2"/>
    <s v="Invoice"/>
    <s v="99905"/>
    <x v="43"/>
    <x v="38"/>
    <x v="22"/>
    <x v="2"/>
    <n v="5.0075000000000003"/>
  </r>
  <r>
    <s v="DPOPPELL"/>
    <s v="04"/>
    <s v="SYDNEYFA"/>
    <s v="FORBES ROAD"/>
    <x v="397"/>
    <x v="6"/>
    <x v="2"/>
    <s v="Invoice"/>
    <s v="99906"/>
    <x v="43"/>
    <x v="38"/>
    <x v="22"/>
    <x v="2"/>
    <n v="10.0025"/>
  </r>
  <r>
    <s v="DPOPPELL"/>
    <s v="04"/>
    <s v="VENTURAFARMS"/>
    <s v="GALLAGHER"/>
    <x v="397"/>
    <x v="6"/>
    <x v="2"/>
    <s v="Invoice"/>
    <s v="99911"/>
    <x v="63"/>
    <x v="56"/>
    <x v="22"/>
    <x v="2"/>
    <n v="1.5"/>
  </r>
  <r>
    <s v="DPOPPELL"/>
    <s v="04"/>
    <s v="SWEETLIFE"/>
    <s v="SOUTH MCINTOSH"/>
    <x v="413"/>
    <x v="6"/>
    <x v="2"/>
    <s v="Invoice"/>
    <s v="99912"/>
    <x v="233"/>
    <x v="209"/>
    <x v="22"/>
    <x v="2"/>
    <n v="2.5099999999999998"/>
  </r>
  <r>
    <s v="DPOPPELL"/>
    <s v="04"/>
    <s v="ROQUEFARMS"/>
    <s v="SWEETWATER"/>
    <x v="413"/>
    <x v="6"/>
    <x v="2"/>
    <s v="Invoice"/>
    <s v="99914"/>
    <x v="43"/>
    <x v="38"/>
    <x v="22"/>
    <x v="2"/>
    <n v="5"/>
  </r>
  <r>
    <s v="DPOPPELL"/>
    <s v="04"/>
    <s v="GUTIERREZA"/>
    <s v="JOE KING RD"/>
    <x v="413"/>
    <x v="6"/>
    <x v="2"/>
    <s v="Invoice"/>
    <s v="99916"/>
    <x v="58"/>
    <x v="51"/>
    <x v="22"/>
    <x v="2"/>
    <n v="8.25"/>
  </r>
  <r>
    <s v="DPOPPELL"/>
    <s v="04"/>
    <s v="FCFARMS"/>
    <s v="GALLAGHER"/>
    <x v="413"/>
    <x v="6"/>
    <x v="2"/>
    <s v="Invoice"/>
    <s v="99917"/>
    <x v="69"/>
    <x v="62"/>
    <x v="22"/>
    <x v="2"/>
    <n v="3.5"/>
  </r>
  <r>
    <s v="DPOPPELL"/>
    <s v="04"/>
    <s v="FAVORITE"/>
    <s v="MCINTOSH ROAD"/>
    <x v="413"/>
    <x v="6"/>
    <x v="2"/>
    <s v="Invoice"/>
    <s v="99918"/>
    <x v="59"/>
    <x v="52"/>
    <x v="22"/>
    <x v="2"/>
    <n v="10"/>
  </r>
  <r>
    <s v="DPOPPELL"/>
    <s v="04"/>
    <s v="JOSEHERN"/>
    <s v="TRAPNELL RD/E"/>
    <x v="413"/>
    <x v="6"/>
    <x v="2"/>
    <s v="Invoice"/>
    <s v="99922"/>
    <x v="55"/>
    <x v="48"/>
    <x v="22"/>
    <x v="2"/>
    <n v="2"/>
  </r>
  <r>
    <s v="DPOPPELL"/>
    <s v="04"/>
    <s v="FCFARMS"/>
    <s v="HWY39"/>
    <x v="413"/>
    <x v="6"/>
    <x v="2"/>
    <s v="Invoice"/>
    <s v="99923"/>
    <x v="58"/>
    <x v="51"/>
    <x v="22"/>
    <x v="2"/>
    <n v="2"/>
  </r>
  <r>
    <s v="DPOPPELL"/>
    <s v="04"/>
    <s v="CHARLIEG-LLC"/>
    <s v="DAIRY"/>
    <x v="413"/>
    <x v="6"/>
    <x v="2"/>
    <s v="Invoice"/>
    <s v="99924"/>
    <x v="233"/>
    <x v="209"/>
    <x v="22"/>
    <x v="2"/>
    <n v="5"/>
  </r>
  <r>
    <s v="DPOPPELL"/>
    <s v="04"/>
    <s v="MIDWAYF"/>
    <s v="FORBES"/>
    <x v="413"/>
    <x v="6"/>
    <x v="2"/>
    <s v="Invoice"/>
    <s v="99925"/>
    <x v="233"/>
    <x v="209"/>
    <x v="22"/>
    <x v="2"/>
    <n v="3.2250000000000001"/>
  </r>
  <r>
    <s v="DPOPPELL"/>
    <s v="04"/>
    <s v="MIDWAYF"/>
    <s v="SAMALLEN"/>
    <x v="413"/>
    <x v="6"/>
    <x v="2"/>
    <s v="Invoice"/>
    <s v="99926"/>
    <x v="233"/>
    <x v="209"/>
    <x v="22"/>
    <x v="2"/>
    <n v="2.0150000000000001"/>
  </r>
  <r>
    <s v="DPOPPELL"/>
    <s v="04"/>
    <s v="MIDWAYF"/>
    <s v="ALS - NORTH"/>
    <x v="413"/>
    <x v="6"/>
    <x v="2"/>
    <s v="Invoice"/>
    <s v="99928"/>
    <x v="233"/>
    <x v="209"/>
    <x v="22"/>
    <x v="2"/>
    <n v="4.4924999999999997"/>
  </r>
  <r>
    <s v="DPOPPELL"/>
    <s v="04"/>
    <s v="MIDWAYF"/>
    <s v="NURSERY"/>
    <x v="413"/>
    <x v="6"/>
    <x v="2"/>
    <s v="Invoice"/>
    <s v="99929"/>
    <x v="233"/>
    <x v="209"/>
    <x v="22"/>
    <x v="2"/>
    <n v="1.25"/>
  </r>
  <r>
    <s v="DPOPPELL"/>
    <s v="04"/>
    <s v="SRISAIAY"/>
    <s v="PASTURE"/>
    <x v="405"/>
    <x v="6"/>
    <x v="2"/>
    <s v="Invoice"/>
    <s v="99933"/>
    <x v="414"/>
    <x v="358"/>
    <x v="22"/>
    <x v="2"/>
    <n v="3.01"/>
  </r>
  <r>
    <s v="DPOPPELL"/>
    <s v="04"/>
    <s v="M&amp;GFARMS"/>
    <s v="HAREFAMILYLN"/>
    <x v="405"/>
    <x v="6"/>
    <x v="2"/>
    <s v="Invoice"/>
    <s v="99934"/>
    <x v="58"/>
    <x v="51"/>
    <x v="22"/>
    <x v="2"/>
    <n v="5.01"/>
  </r>
  <r>
    <s v="DPOPPELL"/>
    <s v="04"/>
    <s v="VENTURAFARMS"/>
    <s v="GALLAGHER"/>
    <x v="405"/>
    <x v="6"/>
    <x v="2"/>
    <s v="Invoice"/>
    <s v="99935"/>
    <x v="42"/>
    <x v="37"/>
    <x v="30"/>
    <x v="0"/>
    <n v="5"/>
  </r>
  <r>
    <s v="DPOPPELL"/>
    <s v="04"/>
    <s v="MIDWAYF"/>
    <s v="WILDER RD."/>
    <x v="405"/>
    <x v="6"/>
    <x v="2"/>
    <s v="Invoice"/>
    <s v="99940"/>
    <x v="233"/>
    <x v="209"/>
    <x v="22"/>
    <x v="2"/>
    <n v="2"/>
  </r>
  <r>
    <s v="DPOPPELL"/>
    <s v="04"/>
    <s v="GUTIERREZA"/>
    <s v="WASHINGTON"/>
    <x v="405"/>
    <x v="6"/>
    <x v="2"/>
    <s v="Invoice"/>
    <s v="99941"/>
    <x v="43"/>
    <x v="38"/>
    <x v="22"/>
    <x v="2"/>
    <n v="9"/>
  </r>
  <r>
    <s v="DPOPPELL"/>
    <s v="04"/>
    <s v="FLORIDAAG"/>
    <s v="KINGSWAY"/>
    <x v="405"/>
    <x v="6"/>
    <x v="2"/>
    <s v="Invoice"/>
    <s v="99942"/>
    <x v="326"/>
    <x v="289"/>
    <x v="22"/>
    <x v="2"/>
    <n v="2.0049999999999999"/>
  </r>
  <r>
    <s v="DPOPPELL"/>
    <s v="04"/>
    <s v="M&amp;GFARMS"/>
    <s v="COUNTY LINE RD"/>
    <x v="405"/>
    <x v="6"/>
    <x v="2"/>
    <s v="Invoice"/>
    <s v="99943"/>
    <x v="58"/>
    <x v="51"/>
    <x v="22"/>
    <x v="2"/>
    <n v="2.5"/>
  </r>
  <r>
    <s v="DPOPPELL"/>
    <s v="04"/>
    <s v="CIRCLEGF&amp;R LLC"/>
    <s v="PUMP4"/>
    <x v="398"/>
    <x v="6"/>
    <x v="2"/>
    <s v="Invoice"/>
    <s v="99948"/>
    <x v="233"/>
    <x v="209"/>
    <x v="22"/>
    <x v="2"/>
    <n v="2.4849999999999999"/>
  </r>
  <r>
    <s v="DPOPPELL"/>
    <s v="04"/>
    <s v="MENDOZAHEC"/>
    <s v="HWY60"/>
    <x v="398"/>
    <x v="6"/>
    <x v="2"/>
    <s v="Invoice"/>
    <s v="99949"/>
    <x v="69"/>
    <x v="62"/>
    <x v="22"/>
    <x v="2"/>
    <n v="2.5150000000000001"/>
  </r>
  <r>
    <s v="DPOPPELL"/>
    <s v="04"/>
    <s v="GUTIERREZDAN"/>
    <s v="TANNER RD."/>
    <x v="398"/>
    <x v="6"/>
    <x v="2"/>
    <s v="Invoice"/>
    <s v="99952"/>
    <x v="73"/>
    <x v="66"/>
    <x v="22"/>
    <x v="2"/>
    <n v="11.25"/>
  </r>
  <r>
    <s v="DPOPPELL"/>
    <s v="04"/>
    <s v="GUILLERMOV"/>
    <s v="MAIN"/>
    <x v="398"/>
    <x v="6"/>
    <x v="2"/>
    <s v="Invoice"/>
    <s v="99954"/>
    <x v="42"/>
    <x v="37"/>
    <x v="30"/>
    <x v="0"/>
    <n v="5"/>
  </r>
  <r>
    <s v="DPOPPELL"/>
    <s v="04"/>
    <s v="5KFARMS"/>
    <s v="MAIN"/>
    <x v="398"/>
    <x v="6"/>
    <x v="2"/>
    <s v="Invoice"/>
    <s v="99958"/>
    <x v="136"/>
    <x v="111"/>
    <x v="46"/>
    <x v="0"/>
    <n v="5"/>
  </r>
  <r>
    <s v="DPOPPELL"/>
    <s v="04"/>
    <s v="THREESTA"/>
    <s v="WALDEN-SHEFFIEL"/>
    <x v="410"/>
    <x v="6"/>
    <x v="2"/>
    <s v="Invoice"/>
    <s v="99959"/>
    <x v="269"/>
    <x v="237"/>
    <x v="22"/>
    <x v="2"/>
    <n v="15.022500000000001"/>
  </r>
  <r>
    <s v="DPOPPELL"/>
    <s v="04"/>
    <s v="MIDWAYF"/>
    <s v="NURSERY"/>
    <x v="410"/>
    <x v="6"/>
    <x v="2"/>
    <s v="Invoice"/>
    <s v="99960"/>
    <x v="233"/>
    <x v="209"/>
    <x v="22"/>
    <x v="2"/>
    <n v="3.9849999999999999"/>
  </r>
  <r>
    <s v="DPOPPELL"/>
    <s v="04"/>
    <s v="CIRCLEGF&amp;R LLC"/>
    <s v="KNIGHTS-N-#16"/>
    <x v="410"/>
    <x v="6"/>
    <x v="2"/>
    <s v="Invoice"/>
    <s v="99961"/>
    <x v="233"/>
    <x v="209"/>
    <x v="22"/>
    <x v="2"/>
    <n v="9.7550000000000008"/>
  </r>
  <r>
    <s v="DPOPPELL"/>
    <s v="04"/>
    <s v="PORTER HA"/>
    <s v="BILLS PLACE"/>
    <x v="410"/>
    <x v="6"/>
    <x v="2"/>
    <s v="Invoice"/>
    <s v="99962"/>
    <x v="414"/>
    <x v="358"/>
    <x v="22"/>
    <x v="2"/>
    <n v="5.01"/>
  </r>
  <r>
    <s v="DPOPPELL"/>
    <s v="04"/>
    <s v="5KFARMS"/>
    <s v="MAIN"/>
    <x v="410"/>
    <x v="6"/>
    <x v="2"/>
    <s v="Invoice"/>
    <s v="99964"/>
    <x v="136"/>
    <x v="111"/>
    <x v="46"/>
    <x v="0"/>
    <n v="5"/>
  </r>
  <r>
    <s v="DPOPPELL"/>
    <s v="04"/>
    <s v="CENFLO ORGANICS"/>
    <s v="MCINTOSH"/>
    <x v="410"/>
    <x v="6"/>
    <x v="2"/>
    <s v="Invoice"/>
    <s v="99968"/>
    <x v="69"/>
    <x v="62"/>
    <x v="22"/>
    <x v="2"/>
    <n v="5"/>
  </r>
  <r>
    <s v="DPOPPELL"/>
    <s v="04"/>
    <s v="SYDNEYFA"/>
    <s v="FORBES ROAD"/>
    <x v="410"/>
    <x v="6"/>
    <x v="2"/>
    <s v="Invoice"/>
    <s v="99969"/>
    <x v="269"/>
    <x v="237"/>
    <x v="22"/>
    <x v="2"/>
    <n v="10"/>
  </r>
  <r>
    <s v="DPOPPELL"/>
    <s v="04"/>
    <s v="JOEPENA"/>
    <s v="JIMREDMAN"/>
    <x v="410"/>
    <x v="6"/>
    <x v="2"/>
    <s v="Invoice"/>
    <s v="99970"/>
    <x v="55"/>
    <x v="48"/>
    <x v="22"/>
    <x v="2"/>
    <n v="1"/>
  </r>
  <r>
    <s v="DPOPPELL"/>
    <s v="04"/>
    <s v="STRAWBERRYR"/>
    <s v="RANCH 4"/>
    <x v="410"/>
    <x v="6"/>
    <x v="2"/>
    <s v="Invoice"/>
    <s v="99971"/>
    <x v="269"/>
    <x v="237"/>
    <x v="22"/>
    <x v="2"/>
    <n v="15.02"/>
  </r>
  <r>
    <s v="DPOPPELL"/>
    <s v="04"/>
    <s v="LARRYENN"/>
    <s v="NESMITH ROAD"/>
    <x v="410"/>
    <x v="6"/>
    <x v="2"/>
    <s v="Invoice"/>
    <s v="99972"/>
    <x v="58"/>
    <x v="51"/>
    <x v="22"/>
    <x v="2"/>
    <n v="2.5"/>
  </r>
  <r>
    <s v="DPOPPELL"/>
    <s v="04"/>
    <s v="TWINFARMS"/>
    <s v="MAIN"/>
    <x v="399"/>
    <x v="6"/>
    <x v="2"/>
    <s v="Invoice"/>
    <s v="99975"/>
    <x v="16"/>
    <x v="80"/>
    <x v="2"/>
    <x v="0"/>
    <n v="30"/>
  </r>
  <r>
    <s v="DPOPPELL"/>
    <s v="04"/>
    <s v="IFASGULF"/>
    <s v="BALM-STRAWBERRY"/>
    <x v="399"/>
    <x v="6"/>
    <x v="2"/>
    <s v="Invoice"/>
    <s v="99976"/>
    <x v="28"/>
    <x v="23"/>
    <x v="22"/>
    <x v="2"/>
    <n v="7.51"/>
  </r>
  <r>
    <s v="DPOPPELL"/>
    <s v="04"/>
    <s v="ALVAREZJ"/>
    <s v="SYDNEY RD"/>
    <x v="399"/>
    <x v="6"/>
    <x v="2"/>
    <s v="Invoice"/>
    <s v="99977"/>
    <x v="43"/>
    <x v="38"/>
    <x v="22"/>
    <x v="2"/>
    <n v="1.0075000000000001"/>
  </r>
  <r>
    <s v="DPOPPELL"/>
    <s v="04"/>
    <s v="BONIFACIO"/>
    <s v="BONIFACIO"/>
    <x v="399"/>
    <x v="6"/>
    <x v="2"/>
    <s v="Invoice"/>
    <s v="99978"/>
    <x v="77"/>
    <x v="37"/>
    <x v="30"/>
    <x v="0"/>
    <n v="30"/>
  </r>
  <r>
    <s v="DPOPPELL"/>
    <s v="04"/>
    <s v="GUTIERREZDAN"/>
    <s v="AL SIMMONS"/>
    <x v="399"/>
    <x v="6"/>
    <x v="2"/>
    <s v="Invoice"/>
    <s v="99981"/>
    <x v="73"/>
    <x v="66"/>
    <x v="22"/>
    <x v="2"/>
    <n v="1.2625"/>
  </r>
  <r>
    <s v="DPOPPELL"/>
    <s v="04"/>
    <s v="MIKELOTT"/>
    <s v="HILLSBOROUGH"/>
    <x v="399"/>
    <x v="6"/>
    <x v="2"/>
    <s v="Invoice"/>
    <s v="99982"/>
    <x v="43"/>
    <x v="38"/>
    <x v="22"/>
    <x v="2"/>
    <n v="5.0075000000000003"/>
  </r>
  <r>
    <s v="DPOPPELL"/>
    <s v="04"/>
    <s v="CHAVEZJOR"/>
    <s v="JOSE' CHAV- COD"/>
    <x v="399"/>
    <x v="6"/>
    <x v="2"/>
    <s v="Invoice"/>
    <s v="99984"/>
    <x v="53"/>
    <x v="46"/>
    <x v="22"/>
    <x v="2"/>
    <n v="0.3"/>
  </r>
  <r>
    <s v="DPOPPELL"/>
    <s v="04"/>
    <s v="JOEPENA"/>
    <s v="HWY 92"/>
    <x v="400"/>
    <x v="6"/>
    <x v="2"/>
    <s v="Invoice"/>
    <s v="99996"/>
    <x v="55"/>
    <x v="48"/>
    <x v="22"/>
    <x v="2"/>
    <n v="1"/>
  </r>
  <r>
    <s v="DPOPPELL"/>
    <s v="04"/>
    <s v="PARKESDA"/>
    <s v="BLACKBERRIES"/>
    <x v="400"/>
    <x v="6"/>
    <x v="2"/>
    <s v="Invoice"/>
    <s v="99997"/>
    <x v="69"/>
    <x v="62"/>
    <x v="22"/>
    <x v="2"/>
    <n v="10.0075"/>
  </r>
  <r>
    <s v="DPOPPELL"/>
    <s v="04"/>
    <s v="CHARLIEG-LLC"/>
    <s v="DAIRY"/>
    <x v="400"/>
    <x v="6"/>
    <x v="2"/>
    <s v="Invoice"/>
    <s v="99999"/>
    <x v="275"/>
    <x v="242"/>
    <x v="22"/>
    <x v="2"/>
    <n v="4.0049999999999999"/>
  </r>
  <r>
    <s v="HOUSE"/>
    <s v="05"/>
    <s v="CPSBOYNTON"/>
    <s v="BOYNTON BCH"/>
    <x v="412"/>
    <x v="6"/>
    <x v="2"/>
    <s v="Invoice"/>
    <s v="02232"/>
    <x v="101"/>
    <x v="21"/>
    <x v="21"/>
    <x v="0"/>
    <n v="180"/>
  </r>
  <r>
    <s v="HOUSE"/>
    <s v="05"/>
    <s v="SOUTHERN"/>
    <s v="SOUTHERN AG"/>
    <x v="407"/>
    <x v="6"/>
    <x v="2"/>
    <s v="Invoice"/>
    <s v="99803"/>
    <x v="7"/>
    <x v="243"/>
    <x v="6"/>
    <x v="0"/>
    <n v="60"/>
  </r>
  <r>
    <s v="HOUSE"/>
    <s v="05"/>
    <s v="SOUTHERN"/>
    <s v="SOUTHERN AG"/>
    <x v="407"/>
    <x v="6"/>
    <x v="2"/>
    <s v="Invoice"/>
    <s v="99803"/>
    <x v="178"/>
    <x v="182"/>
    <x v="59"/>
    <x v="0"/>
    <n v="180"/>
  </r>
  <r>
    <s v="HOUSE"/>
    <s v="05"/>
    <s v="SOUTHERN"/>
    <s v="SOUTHERN AG"/>
    <x v="407"/>
    <x v="6"/>
    <x v="2"/>
    <s v="Invoice"/>
    <s v="99804"/>
    <x v="237"/>
    <x v="75"/>
    <x v="26"/>
    <x v="0"/>
    <n v="10"/>
  </r>
  <r>
    <s v="HOUSE"/>
    <s v="05"/>
    <s v="SOUTHERN"/>
    <s v="SOUTHERN AG"/>
    <x v="407"/>
    <x v="6"/>
    <x v="2"/>
    <s v="Invoice"/>
    <s v="99805"/>
    <x v="163"/>
    <x v="145"/>
    <x v="56"/>
    <x v="0"/>
    <n v="60"/>
  </r>
  <r>
    <s v="HOUSE"/>
    <s v="05"/>
    <s v="SOUTHERN"/>
    <s v="SOUTHERN AG"/>
    <x v="407"/>
    <x v="6"/>
    <x v="2"/>
    <s v="Invoice"/>
    <s v="99805"/>
    <x v="237"/>
    <x v="75"/>
    <x v="26"/>
    <x v="0"/>
    <n v="180"/>
  </r>
  <r>
    <s v="HOUSE"/>
    <s v="05"/>
    <s v="SOUTHERN"/>
    <s v="SOUTHERN AG"/>
    <x v="404"/>
    <x v="6"/>
    <x v="2"/>
    <s v="Invoice"/>
    <s v="99850"/>
    <x v="133"/>
    <x v="109"/>
    <x v="45"/>
    <x v="0"/>
    <n v="60"/>
  </r>
  <r>
    <s v="HOUSE"/>
    <s v="05"/>
    <s v="CPSHOMES"/>
    <s v="HOMESTEAD"/>
    <x v="394"/>
    <x v="6"/>
    <x v="2"/>
    <s v="Invoice"/>
    <s v="99860"/>
    <x v="427"/>
    <x v="128"/>
    <x v="29"/>
    <x v="0"/>
    <n v="120"/>
  </r>
  <r>
    <s v="HOUSE"/>
    <s v="05"/>
    <s v="CPSHOMES"/>
    <s v="HOMESTEAD"/>
    <x v="394"/>
    <x v="6"/>
    <x v="2"/>
    <s v="Invoice"/>
    <s v="99860"/>
    <x v="48"/>
    <x v="33"/>
    <x v="28"/>
    <x v="0"/>
    <n v="180"/>
  </r>
  <r>
    <s v="HOUSE"/>
    <s v="05"/>
    <s v="CPSHOMES"/>
    <s v="HOMESTEAD"/>
    <x v="413"/>
    <x v="6"/>
    <x v="2"/>
    <s v="Invoice"/>
    <s v="99927"/>
    <x v="137"/>
    <x v="122"/>
    <x v="23"/>
    <x v="0"/>
    <n v="180"/>
  </r>
  <r>
    <s v="HOUSE"/>
    <s v="05"/>
    <s v="SOUTHEASTTURF"/>
    <s v="CCOFWINTERHAVEN"/>
    <x v="410"/>
    <x v="6"/>
    <x v="2"/>
    <s v="Invoice"/>
    <s v="99966"/>
    <x v="310"/>
    <x v="145"/>
    <x v="56"/>
    <x v="0"/>
    <n v="250"/>
  </r>
  <r>
    <s v="CHEAD"/>
    <s v="07"/>
    <s v="UFPSUNIT"/>
    <s v="CITRA FARM"/>
    <x v="406"/>
    <x v="6"/>
    <x v="2"/>
    <s v="Invoice"/>
    <s v="99754"/>
    <x v="242"/>
    <x v="19"/>
    <x v="19"/>
    <x v="0"/>
    <n v="500"/>
  </r>
  <r>
    <s v=""/>
    <s v="07"/>
    <s v="BARNESFE"/>
    <s v="HASTINGS"/>
    <x v="402"/>
    <x v="6"/>
    <x v="2"/>
    <s v="Invoice"/>
    <s v="99776"/>
    <x v="48"/>
    <x v="33"/>
    <x v="28"/>
    <x v="0"/>
    <n v="5"/>
  </r>
  <r>
    <s v=""/>
    <s v="07"/>
    <s v="BARNESFE"/>
    <s v="HASTINGS"/>
    <x v="408"/>
    <x v="6"/>
    <x v="2"/>
    <s v="Invoice"/>
    <s v="99823"/>
    <x v="158"/>
    <x v="139"/>
    <x v="53"/>
    <x v="0"/>
    <n v="720"/>
  </r>
  <r>
    <s v=""/>
    <s v="07"/>
    <s v="MILLERBL"/>
    <s v="PALATKA"/>
    <x v="394"/>
    <x v="6"/>
    <x v="2"/>
    <s v="Invoice"/>
    <s v="99877"/>
    <x v="208"/>
    <x v="184"/>
    <x v="22"/>
    <x v="2"/>
    <n v="13.48"/>
  </r>
  <r>
    <s v="CHEAD"/>
    <s v="07"/>
    <s v="MAYO"/>
    <s v="WILLISTON"/>
    <x v="413"/>
    <x v="6"/>
    <x v="2"/>
    <s v="Invoice"/>
    <s v="99910"/>
    <x v="34"/>
    <x v="29"/>
    <x v="26"/>
    <x v="0"/>
    <n v="180"/>
  </r>
  <r>
    <s v="CHEAD"/>
    <s v="07"/>
    <s v="UFPSUNIT"/>
    <s v="CITRA FARM"/>
    <x v="413"/>
    <x v="6"/>
    <x v="2"/>
    <s v="Invoice"/>
    <s v="99921"/>
    <x v="73"/>
    <x v="66"/>
    <x v="22"/>
    <x v="2"/>
    <n v="2.5"/>
  </r>
  <r>
    <s v="CHEAD"/>
    <s v="07"/>
    <s v="CPSSOUTH"/>
    <s v="DOERUN"/>
    <x v="405"/>
    <x v="6"/>
    <x v="2"/>
    <s v="Invoice"/>
    <s v="99938"/>
    <x v="87"/>
    <x v="88"/>
    <x v="8"/>
    <x v="0"/>
    <n v="750"/>
  </r>
  <r>
    <s v=""/>
    <s v="07"/>
    <s v="BIG HOUSE FARMS"/>
    <s v="MAYO"/>
    <x v="399"/>
    <x v="6"/>
    <x v="2"/>
    <s v="Invoice"/>
    <s v="99973"/>
    <x v="168"/>
    <x v="88"/>
    <x v="8"/>
    <x v="0"/>
    <n v="5"/>
  </r>
  <r>
    <s v=""/>
    <s v="07"/>
    <s v="BIG HOUSE FARMS"/>
    <s v="MAYO"/>
    <x v="399"/>
    <x v="6"/>
    <x v="2"/>
    <s v="Invoice"/>
    <s v="99973"/>
    <x v="109"/>
    <x v="80"/>
    <x v="2"/>
    <x v="0"/>
    <n v="250"/>
  </r>
  <r>
    <s v=""/>
    <s v="07"/>
    <s v="BIG HOUSE FARMS"/>
    <s v="MAYO"/>
    <x v="399"/>
    <x v="6"/>
    <x v="2"/>
    <s v="Invoice"/>
    <s v="99973"/>
    <x v="237"/>
    <x v="75"/>
    <x v="26"/>
    <x v="0"/>
    <n v="10"/>
  </r>
  <r>
    <s v="CHEAD"/>
    <s v="07"/>
    <s v="MILLERBL"/>
    <s v="PALATKA"/>
    <x v="399"/>
    <x v="6"/>
    <x v="2"/>
    <s v="Invoice"/>
    <s v="99980"/>
    <x v="208"/>
    <x v="184"/>
    <x v="22"/>
    <x v="2"/>
    <n v="1.79"/>
  </r>
  <r>
    <s v="DPOPPELL1"/>
    <s v="08"/>
    <s v="COASTALAGSUPPLY"/>
    <s v="MULBERRY"/>
    <x v="392"/>
    <x v="6"/>
    <x v="2"/>
    <s v="Invoice"/>
    <s v="99763"/>
    <x v="209"/>
    <x v="185"/>
    <x v="63"/>
    <x v="0"/>
    <n v="180"/>
  </r>
  <r>
    <s v="DPOPPELL1"/>
    <s v="08"/>
    <s v="COASTALAGSUPPLY"/>
    <s v="MULBERRY"/>
    <x v="403"/>
    <x v="6"/>
    <x v="2"/>
    <s v="Invoice"/>
    <s v="99816"/>
    <x v="209"/>
    <x v="185"/>
    <x v="63"/>
    <x v="0"/>
    <n v="180"/>
  </r>
  <r>
    <s v="DPOPPELL1"/>
    <s v="08"/>
    <s v="COASTALAGSUPPLY"/>
    <s v="MULBERRY"/>
    <x v="403"/>
    <x v="6"/>
    <x v="2"/>
    <s v="Invoice"/>
    <s v="99817"/>
    <x v="58"/>
    <x v="51"/>
    <x v="22"/>
    <x v="2"/>
    <n v="2.5"/>
  </r>
  <r>
    <s v="DPOPPELL1"/>
    <s v="08"/>
    <s v="TRIANGLE"/>
    <s v="TRIANGLE/PC"/>
    <x v="408"/>
    <x v="6"/>
    <x v="2"/>
    <s v="Invoice"/>
    <s v="99825"/>
    <x v="34"/>
    <x v="29"/>
    <x v="26"/>
    <x v="0"/>
    <n v="360"/>
  </r>
  <r>
    <s v="DPOPPELL1"/>
    <s v="08"/>
    <s v="COASTALAGSUPPLY"/>
    <s v="MULBERRY"/>
    <x v="409"/>
    <x v="6"/>
    <x v="2"/>
    <s v="Invoice"/>
    <s v="99834"/>
    <x v="31"/>
    <x v="124"/>
    <x v="24"/>
    <x v="0"/>
    <n v="180"/>
  </r>
  <r>
    <s v="DPOPPELL1"/>
    <s v="08"/>
    <s v="COASTALAGSUPPLY"/>
    <s v="MULBERRY"/>
    <x v="394"/>
    <x v="6"/>
    <x v="2"/>
    <s v="Invoice"/>
    <s v="99861"/>
    <x v="58"/>
    <x v="51"/>
    <x v="22"/>
    <x v="2"/>
    <n v="1.2625"/>
  </r>
  <r>
    <s v="DPOPPELL1"/>
    <s v="08"/>
    <s v="COASTALAGSUPPLY"/>
    <s v="MULBERRY"/>
    <x v="394"/>
    <x v="6"/>
    <x v="2"/>
    <s v="Invoice"/>
    <s v="99862"/>
    <x v="136"/>
    <x v="111"/>
    <x v="46"/>
    <x v="0"/>
    <n v="180"/>
  </r>
  <r>
    <s v="DPOPPELL1"/>
    <s v="08"/>
    <s v="COASTALAGSUPPLY"/>
    <s v="MULBERRY"/>
    <x v="394"/>
    <x v="6"/>
    <x v="2"/>
    <s v="Invoice"/>
    <s v="99862"/>
    <x v="35"/>
    <x v="30"/>
    <x v="27"/>
    <x v="0"/>
    <n v="180"/>
  </r>
  <r>
    <s v="DPOPPELL1"/>
    <s v="08"/>
    <s v="TRIANGLE"/>
    <s v="TRIANGLE/PC"/>
    <x v="394"/>
    <x v="6"/>
    <x v="2"/>
    <s v="Invoice"/>
    <s v="99863"/>
    <x v="77"/>
    <x v="37"/>
    <x v="30"/>
    <x v="0"/>
    <n v="300"/>
  </r>
  <r>
    <s v="DPOPPELL1"/>
    <s v="08"/>
    <s v="COASTALAGSUPPLY"/>
    <s v="MULBERRY"/>
    <x v="397"/>
    <x v="6"/>
    <x v="2"/>
    <s v="Invoice"/>
    <s v="99902"/>
    <x v="58"/>
    <x v="51"/>
    <x v="22"/>
    <x v="2"/>
    <n v="5.0049999999999999"/>
  </r>
  <r>
    <s v="DPOPPELL1"/>
    <s v="08"/>
    <s v="COASTALAGSUPPLY"/>
    <s v="MULBERRY"/>
    <x v="413"/>
    <x v="6"/>
    <x v="2"/>
    <s v="Invoice"/>
    <s v="99919"/>
    <x v="170"/>
    <x v="33"/>
    <x v="28"/>
    <x v="0"/>
    <n v="250"/>
  </r>
  <r>
    <s v="DPOPPELL1"/>
    <s v="08"/>
    <s v="CPSMULB"/>
    <s v="UAP/MULBERRY"/>
    <x v="398"/>
    <x v="6"/>
    <x v="2"/>
    <s v="Invoice"/>
    <s v="99957"/>
    <x v="102"/>
    <x v="71"/>
    <x v="100"/>
    <x v="0"/>
    <n v="500"/>
  </r>
  <r>
    <s v="DPOPPELL1"/>
    <s v="08"/>
    <s v="CPSMULB"/>
    <s v="UAP/MULBERRY"/>
    <x v="400"/>
    <x v="6"/>
    <x v="2"/>
    <s v="Invoice"/>
    <s v="99989"/>
    <x v="102"/>
    <x v="71"/>
    <x v="100"/>
    <x v="0"/>
    <n v="500"/>
  </r>
  <r>
    <s v="GEORGIA"/>
    <s v="09"/>
    <s v="AGRIBUSI"/>
    <s v="HAWKINSVILLE"/>
    <x v="401"/>
    <x v="6"/>
    <x v="2"/>
    <s v="Invoice"/>
    <s v="01637"/>
    <x v="291"/>
    <x v="256"/>
    <x v="1"/>
    <x v="0"/>
    <n v="180"/>
  </r>
  <r>
    <s v="GEORGIA"/>
    <s v="09"/>
    <s v="AGRIBUSI"/>
    <s v="MEHERRIN/GA"/>
    <x v="401"/>
    <x v="6"/>
    <x v="2"/>
    <s v="Invoice"/>
    <s v="01798"/>
    <x v="290"/>
    <x v="255"/>
    <x v="20"/>
    <x v="1"/>
    <n v="1800"/>
  </r>
  <r>
    <s v=""/>
    <s v="09"/>
    <s v="AGRIBUSI"/>
    <s v="AGB/ROOSEVELT"/>
    <x v="401"/>
    <x v="6"/>
    <x v="2"/>
    <s v="Invoice"/>
    <s v="02035"/>
    <x v="291"/>
    <x v="256"/>
    <x v="1"/>
    <x v="0"/>
    <n v="360"/>
  </r>
  <r>
    <s v="GEORGIA"/>
    <s v="09"/>
    <s v="TRIANGLE"/>
    <s v="SYCAMORE"/>
    <x v="406"/>
    <x v="6"/>
    <x v="2"/>
    <s v="Invoice"/>
    <s v="99755A"/>
    <x v="248"/>
    <x v="221"/>
    <x v="69"/>
    <x v="0"/>
    <n v="3960"/>
  </r>
  <r>
    <s v="GEORGIA"/>
    <s v="09"/>
    <s v="CAROLINATU"/>
    <s v="JEFFERSONLAND"/>
    <x v="392"/>
    <x v="6"/>
    <x v="2"/>
    <s v="Invoice"/>
    <s v="99773"/>
    <x v="259"/>
    <x v="226"/>
    <x v="106"/>
    <x v="0"/>
    <n v="10"/>
  </r>
  <r>
    <s v="GEORGIA"/>
    <s v="09"/>
    <s v="CAROLINATU"/>
    <s v="SALISBURY"/>
    <x v="392"/>
    <x v="6"/>
    <x v="2"/>
    <s v="Invoice"/>
    <s v="99774"/>
    <x v="259"/>
    <x v="226"/>
    <x v="106"/>
    <x v="0"/>
    <n v="10"/>
  </r>
  <r>
    <s v="GEORGIA"/>
    <s v="09"/>
    <s v="AGRIBUSI"/>
    <s v="IRWINVILLE"/>
    <x v="392"/>
    <x v="6"/>
    <x v="2"/>
    <s v="Invoice"/>
    <s v="99775"/>
    <x v="107"/>
    <x v="98"/>
    <x v="36"/>
    <x v="0"/>
    <n v="540"/>
  </r>
  <r>
    <s v=""/>
    <s v="09"/>
    <s v="AGRIBUSI"/>
    <s v="AGB/ROOSEVELT"/>
    <x v="402"/>
    <x v="6"/>
    <x v="2"/>
    <s v="Invoice"/>
    <s v="99787"/>
    <x v="214"/>
    <x v="189"/>
    <x v="20"/>
    <x v="1"/>
    <n v="3600"/>
  </r>
  <r>
    <s v="GEORGIA"/>
    <s v="09"/>
    <s v="TRIANGLE"/>
    <s v="DONALSONVILLE"/>
    <x v="393"/>
    <x v="6"/>
    <x v="2"/>
    <s v="Invoice"/>
    <s v="99793"/>
    <x v="248"/>
    <x v="221"/>
    <x v="69"/>
    <x v="0"/>
    <n v="3960"/>
  </r>
  <r>
    <s v="GEORGIA"/>
    <s v="09"/>
    <s v="AGRIBUSI"/>
    <s v="PINCECLIFF"/>
    <x v="407"/>
    <x v="6"/>
    <x v="2"/>
    <s v="Invoice"/>
    <s v="99810"/>
    <x v="291"/>
    <x v="256"/>
    <x v="1"/>
    <x v="0"/>
    <n v="180"/>
  </r>
  <r>
    <s v="GEORGIA"/>
    <s v="09"/>
    <s v="TRIANGLE"/>
    <s v="STATESBORO/GA"/>
    <x v="408"/>
    <x v="6"/>
    <x v="2"/>
    <s v="Invoice"/>
    <s v="99827"/>
    <x v="248"/>
    <x v="221"/>
    <x v="69"/>
    <x v="0"/>
    <n v="3960"/>
  </r>
  <r>
    <s v="GEORGIA"/>
    <s v="09"/>
    <s v="TRIANGLE"/>
    <s v="SYCAMORE"/>
    <x v="404"/>
    <x v="6"/>
    <x v="2"/>
    <s v="Invoice"/>
    <s v="99851"/>
    <x v="248"/>
    <x v="221"/>
    <x v="69"/>
    <x v="0"/>
    <n v="3960"/>
  </r>
  <r>
    <s v="GEORGIA"/>
    <s v="09"/>
    <s v="GREENRES"/>
    <s v="HIGHGREEN CT-NC"/>
    <x v="404"/>
    <x v="6"/>
    <x v="2"/>
    <s v="Invoice"/>
    <s v="99852"/>
    <x v="22"/>
    <x v="69"/>
    <x v="17"/>
    <x v="0"/>
    <n v="360"/>
  </r>
  <r>
    <s v="GEORGIA"/>
    <s v="09"/>
    <s v="GREENRES"/>
    <s v="HIGHGREEN CT-NC"/>
    <x v="404"/>
    <x v="6"/>
    <x v="2"/>
    <s v="Invoice"/>
    <s v="99852"/>
    <x v="188"/>
    <x v="69"/>
    <x v="17"/>
    <x v="0"/>
    <n v="220"/>
  </r>
  <r>
    <s v="GEORGIA"/>
    <s v="09"/>
    <s v="AGRIBUSI"/>
    <s v="MEHERRIN/ESTILL"/>
    <x v="394"/>
    <x v="6"/>
    <x v="2"/>
    <s v="Invoice"/>
    <s v="99872"/>
    <x v="221"/>
    <x v="194"/>
    <x v="20"/>
    <x v="1"/>
    <n v="2500"/>
  </r>
  <r>
    <s v="GEORGIA"/>
    <s v="09"/>
    <s v="TRIANGLE"/>
    <s v="SYCAMORE"/>
    <x v="395"/>
    <x v="6"/>
    <x v="2"/>
    <s v="Invoice"/>
    <s v="99879A"/>
    <x v="248"/>
    <x v="221"/>
    <x v="54"/>
    <x v="0"/>
    <n v="3960"/>
  </r>
  <r>
    <s v=""/>
    <s v="09"/>
    <s v="AGRIBUSI"/>
    <s v="AGB/ROOSEVELT"/>
    <x v="396"/>
    <x v="6"/>
    <x v="2"/>
    <s v="Invoice"/>
    <s v="99897"/>
    <x v="291"/>
    <x v="256"/>
    <x v="1"/>
    <x v="0"/>
    <n v="360"/>
  </r>
  <r>
    <s v="GEORGIA"/>
    <s v="09"/>
    <s v="TRIANGLE"/>
    <s v="DONALSONVILLE"/>
    <x v="397"/>
    <x v="6"/>
    <x v="2"/>
    <s v="Invoice"/>
    <s v="99909"/>
    <x v="258"/>
    <x v="221"/>
    <x v="54"/>
    <x v="0"/>
    <n v="4000"/>
  </r>
  <r>
    <s v=""/>
    <s v="09"/>
    <s v="AGRIBUSI"/>
    <s v="AGB/ROOSEVELT"/>
    <x v="413"/>
    <x v="6"/>
    <x v="2"/>
    <s v="Invoice"/>
    <s v="99930"/>
    <x v="212"/>
    <x v="188"/>
    <x v="20"/>
    <x v="1"/>
    <n v="1800"/>
  </r>
  <r>
    <s v=""/>
    <s v="09"/>
    <s v="AGRIBUSI"/>
    <s v="AGB/ROOSEVELT"/>
    <x v="413"/>
    <x v="6"/>
    <x v="2"/>
    <s v="Invoice"/>
    <s v="99930"/>
    <x v="214"/>
    <x v="189"/>
    <x v="20"/>
    <x v="1"/>
    <n v="3600"/>
  </r>
  <r>
    <s v="GEORGIA"/>
    <s v="09"/>
    <s v="AGRIBUSI"/>
    <s v="IRWINVILLE"/>
    <x v="405"/>
    <x v="6"/>
    <x v="2"/>
    <s v="Invoice"/>
    <s v="99939"/>
    <x v="107"/>
    <x v="98"/>
    <x v="36"/>
    <x v="0"/>
    <n v="360"/>
  </r>
  <r>
    <s v="GEORGIA"/>
    <s v="09"/>
    <s v="TRIANGLE"/>
    <s v="STATESBORO/GA"/>
    <x v="398"/>
    <x v="6"/>
    <x v="2"/>
    <s v="Invoice"/>
    <s v="99944"/>
    <x v="258"/>
    <x v="221"/>
    <x v="54"/>
    <x v="0"/>
    <n v="4000"/>
  </r>
  <r>
    <s v="GEORGIA"/>
    <s v="09"/>
    <s v="TRIANGLE"/>
    <s v="SYCAMORE"/>
    <x v="398"/>
    <x v="6"/>
    <x v="2"/>
    <s v="Invoice"/>
    <s v="99950"/>
    <x v="258"/>
    <x v="221"/>
    <x v="54"/>
    <x v="0"/>
    <n v="4000"/>
  </r>
  <r>
    <s v="GEORGIA"/>
    <s v="09"/>
    <s v="AGRIBUSI"/>
    <s v="GREENPOINTCORDE"/>
    <x v="398"/>
    <x v="6"/>
    <x v="2"/>
    <s v="Invoice"/>
    <s v="99955"/>
    <x v="290"/>
    <x v="255"/>
    <x v="20"/>
    <x v="1"/>
    <n v="1800"/>
  </r>
  <r>
    <s v="GEORGIA"/>
    <s v="09"/>
    <s v="AGRIBUSI"/>
    <s v="GREENPOINT-SELM"/>
    <x v="400"/>
    <x v="6"/>
    <x v="2"/>
    <s v="Invoice"/>
    <s v="99993"/>
    <x v="183"/>
    <x v="165"/>
    <x v="20"/>
    <x v="1"/>
    <n v="2500"/>
  </r>
  <r>
    <s v="TRES"/>
    <s v="11"/>
    <s v="SOUTHINTEGRITY"/>
    <s v="ZACKSFLYINGSER"/>
    <x v="401"/>
    <x v="6"/>
    <x v="2"/>
    <s v="Invoice"/>
    <s v="02131"/>
    <x v="87"/>
    <x v="88"/>
    <x v="8"/>
    <x v="0"/>
    <n v="1040"/>
  </r>
  <r>
    <s v="TRES"/>
    <s v="11"/>
    <s v="SOUTHINTEGRITY"/>
    <s v="ZACKSFLYINGSER"/>
    <x v="401"/>
    <x v="6"/>
    <x v="2"/>
    <s v="Invoice"/>
    <s v="02131"/>
    <x v="428"/>
    <x v="364"/>
    <x v="85"/>
    <x v="0"/>
    <n v="260"/>
  </r>
  <r>
    <s v="TRES"/>
    <s v="11"/>
    <s v="SOUTHINTEGRITY"/>
    <s v="ZACKSFLYINGSER"/>
    <x v="401"/>
    <x v="6"/>
    <x v="2"/>
    <s v="Invoice"/>
    <s v="02131"/>
    <x v="429"/>
    <x v="98"/>
    <x v="36"/>
    <x v="0"/>
    <n v="260"/>
  </r>
  <r>
    <s v="TRES"/>
    <s v="11"/>
    <s v="SOUTHINTEGRITY"/>
    <s v="ZACKSFLYINGSER"/>
    <x v="401"/>
    <x v="6"/>
    <x v="2"/>
    <s v="Invoice"/>
    <s v="02131"/>
    <x v="166"/>
    <x v="29"/>
    <x v="26"/>
    <x v="0"/>
    <n v="780"/>
  </r>
  <r>
    <s v="TRES"/>
    <s v="11"/>
    <s v="HEFTYSEEDCO"/>
    <s v="MAIN"/>
    <x v="407"/>
    <x v="6"/>
    <x v="2"/>
    <s v="Invoice"/>
    <s v="99809"/>
    <x v="87"/>
    <x v="88"/>
    <x v="8"/>
    <x v="0"/>
    <n v="500"/>
  </r>
  <r>
    <s v="TRES"/>
    <s v="11"/>
    <s v="HEFTYSEEDCO"/>
    <s v="MAIN"/>
    <x v="407"/>
    <x v="6"/>
    <x v="2"/>
    <s v="Invoice"/>
    <s v="99809"/>
    <x v="166"/>
    <x v="29"/>
    <x v="26"/>
    <x v="0"/>
    <n v="1500"/>
  </r>
  <r>
    <s v="TRES"/>
    <s v="11"/>
    <s v="HEFTYSEEDCO"/>
    <s v="MAIN"/>
    <x v="407"/>
    <x v="6"/>
    <x v="2"/>
    <s v="Invoice"/>
    <s v="99809A"/>
    <x v="288"/>
    <x v="214"/>
    <x v="67"/>
    <x v="0"/>
    <n v="1500"/>
  </r>
  <r>
    <s v="CSWAFFORD"/>
    <s v="12"/>
    <s v="GOLFVENTURES"/>
    <s v="MAIN"/>
    <x v="411"/>
    <x v="6"/>
    <x v="2"/>
    <s v="Invoice"/>
    <s v="00450"/>
    <x v="364"/>
    <x v="321"/>
    <x v="96"/>
    <x v="0"/>
    <n v="60"/>
  </r>
  <r>
    <s v="CSWAFFORD"/>
    <s v="12"/>
    <s v="GOLFVENTURES"/>
    <s v="MAIN"/>
    <x v="411"/>
    <x v="6"/>
    <x v="2"/>
    <s v="Invoice"/>
    <s v="00450"/>
    <x v="3"/>
    <x v="80"/>
    <x v="2"/>
    <x v="0"/>
    <n v="60"/>
  </r>
  <r>
    <s v="CSWAFFORD"/>
    <s v="12"/>
    <s v="GOLFVENTURES"/>
    <s v="MAIN"/>
    <x v="411"/>
    <x v="6"/>
    <x v="2"/>
    <s v="Invoice"/>
    <s v="00450"/>
    <x v="249"/>
    <x v="294"/>
    <x v="70"/>
    <x v="0"/>
    <n v="60"/>
  </r>
  <r>
    <s v="CSWAFFORD"/>
    <s v="12"/>
    <s v="GOLFVENTURES"/>
    <s v="COUNTRYBOY"/>
    <x v="401"/>
    <x v="6"/>
    <x v="2"/>
    <s v="Invoice"/>
    <s v="00898"/>
    <x v="353"/>
    <x v="313"/>
    <x v="49"/>
    <x v="0"/>
    <n v="250"/>
  </r>
  <r>
    <s v="CSWAFFORD"/>
    <s v="12"/>
    <s v="GOLFVENTURES"/>
    <s v="MAIN"/>
    <x v="401"/>
    <x v="6"/>
    <x v="2"/>
    <s v="Invoice"/>
    <s v="01273"/>
    <x v="330"/>
    <x v="325"/>
    <x v="36"/>
    <x v="0"/>
    <n v="900"/>
  </r>
  <r>
    <s v="CSWAFFORD"/>
    <s v="12"/>
    <s v="GOLFVENTURES"/>
    <s v="MAIN"/>
    <x v="401"/>
    <x v="6"/>
    <x v="2"/>
    <s v="Invoice"/>
    <s v="01273"/>
    <x v="112"/>
    <x v="100"/>
    <x v="42"/>
    <x v="0"/>
    <n v="1300"/>
  </r>
  <r>
    <s v="CSWAFFORD"/>
    <s v="12"/>
    <s v="GOLFVENTURES"/>
    <s v="SOTUHERNCARE"/>
    <x v="406"/>
    <x v="6"/>
    <x v="2"/>
    <s v="Invoice"/>
    <s v="99753"/>
    <x v="353"/>
    <x v="313"/>
    <x v="49"/>
    <x v="0"/>
    <n v="250"/>
  </r>
  <r>
    <s v="CSWAFFORD"/>
    <s v="12"/>
    <s v="GOLFVENTURES"/>
    <s v="NAPLESHERITAGE"/>
    <x v="402"/>
    <x v="6"/>
    <x v="2"/>
    <s v="Invoice"/>
    <s v="99782"/>
    <x v="366"/>
    <x v="336"/>
    <x v="22"/>
    <x v="2"/>
    <n v="1.25"/>
  </r>
  <r>
    <s v="CSWAFFORD"/>
    <s v="12"/>
    <s v="GOLFVENTURES"/>
    <s v="LAWNWORX"/>
    <x v="393"/>
    <x v="6"/>
    <x v="2"/>
    <s v="Invoice"/>
    <s v="99790"/>
    <x v="353"/>
    <x v="313"/>
    <x v="49"/>
    <x v="0"/>
    <n v="275"/>
  </r>
  <r>
    <s v="CSWAFFORD"/>
    <s v="12"/>
    <s v="GOLFVENTURES"/>
    <s v="MAIN"/>
    <x v="407"/>
    <x v="6"/>
    <x v="2"/>
    <s v="Invoice"/>
    <s v="99813"/>
    <x v="370"/>
    <x v="320"/>
    <x v="63"/>
    <x v="0"/>
    <n v="10"/>
  </r>
  <r>
    <s v="CSWAFFORD"/>
    <s v="12"/>
    <s v="GOLFVENTURES"/>
    <s v="MAIN"/>
    <x v="408"/>
    <x v="6"/>
    <x v="2"/>
    <s v="Invoice"/>
    <s v="99826"/>
    <x v="339"/>
    <x v="302"/>
    <x v="70"/>
    <x v="0"/>
    <n v="60"/>
  </r>
  <r>
    <s v="CSWAFFORD"/>
    <s v="12"/>
    <s v="GOLFVENTURES"/>
    <s v="MAIN"/>
    <x v="395"/>
    <x v="6"/>
    <x v="2"/>
    <s v="Invoice"/>
    <s v="99883"/>
    <x v="3"/>
    <x v="80"/>
    <x v="2"/>
    <x v="0"/>
    <n v="5"/>
  </r>
  <r>
    <s v="CSWAFFORD"/>
    <s v="12"/>
    <s v="GOLFVENTURES"/>
    <s v="MAIN"/>
    <x v="395"/>
    <x v="6"/>
    <x v="2"/>
    <s v="Invoice"/>
    <s v="99883"/>
    <x v="16"/>
    <x v="80"/>
    <x v="2"/>
    <x v="0"/>
    <n v="30"/>
  </r>
  <r>
    <s v="CSWAFFORD"/>
    <s v="12"/>
    <s v="GOLFVENTURES"/>
    <s v="SANIBELISLAND"/>
    <x v="397"/>
    <x v="6"/>
    <x v="2"/>
    <s v="Invoice"/>
    <s v="99900"/>
    <x v="430"/>
    <x v="100"/>
    <x v="42"/>
    <x v="0"/>
    <n v="90"/>
  </r>
  <r>
    <s v="CSWAFFORD"/>
    <s v="12"/>
    <s v="GOLFVENTURES"/>
    <s v="BONITANATIONAL"/>
    <x v="413"/>
    <x v="6"/>
    <x v="2"/>
    <s v="Invoice"/>
    <s v="99915"/>
    <x v="407"/>
    <x v="350"/>
    <x v="22"/>
    <x v="2"/>
    <n v="5.0225"/>
  </r>
  <r>
    <s v="CSWAFFORD"/>
    <s v="12"/>
    <s v="GOLFVENTURES"/>
    <s v="MIAKKAGC"/>
    <x v="405"/>
    <x v="6"/>
    <x v="2"/>
    <s v="Invoice"/>
    <s v="99937A"/>
    <x v="189"/>
    <x v="103"/>
    <x v="22"/>
    <x v="2"/>
    <n v="4.5860000000000003"/>
  </r>
  <r>
    <s v="CSWAFFORD"/>
    <s v="12"/>
    <s v="GOLFVENTURES"/>
    <s v="THEYACHT&amp;CC"/>
    <x v="398"/>
    <x v="6"/>
    <x v="2"/>
    <s v="Invoice"/>
    <s v="99947"/>
    <x v="112"/>
    <x v="100"/>
    <x v="42"/>
    <x v="0"/>
    <n v="250"/>
  </r>
  <r>
    <s v="CSWAFFORD"/>
    <s v="12"/>
    <s v="GOLFVENTURES"/>
    <s v="THEYACHT&amp;CC"/>
    <x v="398"/>
    <x v="6"/>
    <x v="2"/>
    <s v="Invoice"/>
    <s v="99947"/>
    <x v="380"/>
    <x v="334"/>
    <x v="80"/>
    <x v="0"/>
    <n v="250"/>
  </r>
  <r>
    <s v="CSWAFFORD"/>
    <s v="12"/>
    <s v="GOLFVENTURES"/>
    <s v="THEYACHT&amp;CC"/>
    <x v="398"/>
    <x v="6"/>
    <x v="2"/>
    <s v="Invoice"/>
    <s v="99947"/>
    <x v="320"/>
    <x v="282"/>
    <x v="87"/>
    <x v="0"/>
    <n v="250"/>
  </r>
  <r>
    <s v="CSWAFFORD"/>
    <s v="12"/>
    <s v="GOLFVENTURES"/>
    <s v="MAIN"/>
    <x v="399"/>
    <x v="6"/>
    <x v="2"/>
    <s v="Invoice"/>
    <s v="99979"/>
    <x v="333"/>
    <x v="282"/>
    <x v="87"/>
    <x v="0"/>
    <n v="400"/>
  </r>
  <r>
    <s v="HAP"/>
    <s v="01"/>
    <s v="GREENWAY"/>
    <s v="HOUSTONOAKS"/>
    <x v="414"/>
    <x v="7"/>
    <x v="2"/>
    <s v="Invoice"/>
    <s v="03517"/>
    <x v="3"/>
    <x v="2"/>
    <x v="2"/>
    <x v="0"/>
    <n v="40"/>
  </r>
  <r>
    <s v="HAP"/>
    <s v="01"/>
    <s v="GREENWAY"/>
    <s v="HOUSTONOAKS"/>
    <x v="414"/>
    <x v="7"/>
    <x v="2"/>
    <s v="Invoice"/>
    <s v="03517"/>
    <x v="4"/>
    <x v="3"/>
    <x v="3"/>
    <x v="0"/>
    <n v="40"/>
  </r>
  <r>
    <s v="HAP"/>
    <s v="01"/>
    <s v="GREENWAY"/>
    <s v="HOUSTONOAKS"/>
    <x v="414"/>
    <x v="7"/>
    <x v="2"/>
    <s v="Invoice"/>
    <s v="03517"/>
    <x v="5"/>
    <x v="4"/>
    <x v="4"/>
    <x v="0"/>
    <n v="40"/>
  </r>
  <r>
    <s v="HAP"/>
    <s v="01"/>
    <s v="GREENWAY"/>
    <s v="HOUSTONOAKS"/>
    <x v="414"/>
    <x v="7"/>
    <x v="2"/>
    <s v="Invoice"/>
    <s v="03517"/>
    <x v="6"/>
    <x v="5"/>
    <x v="5"/>
    <x v="0"/>
    <n v="40"/>
  </r>
  <r>
    <s v="HAP"/>
    <s v="01"/>
    <s v="GREENWAY"/>
    <s v="HOUSTONOAKS"/>
    <x v="414"/>
    <x v="7"/>
    <x v="2"/>
    <s v="Invoice"/>
    <s v="03517"/>
    <x v="2"/>
    <x v="0"/>
    <x v="0"/>
    <x v="0"/>
    <n v="40"/>
  </r>
  <r>
    <s v="HAP"/>
    <s v="01"/>
    <s v="GREENWAY"/>
    <s v="WINDSOR POLO"/>
    <x v="415"/>
    <x v="7"/>
    <x v="2"/>
    <s v="Invoice"/>
    <s v="04829"/>
    <x v="1"/>
    <x v="1"/>
    <x v="1"/>
    <x v="0"/>
    <n v="55"/>
  </r>
  <r>
    <s v="HAP"/>
    <s v="01"/>
    <s v="GREENWAY"/>
    <s v="WAREHOUSE"/>
    <x v="416"/>
    <x v="7"/>
    <x v="2"/>
    <s v="Invoice"/>
    <s v="09695"/>
    <x v="90"/>
    <x v="13"/>
    <x v="13"/>
    <x v="0"/>
    <n v="5"/>
  </r>
  <r>
    <s v="HAP"/>
    <s v="01"/>
    <s v="GREENWAY"/>
    <s v="WAREHOUSE"/>
    <x v="416"/>
    <x v="7"/>
    <x v="2"/>
    <s v="Invoice"/>
    <s v="09695"/>
    <x v="3"/>
    <x v="2"/>
    <x v="2"/>
    <x v="0"/>
    <n v="60"/>
  </r>
  <r>
    <s v="HAP"/>
    <s v="01"/>
    <s v="GREENWAY"/>
    <s v="WAREHOUSE"/>
    <x v="416"/>
    <x v="7"/>
    <x v="2"/>
    <s v="Invoice"/>
    <s v="09695"/>
    <x v="8"/>
    <x v="7"/>
    <x v="7"/>
    <x v="0"/>
    <n v="60"/>
  </r>
  <r>
    <s v="HAP"/>
    <s v="01"/>
    <s v="GREENWAY"/>
    <s v="WAREHOUSE"/>
    <x v="416"/>
    <x v="7"/>
    <x v="2"/>
    <s v="Invoice"/>
    <s v="09695"/>
    <x v="10"/>
    <x v="9"/>
    <x v="9"/>
    <x v="0"/>
    <n v="60"/>
  </r>
  <r>
    <s v="HAP"/>
    <s v="01"/>
    <s v="GREENWAY"/>
    <s v="WAREHOUSE"/>
    <x v="416"/>
    <x v="7"/>
    <x v="2"/>
    <s v="Invoice"/>
    <s v="09695"/>
    <x v="5"/>
    <x v="4"/>
    <x v="4"/>
    <x v="0"/>
    <n v="120"/>
  </r>
  <r>
    <s v="HAP"/>
    <s v="01"/>
    <s v="GREENWAY"/>
    <s v="WAREHOUSE"/>
    <x v="416"/>
    <x v="7"/>
    <x v="2"/>
    <s v="Invoice"/>
    <s v="09695"/>
    <x v="22"/>
    <x v="17"/>
    <x v="17"/>
    <x v="0"/>
    <n v="60"/>
  </r>
  <r>
    <s v="HAP"/>
    <s v="01"/>
    <s v="GREENWAY"/>
    <s v="WAREHOUSE"/>
    <x v="416"/>
    <x v="7"/>
    <x v="2"/>
    <s v="Invoice"/>
    <s v="09695"/>
    <x v="6"/>
    <x v="5"/>
    <x v="5"/>
    <x v="0"/>
    <n v="120"/>
  </r>
  <r>
    <s v="HAP"/>
    <s v="01"/>
    <s v="GREENWAY"/>
    <s v="WAREHOUSE"/>
    <x v="416"/>
    <x v="7"/>
    <x v="2"/>
    <s v="Invoice"/>
    <s v="09695"/>
    <x v="2"/>
    <x v="0"/>
    <x v="0"/>
    <x v="0"/>
    <n v="120"/>
  </r>
  <r>
    <s v="HAP"/>
    <s v="01"/>
    <s v="GREENWAY"/>
    <s v="JACARANDA G C"/>
    <x v="417"/>
    <x v="7"/>
    <x v="2"/>
    <s v="Invoice"/>
    <s v="100000023"/>
    <x v="4"/>
    <x v="3"/>
    <x v="3"/>
    <x v="0"/>
    <n v="20"/>
  </r>
  <r>
    <s v="HAP"/>
    <s v="01"/>
    <s v="GREENWAY"/>
    <s v="JACARANDA G C"/>
    <x v="417"/>
    <x v="7"/>
    <x v="2"/>
    <s v="Invoice"/>
    <s v="100000023"/>
    <x v="22"/>
    <x v="17"/>
    <x v="17"/>
    <x v="0"/>
    <n v="30"/>
  </r>
  <r>
    <s v="HAP"/>
    <s v="01"/>
    <s v="GREENWAY"/>
    <s v="JACARANDA G C"/>
    <x v="417"/>
    <x v="7"/>
    <x v="2"/>
    <s v="Invoice"/>
    <s v="100000023"/>
    <x v="6"/>
    <x v="5"/>
    <x v="5"/>
    <x v="0"/>
    <n v="30"/>
  </r>
  <r>
    <s v="HAP"/>
    <s v="01"/>
    <s v="GREENWAY"/>
    <s v="ROYAL PALM GC"/>
    <x v="418"/>
    <x v="7"/>
    <x v="2"/>
    <s v="Invoice"/>
    <s v="100000091"/>
    <x v="5"/>
    <x v="4"/>
    <x v="4"/>
    <x v="0"/>
    <n v="25"/>
  </r>
  <r>
    <s v="HAP"/>
    <s v="01"/>
    <s v="GREENWAY"/>
    <s v="ROYAL PALM GC"/>
    <x v="418"/>
    <x v="7"/>
    <x v="2"/>
    <s v="Invoice"/>
    <s v="100000091"/>
    <x v="22"/>
    <x v="17"/>
    <x v="17"/>
    <x v="0"/>
    <n v="15"/>
  </r>
  <r>
    <s v="HAP"/>
    <s v="01"/>
    <s v="GREENWAY"/>
    <s v="ROYAL PALM GC"/>
    <x v="418"/>
    <x v="7"/>
    <x v="2"/>
    <s v="Invoice"/>
    <s v="100000091"/>
    <x v="6"/>
    <x v="5"/>
    <x v="5"/>
    <x v="0"/>
    <n v="15"/>
  </r>
  <r>
    <s v="HAP"/>
    <s v="01"/>
    <s v="GREENWAY"/>
    <s v="ROYAL PALM GC"/>
    <x v="418"/>
    <x v="7"/>
    <x v="2"/>
    <s v="Invoice"/>
    <s v="100000091"/>
    <x v="2"/>
    <x v="0"/>
    <x v="0"/>
    <x v="0"/>
    <n v="25"/>
  </r>
  <r>
    <s v="DAVID"/>
    <s v="02"/>
    <s v="OHARAPEST"/>
    <s v="MAILIING"/>
    <x v="414"/>
    <x v="7"/>
    <x v="2"/>
    <s v="Invoice"/>
    <s v="03937"/>
    <x v="247"/>
    <x v="76"/>
    <x v="11"/>
    <x v="0"/>
    <n v="250"/>
  </r>
  <r>
    <s v="DAVID"/>
    <s v="02"/>
    <s v="SOUTHERN"/>
    <s v="SOUTHERN AG"/>
    <x v="415"/>
    <x v="7"/>
    <x v="2"/>
    <s v="Invoice"/>
    <s v="04552"/>
    <x v="26"/>
    <x v="21"/>
    <x v="21"/>
    <x v="0"/>
    <n v="2475"/>
  </r>
  <r>
    <s v="DAVID"/>
    <s v="02"/>
    <s v="CPSFTPIE"/>
    <s v="FT. PIERCE"/>
    <x v="415"/>
    <x v="7"/>
    <x v="2"/>
    <s v="Invoice"/>
    <s v="04663"/>
    <x v="267"/>
    <x v="235"/>
    <x v="75"/>
    <x v="0"/>
    <n v="70"/>
  </r>
  <r>
    <s v="DAVID"/>
    <s v="02"/>
    <s v="CPSWACHU"/>
    <s v="WAUCHULA"/>
    <x v="419"/>
    <x v="7"/>
    <x v="2"/>
    <s v="Invoice"/>
    <s v="05782"/>
    <x v="266"/>
    <x v="234"/>
    <x v="74"/>
    <x v="0"/>
    <n v="750"/>
  </r>
  <r>
    <s v="DAVID"/>
    <s v="02"/>
    <s v="BIGEARTH"/>
    <s v="TAMPA"/>
    <x v="420"/>
    <x v="7"/>
    <x v="2"/>
    <s v="Invoice"/>
    <s v="08535"/>
    <x v="98"/>
    <x v="92"/>
    <x v="40"/>
    <x v="0"/>
    <n v="50"/>
  </r>
  <r>
    <s v="DAVID"/>
    <s v="02"/>
    <s v="EVOQUAWATER"/>
    <s v="COUNTYOFCOLLIER"/>
    <x v="421"/>
    <x v="7"/>
    <x v="2"/>
    <s v="Invoice"/>
    <s v="100000036"/>
    <x v="295"/>
    <x v="231"/>
    <x v="54"/>
    <x v="0"/>
    <n v="150"/>
  </r>
  <r>
    <s v="DAVID"/>
    <s v="02"/>
    <s v="EVOQUAWATER"/>
    <s v="MAIN"/>
    <x v="421"/>
    <x v="7"/>
    <x v="2"/>
    <s v="Invoice"/>
    <s v="100000037"/>
    <x v="160"/>
    <x v="231"/>
    <x v="54"/>
    <x v="0"/>
    <n v="360"/>
  </r>
  <r>
    <s v="DAVID"/>
    <s v="02"/>
    <s v="GULFCOAST"/>
    <s v="MAIN"/>
    <x v="422"/>
    <x v="7"/>
    <x v="2"/>
    <s v="Invoice"/>
    <s v="100000081A"/>
    <x v="330"/>
    <x v="292"/>
    <x v="36"/>
    <x v="0"/>
    <n v="1000"/>
  </r>
  <r>
    <s v="DAVID"/>
    <s v="02"/>
    <s v="OHARAPEST"/>
    <s v="MAILIING"/>
    <x v="422"/>
    <x v="7"/>
    <x v="2"/>
    <s v="Invoice"/>
    <s v="100000082"/>
    <x v="97"/>
    <x v="91"/>
    <x v="8"/>
    <x v="0"/>
    <n v="250"/>
  </r>
  <r>
    <s v="DAVID"/>
    <s v="02"/>
    <s v="EVOQUAWATER"/>
    <s v="MAIN"/>
    <x v="423"/>
    <x v="7"/>
    <x v="2"/>
    <s v="Invoice"/>
    <s v="11426"/>
    <x v="160"/>
    <x v="231"/>
    <x v="54"/>
    <x v="0"/>
    <n v="180"/>
  </r>
  <r>
    <s v="DAVID"/>
    <s v="02"/>
    <s v="FLORIDAF"/>
    <s v="FLORIDA FERTILI"/>
    <x v="424"/>
    <x v="7"/>
    <x v="2"/>
    <s v="Invoice"/>
    <s v="11912"/>
    <x v="29"/>
    <x v="24"/>
    <x v="20"/>
    <x v="1"/>
    <n v="20100"/>
  </r>
  <r>
    <s v="DAVID"/>
    <s v="02"/>
    <s v="FLORIDAGAR"/>
    <s v="GARDENSUPPLIES"/>
    <x v="424"/>
    <x v="7"/>
    <x v="2"/>
    <s v="Invoice"/>
    <s v="12651"/>
    <x v="392"/>
    <x v="341"/>
    <x v="101"/>
    <x v="0"/>
    <n v="150"/>
  </r>
  <r>
    <s v="DAVID"/>
    <s v="02"/>
    <s v="FLORIDAGAR"/>
    <s v="GARDENSUPPLIES"/>
    <x v="424"/>
    <x v="7"/>
    <x v="2"/>
    <s v="Invoice"/>
    <s v="12651"/>
    <x v="120"/>
    <x v="365"/>
    <x v="45"/>
    <x v="0"/>
    <n v="150"/>
  </r>
  <r>
    <s v="JUSTIN"/>
    <s v="03"/>
    <s v="GRIFFINF"/>
    <s v="FROSTPROOF"/>
    <x v="425"/>
    <x v="7"/>
    <x v="2"/>
    <s v="Invoice"/>
    <s v="03164"/>
    <x v="36"/>
    <x v="31"/>
    <x v="4"/>
    <x v="0"/>
    <n v="1080"/>
  </r>
  <r>
    <s v="JUSTIN"/>
    <s v="03"/>
    <s v="CPSIMMOK"/>
    <s v="IMMOKALEE"/>
    <x v="425"/>
    <x v="7"/>
    <x v="2"/>
    <s v="Invoice"/>
    <s v="03363"/>
    <x v="100"/>
    <x v="94"/>
    <x v="41"/>
    <x v="0"/>
    <n v="250"/>
  </r>
  <r>
    <s v="JUSTIN"/>
    <s v="03"/>
    <s v="CPSPARRI"/>
    <s v="PARRISH"/>
    <x v="414"/>
    <x v="7"/>
    <x v="2"/>
    <s v="Invoice"/>
    <s v="03383"/>
    <x v="5"/>
    <x v="72"/>
    <x v="4"/>
    <x v="0"/>
    <n v="180"/>
  </r>
  <r>
    <s v="JUSTIN"/>
    <s v="03"/>
    <s v="CPSWAVER"/>
    <s v="WAVERLY"/>
    <x v="419"/>
    <x v="7"/>
    <x v="2"/>
    <s v="Invoice"/>
    <s v="05165"/>
    <x v="40"/>
    <x v="35"/>
    <x v="29"/>
    <x v="0"/>
    <n v="180"/>
  </r>
  <r>
    <s v=""/>
    <s v="03"/>
    <s v="CPSMULB"/>
    <s v="UAP/MULBERRY"/>
    <x v="419"/>
    <x v="7"/>
    <x v="2"/>
    <s v="Invoice"/>
    <s v="05314"/>
    <x v="5"/>
    <x v="72"/>
    <x v="4"/>
    <x v="0"/>
    <n v="180"/>
  </r>
  <r>
    <s v="JUSTIN"/>
    <s v="03"/>
    <s v="CPSWAVER"/>
    <s v="WAVERLY"/>
    <x v="426"/>
    <x v="7"/>
    <x v="2"/>
    <s v="Invoice"/>
    <s v="06256"/>
    <x v="40"/>
    <x v="35"/>
    <x v="29"/>
    <x v="0"/>
    <n v="180"/>
  </r>
  <r>
    <s v="JUSTIN"/>
    <s v="03"/>
    <s v="CPSWAVER"/>
    <s v="WAVERLY"/>
    <x v="426"/>
    <x v="7"/>
    <x v="2"/>
    <s v="Invoice"/>
    <s v="06409"/>
    <x v="100"/>
    <x v="94"/>
    <x v="41"/>
    <x v="0"/>
    <n v="2000"/>
  </r>
  <r>
    <s v="JUSTIN"/>
    <s v="03"/>
    <s v="TRIANGLE"/>
    <s v="LAKEWALES"/>
    <x v="426"/>
    <x v="7"/>
    <x v="2"/>
    <s v="Invoice"/>
    <s v="07188"/>
    <x v="262"/>
    <x v="232"/>
    <x v="22"/>
    <x v="2"/>
    <n v="20.032499999999999"/>
  </r>
  <r>
    <s v="JUSTIN"/>
    <s v="03"/>
    <s v="CPSWACHU"/>
    <s v="WAUCHULA"/>
    <x v="427"/>
    <x v="7"/>
    <x v="2"/>
    <s v="Invoice"/>
    <s v="08146"/>
    <x v="431"/>
    <x v="171"/>
    <x v="8"/>
    <x v="0"/>
    <n v="100"/>
  </r>
  <r>
    <s v="JUSTIN"/>
    <s v="03"/>
    <s v="CPSWACHU"/>
    <s v="WAUCHULA"/>
    <x v="420"/>
    <x v="7"/>
    <x v="2"/>
    <s v="Invoice"/>
    <s v="09336"/>
    <x v="36"/>
    <x v="31"/>
    <x v="4"/>
    <x v="0"/>
    <n v="180"/>
  </r>
  <r>
    <s v="JUSTIN"/>
    <s v="03"/>
    <s v="CPSOKEE"/>
    <s v="OKEE-LIQ PLANT"/>
    <x v="416"/>
    <x v="7"/>
    <x v="2"/>
    <s v="Invoice"/>
    <s v="09589"/>
    <x v="134"/>
    <x v="94"/>
    <x v="41"/>
    <x v="0"/>
    <n v="3056.87"/>
  </r>
  <r>
    <s v="JUSTIN"/>
    <s v="03"/>
    <s v="CPSWACHU"/>
    <s v="WAUCHULA"/>
    <x v="428"/>
    <x v="7"/>
    <x v="2"/>
    <s v="Invoice"/>
    <s v="100000005"/>
    <x v="36"/>
    <x v="31"/>
    <x v="4"/>
    <x v="0"/>
    <n v="180"/>
  </r>
  <r>
    <s v="JUSTIN"/>
    <s v="03"/>
    <s v="CPSWACHU"/>
    <s v="WAUCHULA"/>
    <x v="428"/>
    <x v="7"/>
    <x v="2"/>
    <s v="Invoice"/>
    <s v="100000006"/>
    <x v="324"/>
    <x v="286"/>
    <x v="13"/>
    <x v="0"/>
    <n v="1000"/>
  </r>
  <r>
    <s v="JUSTIN"/>
    <s v="03"/>
    <s v="TRIANGLE"/>
    <s v="LAKEWALES"/>
    <x v="417"/>
    <x v="7"/>
    <x v="2"/>
    <s v="Invoice"/>
    <s v="100000016"/>
    <x v="262"/>
    <x v="232"/>
    <x v="22"/>
    <x v="2"/>
    <n v="20.07"/>
  </r>
  <r>
    <s v="JUSTIN"/>
    <s v="03"/>
    <s v="TRIANGLE"/>
    <s v="TRIANGLE/LAKEPL"/>
    <x v="417"/>
    <x v="7"/>
    <x v="2"/>
    <s v="Invoice"/>
    <s v="100000020"/>
    <x v="197"/>
    <x v="31"/>
    <x v="4"/>
    <x v="0"/>
    <n v="500"/>
  </r>
  <r>
    <s v="JUSTIN"/>
    <s v="03"/>
    <s v="GRIFFINF"/>
    <s v="FROSTPROOF"/>
    <x v="429"/>
    <x v="7"/>
    <x v="2"/>
    <s v="Invoice"/>
    <s v="100000039"/>
    <x v="36"/>
    <x v="31"/>
    <x v="4"/>
    <x v="0"/>
    <n v="2160"/>
  </r>
  <r>
    <s v="JUSTIN"/>
    <s v="03"/>
    <s v="GRIFFINF"/>
    <s v="FROSTPROOF"/>
    <x v="429"/>
    <x v="7"/>
    <x v="2"/>
    <s v="Invoice"/>
    <s v="100000039"/>
    <x v="197"/>
    <x v="31"/>
    <x v="4"/>
    <x v="0"/>
    <n v="1500"/>
  </r>
  <r>
    <s v="JUSTIN"/>
    <s v="03"/>
    <s v="CPSPARRI"/>
    <s v="PARRISH"/>
    <x v="430"/>
    <x v="7"/>
    <x v="2"/>
    <s v="Invoice"/>
    <s v="100000051"/>
    <x v="35"/>
    <x v="30"/>
    <x v="27"/>
    <x v="0"/>
    <n v="180"/>
  </r>
  <r>
    <s v="JUSTIN"/>
    <s v="03"/>
    <s v="TRIANGLE"/>
    <s v="TRIANGLE/LAKEPL"/>
    <x v="431"/>
    <x v="7"/>
    <x v="2"/>
    <s v="Invoice"/>
    <s v="100000070"/>
    <x v="100"/>
    <x v="94"/>
    <x v="41"/>
    <x v="0"/>
    <n v="2000"/>
  </r>
  <r>
    <s v="JUSTIN"/>
    <s v="03"/>
    <s v="TRIANGLE"/>
    <s v="TRIANGLE/LAKEPL"/>
    <x v="431"/>
    <x v="7"/>
    <x v="2"/>
    <s v="Invoice"/>
    <s v="100000071"/>
    <x v="100"/>
    <x v="94"/>
    <x v="41"/>
    <x v="0"/>
    <n v="1000"/>
  </r>
  <r>
    <s v="JUSTIN"/>
    <s v="03"/>
    <s v="CPSOKEE"/>
    <s v="OKEE-LIQ PLANT"/>
    <x v="422"/>
    <x v="7"/>
    <x v="2"/>
    <s v="Invoice"/>
    <s v="100000073"/>
    <x v="134"/>
    <x v="94"/>
    <x v="41"/>
    <x v="0"/>
    <n v="3033.1750000000002"/>
  </r>
  <r>
    <s v="JUSTIN"/>
    <s v="03"/>
    <s v="GRIFFINF"/>
    <s v="FROSTPROOF"/>
    <x v="422"/>
    <x v="7"/>
    <x v="2"/>
    <s v="Invoice"/>
    <s v="100000084"/>
    <x v="197"/>
    <x v="31"/>
    <x v="4"/>
    <x v="0"/>
    <n v="250"/>
  </r>
  <r>
    <s v="JUSTIN"/>
    <s v="03"/>
    <s v="GRIFFINF"/>
    <s v="PUNTAGORDA"/>
    <x v="432"/>
    <x v="7"/>
    <x v="2"/>
    <s v="Invoice"/>
    <s v="100000090"/>
    <x v="36"/>
    <x v="31"/>
    <x v="4"/>
    <x v="0"/>
    <n v="50"/>
  </r>
  <r>
    <s v="JUSTIN"/>
    <s v="03"/>
    <s v="CPSWAVER"/>
    <s v="WAVERLY"/>
    <x v="418"/>
    <x v="7"/>
    <x v="2"/>
    <s v="Invoice"/>
    <s v="100000092"/>
    <x v="191"/>
    <x v="169"/>
    <x v="61"/>
    <x v="0"/>
    <n v="360"/>
  </r>
  <r>
    <s v="JUSTIN"/>
    <s v="03"/>
    <s v="GRIFFINF"/>
    <s v="FROSTPROOF"/>
    <x v="424"/>
    <x v="7"/>
    <x v="2"/>
    <s v="Invoice"/>
    <s v="12029"/>
    <x v="5"/>
    <x v="72"/>
    <x v="4"/>
    <x v="0"/>
    <n v="120"/>
  </r>
  <r>
    <s v="DPOPPELL"/>
    <s v="04"/>
    <s v="SYDNEYFA"/>
    <s v="FORBES/NORTH"/>
    <x v="425"/>
    <x v="7"/>
    <x v="2"/>
    <s v="Invoice"/>
    <s v="02902"/>
    <x v="269"/>
    <x v="237"/>
    <x v="22"/>
    <x v="2"/>
    <n v="5.0125000000000002"/>
  </r>
  <r>
    <s v="DPOPPELL"/>
    <s v="04"/>
    <s v="FERRISFA"/>
    <s v="BLUEBERRY-NEW"/>
    <x v="425"/>
    <x v="7"/>
    <x v="2"/>
    <s v="Invoice"/>
    <s v="03020"/>
    <x v="136"/>
    <x v="111"/>
    <x v="46"/>
    <x v="0"/>
    <n v="10"/>
  </r>
  <r>
    <s v="DPOPPELL"/>
    <s v="04"/>
    <s v="SWEETLIFE"/>
    <s v="KEENE RD."/>
    <x v="425"/>
    <x v="7"/>
    <x v="2"/>
    <s v="Invoice"/>
    <s v="03045"/>
    <x v="275"/>
    <x v="242"/>
    <x v="22"/>
    <x v="2"/>
    <n v="9.0274999999999999"/>
  </r>
  <r>
    <s v="DPOPPELL"/>
    <s v="04"/>
    <s v="BONIFACIO"/>
    <s v="BONIFACIO"/>
    <x v="425"/>
    <x v="7"/>
    <x v="2"/>
    <s v="Invoice"/>
    <s v="03205"/>
    <x v="432"/>
    <x v="71"/>
    <x v="100"/>
    <x v="0"/>
    <n v="30"/>
  </r>
  <r>
    <s v="DPOPPELL"/>
    <s v="04"/>
    <s v="SYDNEYFA"/>
    <s v="FORBES ROAD"/>
    <x v="425"/>
    <x v="7"/>
    <x v="2"/>
    <s v="Invoice"/>
    <s v="03225"/>
    <x v="269"/>
    <x v="237"/>
    <x v="22"/>
    <x v="2"/>
    <n v="10.0025"/>
  </r>
  <r>
    <s v="DPOPPELL"/>
    <s v="04"/>
    <s v="CIRCLEGF&amp;R LLC"/>
    <s v="PUMP4"/>
    <x v="425"/>
    <x v="7"/>
    <x v="2"/>
    <s v="Invoice"/>
    <s v="03229A"/>
    <x v="275"/>
    <x v="242"/>
    <x v="22"/>
    <x v="2"/>
    <n v="14.5175"/>
  </r>
  <r>
    <s v="DPOPPELL"/>
    <s v="04"/>
    <s v="SRISAIAY"/>
    <s v="PASTURE"/>
    <x v="425"/>
    <x v="7"/>
    <x v="2"/>
    <s v="Invoice"/>
    <s v="03367"/>
    <x v="414"/>
    <x v="358"/>
    <x v="22"/>
    <x v="2"/>
    <n v="2.5169999999999999"/>
  </r>
  <r>
    <s v="DPOPPELL"/>
    <s v="04"/>
    <s v="M&amp;GFARMS"/>
    <s v="ONA"/>
    <x v="425"/>
    <x v="7"/>
    <x v="2"/>
    <s v="Invoice"/>
    <s v="03374"/>
    <x v="58"/>
    <x v="51"/>
    <x v="22"/>
    <x v="2"/>
    <n v="15.01"/>
  </r>
  <r>
    <s v="DPOPPELL"/>
    <s v="04"/>
    <s v="GUTIERREZA"/>
    <s v="JL"/>
    <x v="414"/>
    <x v="7"/>
    <x v="2"/>
    <s v="Invoice"/>
    <s v="03446"/>
    <x v="58"/>
    <x v="51"/>
    <x v="22"/>
    <x v="2"/>
    <n v="11.5025"/>
  </r>
  <r>
    <s v="DPOPPELL"/>
    <s v="04"/>
    <s v="GUTIERREZA"/>
    <s v="DUETTE"/>
    <x v="414"/>
    <x v="7"/>
    <x v="2"/>
    <s v="Invoice"/>
    <s v="03453"/>
    <x v="43"/>
    <x v="38"/>
    <x v="22"/>
    <x v="2"/>
    <n v="5.0199999999999996"/>
  </r>
  <r>
    <s v="DPOPPELL"/>
    <s v="04"/>
    <s v="GUTIERREZA"/>
    <s v="WASHINGTON"/>
    <x v="414"/>
    <x v="7"/>
    <x v="2"/>
    <s v="Invoice"/>
    <s v="03516"/>
    <x v="43"/>
    <x v="38"/>
    <x v="22"/>
    <x v="2"/>
    <n v="4.0025000000000004"/>
  </r>
  <r>
    <s v="DPOPPELL"/>
    <s v="04"/>
    <s v="CHANFARM"/>
    <s v="KNIGHTS GRIFFIN"/>
    <x v="414"/>
    <x v="7"/>
    <x v="2"/>
    <s v="Invoice"/>
    <s v="03561"/>
    <x v="51"/>
    <x v="44"/>
    <x v="22"/>
    <x v="2"/>
    <n v="2.5074999999999998"/>
  </r>
  <r>
    <s v="DPOPPELL"/>
    <s v="04"/>
    <s v="MIDWAYF"/>
    <s v="NURSERY"/>
    <x v="414"/>
    <x v="7"/>
    <x v="2"/>
    <s v="Invoice"/>
    <s v="03593"/>
    <x v="233"/>
    <x v="209"/>
    <x v="22"/>
    <x v="2"/>
    <n v="0.48249999999999998"/>
  </r>
  <r>
    <s v="DPOPPELL"/>
    <s v="04"/>
    <s v="SWEETLIFE"/>
    <s v="SWINDLES"/>
    <x v="414"/>
    <x v="7"/>
    <x v="2"/>
    <s v="Invoice"/>
    <s v="03617"/>
    <x v="275"/>
    <x v="242"/>
    <x v="22"/>
    <x v="2"/>
    <n v="15.012499999999999"/>
  </r>
  <r>
    <s v="DPOPPELL"/>
    <s v="04"/>
    <s v="THREESTA"/>
    <s v="WALDEN-SHEFFIEL"/>
    <x v="415"/>
    <x v="7"/>
    <x v="2"/>
    <s v="Invoice"/>
    <s v="03985"/>
    <x v="269"/>
    <x v="237"/>
    <x v="22"/>
    <x v="2"/>
    <n v="15.025"/>
  </r>
  <r>
    <s v="DPOPPELL"/>
    <s v="04"/>
    <s v="SWEETLIFE"/>
    <s v="SAMALLEN-NORTH"/>
    <x v="415"/>
    <x v="7"/>
    <x v="2"/>
    <s v="Invoice"/>
    <s v="03999"/>
    <x v="275"/>
    <x v="242"/>
    <x v="22"/>
    <x v="2"/>
    <n v="11.535"/>
  </r>
  <r>
    <s v="DPOPPELL"/>
    <s v="04"/>
    <s v="STRAWBERRYR"/>
    <s v="RANCH 1"/>
    <x v="415"/>
    <x v="7"/>
    <x v="2"/>
    <s v="Invoice"/>
    <s v="04744"/>
    <x v="269"/>
    <x v="237"/>
    <x v="22"/>
    <x v="2"/>
    <n v="15.02"/>
  </r>
  <r>
    <s v="DPOPPELL"/>
    <s v="04"/>
    <s v="STRAWBERRYR"/>
    <s v="RANCH 2"/>
    <x v="415"/>
    <x v="7"/>
    <x v="2"/>
    <s v="Invoice"/>
    <s v="05369"/>
    <x v="269"/>
    <x v="237"/>
    <x v="22"/>
    <x v="2"/>
    <n v="15.025"/>
  </r>
  <r>
    <s v="DPOPPELL"/>
    <s v="04"/>
    <s v="SWEETLIFE"/>
    <s v="BRYANT S"/>
    <x v="415"/>
    <x v="7"/>
    <x v="2"/>
    <s v="Invoice"/>
    <s v="05431"/>
    <x v="275"/>
    <x v="242"/>
    <x v="22"/>
    <x v="2"/>
    <n v="5.0149999999999997"/>
  </r>
  <r>
    <s v="DPOPPELL"/>
    <s v="04"/>
    <s v="MIDWAYF"/>
    <s v="NURSERY"/>
    <x v="415"/>
    <x v="7"/>
    <x v="2"/>
    <s v="Invoice"/>
    <s v="05440"/>
    <x v="275"/>
    <x v="242"/>
    <x v="22"/>
    <x v="2"/>
    <n v="4.26"/>
  </r>
  <r>
    <s v="DPOPPELL"/>
    <s v="04"/>
    <s v="SYDNEYFA"/>
    <s v="FORBES/NORTH"/>
    <x v="419"/>
    <x v="7"/>
    <x v="2"/>
    <s v="Invoice"/>
    <s v="05452"/>
    <x v="269"/>
    <x v="237"/>
    <x v="22"/>
    <x v="2"/>
    <n v="5.01"/>
  </r>
  <r>
    <s v="DPOPPELL"/>
    <s v="04"/>
    <s v="MIDWAYF"/>
    <s v="KNIGHTSGRIFFIN"/>
    <x v="419"/>
    <x v="7"/>
    <x v="2"/>
    <s v="Invoice"/>
    <s v="05496"/>
    <x v="275"/>
    <x v="242"/>
    <x v="22"/>
    <x v="2"/>
    <n v="5.5149999999999997"/>
  </r>
  <r>
    <s v="DPOPPELL"/>
    <s v="04"/>
    <s v="ROQUEFARMS"/>
    <s v="SWEETWATER"/>
    <x v="419"/>
    <x v="7"/>
    <x v="2"/>
    <s v="Invoice"/>
    <s v="05974"/>
    <x v="110"/>
    <x v="97"/>
    <x v="16"/>
    <x v="0"/>
    <n v="250"/>
  </r>
  <r>
    <s v="DPOPPELL"/>
    <s v="04"/>
    <s v="BERRYBLISS"/>
    <s v="JAUDONSOUTH"/>
    <x v="419"/>
    <x v="7"/>
    <x v="2"/>
    <s v="Invoice"/>
    <s v="06031"/>
    <x v="58"/>
    <x v="51"/>
    <x v="22"/>
    <x v="2"/>
    <n v="2.5099999999999998"/>
  </r>
  <r>
    <s v="DPOPPELL"/>
    <s v="04"/>
    <s v="JOSEHERN"/>
    <s v="TRAPNELL RD/E"/>
    <x v="419"/>
    <x v="7"/>
    <x v="2"/>
    <s v="Invoice"/>
    <s v="06048"/>
    <x v="55"/>
    <x v="48"/>
    <x v="22"/>
    <x v="2"/>
    <n v="2"/>
  </r>
  <r>
    <s v="DPOPPELL"/>
    <s v="04"/>
    <s v="5KFARMS"/>
    <s v="MAIN"/>
    <x v="419"/>
    <x v="7"/>
    <x v="2"/>
    <s v="Invoice"/>
    <s v="06056"/>
    <x v="136"/>
    <x v="111"/>
    <x v="46"/>
    <x v="0"/>
    <n v="10"/>
  </r>
  <r>
    <s v="DPOPPELL"/>
    <s v="04"/>
    <s v="MIKELOTT"/>
    <s v="HILLSBOROUGH/E"/>
    <x v="419"/>
    <x v="7"/>
    <x v="2"/>
    <s v="Invoice"/>
    <s v="06058"/>
    <x v="150"/>
    <x v="130"/>
    <x v="22"/>
    <x v="2"/>
    <n v="5.0225"/>
  </r>
  <r>
    <s v="DPOPPELL"/>
    <s v="04"/>
    <s v="MIDWAYF"/>
    <s v="FORBES"/>
    <x v="419"/>
    <x v="7"/>
    <x v="2"/>
    <s v="Invoice"/>
    <s v="06111"/>
    <x v="275"/>
    <x v="242"/>
    <x v="22"/>
    <x v="2"/>
    <n v="7.2675000000000001"/>
  </r>
  <r>
    <s v="DPOPPELL"/>
    <s v="04"/>
    <s v="JOEPENA"/>
    <s v="HWY 92"/>
    <x v="426"/>
    <x v="7"/>
    <x v="2"/>
    <s v="Invoice"/>
    <s v="06437"/>
    <x v="53"/>
    <x v="46"/>
    <x v="22"/>
    <x v="2"/>
    <n v="1"/>
  </r>
  <r>
    <s v="DPOPPELL"/>
    <s v="04"/>
    <s v="ROQUEFARMS"/>
    <s v="SWEETWATER"/>
    <x v="426"/>
    <x v="7"/>
    <x v="2"/>
    <s v="Invoice"/>
    <s v="06454"/>
    <x v="43"/>
    <x v="38"/>
    <x v="22"/>
    <x v="2"/>
    <n v="5"/>
  </r>
  <r>
    <s v="DPOPPELL"/>
    <s v="04"/>
    <s v="SYDNEYFA"/>
    <s v="FORBES ROAD"/>
    <x v="426"/>
    <x v="7"/>
    <x v="2"/>
    <s v="Invoice"/>
    <s v="07193"/>
    <x v="269"/>
    <x v="237"/>
    <x v="22"/>
    <x v="2"/>
    <n v="2.5099999999999998"/>
  </r>
  <r>
    <s v="DPOPPELL"/>
    <s v="04"/>
    <s v="MIDWAYF"/>
    <s v="ALS - NORTH"/>
    <x v="426"/>
    <x v="7"/>
    <x v="2"/>
    <s v="Invoice"/>
    <s v="07246"/>
    <x v="275"/>
    <x v="242"/>
    <x v="22"/>
    <x v="2"/>
    <n v="3.51"/>
  </r>
  <r>
    <s v="DPOPPELL"/>
    <s v="04"/>
    <s v="SYDNEYFA"/>
    <s v="FORBES/NORTH"/>
    <x v="426"/>
    <x v="7"/>
    <x v="2"/>
    <s v="Invoice"/>
    <s v="07325"/>
    <x v="269"/>
    <x v="237"/>
    <x v="22"/>
    <x v="2"/>
    <n v="3.11"/>
  </r>
  <r>
    <s v="DPOPPELL"/>
    <s v="04"/>
    <s v="FAVORITE"/>
    <s v="MCINTOSH ROAD"/>
    <x v="427"/>
    <x v="7"/>
    <x v="2"/>
    <s v="Invoice"/>
    <s v="07644"/>
    <x v="77"/>
    <x v="37"/>
    <x v="30"/>
    <x v="0"/>
    <n v="30"/>
  </r>
  <r>
    <s v="DPOPPELL"/>
    <s v="04"/>
    <s v="SANCHEZFARM"/>
    <s v="FORBES RD/SOUTH"/>
    <x v="427"/>
    <x v="7"/>
    <x v="2"/>
    <s v="Invoice"/>
    <s v="07820"/>
    <x v="43"/>
    <x v="38"/>
    <x v="22"/>
    <x v="2"/>
    <n v="1.9875"/>
  </r>
  <r>
    <s v="DPOPPELL"/>
    <s v="04"/>
    <s v="MIDWAYF"/>
    <s v="SAMALLEN"/>
    <x v="427"/>
    <x v="7"/>
    <x v="2"/>
    <s v="Invoice"/>
    <s v="07830"/>
    <x v="275"/>
    <x v="242"/>
    <x v="22"/>
    <x v="2"/>
    <n v="2.5299999999999998"/>
  </r>
  <r>
    <s v="DPOPPELL"/>
    <s v="04"/>
    <s v="GUTIERREZDAN"/>
    <s v="TANNER RD."/>
    <x v="427"/>
    <x v="7"/>
    <x v="2"/>
    <s v="Invoice"/>
    <s v="08134"/>
    <x v="73"/>
    <x v="66"/>
    <x v="22"/>
    <x v="2"/>
    <n v="14.307499999999999"/>
  </r>
  <r>
    <s v="DPOPPELL"/>
    <s v="04"/>
    <s v="IFASGULF"/>
    <s v="BALM-STRAWBERRY"/>
    <x v="427"/>
    <x v="7"/>
    <x v="2"/>
    <s v="Invoice"/>
    <s v="08440"/>
    <x v="28"/>
    <x v="23"/>
    <x v="22"/>
    <x v="2"/>
    <n v="7.5324999999999998"/>
  </r>
  <r>
    <s v="DPOPPELL"/>
    <s v="04"/>
    <s v="BAYSIDE"/>
    <s v="MAIN"/>
    <x v="420"/>
    <x v="7"/>
    <x v="2"/>
    <s v="Invoice"/>
    <s v="08621"/>
    <x v="111"/>
    <x v="99"/>
    <x v="22"/>
    <x v="2"/>
    <n v="0.25"/>
  </r>
  <r>
    <s v="DPOPPELL"/>
    <s v="04"/>
    <s v="WILLIAMSTIM"/>
    <s v="MAIN"/>
    <x v="427"/>
    <x v="7"/>
    <x v="2"/>
    <s v="Invoice"/>
    <s v="09165"/>
    <x v="223"/>
    <x v="19"/>
    <x v="19"/>
    <x v="0"/>
    <n v="2.5"/>
  </r>
  <r>
    <s v="DPOPPELL"/>
    <s v="04"/>
    <s v="SYDNEYFA"/>
    <s v="SYDNEY-WASHER"/>
    <x v="420"/>
    <x v="7"/>
    <x v="2"/>
    <s v="Invoice"/>
    <s v="09272"/>
    <x v="269"/>
    <x v="237"/>
    <x v="22"/>
    <x v="2"/>
    <n v="5.0119999999999996"/>
  </r>
  <r>
    <s v="DPOPPELL"/>
    <s v="04"/>
    <s v="M&amp;GFARMS"/>
    <s v="COUNTY LINE RD"/>
    <x v="420"/>
    <x v="7"/>
    <x v="2"/>
    <s v="Invoice"/>
    <s v="09414"/>
    <x v="58"/>
    <x v="51"/>
    <x v="22"/>
    <x v="2"/>
    <n v="2.5"/>
  </r>
  <r>
    <s v="DPOPPELL"/>
    <s v="04"/>
    <s v="M&amp;GFARMS"/>
    <s v="SWEATTLP"/>
    <x v="420"/>
    <x v="7"/>
    <x v="2"/>
    <s v="Invoice"/>
    <s v="09419"/>
    <x v="58"/>
    <x v="51"/>
    <x v="22"/>
    <x v="2"/>
    <n v="5"/>
  </r>
  <r>
    <s v="DPOPPELL"/>
    <s v="04"/>
    <s v="THREESTA"/>
    <s v="WALDEN-SHEFFIEL"/>
    <x v="420"/>
    <x v="7"/>
    <x v="2"/>
    <s v="Invoice"/>
    <s v="09535"/>
    <x v="269"/>
    <x v="237"/>
    <x v="22"/>
    <x v="2"/>
    <n v="12.535"/>
  </r>
  <r>
    <s v="DPOPPELL"/>
    <s v="04"/>
    <s v="FILEMONMARTINEZ"/>
    <s v="MAILING"/>
    <x v="416"/>
    <x v="7"/>
    <x v="2"/>
    <s v="Invoice"/>
    <s v="09640"/>
    <x v="43"/>
    <x v="38"/>
    <x v="22"/>
    <x v="2"/>
    <n v="1.5"/>
  </r>
  <r>
    <s v="DPOPPELL"/>
    <s v="04"/>
    <s v="CIRCLEGF&amp;R LLC"/>
    <s v="KNIGHTS-N-#16"/>
    <x v="428"/>
    <x v="7"/>
    <x v="2"/>
    <s v="Invoice"/>
    <s v="100000003"/>
    <x v="275"/>
    <x v="242"/>
    <x v="22"/>
    <x v="2"/>
    <n v="9.0075000000000003"/>
  </r>
  <r>
    <s v="DPOPPELL"/>
    <s v="04"/>
    <s v="THREESTA"/>
    <s v="WALDEN-SHEFFIEL"/>
    <x v="428"/>
    <x v="7"/>
    <x v="2"/>
    <s v="Invoice"/>
    <s v="100000007"/>
    <x v="269"/>
    <x v="237"/>
    <x v="22"/>
    <x v="2"/>
    <n v="12.025"/>
  </r>
  <r>
    <s v="DPOPPELL"/>
    <s v="04"/>
    <s v="THREESTA"/>
    <s v="WALDEN-SHEFFIEL"/>
    <x v="428"/>
    <x v="7"/>
    <x v="2"/>
    <s v="Invoice"/>
    <s v="100000008"/>
    <x v="269"/>
    <x v="237"/>
    <x v="22"/>
    <x v="2"/>
    <n v="2.5125000000000002"/>
  </r>
  <r>
    <s v="DPOPPELL"/>
    <s v="04"/>
    <s v="TRUEALGAE"/>
    <s v="MAILIING"/>
    <x v="417"/>
    <x v="7"/>
    <x v="2"/>
    <s v="Invoice"/>
    <s v="100000014"/>
    <x v="32"/>
    <x v="246"/>
    <x v="25"/>
    <x v="0"/>
    <n v="192.5"/>
  </r>
  <r>
    <s v="DPOPPELL"/>
    <s v="04"/>
    <s v="MIDWAYF"/>
    <s v="FRAZIER"/>
    <x v="417"/>
    <x v="7"/>
    <x v="2"/>
    <s v="Invoice"/>
    <s v="100000017"/>
    <x v="275"/>
    <x v="242"/>
    <x v="22"/>
    <x v="2"/>
    <n v="1.0149999999999999"/>
  </r>
  <r>
    <s v="DPOPPELL"/>
    <s v="04"/>
    <s v="GUTIERREZA"/>
    <s v="JOE KING RD"/>
    <x v="417"/>
    <x v="7"/>
    <x v="2"/>
    <s v="Invoice"/>
    <s v="100000018"/>
    <x v="58"/>
    <x v="51"/>
    <x v="22"/>
    <x v="2"/>
    <n v="1.98"/>
  </r>
  <r>
    <s v="DPOPPELL"/>
    <s v="04"/>
    <s v="GUTIERREZA"/>
    <s v="WASHINGTON"/>
    <x v="417"/>
    <x v="7"/>
    <x v="2"/>
    <s v="Invoice"/>
    <s v="100000019"/>
    <x v="43"/>
    <x v="38"/>
    <x v="22"/>
    <x v="2"/>
    <n v="4.0075000000000003"/>
  </r>
  <r>
    <s v="DPOPPELL"/>
    <s v="04"/>
    <s v="FCFARMS"/>
    <s v="GALLAGHER"/>
    <x v="417"/>
    <x v="7"/>
    <x v="2"/>
    <s v="Invoice"/>
    <s v="100000024"/>
    <x v="58"/>
    <x v="51"/>
    <x v="22"/>
    <x v="2"/>
    <n v="2"/>
  </r>
  <r>
    <s v="DPOPPELL"/>
    <s v="04"/>
    <s v="PALMAJOSE"/>
    <s v="JAUDON RD"/>
    <x v="417"/>
    <x v="7"/>
    <x v="2"/>
    <s v="Invoice"/>
    <s v="100000025"/>
    <x v="63"/>
    <x v="56"/>
    <x v="22"/>
    <x v="2"/>
    <n v="1"/>
  </r>
  <r>
    <s v="DPOPPELL"/>
    <s v="04"/>
    <s v="SWEETLIFE"/>
    <s v="SWINDLES"/>
    <x v="421"/>
    <x v="7"/>
    <x v="2"/>
    <s v="Invoice"/>
    <s v="100000028"/>
    <x v="275"/>
    <x v="242"/>
    <x v="22"/>
    <x v="2"/>
    <n v="12.52"/>
  </r>
  <r>
    <s v="DPOPPELL"/>
    <s v="04"/>
    <s v="FAVORITE"/>
    <s v="MCINTOSH ROAD"/>
    <x v="421"/>
    <x v="7"/>
    <x v="2"/>
    <s v="Invoice"/>
    <s v="100000030"/>
    <x v="59"/>
    <x v="52"/>
    <x v="22"/>
    <x v="2"/>
    <n v="3.0074999999999998"/>
  </r>
  <r>
    <s v="DPOPPELL"/>
    <s v="04"/>
    <s v="GUTIERREZA"/>
    <s v="DUETTE"/>
    <x v="421"/>
    <x v="7"/>
    <x v="2"/>
    <s v="Invoice"/>
    <s v="100000031"/>
    <x v="275"/>
    <x v="242"/>
    <x v="22"/>
    <x v="2"/>
    <n v="2.5049999999999999"/>
  </r>
  <r>
    <s v="DPOPPELL"/>
    <s v="04"/>
    <s v="MIDWAYF"/>
    <s v="FORBES"/>
    <x v="421"/>
    <x v="7"/>
    <x v="2"/>
    <s v="Invoice"/>
    <s v="100000032"/>
    <x v="275"/>
    <x v="242"/>
    <x v="22"/>
    <x v="2"/>
    <n v="3.5049999999999999"/>
  </r>
  <r>
    <s v="DPOPPELL"/>
    <s v="04"/>
    <s v="SWEETLIFE"/>
    <s v="BRYANT S"/>
    <x v="421"/>
    <x v="7"/>
    <x v="2"/>
    <s v="Invoice"/>
    <s v="100000033"/>
    <x v="275"/>
    <x v="242"/>
    <x v="22"/>
    <x v="2"/>
    <n v="4.0199999999999996"/>
  </r>
  <r>
    <s v="DPOPPELL"/>
    <s v="04"/>
    <s v="MIDWAYF"/>
    <s v="WILDER RD."/>
    <x v="421"/>
    <x v="7"/>
    <x v="2"/>
    <s v="Invoice"/>
    <s v="100000034"/>
    <x v="275"/>
    <x v="242"/>
    <x v="22"/>
    <x v="2"/>
    <n v="2.0074999999999998"/>
  </r>
  <r>
    <s v="DPOPPELL"/>
    <s v="04"/>
    <s v="PALMAJOSE"/>
    <s v="MAIN"/>
    <x v="421"/>
    <x v="7"/>
    <x v="2"/>
    <s v="Invoice"/>
    <s v="100000038"/>
    <x v="240"/>
    <x v="71"/>
    <x v="100"/>
    <x v="0"/>
    <n v="5"/>
  </r>
  <r>
    <s v="DPOPPELL"/>
    <s v="04"/>
    <s v="PALMAJOSE"/>
    <s v="MAIN"/>
    <x v="421"/>
    <x v="7"/>
    <x v="2"/>
    <s v="Invoice"/>
    <s v="100000038"/>
    <x v="5"/>
    <x v="72"/>
    <x v="4"/>
    <x v="0"/>
    <n v="5"/>
  </r>
  <r>
    <s v="DPOPPELL"/>
    <s v="04"/>
    <s v="MIDWAYF"/>
    <s v="EKNIGHTS"/>
    <x v="429"/>
    <x v="7"/>
    <x v="2"/>
    <s v="Invoice"/>
    <s v="100000040"/>
    <x v="275"/>
    <x v="242"/>
    <x v="22"/>
    <x v="2"/>
    <n v="1"/>
  </r>
  <r>
    <s v="DPOPPELL"/>
    <s v="04"/>
    <s v="CHARLIEG-LLC"/>
    <s v="DAIRY"/>
    <x v="429"/>
    <x v="7"/>
    <x v="2"/>
    <s v="Invoice"/>
    <s v="100000041"/>
    <x v="275"/>
    <x v="242"/>
    <x v="22"/>
    <x v="2"/>
    <n v="2.5024999999999999"/>
  </r>
  <r>
    <s v="DPOPPELL"/>
    <s v="04"/>
    <s v="SWEETLIFE"/>
    <s v="SAMALLEN-SOUTH"/>
    <x v="429"/>
    <x v="7"/>
    <x v="2"/>
    <s v="Invoice"/>
    <s v="100000042"/>
    <x v="275"/>
    <x v="242"/>
    <x v="22"/>
    <x v="2"/>
    <n v="8.51"/>
  </r>
  <r>
    <s v="DPOPPELL"/>
    <s v="04"/>
    <s v="MIDWAYF"/>
    <s v="KNIGHTSGRIFFIN"/>
    <x v="429"/>
    <x v="7"/>
    <x v="2"/>
    <s v="Invoice"/>
    <s v="100000043"/>
    <x v="275"/>
    <x v="242"/>
    <x v="22"/>
    <x v="2"/>
    <n v="5.5125000000000002"/>
  </r>
  <r>
    <s v="DPOPPELL"/>
    <s v="04"/>
    <s v="GUTIERREZDAN"/>
    <s v="TANNER RD."/>
    <x v="429"/>
    <x v="7"/>
    <x v="2"/>
    <s v="Invoice"/>
    <s v="100000045"/>
    <x v="73"/>
    <x v="66"/>
    <x v="22"/>
    <x v="2"/>
    <n v="10.0075"/>
  </r>
  <r>
    <s v="DPOPPELL"/>
    <s v="04"/>
    <s v="LARRYENN"/>
    <s v="TRAPNELL ROAD"/>
    <x v="429"/>
    <x v="7"/>
    <x v="2"/>
    <s v="Invoice"/>
    <s v="100000046"/>
    <x v="43"/>
    <x v="38"/>
    <x v="22"/>
    <x v="2"/>
    <n v="3.0024999999999999"/>
  </r>
  <r>
    <s v="DPOPPELL"/>
    <s v="04"/>
    <s v="STRAWBERRYR"/>
    <s v="RANCH 1"/>
    <x v="430"/>
    <x v="7"/>
    <x v="2"/>
    <s v="Invoice"/>
    <s v="100000047"/>
    <x v="433"/>
    <x v="366"/>
    <x v="22"/>
    <x v="2"/>
    <n v="15.01"/>
  </r>
  <r>
    <s v="DPOPPELL"/>
    <s v="04"/>
    <s v="FLORIDAAG"/>
    <s v="KINGSWAY"/>
    <x v="430"/>
    <x v="7"/>
    <x v="2"/>
    <s v="Invoice"/>
    <s v="100000049"/>
    <x v="326"/>
    <x v="289"/>
    <x v="22"/>
    <x v="2"/>
    <n v="2.25"/>
  </r>
  <r>
    <s v="DPOPPELL"/>
    <s v="04"/>
    <s v="STRAWBERRYR"/>
    <s v="RANCH 2"/>
    <x v="430"/>
    <x v="7"/>
    <x v="2"/>
    <s v="Invoice"/>
    <s v="100000050"/>
    <x v="433"/>
    <x v="366"/>
    <x v="22"/>
    <x v="2"/>
    <n v="9.99"/>
  </r>
  <r>
    <s v="DPOPPELL"/>
    <s v="04"/>
    <s v="JOSEHERN"/>
    <s v="KEYSVILLE N"/>
    <x v="430"/>
    <x v="7"/>
    <x v="2"/>
    <s v="Invoice"/>
    <s v="100000052"/>
    <x v="55"/>
    <x v="48"/>
    <x v="22"/>
    <x v="2"/>
    <n v="3"/>
  </r>
  <r>
    <s v="DPOPPELL"/>
    <s v="04"/>
    <s v="JOSEHERN"/>
    <s v="KEYSVILLE N"/>
    <x v="430"/>
    <x v="7"/>
    <x v="2"/>
    <s v="Invoice"/>
    <s v="100000053"/>
    <x v="43"/>
    <x v="38"/>
    <x v="22"/>
    <x v="2"/>
    <n v="2"/>
  </r>
  <r>
    <s v=""/>
    <s v="04"/>
    <s v="LITTLECA"/>
    <s v="MAILIING"/>
    <x v="433"/>
    <x v="7"/>
    <x v="2"/>
    <s v="Invoice"/>
    <s v="100000055"/>
    <x v="5"/>
    <x v="72"/>
    <x v="4"/>
    <x v="0"/>
    <n v="5"/>
  </r>
  <r>
    <s v="DPOPPELL"/>
    <s v="04"/>
    <s v="GUTIERREZA"/>
    <s v="DUETTE"/>
    <x v="433"/>
    <x v="7"/>
    <x v="2"/>
    <s v="Invoice"/>
    <s v="100000056"/>
    <x v="275"/>
    <x v="242"/>
    <x v="22"/>
    <x v="2"/>
    <n v="5"/>
  </r>
  <r>
    <s v="DPOPPELL"/>
    <s v="04"/>
    <s v="THREESTA"/>
    <s v="WALDEN-SHEFFIEL"/>
    <x v="434"/>
    <x v="7"/>
    <x v="2"/>
    <s v="Invoice"/>
    <s v="100000058"/>
    <x v="269"/>
    <x v="237"/>
    <x v="22"/>
    <x v="2"/>
    <n v="7.5250000000000004"/>
  </r>
  <r>
    <s v="DPOPPELL"/>
    <s v="04"/>
    <s v="IFASGULF"/>
    <s v="BALM-STRAWBERRY"/>
    <x v="434"/>
    <x v="7"/>
    <x v="2"/>
    <s v="Invoice"/>
    <s v="100000059"/>
    <x v="28"/>
    <x v="23"/>
    <x v="22"/>
    <x v="2"/>
    <n v="5.0225"/>
  </r>
  <r>
    <s v="DPOPPELL"/>
    <s v="04"/>
    <s v="SYDNEYFA"/>
    <s v="FORBES ROAD"/>
    <x v="434"/>
    <x v="7"/>
    <x v="2"/>
    <s v="Invoice"/>
    <s v="100000060"/>
    <x v="269"/>
    <x v="237"/>
    <x v="22"/>
    <x v="2"/>
    <n v="4.9974999999999996"/>
  </r>
  <r>
    <s v="DPOPPELL"/>
    <s v="04"/>
    <s v="SOTERO"/>
    <s v="SOTERO"/>
    <x v="434"/>
    <x v="7"/>
    <x v="2"/>
    <s v="Invoice"/>
    <s v="100000062"/>
    <x v="146"/>
    <x v="103"/>
    <x v="43"/>
    <x v="0"/>
    <n v="5"/>
  </r>
  <r>
    <s v="DPOPPELL"/>
    <s v="04"/>
    <s v="CHARLIEG-LLC"/>
    <s v="DAIRY"/>
    <x v="422"/>
    <x v="7"/>
    <x v="2"/>
    <s v="Invoice"/>
    <s v="100000074"/>
    <x v="275"/>
    <x v="242"/>
    <x v="22"/>
    <x v="2"/>
    <n v="2.0024999999999999"/>
  </r>
  <r>
    <s v="DPOPPELL"/>
    <s v="04"/>
    <s v="CIRCLEGF&amp;R LLC"/>
    <s v="PUMP4"/>
    <x v="422"/>
    <x v="7"/>
    <x v="2"/>
    <s v="Invoice"/>
    <s v="100000076"/>
    <x v="434"/>
    <x v="367"/>
    <x v="22"/>
    <x v="2"/>
    <n v="3.5024999999999999"/>
  </r>
  <r>
    <s v="DPOPPELL"/>
    <s v="04"/>
    <s v="MIDWAYF"/>
    <s v="ALS - NORTH"/>
    <x v="422"/>
    <x v="7"/>
    <x v="2"/>
    <s v="Invoice"/>
    <s v="100000077"/>
    <x v="434"/>
    <x v="367"/>
    <x v="22"/>
    <x v="2"/>
    <n v="4.0149999999999997"/>
  </r>
  <r>
    <s v="DPOPPELL"/>
    <s v="04"/>
    <s v="BONIFACIO"/>
    <s v="PANDORA"/>
    <x v="422"/>
    <x v="7"/>
    <x v="2"/>
    <s v="Invoice"/>
    <s v="100000078"/>
    <x v="63"/>
    <x v="56"/>
    <x v="22"/>
    <x v="2"/>
    <n v="2.4980000000000002"/>
  </r>
  <r>
    <s v="DPOPPELL"/>
    <s v="04"/>
    <s v="ROQUEFARMS"/>
    <s v="MEEKHORIZON"/>
    <x v="422"/>
    <x v="7"/>
    <x v="2"/>
    <s v="Invoice"/>
    <s v="100000079"/>
    <x v="43"/>
    <x v="38"/>
    <x v="22"/>
    <x v="2"/>
    <n v="5"/>
  </r>
  <r>
    <s v="DPOPPELL"/>
    <s v="04"/>
    <s v="FERRISFA"/>
    <s v="BLUEBERRY-NEW"/>
    <x v="422"/>
    <x v="7"/>
    <x v="2"/>
    <s v="Invoice"/>
    <s v="100000080"/>
    <x v="435"/>
    <x v="368"/>
    <x v="22"/>
    <x v="2"/>
    <n v="15.025"/>
  </r>
  <r>
    <s v="DPOPPELL"/>
    <s v="04"/>
    <s v="PARKESDA"/>
    <s v="BLACKBERRIES"/>
    <x v="432"/>
    <x v="7"/>
    <x v="2"/>
    <s v="Invoice"/>
    <s v="100000089"/>
    <x v="69"/>
    <x v="62"/>
    <x v="22"/>
    <x v="2"/>
    <n v="1.25"/>
  </r>
  <r>
    <s v="DPOPPELL"/>
    <s v="04"/>
    <s v="BUTTSKARL"/>
    <s v="MAIN"/>
    <x v="418"/>
    <x v="7"/>
    <x v="2"/>
    <s v="Invoice"/>
    <s v="100000096"/>
    <x v="114"/>
    <x v="101"/>
    <x v="22"/>
    <x v="2"/>
    <n v="2.5"/>
  </r>
  <r>
    <s v="DPOPPELL"/>
    <s v="04"/>
    <s v="MIDWAYF"/>
    <s v="NURSERY"/>
    <x v="416"/>
    <x v="7"/>
    <x v="2"/>
    <s v="Invoice"/>
    <s v="10023"/>
    <x v="275"/>
    <x v="242"/>
    <x v="22"/>
    <x v="2"/>
    <n v="3.5375000000000001"/>
  </r>
  <r>
    <s v="DPOPPELL"/>
    <s v="04"/>
    <s v="PARKESDA"/>
    <s v="HILL"/>
    <x v="416"/>
    <x v="7"/>
    <x v="2"/>
    <s v="Invoice"/>
    <s v="10029"/>
    <x v="65"/>
    <x v="58"/>
    <x v="22"/>
    <x v="2"/>
    <n v="5.0125000000000002"/>
  </r>
  <r>
    <s v="DPOPPELL"/>
    <s v="04"/>
    <s v="BONIFACIO"/>
    <s v="BONIFACIO"/>
    <x v="423"/>
    <x v="7"/>
    <x v="2"/>
    <s v="Invoice"/>
    <s v="10133"/>
    <x v="5"/>
    <x v="72"/>
    <x v="4"/>
    <x v="0"/>
    <n v="10"/>
  </r>
  <r>
    <s v="DPOPPELL"/>
    <s v="04"/>
    <s v="BONIFACIO"/>
    <s v="BONIFACIO"/>
    <x v="423"/>
    <x v="7"/>
    <x v="2"/>
    <s v="Invoice"/>
    <s v="10278"/>
    <x v="77"/>
    <x v="37"/>
    <x v="30"/>
    <x v="0"/>
    <n v="30"/>
  </r>
  <r>
    <s v="DPOPPELL"/>
    <s v="04"/>
    <s v="SYDNEYFA"/>
    <s v="FORBES ROAD"/>
    <x v="423"/>
    <x v="7"/>
    <x v="2"/>
    <s v="Invoice"/>
    <s v="10955"/>
    <x v="269"/>
    <x v="237"/>
    <x v="22"/>
    <x v="2"/>
    <n v="7.5"/>
  </r>
  <r>
    <s v="DPOPPELL"/>
    <s v="04"/>
    <s v="SYDNEYFA"/>
    <s v="FORBES/NORTH"/>
    <x v="423"/>
    <x v="7"/>
    <x v="2"/>
    <s v="Invoice"/>
    <s v="10963"/>
    <x v="269"/>
    <x v="237"/>
    <x v="22"/>
    <x v="2"/>
    <n v="7.5"/>
  </r>
  <r>
    <s v="DPOPPELL"/>
    <s v="04"/>
    <s v="JOEPENA"/>
    <s v="JIMREDMAN"/>
    <x v="423"/>
    <x v="7"/>
    <x v="2"/>
    <s v="Invoice"/>
    <s v="11034"/>
    <x v="55"/>
    <x v="48"/>
    <x v="22"/>
    <x v="2"/>
    <n v="1"/>
  </r>
  <r>
    <s v="DPOPPELL"/>
    <s v="04"/>
    <s v="SOUTHERNHILL"/>
    <s v="SCHOFIELD"/>
    <x v="423"/>
    <x v="7"/>
    <x v="2"/>
    <s v="Invoice"/>
    <s v="11039"/>
    <x v="47"/>
    <x v="41"/>
    <x v="22"/>
    <x v="2"/>
    <n v="2.5024999999999999"/>
  </r>
  <r>
    <s v="DPOPPELL"/>
    <s v="04"/>
    <s v="CENFLO ORGANICS"/>
    <s v="MCINTOSH"/>
    <x v="423"/>
    <x v="7"/>
    <x v="2"/>
    <s v="Invoice"/>
    <s v="11061"/>
    <x v="65"/>
    <x v="58"/>
    <x v="22"/>
    <x v="2"/>
    <n v="4.0250000000000004"/>
  </r>
  <r>
    <s v="DPOPPELL"/>
    <s v="04"/>
    <s v="FLORIDAAG"/>
    <s v="KINGSWAY"/>
    <x v="423"/>
    <x v="7"/>
    <x v="2"/>
    <s v="Invoice"/>
    <s v="11199"/>
    <x v="326"/>
    <x v="289"/>
    <x v="22"/>
    <x v="2"/>
    <n v="2.2524999999999999"/>
  </r>
  <r>
    <s v="DPOPPELL"/>
    <s v="04"/>
    <s v="CHARLIEG-LLC"/>
    <s v="DAIRY"/>
    <x v="423"/>
    <x v="7"/>
    <x v="2"/>
    <s v="Invoice"/>
    <s v="11329"/>
    <x v="275"/>
    <x v="242"/>
    <x v="22"/>
    <x v="2"/>
    <n v="3.0024999999999999"/>
  </r>
  <r>
    <s v="DPOPPELL"/>
    <s v="04"/>
    <s v="ROQUEFARMS"/>
    <s v="MEEKHORIZON"/>
    <x v="423"/>
    <x v="7"/>
    <x v="2"/>
    <s v="Invoice"/>
    <s v="11357"/>
    <x v="43"/>
    <x v="38"/>
    <x v="22"/>
    <x v="2"/>
    <n v="4"/>
  </r>
  <r>
    <s v="DPOPPELL"/>
    <s v="04"/>
    <s v="STRAWBERRYR"/>
    <s v="RANCH 4"/>
    <x v="423"/>
    <x v="7"/>
    <x v="2"/>
    <s v="Invoice"/>
    <s v="11505"/>
    <x v="269"/>
    <x v="237"/>
    <x v="22"/>
    <x v="2"/>
    <n v="15.03"/>
  </r>
  <r>
    <s v="DPOPPELL"/>
    <s v="04"/>
    <s v="BONIFACIO"/>
    <s v="PANDORA"/>
    <x v="423"/>
    <x v="7"/>
    <x v="2"/>
    <s v="Invoice"/>
    <s v="11531"/>
    <x v="63"/>
    <x v="56"/>
    <x v="22"/>
    <x v="2"/>
    <n v="1.25"/>
  </r>
  <r>
    <s v="DPOPPELL"/>
    <s v="04"/>
    <s v="STRAWBERRYR"/>
    <s v="RANCH 2"/>
    <x v="424"/>
    <x v="7"/>
    <x v="2"/>
    <s v="Invoice"/>
    <s v="11555"/>
    <x v="269"/>
    <x v="237"/>
    <x v="22"/>
    <x v="2"/>
    <n v="15.0175"/>
  </r>
  <r>
    <s v="DPOPPELL"/>
    <s v="04"/>
    <s v="TWINFARMS"/>
    <s v="DAD WELDON RD"/>
    <x v="424"/>
    <x v="7"/>
    <x v="2"/>
    <s v="Invoice"/>
    <s v="12017"/>
    <x v="53"/>
    <x v="46"/>
    <x v="22"/>
    <x v="2"/>
    <n v="1"/>
  </r>
  <r>
    <s v=""/>
    <s v="04"/>
    <s v="SOTERO"/>
    <s v="SOTERO"/>
    <x v="424"/>
    <x v="7"/>
    <x v="2"/>
    <s v="Invoice"/>
    <s v="12044"/>
    <x v="53"/>
    <x v="46"/>
    <x v="22"/>
    <x v="2"/>
    <n v="0.75"/>
  </r>
  <r>
    <s v=""/>
    <s v="04"/>
    <s v="GARCIAFARMS"/>
    <s v="MAIN"/>
    <x v="424"/>
    <x v="7"/>
    <x v="2"/>
    <s v="Invoice"/>
    <s v="12228"/>
    <x v="58"/>
    <x v="51"/>
    <x v="22"/>
    <x v="2"/>
    <n v="5"/>
  </r>
  <r>
    <s v="DPOPPELL"/>
    <s v="04"/>
    <s v="CHARLIEG-LLC"/>
    <s v="WILDER LOOP"/>
    <x v="424"/>
    <x v="7"/>
    <x v="2"/>
    <s v="Invoice"/>
    <s v="12427"/>
    <x v="275"/>
    <x v="242"/>
    <x v="22"/>
    <x v="2"/>
    <n v="2.0074999999999998"/>
  </r>
  <r>
    <s v="DPOPPELL"/>
    <s v="04"/>
    <s v="MIDWAYF"/>
    <s v="ALS - NORTH"/>
    <x v="424"/>
    <x v="7"/>
    <x v="2"/>
    <s v="Invoice"/>
    <s v="12471"/>
    <x v="275"/>
    <x v="242"/>
    <x v="22"/>
    <x v="2"/>
    <n v="3.5074999999999998"/>
  </r>
  <r>
    <s v="DPOPPELL"/>
    <s v="04"/>
    <s v="MIKELOTT"/>
    <s v="HILLSBOROUGH"/>
    <x v="424"/>
    <x v="7"/>
    <x v="2"/>
    <s v="Invoice"/>
    <s v="12472"/>
    <x v="58"/>
    <x v="51"/>
    <x v="22"/>
    <x v="2"/>
    <n v="5"/>
  </r>
  <r>
    <s v="DPOPPELL"/>
    <s v="04"/>
    <s v="SPIVEYFA"/>
    <s v="HOPEWELL"/>
    <x v="424"/>
    <x v="7"/>
    <x v="2"/>
    <s v="Invoice"/>
    <s v="12586"/>
    <x v="425"/>
    <x v="363"/>
    <x v="22"/>
    <x v="2"/>
    <n v="3.5325000000000002"/>
  </r>
  <r>
    <s v="DPOPPELL"/>
    <s v="04"/>
    <s v="GAONA, ESPER"/>
    <s v="WILLIAMSRD"/>
    <x v="424"/>
    <x v="7"/>
    <x v="2"/>
    <s v="Invoice"/>
    <s v="12695"/>
    <x v="58"/>
    <x v="51"/>
    <x v="22"/>
    <x v="2"/>
    <n v="2.5"/>
  </r>
  <r>
    <s v="HOUSE"/>
    <s v="05"/>
    <s v="SOUTHERN"/>
    <s v="SOUTHERN AG"/>
    <x v="415"/>
    <x v="7"/>
    <x v="2"/>
    <s v="Invoice"/>
    <s v="04624"/>
    <x v="33"/>
    <x v="28"/>
    <x v="2"/>
    <x v="0"/>
    <n v="180"/>
  </r>
  <r>
    <s v="HOUSE"/>
    <s v="05"/>
    <s v="SOUTHERN"/>
    <s v="SOUTHERN AG"/>
    <x v="415"/>
    <x v="7"/>
    <x v="2"/>
    <s v="Invoice"/>
    <s v="04624"/>
    <x v="436"/>
    <x v="369"/>
    <x v="107"/>
    <x v="0"/>
    <n v="30"/>
  </r>
  <r>
    <s v="HOUSE"/>
    <s v="05"/>
    <s v="SOUTHERN"/>
    <s v="SOUTHERN AG"/>
    <x v="415"/>
    <x v="7"/>
    <x v="2"/>
    <s v="Invoice"/>
    <s v="04624"/>
    <x v="7"/>
    <x v="243"/>
    <x v="6"/>
    <x v="0"/>
    <n v="30"/>
  </r>
  <r>
    <s v="HOUSE"/>
    <s v="05"/>
    <s v="CPSHOMES"/>
    <s v="HOMESTEAD"/>
    <x v="416"/>
    <x v="7"/>
    <x v="2"/>
    <s v="Invoice"/>
    <s v="09592"/>
    <x v="156"/>
    <x v="138"/>
    <x v="53"/>
    <x v="0"/>
    <n v="180"/>
  </r>
  <r>
    <s v="BRIDGE"/>
    <s v="06"/>
    <s v="TRIANGLE"/>
    <s v="BOLTON"/>
    <x v="422"/>
    <x v="7"/>
    <x v="2"/>
    <s v="Invoice"/>
    <s v="100000085"/>
    <x v="168"/>
    <x v="370"/>
    <x v="8"/>
    <x v="0"/>
    <n v="360"/>
  </r>
  <r>
    <s v="CHEAD"/>
    <s v="07"/>
    <s v="MAYO"/>
    <s v="WILLISTON"/>
    <x v="415"/>
    <x v="7"/>
    <x v="2"/>
    <s v="Invoice"/>
    <s v="03965"/>
    <x v="77"/>
    <x v="37"/>
    <x v="30"/>
    <x v="0"/>
    <n v="90"/>
  </r>
  <r>
    <s v=""/>
    <s v="07"/>
    <s v="BARNESFE"/>
    <s v="HASTINGS"/>
    <x v="415"/>
    <x v="7"/>
    <x v="2"/>
    <s v="Invoice"/>
    <s v="03981"/>
    <x v="158"/>
    <x v="139"/>
    <x v="53"/>
    <x v="0"/>
    <n v="720"/>
  </r>
  <r>
    <s v="CHEAD"/>
    <s v="07"/>
    <s v="SUNNILAND"/>
    <s v="LONGWOOD"/>
    <x v="415"/>
    <x v="7"/>
    <x v="2"/>
    <s v="Invoice"/>
    <s v="03982"/>
    <x v="124"/>
    <x v="112"/>
    <x v="20"/>
    <x v="1"/>
    <n v="24560"/>
  </r>
  <r>
    <s v="CHEAD"/>
    <s v="07"/>
    <s v="MAYO"/>
    <s v="WILLISTON"/>
    <x v="427"/>
    <x v="7"/>
    <x v="2"/>
    <s v="Invoice"/>
    <s v="07679"/>
    <x v="77"/>
    <x v="37"/>
    <x v="30"/>
    <x v="0"/>
    <n v="60"/>
  </r>
  <r>
    <s v=""/>
    <s v="07"/>
    <s v="BIG HOUSE FARMS"/>
    <s v="MAYO"/>
    <x v="427"/>
    <x v="7"/>
    <x v="2"/>
    <s v="Invoice"/>
    <s v="08201"/>
    <x v="243"/>
    <x v="217"/>
    <x v="22"/>
    <x v="2"/>
    <n v="4.0025000000000004"/>
  </r>
  <r>
    <s v=""/>
    <s v="07"/>
    <s v="BIG HOUSE FARMS"/>
    <s v="MAYO"/>
    <x v="427"/>
    <x v="7"/>
    <x v="2"/>
    <s v="Invoice"/>
    <s v="08321"/>
    <x v="312"/>
    <x v="275"/>
    <x v="22"/>
    <x v="2"/>
    <n v="4.0250000000000004"/>
  </r>
  <r>
    <s v=""/>
    <s v="07"/>
    <s v="GARDNERFARMS"/>
    <s v="MAIN"/>
    <x v="428"/>
    <x v="7"/>
    <x v="2"/>
    <s v="Invoice"/>
    <s v="100000001"/>
    <x v="175"/>
    <x v="156"/>
    <x v="9"/>
    <x v="0"/>
    <n v="50"/>
  </r>
  <r>
    <s v="CHEAD"/>
    <s v="07"/>
    <s v="CRUCEFARMS"/>
    <s v="PERRY"/>
    <x v="428"/>
    <x v="7"/>
    <x v="2"/>
    <s v="Invoice"/>
    <s v="100000002"/>
    <x v="34"/>
    <x v="29"/>
    <x v="26"/>
    <x v="0"/>
    <n v="15"/>
  </r>
  <r>
    <s v="CHEAD"/>
    <s v="07"/>
    <s v="TRIANGLE"/>
    <s v="83FARMS"/>
    <x v="434"/>
    <x v="7"/>
    <x v="2"/>
    <s v="Invoice"/>
    <s v="100000057"/>
    <x v="87"/>
    <x v="88"/>
    <x v="8"/>
    <x v="0"/>
    <n v="2500"/>
  </r>
  <r>
    <s v="CHEAD"/>
    <s v="07"/>
    <s v="MAYO"/>
    <s v="WILLISTON"/>
    <x v="423"/>
    <x v="7"/>
    <x v="2"/>
    <s v="Invoice"/>
    <s v="11056"/>
    <x v="77"/>
    <x v="37"/>
    <x v="30"/>
    <x v="0"/>
    <n v="120"/>
  </r>
  <r>
    <s v="DPOPPELL1"/>
    <s v="08"/>
    <s v="COASTALAGSUPPLY"/>
    <s v="MULBERRY"/>
    <x v="425"/>
    <x v="7"/>
    <x v="2"/>
    <s v="Invoice"/>
    <s v="02738"/>
    <x v="34"/>
    <x v="29"/>
    <x v="26"/>
    <x v="0"/>
    <n v="180"/>
  </r>
  <r>
    <s v="DPOPPELL1"/>
    <s v="08"/>
    <s v="TRIANGLE"/>
    <s v="TRIANGLE/PC"/>
    <x v="425"/>
    <x v="7"/>
    <x v="2"/>
    <s v="Invoice"/>
    <s v="03366"/>
    <x v="45"/>
    <x v="37"/>
    <x v="30"/>
    <x v="0"/>
    <n v="250"/>
  </r>
  <r>
    <s v="DPOPPELL1"/>
    <s v="08"/>
    <s v="PURLEYNK"/>
    <s v="MAIN"/>
    <x v="419"/>
    <x v="7"/>
    <x v="2"/>
    <s v="Invoice"/>
    <s v="05497"/>
    <x v="28"/>
    <x v="23"/>
    <x v="22"/>
    <x v="2"/>
    <n v="0.3"/>
  </r>
  <r>
    <s v="DPOPPELL1"/>
    <s v="08"/>
    <s v="COASTALAGSUPPLY"/>
    <s v="MULBERRY"/>
    <x v="427"/>
    <x v="7"/>
    <x v="2"/>
    <s v="Invoice"/>
    <s v="08044"/>
    <x v="58"/>
    <x v="51"/>
    <x v="22"/>
    <x v="2"/>
    <n v="2.4975000000000001"/>
  </r>
  <r>
    <s v="DPOPPELL1"/>
    <s v="08"/>
    <s v="COASTALAGSUPPLY"/>
    <s v="MULBERRY"/>
    <x v="427"/>
    <x v="7"/>
    <x v="2"/>
    <s v="Invoice"/>
    <s v="08140"/>
    <x v="31"/>
    <x v="124"/>
    <x v="24"/>
    <x v="0"/>
    <n v="180"/>
  </r>
  <r>
    <s v="DPOPPELL1"/>
    <s v="08"/>
    <s v="COASTALAGSUPPLY"/>
    <s v="MULBERRY"/>
    <x v="435"/>
    <x v="7"/>
    <x v="2"/>
    <s v="Invoice"/>
    <s v="100000068"/>
    <x v="378"/>
    <x v="332"/>
    <x v="3"/>
    <x v="0"/>
    <n v="180"/>
  </r>
  <r>
    <s v="DAVID"/>
    <s v="09"/>
    <s v="AGRIBUSI"/>
    <s v="JIMMYSANDERS/GE"/>
    <x v="415"/>
    <x v="7"/>
    <x v="2"/>
    <s v="Invoice"/>
    <s v="05021"/>
    <x v="183"/>
    <x v="165"/>
    <x v="20"/>
    <x v="1"/>
    <n v="8904"/>
  </r>
  <r>
    <s v=""/>
    <s v="09"/>
    <s v="AGRIBUSI"/>
    <s v="AGB/ROOSEVELT"/>
    <x v="415"/>
    <x v="7"/>
    <x v="2"/>
    <s v="Invoice"/>
    <s v="05061"/>
    <x v="214"/>
    <x v="189"/>
    <x v="20"/>
    <x v="1"/>
    <n v="3600"/>
  </r>
  <r>
    <s v="GEORGIA"/>
    <s v="09"/>
    <s v="TRIANGLE"/>
    <s v="SYCAMORE"/>
    <x v="427"/>
    <x v="7"/>
    <x v="2"/>
    <s v="Invoice"/>
    <s v="07344"/>
    <x v="279"/>
    <x v="193"/>
    <x v="8"/>
    <x v="0"/>
    <n v="250"/>
  </r>
  <r>
    <s v="GEORGIA"/>
    <s v="09"/>
    <s v="AGRIBUSI"/>
    <s v="GREENPOINTCORDE"/>
    <x v="427"/>
    <x v="7"/>
    <x v="2"/>
    <s v="Invoice"/>
    <s v="08436"/>
    <x v="290"/>
    <x v="255"/>
    <x v="20"/>
    <x v="1"/>
    <n v="1800"/>
  </r>
  <r>
    <s v=""/>
    <s v="09"/>
    <s v="NUTRATURF"/>
    <s v="CRUMP ST, NC"/>
    <x v="416"/>
    <x v="7"/>
    <x v="2"/>
    <s v="Invoice"/>
    <s v="09859"/>
    <x v="168"/>
    <x v="88"/>
    <x v="8"/>
    <x v="0"/>
    <n v="30"/>
  </r>
  <r>
    <s v=""/>
    <s v="09"/>
    <s v="NUTRATURF"/>
    <s v="CRUMP ST, NC"/>
    <x v="416"/>
    <x v="7"/>
    <x v="2"/>
    <s v="Invoice"/>
    <s v="09859"/>
    <x v="102"/>
    <x v="71"/>
    <x v="100"/>
    <x v="0"/>
    <n v="250"/>
  </r>
  <r>
    <s v=""/>
    <s v="09"/>
    <s v="NUTRATURF"/>
    <s v="CRUMP ST, NC"/>
    <x v="416"/>
    <x v="7"/>
    <x v="2"/>
    <s v="Invoice"/>
    <s v="09859"/>
    <x v="257"/>
    <x v="371"/>
    <x v="3"/>
    <x v="0"/>
    <n v="250"/>
  </r>
  <r>
    <s v=""/>
    <s v="09"/>
    <s v="NUTRATURF"/>
    <s v="CRUMP ST, NC"/>
    <x v="416"/>
    <x v="7"/>
    <x v="2"/>
    <s v="Invoice"/>
    <s v="09859"/>
    <x v="10"/>
    <x v="253"/>
    <x v="9"/>
    <x v="0"/>
    <n v="40"/>
  </r>
  <r>
    <s v=""/>
    <s v="09"/>
    <s v="NUTRATURF"/>
    <s v="CRUMP ST, NC"/>
    <x v="416"/>
    <x v="7"/>
    <x v="2"/>
    <s v="Invoice"/>
    <s v="09859"/>
    <x v="140"/>
    <x v="72"/>
    <x v="4"/>
    <x v="0"/>
    <n v="250"/>
  </r>
  <r>
    <s v=""/>
    <s v="09"/>
    <s v="NUTRATURF"/>
    <s v="CRUMP ST, NC"/>
    <x v="416"/>
    <x v="7"/>
    <x v="2"/>
    <s v="Invoice"/>
    <s v="09859"/>
    <x v="252"/>
    <x v="224"/>
    <x v="71"/>
    <x v="0"/>
    <n v="55"/>
  </r>
  <r>
    <s v=""/>
    <s v="09"/>
    <s v="NUTRATURF"/>
    <s v="CRUMP ST, NC"/>
    <x v="416"/>
    <x v="7"/>
    <x v="2"/>
    <s v="Invoice"/>
    <s v="09859"/>
    <x v="253"/>
    <x v="74"/>
    <x v="13"/>
    <x v="0"/>
    <n v="250"/>
  </r>
  <r>
    <s v=""/>
    <s v="09"/>
    <s v="NUTRATURF"/>
    <s v="CRUMP ST, NC"/>
    <x v="416"/>
    <x v="7"/>
    <x v="2"/>
    <s v="Invoice"/>
    <s v="09859"/>
    <x v="254"/>
    <x v="75"/>
    <x v="26"/>
    <x v="0"/>
    <n v="250"/>
  </r>
  <r>
    <s v=""/>
    <s v="09"/>
    <s v="NUTRATURF"/>
    <s v="CRUMP ST, NC"/>
    <x v="416"/>
    <x v="7"/>
    <x v="2"/>
    <s v="Invoice"/>
    <s v="09859"/>
    <x v="186"/>
    <x v="225"/>
    <x v="13"/>
    <x v="0"/>
    <n v="110"/>
  </r>
  <r>
    <s v=""/>
    <s v="09"/>
    <s v="NUTRATURF"/>
    <s v="CRUMP ST, NC"/>
    <x v="416"/>
    <x v="7"/>
    <x v="2"/>
    <s v="Invoice"/>
    <s v="09859"/>
    <x v="256"/>
    <x v="213"/>
    <x v="35"/>
    <x v="0"/>
    <n v="55"/>
  </r>
  <r>
    <s v=""/>
    <s v="09"/>
    <s v="NUTRATURF"/>
    <s v="CRUMP ST, NC"/>
    <x v="416"/>
    <x v="7"/>
    <x v="2"/>
    <s v="Invoice"/>
    <s v="09859"/>
    <x v="255"/>
    <x v="276"/>
    <x v="35"/>
    <x v="0"/>
    <n v="250"/>
  </r>
  <r>
    <s v=""/>
    <s v="09"/>
    <s v="NUTRATURF"/>
    <s v="CRUMP ST, NC"/>
    <x v="416"/>
    <x v="7"/>
    <x v="2"/>
    <s v="Invoice"/>
    <s v="09859"/>
    <x v="86"/>
    <x v="78"/>
    <x v="36"/>
    <x v="0"/>
    <n v="250"/>
  </r>
  <r>
    <s v="GEORGIA"/>
    <s v="09"/>
    <s v="CAROLINATU"/>
    <s v="SUMMERFIELDFEED"/>
    <x v="416"/>
    <x v="7"/>
    <x v="2"/>
    <s v="Invoice"/>
    <s v="09961"/>
    <x v="249"/>
    <x v="222"/>
    <x v="70"/>
    <x v="0"/>
    <n v="120"/>
  </r>
  <r>
    <s v="GEORGIA"/>
    <s v="09"/>
    <s v="CAROLINATU"/>
    <s v="SUMMERFIELDFEED"/>
    <x v="416"/>
    <x v="7"/>
    <x v="2"/>
    <s v="Invoice"/>
    <s v="09961"/>
    <x v="4"/>
    <x v="371"/>
    <x v="3"/>
    <x v="0"/>
    <n v="25"/>
  </r>
  <r>
    <s v="GEORGIA"/>
    <s v="09"/>
    <s v="CAROLINATU"/>
    <s v="SUMMERFIELDFEED"/>
    <x v="416"/>
    <x v="7"/>
    <x v="2"/>
    <s v="Invoice"/>
    <s v="09961"/>
    <x v="163"/>
    <x v="227"/>
    <x v="56"/>
    <x v="0"/>
    <n v="35"/>
  </r>
  <r>
    <s v="GEORGIA"/>
    <s v="09"/>
    <s v="AGRIBUSI"/>
    <s v="GREENPOINTCORDE"/>
    <x v="417"/>
    <x v="7"/>
    <x v="2"/>
    <s v="Invoice"/>
    <s v="100000022"/>
    <x v="290"/>
    <x v="255"/>
    <x v="20"/>
    <x v="1"/>
    <n v="3600"/>
  </r>
  <r>
    <s v=""/>
    <s v="09"/>
    <s v="AGRIBUSI"/>
    <s v="CPS-DOERUN,GA"/>
    <x v="421"/>
    <x v="7"/>
    <x v="2"/>
    <s v="Invoice"/>
    <s v="100000026"/>
    <x v="250"/>
    <x v="223"/>
    <x v="23"/>
    <x v="0"/>
    <n v="1800"/>
  </r>
  <r>
    <s v="GEORGIA"/>
    <s v="09"/>
    <s v="TRIANGLE"/>
    <s v="SYCAMORE"/>
    <x v="421"/>
    <x v="7"/>
    <x v="2"/>
    <s v="Invoice"/>
    <s v="100000035"/>
    <x v="218"/>
    <x v="193"/>
    <x v="8"/>
    <x v="0"/>
    <n v="360"/>
  </r>
  <r>
    <s v="GEORGIA"/>
    <s v="09"/>
    <s v="AGRIBUSI"/>
    <s v="NUTRIEN-AR"/>
    <x v="429"/>
    <x v="7"/>
    <x v="2"/>
    <s v="Invoice"/>
    <s v="100000044"/>
    <x v="293"/>
    <x v="258"/>
    <x v="77"/>
    <x v="0"/>
    <n v="180"/>
  </r>
  <r>
    <s v="GEORGIA"/>
    <s v="09"/>
    <s v="CAROLINATU"/>
    <s v="HOPEVALLEY"/>
    <x v="434"/>
    <x v="7"/>
    <x v="2"/>
    <s v="Invoice"/>
    <s v="100000061"/>
    <x v="422"/>
    <x v="192"/>
    <x v="56"/>
    <x v="0"/>
    <n v="125"/>
  </r>
  <r>
    <s v="GEORGIA"/>
    <s v="09"/>
    <s v="AGRIBUSI"/>
    <s v="ATMORE TRUCKERS"/>
    <x v="431"/>
    <x v="7"/>
    <x v="2"/>
    <s v="Invoice"/>
    <s v="100000072"/>
    <x v="292"/>
    <x v="257"/>
    <x v="46"/>
    <x v="0"/>
    <n v="3780"/>
  </r>
  <r>
    <s v=""/>
    <s v="09"/>
    <s v="CAROLINATU"/>
    <s v="NORTHRIDGE"/>
    <x v="422"/>
    <x v="7"/>
    <x v="2"/>
    <s v="Invoice"/>
    <s v="100000083"/>
    <x v="217"/>
    <x v="192"/>
    <x v="56"/>
    <x v="0"/>
    <n v="250"/>
  </r>
  <r>
    <s v="GEORGIA"/>
    <s v="09"/>
    <s v="TRIANGLE"/>
    <s v="DONALSONVILLE"/>
    <x v="424"/>
    <x v="7"/>
    <x v="2"/>
    <s v="Invoice"/>
    <s v="12591"/>
    <x v="218"/>
    <x v="193"/>
    <x v="8"/>
    <x v="0"/>
    <n v="360"/>
  </r>
  <r>
    <s v="CSWAFFORD"/>
    <s v="12"/>
    <s v="GOLFVENTURES"/>
    <s v="ROSEDALE"/>
    <x v="415"/>
    <x v="7"/>
    <x v="2"/>
    <s v="Invoice"/>
    <s v="04176"/>
    <x v="366"/>
    <x v="336"/>
    <x v="22"/>
    <x v="2"/>
    <n v="1.02"/>
  </r>
  <r>
    <s v="CSWAFFORD"/>
    <s v="12"/>
    <s v="GOLFVENTURES"/>
    <s v="CENTFLPEST"/>
    <x v="415"/>
    <x v="7"/>
    <x v="2"/>
    <s v="Invoice"/>
    <s v="04454"/>
    <x v="437"/>
    <x v="372"/>
    <x v="22"/>
    <x v="2"/>
    <n v="1.3075000000000001"/>
  </r>
  <r>
    <s v="CSWAFFORD"/>
    <s v="12"/>
    <s v="GOLFVENTURES"/>
    <s v="MAIN"/>
    <x v="427"/>
    <x v="7"/>
    <x v="2"/>
    <s v="Invoice"/>
    <s v="07691"/>
    <x v="438"/>
    <x v="373"/>
    <x v="108"/>
    <x v="0"/>
    <n v="60"/>
  </r>
  <r>
    <s v="CSWAFFORD"/>
    <s v="12"/>
    <s v="GOLFVENTURES"/>
    <s v="MAIN"/>
    <x v="427"/>
    <x v="7"/>
    <x v="2"/>
    <s v="Invoice"/>
    <s v="07691"/>
    <x v="439"/>
    <x v="297"/>
    <x v="91"/>
    <x v="0"/>
    <n v="60"/>
  </r>
  <r>
    <s v="CSWAFFORD"/>
    <s v="12"/>
    <s v="GOLFVENTURES"/>
    <s v="MAIN"/>
    <x v="427"/>
    <x v="7"/>
    <x v="2"/>
    <s v="Invoice"/>
    <s v="07691"/>
    <x v="209"/>
    <x v="374"/>
    <x v="63"/>
    <x v="0"/>
    <n v="60"/>
  </r>
  <r>
    <s v="CSWAFFORD"/>
    <s v="12"/>
    <s v="GOLFVENTURES"/>
    <s v="SARABAYCC"/>
    <x v="420"/>
    <x v="7"/>
    <x v="2"/>
    <s v="Invoice"/>
    <s v="08537"/>
    <x v="379"/>
    <x v="299"/>
    <x v="45"/>
    <x v="0"/>
    <n v="30"/>
  </r>
  <r>
    <s v="CSWAFFORD"/>
    <s v="12"/>
    <s v="GOLFVENTURES"/>
    <s v="CEDARHAMMOCK"/>
    <x v="420"/>
    <x v="7"/>
    <x v="2"/>
    <s v="Invoice"/>
    <s v="08545"/>
    <x v="440"/>
    <x v="321"/>
    <x v="96"/>
    <x v="0"/>
    <n v="275"/>
  </r>
  <r>
    <s v="CSWAFFORD"/>
    <s v="12"/>
    <s v="GOLFVENTURES"/>
    <s v="BONITANATIONAL"/>
    <x v="420"/>
    <x v="7"/>
    <x v="2"/>
    <s v="Invoice"/>
    <s v="09107"/>
    <x v="373"/>
    <x v="375"/>
    <x v="82"/>
    <x v="0"/>
    <n v="260"/>
  </r>
  <r>
    <s v="CSWAFFORD"/>
    <s v="12"/>
    <s v="CHEMDYNA"/>
    <s v="MAIN"/>
    <x v="416"/>
    <x v="7"/>
    <x v="2"/>
    <s v="Invoice"/>
    <s v="09968"/>
    <x v="85"/>
    <x v="213"/>
    <x v="35"/>
    <x v="0"/>
    <n v="2.5"/>
  </r>
  <r>
    <s v="CSWAFFORD"/>
    <s v="12"/>
    <s v="GOLFVENTURES"/>
    <s v="COUNTRYBOY"/>
    <x v="417"/>
    <x v="7"/>
    <x v="2"/>
    <s v="Invoice"/>
    <s v="100000013"/>
    <x v="353"/>
    <x v="313"/>
    <x v="49"/>
    <x v="0"/>
    <n v="250"/>
  </r>
  <r>
    <s v="CSWAFFORD"/>
    <s v="12"/>
    <s v="GOLFVENTURES"/>
    <s v="MAIN"/>
    <x v="417"/>
    <x v="7"/>
    <x v="2"/>
    <s v="Invoice"/>
    <s v="100000015"/>
    <x v="438"/>
    <x v="376"/>
    <x v="108"/>
    <x v="0"/>
    <n v="60"/>
  </r>
  <r>
    <s v="CSWAFFORD"/>
    <s v="12"/>
    <s v="GOLFVENTURES"/>
    <s v="MAIN"/>
    <x v="417"/>
    <x v="7"/>
    <x v="2"/>
    <s v="Invoice"/>
    <s v="100000015"/>
    <x v="439"/>
    <x v="297"/>
    <x v="91"/>
    <x v="0"/>
    <n v="60"/>
  </r>
  <r>
    <s v="CSWAFFORD"/>
    <s v="12"/>
    <s v="GOLFVENTURES"/>
    <s v="MAIN"/>
    <x v="417"/>
    <x v="7"/>
    <x v="2"/>
    <s v="Invoice"/>
    <s v="100000015"/>
    <x v="370"/>
    <x v="320"/>
    <x v="63"/>
    <x v="0"/>
    <n v="60"/>
  </r>
  <r>
    <s v="CSWAFFORD"/>
    <s v="12"/>
    <s v="GOLFVENTURES"/>
    <s v="MAIN"/>
    <x v="421"/>
    <x v="7"/>
    <x v="2"/>
    <s v="Invoice"/>
    <s v="100000027"/>
    <x v="365"/>
    <x v="298"/>
    <x v="53"/>
    <x v="0"/>
    <n v="90"/>
  </r>
  <r>
    <s v="CSWAFFORD"/>
    <s v="12"/>
    <s v="GOLFVENTURES"/>
    <s v="MAIN"/>
    <x v="421"/>
    <x v="7"/>
    <x v="2"/>
    <s v="Invoice"/>
    <s v="100000027"/>
    <x v="303"/>
    <x v="267"/>
    <x v="80"/>
    <x v="0"/>
    <n v="90"/>
  </r>
  <r>
    <s v="CSWAFFORD"/>
    <s v="12"/>
    <s v="GOLFVENTURES"/>
    <s v="MAIN"/>
    <x v="430"/>
    <x v="7"/>
    <x v="2"/>
    <s v="Invoice"/>
    <s v="100000054"/>
    <x v="380"/>
    <x v="334"/>
    <x v="80"/>
    <x v="0"/>
    <n v="825"/>
  </r>
  <r>
    <s v="CSWAFFORD"/>
    <s v="12"/>
    <s v="GOLFVENTURES"/>
    <s v="NEWSPRINGLAKE"/>
    <x v="435"/>
    <x v="7"/>
    <x v="2"/>
    <s v="Invoice"/>
    <s v="100000063"/>
    <x v="382"/>
    <x v="337"/>
    <x v="22"/>
    <x v="2"/>
    <n v="1.2150000000000001"/>
  </r>
  <r>
    <s v="CSWAFFORD"/>
    <s v="12"/>
    <s v="GOLFVENTURES"/>
    <s v="NEWSPRINGLAKE"/>
    <x v="435"/>
    <x v="7"/>
    <x v="2"/>
    <s v="Invoice"/>
    <s v="100000064"/>
    <x v="335"/>
    <x v="297"/>
    <x v="91"/>
    <x v="0"/>
    <n v="250"/>
  </r>
  <r>
    <s v="CSWAFFORD"/>
    <s v="12"/>
    <s v="GOLFVENTURES"/>
    <s v="GRANDHARBOR"/>
    <x v="435"/>
    <x v="7"/>
    <x v="2"/>
    <s v="Invoice"/>
    <s v="100000065"/>
    <x v="320"/>
    <x v="282"/>
    <x v="87"/>
    <x v="0"/>
    <n v="250"/>
  </r>
  <r>
    <s v="CSWAFFORD"/>
    <s v="12"/>
    <s v="GOLFVENTURES"/>
    <s v="GRANDHARBOR"/>
    <x v="435"/>
    <x v="7"/>
    <x v="2"/>
    <s v="Invoice"/>
    <s v="100000066"/>
    <x v="339"/>
    <x v="302"/>
    <x v="70"/>
    <x v="0"/>
    <n v="30"/>
  </r>
  <r>
    <s v="CSWAFFORD"/>
    <s v="12"/>
    <s v="GOLFVENTURES"/>
    <s v="NEWSPRINGLAKE"/>
    <x v="435"/>
    <x v="7"/>
    <x v="2"/>
    <s v="Invoice"/>
    <s v="100000067"/>
    <x v="441"/>
    <x v="377"/>
    <x v="22"/>
    <x v="2"/>
    <n v="1.36"/>
  </r>
  <r>
    <s v="CSWAFFORD"/>
    <s v="12"/>
    <s v="GOLFVENTURES"/>
    <s v="MAIN"/>
    <x v="422"/>
    <x v="7"/>
    <x v="2"/>
    <s v="Invoice"/>
    <s v="100000086"/>
    <x v="442"/>
    <x v="378"/>
    <x v="109"/>
    <x v="0"/>
    <n v="250"/>
  </r>
  <r>
    <s v="CSWAFFORD"/>
    <s v="12"/>
    <s v="GOLFVENTURES"/>
    <s v="MAIN"/>
    <x v="422"/>
    <x v="7"/>
    <x v="2"/>
    <s v="Invoice"/>
    <s v="100000087"/>
    <x v="443"/>
    <x v="334"/>
    <x v="80"/>
    <x v="0"/>
    <n v="60"/>
  </r>
  <r>
    <s v="CSWAFFORD"/>
    <s v="12"/>
    <s v="GOLFVENTURES"/>
    <s v="MAIN"/>
    <x v="422"/>
    <x v="7"/>
    <x v="2"/>
    <s v="Invoice"/>
    <s v="100000087"/>
    <x v="370"/>
    <x v="320"/>
    <x v="63"/>
    <x v="0"/>
    <n v="60"/>
  </r>
  <r>
    <s v="CSWAFFORD"/>
    <s v="12"/>
    <s v="GOLFVENTURES"/>
    <s v="MAIN"/>
    <x v="422"/>
    <x v="7"/>
    <x v="2"/>
    <s v="Invoice"/>
    <s v="100000087"/>
    <x v="333"/>
    <x v="282"/>
    <x v="87"/>
    <x v="0"/>
    <n v="60"/>
  </r>
  <r>
    <s v="CSWAFFORD"/>
    <s v="12"/>
    <s v="GOLFVENTURES"/>
    <s v="MAIN"/>
    <x v="422"/>
    <x v="7"/>
    <x v="2"/>
    <s v="Invoice"/>
    <s v="100000088"/>
    <x v="330"/>
    <x v="292"/>
    <x v="36"/>
    <x v="0"/>
    <n v="1000"/>
  </r>
  <r>
    <s v="CSWAFFORD"/>
    <s v="12"/>
    <s v="GOLFVENTURES"/>
    <s v="MAIN"/>
    <x v="418"/>
    <x v="7"/>
    <x v="2"/>
    <s v="Invoice"/>
    <s v="100000098"/>
    <x v="405"/>
    <x v="313"/>
    <x v="49"/>
    <x v="0"/>
    <n v="25"/>
  </r>
  <r>
    <s v="CSWAFFORD"/>
    <s v="12"/>
    <s v="GOLFVENTURES"/>
    <s v="MAIN"/>
    <x v="418"/>
    <x v="7"/>
    <x v="2"/>
    <s v="Invoice"/>
    <s v="100000098"/>
    <x v="443"/>
    <x v="334"/>
    <x v="80"/>
    <x v="0"/>
    <n v="20"/>
  </r>
  <r>
    <s v="HAP"/>
    <s v="01"/>
    <s v="GREENWAY"/>
    <s v="WINDSOR POLO"/>
    <x v="436"/>
    <x v="8"/>
    <x v="2"/>
    <s v="Invoice"/>
    <s v="100000110"/>
    <x v="1"/>
    <x v="1"/>
    <x v="1"/>
    <x v="0"/>
    <n v="55"/>
  </r>
  <r>
    <s v="HAP"/>
    <s v="01"/>
    <s v="GREENWAY"/>
    <s v="WINDSOR POLO"/>
    <x v="436"/>
    <x v="8"/>
    <x v="2"/>
    <s v="Invoice"/>
    <s v="100000110"/>
    <x v="4"/>
    <x v="3"/>
    <x v="3"/>
    <x v="0"/>
    <n v="20"/>
  </r>
  <r>
    <s v="HAP"/>
    <s v="01"/>
    <s v="GREENWAY"/>
    <s v="WINDSOR POLO"/>
    <x v="436"/>
    <x v="8"/>
    <x v="2"/>
    <s v="Invoice"/>
    <s v="100000110"/>
    <x v="5"/>
    <x v="4"/>
    <x v="4"/>
    <x v="0"/>
    <n v="10"/>
  </r>
  <r>
    <s v="HAP"/>
    <s v="01"/>
    <s v="GREENWAY"/>
    <s v="GLEN EAGLES C.C"/>
    <x v="437"/>
    <x v="8"/>
    <x v="2"/>
    <s v="Invoice"/>
    <s v="100000115"/>
    <x v="3"/>
    <x v="2"/>
    <x v="2"/>
    <x v="0"/>
    <n v="15"/>
  </r>
  <r>
    <s v="HAP"/>
    <s v="01"/>
    <s v="GREENWAY"/>
    <s v="GLEN EAGLES C.C"/>
    <x v="437"/>
    <x v="8"/>
    <x v="2"/>
    <s v="Invoice"/>
    <s v="100000115"/>
    <x v="5"/>
    <x v="4"/>
    <x v="4"/>
    <x v="0"/>
    <n v="15"/>
  </r>
  <r>
    <s v="HAP"/>
    <s v="01"/>
    <s v="GREENWAY"/>
    <s v="GLEN EAGLES C.C"/>
    <x v="437"/>
    <x v="8"/>
    <x v="2"/>
    <s v="Invoice"/>
    <s v="100000115"/>
    <x v="6"/>
    <x v="5"/>
    <x v="5"/>
    <x v="0"/>
    <n v="15"/>
  </r>
  <r>
    <s v="HAP"/>
    <s v="01"/>
    <s v="GREENWAY"/>
    <s v="GLEN EAGLES C.C"/>
    <x v="437"/>
    <x v="8"/>
    <x v="2"/>
    <s v="Invoice"/>
    <s v="100000115"/>
    <x v="2"/>
    <x v="0"/>
    <x v="0"/>
    <x v="0"/>
    <n v="10"/>
  </r>
  <r>
    <s v="HAP"/>
    <s v="01"/>
    <s v="GREENWAY"/>
    <s v="PARKLAND"/>
    <x v="437"/>
    <x v="8"/>
    <x v="2"/>
    <s v="Invoice"/>
    <s v="100000116"/>
    <x v="1"/>
    <x v="1"/>
    <x v="1"/>
    <x v="0"/>
    <n v="110"/>
  </r>
  <r>
    <s v="HAP"/>
    <s v="01"/>
    <s v="GREENWAY"/>
    <s v="CORALCREEK"/>
    <x v="438"/>
    <x v="8"/>
    <x v="2"/>
    <s v="Invoice"/>
    <s v="100000164"/>
    <x v="3"/>
    <x v="379"/>
    <x v="2"/>
    <x v="0"/>
    <n v="40"/>
  </r>
  <r>
    <s v="HAP"/>
    <s v="01"/>
    <s v="GREENWAY"/>
    <s v="CORALCREEK"/>
    <x v="438"/>
    <x v="8"/>
    <x v="2"/>
    <s v="Invoice"/>
    <s v="100000164"/>
    <x v="5"/>
    <x v="4"/>
    <x v="4"/>
    <x v="0"/>
    <n v="40"/>
  </r>
  <r>
    <s v="HAP"/>
    <s v="01"/>
    <s v="GREENWAY"/>
    <s v="CORALCREEK"/>
    <x v="438"/>
    <x v="8"/>
    <x v="2"/>
    <s v="Invoice"/>
    <s v="100000164"/>
    <x v="6"/>
    <x v="5"/>
    <x v="5"/>
    <x v="0"/>
    <n v="40"/>
  </r>
  <r>
    <s v="HAP"/>
    <s v="01"/>
    <s v="GREENWAY"/>
    <s v="CORALCREEK"/>
    <x v="438"/>
    <x v="8"/>
    <x v="2"/>
    <s v="Invoice"/>
    <s v="100000164"/>
    <x v="2"/>
    <x v="0"/>
    <x v="0"/>
    <x v="0"/>
    <n v="40"/>
  </r>
  <r>
    <s v="HAP"/>
    <s v="01"/>
    <s v="GREENWAY"/>
    <s v="JACARANDA G C"/>
    <x v="439"/>
    <x v="8"/>
    <x v="2"/>
    <s v="Invoice"/>
    <s v="100000199"/>
    <x v="188"/>
    <x v="17"/>
    <x v="17"/>
    <x v="0"/>
    <n v="55"/>
  </r>
  <r>
    <s v="HAP"/>
    <s v="01"/>
    <s v="GREENWAY"/>
    <s v="JACARANDA G C"/>
    <x v="439"/>
    <x v="8"/>
    <x v="2"/>
    <s v="Invoice"/>
    <s v="100000199"/>
    <x v="6"/>
    <x v="5"/>
    <x v="5"/>
    <x v="0"/>
    <n v="30"/>
  </r>
  <r>
    <s v="HAP"/>
    <s v="01"/>
    <s v="GREENWAY"/>
    <s v="JACARANDA G C"/>
    <x v="439"/>
    <x v="8"/>
    <x v="2"/>
    <s v="Invoice"/>
    <s v="100000199"/>
    <x v="0"/>
    <x v="0"/>
    <x v="0"/>
    <x v="0"/>
    <n v="55"/>
  </r>
  <r>
    <s v="HAP"/>
    <s v="01"/>
    <s v="GREENWAY"/>
    <s v="CORALCREEK"/>
    <x v="440"/>
    <x v="8"/>
    <x v="2"/>
    <s v="Invoice"/>
    <s v="100000228"/>
    <x v="88"/>
    <x v="2"/>
    <x v="2"/>
    <x v="0"/>
    <n v="55"/>
  </r>
  <r>
    <s v="HAP"/>
    <s v="01"/>
    <s v="GREENWAY"/>
    <s v="CORALCREEK"/>
    <x v="440"/>
    <x v="8"/>
    <x v="2"/>
    <s v="Invoice"/>
    <s v="100000228"/>
    <x v="390"/>
    <x v="16"/>
    <x v="16"/>
    <x v="0"/>
    <n v="55"/>
  </r>
  <r>
    <s v="HAP"/>
    <s v="01"/>
    <s v="GREENWAY"/>
    <s v="CORALCREEK"/>
    <x v="440"/>
    <x v="8"/>
    <x v="2"/>
    <s v="Invoice"/>
    <s v="100000228"/>
    <x v="84"/>
    <x v="11"/>
    <x v="11"/>
    <x v="0"/>
    <n v="55"/>
  </r>
  <r>
    <s v="HAP"/>
    <s v="01"/>
    <s v="GREENWAY"/>
    <s v="ROYAL PALM GC"/>
    <x v="440"/>
    <x v="8"/>
    <x v="2"/>
    <s v="Invoice"/>
    <s v="100000229"/>
    <x v="5"/>
    <x v="4"/>
    <x v="4"/>
    <x v="0"/>
    <n v="25"/>
  </r>
  <r>
    <s v="HAP"/>
    <s v="01"/>
    <s v="GREENWAY"/>
    <s v="ROYAL PALM GC"/>
    <x v="440"/>
    <x v="8"/>
    <x v="2"/>
    <s v="Invoice"/>
    <s v="100000229"/>
    <x v="22"/>
    <x v="17"/>
    <x v="17"/>
    <x v="0"/>
    <n v="15"/>
  </r>
  <r>
    <s v="HAP"/>
    <s v="01"/>
    <s v="GREENWAY"/>
    <s v="ROYAL PALM GC"/>
    <x v="440"/>
    <x v="8"/>
    <x v="2"/>
    <s v="Invoice"/>
    <s v="100000229"/>
    <x v="6"/>
    <x v="5"/>
    <x v="5"/>
    <x v="0"/>
    <n v="15"/>
  </r>
  <r>
    <s v="HAP"/>
    <s v="01"/>
    <s v="GREENWAY"/>
    <s v="ROYAL PALM GC"/>
    <x v="440"/>
    <x v="8"/>
    <x v="2"/>
    <s v="Invoice"/>
    <s v="100000229"/>
    <x v="2"/>
    <x v="0"/>
    <x v="0"/>
    <x v="0"/>
    <n v="25"/>
  </r>
  <r>
    <s v="DAVID"/>
    <s v="02"/>
    <s v="EVOQUAWATER"/>
    <s v="MAIN"/>
    <x v="441"/>
    <x v="8"/>
    <x v="2"/>
    <s v="Invoice"/>
    <s v="100000123"/>
    <x v="160"/>
    <x v="231"/>
    <x v="54"/>
    <x v="0"/>
    <n v="360"/>
  </r>
  <r>
    <s v="DAVID"/>
    <s v="02"/>
    <s v="OHARAPEST"/>
    <s v="MAILIING"/>
    <x v="442"/>
    <x v="8"/>
    <x v="2"/>
    <s v="Invoice"/>
    <s v="100000144"/>
    <x v="3"/>
    <x v="80"/>
    <x v="2"/>
    <x v="0"/>
    <n v="50"/>
  </r>
  <r>
    <s v="DAVID"/>
    <s v="02"/>
    <s v="OHARAPEST"/>
    <s v="MAILIING"/>
    <x v="442"/>
    <x v="8"/>
    <x v="2"/>
    <s v="Invoice"/>
    <s v="100000144"/>
    <x v="133"/>
    <x v="109"/>
    <x v="45"/>
    <x v="0"/>
    <n v="5"/>
  </r>
  <r>
    <s v="DAVID"/>
    <s v="02"/>
    <s v="EVOQUAWATER"/>
    <s v="MAIN"/>
    <x v="442"/>
    <x v="8"/>
    <x v="2"/>
    <s v="Invoice"/>
    <s v="100000147"/>
    <x v="160"/>
    <x v="231"/>
    <x v="54"/>
    <x v="0"/>
    <n v="360"/>
  </r>
  <r>
    <s v="DAVID"/>
    <s v="02"/>
    <s v="EVOQUAWATER"/>
    <s v="STOR-N-MORE"/>
    <x v="443"/>
    <x v="8"/>
    <x v="2"/>
    <s v="Invoice"/>
    <s v="100000160"/>
    <x v="160"/>
    <x v="231"/>
    <x v="54"/>
    <x v="0"/>
    <n v="360"/>
  </r>
  <r>
    <s v="DAVID"/>
    <s v="02"/>
    <s v="FLORIDAGAR"/>
    <s v="GARDENSUPPLIES"/>
    <x v="443"/>
    <x v="8"/>
    <x v="2"/>
    <s v="Invoice"/>
    <s v="100000161"/>
    <x v="304"/>
    <x v="268"/>
    <x v="73"/>
    <x v="0"/>
    <n v="150"/>
  </r>
  <r>
    <s v="DAVID"/>
    <s v="02"/>
    <s v="CPSWACHU"/>
    <s v="WAUCHULA"/>
    <x v="443"/>
    <x v="8"/>
    <x v="2"/>
    <s v="Invoice"/>
    <s v="100000163"/>
    <x v="267"/>
    <x v="235"/>
    <x v="75"/>
    <x v="0"/>
    <n v="70"/>
  </r>
  <r>
    <s v="DAVID"/>
    <s v="02"/>
    <s v="FLORIDAGAR"/>
    <s v="GARDENSUPPLIES"/>
    <x v="444"/>
    <x v="8"/>
    <x v="2"/>
    <s v="Invoice"/>
    <s v="100000189"/>
    <x v="313"/>
    <x v="277"/>
    <x v="84"/>
    <x v="0"/>
    <n v="150"/>
  </r>
  <r>
    <s v="DAVID"/>
    <s v="02"/>
    <s v="FLORIDAGAR"/>
    <s v="GARDENSUPPLIES"/>
    <x v="444"/>
    <x v="8"/>
    <x v="2"/>
    <s v="Invoice"/>
    <s v="100000189"/>
    <x v="314"/>
    <x v="278"/>
    <x v="85"/>
    <x v="0"/>
    <n v="150"/>
  </r>
  <r>
    <s v="DAVID"/>
    <s v="02"/>
    <s v="TERRAFEED"/>
    <s v="MAILING"/>
    <x v="445"/>
    <x v="8"/>
    <x v="2"/>
    <s v="Invoice"/>
    <s v="100000215"/>
    <x v="162"/>
    <x v="144"/>
    <x v="55"/>
    <x v="0"/>
    <n v="250"/>
  </r>
  <r>
    <s v="DAVID"/>
    <s v="02"/>
    <s v="OHARAPEST"/>
    <s v="MAILIING"/>
    <x v="446"/>
    <x v="8"/>
    <x v="2"/>
    <s v="Invoice"/>
    <s v="100000217"/>
    <x v="247"/>
    <x v="76"/>
    <x v="11"/>
    <x v="0"/>
    <n v="250"/>
  </r>
  <r>
    <s v="DAVID"/>
    <s v="02"/>
    <s v="PETROCAN"/>
    <s v="UAP-FT. PIERCE"/>
    <x v="446"/>
    <x v="8"/>
    <x v="2"/>
    <s v="Invoice"/>
    <s v="100000221"/>
    <x v="267"/>
    <x v="235"/>
    <x v="75"/>
    <x v="0"/>
    <n v="70"/>
  </r>
  <r>
    <s v="DAVID"/>
    <s v="02"/>
    <s v="BIGEARTH"/>
    <s v="SARASOTA"/>
    <x v="440"/>
    <x v="8"/>
    <x v="2"/>
    <s v="Invoice"/>
    <s v="100000227"/>
    <x v="3"/>
    <x v="80"/>
    <x v="2"/>
    <x v="0"/>
    <n v="150"/>
  </r>
  <r>
    <s v="DAVID"/>
    <s v="02"/>
    <s v="CPSFTPIE"/>
    <s v="FT. PIERCE"/>
    <x v="447"/>
    <x v="8"/>
    <x v="2"/>
    <s v="Invoice"/>
    <s v="100000243"/>
    <x v="267"/>
    <x v="235"/>
    <x v="75"/>
    <x v="0"/>
    <n v="70"/>
  </r>
  <r>
    <s v="JUSTIN"/>
    <s v="03"/>
    <s v="BIGEARTH"/>
    <s v="SARASOTA"/>
    <x v="448"/>
    <x v="8"/>
    <x v="2"/>
    <s v="Invoice"/>
    <s v="100000129"/>
    <x v="22"/>
    <x v="69"/>
    <x v="17"/>
    <x v="0"/>
    <n v="50"/>
  </r>
  <r>
    <s v="JUSTIN"/>
    <s v="03"/>
    <s v="IMGCITRUS"/>
    <s v="CHERRYLAKE"/>
    <x v="449"/>
    <x v="8"/>
    <x v="2"/>
    <s v="Invoice"/>
    <s v="100000138"/>
    <x v="444"/>
    <x v="380"/>
    <x v="22"/>
    <x v="2"/>
    <n v="5"/>
  </r>
  <r>
    <s v="JUSTIN"/>
    <s v="03"/>
    <s v="GRIFFINF"/>
    <s v="FROSTPROOF"/>
    <x v="450"/>
    <x v="8"/>
    <x v="2"/>
    <s v="Invoice"/>
    <s v="100000149A"/>
    <x v="36"/>
    <x v="381"/>
    <x v="4"/>
    <x v="0"/>
    <n v="720"/>
  </r>
  <r>
    <s v="JUSTIN"/>
    <s v="03"/>
    <s v="BIGEARTH"/>
    <s v="SARASOTA"/>
    <x v="451"/>
    <x v="8"/>
    <x v="2"/>
    <s v="Invoice"/>
    <s v="100000153"/>
    <x v="98"/>
    <x v="92"/>
    <x v="40"/>
    <x v="0"/>
    <n v="50"/>
  </r>
  <r>
    <s v="JUSTIN"/>
    <s v="03"/>
    <s v="CPSFTPIE"/>
    <s v="FT. PIERCE"/>
    <x v="438"/>
    <x v="8"/>
    <x v="2"/>
    <s v="Invoice"/>
    <s v="100000166"/>
    <x v="36"/>
    <x v="31"/>
    <x v="4"/>
    <x v="0"/>
    <n v="360"/>
  </r>
  <r>
    <s v="JUSTIN"/>
    <s v="03"/>
    <s v="CPSWAVER"/>
    <s v="WAVERLY"/>
    <x v="438"/>
    <x v="8"/>
    <x v="2"/>
    <s v="Invoice"/>
    <s v="100000167"/>
    <x v="35"/>
    <x v="30"/>
    <x v="27"/>
    <x v="0"/>
    <n v="180"/>
  </r>
  <r>
    <s v="JUSTIN"/>
    <s v="03"/>
    <s v="CPSWAVER"/>
    <s v="WAVERLY"/>
    <x v="452"/>
    <x v="8"/>
    <x v="2"/>
    <s v="Invoice"/>
    <s v="100000170"/>
    <x v="36"/>
    <x v="31"/>
    <x v="4"/>
    <x v="0"/>
    <n v="180"/>
  </r>
  <r>
    <s v="JUSTIN"/>
    <s v="03"/>
    <s v="CPSPARRI"/>
    <s v="PARRISH"/>
    <x v="453"/>
    <x v="8"/>
    <x v="2"/>
    <s v="Invoice"/>
    <s v="100000179"/>
    <x v="445"/>
    <x v="30"/>
    <x v="27"/>
    <x v="0"/>
    <n v="220"/>
  </r>
  <r>
    <s v="JUSTIN"/>
    <s v="03"/>
    <s v="CPSWAVER"/>
    <s v="WAVERLY"/>
    <x v="453"/>
    <x v="8"/>
    <x v="2"/>
    <s v="Invoice"/>
    <s v="100000182"/>
    <x v="191"/>
    <x v="169"/>
    <x v="61"/>
    <x v="0"/>
    <n v="360"/>
  </r>
  <r>
    <s v="JUSTIN"/>
    <s v="03"/>
    <s v="CPSIMMOK"/>
    <s v="IMMOKALEE"/>
    <x v="453"/>
    <x v="8"/>
    <x v="2"/>
    <s v="Invoice"/>
    <s v="100000183"/>
    <x v="191"/>
    <x v="169"/>
    <x v="61"/>
    <x v="0"/>
    <n v="540"/>
  </r>
  <r>
    <s v="JUSTIN"/>
    <s v="03"/>
    <s v="CPSOKEE"/>
    <s v="OKEE-LIQ PLANT"/>
    <x v="439"/>
    <x v="8"/>
    <x v="2"/>
    <s v="Invoice"/>
    <s v="100000196"/>
    <x v="134"/>
    <x v="94"/>
    <x v="41"/>
    <x v="0"/>
    <n v="1926"/>
  </r>
  <r>
    <s v="JUSTIN"/>
    <s v="03"/>
    <s v="CPSWAVER"/>
    <s v="WAVERLY"/>
    <x v="454"/>
    <x v="8"/>
    <x v="2"/>
    <s v="Invoice"/>
    <s v="100000201"/>
    <x v="36"/>
    <x v="31"/>
    <x v="4"/>
    <x v="0"/>
    <n v="360"/>
  </r>
  <r>
    <s v="JUSTIN"/>
    <s v="03"/>
    <s v="CPSWACHU"/>
    <s v="WAUCHULA"/>
    <x v="445"/>
    <x v="8"/>
    <x v="2"/>
    <s v="Invoice"/>
    <s v="100000213"/>
    <x v="324"/>
    <x v="286"/>
    <x v="13"/>
    <x v="0"/>
    <n v="750"/>
  </r>
  <r>
    <s v="JUSTIN"/>
    <s v="03"/>
    <s v="CPSWACHU"/>
    <s v="WAUCHULA"/>
    <x v="445"/>
    <x v="8"/>
    <x v="2"/>
    <s v="Invoice"/>
    <s v="100000214"/>
    <x v="191"/>
    <x v="169"/>
    <x v="61"/>
    <x v="0"/>
    <n v="720"/>
  </r>
  <r>
    <s v="JUSTIN"/>
    <s v="03"/>
    <s v="GRIFFINF"/>
    <s v="FROSTPROOF"/>
    <x v="447"/>
    <x v="8"/>
    <x v="2"/>
    <s v="Invoice"/>
    <s v="100000234"/>
    <x v="36"/>
    <x v="31"/>
    <x v="4"/>
    <x v="0"/>
    <n v="720"/>
  </r>
  <r>
    <s v="JUSTIN"/>
    <s v="03"/>
    <s v="CPSWAVER"/>
    <s v="WAVERLY"/>
    <x v="453"/>
    <x v="8"/>
    <x v="2"/>
    <s v="Invoice"/>
    <s v="100000252"/>
    <x v="191"/>
    <x v="169"/>
    <x v="61"/>
    <x v="0"/>
    <n v="360"/>
  </r>
  <r>
    <s v="DPOPPELL"/>
    <s v="04"/>
    <s v="5KFARMS"/>
    <s v="MAIN"/>
    <x v="436"/>
    <x v="8"/>
    <x v="2"/>
    <s v="Invoice"/>
    <s v="100000103"/>
    <x v="136"/>
    <x v="111"/>
    <x v="46"/>
    <x v="0"/>
    <n v="10"/>
  </r>
  <r>
    <s v="DPOPPELL"/>
    <s v="04"/>
    <s v="FLORIDAAG"/>
    <s v="KINGSWAY"/>
    <x v="436"/>
    <x v="8"/>
    <x v="2"/>
    <s v="Invoice"/>
    <s v="100000104"/>
    <x v="326"/>
    <x v="289"/>
    <x v="22"/>
    <x v="2"/>
    <n v="2.2275"/>
  </r>
  <r>
    <s v="DPOPPELL"/>
    <s v="04"/>
    <s v="SWEETLIFE"/>
    <s v="SWINDLEN"/>
    <x v="436"/>
    <x v="8"/>
    <x v="2"/>
    <s v="Invoice"/>
    <s v="100000105"/>
    <x v="275"/>
    <x v="242"/>
    <x v="22"/>
    <x v="2"/>
    <n v="7.7450000000000001"/>
  </r>
  <r>
    <s v="DPOPPELL"/>
    <s v="04"/>
    <s v="CHANFARM"/>
    <s v="KNIGHTS GRIFFIN"/>
    <x v="436"/>
    <x v="8"/>
    <x v="2"/>
    <s v="Invoice"/>
    <s v="100000109"/>
    <x v="51"/>
    <x v="44"/>
    <x v="22"/>
    <x v="2"/>
    <n v="2.4874999999999998"/>
  </r>
  <r>
    <s v="DPOPPELL"/>
    <s v="04"/>
    <s v="FILEMONMARTINEZ"/>
    <s v="MAILING"/>
    <x v="436"/>
    <x v="8"/>
    <x v="2"/>
    <s v="Invoice"/>
    <s v="100000112"/>
    <x v="43"/>
    <x v="38"/>
    <x v="22"/>
    <x v="2"/>
    <n v="2"/>
  </r>
  <r>
    <s v="DPOPPELL"/>
    <s v="04"/>
    <s v="YANCEYROYCE"/>
    <s v="MAILING"/>
    <x v="437"/>
    <x v="8"/>
    <x v="2"/>
    <s v="Invoice"/>
    <s v="100000113"/>
    <x v="9"/>
    <x v="106"/>
    <x v="8"/>
    <x v="0"/>
    <n v="20"/>
  </r>
  <r>
    <s v="DPOPPELL"/>
    <s v="04"/>
    <s v="JOSEHERN"/>
    <s v="KEYSVILLE N"/>
    <x v="437"/>
    <x v="8"/>
    <x v="2"/>
    <s v="Invoice"/>
    <s v="100000114"/>
    <x v="43"/>
    <x v="38"/>
    <x v="22"/>
    <x v="2"/>
    <n v="1"/>
  </r>
  <r>
    <s v="DPOPPELL"/>
    <s v="04"/>
    <s v="SOUTHERNHILL"/>
    <s v="SCHOFIELD"/>
    <x v="448"/>
    <x v="8"/>
    <x v="2"/>
    <s v="Invoice"/>
    <s v="100000124"/>
    <x v="47"/>
    <x v="41"/>
    <x v="22"/>
    <x v="2"/>
    <n v="2.5"/>
  </r>
  <r>
    <s v="DPOPPELL"/>
    <s v="04"/>
    <s v="JOSEHERN"/>
    <s v="KEYSVILLE N"/>
    <x v="442"/>
    <x v="8"/>
    <x v="2"/>
    <s v="Invoice"/>
    <s v="100000141"/>
    <x v="43"/>
    <x v="38"/>
    <x v="22"/>
    <x v="2"/>
    <n v="1.0149999999999999"/>
  </r>
  <r>
    <s v="DPOPPELL"/>
    <s v="04"/>
    <s v="IFASGULF"/>
    <s v="BALM-STRAWBERRY"/>
    <x v="442"/>
    <x v="8"/>
    <x v="2"/>
    <s v="Invoice"/>
    <s v="100000143"/>
    <x v="28"/>
    <x v="23"/>
    <x v="22"/>
    <x v="2"/>
    <n v="7.5025000000000004"/>
  </r>
  <r>
    <s v="DPOPPELL"/>
    <s v="04"/>
    <s v="CHANFARM"/>
    <s v="KNIGHTS GRIFFIN"/>
    <x v="451"/>
    <x v="8"/>
    <x v="2"/>
    <s v="Invoice"/>
    <s v="100000155"/>
    <x v="51"/>
    <x v="44"/>
    <x v="22"/>
    <x v="2"/>
    <n v="2.4620000000000002"/>
  </r>
  <r>
    <s v="DPOPPELL"/>
    <s v="04"/>
    <s v="FLORIDAAG"/>
    <s v="KINGSWAY"/>
    <x v="451"/>
    <x v="8"/>
    <x v="2"/>
    <s v="Invoice"/>
    <s v="100000156"/>
    <x v="326"/>
    <x v="289"/>
    <x v="22"/>
    <x v="2"/>
    <n v="2.25"/>
  </r>
  <r>
    <s v="DPOPPELL"/>
    <s v="04"/>
    <s v="TRIANGLE"/>
    <s v="OAKHAMMOCK"/>
    <x v="452"/>
    <x v="8"/>
    <x v="2"/>
    <s v="Invoice"/>
    <s v="100000178"/>
    <x v="125"/>
    <x v="113"/>
    <x v="22"/>
    <x v="2"/>
    <n v="1.2575000000000001"/>
  </r>
  <r>
    <s v="DPOPPELL"/>
    <s v="04"/>
    <s v="SOUTHERNHILL"/>
    <s v="SCHOFIELD"/>
    <x v="439"/>
    <x v="8"/>
    <x v="2"/>
    <s v="Invoice"/>
    <s v="100000197"/>
    <x v="43"/>
    <x v="38"/>
    <x v="22"/>
    <x v="2"/>
    <n v="2.5"/>
  </r>
  <r>
    <s v="DPOPPELL"/>
    <s v="04"/>
    <s v="FLORIDAAG"/>
    <s v="KINGSWAY"/>
    <x v="454"/>
    <x v="8"/>
    <x v="2"/>
    <s v="Invoice"/>
    <s v="100000202"/>
    <x v="326"/>
    <x v="289"/>
    <x v="22"/>
    <x v="2"/>
    <n v="2.25"/>
  </r>
  <r>
    <s v="DPOPPELL"/>
    <s v="04"/>
    <s v="CHANFARM"/>
    <s v="KNIGHTS GRIFFIN"/>
    <x v="445"/>
    <x v="8"/>
    <x v="2"/>
    <s v="Invoice"/>
    <s v="100000212"/>
    <x v="51"/>
    <x v="44"/>
    <x v="22"/>
    <x v="2"/>
    <n v="2.415"/>
  </r>
  <r>
    <s v="DPOPPELL"/>
    <s v="04"/>
    <s v="IFASGULF"/>
    <s v="BALM-STRAWBERRY"/>
    <x v="440"/>
    <x v="8"/>
    <x v="2"/>
    <s v="Invoice"/>
    <s v="100000232"/>
    <x v="28"/>
    <x v="23"/>
    <x v="22"/>
    <x v="2"/>
    <n v="7.5274999999999999"/>
  </r>
  <r>
    <s v="DPOPPELL"/>
    <s v="04"/>
    <s v="GONZALEZED"/>
    <s v="MAIN"/>
    <x v="447"/>
    <x v="8"/>
    <x v="2"/>
    <s v="Invoice"/>
    <s v="100000233"/>
    <x v="43"/>
    <x v="38"/>
    <x v="22"/>
    <x v="2"/>
    <n v="5"/>
  </r>
  <r>
    <s v="HOUSE"/>
    <s v="05"/>
    <s v="SOUTHEASTTURF"/>
    <s v="MAILING"/>
    <x v="437"/>
    <x v="8"/>
    <x v="2"/>
    <s v="Invoice"/>
    <s v="100000111"/>
    <x v="446"/>
    <x v="382"/>
    <x v="59"/>
    <x v="0"/>
    <n v="25"/>
  </r>
  <r>
    <s v="HOUSE"/>
    <s v="05"/>
    <s v="DYEADDICTROPE"/>
    <s v="PRIMARY"/>
    <x v="448"/>
    <x v="8"/>
    <x v="2"/>
    <s v="Invoice"/>
    <s v="100000136"/>
    <x v="96"/>
    <x v="90"/>
    <x v="39"/>
    <x v="0"/>
    <n v="25"/>
  </r>
  <r>
    <s v="HOUSE"/>
    <s v="05"/>
    <s v="SOUTHERN"/>
    <s v="SOUTHERN AG"/>
    <x v="439"/>
    <x v="8"/>
    <x v="2"/>
    <s v="Invoice"/>
    <s v="100000194"/>
    <x v="447"/>
    <x v="383"/>
    <x v="56"/>
    <x v="0"/>
    <n v="180"/>
  </r>
  <r>
    <s v="HOUSE"/>
    <s v="05"/>
    <s v="SOUTHERN"/>
    <s v="SOUTHERN AG"/>
    <x v="439"/>
    <x v="8"/>
    <x v="2"/>
    <s v="Invoice"/>
    <s v="100000195"/>
    <x v="388"/>
    <x v="33"/>
    <x v="28"/>
    <x v="0"/>
    <n v="110"/>
  </r>
  <r>
    <s v="HOUSE"/>
    <s v="05"/>
    <s v="SOUTHERN"/>
    <s v="SOUTHERN AG"/>
    <x v="439"/>
    <x v="8"/>
    <x v="2"/>
    <s v="Invoice"/>
    <s v="100000195"/>
    <x v="122"/>
    <x v="63"/>
    <x v="33"/>
    <x v="0"/>
    <n v="180"/>
  </r>
  <r>
    <s v="BRIDGE"/>
    <s v="06"/>
    <s v="CPSSOUTH"/>
    <s v="YAZOOCITY"/>
    <x v="441"/>
    <x v="8"/>
    <x v="2"/>
    <s v="Invoice"/>
    <s v="100000119"/>
    <x v="34"/>
    <x v="29"/>
    <x v="26"/>
    <x v="0"/>
    <n v="360"/>
  </r>
  <r>
    <s v="BRIDGE"/>
    <s v="06"/>
    <s v="CCCSEED"/>
    <s v="MAIN"/>
    <x v="448"/>
    <x v="8"/>
    <x v="2"/>
    <s v="Invoice"/>
    <s v="100000125"/>
    <x v="34"/>
    <x v="29"/>
    <x v="26"/>
    <x v="0"/>
    <n v="720"/>
  </r>
  <r>
    <s v="BRIDGE"/>
    <s v="06"/>
    <s v="SIGMAORG"/>
    <s v="BRANSFORD AVE."/>
    <x v="442"/>
    <x v="8"/>
    <x v="2"/>
    <s v="Invoice"/>
    <s v="100000142"/>
    <x v="123"/>
    <x v="111"/>
    <x v="46"/>
    <x v="0"/>
    <n v="250"/>
  </r>
  <r>
    <s v="BRIDGE"/>
    <s v="06"/>
    <s v="DELSTAR"/>
    <s v="MAILING"/>
    <x v="450"/>
    <x v="8"/>
    <x v="2"/>
    <s v="Invoice"/>
    <s v="100000148"/>
    <x v="34"/>
    <x v="29"/>
    <x v="26"/>
    <x v="0"/>
    <n v="40"/>
  </r>
  <r>
    <s v="BRIDGE"/>
    <s v="06"/>
    <s v="SOUTHAG"/>
    <s v="STARKVILLE"/>
    <x v="439"/>
    <x v="8"/>
    <x v="2"/>
    <s v="Invoice"/>
    <s v="100000204"/>
    <x v="85"/>
    <x v="213"/>
    <x v="35"/>
    <x v="0"/>
    <n v="5"/>
  </r>
  <r>
    <s v="BRIDGE"/>
    <s v="06"/>
    <s v="SOUTHAG"/>
    <s v="STARKVILLE"/>
    <x v="439"/>
    <x v="8"/>
    <x v="2"/>
    <s v="Invoice"/>
    <s v="100000204"/>
    <x v="34"/>
    <x v="29"/>
    <x v="26"/>
    <x v="0"/>
    <n v="15"/>
  </r>
  <r>
    <s v="BRIDGE"/>
    <s v="06"/>
    <s v="SOUTHAG"/>
    <s v="STARKVILLE"/>
    <x v="445"/>
    <x v="8"/>
    <x v="2"/>
    <s v="Invoice"/>
    <s v="100000211"/>
    <x v="448"/>
    <x v="384"/>
    <x v="110"/>
    <x v="0"/>
    <n v="2.5"/>
  </r>
  <r>
    <s v="BRIDGE"/>
    <s v="06"/>
    <s v="SOUTHAG"/>
    <s v="STARKVILLE"/>
    <x v="445"/>
    <x v="8"/>
    <x v="2"/>
    <s v="Invoice"/>
    <s v="100000211"/>
    <x v="449"/>
    <x v="385"/>
    <x v="111"/>
    <x v="0"/>
    <n v="5"/>
  </r>
  <r>
    <s v="BRIDGE"/>
    <s v="06"/>
    <s v="CHAMPIONCHEM"/>
    <s v="MAIN"/>
    <x v="440"/>
    <x v="8"/>
    <x v="2"/>
    <s v="Invoice"/>
    <s v="100000231"/>
    <x v="166"/>
    <x v="29"/>
    <x v="26"/>
    <x v="0"/>
    <n v="750"/>
  </r>
  <r>
    <s v="BRIDGE"/>
    <s v="06"/>
    <s v="TRIANGLE"/>
    <s v="HOLLANDALE"/>
    <x v="452"/>
    <x v="8"/>
    <x v="2"/>
    <s v="Invoice"/>
    <s v="10000178A"/>
    <x v="125"/>
    <x v="113"/>
    <x v="22"/>
    <x v="2"/>
    <n v="1.2575000000000001"/>
  </r>
  <r>
    <s v=""/>
    <s v="07"/>
    <s v="MILLERBL"/>
    <s v="PALATKA"/>
    <x v="437"/>
    <x v="8"/>
    <x v="2"/>
    <s v="Invoice"/>
    <s v="100000118"/>
    <x v="208"/>
    <x v="184"/>
    <x v="22"/>
    <x v="2"/>
    <n v="15"/>
  </r>
  <r>
    <s v="CHEAD"/>
    <s v="07"/>
    <s v="KELLYAG"/>
    <s v="MAIN"/>
    <x v="438"/>
    <x v="8"/>
    <x v="2"/>
    <s v="Invoice"/>
    <s v="100000168"/>
    <x v="34"/>
    <x v="29"/>
    <x v="26"/>
    <x v="0"/>
    <n v="360"/>
  </r>
  <r>
    <s v="CHEAD"/>
    <s v="07"/>
    <s v="BARBERFERT"/>
    <s v="MAIN"/>
    <x v="453"/>
    <x v="8"/>
    <x v="2"/>
    <s v="Invoice"/>
    <s v="100000181"/>
    <x v="34"/>
    <x v="29"/>
    <x v="26"/>
    <x v="0"/>
    <n v="180"/>
  </r>
  <r>
    <s v=""/>
    <s v="07"/>
    <s v="SUNNILAND"/>
    <s v="MAIN"/>
    <x v="454"/>
    <x v="8"/>
    <x v="2"/>
    <s v="Invoice"/>
    <s v="100000200A"/>
    <x v="124"/>
    <x v="201"/>
    <x v="20"/>
    <x v="1"/>
    <n v="21720"/>
  </r>
  <r>
    <s v="CHEAD"/>
    <s v="07"/>
    <s v="TRIANGLE"/>
    <s v="PAINTEDDREAMS"/>
    <x v="446"/>
    <x v="8"/>
    <x v="2"/>
    <s v="Invoice"/>
    <s v="100000225"/>
    <x v="207"/>
    <x v="183"/>
    <x v="22"/>
    <x v="2"/>
    <n v="2.5049999999999999"/>
  </r>
  <r>
    <s v="CHEAD"/>
    <s v="07"/>
    <s v="BIG HOUSE FARMS"/>
    <s v="MAYO"/>
    <x v="446"/>
    <x v="8"/>
    <x v="2"/>
    <s v="Invoice"/>
    <s v="100000226"/>
    <x v="450"/>
    <x v="386"/>
    <x v="22"/>
    <x v="2"/>
    <n v="5"/>
  </r>
  <r>
    <s v="DPOPPELL1"/>
    <s v="08"/>
    <s v="PURLEYNK"/>
    <s v="MAIN"/>
    <x v="447"/>
    <x v="8"/>
    <x v="2"/>
    <s v="Invoice"/>
    <s v="100000237"/>
    <x v="28"/>
    <x v="23"/>
    <x v="22"/>
    <x v="2"/>
    <n v="0.3"/>
  </r>
  <r>
    <s v=""/>
    <s v="09"/>
    <s v="GREENRES"/>
    <s v="HIGHGREEN CT-NC"/>
    <x v="437"/>
    <x v="8"/>
    <x v="2"/>
    <s v="Invoice"/>
    <s v="100000117"/>
    <x v="170"/>
    <x v="33"/>
    <x v="28"/>
    <x v="0"/>
    <n v="250"/>
  </r>
  <r>
    <s v=""/>
    <s v="09"/>
    <s v="NUTRATURF"/>
    <s v="CRUMP ST, NC"/>
    <x v="441"/>
    <x v="8"/>
    <x v="2"/>
    <s v="Invoice"/>
    <s v="100000122"/>
    <x v="102"/>
    <x v="71"/>
    <x v="100"/>
    <x v="0"/>
    <n v="250"/>
  </r>
  <r>
    <s v=""/>
    <s v="09"/>
    <s v="NUTRATURF"/>
    <s v="CRUMP ST, NC"/>
    <x v="441"/>
    <x v="8"/>
    <x v="2"/>
    <s v="Invoice"/>
    <s v="100000122"/>
    <x v="140"/>
    <x v="72"/>
    <x v="4"/>
    <x v="0"/>
    <n v="250"/>
  </r>
  <r>
    <s v=""/>
    <s v="09"/>
    <s v="NUTRATURF"/>
    <s v="CRUMP ST, NC"/>
    <x v="441"/>
    <x v="8"/>
    <x v="2"/>
    <s v="Invoice"/>
    <s v="100000122"/>
    <x v="80"/>
    <x v="73"/>
    <x v="4"/>
    <x v="0"/>
    <n v="55"/>
  </r>
  <r>
    <s v=""/>
    <s v="09"/>
    <s v="NUTRATURF"/>
    <s v="CRUMP ST, NC"/>
    <x v="441"/>
    <x v="8"/>
    <x v="2"/>
    <s v="Invoice"/>
    <s v="100000122"/>
    <x v="187"/>
    <x v="174"/>
    <x v="14"/>
    <x v="0"/>
    <n v="55"/>
  </r>
  <r>
    <s v=""/>
    <s v="09"/>
    <s v="NUTRATURF"/>
    <s v="CRUMP ST, NC"/>
    <x v="441"/>
    <x v="8"/>
    <x v="2"/>
    <s v="Invoice"/>
    <s v="100000122"/>
    <x v="83"/>
    <x v="69"/>
    <x v="17"/>
    <x v="0"/>
    <n v="250"/>
  </r>
  <r>
    <s v=""/>
    <s v="09"/>
    <s v="NUTRATURF"/>
    <s v="CRUMP ST, NC"/>
    <x v="441"/>
    <x v="8"/>
    <x v="2"/>
    <s v="Invoice"/>
    <s v="100000122"/>
    <x v="247"/>
    <x v="76"/>
    <x v="11"/>
    <x v="0"/>
    <n v="250"/>
  </r>
  <r>
    <s v="GEORGIA"/>
    <s v="09"/>
    <s v="AGRIBUSI"/>
    <s v="IRWINVILLE"/>
    <x v="449"/>
    <x v="8"/>
    <x v="2"/>
    <s v="Invoice"/>
    <s v="100000140"/>
    <x v="107"/>
    <x v="98"/>
    <x v="36"/>
    <x v="0"/>
    <n v="180"/>
  </r>
  <r>
    <s v="GEORGIA"/>
    <s v="09"/>
    <s v="TRIANGLE"/>
    <s v="SYCAMORE"/>
    <x v="442"/>
    <x v="8"/>
    <x v="2"/>
    <s v="Invoice"/>
    <s v="100000145"/>
    <x v="258"/>
    <x v="221"/>
    <x v="54"/>
    <x v="0"/>
    <n v="4000"/>
  </r>
  <r>
    <s v=""/>
    <s v="09"/>
    <s v="AGRIBUSI"/>
    <s v="AGB/ROOSEVELT"/>
    <x v="450"/>
    <x v="8"/>
    <x v="2"/>
    <s v="Invoice"/>
    <s v="100000150"/>
    <x v="250"/>
    <x v="223"/>
    <x v="23"/>
    <x v="0"/>
    <n v="360"/>
  </r>
  <r>
    <s v="GEORGIA"/>
    <s v="09"/>
    <s v="TRIANGLE"/>
    <s v="DONALSONVILLE"/>
    <x v="450"/>
    <x v="8"/>
    <x v="2"/>
    <s v="Invoice"/>
    <s v="100000151"/>
    <x v="258"/>
    <x v="221"/>
    <x v="54"/>
    <x v="0"/>
    <n v="4000"/>
  </r>
  <r>
    <s v="GEORGIA"/>
    <s v="09"/>
    <s v="TRIANGLE"/>
    <s v="STATESBORO/GA"/>
    <x v="443"/>
    <x v="8"/>
    <x v="2"/>
    <s v="Invoice"/>
    <s v="100000159"/>
    <x v="258"/>
    <x v="221"/>
    <x v="54"/>
    <x v="0"/>
    <n v="4000"/>
  </r>
  <r>
    <s v=""/>
    <s v="09"/>
    <s v="NUTRATURF"/>
    <s v="CRUMP ST, NC"/>
    <x v="455"/>
    <x v="8"/>
    <x v="2"/>
    <s v="Invoice"/>
    <s v="100000186"/>
    <x v="283"/>
    <x v="19"/>
    <x v="19"/>
    <x v="0"/>
    <n v="55"/>
  </r>
  <r>
    <s v="GEORGIA"/>
    <s v="09"/>
    <s v="AGRIBUSI"/>
    <s v="IRWINVILLE"/>
    <x v="444"/>
    <x v="8"/>
    <x v="2"/>
    <s v="Invoice"/>
    <s v="100000190"/>
    <x v="107"/>
    <x v="98"/>
    <x v="36"/>
    <x v="0"/>
    <n v="180"/>
  </r>
  <r>
    <s v="GEORGIA"/>
    <s v="09"/>
    <s v="CAROLINATU"/>
    <s v="SUMMERFIELDFEED"/>
    <x v="446"/>
    <x v="8"/>
    <x v="2"/>
    <s v="Invoice"/>
    <s v="100000218"/>
    <x v="249"/>
    <x v="222"/>
    <x v="70"/>
    <x v="0"/>
    <n v="70"/>
  </r>
  <r>
    <s v="GEORGIA"/>
    <s v="09"/>
    <s v="CAROLINATU"/>
    <s v="SUMMERFIELDFEED"/>
    <x v="446"/>
    <x v="8"/>
    <x v="2"/>
    <s v="Invoice"/>
    <s v="100000218"/>
    <x v="259"/>
    <x v="226"/>
    <x v="106"/>
    <x v="0"/>
    <n v="90"/>
  </r>
  <r>
    <s v="GEORGIA"/>
    <s v="09"/>
    <s v="CAROLINATU"/>
    <s v="SUMMERFIELDFEED"/>
    <x v="446"/>
    <x v="8"/>
    <x v="2"/>
    <s v="Invoice"/>
    <s v="100000218"/>
    <x v="4"/>
    <x v="371"/>
    <x v="3"/>
    <x v="0"/>
    <n v="20"/>
  </r>
  <r>
    <s v="GEORGIA"/>
    <s v="09"/>
    <s v="CAROLINATU"/>
    <s v="WARRIORGOLFCLUB"/>
    <x v="440"/>
    <x v="8"/>
    <x v="2"/>
    <s v="Invoice"/>
    <s v="100000230"/>
    <x v="249"/>
    <x v="222"/>
    <x v="70"/>
    <x v="0"/>
    <n v="55"/>
  </r>
  <r>
    <s v="TRES"/>
    <s v="11"/>
    <s v="SOUTHINTEGRITY"/>
    <s v="THIRDST"/>
    <x v="449"/>
    <x v="8"/>
    <x v="2"/>
    <s v="Invoice"/>
    <s v="100000139"/>
    <x v="448"/>
    <x v="384"/>
    <x v="110"/>
    <x v="0"/>
    <n v="20"/>
  </r>
  <r>
    <s v="TRES"/>
    <s v="11"/>
    <s v="SOUTHINTEGRITY"/>
    <s v="THIRDST"/>
    <x v="449"/>
    <x v="8"/>
    <x v="2"/>
    <s v="Invoice"/>
    <s v="100000139"/>
    <x v="175"/>
    <x v="156"/>
    <x v="9"/>
    <x v="0"/>
    <n v="50"/>
  </r>
  <r>
    <s v="TRES"/>
    <s v="11"/>
    <s v="SOUTHINTEGRITY"/>
    <s v="THIRDST"/>
    <x v="449"/>
    <x v="8"/>
    <x v="2"/>
    <s v="Invoice"/>
    <s v="100000139"/>
    <x v="166"/>
    <x v="29"/>
    <x v="26"/>
    <x v="0"/>
    <n v="250"/>
  </r>
  <r>
    <s v="TRES"/>
    <s v="11"/>
    <s v="SOUTHINTEGRITY"/>
    <s v="THIRDST"/>
    <x v="449"/>
    <x v="8"/>
    <x v="2"/>
    <s v="Invoice"/>
    <s v="100000139"/>
    <x v="34"/>
    <x v="29"/>
    <x v="26"/>
    <x v="0"/>
    <n v="130"/>
  </r>
  <r>
    <s v="TRES"/>
    <s v="11"/>
    <s v="SOUTHINTEGRITY"/>
    <s v="THIRDST"/>
    <x v="449"/>
    <x v="8"/>
    <x v="2"/>
    <s v="Invoice"/>
    <s v="100000139"/>
    <x v="34"/>
    <x v="29"/>
    <x v="26"/>
    <x v="0"/>
    <n v="40"/>
  </r>
  <r>
    <s v="TRES"/>
    <s v="11"/>
    <s v="SOUTHINTEGRITY"/>
    <s v="LUXORA"/>
    <x v="444"/>
    <x v="8"/>
    <x v="2"/>
    <s v="Invoice"/>
    <s v="100000191"/>
    <x v="34"/>
    <x v="29"/>
    <x v="26"/>
    <x v="0"/>
    <n v="180"/>
  </r>
  <r>
    <s v="TRES"/>
    <s v="11"/>
    <s v="SOUTHINTEGRITY"/>
    <s v="MAIN"/>
    <x v="447"/>
    <x v="8"/>
    <x v="2"/>
    <s v="Invoice"/>
    <s v="100000240A"/>
    <x v="168"/>
    <x v="88"/>
    <x v="8"/>
    <x v="0"/>
    <n v="180"/>
  </r>
  <r>
    <s v="TRES"/>
    <s v="11"/>
    <s v="SOUTHINTEGRITY"/>
    <s v="MAIN"/>
    <x v="447"/>
    <x v="8"/>
    <x v="2"/>
    <s v="Invoice"/>
    <s v="100000240A"/>
    <x v="34"/>
    <x v="29"/>
    <x v="26"/>
    <x v="0"/>
    <n v="180"/>
  </r>
  <r>
    <s v="CSWAFFORD"/>
    <s v="12"/>
    <s v="GOLFVENTURES"/>
    <s v="MAIN"/>
    <x v="436"/>
    <x v="8"/>
    <x v="2"/>
    <s v="Invoice"/>
    <s v="100000102"/>
    <x v="405"/>
    <x v="313"/>
    <x v="49"/>
    <x v="0"/>
    <n v="35"/>
  </r>
  <r>
    <s v="CSWAFFORD"/>
    <s v="12"/>
    <s v="GOLFVENTURES"/>
    <s v="MAIN"/>
    <x v="436"/>
    <x v="8"/>
    <x v="2"/>
    <s v="Invoice"/>
    <s v="100000102"/>
    <x v="443"/>
    <x v="334"/>
    <x v="80"/>
    <x v="0"/>
    <n v="40"/>
  </r>
  <r>
    <s v="CSWAFFORD"/>
    <s v="12"/>
    <s v="GOLFVENTURES"/>
    <s v="MAIN"/>
    <x v="436"/>
    <x v="8"/>
    <x v="2"/>
    <s v="Invoice"/>
    <s v="100000102"/>
    <x v="439"/>
    <x v="297"/>
    <x v="91"/>
    <x v="0"/>
    <n v="60"/>
  </r>
  <r>
    <s v="CSWAFFORD"/>
    <s v="12"/>
    <s v="GOLFVENTURES"/>
    <s v="SANDPIPERPEST"/>
    <x v="437"/>
    <x v="8"/>
    <x v="2"/>
    <s v="Invoice"/>
    <s v="100000107"/>
    <x v="380"/>
    <x v="334"/>
    <x v="80"/>
    <x v="0"/>
    <n v="250"/>
  </r>
  <r>
    <s v="CSWAFFORD"/>
    <s v="12"/>
    <s v="GOLFVENTURES"/>
    <s v="COUNTRYBOY"/>
    <x v="437"/>
    <x v="8"/>
    <x v="2"/>
    <s v="Invoice"/>
    <s v="100000108"/>
    <x v="353"/>
    <x v="313"/>
    <x v="49"/>
    <x v="0"/>
    <n v="250"/>
  </r>
  <r>
    <s v="CSWAFFORD"/>
    <s v="12"/>
    <s v="JRMINC"/>
    <s v="VERANDAHCLUB"/>
    <x v="448"/>
    <x v="8"/>
    <x v="2"/>
    <s v="Invoice"/>
    <s v="100000126"/>
    <x v="120"/>
    <x v="109"/>
    <x v="45"/>
    <x v="0"/>
    <n v="250"/>
  </r>
  <r>
    <s v="CSWAFFORD"/>
    <s v="12"/>
    <s v="GOLFVENTURES"/>
    <s v="BRADENTONCC"/>
    <x v="448"/>
    <x v="8"/>
    <x v="2"/>
    <s v="Invoice"/>
    <s v="100000127"/>
    <x v="451"/>
    <x v="80"/>
    <x v="2"/>
    <x v="0"/>
    <n v="250"/>
  </r>
  <r>
    <s v="CSWAFFORD"/>
    <s v="12"/>
    <s v="GOLFVENTURES"/>
    <s v="BRADENTONCC"/>
    <x v="448"/>
    <x v="8"/>
    <x v="2"/>
    <s v="Invoice"/>
    <s v="100000128"/>
    <x v="424"/>
    <x v="362"/>
    <x v="47"/>
    <x v="0"/>
    <n v="5"/>
  </r>
  <r>
    <s v="CSWAFFORD"/>
    <s v="12"/>
    <s v="GOLFVENTURES"/>
    <s v="BRADENTONCC"/>
    <x v="448"/>
    <x v="8"/>
    <x v="2"/>
    <s v="Invoice"/>
    <s v="100000128"/>
    <x v="320"/>
    <x v="282"/>
    <x v="87"/>
    <x v="0"/>
    <n v="250"/>
  </r>
  <r>
    <s v="CSWAFFORD"/>
    <s v="12"/>
    <s v="GOLFVENTURES"/>
    <s v="BRADENTONCC"/>
    <x v="448"/>
    <x v="8"/>
    <x v="2"/>
    <s v="Invoice"/>
    <s v="100000130"/>
    <x v="189"/>
    <x v="387"/>
    <x v="22"/>
    <x v="2"/>
    <n v="1.5249999999999999"/>
  </r>
  <r>
    <s v="CSWAFFORD"/>
    <s v="12"/>
    <s v="GOLFVENTURES"/>
    <s v="BRADENTONCC"/>
    <x v="448"/>
    <x v="8"/>
    <x v="2"/>
    <s v="Invoice"/>
    <s v="100000132"/>
    <x v="423"/>
    <x v="300"/>
    <x v="22"/>
    <x v="2"/>
    <n v="1.38"/>
  </r>
  <r>
    <s v="CSWAFFORD"/>
    <s v="12"/>
    <s v="JRMINC"/>
    <s v="PALMETTODUNES"/>
    <x v="448"/>
    <x v="8"/>
    <x v="2"/>
    <s v="Invoice"/>
    <s v="100000133"/>
    <x v="120"/>
    <x v="109"/>
    <x v="45"/>
    <x v="0"/>
    <n v="250"/>
  </r>
  <r>
    <s v="CSWAFFORD"/>
    <s v="12"/>
    <s v="JRMINC"/>
    <s v="MAILING"/>
    <x v="448"/>
    <x v="8"/>
    <x v="2"/>
    <s v="Invoice"/>
    <s v="100000134"/>
    <x v="452"/>
    <x v="388"/>
    <x v="112"/>
    <x v="0"/>
    <n v="180"/>
  </r>
  <r>
    <s v="CSWAFFORD"/>
    <s v="12"/>
    <s v="JRMINC"/>
    <s v="MAILING"/>
    <x v="448"/>
    <x v="8"/>
    <x v="2"/>
    <s v="Invoice"/>
    <s v="100000134"/>
    <x v="453"/>
    <x v="389"/>
    <x v="5"/>
    <x v="0"/>
    <n v="180"/>
  </r>
  <r>
    <s v="CSWAFFORD"/>
    <s v="12"/>
    <s v="JRMINC"/>
    <s v="MAILING"/>
    <x v="448"/>
    <x v="8"/>
    <x v="2"/>
    <s v="Invoice"/>
    <s v="100000134"/>
    <x v="454"/>
    <x v="390"/>
    <x v="113"/>
    <x v="0"/>
    <n v="180"/>
  </r>
  <r>
    <s v="CSWAFFORD"/>
    <s v="12"/>
    <s v="JRMINC"/>
    <s v="MAILING"/>
    <x v="448"/>
    <x v="8"/>
    <x v="2"/>
    <s v="Invoice"/>
    <s v="100000135"/>
    <x v="455"/>
    <x v="391"/>
    <x v="56"/>
    <x v="0"/>
    <n v="90"/>
  </r>
  <r>
    <s v="CSWAFFORD"/>
    <s v="12"/>
    <s v="JRMINC"/>
    <s v="MAILING"/>
    <x v="448"/>
    <x v="8"/>
    <x v="2"/>
    <s v="Invoice"/>
    <s v="100000135"/>
    <x v="456"/>
    <x v="392"/>
    <x v="10"/>
    <x v="0"/>
    <n v="90"/>
  </r>
  <r>
    <s v="CSWAFFORD"/>
    <s v="12"/>
    <s v="JRMINC"/>
    <s v="MAILING"/>
    <x v="448"/>
    <x v="8"/>
    <x v="2"/>
    <s v="Invoice"/>
    <s v="100000135"/>
    <x v="457"/>
    <x v="393"/>
    <x v="95"/>
    <x v="0"/>
    <n v="90"/>
  </r>
  <r>
    <s v="CSWAFFORD"/>
    <s v="12"/>
    <s v="JRMINC"/>
    <s v="MAILING"/>
    <x v="448"/>
    <x v="8"/>
    <x v="2"/>
    <s v="Invoice"/>
    <s v="100000135"/>
    <x v="148"/>
    <x v="394"/>
    <x v="29"/>
    <x v="0"/>
    <n v="90"/>
  </r>
  <r>
    <s v="CSWAFFORD"/>
    <s v="12"/>
    <s v="GOLFVENTURES"/>
    <s v="LAWNWORX"/>
    <x v="449"/>
    <x v="8"/>
    <x v="2"/>
    <s v="Invoice"/>
    <s v="100000137"/>
    <x v="458"/>
    <x v="395"/>
    <x v="114"/>
    <x v="0"/>
    <n v="500"/>
  </r>
  <r>
    <s v="CSWAFFORD"/>
    <s v="12"/>
    <s v="GOLFVENTURES"/>
    <s v="MAIN"/>
    <x v="442"/>
    <x v="8"/>
    <x v="2"/>
    <s v="Invoice"/>
    <s v="100000146"/>
    <x v="8"/>
    <x v="396"/>
    <x v="7"/>
    <x v="0"/>
    <n v="60"/>
  </r>
  <r>
    <s v="CSWAFFORD"/>
    <s v="12"/>
    <s v="GOLFVENTURES"/>
    <s v="MAIN"/>
    <x v="442"/>
    <x v="8"/>
    <x v="2"/>
    <s v="Invoice"/>
    <s v="100000146"/>
    <x v="438"/>
    <x v="376"/>
    <x v="108"/>
    <x v="0"/>
    <n v="90"/>
  </r>
  <r>
    <s v="CSWAFFORD"/>
    <s v="12"/>
    <s v="GOLFVENTURES"/>
    <s v="MAIN"/>
    <x v="442"/>
    <x v="8"/>
    <x v="2"/>
    <s v="Invoice"/>
    <s v="100000146"/>
    <x v="249"/>
    <x v="294"/>
    <x v="70"/>
    <x v="0"/>
    <n v="90"/>
  </r>
  <r>
    <s v="CSWAFFORD"/>
    <s v="12"/>
    <s v="GOLFVENTURES"/>
    <s v="MAIN"/>
    <x v="442"/>
    <x v="8"/>
    <x v="2"/>
    <s v="Invoice"/>
    <s v="100000146"/>
    <x v="443"/>
    <x v="334"/>
    <x v="80"/>
    <x v="0"/>
    <n v="30"/>
  </r>
  <r>
    <s v="CSWAFFORD"/>
    <s v="12"/>
    <s v="GOLFVENTURES"/>
    <s v="MAIN"/>
    <x v="442"/>
    <x v="8"/>
    <x v="2"/>
    <s v="Invoice"/>
    <s v="100000146"/>
    <x v="3"/>
    <x v="397"/>
    <x v="2"/>
    <x v="0"/>
    <n v="30"/>
  </r>
  <r>
    <s v="CSWAFFORD"/>
    <s v="12"/>
    <s v="GOLFVENTURES"/>
    <s v="MAIN"/>
    <x v="442"/>
    <x v="8"/>
    <x v="2"/>
    <s v="Invoice"/>
    <s v="100000146"/>
    <x v="209"/>
    <x v="398"/>
    <x v="63"/>
    <x v="0"/>
    <n v="60"/>
  </r>
  <r>
    <s v="CSWAFFORD"/>
    <s v="12"/>
    <s v="GOLFVENTURES"/>
    <s v="MAIN"/>
    <x v="451"/>
    <x v="8"/>
    <x v="2"/>
    <s v="Invoice"/>
    <s v="100000154"/>
    <x v="364"/>
    <x v="321"/>
    <x v="96"/>
    <x v="0"/>
    <n v="120"/>
  </r>
  <r>
    <s v="CSWAFFORD"/>
    <s v="12"/>
    <s v="GOLFVENTURES"/>
    <s v="MAIN"/>
    <x v="451"/>
    <x v="8"/>
    <x v="2"/>
    <s v="Invoice"/>
    <s v="100000154"/>
    <x v="442"/>
    <x v="378"/>
    <x v="109"/>
    <x v="0"/>
    <n v="60"/>
  </r>
  <r>
    <s v="CSWAFFORD"/>
    <s v="12"/>
    <s v="GOLFVENTURES"/>
    <s v="MAIN"/>
    <x v="443"/>
    <x v="8"/>
    <x v="2"/>
    <s v="Invoice"/>
    <s v="100000158"/>
    <x v="330"/>
    <x v="292"/>
    <x v="36"/>
    <x v="0"/>
    <n v="750"/>
  </r>
  <r>
    <s v="CSWAFFORD"/>
    <s v="12"/>
    <s v="GOLFVENTURES"/>
    <s v="MAIN"/>
    <x v="443"/>
    <x v="8"/>
    <x v="2"/>
    <s v="Invoice"/>
    <s v="100000158"/>
    <x v="380"/>
    <x v="334"/>
    <x v="80"/>
    <x v="0"/>
    <n v="550"/>
  </r>
  <r>
    <s v="CSWAFFORD"/>
    <s v="12"/>
    <s v="JRMINC"/>
    <s v="BOBBYWALL"/>
    <x v="443"/>
    <x v="8"/>
    <x v="2"/>
    <s v="Invoice"/>
    <s v="100000162"/>
    <x v="424"/>
    <x v="362"/>
    <x v="47"/>
    <x v="0"/>
    <n v="10"/>
  </r>
  <r>
    <s v="CSWAFFORD"/>
    <s v="12"/>
    <s v="JRMINC"/>
    <s v="BOBBYWALL"/>
    <x v="443"/>
    <x v="8"/>
    <x v="2"/>
    <s v="Invoice"/>
    <s v="100000162"/>
    <x v="85"/>
    <x v="399"/>
    <x v="35"/>
    <x v="0"/>
    <n v="15"/>
  </r>
  <r>
    <s v="CSWAFFORD"/>
    <s v="12"/>
    <s v="JRMINC"/>
    <s v="MORGANTON"/>
    <x v="452"/>
    <x v="8"/>
    <x v="2"/>
    <s v="Invoice"/>
    <s v="100000172"/>
    <x v="457"/>
    <x v="393"/>
    <x v="95"/>
    <x v="0"/>
    <n v="90"/>
  </r>
  <r>
    <s v="CSWAFFORD"/>
    <s v="12"/>
    <s v="JRMINC"/>
    <s v="MORGANTON"/>
    <x v="452"/>
    <x v="8"/>
    <x v="2"/>
    <s v="Invoice"/>
    <s v="100000172"/>
    <x v="209"/>
    <x v="400"/>
    <x v="63"/>
    <x v="0"/>
    <n v="90"/>
  </r>
  <r>
    <s v="CSWAFFORD"/>
    <s v="12"/>
    <s v="GOLFVENTURES"/>
    <s v="MAIN"/>
    <x v="455"/>
    <x v="8"/>
    <x v="2"/>
    <s v="Invoice"/>
    <s v="100000185"/>
    <x v="459"/>
    <x v="265"/>
    <x v="79"/>
    <x v="0"/>
    <n v="25"/>
  </r>
  <r>
    <s v="CSWAFFORD"/>
    <s v="12"/>
    <s v="GOLFVENTURES"/>
    <s v="COUNTRYBOY"/>
    <x v="444"/>
    <x v="8"/>
    <x v="2"/>
    <s v="Invoice"/>
    <s v="100000187"/>
    <x v="353"/>
    <x v="313"/>
    <x v="49"/>
    <x v="0"/>
    <n v="250"/>
  </r>
  <r>
    <s v="CSWAFFORD"/>
    <s v="12"/>
    <s v="JRMINC"/>
    <s v="MAILING"/>
    <x v="439"/>
    <x v="8"/>
    <x v="2"/>
    <s v="Invoice"/>
    <s v="100000198"/>
    <x v="163"/>
    <x v="401"/>
    <x v="56"/>
    <x v="0"/>
    <n v="180"/>
  </r>
  <r>
    <s v="CSWAFFORD"/>
    <s v="12"/>
    <s v="JRMINC"/>
    <s v="STOREITALL"/>
    <x v="446"/>
    <x v="8"/>
    <x v="2"/>
    <s v="Invoice"/>
    <s v="100000216"/>
    <x v="163"/>
    <x v="401"/>
    <x v="56"/>
    <x v="0"/>
    <n v="180"/>
  </r>
  <r>
    <s v="CSWAFFORD"/>
    <s v="12"/>
    <s v="JRMINC"/>
    <s v="STOREITALL"/>
    <x v="446"/>
    <x v="8"/>
    <x v="2"/>
    <s v="Invoice"/>
    <s v="100000216"/>
    <x v="452"/>
    <x v="388"/>
    <x v="112"/>
    <x v="0"/>
    <n v="180"/>
  </r>
  <r>
    <s v="CSWAFFORD"/>
    <s v="12"/>
    <s v="JRMINC"/>
    <s v="STOREITALL"/>
    <x v="446"/>
    <x v="8"/>
    <x v="2"/>
    <s v="Invoice"/>
    <s v="100000216"/>
    <x v="460"/>
    <x v="402"/>
    <x v="115"/>
    <x v="0"/>
    <n v="180"/>
  </r>
  <r>
    <s v="CSWAFFORD"/>
    <s v="12"/>
    <s v="JRMINC"/>
    <s v="STOREITALL"/>
    <x v="446"/>
    <x v="8"/>
    <x v="2"/>
    <s v="Invoice"/>
    <s v="100000216"/>
    <x v="455"/>
    <x v="391"/>
    <x v="56"/>
    <x v="0"/>
    <n v="90"/>
  </r>
  <r>
    <s v="CSWAFFORD"/>
    <s v="12"/>
    <s v="JRMINC"/>
    <s v="STOREITALL"/>
    <x v="446"/>
    <x v="8"/>
    <x v="2"/>
    <s v="Invoice"/>
    <s v="100000216"/>
    <x v="456"/>
    <x v="392"/>
    <x v="10"/>
    <x v="0"/>
    <n v="90"/>
  </r>
  <r>
    <s v="CSWAFFORD"/>
    <s v="12"/>
    <s v="JRMINC"/>
    <s v="STOREITALL"/>
    <x v="446"/>
    <x v="8"/>
    <x v="2"/>
    <s v="Invoice"/>
    <s v="100000216"/>
    <x v="457"/>
    <x v="393"/>
    <x v="95"/>
    <x v="0"/>
    <n v="90"/>
  </r>
  <r>
    <s v="CSWAFFORD"/>
    <s v="12"/>
    <s v="JRMINC"/>
    <s v="STOREITALL"/>
    <x v="446"/>
    <x v="8"/>
    <x v="2"/>
    <s v="Invoice"/>
    <s v="100000216"/>
    <x v="461"/>
    <x v="403"/>
    <x v="95"/>
    <x v="0"/>
    <n v="180"/>
  </r>
  <r>
    <s v="CSWAFFORD"/>
    <s v="12"/>
    <s v="JRMINC"/>
    <s v="STOREITALL"/>
    <x v="446"/>
    <x v="8"/>
    <x v="2"/>
    <s v="Invoice"/>
    <s v="100000216"/>
    <x v="148"/>
    <x v="394"/>
    <x v="29"/>
    <x v="0"/>
    <n v="90"/>
  </r>
  <r>
    <s v="CSWAFFORD"/>
    <s v="12"/>
    <s v="JRMINC"/>
    <s v="STOREITALL"/>
    <x v="446"/>
    <x v="8"/>
    <x v="2"/>
    <s v="Invoice"/>
    <s v="100000216"/>
    <x v="209"/>
    <x v="400"/>
    <x v="63"/>
    <x v="0"/>
    <n v="90"/>
  </r>
  <r>
    <s v="CSWAFFORD"/>
    <s v="12"/>
    <s v="JRMINC"/>
    <s v="REEMS"/>
    <x v="446"/>
    <x v="8"/>
    <x v="2"/>
    <s v="Invoice"/>
    <s v="100000219"/>
    <x v="462"/>
    <x v="403"/>
    <x v="95"/>
    <x v="0"/>
    <n v="55"/>
  </r>
  <r>
    <s v="CSWAFFORD"/>
    <s v="12"/>
    <s v="GOLFVENTURES"/>
    <s v="MAIN"/>
    <x v="446"/>
    <x v="8"/>
    <x v="2"/>
    <s v="Invoice"/>
    <s v="100000220"/>
    <x v="249"/>
    <x v="294"/>
    <x v="70"/>
    <x v="0"/>
    <n v="60"/>
  </r>
  <r>
    <s v="CSWAFFORD"/>
    <s v="12"/>
    <s v="GOLFVENTURES"/>
    <s v="MAIN"/>
    <x v="446"/>
    <x v="8"/>
    <x v="2"/>
    <s v="Invoice"/>
    <s v="100000220"/>
    <x v="439"/>
    <x v="297"/>
    <x v="91"/>
    <x v="0"/>
    <n v="60"/>
  </r>
  <r>
    <s v="CSWAFFORD"/>
    <s v="12"/>
    <s v="GOLFVENTURES"/>
    <s v="MAIN"/>
    <x v="446"/>
    <x v="8"/>
    <x v="2"/>
    <s v="Invoice"/>
    <s v="100000220"/>
    <x v="447"/>
    <x v="383"/>
    <x v="56"/>
    <x v="0"/>
    <n v="60"/>
  </r>
  <r>
    <s v="CSWAFFORD"/>
    <s v="12"/>
    <s v="GOLFVENTURES"/>
    <s v="MAIN"/>
    <x v="446"/>
    <x v="8"/>
    <x v="2"/>
    <s v="Invoice"/>
    <s v="100000222"/>
    <x v="249"/>
    <x v="294"/>
    <x v="70"/>
    <x v="0"/>
    <n v="210"/>
  </r>
  <r>
    <s v="CSWAFFORD"/>
    <s v="12"/>
    <s v="GOLFVENTURES"/>
    <s v="MAIN"/>
    <x v="446"/>
    <x v="8"/>
    <x v="2"/>
    <s v="Invoice"/>
    <s v="100000222"/>
    <x v="333"/>
    <x v="282"/>
    <x v="87"/>
    <x v="0"/>
    <n v="420"/>
  </r>
  <r>
    <s v="CSWAFFORD"/>
    <s v="12"/>
    <s v="JRMINC"/>
    <s v="FEDEXFREIGHTTER"/>
    <x v="446"/>
    <x v="8"/>
    <x v="2"/>
    <s v="Invoice"/>
    <s v="100000223"/>
    <x v="379"/>
    <x v="109"/>
    <x v="45"/>
    <x v="0"/>
    <n v="120"/>
  </r>
  <r>
    <s v="CSWAFFORD"/>
    <s v="12"/>
    <s v="GOLFVENTURES"/>
    <s v="MAIN"/>
    <x v="446"/>
    <x v="8"/>
    <x v="2"/>
    <s v="Invoice"/>
    <s v="100000224"/>
    <x v="423"/>
    <x v="404"/>
    <x v="22"/>
    <x v="2"/>
    <n v="0.1658"/>
  </r>
  <r>
    <s v="HAP"/>
    <s v="01"/>
    <s v="GREENWAY"/>
    <s v="WAREHOUSE"/>
    <x v="456"/>
    <x v="9"/>
    <x v="2"/>
    <s v="Invoice"/>
    <s v="100000275"/>
    <x v="3"/>
    <x v="379"/>
    <x v="2"/>
    <x v="0"/>
    <n v="120"/>
  </r>
  <r>
    <s v="HAP"/>
    <s v="01"/>
    <s v="GREENWAY"/>
    <s v="WAREHOUSE"/>
    <x v="456"/>
    <x v="9"/>
    <x v="2"/>
    <s v="Invoice"/>
    <s v="100000275"/>
    <x v="8"/>
    <x v="7"/>
    <x v="7"/>
    <x v="0"/>
    <n v="60"/>
  </r>
  <r>
    <s v="HAP"/>
    <s v="01"/>
    <s v="GREENWAY"/>
    <s v="WAREHOUSE"/>
    <x v="456"/>
    <x v="9"/>
    <x v="2"/>
    <s v="Invoice"/>
    <s v="100000275"/>
    <x v="21"/>
    <x v="16"/>
    <x v="16"/>
    <x v="0"/>
    <n v="60"/>
  </r>
  <r>
    <s v="HAP"/>
    <s v="01"/>
    <s v="GREENWAY"/>
    <s v="WAREHOUSE"/>
    <x v="456"/>
    <x v="9"/>
    <x v="2"/>
    <s v="Invoice"/>
    <s v="100000275"/>
    <x v="22"/>
    <x v="17"/>
    <x v="17"/>
    <x v="0"/>
    <n v="60"/>
  </r>
  <r>
    <s v="HAP"/>
    <s v="01"/>
    <s v="GREENWAY"/>
    <s v="WAREHOUSE"/>
    <x v="456"/>
    <x v="9"/>
    <x v="2"/>
    <s v="Invoice"/>
    <s v="100000275"/>
    <x v="12"/>
    <x v="11"/>
    <x v="11"/>
    <x v="0"/>
    <n v="120"/>
  </r>
  <r>
    <s v="HAP"/>
    <s v="01"/>
    <s v="GREENWAY"/>
    <s v="WAREHOUSE"/>
    <x v="456"/>
    <x v="9"/>
    <x v="2"/>
    <s v="Invoice"/>
    <s v="100000275"/>
    <x v="6"/>
    <x v="5"/>
    <x v="5"/>
    <x v="0"/>
    <n v="60"/>
  </r>
  <r>
    <s v="HAP"/>
    <s v="01"/>
    <s v="GREENWAY"/>
    <s v="WAREHOUSE"/>
    <x v="456"/>
    <x v="9"/>
    <x v="2"/>
    <s v="Invoice"/>
    <s v="100000275"/>
    <x v="2"/>
    <x v="0"/>
    <x v="0"/>
    <x v="0"/>
    <n v="120"/>
  </r>
  <r>
    <s v="HAP"/>
    <s v="01"/>
    <s v="GREENWAY"/>
    <s v="WAREHOUSE"/>
    <x v="457"/>
    <x v="9"/>
    <x v="2"/>
    <s v="Invoice"/>
    <s v="100000290"/>
    <x v="7"/>
    <x v="6"/>
    <x v="6"/>
    <x v="0"/>
    <n v="20"/>
  </r>
  <r>
    <s v="HAP"/>
    <s v="01"/>
    <s v="GREENWAY"/>
    <s v="WAREHOUSE"/>
    <x v="457"/>
    <x v="9"/>
    <x v="2"/>
    <s v="Invoice"/>
    <s v="100000290"/>
    <x v="6"/>
    <x v="5"/>
    <x v="5"/>
    <x v="0"/>
    <n v="40"/>
  </r>
  <r>
    <s v="HAP"/>
    <s v="01"/>
    <s v="GREENWAY"/>
    <s v="HOUSTONOAKS"/>
    <x v="458"/>
    <x v="9"/>
    <x v="2"/>
    <s v="Invoice"/>
    <s v="100000375"/>
    <x v="3"/>
    <x v="379"/>
    <x v="2"/>
    <x v="0"/>
    <n v="40"/>
  </r>
  <r>
    <s v="HAP"/>
    <s v="01"/>
    <s v="GREENWAY"/>
    <s v="HOUSTONOAKS"/>
    <x v="458"/>
    <x v="9"/>
    <x v="2"/>
    <s v="Invoice"/>
    <s v="100000375"/>
    <x v="4"/>
    <x v="3"/>
    <x v="3"/>
    <x v="0"/>
    <n v="40"/>
  </r>
  <r>
    <s v="HAP"/>
    <s v="01"/>
    <s v="GREENWAY"/>
    <s v="HOUSTONOAKS"/>
    <x v="458"/>
    <x v="9"/>
    <x v="2"/>
    <s v="Invoice"/>
    <s v="100000375"/>
    <x v="5"/>
    <x v="4"/>
    <x v="4"/>
    <x v="0"/>
    <n v="40"/>
  </r>
  <r>
    <s v="HAP"/>
    <s v="01"/>
    <s v="GREENWAY"/>
    <s v="HOUSTONOAKS"/>
    <x v="458"/>
    <x v="9"/>
    <x v="2"/>
    <s v="Invoice"/>
    <s v="100000375"/>
    <x v="6"/>
    <x v="5"/>
    <x v="5"/>
    <x v="0"/>
    <n v="40"/>
  </r>
  <r>
    <s v="HAP"/>
    <s v="01"/>
    <s v="GREENWAY"/>
    <s v="HOUSTONOAKS"/>
    <x v="458"/>
    <x v="9"/>
    <x v="2"/>
    <s v="Invoice"/>
    <s v="100000375"/>
    <x v="2"/>
    <x v="0"/>
    <x v="0"/>
    <x v="0"/>
    <n v="40"/>
  </r>
  <r>
    <s v="DAVID"/>
    <s v="02"/>
    <s v="THEANDERSON"/>
    <s v="LK PLACID"/>
    <x v="459"/>
    <x v="9"/>
    <x v="2"/>
    <s v="Invoice"/>
    <s v="100000244"/>
    <x v="124"/>
    <x v="201"/>
    <x v="20"/>
    <x v="1"/>
    <n v="45320"/>
  </r>
  <r>
    <s v="DAVID"/>
    <s v="02"/>
    <s v="CASH SALES"/>
    <s v="STEVESUTTON"/>
    <x v="460"/>
    <x v="9"/>
    <x v="2"/>
    <s v="Invoice"/>
    <s v="100000283"/>
    <x v="463"/>
    <x v="405"/>
    <x v="20"/>
    <x v="1"/>
    <n v="50"/>
  </r>
  <r>
    <s v="DAVID"/>
    <s v="02"/>
    <s v="GEOPONICSCORP"/>
    <s v="NAPLES UNIT-105"/>
    <x v="461"/>
    <x v="9"/>
    <x v="2"/>
    <s v="Invoice"/>
    <s v="100000306"/>
    <x v="282"/>
    <x v="26"/>
    <x v="24"/>
    <x v="0"/>
    <n v="55"/>
  </r>
  <r>
    <s v="DAVID"/>
    <s v="02"/>
    <s v="CPSWACHU"/>
    <s v="WAUCHULA"/>
    <x v="462"/>
    <x v="9"/>
    <x v="2"/>
    <s v="Invoice"/>
    <s v="100000330A"/>
    <x v="267"/>
    <x v="235"/>
    <x v="75"/>
    <x v="0"/>
    <n v="70"/>
  </r>
  <r>
    <s v="DAVID"/>
    <s v="02"/>
    <s v="INNOVATIVE"/>
    <s v="INNOVATIVE"/>
    <x v="463"/>
    <x v="9"/>
    <x v="2"/>
    <s v="Invoice"/>
    <s v="100000355"/>
    <x v="464"/>
    <x v="369"/>
    <x v="107"/>
    <x v="0"/>
    <n v="55"/>
  </r>
  <r>
    <s v="DAVID"/>
    <s v="02"/>
    <s v="INNOVATIVE"/>
    <s v="INNOVATIVE"/>
    <x v="463"/>
    <x v="9"/>
    <x v="2"/>
    <s v="Invoice"/>
    <s v="100000355"/>
    <x v="285"/>
    <x v="406"/>
    <x v="43"/>
    <x v="0"/>
    <n v="110"/>
  </r>
  <r>
    <s v="DAVID"/>
    <s v="02"/>
    <s v="INNOVATIVE"/>
    <s v="INNOVATIVE"/>
    <x v="463"/>
    <x v="9"/>
    <x v="2"/>
    <s v="Invoice"/>
    <s v="100000355"/>
    <x v="465"/>
    <x v="407"/>
    <x v="53"/>
    <x v="0"/>
    <n v="220"/>
  </r>
  <r>
    <s v="DAVID"/>
    <s v="02"/>
    <s v="INNOVATIVE"/>
    <s v="INNOVATIVE"/>
    <x v="463"/>
    <x v="9"/>
    <x v="2"/>
    <s v="Invoice"/>
    <s v="100000355"/>
    <x v="466"/>
    <x v="156"/>
    <x v="9"/>
    <x v="0"/>
    <n v="55"/>
  </r>
  <r>
    <s v="DAVID"/>
    <s v="02"/>
    <s v="INNOVATIVE"/>
    <s v="INNOVATIVE"/>
    <x v="463"/>
    <x v="9"/>
    <x v="2"/>
    <s v="Invoice"/>
    <s v="100000355"/>
    <x v="467"/>
    <x v="29"/>
    <x v="26"/>
    <x v="0"/>
    <n v="55"/>
  </r>
  <r>
    <s v="DAVID"/>
    <s v="02"/>
    <s v="INNOVATIVE"/>
    <s v="INNOVATIVE"/>
    <x v="463"/>
    <x v="9"/>
    <x v="2"/>
    <s v="Invoice"/>
    <s v="100000355"/>
    <x v="468"/>
    <x v="35"/>
    <x v="29"/>
    <x v="0"/>
    <n v="110"/>
  </r>
  <r>
    <s v="DAVID"/>
    <s v="02"/>
    <s v="INNOVATIVE"/>
    <s v="INNOVATIVE"/>
    <x v="463"/>
    <x v="9"/>
    <x v="2"/>
    <s v="Invoice"/>
    <s v="100000355"/>
    <x v="469"/>
    <x v="382"/>
    <x v="59"/>
    <x v="0"/>
    <n v="55"/>
  </r>
  <r>
    <s v="JUSTIN"/>
    <s v="03"/>
    <s v="CPSPARRI"/>
    <s v="PARRISH"/>
    <x v="464"/>
    <x v="9"/>
    <x v="2"/>
    <s v="Invoice"/>
    <s v="100000260"/>
    <x v="36"/>
    <x v="31"/>
    <x v="4"/>
    <x v="0"/>
    <n v="180"/>
  </r>
  <r>
    <s v="JUSTIN"/>
    <s v="03"/>
    <s v="GRIFFINF"/>
    <s v="FROSTPROOF"/>
    <x v="464"/>
    <x v="9"/>
    <x v="2"/>
    <s v="Invoice"/>
    <s v="100000262"/>
    <x v="36"/>
    <x v="31"/>
    <x v="4"/>
    <x v="0"/>
    <n v="720"/>
  </r>
  <r>
    <s v="JUSTIN"/>
    <s v="03"/>
    <s v="GRIFFINF"/>
    <s v="FROSTPROOF"/>
    <x v="464"/>
    <x v="9"/>
    <x v="2"/>
    <s v="Invoice"/>
    <s v="100000262"/>
    <x v="197"/>
    <x v="31"/>
    <x v="4"/>
    <x v="0"/>
    <n v="250"/>
  </r>
  <r>
    <s v="JUSTIN"/>
    <s v="03"/>
    <s v="GRIFFINF"/>
    <s v="FROSTPROOF"/>
    <x v="456"/>
    <x v="9"/>
    <x v="2"/>
    <s v="Invoice"/>
    <s v="100000272"/>
    <x v="96"/>
    <x v="90"/>
    <x v="39"/>
    <x v="0"/>
    <n v="180"/>
  </r>
  <r>
    <s v="JUSTIN"/>
    <s v="03"/>
    <s v="GRIFFINF"/>
    <s v="FROSTPROOF"/>
    <x v="456"/>
    <x v="9"/>
    <x v="2"/>
    <s v="Invoice"/>
    <s v="100000272"/>
    <x v="197"/>
    <x v="31"/>
    <x v="4"/>
    <x v="0"/>
    <n v="750"/>
  </r>
  <r>
    <s v="JUSTIN"/>
    <s v="03"/>
    <s v="FLORIDAF"/>
    <s v="FLORIDA FERTILI"/>
    <x v="457"/>
    <x v="9"/>
    <x v="2"/>
    <s v="Invoice"/>
    <s v="100000286"/>
    <x v="135"/>
    <x v="121"/>
    <x v="51"/>
    <x v="0"/>
    <n v="1000"/>
  </r>
  <r>
    <s v="JUSTIN"/>
    <s v="03"/>
    <s v="GRIFFINF"/>
    <s v="FROSTPROOF"/>
    <x v="465"/>
    <x v="9"/>
    <x v="2"/>
    <s v="Invoice"/>
    <s v="100000301"/>
    <x v="36"/>
    <x v="31"/>
    <x v="4"/>
    <x v="0"/>
    <n v="1080"/>
  </r>
  <r>
    <s v="JUSTIN"/>
    <s v="03"/>
    <s v="GRIFFINF"/>
    <s v="FROSTPROOF"/>
    <x v="465"/>
    <x v="9"/>
    <x v="2"/>
    <s v="Invoice"/>
    <s v="100000301"/>
    <x v="197"/>
    <x v="31"/>
    <x v="4"/>
    <x v="0"/>
    <n v="500"/>
  </r>
  <r>
    <s v="JUSTIN"/>
    <s v="03"/>
    <s v="CPSFTPIE"/>
    <s v="FT. PIERCE"/>
    <x v="466"/>
    <x v="9"/>
    <x v="2"/>
    <s v="Invoice"/>
    <s v="100000324"/>
    <x v="74"/>
    <x v="67"/>
    <x v="7"/>
    <x v="0"/>
    <n v="750"/>
  </r>
  <r>
    <s v="JUSTIN"/>
    <s v="03"/>
    <s v="CPSWAVER"/>
    <s v="WAVERLY"/>
    <x v="466"/>
    <x v="9"/>
    <x v="2"/>
    <s v="Invoice"/>
    <s v="100000325"/>
    <x v="100"/>
    <x v="94"/>
    <x v="41"/>
    <x v="0"/>
    <n v="2000"/>
  </r>
  <r>
    <s v="JUSTIN"/>
    <s v="03"/>
    <s v="TRIANGLE"/>
    <s v="TRIANGLE/LAKEPL"/>
    <x v="462"/>
    <x v="9"/>
    <x v="2"/>
    <s v="Invoice"/>
    <s v="100000331"/>
    <x v="197"/>
    <x v="31"/>
    <x v="4"/>
    <x v="0"/>
    <n v="500"/>
  </r>
  <r>
    <s v="JUSTIN"/>
    <s v="03"/>
    <s v="CPSOKEE"/>
    <s v="OKEE-LIQ PLANT"/>
    <x v="462"/>
    <x v="9"/>
    <x v="2"/>
    <s v="Invoice"/>
    <s v="100000332"/>
    <x v="134"/>
    <x v="94"/>
    <x v="41"/>
    <x v="0"/>
    <n v="2994"/>
  </r>
  <r>
    <s v="JUSTIN"/>
    <s v="03"/>
    <s v="CPSWAVER"/>
    <s v="WAVERLY"/>
    <x v="462"/>
    <x v="9"/>
    <x v="2"/>
    <s v="Invoice"/>
    <s v="100000334"/>
    <x v="264"/>
    <x v="156"/>
    <x v="9"/>
    <x v="0"/>
    <n v="250"/>
  </r>
  <r>
    <s v="JUSTIN"/>
    <s v="03"/>
    <s v="CPSPARRI"/>
    <s v="PARRISH"/>
    <x v="467"/>
    <x v="9"/>
    <x v="2"/>
    <s v="Invoice"/>
    <s v="100000336"/>
    <x v="40"/>
    <x v="35"/>
    <x v="29"/>
    <x v="0"/>
    <n v="180"/>
  </r>
  <r>
    <s v="JUSTIN"/>
    <s v="03"/>
    <s v="CPSWACHU"/>
    <s v="WAUCHULA"/>
    <x v="467"/>
    <x v="9"/>
    <x v="2"/>
    <s v="Invoice"/>
    <s v="100000337"/>
    <x v="100"/>
    <x v="94"/>
    <x v="41"/>
    <x v="0"/>
    <n v="1060"/>
  </r>
  <r>
    <s v="JUSTIN"/>
    <s v="03"/>
    <s v="CPSWACHU"/>
    <s v="WAUCHULA"/>
    <x v="467"/>
    <x v="9"/>
    <x v="2"/>
    <s v="Invoice"/>
    <s v="100000337"/>
    <x v="324"/>
    <x v="286"/>
    <x v="13"/>
    <x v="0"/>
    <n v="500"/>
  </r>
  <r>
    <s v="JUSTIN"/>
    <s v="03"/>
    <s v="CPSPARRI"/>
    <s v="PARRISH"/>
    <x v="468"/>
    <x v="9"/>
    <x v="2"/>
    <s v="Invoice"/>
    <s v="100000346"/>
    <x v="108"/>
    <x v="59"/>
    <x v="32"/>
    <x v="0"/>
    <n v="35"/>
  </r>
  <r>
    <s v="JUSTIN"/>
    <s v="03"/>
    <s v="GRIFFINF"/>
    <s v="FROSTPROOF"/>
    <x v="469"/>
    <x v="9"/>
    <x v="2"/>
    <s v="Invoice"/>
    <s v="100000364"/>
    <x v="96"/>
    <x v="90"/>
    <x v="39"/>
    <x v="0"/>
    <n v="180"/>
  </r>
  <r>
    <s v="JUSTIN"/>
    <s v="03"/>
    <s v="GRIFFINF"/>
    <s v="FROSTPROOF"/>
    <x v="469"/>
    <x v="9"/>
    <x v="2"/>
    <s v="Invoice"/>
    <s v="100000364"/>
    <x v="36"/>
    <x v="31"/>
    <x v="4"/>
    <x v="0"/>
    <n v="1080"/>
  </r>
  <r>
    <s v="DPOPPELL"/>
    <s v="04"/>
    <s v="ELIASCEDILLO"/>
    <s v="TRAPNELL"/>
    <x v="459"/>
    <x v="9"/>
    <x v="2"/>
    <s v="Invoice"/>
    <s v="100000245"/>
    <x v="43"/>
    <x v="38"/>
    <x v="22"/>
    <x v="2"/>
    <n v="0.5"/>
  </r>
  <r>
    <s v="DPOPPELL"/>
    <s v="04"/>
    <s v="GUILLERMOV"/>
    <s v="MAIN"/>
    <x v="470"/>
    <x v="9"/>
    <x v="2"/>
    <s v="Invoice"/>
    <s v="100000253"/>
    <x v="53"/>
    <x v="46"/>
    <x v="22"/>
    <x v="2"/>
    <n v="0.15"/>
  </r>
  <r>
    <s v="DPOPPELL"/>
    <s v="04"/>
    <s v="TONYPALAFOX"/>
    <s v="MAILING"/>
    <x v="470"/>
    <x v="9"/>
    <x v="2"/>
    <s v="Invoice"/>
    <s v="100000254"/>
    <x v="34"/>
    <x v="29"/>
    <x v="26"/>
    <x v="0"/>
    <n v="2.5"/>
  </r>
  <r>
    <s v="DPOPPELL"/>
    <s v="04"/>
    <s v="FLORIDAAG"/>
    <s v="KINGSWAY"/>
    <x v="471"/>
    <x v="9"/>
    <x v="2"/>
    <s v="Invoice"/>
    <s v="100000257"/>
    <x v="326"/>
    <x v="289"/>
    <x v="22"/>
    <x v="2"/>
    <n v="1.4975000000000001"/>
  </r>
  <r>
    <s v="DPOPPELL"/>
    <s v="04"/>
    <s v="ROBBIETO"/>
    <s v="THONOTOSASSA"/>
    <x v="471"/>
    <x v="9"/>
    <x v="2"/>
    <s v="Invoice"/>
    <s v="100000259"/>
    <x v="329"/>
    <x v="371"/>
    <x v="3"/>
    <x v="0"/>
    <n v="10"/>
  </r>
  <r>
    <s v="DPOPPELL"/>
    <s v="04"/>
    <s v="PARKESDA"/>
    <s v="BLACKBERRIES"/>
    <x v="472"/>
    <x v="9"/>
    <x v="2"/>
    <s v="Invoice"/>
    <s v="100000265"/>
    <x v="69"/>
    <x v="62"/>
    <x v="22"/>
    <x v="2"/>
    <n v="1.3220000000000001"/>
  </r>
  <r>
    <s v="DPOPPELL"/>
    <s v="04"/>
    <s v="CHANFARM"/>
    <s v="KNIGHTS GRIFFIN"/>
    <x v="456"/>
    <x v="9"/>
    <x v="2"/>
    <s v="Invoice"/>
    <s v="100000270"/>
    <x v="51"/>
    <x v="44"/>
    <x v="22"/>
    <x v="2"/>
    <n v="2.5"/>
  </r>
  <r>
    <s v="DPOPPELL"/>
    <s v="04"/>
    <s v="SOUTHERNHILL"/>
    <s v="SCHOFIELD"/>
    <x v="456"/>
    <x v="9"/>
    <x v="2"/>
    <s v="Invoice"/>
    <s v="100000274"/>
    <x v="47"/>
    <x v="41"/>
    <x v="22"/>
    <x v="2"/>
    <n v="2.5"/>
  </r>
  <r>
    <s v="DPOPPELL"/>
    <s v="04"/>
    <s v="FLORIDAAG"/>
    <s v="KINGSWAY"/>
    <x v="461"/>
    <x v="9"/>
    <x v="2"/>
    <s v="Invoice"/>
    <s v="100000305"/>
    <x v="309"/>
    <x v="273"/>
    <x v="20"/>
    <x v="1"/>
    <n v="1750"/>
  </r>
  <r>
    <s v="DPOPPELL"/>
    <s v="04"/>
    <s v="ROBBIETO"/>
    <s v="THONOTOSASSA"/>
    <x v="466"/>
    <x v="9"/>
    <x v="2"/>
    <s v="Invoice"/>
    <s v="100000326"/>
    <x v="36"/>
    <x v="31"/>
    <x v="4"/>
    <x v="0"/>
    <n v="5"/>
  </r>
  <r>
    <s v="DPOPPELL"/>
    <s v="04"/>
    <s v="FLORIDAAG"/>
    <s v="KINGSWAY"/>
    <x v="466"/>
    <x v="9"/>
    <x v="2"/>
    <s v="Invoice"/>
    <s v="100000329"/>
    <x v="326"/>
    <x v="289"/>
    <x v="22"/>
    <x v="2"/>
    <n v="1.5"/>
  </r>
  <r>
    <s v="DPOPPELL"/>
    <s v="04"/>
    <s v="CHANFARM"/>
    <s v="KNIGHTS GRIFFIN"/>
    <x v="468"/>
    <x v="9"/>
    <x v="2"/>
    <s v="Invoice"/>
    <s v="100000345"/>
    <x v="51"/>
    <x v="44"/>
    <x v="22"/>
    <x v="2"/>
    <n v="2.5"/>
  </r>
  <r>
    <s v="DPOPPELL"/>
    <s v="04"/>
    <s v="FAVORITE"/>
    <s v="MCINTOSH ROAD"/>
    <x v="463"/>
    <x v="9"/>
    <x v="2"/>
    <s v="Invoice"/>
    <s v="100000366A"/>
    <x v="470"/>
    <x v="408"/>
    <x v="20"/>
    <x v="1"/>
    <n v="8000"/>
  </r>
  <r>
    <s v="DPOPPELL"/>
    <s v="04"/>
    <s v="HAMSFARM"/>
    <s v="JOE MCINTOSH W"/>
    <x v="458"/>
    <x v="9"/>
    <x v="2"/>
    <s v="Invoice"/>
    <s v="100000374"/>
    <x v="471"/>
    <x v="149"/>
    <x v="30"/>
    <x v="0"/>
    <n v="153"/>
  </r>
  <r>
    <s v="HOUSE"/>
    <s v="05"/>
    <s v="SOUTHERN"/>
    <s v="SOUTHERN AG"/>
    <x v="472"/>
    <x v="9"/>
    <x v="2"/>
    <s v="Invoice"/>
    <s v="100000266"/>
    <x v="5"/>
    <x v="409"/>
    <x v="4"/>
    <x v="0"/>
    <n v="540"/>
  </r>
  <r>
    <s v="HOUSE"/>
    <s v="05"/>
    <s v="NATURALEARTH"/>
    <s v="OVIEDO"/>
    <x v="456"/>
    <x v="9"/>
    <x v="2"/>
    <s v="Invoice"/>
    <s v="100000271"/>
    <x v="101"/>
    <x v="21"/>
    <x v="21"/>
    <x v="0"/>
    <n v="10"/>
  </r>
  <r>
    <s v="HOUSE"/>
    <s v="05"/>
    <s v="NATURALEARTH"/>
    <s v="OVIEDO"/>
    <x v="456"/>
    <x v="9"/>
    <x v="2"/>
    <s v="Invoice"/>
    <s v="100000271"/>
    <x v="8"/>
    <x v="67"/>
    <x v="7"/>
    <x v="0"/>
    <n v="20"/>
  </r>
  <r>
    <s v="HOUSE"/>
    <s v="05"/>
    <s v="SOUTHERN"/>
    <s v="SOUTHERN AG"/>
    <x v="457"/>
    <x v="9"/>
    <x v="2"/>
    <s v="Invoice"/>
    <s v="100000288"/>
    <x v="33"/>
    <x v="28"/>
    <x v="2"/>
    <x v="0"/>
    <n v="180"/>
  </r>
  <r>
    <s v="HOUSE"/>
    <s v="05"/>
    <s v="SOUTHERN"/>
    <s v="SOUTHERN AG"/>
    <x v="473"/>
    <x v="9"/>
    <x v="2"/>
    <s v="Invoice"/>
    <s v="100000310"/>
    <x v="48"/>
    <x v="33"/>
    <x v="28"/>
    <x v="0"/>
    <n v="180"/>
  </r>
  <r>
    <s v="HOUSE"/>
    <s v="05"/>
    <s v="CPSHOMES"/>
    <s v="HOMESTEAD"/>
    <x v="468"/>
    <x v="9"/>
    <x v="2"/>
    <s v="Invoice"/>
    <s v="100000344"/>
    <x v="427"/>
    <x v="128"/>
    <x v="29"/>
    <x v="0"/>
    <n v="120"/>
  </r>
  <r>
    <s v="HOUSE"/>
    <s v="05"/>
    <s v="SOUTHERN"/>
    <s v="SOUTHERN AG"/>
    <x v="468"/>
    <x v="9"/>
    <x v="2"/>
    <s v="Invoice"/>
    <s v="100000347"/>
    <x v="211"/>
    <x v="187"/>
    <x v="17"/>
    <x v="0"/>
    <n v="60"/>
  </r>
  <r>
    <s v="HOUSE"/>
    <s v="05"/>
    <s v="SOUTHERN"/>
    <s v="SOUTHERN AG"/>
    <x v="468"/>
    <x v="9"/>
    <x v="2"/>
    <s v="Invoice"/>
    <s v="100000348"/>
    <x v="133"/>
    <x v="109"/>
    <x v="45"/>
    <x v="0"/>
    <n v="30"/>
  </r>
  <r>
    <s v="HOUSE"/>
    <s v="05"/>
    <s v="SOUTHEASTTURF"/>
    <s v="SHELLPOINT"/>
    <x v="468"/>
    <x v="9"/>
    <x v="2"/>
    <s v="Invoice"/>
    <s v="100000349"/>
    <x v="298"/>
    <x v="109"/>
    <x v="45"/>
    <x v="0"/>
    <n v="55"/>
  </r>
  <r>
    <s v="BRIDGE"/>
    <s v="06"/>
    <s v="DELSTAR"/>
    <s v="FORTPAYNE"/>
    <x v="459"/>
    <x v="9"/>
    <x v="2"/>
    <s v="Invoice"/>
    <s v="100000248"/>
    <x v="87"/>
    <x v="88"/>
    <x v="8"/>
    <x v="0"/>
    <n v="500"/>
  </r>
  <r>
    <s v="BRIDGE"/>
    <s v="06"/>
    <s v="CHAMPIONCHEM"/>
    <s v="MAIN"/>
    <x v="474"/>
    <x v="9"/>
    <x v="2"/>
    <s v="Invoice"/>
    <s v="100000280"/>
    <x v="34"/>
    <x v="29"/>
    <x v="26"/>
    <x v="0"/>
    <n v="540"/>
  </r>
  <r>
    <s v="BRIDGE"/>
    <s v="06"/>
    <s v="CHAMPIONCHEM"/>
    <s v="MAIN"/>
    <x v="474"/>
    <x v="9"/>
    <x v="2"/>
    <s v="Invoice"/>
    <s v="100000280"/>
    <x v="166"/>
    <x v="29"/>
    <x v="26"/>
    <x v="0"/>
    <n v="250"/>
  </r>
  <r>
    <s v="BRIDGE"/>
    <s v="06"/>
    <s v="CHAMPIONCHEM"/>
    <s v="MAIN"/>
    <x v="474"/>
    <x v="9"/>
    <x v="2"/>
    <s v="Invoice"/>
    <s v="100000281"/>
    <x v="166"/>
    <x v="29"/>
    <x v="26"/>
    <x v="0"/>
    <n v="1000"/>
  </r>
  <r>
    <s v="BRIDGE"/>
    <s v="06"/>
    <s v="TRIANGLE/GA"/>
    <s v="TUNICA"/>
    <x v="474"/>
    <x v="9"/>
    <x v="2"/>
    <s v="Invoice"/>
    <s v="100000282"/>
    <x v="34"/>
    <x v="29"/>
    <x v="26"/>
    <x v="0"/>
    <n v="360"/>
  </r>
  <r>
    <s v="BRIDGE"/>
    <s v="06"/>
    <s v="TRIANGLE/GA"/>
    <s v="TUNICA"/>
    <x v="474"/>
    <x v="9"/>
    <x v="2"/>
    <s v="Invoice"/>
    <s v="100000282"/>
    <x v="166"/>
    <x v="29"/>
    <x v="26"/>
    <x v="0"/>
    <n v="250"/>
  </r>
  <r>
    <s v=""/>
    <s v="07"/>
    <s v="MILLERBL"/>
    <s v="PALATKA"/>
    <x v="459"/>
    <x v="9"/>
    <x v="2"/>
    <s v="Invoice"/>
    <s v="100000246"/>
    <x v="208"/>
    <x v="184"/>
    <x v="22"/>
    <x v="2"/>
    <n v="9.8825000000000003"/>
  </r>
  <r>
    <s v="CHEAD"/>
    <s v="07"/>
    <s v="UFPSUNIT"/>
    <s v="CITRA FARM"/>
    <x v="459"/>
    <x v="9"/>
    <x v="2"/>
    <s v="Invoice"/>
    <s v="100000247"/>
    <x v="73"/>
    <x v="66"/>
    <x v="22"/>
    <x v="2"/>
    <n v="2.5099999999999998"/>
  </r>
  <r>
    <s v="CHEAD"/>
    <s v="07"/>
    <s v="MILLERBL"/>
    <s v="PALATKA"/>
    <x v="456"/>
    <x v="9"/>
    <x v="2"/>
    <s v="Invoice"/>
    <s v="100000273"/>
    <x v="208"/>
    <x v="184"/>
    <x v="22"/>
    <x v="2"/>
    <n v="5.0025000000000004"/>
  </r>
  <r>
    <s v="CHEAD"/>
    <s v="07"/>
    <s v="TRIANGLE"/>
    <s v="83FARMS"/>
    <x v="461"/>
    <x v="9"/>
    <x v="2"/>
    <s v="Invoice"/>
    <s v="100000304"/>
    <x v="87"/>
    <x v="88"/>
    <x v="8"/>
    <x v="0"/>
    <n v="750"/>
  </r>
  <r>
    <s v=""/>
    <s v="07"/>
    <s v="MILLERBL"/>
    <s v="PALATKA"/>
    <x v="458"/>
    <x v="9"/>
    <x v="2"/>
    <s v="Invoice"/>
    <s v="100000377"/>
    <x v="208"/>
    <x v="184"/>
    <x v="22"/>
    <x v="2"/>
    <n v="15.0075"/>
  </r>
  <r>
    <s v="DPOPPELL1"/>
    <s v="08"/>
    <s v="COASTALAGSUPPLY"/>
    <s v="MAILING"/>
    <x v="459"/>
    <x v="9"/>
    <x v="2"/>
    <s v="Invoice"/>
    <s v="100000241"/>
    <x v="75"/>
    <x v="68"/>
    <x v="22"/>
    <x v="2"/>
    <n v="1.2450000000000001"/>
  </r>
  <r>
    <s v="DPOPPELL1"/>
    <s v="08"/>
    <s v="COASTALAGSUPPLY"/>
    <s v="MAILING"/>
    <x v="459"/>
    <x v="9"/>
    <x v="2"/>
    <s v="Invoice"/>
    <s v="100000242"/>
    <x v="170"/>
    <x v="33"/>
    <x v="28"/>
    <x v="0"/>
    <n v="1000"/>
  </r>
  <r>
    <s v="DPOPPELL1"/>
    <s v="08"/>
    <s v="MAYO"/>
    <s v="PLANTCITY"/>
    <x v="473"/>
    <x v="9"/>
    <x v="2"/>
    <s v="Invoice"/>
    <s v="100000309"/>
    <x v="210"/>
    <x v="186"/>
    <x v="22"/>
    <x v="2"/>
    <n v="1"/>
  </r>
  <r>
    <s v="GEORGIA"/>
    <s v="09"/>
    <s v="TRIANGLE"/>
    <s v="DONALSONVILLE"/>
    <x v="470"/>
    <x v="9"/>
    <x v="2"/>
    <s v="Invoice"/>
    <s v="100000255"/>
    <x v="258"/>
    <x v="221"/>
    <x v="54"/>
    <x v="0"/>
    <n v="4000"/>
  </r>
  <r>
    <s v=""/>
    <s v="09"/>
    <s v="AGRIBUSI"/>
    <s v="GRIFFITH'S FARM"/>
    <x v="471"/>
    <x v="9"/>
    <x v="2"/>
    <s v="Invoice"/>
    <s v="100000258"/>
    <x v="276"/>
    <x v="244"/>
    <x v="4"/>
    <x v="0"/>
    <n v="250"/>
  </r>
  <r>
    <s v=""/>
    <s v="09"/>
    <s v="AGRIBUSI"/>
    <s v="CPS-DOERUN,GA"/>
    <x v="475"/>
    <x v="9"/>
    <x v="2"/>
    <s v="Invoice"/>
    <s v="100000292"/>
    <x v="250"/>
    <x v="223"/>
    <x v="23"/>
    <x v="0"/>
    <n v="1440"/>
  </r>
  <r>
    <s v="GEORGIA"/>
    <s v="09"/>
    <s v="TRIANGLE"/>
    <s v="SYCAMORE"/>
    <x v="476"/>
    <x v="9"/>
    <x v="2"/>
    <s v="Invoice"/>
    <s v="100000307"/>
    <x v="279"/>
    <x v="193"/>
    <x v="8"/>
    <x v="0"/>
    <n v="250"/>
  </r>
  <r>
    <s v="GEORGIA"/>
    <s v="09"/>
    <s v="GREENRES"/>
    <s v="OCEAN HWY-NC"/>
    <x v="466"/>
    <x v="9"/>
    <x v="2"/>
    <s v="Invoice"/>
    <s v="100000328"/>
    <x v="22"/>
    <x v="69"/>
    <x v="17"/>
    <x v="0"/>
    <n v="180"/>
  </r>
  <r>
    <s v="GEORGIA"/>
    <s v="09"/>
    <s v="GREENRES"/>
    <s v="OCEAN HWY-NC"/>
    <x v="466"/>
    <x v="9"/>
    <x v="2"/>
    <s v="Invoice"/>
    <s v="100000328"/>
    <x v="178"/>
    <x v="182"/>
    <x v="59"/>
    <x v="0"/>
    <n v="180"/>
  </r>
  <r>
    <s v=""/>
    <s v="09"/>
    <s v="AGRIBUSI"/>
    <s v="AGB/ROOSEVELT"/>
    <x v="467"/>
    <x v="9"/>
    <x v="2"/>
    <s v="Invoice"/>
    <s v="100000342"/>
    <x v="250"/>
    <x v="223"/>
    <x v="23"/>
    <x v="0"/>
    <n v="360"/>
  </r>
  <r>
    <s v=""/>
    <s v="09"/>
    <s v="AGRIBUSI"/>
    <s v="AGB/ROOSEVELT"/>
    <x v="467"/>
    <x v="9"/>
    <x v="2"/>
    <s v="Invoice"/>
    <s v="100000342"/>
    <x v="472"/>
    <x v="223"/>
    <x v="20"/>
    <x v="1"/>
    <n v="2500"/>
  </r>
  <r>
    <s v="GEORGIA"/>
    <s v="09"/>
    <s v="CAROLINATU"/>
    <s v="SUMMERFIELDFEED"/>
    <x v="469"/>
    <x v="9"/>
    <x v="2"/>
    <s v="Invoice"/>
    <s v="100000367"/>
    <x v="249"/>
    <x v="222"/>
    <x v="70"/>
    <x v="0"/>
    <n v="30"/>
  </r>
  <r>
    <s v="GEORGIA"/>
    <s v="09"/>
    <s v="CAROLINATU"/>
    <s v="SUMMERFIELDFEED"/>
    <x v="469"/>
    <x v="9"/>
    <x v="2"/>
    <s v="Invoice"/>
    <s v="100000367"/>
    <x v="163"/>
    <x v="227"/>
    <x v="56"/>
    <x v="0"/>
    <n v="50"/>
  </r>
  <r>
    <s v="GEORGIA"/>
    <s v="09"/>
    <s v="CAROLINATU"/>
    <s v="SUMMERFIELDFEED"/>
    <x v="469"/>
    <x v="9"/>
    <x v="2"/>
    <s v="Invoice"/>
    <s v="100000367"/>
    <x v="12"/>
    <x v="410"/>
    <x v="11"/>
    <x v="0"/>
    <n v="30"/>
  </r>
  <r>
    <s v="RPOUND"/>
    <s v="10"/>
    <s v="THEMILL"/>
    <s v="MAIN"/>
    <x v="473"/>
    <x v="9"/>
    <x v="2"/>
    <s v="Invoice"/>
    <s v="100000311"/>
    <x v="4"/>
    <x v="371"/>
    <x v="3"/>
    <x v="0"/>
    <n v="180"/>
  </r>
  <r>
    <s v="CSWAFFORD"/>
    <s v="12"/>
    <s v="GOLFVENTURES"/>
    <s v="COUNTRYBOY"/>
    <x v="464"/>
    <x v="9"/>
    <x v="2"/>
    <s v="Invoice"/>
    <s v="100000261"/>
    <x v="335"/>
    <x v="297"/>
    <x v="91"/>
    <x v="0"/>
    <n v="250"/>
  </r>
  <r>
    <s v="CSWAFFORD"/>
    <s v="12"/>
    <s v="GOLFVENTURES"/>
    <s v="COUNTRYBOY"/>
    <x v="464"/>
    <x v="9"/>
    <x v="2"/>
    <s v="Invoice"/>
    <s v="100000261"/>
    <x v="315"/>
    <x v="279"/>
    <x v="86"/>
    <x v="0"/>
    <n v="250"/>
  </r>
  <r>
    <s v="CSWAFFORD"/>
    <s v="12"/>
    <s v="GOLFVENTURES"/>
    <s v="LAWNWORX"/>
    <x v="456"/>
    <x v="9"/>
    <x v="2"/>
    <s v="Invoice"/>
    <s v="100000268"/>
    <x v="458"/>
    <x v="395"/>
    <x v="114"/>
    <x v="0"/>
    <n v="250"/>
  </r>
  <r>
    <s v="CSWAFFORD"/>
    <s v="12"/>
    <s v="GOLFVENTURES"/>
    <s v="MAIN"/>
    <x v="456"/>
    <x v="9"/>
    <x v="2"/>
    <s v="Invoice"/>
    <s v="100000269"/>
    <x v="365"/>
    <x v="298"/>
    <x v="53"/>
    <x v="0"/>
    <n v="60"/>
  </r>
  <r>
    <s v="CSWAFFORD"/>
    <s v="12"/>
    <s v="GOLFVENTURES"/>
    <s v="MAIN"/>
    <x v="456"/>
    <x v="9"/>
    <x v="2"/>
    <s v="Invoice"/>
    <s v="100000269"/>
    <x v="3"/>
    <x v="411"/>
    <x v="2"/>
    <x v="0"/>
    <n v="60"/>
  </r>
  <r>
    <s v="CSWAFFORD"/>
    <s v="12"/>
    <s v="GOLFVENTURES"/>
    <s v="MAIN"/>
    <x v="456"/>
    <x v="9"/>
    <x v="2"/>
    <s v="Invoice"/>
    <s v="100000269"/>
    <x v="332"/>
    <x v="296"/>
    <x v="90"/>
    <x v="0"/>
    <n v="60"/>
  </r>
  <r>
    <s v="CSWAFFORD"/>
    <s v="12"/>
    <s v="GOLFVENTURES"/>
    <s v="PINETREEGC"/>
    <x v="475"/>
    <x v="9"/>
    <x v="2"/>
    <s v="Invoice"/>
    <s v="100000293"/>
    <x v="319"/>
    <x v="281"/>
    <x v="42"/>
    <x v="0"/>
    <n v="275"/>
  </r>
  <r>
    <s v="CSWAFFORD"/>
    <s v="12"/>
    <s v="GOLFVENTURES"/>
    <s v="MAIN"/>
    <x v="465"/>
    <x v="9"/>
    <x v="2"/>
    <s v="Invoice"/>
    <s v="100000302"/>
    <x v="438"/>
    <x v="373"/>
    <x v="108"/>
    <x v="0"/>
    <n v="60"/>
  </r>
  <r>
    <s v="CSWAFFORD"/>
    <s v="12"/>
    <s v="GOLFVENTURES"/>
    <s v="MAIN"/>
    <x v="465"/>
    <x v="9"/>
    <x v="2"/>
    <s v="Invoice"/>
    <s v="100000302"/>
    <x v="439"/>
    <x v="297"/>
    <x v="91"/>
    <x v="0"/>
    <n v="60"/>
  </r>
  <r>
    <s v="CSWAFFORD"/>
    <s v="12"/>
    <s v="GOLFVENTURES"/>
    <s v="MAIN"/>
    <x v="465"/>
    <x v="9"/>
    <x v="2"/>
    <s v="Invoice"/>
    <s v="100000302"/>
    <x v="12"/>
    <x v="412"/>
    <x v="11"/>
    <x v="0"/>
    <n v="60"/>
  </r>
  <r>
    <s v="CSWAFFORD"/>
    <s v="12"/>
    <s v="JRMINC"/>
    <s v="FEDEXFREIGHTTER"/>
    <x v="477"/>
    <x v="9"/>
    <x v="2"/>
    <s v="Invoice"/>
    <s v="100000318"/>
    <x v="424"/>
    <x v="362"/>
    <x v="47"/>
    <x v="0"/>
    <n v="60"/>
  </r>
  <r>
    <s v="CSWAFFORD"/>
    <s v="12"/>
    <s v="JRMINC"/>
    <s v="FEDEXFREIGHTTER"/>
    <x v="477"/>
    <x v="9"/>
    <x v="2"/>
    <s v="Invoice"/>
    <s v="100000318"/>
    <x v="85"/>
    <x v="399"/>
    <x v="35"/>
    <x v="0"/>
    <n v="60"/>
  </r>
  <r>
    <s v="CSWAFFORD"/>
    <s v="12"/>
    <s v="JRMINC"/>
    <s v="FEDEXFREIGHTTER"/>
    <x v="477"/>
    <x v="9"/>
    <x v="2"/>
    <s v="Invoice"/>
    <s v="100000318"/>
    <x v="211"/>
    <x v="187"/>
    <x v="17"/>
    <x v="0"/>
    <n v="60"/>
  </r>
  <r>
    <s v="CSWAFFORD"/>
    <s v="12"/>
    <s v="GOLFVENTURES"/>
    <s v="THEMOORINGSCLUB"/>
    <x v="466"/>
    <x v="9"/>
    <x v="2"/>
    <s v="Invoice"/>
    <s v="100000323"/>
    <x v="120"/>
    <x v="299"/>
    <x v="45"/>
    <x v="0"/>
    <n v="250"/>
  </r>
  <r>
    <s v="CSWAFFORD"/>
    <s v="12"/>
    <s v="GOLFVENTURES"/>
    <s v="COUNTRYBOY"/>
    <x v="467"/>
    <x v="9"/>
    <x v="2"/>
    <s v="Invoice"/>
    <s v="100000335"/>
    <x v="315"/>
    <x v="279"/>
    <x v="86"/>
    <x v="0"/>
    <n v="250"/>
  </r>
  <r>
    <s v="CSWAFFORD"/>
    <s v="12"/>
    <s v="GOLFVENTURES"/>
    <s v="MAIN"/>
    <x v="468"/>
    <x v="9"/>
    <x v="2"/>
    <s v="Invoice"/>
    <s v="100000343"/>
    <x v="249"/>
    <x v="294"/>
    <x v="70"/>
    <x v="0"/>
    <n v="60"/>
  </r>
  <r>
    <s v="CSWAFFORD"/>
    <s v="12"/>
    <s v="GOLFVENTURES"/>
    <s v="MAIN"/>
    <x v="468"/>
    <x v="9"/>
    <x v="2"/>
    <s v="Invoice"/>
    <s v="100000343"/>
    <x v="443"/>
    <x v="334"/>
    <x v="80"/>
    <x v="0"/>
    <n v="60"/>
  </r>
  <r>
    <s v="CSWAFFORD"/>
    <s v="12"/>
    <s v="GOLFVENTURES"/>
    <s v="MAIN"/>
    <x v="468"/>
    <x v="9"/>
    <x v="2"/>
    <s v="Invoice"/>
    <s v="100000343"/>
    <x v="333"/>
    <x v="282"/>
    <x v="87"/>
    <x v="0"/>
    <n v="60"/>
  </r>
  <r>
    <s v="CSWAFFORD"/>
    <s v="12"/>
    <s v="GOLFVENTURES"/>
    <s v="CHSEAGLERIDGE"/>
    <x v="463"/>
    <x v="9"/>
    <x v="2"/>
    <s v="Invoice"/>
    <s v="100000351"/>
    <x v="319"/>
    <x v="281"/>
    <x v="42"/>
    <x v="0"/>
    <n v="275"/>
  </r>
  <r>
    <s v="CSWAFFORD"/>
    <s v="12"/>
    <s v="GOLFVENTURES"/>
    <s v="MAIN"/>
    <x v="463"/>
    <x v="9"/>
    <x v="2"/>
    <s v="Invoice"/>
    <s v="100000354"/>
    <x v="317"/>
    <x v="267"/>
    <x v="80"/>
    <x v="0"/>
    <n v="1500"/>
  </r>
  <r>
    <s v="CSWAFFORD"/>
    <s v="12"/>
    <s v="GOLFVENTURES"/>
    <s v="MAIN"/>
    <x v="463"/>
    <x v="9"/>
    <x v="2"/>
    <s v="Invoice"/>
    <s v="100000354"/>
    <x v="315"/>
    <x v="279"/>
    <x v="86"/>
    <x v="0"/>
    <n v="1500"/>
  </r>
  <r>
    <s v="CSWAFFORD"/>
    <s v="12"/>
    <s v="GOLFVENTURES"/>
    <s v="DEERINGBAY"/>
    <x v="463"/>
    <x v="9"/>
    <x v="2"/>
    <s v="Invoice"/>
    <s v="100000357"/>
    <x v="120"/>
    <x v="299"/>
    <x v="45"/>
    <x v="0"/>
    <n v="250"/>
  </r>
  <r>
    <s v="CSWAFFORD"/>
    <s v="12"/>
    <s v="GOLFVENTURES"/>
    <s v="ARROWHEAD"/>
    <x v="458"/>
    <x v="9"/>
    <x v="2"/>
    <s v="Invoice"/>
    <s v="100000369"/>
    <x v="423"/>
    <x v="404"/>
    <x v="22"/>
    <x v="2"/>
    <n v="1.5189999999999999"/>
  </r>
  <r>
    <s v="CSWAFFORD"/>
    <s v="12"/>
    <s v="GOLFVENTURES"/>
    <s v="STONEYBROOK"/>
    <x v="458"/>
    <x v="9"/>
    <x v="2"/>
    <s v="Invoice"/>
    <s v="100000370"/>
    <x v="317"/>
    <x v="267"/>
    <x v="80"/>
    <x v="0"/>
    <n v="275"/>
  </r>
  <r>
    <s v="CSWAFFORD"/>
    <s v="12"/>
    <s v="GOLFVENTURES"/>
    <s v="ARROWHEAD"/>
    <x v="458"/>
    <x v="9"/>
    <x v="2"/>
    <s v="Invoice"/>
    <s v="100000371"/>
    <x v="319"/>
    <x v="281"/>
    <x v="42"/>
    <x v="0"/>
    <n v="275"/>
  </r>
  <r>
    <s v="HAP"/>
    <s v="01"/>
    <s v="GREENWAY"/>
    <s v="WAREHOUSE"/>
    <x v="478"/>
    <x v="10"/>
    <x v="2"/>
    <s v="Invoice"/>
    <s v="100000380"/>
    <x v="3"/>
    <x v="379"/>
    <x v="2"/>
    <x v="0"/>
    <n v="120"/>
  </r>
  <r>
    <s v="HAP"/>
    <s v="01"/>
    <s v="GREENWAY"/>
    <s v="WAREHOUSE"/>
    <x v="478"/>
    <x v="10"/>
    <x v="2"/>
    <s v="Invoice"/>
    <s v="100000380"/>
    <x v="8"/>
    <x v="7"/>
    <x v="7"/>
    <x v="0"/>
    <n v="60"/>
  </r>
  <r>
    <s v="HAP"/>
    <s v="01"/>
    <s v="GREENWAY"/>
    <s v="WAREHOUSE"/>
    <x v="478"/>
    <x v="10"/>
    <x v="2"/>
    <s v="Invoice"/>
    <s v="100000380"/>
    <x v="22"/>
    <x v="17"/>
    <x v="17"/>
    <x v="0"/>
    <n v="60"/>
  </r>
  <r>
    <s v="HAP"/>
    <s v="01"/>
    <s v="GREENWAY"/>
    <s v="WAREHOUSE"/>
    <x v="478"/>
    <x v="10"/>
    <x v="2"/>
    <s v="Invoice"/>
    <s v="100000380"/>
    <x v="12"/>
    <x v="11"/>
    <x v="11"/>
    <x v="0"/>
    <n v="120"/>
  </r>
  <r>
    <s v="HAP"/>
    <s v="01"/>
    <s v="GREENWAY"/>
    <s v="WAREHOUSE"/>
    <x v="478"/>
    <x v="10"/>
    <x v="2"/>
    <s v="Invoice"/>
    <s v="100000380"/>
    <x v="6"/>
    <x v="5"/>
    <x v="5"/>
    <x v="0"/>
    <n v="120"/>
  </r>
  <r>
    <s v="HAP"/>
    <s v="01"/>
    <s v="GREENWAY"/>
    <s v="WAREHOUSE"/>
    <x v="478"/>
    <x v="10"/>
    <x v="2"/>
    <s v="Invoice"/>
    <s v="100000380"/>
    <x v="2"/>
    <x v="0"/>
    <x v="0"/>
    <x v="0"/>
    <n v="120"/>
  </r>
  <r>
    <s v="HAP"/>
    <s v="01"/>
    <s v="GREENWAY"/>
    <s v="MIZNER C. CLUB"/>
    <x v="479"/>
    <x v="10"/>
    <x v="2"/>
    <s v="Invoice"/>
    <s v="100000407"/>
    <x v="3"/>
    <x v="379"/>
    <x v="2"/>
    <x v="0"/>
    <n v="50"/>
  </r>
  <r>
    <s v="HAP"/>
    <s v="01"/>
    <s v="GREENWAY"/>
    <s v="MIZNER C. CLUB"/>
    <x v="479"/>
    <x v="10"/>
    <x v="2"/>
    <s v="Invoice"/>
    <s v="100000407"/>
    <x v="5"/>
    <x v="4"/>
    <x v="4"/>
    <x v="0"/>
    <n v="100"/>
  </r>
  <r>
    <s v="HAP"/>
    <s v="01"/>
    <s v="GREENWAY"/>
    <s v="MIZNER C. CLUB"/>
    <x v="479"/>
    <x v="10"/>
    <x v="2"/>
    <s v="Invoice"/>
    <s v="100000407"/>
    <x v="6"/>
    <x v="5"/>
    <x v="5"/>
    <x v="0"/>
    <n v="50"/>
  </r>
  <r>
    <s v="HAP"/>
    <s v="01"/>
    <s v="GREENWAY"/>
    <s v="MIZNER C. CLUB"/>
    <x v="479"/>
    <x v="10"/>
    <x v="2"/>
    <s v="Invoice"/>
    <s v="100000407"/>
    <x v="2"/>
    <x v="0"/>
    <x v="0"/>
    <x v="0"/>
    <n v="100"/>
  </r>
  <r>
    <s v="HAP"/>
    <s v="01"/>
    <s v="ALMARCH"/>
    <s v="THONOTOSASSA"/>
    <x v="480"/>
    <x v="10"/>
    <x v="2"/>
    <s v="Invoice"/>
    <s v="100000417"/>
    <x v="92"/>
    <x v="82"/>
    <x v="35"/>
    <x v="0"/>
    <n v="55"/>
  </r>
  <r>
    <s v="HAP"/>
    <s v="01"/>
    <s v="ALMARCH"/>
    <s v="THONOTOSASSA"/>
    <x v="480"/>
    <x v="10"/>
    <x v="2"/>
    <s v="Invoice"/>
    <s v="100000417"/>
    <x v="22"/>
    <x v="83"/>
    <x v="17"/>
    <x v="0"/>
    <n v="55"/>
  </r>
  <r>
    <s v="HAP"/>
    <s v="01"/>
    <s v="ALMARCH"/>
    <s v="THONOTOSASSA"/>
    <x v="480"/>
    <x v="10"/>
    <x v="2"/>
    <s v="Invoice"/>
    <s v="100000417"/>
    <x v="93"/>
    <x v="84"/>
    <x v="37"/>
    <x v="0"/>
    <n v="55"/>
  </r>
  <r>
    <s v="HAP"/>
    <s v="01"/>
    <s v="GREENWAY"/>
    <s v="JACARANDA G C"/>
    <x v="481"/>
    <x v="10"/>
    <x v="2"/>
    <s v="Invoice"/>
    <s v="100000432"/>
    <x v="188"/>
    <x v="17"/>
    <x v="17"/>
    <x v="0"/>
    <n v="55"/>
  </r>
  <r>
    <s v="HAP"/>
    <s v="01"/>
    <s v="GREENWAY"/>
    <s v="JACARANDA G C"/>
    <x v="481"/>
    <x v="10"/>
    <x v="2"/>
    <s v="Invoice"/>
    <s v="100000432"/>
    <x v="6"/>
    <x v="5"/>
    <x v="5"/>
    <x v="0"/>
    <n v="30"/>
  </r>
  <r>
    <s v="HAP"/>
    <s v="01"/>
    <s v="GREENWAY"/>
    <s v="JACARANDA G C"/>
    <x v="481"/>
    <x v="10"/>
    <x v="2"/>
    <s v="Invoice"/>
    <s v="100000432"/>
    <x v="0"/>
    <x v="0"/>
    <x v="0"/>
    <x v="0"/>
    <n v="55"/>
  </r>
  <r>
    <s v="HAP"/>
    <s v="01"/>
    <s v="GREENWAY"/>
    <s v="WAREHOUSE"/>
    <x v="482"/>
    <x v="10"/>
    <x v="2"/>
    <s v="Invoice"/>
    <s v="100000478"/>
    <x v="3"/>
    <x v="379"/>
    <x v="2"/>
    <x v="0"/>
    <n v="60"/>
  </r>
  <r>
    <s v="HAP"/>
    <s v="01"/>
    <s v="GREENWAY"/>
    <s v="WAREHOUSE"/>
    <x v="482"/>
    <x v="10"/>
    <x v="2"/>
    <s v="Invoice"/>
    <s v="100000478"/>
    <x v="21"/>
    <x v="16"/>
    <x v="16"/>
    <x v="0"/>
    <n v="60"/>
  </r>
  <r>
    <s v="HAP"/>
    <s v="01"/>
    <s v="GREENWAY"/>
    <s v="WAREHOUSE"/>
    <x v="482"/>
    <x v="10"/>
    <x v="2"/>
    <s v="Invoice"/>
    <s v="100000478"/>
    <x v="5"/>
    <x v="4"/>
    <x v="4"/>
    <x v="0"/>
    <n v="120"/>
  </r>
  <r>
    <s v="HAP"/>
    <s v="01"/>
    <s v="GREENWAY"/>
    <s v="WAREHOUSE"/>
    <x v="482"/>
    <x v="10"/>
    <x v="2"/>
    <s v="Invoice"/>
    <s v="100000478"/>
    <x v="22"/>
    <x v="17"/>
    <x v="17"/>
    <x v="0"/>
    <n v="120"/>
  </r>
  <r>
    <s v="HAP"/>
    <s v="01"/>
    <s v="GREENWAY"/>
    <s v="WAREHOUSE"/>
    <x v="482"/>
    <x v="10"/>
    <x v="2"/>
    <s v="Invoice"/>
    <s v="100000478"/>
    <x v="6"/>
    <x v="5"/>
    <x v="5"/>
    <x v="0"/>
    <n v="120"/>
  </r>
  <r>
    <s v="HAP"/>
    <s v="01"/>
    <s v="GREENWAY"/>
    <s v="WAREHOUSE"/>
    <x v="482"/>
    <x v="10"/>
    <x v="2"/>
    <s v="Invoice"/>
    <s v="100000478"/>
    <x v="2"/>
    <x v="0"/>
    <x v="0"/>
    <x v="0"/>
    <n v="120"/>
  </r>
  <r>
    <s v="HAP"/>
    <s v="01"/>
    <s v="GREENWAY"/>
    <s v="GRAND HARBOR"/>
    <x v="483"/>
    <x v="10"/>
    <x v="2"/>
    <s v="Invoice"/>
    <s v="100000503"/>
    <x v="96"/>
    <x v="413"/>
    <x v="39"/>
    <x v="0"/>
    <n v="10"/>
  </r>
  <r>
    <s v="DAVID"/>
    <s v="02"/>
    <s v="EVOQUAWATER"/>
    <s v="MAIN"/>
    <x v="478"/>
    <x v="10"/>
    <x v="2"/>
    <s v="Invoice"/>
    <s v="100000387"/>
    <x v="160"/>
    <x v="231"/>
    <x v="54"/>
    <x v="0"/>
    <n v="360"/>
  </r>
  <r>
    <s v="DAVID"/>
    <s v="02"/>
    <s v="CPSFTPIE"/>
    <s v="FT. PIERCE"/>
    <x v="480"/>
    <x v="10"/>
    <x v="2"/>
    <s v="Invoice"/>
    <s v="100000419"/>
    <x v="267"/>
    <x v="235"/>
    <x v="75"/>
    <x v="0"/>
    <n v="70"/>
  </r>
  <r>
    <s v="DAVID"/>
    <s v="02"/>
    <s v="OHARAPEST"/>
    <s v="MAILIING"/>
    <x v="484"/>
    <x v="10"/>
    <x v="2"/>
    <s v="Invoice"/>
    <s v="100000436"/>
    <x v="97"/>
    <x v="91"/>
    <x v="8"/>
    <x v="0"/>
    <n v="250"/>
  </r>
  <r>
    <s v="DAVID"/>
    <s v="02"/>
    <s v="OHARAPEST"/>
    <s v="MAILIING"/>
    <x v="484"/>
    <x v="10"/>
    <x v="2"/>
    <s v="Invoice"/>
    <s v="100000436"/>
    <x v="247"/>
    <x v="76"/>
    <x v="11"/>
    <x v="0"/>
    <n v="250"/>
  </r>
  <r>
    <s v="DAVID"/>
    <s v="02"/>
    <s v="SOUTHERN"/>
    <s v="SOUTHERN AG"/>
    <x v="485"/>
    <x v="10"/>
    <x v="2"/>
    <s v="Invoice"/>
    <s v="100000438"/>
    <x v="26"/>
    <x v="21"/>
    <x v="21"/>
    <x v="0"/>
    <n v="2740"/>
  </r>
  <r>
    <s v="DAVID"/>
    <s v="02"/>
    <s v="EVOQUAWATER"/>
    <s v="COUNTYOFCOLLIER"/>
    <x v="486"/>
    <x v="10"/>
    <x v="2"/>
    <s v="Invoice"/>
    <s v="100000448"/>
    <x v="295"/>
    <x v="231"/>
    <x v="54"/>
    <x v="0"/>
    <n v="150"/>
  </r>
  <r>
    <s v="DAVID"/>
    <s v="02"/>
    <s v="TARGETSPECIALTY"/>
    <s v="TAMPA"/>
    <x v="487"/>
    <x v="10"/>
    <x v="2"/>
    <s v="Invoice"/>
    <s v="100000470"/>
    <x v="283"/>
    <x v="19"/>
    <x v="19"/>
    <x v="0"/>
    <n v="55"/>
  </r>
  <r>
    <s v="DAVID"/>
    <s v="02"/>
    <s v="THECOCONUTMAN"/>
    <s v="BRADENTON"/>
    <x v="488"/>
    <x v="10"/>
    <x v="2"/>
    <s v="Invoice"/>
    <s v="100000483"/>
    <x v="98"/>
    <x v="414"/>
    <x v="40"/>
    <x v="0"/>
    <n v="75"/>
  </r>
  <r>
    <s v="DAVID"/>
    <s v="02"/>
    <s v="THECOCONUTMAN"/>
    <s v="BRADENTON"/>
    <x v="488"/>
    <x v="10"/>
    <x v="2"/>
    <s v="Invoice"/>
    <s v="100000483"/>
    <x v="3"/>
    <x v="80"/>
    <x v="2"/>
    <x v="0"/>
    <n v="25"/>
  </r>
  <r>
    <s v="DAVID"/>
    <s v="02"/>
    <s v="THECOCONUTMAN"/>
    <s v="BRADENTON"/>
    <x v="488"/>
    <x v="10"/>
    <x v="2"/>
    <s v="Invoice"/>
    <s v="100000483"/>
    <x v="307"/>
    <x v="415"/>
    <x v="92"/>
    <x v="0"/>
    <n v="50"/>
  </r>
  <r>
    <s v="DAVID"/>
    <s v="02"/>
    <s v="THECOCONUTMAN"/>
    <s v="BRADENTON"/>
    <x v="488"/>
    <x v="10"/>
    <x v="2"/>
    <s v="Invoice"/>
    <s v="100000483"/>
    <x v="161"/>
    <x v="143"/>
    <x v="35"/>
    <x v="0"/>
    <n v="35"/>
  </r>
  <r>
    <s v="JUSTIN"/>
    <s v="03"/>
    <s v="TRIANGLE"/>
    <s v="TRIANGLE/LAKEPL"/>
    <x v="489"/>
    <x v="10"/>
    <x v="2"/>
    <s v="Invoice"/>
    <s v="100000379"/>
    <x v="36"/>
    <x v="31"/>
    <x v="4"/>
    <x v="0"/>
    <n v="60"/>
  </r>
  <r>
    <s v="JUSTIN"/>
    <s v="03"/>
    <s v="CPSFTPIE"/>
    <s v="FT. PIERCE"/>
    <x v="479"/>
    <x v="10"/>
    <x v="2"/>
    <s v="Invoice"/>
    <s v="100000399"/>
    <x v="197"/>
    <x v="31"/>
    <x v="4"/>
    <x v="0"/>
    <n v="500"/>
  </r>
  <r>
    <s v="JUSTIN"/>
    <s v="03"/>
    <s v="CPSFTPIE"/>
    <s v="FT. PIERCE"/>
    <x v="479"/>
    <x v="10"/>
    <x v="2"/>
    <s v="Invoice"/>
    <s v="100000399"/>
    <x v="36"/>
    <x v="31"/>
    <x v="4"/>
    <x v="0"/>
    <n v="180"/>
  </r>
  <r>
    <s v="JUSTIN"/>
    <s v="03"/>
    <s v="CPSFTPIE"/>
    <s v="FT. PIERCE"/>
    <x v="479"/>
    <x v="10"/>
    <x v="2"/>
    <s v="Invoice"/>
    <s v="100000402"/>
    <x v="446"/>
    <x v="382"/>
    <x v="59"/>
    <x v="0"/>
    <n v="30"/>
  </r>
  <r>
    <s v="JUSTIN"/>
    <s v="03"/>
    <s v="CPSFTPIE"/>
    <s v="FT. PIERCE"/>
    <x v="479"/>
    <x v="10"/>
    <x v="2"/>
    <s v="Invoice"/>
    <s v="100000403"/>
    <x v="74"/>
    <x v="67"/>
    <x v="7"/>
    <x v="0"/>
    <n v="250"/>
  </r>
  <r>
    <s v="JUSTIN"/>
    <s v="03"/>
    <s v="CPSFTPIE"/>
    <s v="FT. PIERCE"/>
    <x v="490"/>
    <x v="10"/>
    <x v="2"/>
    <s v="Invoice"/>
    <s v="100000409"/>
    <x v="74"/>
    <x v="67"/>
    <x v="7"/>
    <x v="0"/>
    <n v="1000"/>
  </r>
  <r>
    <s v="JUSTIN"/>
    <s v="03"/>
    <s v="CPSWAVER"/>
    <s v="WAVERLY"/>
    <x v="480"/>
    <x v="10"/>
    <x v="2"/>
    <s v="Invoice"/>
    <s v="100000414"/>
    <x v="8"/>
    <x v="67"/>
    <x v="7"/>
    <x v="0"/>
    <n v="180"/>
  </r>
  <r>
    <s v="JUSTIN"/>
    <s v="03"/>
    <s v="CPSOKEE"/>
    <s v="OKEE-LIQ PLANT"/>
    <x v="491"/>
    <x v="10"/>
    <x v="2"/>
    <s v="Invoice"/>
    <s v="100000422"/>
    <x v="134"/>
    <x v="94"/>
    <x v="41"/>
    <x v="0"/>
    <n v="2009"/>
  </r>
  <r>
    <s v="JUSTIN"/>
    <s v="03"/>
    <s v="CPSIMMOK"/>
    <s v="IMMOKALEE"/>
    <x v="481"/>
    <x v="10"/>
    <x v="2"/>
    <s v="Invoice"/>
    <s v="100000425"/>
    <x v="74"/>
    <x v="67"/>
    <x v="7"/>
    <x v="0"/>
    <n v="150"/>
  </r>
  <r>
    <s v="JUSTIN"/>
    <s v="03"/>
    <s v="CPSWACHU"/>
    <s v="WAUCHULA"/>
    <x v="484"/>
    <x v="10"/>
    <x v="2"/>
    <s v="Invoice"/>
    <s v="100000434"/>
    <x v="36"/>
    <x v="31"/>
    <x v="4"/>
    <x v="0"/>
    <n v="180"/>
  </r>
  <r>
    <s v="JUSTIN"/>
    <s v="03"/>
    <s v="CPSFTPIE"/>
    <s v="FT. PIERCE"/>
    <x v="484"/>
    <x v="10"/>
    <x v="2"/>
    <s v="Invoice"/>
    <s v="100000435"/>
    <x v="74"/>
    <x v="67"/>
    <x v="7"/>
    <x v="0"/>
    <n v="250"/>
  </r>
  <r>
    <s v="JUSTIN"/>
    <s v="03"/>
    <s v="CPSWACHU"/>
    <s v="WAUCHULA"/>
    <x v="486"/>
    <x v="10"/>
    <x v="2"/>
    <s v="Invoice"/>
    <s v="100000442"/>
    <x v="74"/>
    <x v="67"/>
    <x v="7"/>
    <x v="0"/>
    <n v="500"/>
  </r>
  <r>
    <s v="JUSTIN"/>
    <s v="03"/>
    <s v="CPSFTPIE"/>
    <s v="FT. PIERCE"/>
    <x v="486"/>
    <x v="10"/>
    <x v="2"/>
    <s v="Invoice"/>
    <s v="100000445"/>
    <x v="74"/>
    <x v="67"/>
    <x v="7"/>
    <x v="0"/>
    <n v="250"/>
  </r>
  <r>
    <s v="JUSTIN"/>
    <s v="03"/>
    <s v="CPSPARRI"/>
    <s v="PARRISH"/>
    <x v="492"/>
    <x v="10"/>
    <x v="2"/>
    <s v="Invoice"/>
    <s v="100000456"/>
    <x v="445"/>
    <x v="30"/>
    <x v="27"/>
    <x v="0"/>
    <n v="300"/>
  </r>
  <r>
    <s v="JUSTIN"/>
    <s v="03"/>
    <s v="CPSWACHU"/>
    <s v="WAUCHULA"/>
    <x v="488"/>
    <x v="10"/>
    <x v="2"/>
    <s v="Invoice"/>
    <s v="100000479"/>
    <x v="191"/>
    <x v="169"/>
    <x v="61"/>
    <x v="0"/>
    <n v="720"/>
  </r>
  <r>
    <s v="JUSTIN"/>
    <s v="03"/>
    <s v="CPSWACHU"/>
    <s v="WAUCHULA"/>
    <x v="488"/>
    <x v="10"/>
    <x v="2"/>
    <s v="Invoice"/>
    <s v="100000480"/>
    <x v="100"/>
    <x v="94"/>
    <x v="41"/>
    <x v="0"/>
    <n v="500"/>
  </r>
  <r>
    <s v="JUSTIN"/>
    <s v="03"/>
    <s v="CPSIMMOK"/>
    <s v="IMMOKALEE"/>
    <x v="488"/>
    <x v="10"/>
    <x v="2"/>
    <s v="Invoice"/>
    <s v="100000481"/>
    <x v="74"/>
    <x v="67"/>
    <x v="7"/>
    <x v="0"/>
    <n v="150"/>
  </r>
  <r>
    <s v="JUSTIN"/>
    <s v="03"/>
    <s v="CPSWAVER"/>
    <s v="WAVERLY"/>
    <x v="488"/>
    <x v="10"/>
    <x v="2"/>
    <s v="Invoice"/>
    <s v="100000482"/>
    <x v="191"/>
    <x v="169"/>
    <x v="61"/>
    <x v="0"/>
    <n v="180"/>
  </r>
  <r>
    <s v="JUSTIN"/>
    <s v="03"/>
    <s v="CPSFTPIE"/>
    <s v="FT. PIERCE"/>
    <x v="493"/>
    <x v="10"/>
    <x v="2"/>
    <s v="Invoice"/>
    <s v="100000485"/>
    <x v="74"/>
    <x v="67"/>
    <x v="7"/>
    <x v="0"/>
    <n v="500"/>
  </r>
  <r>
    <s v="JUSTIN"/>
    <s v="03"/>
    <s v="CPSFTPIE"/>
    <s v="FT. PIERCE"/>
    <x v="493"/>
    <x v="10"/>
    <x v="2"/>
    <s v="Invoice"/>
    <s v="100000486"/>
    <x v="267"/>
    <x v="235"/>
    <x v="75"/>
    <x v="0"/>
    <n v="40"/>
  </r>
  <r>
    <s v="JUSTIN"/>
    <s v="03"/>
    <s v="TRIANGLE"/>
    <s v="TRIANGLE/LAKEPL"/>
    <x v="483"/>
    <x v="10"/>
    <x v="2"/>
    <s v="Invoice"/>
    <s v="100000502"/>
    <x v="8"/>
    <x v="67"/>
    <x v="7"/>
    <x v="0"/>
    <n v="80"/>
  </r>
  <r>
    <s v="DPOPPELL"/>
    <s v="04"/>
    <s v="SOUTHERNHILL"/>
    <s v="SCHOFIELD"/>
    <x v="478"/>
    <x v="10"/>
    <x v="2"/>
    <s v="Invoice"/>
    <s v="100000384"/>
    <x v="325"/>
    <x v="288"/>
    <x v="22"/>
    <x v="2"/>
    <n v="2.5"/>
  </r>
  <r>
    <s v="DPOPPELL"/>
    <s v="04"/>
    <s v="SOTERO"/>
    <s v="SOTERO"/>
    <x v="479"/>
    <x v="10"/>
    <x v="2"/>
    <s v="Invoice"/>
    <s v="100000408"/>
    <x v="53"/>
    <x v="46"/>
    <x v="22"/>
    <x v="2"/>
    <n v="0.3"/>
  </r>
  <r>
    <s v="DPOPPELL"/>
    <s v="04"/>
    <s v="SOTERO"/>
    <s v="SOTERO"/>
    <x v="480"/>
    <x v="10"/>
    <x v="2"/>
    <s v="Invoice"/>
    <s v="100000420"/>
    <x v="146"/>
    <x v="103"/>
    <x v="43"/>
    <x v="0"/>
    <n v="5"/>
  </r>
  <r>
    <s v="DPOPPELL"/>
    <s v="04"/>
    <s v="FERRISFA"/>
    <s v="BLUEBERRIES"/>
    <x v="481"/>
    <x v="10"/>
    <x v="2"/>
    <s v="Invoice"/>
    <s v="100000429"/>
    <x v="62"/>
    <x v="55"/>
    <x v="22"/>
    <x v="2"/>
    <n v="15.01"/>
  </r>
  <r>
    <s v="DPOPPELL"/>
    <s v="04"/>
    <s v="CHANFARM"/>
    <s v="KNIGHTS GRIFFIN"/>
    <x v="481"/>
    <x v="10"/>
    <x v="2"/>
    <s v="Invoice"/>
    <s v="100000430"/>
    <x v="51"/>
    <x v="44"/>
    <x v="22"/>
    <x v="2"/>
    <n v="2.5074999999999998"/>
  </r>
  <r>
    <s v="DPOPPELL"/>
    <s v="04"/>
    <s v="IFASGULF"/>
    <s v="BALM-STRAWBERRY"/>
    <x v="485"/>
    <x v="10"/>
    <x v="2"/>
    <s v="Invoice"/>
    <s v="100000439"/>
    <x v="28"/>
    <x v="23"/>
    <x v="22"/>
    <x v="2"/>
    <n v="7.5"/>
  </r>
  <r>
    <s v="DPOPPELL"/>
    <s v="04"/>
    <s v="SOUTHERNHILL"/>
    <s v="SCHOFIELD"/>
    <x v="492"/>
    <x v="10"/>
    <x v="2"/>
    <s v="Invoice"/>
    <s v="100000462"/>
    <x v="43"/>
    <x v="38"/>
    <x v="22"/>
    <x v="2"/>
    <n v="3.01"/>
  </r>
  <r>
    <s v="DPOPPELL"/>
    <s v="04"/>
    <s v="JOEPENA"/>
    <s v="JIMREDMAN"/>
    <x v="487"/>
    <x v="10"/>
    <x v="2"/>
    <s v="Invoice"/>
    <s v="100000473"/>
    <x v="53"/>
    <x v="46"/>
    <x v="22"/>
    <x v="2"/>
    <n v="0.75"/>
  </r>
  <r>
    <s v="DPOPPELL"/>
    <s v="04"/>
    <s v="PARKESDA"/>
    <s v="BLACKBERRIES"/>
    <x v="482"/>
    <x v="10"/>
    <x v="2"/>
    <s v="Invoice"/>
    <s v="100000474"/>
    <x v="69"/>
    <x v="62"/>
    <x v="22"/>
    <x v="2"/>
    <n v="1.25"/>
  </r>
  <r>
    <s v="DPOPPELL"/>
    <s v="04"/>
    <s v="FOXSQUIRREL"/>
    <s v="MAIN"/>
    <x v="482"/>
    <x v="10"/>
    <x v="2"/>
    <s v="Invoice"/>
    <s v="100000476"/>
    <x v="9"/>
    <x v="106"/>
    <x v="8"/>
    <x v="0"/>
    <n v="5"/>
  </r>
  <r>
    <s v="DPOPPELL"/>
    <s v="04"/>
    <s v="FLORIDAAG"/>
    <s v="KINGSWAY"/>
    <x v="493"/>
    <x v="10"/>
    <x v="2"/>
    <s v="Invoice"/>
    <s v="100000492"/>
    <x v="326"/>
    <x v="289"/>
    <x v="22"/>
    <x v="2"/>
    <n v="2.25"/>
  </r>
  <r>
    <s v="HOUSE"/>
    <s v="05"/>
    <s v="CPSBOYNTON"/>
    <s v="BOYNTON BCH"/>
    <x v="479"/>
    <x v="10"/>
    <x v="2"/>
    <s v="Invoice"/>
    <s v="100000400"/>
    <x v="5"/>
    <x v="72"/>
    <x v="4"/>
    <x v="0"/>
    <n v="180"/>
  </r>
  <r>
    <s v="HOUSE"/>
    <s v="05"/>
    <s v="CPSBOYNTON"/>
    <s v="BOYNTON BCH"/>
    <x v="479"/>
    <x v="10"/>
    <x v="2"/>
    <s v="Invoice"/>
    <s v="100000401"/>
    <x v="121"/>
    <x v="110"/>
    <x v="1"/>
    <x v="0"/>
    <n v="180"/>
  </r>
  <r>
    <s v="HOUSE"/>
    <s v="05"/>
    <s v="CPSHOMES"/>
    <s v="HOMESTEAD"/>
    <x v="479"/>
    <x v="10"/>
    <x v="2"/>
    <s v="Invoice"/>
    <s v="100000405"/>
    <x v="156"/>
    <x v="138"/>
    <x v="53"/>
    <x v="0"/>
    <n v="180"/>
  </r>
  <r>
    <s v="HOUSE"/>
    <s v="05"/>
    <s v="SOUTHERN"/>
    <s v="SOUTHERN AG"/>
    <x v="486"/>
    <x v="10"/>
    <x v="2"/>
    <s v="Invoice"/>
    <s v="100000447"/>
    <x v="148"/>
    <x v="128"/>
    <x v="29"/>
    <x v="0"/>
    <n v="30"/>
  </r>
  <r>
    <s v="HOUSE"/>
    <s v="05"/>
    <s v="SOUTHERN"/>
    <s v="SOUTHERN AG"/>
    <x v="486"/>
    <x v="10"/>
    <x v="2"/>
    <s v="Invoice"/>
    <s v="100000447"/>
    <x v="7"/>
    <x v="243"/>
    <x v="6"/>
    <x v="0"/>
    <n v="60"/>
  </r>
  <r>
    <s v="HOUSE"/>
    <s v="05"/>
    <s v="SOUTHERN"/>
    <s v="SOUTHERN AG"/>
    <x v="486"/>
    <x v="10"/>
    <x v="2"/>
    <s v="Invoice"/>
    <s v="100000447"/>
    <x v="22"/>
    <x v="69"/>
    <x v="17"/>
    <x v="0"/>
    <n v="180"/>
  </r>
  <r>
    <s v=""/>
    <s v="07"/>
    <s v="CPSHASTI"/>
    <s v="HASTINGS"/>
    <x v="494"/>
    <x v="10"/>
    <x v="2"/>
    <s v="Invoice"/>
    <s v="100000395"/>
    <x v="106"/>
    <x v="74"/>
    <x v="13"/>
    <x v="0"/>
    <n v="180"/>
  </r>
  <r>
    <s v="CHEAD"/>
    <s v="07"/>
    <s v="UFPSUNIT"/>
    <s v="CITRA FARM"/>
    <x v="491"/>
    <x v="10"/>
    <x v="2"/>
    <s v="Invoice"/>
    <s v="100000421"/>
    <x v="73"/>
    <x v="66"/>
    <x v="22"/>
    <x v="2"/>
    <n v="2.5099999999999998"/>
  </r>
  <r>
    <s v=""/>
    <s v="07"/>
    <s v="CPSHASTI"/>
    <s v="HASTINGS"/>
    <x v="492"/>
    <x v="10"/>
    <x v="2"/>
    <s v="Invoice"/>
    <s v="100000460"/>
    <x v="107"/>
    <x v="98"/>
    <x v="36"/>
    <x v="0"/>
    <n v="180"/>
  </r>
  <r>
    <s v="DPOPPELL1"/>
    <s v="08"/>
    <s v="PURLEYNK"/>
    <s v="MAIN"/>
    <x v="478"/>
    <x v="10"/>
    <x v="2"/>
    <s v="Invoice"/>
    <s v="100000382"/>
    <x v="28"/>
    <x v="23"/>
    <x v="22"/>
    <x v="2"/>
    <n v="0.15"/>
  </r>
  <r>
    <s v="DPOPPELL1"/>
    <s v="08"/>
    <s v="TRIANGLE"/>
    <s v="TRIANGLE/PC"/>
    <x v="494"/>
    <x v="10"/>
    <x v="2"/>
    <s v="Invoice"/>
    <s v="100000397"/>
    <x v="35"/>
    <x v="30"/>
    <x v="27"/>
    <x v="0"/>
    <n v="120"/>
  </r>
  <r>
    <s v="DPOPPELL1"/>
    <s v="08"/>
    <s v="MAYO"/>
    <s v="PLANTCITY"/>
    <x v="490"/>
    <x v="10"/>
    <x v="2"/>
    <s v="Invoice"/>
    <s v="100000413A"/>
    <x v="473"/>
    <x v="416"/>
    <x v="22"/>
    <x v="2"/>
    <n v="1.25"/>
  </r>
  <r>
    <s v="DPOPPELL1"/>
    <s v="08"/>
    <s v="COASTALAGSUPPLY"/>
    <s v="MULBERRY"/>
    <x v="495"/>
    <x v="10"/>
    <x v="2"/>
    <s v="Invoice"/>
    <s v="100000452"/>
    <x v="96"/>
    <x v="90"/>
    <x v="39"/>
    <x v="0"/>
    <n v="120"/>
  </r>
  <r>
    <s v="DPOPPELL1"/>
    <s v="08"/>
    <s v="PURLEYNK"/>
    <s v="MAIN"/>
    <x v="493"/>
    <x v="10"/>
    <x v="2"/>
    <s v="Invoice"/>
    <s v="100000493"/>
    <x v="28"/>
    <x v="23"/>
    <x v="22"/>
    <x v="2"/>
    <n v="0.15"/>
  </r>
  <r>
    <s v="DPOPPELL1"/>
    <s v="08"/>
    <s v="MAYO"/>
    <s v="PLANTCITY"/>
    <x v="483"/>
    <x v="10"/>
    <x v="2"/>
    <s v="Invoice"/>
    <s v="100000496"/>
    <x v="125"/>
    <x v="113"/>
    <x v="22"/>
    <x v="2"/>
    <n v="12"/>
  </r>
  <r>
    <s v=""/>
    <s v="09"/>
    <s v="GREENRES"/>
    <s v="GRANITE ST-NC"/>
    <x v="490"/>
    <x v="10"/>
    <x v="2"/>
    <s v="Invoice"/>
    <s v="100000410"/>
    <x v="3"/>
    <x v="80"/>
    <x v="2"/>
    <x v="0"/>
    <n v="360"/>
  </r>
  <r>
    <s v=""/>
    <s v="09"/>
    <s v="AGRIBUSI"/>
    <s v="CPS-MOULTRIE GA"/>
    <x v="491"/>
    <x v="10"/>
    <x v="2"/>
    <s v="Invoice"/>
    <s v="100000423"/>
    <x v="250"/>
    <x v="223"/>
    <x v="23"/>
    <x v="0"/>
    <n v="540"/>
  </r>
  <r>
    <s v=""/>
    <s v="09"/>
    <s v="AGRIBUSI"/>
    <s v="AGB/ROOSEVELT"/>
    <x v="481"/>
    <x v="10"/>
    <x v="2"/>
    <s v="Invoice"/>
    <s v="100000433"/>
    <x v="250"/>
    <x v="223"/>
    <x v="23"/>
    <x v="0"/>
    <n v="360"/>
  </r>
  <r>
    <s v=""/>
    <s v="09"/>
    <s v="GREENRES"/>
    <s v="OCEAN HWY-NC"/>
    <x v="485"/>
    <x v="10"/>
    <x v="2"/>
    <s v="Invoice"/>
    <s v="100000440"/>
    <x v="3"/>
    <x v="80"/>
    <x v="2"/>
    <x v="0"/>
    <n v="720"/>
  </r>
  <r>
    <s v="GEORGIA"/>
    <s v="09"/>
    <s v="AGRIBUSI"/>
    <s v="NUTRIEN-CAMILA"/>
    <x v="485"/>
    <x v="10"/>
    <x v="2"/>
    <s v="Invoice"/>
    <s v="100000441"/>
    <x v="404"/>
    <x v="188"/>
    <x v="20"/>
    <x v="1"/>
    <n v="2500"/>
  </r>
  <r>
    <s v=""/>
    <s v="09"/>
    <s v="CAROLINATU"/>
    <s v="FOREST CRK GC"/>
    <x v="496"/>
    <x v="10"/>
    <x v="2"/>
    <s v="Invoice"/>
    <s v="100000468"/>
    <x v="12"/>
    <x v="410"/>
    <x v="11"/>
    <x v="0"/>
    <n v="30"/>
  </r>
  <r>
    <s v=""/>
    <s v="09"/>
    <s v="CAROLINATU"/>
    <s v="FOREST CRK GC"/>
    <x v="496"/>
    <x v="10"/>
    <x v="2"/>
    <s v="Invoice"/>
    <s v="100000468"/>
    <x v="40"/>
    <x v="35"/>
    <x v="29"/>
    <x v="0"/>
    <n v="20"/>
  </r>
  <r>
    <s v="GEORGIA"/>
    <s v="09"/>
    <s v="CAROLINATU"/>
    <s v="HOPEVALLEY"/>
    <x v="496"/>
    <x v="10"/>
    <x v="2"/>
    <s v="Invoice"/>
    <s v="100000469"/>
    <x v="422"/>
    <x v="192"/>
    <x v="56"/>
    <x v="0"/>
    <n v="125"/>
  </r>
  <r>
    <s v=""/>
    <s v="09"/>
    <s v="GREENRES"/>
    <s v="HIGHGREEN CT-NC"/>
    <x v="488"/>
    <x v="10"/>
    <x v="2"/>
    <s v="Invoice"/>
    <s v="100000484"/>
    <x v="242"/>
    <x v="19"/>
    <x v="19"/>
    <x v="0"/>
    <n v="500"/>
  </r>
  <r>
    <s v="GEORGIA"/>
    <s v="09"/>
    <s v="CAROLINATU"/>
    <s v="GREENSBOR,C.C."/>
    <x v="493"/>
    <x v="10"/>
    <x v="2"/>
    <s v="Invoice"/>
    <s v="100000494"/>
    <x v="84"/>
    <x v="76"/>
    <x v="11"/>
    <x v="0"/>
    <n v="55"/>
  </r>
  <r>
    <s v="CSWAFFORD"/>
    <s v="12"/>
    <s v="GOLFVENTURES"/>
    <s v="NAPLESHERITAGE"/>
    <x v="478"/>
    <x v="10"/>
    <x v="2"/>
    <s v="Invoice"/>
    <s v="100000381"/>
    <x v="366"/>
    <x v="336"/>
    <x v="22"/>
    <x v="2"/>
    <n v="1.2537499999999999"/>
  </r>
  <r>
    <s v="CSWAFFORD"/>
    <s v="12"/>
    <s v="JRMINC"/>
    <s v="AILERONGOLF"/>
    <x v="478"/>
    <x v="10"/>
    <x v="2"/>
    <s v="Invoice"/>
    <s v="100000385"/>
    <x v="4"/>
    <x v="417"/>
    <x v="3"/>
    <x v="0"/>
    <n v="25"/>
  </r>
  <r>
    <s v="CSWAFFORD"/>
    <s v="12"/>
    <s v="JRMINC"/>
    <s v="REEMS"/>
    <x v="478"/>
    <x v="10"/>
    <x v="2"/>
    <s v="Invoice"/>
    <s v="100000386A"/>
    <x v="462"/>
    <x v="403"/>
    <x v="95"/>
    <x v="0"/>
    <n v="55"/>
  </r>
  <r>
    <s v="CSWAFFORD"/>
    <s v="12"/>
    <s v="GOLFVENTURES"/>
    <s v="MAIN"/>
    <x v="497"/>
    <x v="10"/>
    <x v="2"/>
    <s v="Invoice"/>
    <s v="100000388"/>
    <x v="474"/>
    <x v="418"/>
    <x v="116"/>
    <x v="0"/>
    <n v="50"/>
  </r>
  <r>
    <s v="CSWAFFORD"/>
    <s v="12"/>
    <s v="GOLFVENTURES"/>
    <s v="LAWNWORX"/>
    <x v="494"/>
    <x v="10"/>
    <x v="2"/>
    <s v="Invoice"/>
    <s v="100000396"/>
    <x v="475"/>
    <x v="418"/>
    <x v="116"/>
    <x v="0"/>
    <n v="250"/>
  </r>
  <r>
    <s v="CSWAFFORD"/>
    <s v="12"/>
    <s v="GOLFVENTURES"/>
    <s v="SPANISHWELLS"/>
    <x v="479"/>
    <x v="10"/>
    <x v="2"/>
    <s v="Invoice"/>
    <s v="100000406"/>
    <x v="366"/>
    <x v="336"/>
    <x v="22"/>
    <x v="2"/>
    <n v="4.9400000000000004"/>
  </r>
  <r>
    <s v="CSWAFFORD"/>
    <s v="12"/>
    <s v="GOLFVENTURES"/>
    <s v="MAIN"/>
    <x v="480"/>
    <x v="10"/>
    <x v="2"/>
    <s v="Invoice"/>
    <s v="100000415"/>
    <x v="8"/>
    <x v="396"/>
    <x v="7"/>
    <x v="0"/>
    <n v="60"/>
  </r>
  <r>
    <s v="CSWAFFORD"/>
    <s v="12"/>
    <s v="GOLFVENTURES"/>
    <s v="MAIN"/>
    <x v="480"/>
    <x v="10"/>
    <x v="2"/>
    <s v="Invoice"/>
    <s v="100000415"/>
    <x v="3"/>
    <x v="411"/>
    <x v="2"/>
    <x v="0"/>
    <n v="60"/>
  </r>
  <r>
    <s v="CSWAFFORD"/>
    <s v="12"/>
    <s v="GOLFVENTURES"/>
    <s v="MAIN"/>
    <x v="480"/>
    <x v="10"/>
    <x v="2"/>
    <s v="Invoice"/>
    <s v="100000415"/>
    <x v="9"/>
    <x v="419"/>
    <x v="8"/>
    <x v="0"/>
    <n v="60"/>
  </r>
  <r>
    <s v="CSWAFFORD"/>
    <s v="12"/>
    <s v="GOLFVENTURES"/>
    <s v="MAIN"/>
    <x v="480"/>
    <x v="10"/>
    <x v="2"/>
    <s v="Invoice"/>
    <s v="100000416"/>
    <x v="424"/>
    <x v="362"/>
    <x v="47"/>
    <x v="0"/>
    <n v="60"/>
  </r>
  <r>
    <s v="CSWAFFORD"/>
    <s v="12"/>
    <s v="GOLFVENTURES"/>
    <s v="MAIN"/>
    <x v="480"/>
    <x v="10"/>
    <x v="2"/>
    <s v="Invoice"/>
    <s v="100000416"/>
    <x v="439"/>
    <x v="297"/>
    <x v="91"/>
    <x v="0"/>
    <n v="60"/>
  </r>
  <r>
    <s v="CSWAFFORD"/>
    <s v="12"/>
    <s v="GOLFVENTURES"/>
    <s v="MAIN"/>
    <x v="480"/>
    <x v="10"/>
    <x v="2"/>
    <s v="Invoice"/>
    <s v="100000416"/>
    <x v="370"/>
    <x v="320"/>
    <x v="63"/>
    <x v="0"/>
    <n v="60"/>
  </r>
  <r>
    <s v="CSWAFFORD"/>
    <s v="12"/>
    <s v="GOLFVENTURES"/>
    <s v="HIDEAWAY"/>
    <x v="481"/>
    <x v="10"/>
    <x v="2"/>
    <s v="Invoice"/>
    <s v="100000424"/>
    <x v="382"/>
    <x v="337"/>
    <x v="22"/>
    <x v="2"/>
    <n v="0.27"/>
  </r>
  <r>
    <s v="CSWAFFORD"/>
    <s v="12"/>
    <s v="GOLFVENTURES"/>
    <s v="BONITANATIONAL"/>
    <x v="481"/>
    <x v="10"/>
    <x v="2"/>
    <s v="Invoice"/>
    <s v="100000426"/>
    <x v="476"/>
    <x v="281"/>
    <x v="42"/>
    <x v="0"/>
    <n v="275"/>
  </r>
  <r>
    <s v="CSWAFFORD"/>
    <s v="12"/>
    <s v="GOLFVENTURES"/>
    <s v="HIDEAWAY"/>
    <x v="481"/>
    <x v="10"/>
    <x v="2"/>
    <s v="Invoice"/>
    <s v="100000427"/>
    <x v="477"/>
    <x v="298"/>
    <x v="53"/>
    <x v="0"/>
    <n v="55"/>
  </r>
  <r>
    <s v="CSWAFFORD"/>
    <s v="12"/>
    <s v="GOLFVENTURES"/>
    <s v="HIDEAWAY"/>
    <x v="481"/>
    <x v="10"/>
    <x v="2"/>
    <s v="Invoice"/>
    <s v="100000427"/>
    <x v="285"/>
    <x v="295"/>
    <x v="43"/>
    <x v="0"/>
    <n v="55"/>
  </r>
  <r>
    <s v="CSWAFFORD"/>
    <s v="12"/>
    <s v="GOLFVENTURES"/>
    <s v="HIDEAWAY"/>
    <x v="481"/>
    <x v="10"/>
    <x v="2"/>
    <s v="Invoice"/>
    <s v="100000427"/>
    <x v="478"/>
    <x v="281"/>
    <x v="42"/>
    <x v="0"/>
    <n v="110"/>
  </r>
  <r>
    <s v="CSWAFFORD"/>
    <s v="12"/>
    <s v="GOLFVENTURES"/>
    <s v="HIDEAWAY"/>
    <x v="481"/>
    <x v="10"/>
    <x v="2"/>
    <s v="Invoice"/>
    <s v="100000428"/>
    <x v="479"/>
    <x v="375"/>
    <x v="82"/>
    <x v="0"/>
    <n v="55"/>
  </r>
  <r>
    <s v="CSWAFFORD"/>
    <s v="12"/>
    <s v="GOLFVENTURES"/>
    <s v="BONITANATIONAL"/>
    <x v="486"/>
    <x v="10"/>
    <x v="2"/>
    <s v="Invoice"/>
    <s v="100000443"/>
    <x v="480"/>
    <x v="279"/>
    <x v="86"/>
    <x v="0"/>
    <n v="275"/>
  </r>
  <r>
    <s v="CSWAFFORD"/>
    <s v="12"/>
    <s v="GOLFVENTURES"/>
    <s v="COUNTRYBOY"/>
    <x v="486"/>
    <x v="10"/>
    <x v="2"/>
    <s v="Invoice"/>
    <s v="100000444"/>
    <x v="315"/>
    <x v="279"/>
    <x v="86"/>
    <x v="0"/>
    <n v="250"/>
  </r>
  <r>
    <s v="CSWAFFORD"/>
    <s v="12"/>
    <s v="GOLFVENTURES"/>
    <s v="MAIN"/>
    <x v="498"/>
    <x v="10"/>
    <x v="2"/>
    <s v="Invoice"/>
    <s v="100000449"/>
    <x v="366"/>
    <x v="336"/>
    <x v="22"/>
    <x v="2"/>
    <n v="2.5000000000000001E-2"/>
  </r>
  <r>
    <s v="CSWAFFORD"/>
    <s v="12"/>
    <s v="GOLFVENTURES"/>
    <s v="MAIN"/>
    <x v="498"/>
    <x v="10"/>
    <x v="2"/>
    <s v="Invoice"/>
    <s v="100000450"/>
    <x v="424"/>
    <x v="362"/>
    <x v="47"/>
    <x v="0"/>
    <n v="85"/>
  </r>
  <r>
    <s v="CSWAFFORD"/>
    <s v="12"/>
    <s v="GOLFVENTURES"/>
    <s v="MAIN"/>
    <x v="498"/>
    <x v="10"/>
    <x v="2"/>
    <s v="Invoice"/>
    <s v="100000450"/>
    <x v="249"/>
    <x v="294"/>
    <x v="70"/>
    <x v="0"/>
    <n v="90"/>
  </r>
  <r>
    <s v="CSWAFFORD"/>
    <s v="12"/>
    <s v="JRMINC"/>
    <s v="HOUNDSEAR"/>
    <x v="495"/>
    <x v="10"/>
    <x v="2"/>
    <s v="Invoice"/>
    <s v="100000453"/>
    <x v="460"/>
    <x v="402"/>
    <x v="115"/>
    <x v="0"/>
    <n v="5"/>
  </r>
  <r>
    <s v="CSWAFFORD"/>
    <s v="12"/>
    <s v="JRMINC"/>
    <s v="HOUNDSEAR"/>
    <x v="495"/>
    <x v="10"/>
    <x v="2"/>
    <s v="Invoice"/>
    <s v="100000453"/>
    <x v="456"/>
    <x v="392"/>
    <x v="10"/>
    <x v="0"/>
    <n v="5"/>
  </r>
  <r>
    <s v="CSWAFFORD"/>
    <s v="12"/>
    <s v="JRMINC"/>
    <s v="HOUNDSEAR"/>
    <x v="495"/>
    <x v="10"/>
    <x v="2"/>
    <s v="Invoice"/>
    <s v="100000453"/>
    <x v="453"/>
    <x v="389"/>
    <x v="5"/>
    <x v="0"/>
    <n v="5"/>
  </r>
  <r>
    <s v="CSWAFFORD"/>
    <s v="12"/>
    <s v="JRMINC"/>
    <s v="MAILING"/>
    <x v="495"/>
    <x v="10"/>
    <x v="2"/>
    <s v="Invoice"/>
    <s v="100000454"/>
    <x v="456"/>
    <x v="392"/>
    <x v="10"/>
    <x v="0"/>
    <n v="180"/>
  </r>
  <r>
    <s v="CSWAFFORD"/>
    <s v="12"/>
    <s v="JRMINC"/>
    <s v="MAILING"/>
    <x v="492"/>
    <x v="10"/>
    <x v="2"/>
    <s v="Invoice"/>
    <s v="100000455"/>
    <x v="424"/>
    <x v="362"/>
    <x v="47"/>
    <x v="0"/>
    <n v="90"/>
  </r>
  <r>
    <s v="CSWAFFORD"/>
    <s v="12"/>
    <s v="JRMINC"/>
    <s v="MAILING"/>
    <x v="492"/>
    <x v="10"/>
    <x v="2"/>
    <s v="Invoice"/>
    <s v="100000455"/>
    <x v="452"/>
    <x v="388"/>
    <x v="112"/>
    <x v="0"/>
    <n v="90"/>
  </r>
  <r>
    <s v="CSWAFFORD"/>
    <s v="12"/>
    <s v="JRMINC"/>
    <s v="MAILING"/>
    <x v="492"/>
    <x v="10"/>
    <x v="2"/>
    <s v="Invoice"/>
    <s v="100000455"/>
    <x v="146"/>
    <x v="420"/>
    <x v="43"/>
    <x v="0"/>
    <n v="90"/>
  </r>
  <r>
    <s v="CSWAFFORD"/>
    <s v="12"/>
    <s v="JRMINC"/>
    <s v="MAILING"/>
    <x v="492"/>
    <x v="10"/>
    <x v="2"/>
    <s v="Invoice"/>
    <s v="100000455"/>
    <x v="456"/>
    <x v="392"/>
    <x v="10"/>
    <x v="0"/>
    <n v="90"/>
  </r>
  <r>
    <s v="CSWAFFORD"/>
    <s v="12"/>
    <s v="JRMINC"/>
    <s v="MAILING"/>
    <x v="492"/>
    <x v="10"/>
    <x v="2"/>
    <s v="Invoice"/>
    <s v="100000455"/>
    <x v="481"/>
    <x v="421"/>
    <x v="117"/>
    <x v="0"/>
    <n v="90"/>
  </r>
  <r>
    <s v="CSWAFFORD"/>
    <s v="12"/>
    <s v="JRMINC"/>
    <s v="MAILING"/>
    <x v="492"/>
    <x v="10"/>
    <x v="2"/>
    <s v="Invoice"/>
    <s v="100000455"/>
    <x v="454"/>
    <x v="390"/>
    <x v="113"/>
    <x v="0"/>
    <n v="90"/>
  </r>
  <r>
    <s v="CSWAFFORD"/>
    <s v="12"/>
    <s v="JRMINC"/>
    <s v="MAILING"/>
    <x v="492"/>
    <x v="10"/>
    <x v="2"/>
    <s v="Invoice"/>
    <s v="100000459"/>
    <x v="460"/>
    <x v="402"/>
    <x v="115"/>
    <x v="0"/>
    <n v="90"/>
  </r>
  <r>
    <s v="CSWAFFORD"/>
    <s v="12"/>
    <s v="JRMINC"/>
    <s v="MAILING"/>
    <x v="492"/>
    <x v="10"/>
    <x v="2"/>
    <s v="Invoice"/>
    <s v="100000459"/>
    <x v="455"/>
    <x v="391"/>
    <x v="56"/>
    <x v="0"/>
    <n v="90"/>
  </r>
  <r>
    <s v="CSWAFFORD"/>
    <s v="12"/>
    <s v="JRMINC"/>
    <s v="MAILING"/>
    <x v="492"/>
    <x v="10"/>
    <x v="2"/>
    <s v="Invoice"/>
    <s v="100000459"/>
    <x v="461"/>
    <x v="403"/>
    <x v="95"/>
    <x v="0"/>
    <n v="180"/>
  </r>
  <r>
    <s v="CSWAFFORD"/>
    <s v="12"/>
    <s v="GOLFVENTURES"/>
    <s v="MAIN"/>
    <x v="499"/>
    <x v="10"/>
    <x v="2"/>
    <s v="Invoice"/>
    <s v="100000463"/>
    <x v="16"/>
    <x v="411"/>
    <x v="2"/>
    <x v="0"/>
    <n v="60"/>
  </r>
  <r>
    <s v="CSWAFFORD"/>
    <s v="12"/>
    <s v="GOLFVENTURES"/>
    <s v="DEERINGBAY"/>
    <x v="482"/>
    <x v="10"/>
    <x v="2"/>
    <s v="Invoice"/>
    <s v="100000477"/>
    <x v="319"/>
    <x v="281"/>
    <x v="42"/>
    <x v="0"/>
    <n v="275"/>
  </r>
  <r>
    <s v="CSWAFFORD"/>
    <s v="12"/>
    <s v="GOLFVENTURES"/>
    <s v="MAIN"/>
    <x v="493"/>
    <x v="10"/>
    <x v="2"/>
    <s v="Invoice"/>
    <s v="100000487"/>
    <x v="438"/>
    <x v="373"/>
    <x v="108"/>
    <x v="0"/>
    <n v="60"/>
  </r>
  <r>
    <s v="CSWAFFORD"/>
    <s v="12"/>
    <s v="GOLFVENTURES"/>
    <s v="MAIN"/>
    <x v="493"/>
    <x v="10"/>
    <x v="2"/>
    <s v="Invoice"/>
    <s v="100000487"/>
    <x v="405"/>
    <x v="313"/>
    <x v="49"/>
    <x v="0"/>
    <n v="60"/>
  </r>
  <r>
    <s v="CSWAFFORD"/>
    <s v="12"/>
    <s v="GOLFVENTURES"/>
    <s v="MAIN"/>
    <x v="493"/>
    <x v="10"/>
    <x v="2"/>
    <s v="Invoice"/>
    <s v="100000487"/>
    <x v="3"/>
    <x v="411"/>
    <x v="2"/>
    <x v="0"/>
    <n v="60"/>
  </r>
  <r>
    <s v="CSWAFFORD"/>
    <s v="12"/>
    <s v="GOLFVENTURES"/>
    <s v="MAIN"/>
    <x v="493"/>
    <x v="10"/>
    <x v="2"/>
    <s v="Invoice"/>
    <s v="100000488"/>
    <x v="405"/>
    <x v="313"/>
    <x v="49"/>
    <x v="0"/>
    <n v="20"/>
  </r>
  <r>
    <s v="CSWAFFORD"/>
    <s v="12"/>
    <s v="GOLFVENTURES"/>
    <s v="MAIN"/>
    <x v="493"/>
    <x v="10"/>
    <x v="2"/>
    <s v="Invoice"/>
    <s v="100000489"/>
    <x v="442"/>
    <x v="378"/>
    <x v="109"/>
    <x v="0"/>
    <n v="150"/>
  </r>
  <r>
    <s v="CSWAFFORD"/>
    <s v="12"/>
    <s v="GOLFVENTURES"/>
    <s v="MAIN"/>
    <x v="493"/>
    <x v="10"/>
    <x v="2"/>
    <s v="Invoice"/>
    <s v="100000490"/>
    <x v="474"/>
    <x v="418"/>
    <x v="116"/>
    <x v="0"/>
    <n v="50"/>
  </r>
  <r>
    <s v="CSWAFFORD"/>
    <s v="12"/>
    <s v="GOLFVENTURES"/>
    <s v="MAIN"/>
    <x v="493"/>
    <x v="10"/>
    <x v="2"/>
    <s v="Invoice"/>
    <s v="100000491"/>
    <x v="302"/>
    <x v="265"/>
    <x v="79"/>
    <x v="0"/>
    <n v="250"/>
  </r>
  <r>
    <s v="CSWAFFORD"/>
    <s v="12"/>
    <s v="GOLFVENTURES"/>
    <s v="MAIN"/>
    <x v="483"/>
    <x v="10"/>
    <x v="2"/>
    <s v="Invoice"/>
    <s v="100000495"/>
    <x v="439"/>
    <x v="297"/>
    <x v="91"/>
    <x v="0"/>
    <n v="60"/>
  </r>
  <r>
    <s v="CSWAFFORD"/>
    <s v="12"/>
    <s v="GOLFVENTURES"/>
    <s v="MAIN"/>
    <x v="483"/>
    <x v="10"/>
    <x v="2"/>
    <s v="Invoice"/>
    <s v="100000495"/>
    <x v="332"/>
    <x v="296"/>
    <x v="90"/>
    <x v="0"/>
    <n v="60"/>
  </r>
  <r>
    <s v="CSWAFFORD"/>
    <s v="12"/>
    <s v="GOLFVENTURES"/>
    <s v="MAIN"/>
    <x v="483"/>
    <x v="10"/>
    <x v="2"/>
    <s v="Invoice"/>
    <s v="100000495"/>
    <x v="333"/>
    <x v="282"/>
    <x v="87"/>
    <x v="0"/>
    <n v="60"/>
  </r>
  <r>
    <s v="CSWAFFORD"/>
    <s v="12"/>
    <s v="GOLFVENTURES"/>
    <s v="MAIN"/>
    <x v="483"/>
    <x v="10"/>
    <x v="2"/>
    <s v="Invoice"/>
    <s v="100000497"/>
    <x v="298"/>
    <x v="299"/>
    <x v="45"/>
    <x v="0"/>
    <n v="55"/>
  </r>
  <r>
    <s v="HAP"/>
    <s v="01"/>
    <s v="GREENWAY"/>
    <s v="AVILAGOLFCLUB"/>
    <x v="500"/>
    <x v="11"/>
    <x v="2"/>
    <s v="Invoice"/>
    <s v="100000506"/>
    <x v="8"/>
    <x v="7"/>
    <x v="7"/>
    <x v="0"/>
    <n v="20"/>
  </r>
  <r>
    <s v="HAP"/>
    <s v="01"/>
    <s v="GREENWAY"/>
    <s v="AVILAGOLFCLUB"/>
    <x v="500"/>
    <x v="11"/>
    <x v="2"/>
    <s v="Invoice"/>
    <s v="100000506"/>
    <x v="6"/>
    <x v="5"/>
    <x v="5"/>
    <x v="0"/>
    <n v="20"/>
  </r>
  <r>
    <s v="HAP"/>
    <s v="01"/>
    <s v="GREENWAY"/>
    <s v="BANYAN CREEK"/>
    <x v="501"/>
    <x v="11"/>
    <x v="2"/>
    <s v="Invoice"/>
    <s v="100000513"/>
    <x v="88"/>
    <x v="2"/>
    <x v="2"/>
    <x v="0"/>
    <n v="55"/>
  </r>
  <r>
    <s v="HAP"/>
    <s v="01"/>
    <s v="GREENWAY"/>
    <s v="BANYAN CREEK"/>
    <x v="501"/>
    <x v="11"/>
    <x v="2"/>
    <s v="Invoice"/>
    <s v="100000513"/>
    <x v="188"/>
    <x v="17"/>
    <x v="17"/>
    <x v="0"/>
    <n v="55"/>
  </r>
  <r>
    <s v="HAP"/>
    <s v="01"/>
    <s v="GREENWAY"/>
    <s v="BANYAN CREEK"/>
    <x v="501"/>
    <x v="11"/>
    <x v="2"/>
    <s v="Invoice"/>
    <s v="100000513"/>
    <x v="6"/>
    <x v="5"/>
    <x v="5"/>
    <x v="0"/>
    <n v="30"/>
  </r>
  <r>
    <s v="HAP"/>
    <s v="01"/>
    <s v="GREENWAY"/>
    <s v="BANYAN CREEK"/>
    <x v="501"/>
    <x v="11"/>
    <x v="2"/>
    <s v="Invoice"/>
    <s v="100000513"/>
    <x v="0"/>
    <x v="0"/>
    <x v="0"/>
    <x v="0"/>
    <n v="55"/>
  </r>
  <r>
    <s v="HAP"/>
    <s v="01"/>
    <s v="ALMARCH"/>
    <s v="THONOTOSASSA"/>
    <x v="502"/>
    <x v="11"/>
    <x v="2"/>
    <s v="Invoice"/>
    <s v="100000543"/>
    <x v="92"/>
    <x v="82"/>
    <x v="35"/>
    <x v="0"/>
    <n v="55"/>
  </r>
  <r>
    <s v="HAP"/>
    <s v="01"/>
    <s v="ALMARCH"/>
    <s v="THONOTOSASSA"/>
    <x v="502"/>
    <x v="11"/>
    <x v="2"/>
    <s v="Invoice"/>
    <s v="100000543"/>
    <x v="22"/>
    <x v="83"/>
    <x v="17"/>
    <x v="0"/>
    <n v="55"/>
  </r>
  <r>
    <s v="HAP"/>
    <s v="01"/>
    <s v="ALMARCH"/>
    <s v="THONOTOSASSA"/>
    <x v="502"/>
    <x v="11"/>
    <x v="2"/>
    <s v="Invoice"/>
    <s v="100000543"/>
    <x v="93"/>
    <x v="84"/>
    <x v="37"/>
    <x v="0"/>
    <n v="55"/>
  </r>
  <r>
    <s v="HAP"/>
    <s v="01"/>
    <s v="GREENWAY"/>
    <s v="WINDSOR POLO"/>
    <x v="502"/>
    <x v="11"/>
    <x v="2"/>
    <s v="Invoice"/>
    <s v="100000545"/>
    <x v="88"/>
    <x v="2"/>
    <x v="2"/>
    <x v="0"/>
    <n v="55"/>
  </r>
  <r>
    <s v="HAP"/>
    <s v="01"/>
    <s v="GREENWAY"/>
    <s v="ROYAL PALM GC"/>
    <x v="503"/>
    <x v="11"/>
    <x v="2"/>
    <s v="Invoice"/>
    <s v="100000561"/>
    <x v="5"/>
    <x v="4"/>
    <x v="4"/>
    <x v="0"/>
    <n v="30"/>
  </r>
  <r>
    <s v="HAP"/>
    <s v="01"/>
    <s v="GREENWAY"/>
    <s v="ROYAL PALM GC"/>
    <x v="503"/>
    <x v="11"/>
    <x v="2"/>
    <s v="Invoice"/>
    <s v="100000561"/>
    <x v="22"/>
    <x v="17"/>
    <x v="17"/>
    <x v="0"/>
    <n v="5"/>
  </r>
  <r>
    <s v="HAP"/>
    <s v="01"/>
    <s v="GREENWAY"/>
    <s v="ROYAL PALM GC"/>
    <x v="503"/>
    <x v="11"/>
    <x v="2"/>
    <s v="Invoice"/>
    <s v="100000561"/>
    <x v="6"/>
    <x v="5"/>
    <x v="5"/>
    <x v="0"/>
    <n v="15"/>
  </r>
  <r>
    <s v="HAP"/>
    <s v="01"/>
    <s v="GREENWAY"/>
    <s v="ROYAL PALM GC"/>
    <x v="503"/>
    <x v="11"/>
    <x v="2"/>
    <s v="Invoice"/>
    <s v="100000561"/>
    <x v="2"/>
    <x v="0"/>
    <x v="0"/>
    <x v="0"/>
    <n v="30"/>
  </r>
  <r>
    <s v="HAP"/>
    <s v="01"/>
    <s v="GREENWAY"/>
    <s v="WAREHOUSE"/>
    <x v="504"/>
    <x v="11"/>
    <x v="2"/>
    <s v="Invoice"/>
    <s v="100000600"/>
    <x v="90"/>
    <x v="13"/>
    <x v="13"/>
    <x v="0"/>
    <n v="60"/>
  </r>
  <r>
    <s v="HAP"/>
    <s v="01"/>
    <s v="GREENWAY"/>
    <s v="WAREHOUSE"/>
    <x v="504"/>
    <x v="11"/>
    <x v="2"/>
    <s v="Invoice"/>
    <s v="100000600"/>
    <x v="7"/>
    <x v="6"/>
    <x v="6"/>
    <x v="0"/>
    <n v="60"/>
  </r>
  <r>
    <s v="HAP"/>
    <s v="01"/>
    <s v="GREENWAY"/>
    <s v="WAREHOUSE"/>
    <x v="504"/>
    <x v="11"/>
    <x v="2"/>
    <s v="Invoice"/>
    <s v="100000600"/>
    <x v="3"/>
    <x v="379"/>
    <x v="2"/>
    <x v="0"/>
    <n v="120"/>
  </r>
  <r>
    <s v="HAP"/>
    <s v="01"/>
    <s v="GREENWAY"/>
    <s v="WAREHOUSE"/>
    <x v="504"/>
    <x v="11"/>
    <x v="2"/>
    <s v="Invoice"/>
    <s v="100000600"/>
    <x v="4"/>
    <x v="3"/>
    <x v="3"/>
    <x v="0"/>
    <n v="60"/>
  </r>
  <r>
    <s v="HAP"/>
    <s v="01"/>
    <s v="GREENWAY"/>
    <s v="WAREHOUSE"/>
    <x v="504"/>
    <x v="11"/>
    <x v="2"/>
    <s v="Invoice"/>
    <s v="100000600"/>
    <x v="8"/>
    <x v="7"/>
    <x v="7"/>
    <x v="0"/>
    <n v="60"/>
  </r>
  <r>
    <s v="HAP"/>
    <s v="01"/>
    <s v="GREENWAY"/>
    <s v="WAREHOUSE"/>
    <x v="504"/>
    <x v="11"/>
    <x v="2"/>
    <s v="Invoice"/>
    <s v="100000600"/>
    <x v="5"/>
    <x v="4"/>
    <x v="4"/>
    <x v="0"/>
    <n v="60"/>
  </r>
  <r>
    <s v="HAP"/>
    <s v="01"/>
    <s v="GREENWAY"/>
    <s v="WAREHOUSE"/>
    <x v="504"/>
    <x v="11"/>
    <x v="2"/>
    <s v="Invoice"/>
    <s v="100000600"/>
    <x v="6"/>
    <x v="5"/>
    <x v="5"/>
    <x v="0"/>
    <n v="60"/>
  </r>
  <r>
    <s v="HAP"/>
    <s v="01"/>
    <s v="GREENWAY"/>
    <s v="WAREHOUSE"/>
    <x v="504"/>
    <x v="11"/>
    <x v="2"/>
    <s v="Invoice"/>
    <s v="100000600"/>
    <x v="2"/>
    <x v="0"/>
    <x v="0"/>
    <x v="0"/>
    <n v="120"/>
  </r>
  <r>
    <s v="HAP"/>
    <s v="01"/>
    <s v="GREENWAY"/>
    <s v="MIZNER C. CLUB"/>
    <x v="504"/>
    <x v="11"/>
    <x v="2"/>
    <s v="Invoice"/>
    <s v="100000601"/>
    <x v="3"/>
    <x v="379"/>
    <x v="2"/>
    <x v="0"/>
    <n v="50"/>
  </r>
  <r>
    <s v="HAP"/>
    <s v="01"/>
    <s v="GREENWAY"/>
    <s v="MIZNER C. CLUB"/>
    <x v="504"/>
    <x v="11"/>
    <x v="2"/>
    <s v="Invoice"/>
    <s v="100000601"/>
    <x v="5"/>
    <x v="4"/>
    <x v="4"/>
    <x v="0"/>
    <n v="100"/>
  </r>
  <r>
    <s v="HAP"/>
    <s v="01"/>
    <s v="GREENWAY"/>
    <s v="MIZNER C. CLUB"/>
    <x v="504"/>
    <x v="11"/>
    <x v="2"/>
    <s v="Invoice"/>
    <s v="100000601"/>
    <x v="6"/>
    <x v="5"/>
    <x v="5"/>
    <x v="0"/>
    <n v="50"/>
  </r>
  <r>
    <s v="HAP"/>
    <s v="01"/>
    <s v="GREENWAY"/>
    <s v="MIZNER C. CLUB"/>
    <x v="504"/>
    <x v="11"/>
    <x v="2"/>
    <s v="Invoice"/>
    <s v="100000601"/>
    <x v="2"/>
    <x v="0"/>
    <x v="0"/>
    <x v="0"/>
    <n v="100"/>
  </r>
  <r>
    <s v="DAVID"/>
    <s v="02"/>
    <s v="COUNCILO"/>
    <s v="COUNCIL-OXFORD"/>
    <x v="500"/>
    <x v="11"/>
    <x v="2"/>
    <s v="Invoice"/>
    <s v="100000504"/>
    <x v="26"/>
    <x v="21"/>
    <x v="21"/>
    <x v="0"/>
    <n v="434"/>
  </r>
  <r>
    <s v="DAVID"/>
    <s v="02"/>
    <s v="EVOQUAWATER"/>
    <s v="STOR-N-MORE"/>
    <x v="505"/>
    <x v="11"/>
    <x v="2"/>
    <s v="Invoice"/>
    <s v="100000521"/>
    <x v="160"/>
    <x v="231"/>
    <x v="54"/>
    <x v="0"/>
    <n v="360"/>
  </r>
  <r>
    <s v="DAVID"/>
    <s v="02"/>
    <s v="SUNNILAND"/>
    <s v="MAIN"/>
    <x v="506"/>
    <x v="11"/>
    <x v="2"/>
    <s v="Invoice"/>
    <s v="100000570"/>
    <x v="124"/>
    <x v="112"/>
    <x v="20"/>
    <x v="1"/>
    <n v="22920"/>
  </r>
  <r>
    <s v="DAVID"/>
    <s v="02"/>
    <s v="FLORIDAF"/>
    <s v="FLORIDA FERTILI"/>
    <x v="507"/>
    <x v="11"/>
    <x v="2"/>
    <s v="Invoice"/>
    <s v="100000577"/>
    <x v="29"/>
    <x v="24"/>
    <x v="20"/>
    <x v="1"/>
    <n v="13124"/>
  </r>
  <r>
    <s v="DAVID"/>
    <s v="02"/>
    <s v="CPSMULB"/>
    <s v="UAP/MULBERRY"/>
    <x v="508"/>
    <x v="11"/>
    <x v="2"/>
    <s v="Invoice"/>
    <s v="100000588"/>
    <x v="32"/>
    <x v="422"/>
    <x v="25"/>
    <x v="0"/>
    <n v="3240"/>
  </r>
  <r>
    <s v="JUSTIN"/>
    <s v="03"/>
    <s v="CPSFTPIE"/>
    <s v="FT. PIERCE"/>
    <x v="505"/>
    <x v="11"/>
    <x v="2"/>
    <s v="Invoice"/>
    <s v="100000518"/>
    <x v="5"/>
    <x v="72"/>
    <x v="4"/>
    <x v="0"/>
    <n v="180"/>
  </r>
  <r>
    <s v="JUSTIN"/>
    <s v="03"/>
    <s v="TRIANGLE"/>
    <s v="TRIANGLE/LAKEPL"/>
    <x v="505"/>
    <x v="11"/>
    <x v="2"/>
    <s v="Invoice"/>
    <s v="100000522"/>
    <x v="197"/>
    <x v="31"/>
    <x v="4"/>
    <x v="0"/>
    <n v="250"/>
  </r>
  <r>
    <s v="JUSTIN"/>
    <s v="03"/>
    <s v="TRIANGLE"/>
    <s v="TRIANGLE/LAKEPL"/>
    <x v="505"/>
    <x v="11"/>
    <x v="2"/>
    <s v="Invoice"/>
    <s v="100000522"/>
    <x v="36"/>
    <x v="31"/>
    <x v="4"/>
    <x v="0"/>
    <n v="60"/>
  </r>
  <r>
    <s v="JUSTIN"/>
    <s v="03"/>
    <s v="CPSWAVER"/>
    <s v="WAVERLY"/>
    <x v="509"/>
    <x v="11"/>
    <x v="2"/>
    <s v="Invoice"/>
    <s v="100000530"/>
    <x v="8"/>
    <x v="67"/>
    <x v="7"/>
    <x v="0"/>
    <n v="180"/>
  </r>
  <r>
    <s v="JUSTIN"/>
    <s v="03"/>
    <s v="CPSPARRI"/>
    <s v="PARRISH"/>
    <x v="502"/>
    <x v="11"/>
    <x v="2"/>
    <s v="Invoice"/>
    <s v="100000539"/>
    <x v="34"/>
    <x v="29"/>
    <x v="26"/>
    <x v="0"/>
    <n v="180"/>
  </r>
  <r>
    <s v="JUSTIN"/>
    <s v="03"/>
    <s v="COUNCILO"/>
    <s v="COUNCIL-OXFORD"/>
    <x v="510"/>
    <x v="11"/>
    <x v="2"/>
    <s v="Invoice"/>
    <s v="100000548"/>
    <x v="101"/>
    <x v="21"/>
    <x v="21"/>
    <x v="0"/>
    <n v="30"/>
  </r>
  <r>
    <s v="JUSTIN"/>
    <s v="03"/>
    <s v="COUNCILO"/>
    <s v="COUNCIL-OXFORD"/>
    <x v="510"/>
    <x v="11"/>
    <x v="2"/>
    <s v="Invoice"/>
    <s v="100000548"/>
    <x v="169"/>
    <x v="150"/>
    <x v="0"/>
    <x v="0"/>
    <n v="120"/>
  </r>
  <r>
    <s v="JUSTIN"/>
    <s v="03"/>
    <s v="COUNCILO"/>
    <s v="COUNCIL-OXFORD"/>
    <x v="510"/>
    <x v="11"/>
    <x v="2"/>
    <s v="Invoice"/>
    <s v="100000548"/>
    <x v="40"/>
    <x v="35"/>
    <x v="29"/>
    <x v="0"/>
    <n v="360"/>
  </r>
  <r>
    <s v="JUSTIN"/>
    <s v="03"/>
    <s v="CPSWACHU"/>
    <s v="WAUCHULA"/>
    <x v="511"/>
    <x v="11"/>
    <x v="2"/>
    <s v="Invoice"/>
    <s v="100000552"/>
    <x v="74"/>
    <x v="67"/>
    <x v="7"/>
    <x v="0"/>
    <n v="250"/>
  </r>
  <r>
    <s v="JUSTIN"/>
    <s v="03"/>
    <s v="CPSFTPIE"/>
    <s v="FT. PIERCE"/>
    <x v="511"/>
    <x v="11"/>
    <x v="2"/>
    <s v="Invoice"/>
    <s v="100000553"/>
    <x v="74"/>
    <x v="67"/>
    <x v="7"/>
    <x v="0"/>
    <n v="250"/>
  </r>
  <r>
    <s v="JUSTIN"/>
    <s v="03"/>
    <s v="CPSWAVER"/>
    <s v="WAVERLY"/>
    <x v="503"/>
    <x v="11"/>
    <x v="2"/>
    <s v="Invoice"/>
    <s v="100000557"/>
    <x v="35"/>
    <x v="30"/>
    <x v="27"/>
    <x v="0"/>
    <n v="180"/>
  </r>
  <r>
    <s v="JUSTIN"/>
    <s v="03"/>
    <s v="CPSOKEE"/>
    <s v="OKEE-LIQ PLANT"/>
    <x v="506"/>
    <x v="11"/>
    <x v="2"/>
    <s v="Invoice"/>
    <s v="100000566"/>
    <x v="134"/>
    <x v="94"/>
    <x v="41"/>
    <x v="0"/>
    <n v="1935"/>
  </r>
  <r>
    <s v="JUSTIN"/>
    <s v="03"/>
    <s v="CPSWACHU"/>
    <s v="WAUCHULA"/>
    <x v="507"/>
    <x v="11"/>
    <x v="2"/>
    <s v="Invoice"/>
    <s v="100000575"/>
    <x v="100"/>
    <x v="94"/>
    <x v="41"/>
    <x v="0"/>
    <n v="500"/>
  </r>
  <r>
    <s v="JUSTIN"/>
    <s v="03"/>
    <s v="CPSWACHU"/>
    <s v="WAUCHULA"/>
    <x v="507"/>
    <x v="11"/>
    <x v="2"/>
    <s v="Invoice"/>
    <s v="100000575"/>
    <x v="324"/>
    <x v="286"/>
    <x v="13"/>
    <x v="0"/>
    <n v="500"/>
  </r>
  <r>
    <s v="JUSTIN"/>
    <s v="03"/>
    <s v="CPSWAVER"/>
    <s v="WAVERLY"/>
    <x v="512"/>
    <x v="11"/>
    <x v="2"/>
    <s v="Invoice"/>
    <s v="100000580"/>
    <x v="35"/>
    <x v="30"/>
    <x v="27"/>
    <x v="0"/>
    <n v="180"/>
  </r>
  <r>
    <s v="JUSTIN"/>
    <s v="03"/>
    <s v="CPSWAVER"/>
    <s v="WAVERLY"/>
    <x v="512"/>
    <x v="11"/>
    <x v="2"/>
    <s v="Invoice"/>
    <s v="100000580"/>
    <x v="191"/>
    <x v="169"/>
    <x v="61"/>
    <x v="0"/>
    <n v="180"/>
  </r>
  <r>
    <s v="JUSTIN"/>
    <s v="03"/>
    <s v="CPSPARRI"/>
    <s v="PARRISH"/>
    <x v="512"/>
    <x v="11"/>
    <x v="2"/>
    <s v="Invoice"/>
    <s v="100000582"/>
    <x v="34"/>
    <x v="29"/>
    <x v="26"/>
    <x v="0"/>
    <n v="180"/>
  </r>
  <r>
    <s v="JUSTIN"/>
    <s v="03"/>
    <s v="CPSWACHU"/>
    <s v="WAUCHULA"/>
    <x v="504"/>
    <x v="11"/>
    <x v="2"/>
    <s v="Invoice"/>
    <s v="100000599"/>
    <x v="196"/>
    <x v="172"/>
    <x v="61"/>
    <x v="0"/>
    <n v="180"/>
  </r>
  <r>
    <s v="JUSTIN"/>
    <s v="03"/>
    <s v="CPSWACHU"/>
    <s v="WAUCHULA"/>
    <x v="513"/>
    <x v="11"/>
    <x v="2"/>
    <s v="Invoice"/>
    <s v="100000606"/>
    <x v="324"/>
    <x v="286"/>
    <x v="13"/>
    <x v="0"/>
    <n v="1000"/>
  </r>
  <r>
    <s v="DPOPPELL"/>
    <s v="04"/>
    <s v="IFASGULF"/>
    <s v="BALM-STRAWBERRY"/>
    <x v="500"/>
    <x v="11"/>
    <x v="2"/>
    <s v="Invoice"/>
    <s v="100000505"/>
    <x v="28"/>
    <x v="23"/>
    <x v="22"/>
    <x v="2"/>
    <n v="7.5025000000000004"/>
  </r>
  <r>
    <s v="DPOPPELL"/>
    <s v="04"/>
    <s v="SOUTHERNHILL"/>
    <s v="SCHOFIELD"/>
    <x v="501"/>
    <x v="11"/>
    <x v="2"/>
    <s v="Invoice"/>
    <s v="100000510"/>
    <x v="325"/>
    <x v="288"/>
    <x v="22"/>
    <x v="2"/>
    <n v="2.5074999999999998"/>
  </r>
  <r>
    <s v="DPOPPELL"/>
    <s v="04"/>
    <s v="SOUTHERNHILL"/>
    <s v="SCHOFIELD"/>
    <x v="501"/>
    <x v="11"/>
    <x v="2"/>
    <s v="Invoice"/>
    <s v="100000511"/>
    <x v="43"/>
    <x v="38"/>
    <x v="22"/>
    <x v="2"/>
    <n v="2.5"/>
  </r>
  <r>
    <s v="DPOPPELL"/>
    <s v="04"/>
    <s v="TWINFARMS"/>
    <s v="WIMAUMA"/>
    <x v="501"/>
    <x v="11"/>
    <x v="2"/>
    <s v="Invoice"/>
    <s v="100000514"/>
    <x v="43"/>
    <x v="38"/>
    <x v="22"/>
    <x v="2"/>
    <n v="1.0024999999999999"/>
  </r>
  <r>
    <s v="DPOPPELL"/>
    <s v="04"/>
    <s v="GARCIAFARMS"/>
    <s v="MAIN"/>
    <x v="501"/>
    <x v="11"/>
    <x v="2"/>
    <s v="Invoice"/>
    <s v="100000515"/>
    <x v="43"/>
    <x v="38"/>
    <x v="22"/>
    <x v="2"/>
    <n v="5.0125000000000002"/>
  </r>
  <r>
    <s v="DPOPPELL"/>
    <s v="04"/>
    <s v="SOTERO"/>
    <s v="SOTERO"/>
    <x v="505"/>
    <x v="11"/>
    <x v="2"/>
    <s v="Invoice"/>
    <s v="100000520"/>
    <x v="53"/>
    <x v="46"/>
    <x v="22"/>
    <x v="2"/>
    <n v="0.75"/>
  </r>
  <r>
    <s v="DPOPPELL"/>
    <s v="04"/>
    <s v="CHAVEZJOR"/>
    <s v="JOSE' CHAV- COD"/>
    <x v="514"/>
    <x v="11"/>
    <x v="2"/>
    <s v="Invoice"/>
    <s v="100000529"/>
    <x v="53"/>
    <x v="46"/>
    <x v="22"/>
    <x v="2"/>
    <n v="0.15"/>
  </r>
  <r>
    <s v="DPOPPELL"/>
    <s v="04"/>
    <s v="GUTIERREZDAN"/>
    <s v="FORBES/SLATON"/>
    <x v="509"/>
    <x v="11"/>
    <x v="2"/>
    <s v="Invoice"/>
    <s v="100000534"/>
    <x v="43"/>
    <x v="38"/>
    <x v="22"/>
    <x v="2"/>
    <n v="5.0125000000000002"/>
  </r>
  <r>
    <s v="DPOPPELL"/>
    <s v="04"/>
    <s v="FOXSQUIRREL"/>
    <s v="MAIN"/>
    <x v="509"/>
    <x v="11"/>
    <x v="2"/>
    <s v="Invoice"/>
    <s v="100000536"/>
    <x v="9"/>
    <x v="106"/>
    <x v="8"/>
    <x v="0"/>
    <n v="10"/>
  </r>
  <r>
    <s v="DPOPPELL"/>
    <s v="04"/>
    <s v="CHAVEZJOR"/>
    <s v="JOSE' CHAV- COD"/>
    <x v="503"/>
    <x v="11"/>
    <x v="2"/>
    <s v="Invoice"/>
    <s v="100000558"/>
    <x v="53"/>
    <x v="46"/>
    <x v="22"/>
    <x v="2"/>
    <n v="0.15"/>
  </r>
  <r>
    <s v="DPOPPELL"/>
    <s v="04"/>
    <s v="GWFARMS"/>
    <s v="JAUDONNORTH"/>
    <x v="503"/>
    <x v="11"/>
    <x v="2"/>
    <s v="Invoice"/>
    <s v="100000560"/>
    <x v="43"/>
    <x v="38"/>
    <x v="22"/>
    <x v="2"/>
    <n v="1.2649999999999999"/>
  </r>
  <r>
    <s v="DPOPPELL"/>
    <s v="04"/>
    <s v="SOUTHERNHILL"/>
    <s v="SCHOFIELD"/>
    <x v="515"/>
    <x v="11"/>
    <x v="2"/>
    <s v="Invoice"/>
    <s v="100000572"/>
    <x v="43"/>
    <x v="38"/>
    <x v="22"/>
    <x v="2"/>
    <n v="2.25"/>
  </r>
  <r>
    <s v="DPOPPELL"/>
    <s v="04"/>
    <s v="JGRANCH"/>
    <s v="WISCON RD."/>
    <x v="515"/>
    <x v="11"/>
    <x v="2"/>
    <s v="Invoice"/>
    <s v="100000573"/>
    <x v="28"/>
    <x v="23"/>
    <x v="22"/>
    <x v="2"/>
    <n v="2.5049999999999999"/>
  </r>
  <r>
    <s v="DPOPPELL"/>
    <s v="04"/>
    <s v="FRANKLIN"/>
    <s v="FRANKLIN FARM"/>
    <x v="515"/>
    <x v="11"/>
    <x v="2"/>
    <s v="Invoice"/>
    <s v="100000574"/>
    <x v="46"/>
    <x v="40"/>
    <x v="22"/>
    <x v="2"/>
    <n v="7.5049999999999999"/>
  </r>
  <r>
    <s v="DPOPPELL"/>
    <s v="04"/>
    <s v="JOEPENA"/>
    <s v="JIMREDMAN"/>
    <x v="507"/>
    <x v="11"/>
    <x v="2"/>
    <s v="Invoice"/>
    <s v="100000578"/>
    <x v="55"/>
    <x v="48"/>
    <x v="22"/>
    <x v="2"/>
    <n v="1"/>
  </r>
  <r>
    <s v="DPOPPELL"/>
    <s v="04"/>
    <s v="ROBBIETO"/>
    <s v="THONOTOSASSA"/>
    <x v="512"/>
    <x v="11"/>
    <x v="2"/>
    <s v="Invoice"/>
    <s v="100000579"/>
    <x v="329"/>
    <x v="371"/>
    <x v="3"/>
    <x v="0"/>
    <n v="5"/>
  </r>
  <r>
    <s v="DPOPPELL"/>
    <s v="04"/>
    <s v="GUTIERREZA"/>
    <s v="DUETTE"/>
    <x v="516"/>
    <x v="11"/>
    <x v="2"/>
    <s v="Invoice"/>
    <s v="100000585"/>
    <x v="43"/>
    <x v="38"/>
    <x v="22"/>
    <x v="2"/>
    <n v="10.0075"/>
  </r>
  <r>
    <s v="DPOPPELL"/>
    <s v="04"/>
    <s v="CHAVEZJOR"/>
    <s v="JOSE' CHAV- COD"/>
    <x v="516"/>
    <x v="11"/>
    <x v="2"/>
    <s v="Invoice"/>
    <s v="100000586"/>
    <x v="53"/>
    <x v="46"/>
    <x v="22"/>
    <x v="2"/>
    <n v="0.15"/>
  </r>
  <r>
    <s v="DPOPPELL"/>
    <s v="04"/>
    <s v="5KFARMS"/>
    <s v="MAIN"/>
    <x v="508"/>
    <x v="11"/>
    <x v="2"/>
    <s v="Invoice"/>
    <s v="100000587"/>
    <x v="136"/>
    <x v="111"/>
    <x v="46"/>
    <x v="0"/>
    <n v="10"/>
  </r>
  <r>
    <s v="DPOPPELL"/>
    <s v="04"/>
    <s v="FERRISFA"/>
    <s v="THE HILL"/>
    <x v="508"/>
    <x v="11"/>
    <x v="2"/>
    <s v="Invoice"/>
    <s v="100000590"/>
    <x v="72"/>
    <x v="65"/>
    <x v="22"/>
    <x v="2"/>
    <n v="20.0275"/>
  </r>
  <r>
    <s v="DPOPPELL"/>
    <s v="04"/>
    <s v="CHANFARM"/>
    <s v="KNIGHTS GRIFFIN"/>
    <x v="517"/>
    <x v="11"/>
    <x v="2"/>
    <s v="Invoice"/>
    <s v="100000592"/>
    <x v="51"/>
    <x v="44"/>
    <x v="22"/>
    <x v="2"/>
    <n v="2.4950000000000001"/>
  </r>
  <r>
    <s v="DPOPPELL"/>
    <s v="04"/>
    <s v="GUTIERREZDAN"/>
    <s v="FORBES/SLATON"/>
    <x v="517"/>
    <x v="11"/>
    <x v="2"/>
    <s v="Invoice"/>
    <s v="100000593"/>
    <x v="58"/>
    <x v="51"/>
    <x v="22"/>
    <x v="2"/>
    <n v="5.0125000000000002"/>
  </r>
  <r>
    <s v="DPOPPELL"/>
    <s v="04"/>
    <s v="ROBBIETO"/>
    <s v="THONOTOSASSA"/>
    <x v="517"/>
    <x v="11"/>
    <x v="2"/>
    <s v="Invoice"/>
    <s v="100000594"/>
    <x v="4"/>
    <x v="371"/>
    <x v="3"/>
    <x v="0"/>
    <n v="2.5"/>
  </r>
  <r>
    <s v="DPOPPELL"/>
    <s v="04"/>
    <s v="COLLARDKING"/>
    <s v="MAIN"/>
    <x v="518"/>
    <x v="11"/>
    <x v="2"/>
    <s v="Invoice"/>
    <s v="100000595"/>
    <x v="122"/>
    <x v="63"/>
    <x v="33"/>
    <x v="0"/>
    <n v="10"/>
  </r>
  <r>
    <s v="DPOPPELL"/>
    <s v="04"/>
    <s v="SOUTHERNHILL"/>
    <s v="SCHOFIELD"/>
    <x v="504"/>
    <x v="11"/>
    <x v="2"/>
    <s v="Invoice"/>
    <s v="100000602"/>
    <x v="43"/>
    <x v="38"/>
    <x v="22"/>
    <x v="2"/>
    <n v="2.5125000000000002"/>
  </r>
  <r>
    <s v="DPOPPELL"/>
    <s v="04"/>
    <s v="IFASGULF"/>
    <s v="BALM-STRAWBERRY"/>
    <x v="504"/>
    <x v="11"/>
    <x v="2"/>
    <s v="Invoice"/>
    <s v="100000603"/>
    <x v="28"/>
    <x v="23"/>
    <x v="22"/>
    <x v="2"/>
    <n v="7.51"/>
  </r>
  <r>
    <s v="DPOPPELL"/>
    <s v="04"/>
    <s v="JOSEHERN"/>
    <s v="TRAPNELL RD/E"/>
    <x v="513"/>
    <x v="11"/>
    <x v="2"/>
    <s v="Invoice"/>
    <s v="100000607"/>
    <x v="43"/>
    <x v="38"/>
    <x v="22"/>
    <x v="2"/>
    <n v="1.9950000000000001"/>
  </r>
  <r>
    <s v="DPOPPELL"/>
    <s v="04"/>
    <s v="JOSEHERN"/>
    <s v="DURANT"/>
    <x v="513"/>
    <x v="11"/>
    <x v="2"/>
    <s v="Invoice"/>
    <s v="100000608"/>
    <x v="43"/>
    <x v="38"/>
    <x v="22"/>
    <x v="2"/>
    <n v="5.0199999999999996"/>
  </r>
  <r>
    <s v="DPOPPELL"/>
    <s v="04"/>
    <s v="FLORIDAAG"/>
    <s v="KINGSWAY"/>
    <x v="518"/>
    <x v="11"/>
    <x v="2"/>
    <s v="Invoice"/>
    <s v="100000616"/>
    <x v="326"/>
    <x v="289"/>
    <x v="22"/>
    <x v="2"/>
    <n v="2.25"/>
  </r>
  <r>
    <s v="HOUSE"/>
    <s v="05"/>
    <s v="CPSBOYNTON"/>
    <s v="BOYNTON BCH"/>
    <x v="505"/>
    <x v="11"/>
    <x v="2"/>
    <s v="Invoice"/>
    <s v="100000517"/>
    <x v="5"/>
    <x v="72"/>
    <x v="4"/>
    <x v="0"/>
    <n v="180"/>
  </r>
  <r>
    <s v="HOUSE"/>
    <s v="05"/>
    <s v="SOUTHERN"/>
    <s v="SOUTHERN AG"/>
    <x v="509"/>
    <x v="11"/>
    <x v="2"/>
    <s v="Invoice"/>
    <s v="100000533"/>
    <x v="33"/>
    <x v="28"/>
    <x v="2"/>
    <x v="0"/>
    <n v="180"/>
  </r>
  <r>
    <s v="HOUSE"/>
    <s v="05"/>
    <s v="SOUTHERN"/>
    <s v="SOUTHERN AG"/>
    <x v="509"/>
    <x v="11"/>
    <x v="2"/>
    <s v="Invoice"/>
    <s v="100000533"/>
    <x v="237"/>
    <x v="75"/>
    <x v="26"/>
    <x v="0"/>
    <n v="180"/>
  </r>
  <r>
    <s v="HOUSE"/>
    <s v="05"/>
    <s v="SOUTHERN"/>
    <s v="SOUTHERN AG"/>
    <x v="509"/>
    <x v="11"/>
    <x v="2"/>
    <s v="Invoice"/>
    <s v="100000533"/>
    <x v="358"/>
    <x v="18"/>
    <x v="18"/>
    <x v="0"/>
    <n v="180"/>
  </r>
  <r>
    <s v="HOUSE"/>
    <s v="05"/>
    <s v="SOUTHEASTTURF"/>
    <s v="SARABAYCC"/>
    <x v="509"/>
    <x v="11"/>
    <x v="2"/>
    <s v="Invoice"/>
    <s v="100000535"/>
    <x v="298"/>
    <x v="109"/>
    <x v="45"/>
    <x v="0"/>
    <n v="55"/>
  </r>
  <r>
    <s v="HOUSE"/>
    <s v="05"/>
    <s v="CPSHOMES"/>
    <s v="HOMESTEAD"/>
    <x v="502"/>
    <x v="11"/>
    <x v="2"/>
    <s v="Invoice"/>
    <s v="100000538"/>
    <x v="427"/>
    <x v="128"/>
    <x v="29"/>
    <x v="0"/>
    <n v="120"/>
  </r>
  <r>
    <s v="HOUSE"/>
    <s v="05"/>
    <s v="SOUTHEASTTURF"/>
    <s v="CCOFWINTERHAVEN"/>
    <x v="503"/>
    <x v="11"/>
    <x v="2"/>
    <s v="Invoice"/>
    <s v="100000555"/>
    <x v="310"/>
    <x v="145"/>
    <x v="56"/>
    <x v="0"/>
    <n v="250"/>
  </r>
  <r>
    <s v=""/>
    <s v="07"/>
    <s v="CPSHASTI"/>
    <s v="HASTINGS"/>
    <x v="501"/>
    <x v="11"/>
    <x v="2"/>
    <s v="Invoice"/>
    <s v="100000507"/>
    <x v="106"/>
    <x v="74"/>
    <x v="13"/>
    <x v="0"/>
    <n v="180"/>
  </r>
  <r>
    <s v=""/>
    <s v="07"/>
    <s v="CPSHASTI"/>
    <s v="HASTINGS"/>
    <x v="501"/>
    <x v="11"/>
    <x v="2"/>
    <s v="Invoice"/>
    <s v="100000507"/>
    <x v="107"/>
    <x v="98"/>
    <x v="36"/>
    <x v="0"/>
    <n v="180"/>
  </r>
  <r>
    <s v=""/>
    <s v="07"/>
    <s v="PIERSONSUPPLY"/>
    <s v="MAIN"/>
    <x v="501"/>
    <x v="11"/>
    <x v="2"/>
    <s v="Invoice"/>
    <s v="100000508"/>
    <x v="239"/>
    <x v="215"/>
    <x v="68"/>
    <x v="0"/>
    <n v="180"/>
  </r>
  <r>
    <s v=""/>
    <s v="07"/>
    <s v="CPSHASTI"/>
    <s v="HASTINGS"/>
    <x v="509"/>
    <x v="11"/>
    <x v="2"/>
    <s v="Invoice"/>
    <s v="100000531"/>
    <x v="96"/>
    <x v="90"/>
    <x v="39"/>
    <x v="0"/>
    <n v="180"/>
  </r>
  <r>
    <s v="CHEAD"/>
    <s v="07"/>
    <s v="UFPSUNIT"/>
    <s v="CITRA FARM"/>
    <x v="503"/>
    <x v="11"/>
    <x v="2"/>
    <s v="Invoice"/>
    <s v="100000556"/>
    <x v="73"/>
    <x v="66"/>
    <x v="22"/>
    <x v="2"/>
    <n v="2.5"/>
  </r>
  <r>
    <s v=""/>
    <s v="07"/>
    <s v="SUNNILAND"/>
    <s v="LONGWOOD"/>
    <x v="506"/>
    <x v="11"/>
    <x v="2"/>
    <s v="Invoice"/>
    <s v="100000570A"/>
    <x v="124"/>
    <x v="112"/>
    <x v="20"/>
    <x v="1"/>
    <n v="22920"/>
  </r>
  <r>
    <s v="DPOPPELL1"/>
    <s v="08"/>
    <s v="COASTALAGSUPPLY"/>
    <s v="MULBERRY"/>
    <x v="505"/>
    <x v="11"/>
    <x v="2"/>
    <s v="Invoice"/>
    <s v="100000519"/>
    <x v="58"/>
    <x v="51"/>
    <x v="22"/>
    <x v="2"/>
    <n v="5.0075000000000003"/>
  </r>
  <r>
    <s v="DPOPPELL1"/>
    <s v="08"/>
    <s v="PURLEYNK"/>
    <s v="MAIN"/>
    <x v="512"/>
    <x v="11"/>
    <x v="2"/>
    <s v="Invoice"/>
    <s v="100000581"/>
    <x v="28"/>
    <x v="23"/>
    <x v="22"/>
    <x v="2"/>
    <n v="0.15"/>
  </r>
  <r>
    <s v="DPOPPELL1"/>
    <s v="08"/>
    <s v="CPSMULB"/>
    <s v="UAP/MULBERRY"/>
    <x v="517"/>
    <x v="11"/>
    <x v="2"/>
    <s v="Invoice"/>
    <s v="100000591"/>
    <x v="102"/>
    <x v="71"/>
    <x v="100"/>
    <x v="0"/>
    <n v="2000"/>
  </r>
  <r>
    <s v=""/>
    <s v="09"/>
    <s v="GREENRES"/>
    <s v="OCEAN HWY-NC"/>
    <x v="510"/>
    <x v="11"/>
    <x v="2"/>
    <s v="Invoice"/>
    <s v="100000550"/>
    <x v="88"/>
    <x v="80"/>
    <x v="2"/>
    <x v="0"/>
    <n v="55"/>
  </r>
  <r>
    <s v=""/>
    <s v="09"/>
    <s v="GREENRES"/>
    <s v="OCEAN HWY-NC"/>
    <x v="510"/>
    <x v="11"/>
    <x v="2"/>
    <s v="Invoice"/>
    <s v="100000550"/>
    <x v="3"/>
    <x v="80"/>
    <x v="2"/>
    <x v="0"/>
    <n v="180"/>
  </r>
  <r>
    <s v=""/>
    <s v="09"/>
    <s v="NUTRATURF"/>
    <s v="CRUMP ST, NC"/>
    <x v="511"/>
    <x v="11"/>
    <x v="2"/>
    <s v="Invoice"/>
    <s v="100000554"/>
    <x v="78"/>
    <x v="71"/>
    <x v="100"/>
    <x v="0"/>
    <n v="55"/>
  </r>
  <r>
    <s v=""/>
    <s v="09"/>
    <s v="NUTRATURF"/>
    <s v="CRUMP ST, NC"/>
    <x v="511"/>
    <x v="11"/>
    <x v="2"/>
    <s v="Invoice"/>
    <s v="100000554"/>
    <x v="251"/>
    <x v="28"/>
    <x v="2"/>
    <x v="0"/>
    <n v="55"/>
  </r>
  <r>
    <s v=""/>
    <s v="09"/>
    <s v="NUTRATURF"/>
    <s v="CRUMP ST, NC"/>
    <x v="511"/>
    <x v="11"/>
    <x v="2"/>
    <s v="Invoice"/>
    <s v="100000554"/>
    <x v="79"/>
    <x v="72"/>
    <x v="4"/>
    <x v="0"/>
    <n v="55"/>
  </r>
  <r>
    <s v=""/>
    <s v="09"/>
    <s v="NUTRATURF"/>
    <s v="CRUMP ST, NC"/>
    <x v="511"/>
    <x v="11"/>
    <x v="2"/>
    <s v="Invoice"/>
    <s v="100000554"/>
    <x v="188"/>
    <x v="69"/>
    <x v="17"/>
    <x v="0"/>
    <n v="110"/>
  </r>
  <r>
    <s v=""/>
    <s v="09"/>
    <s v="NUTRATURF"/>
    <s v="CRUMP ST, NC"/>
    <x v="511"/>
    <x v="11"/>
    <x v="2"/>
    <s v="Invoice"/>
    <s v="100000554"/>
    <x v="1"/>
    <x v="110"/>
    <x v="1"/>
    <x v="0"/>
    <n v="55"/>
  </r>
  <r>
    <s v=""/>
    <s v="09"/>
    <s v="NUTRATURF"/>
    <s v="CRUMP ST, NC"/>
    <x v="511"/>
    <x v="11"/>
    <x v="2"/>
    <s v="Invoice"/>
    <s v="100000554"/>
    <x v="362"/>
    <x v="78"/>
    <x v="36"/>
    <x v="0"/>
    <n v="110"/>
  </r>
  <r>
    <s v="TRES"/>
    <s v="11"/>
    <s v="SOUTHINTEGRITY"/>
    <s v="MAIN"/>
    <x v="518"/>
    <x v="11"/>
    <x v="2"/>
    <s v="Invoice"/>
    <s v="100000615"/>
    <x v="168"/>
    <x v="88"/>
    <x v="8"/>
    <x v="0"/>
    <n v="105"/>
  </r>
  <r>
    <s v="TRES"/>
    <s v="11"/>
    <s v="SOUTHINTEGRITY"/>
    <s v="MAIN"/>
    <x v="518"/>
    <x v="11"/>
    <x v="2"/>
    <s v="Invoice"/>
    <s v="100000615"/>
    <x v="34"/>
    <x v="29"/>
    <x v="26"/>
    <x v="0"/>
    <n v="20"/>
  </r>
  <r>
    <s v="CSWAFFORD"/>
    <s v="12"/>
    <s v="GOLFVENTURES"/>
    <s v="MAIN"/>
    <x v="501"/>
    <x v="11"/>
    <x v="2"/>
    <s v="Invoice"/>
    <s v="100000509"/>
    <x v="298"/>
    <x v="299"/>
    <x v="45"/>
    <x v="0"/>
    <n v="55"/>
  </r>
  <r>
    <s v="CSWAFFORD"/>
    <s v="12"/>
    <s v="JRMINC"/>
    <s v="MAILING"/>
    <x v="501"/>
    <x v="11"/>
    <x v="2"/>
    <s v="Invoice"/>
    <s v="100000512"/>
    <x v="482"/>
    <x v="423"/>
    <x v="69"/>
    <x v="0"/>
    <n v="60"/>
  </r>
  <r>
    <s v="CSWAFFORD"/>
    <s v="12"/>
    <s v="JRMINC"/>
    <s v="MAILING"/>
    <x v="501"/>
    <x v="11"/>
    <x v="2"/>
    <s v="Invoice"/>
    <s v="100000512"/>
    <x v="483"/>
    <x v="424"/>
    <x v="67"/>
    <x v="0"/>
    <n v="60"/>
  </r>
  <r>
    <s v="CSWAFFORD"/>
    <s v="12"/>
    <s v="JRMINC"/>
    <s v="STOREITALL"/>
    <x v="501"/>
    <x v="11"/>
    <x v="2"/>
    <s v="Invoice"/>
    <s v="100000516"/>
    <x v="448"/>
    <x v="384"/>
    <x v="110"/>
    <x v="0"/>
    <n v="60"/>
  </r>
  <r>
    <s v="CSWAFFORD"/>
    <s v="12"/>
    <s v="JRMINC"/>
    <s v="PALMETTODUNES"/>
    <x v="514"/>
    <x v="11"/>
    <x v="2"/>
    <s v="Invoice"/>
    <s v="100000527"/>
    <x v="120"/>
    <x v="109"/>
    <x v="45"/>
    <x v="0"/>
    <n v="250"/>
  </r>
  <r>
    <s v="CSWAFFORD"/>
    <s v="12"/>
    <s v="JRMINC"/>
    <s v="MAILING"/>
    <x v="514"/>
    <x v="11"/>
    <x v="2"/>
    <s v="Invoice"/>
    <s v="100000528"/>
    <x v="482"/>
    <x v="423"/>
    <x v="69"/>
    <x v="0"/>
    <n v="90"/>
  </r>
  <r>
    <s v="CSWAFFORD"/>
    <s v="12"/>
    <s v="JRMINC"/>
    <s v="MAILING"/>
    <x v="514"/>
    <x v="11"/>
    <x v="2"/>
    <s v="Invoice"/>
    <s v="100000528"/>
    <x v="483"/>
    <x v="424"/>
    <x v="67"/>
    <x v="0"/>
    <n v="90"/>
  </r>
  <r>
    <s v="CSWAFFORD"/>
    <s v="12"/>
    <s v="GOLFVENTURES"/>
    <s v="LAWNWORX"/>
    <x v="509"/>
    <x v="11"/>
    <x v="2"/>
    <s v="Invoice"/>
    <s v="100000532"/>
    <x v="321"/>
    <x v="283"/>
    <x v="88"/>
    <x v="0"/>
    <n v="250"/>
  </r>
  <r>
    <s v="CSWAFFORD"/>
    <s v="12"/>
    <s v="GOLFVENTURES"/>
    <s v="MAIN"/>
    <x v="502"/>
    <x v="11"/>
    <x v="2"/>
    <s v="Invoice"/>
    <s v="100000541"/>
    <x v="438"/>
    <x v="373"/>
    <x v="108"/>
    <x v="0"/>
    <n v="90"/>
  </r>
  <r>
    <s v="CSWAFFORD"/>
    <s v="12"/>
    <s v="GOLFVENTURES"/>
    <s v="MAIN"/>
    <x v="502"/>
    <x v="11"/>
    <x v="2"/>
    <s v="Invoice"/>
    <s v="100000541"/>
    <x v="439"/>
    <x v="297"/>
    <x v="91"/>
    <x v="0"/>
    <n v="90"/>
  </r>
  <r>
    <s v="CSWAFFORD"/>
    <s v="12"/>
    <s v="GOLFVENTURES"/>
    <s v="MAIN"/>
    <x v="502"/>
    <x v="11"/>
    <x v="2"/>
    <s v="Invoice"/>
    <s v="100000542"/>
    <x v="249"/>
    <x v="294"/>
    <x v="70"/>
    <x v="0"/>
    <n v="90"/>
  </r>
  <r>
    <s v="CSWAFFORD"/>
    <s v="12"/>
    <s v="GOLFVENTURES"/>
    <s v="MAIN"/>
    <x v="502"/>
    <x v="11"/>
    <x v="2"/>
    <s v="Invoice"/>
    <s v="100000542"/>
    <x v="370"/>
    <x v="320"/>
    <x v="63"/>
    <x v="0"/>
    <n v="90"/>
  </r>
  <r>
    <s v="CSWAFFORD"/>
    <s v="12"/>
    <s v="GOLFVENTURES"/>
    <s v="CEDARHAMMOCK"/>
    <x v="502"/>
    <x v="11"/>
    <x v="2"/>
    <s v="Invoice"/>
    <s v="100000544"/>
    <x v="440"/>
    <x v="321"/>
    <x v="96"/>
    <x v="0"/>
    <n v="275"/>
  </r>
  <r>
    <s v="CSWAFFORD"/>
    <s v="12"/>
    <s v="GOLFVENTURES"/>
    <s v="GASPARILLAINN"/>
    <x v="510"/>
    <x v="11"/>
    <x v="2"/>
    <s v="Invoice"/>
    <s v="100000546"/>
    <x v="74"/>
    <x v="396"/>
    <x v="7"/>
    <x v="0"/>
    <n v="250"/>
  </r>
  <r>
    <s v="CSWAFFORD"/>
    <s v="12"/>
    <s v="GOLFVENTURES"/>
    <s v="GASPARILLAINN"/>
    <x v="510"/>
    <x v="11"/>
    <x v="2"/>
    <s v="Invoice"/>
    <s v="100000547"/>
    <x v="424"/>
    <x v="362"/>
    <x v="47"/>
    <x v="0"/>
    <n v="5"/>
  </r>
  <r>
    <s v="CSWAFFORD"/>
    <s v="12"/>
    <s v="GOLFVENTURES"/>
    <s v="GASPARILLAINN"/>
    <x v="510"/>
    <x v="11"/>
    <x v="2"/>
    <s v="Invoice"/>
    <s v="100000547"/>
    <x v="363"/>
    <x v="320"/>
    <x v="63"/>
    <x v="0"/>
    <n v="250"/>
  </r>
  <r>
    <s v="CSWAFFORD"/>
    <s v="12"/>
    <s v="JRMINC"/>
    <s v="MAILING"/>
    <x v="510"/>
    <x v="11"/>
    <x v="2"/>
    <s v="Invoice"/>
    <s v="100000549"/>
    <x v="482"/>
    <x v="423"/>
    <x v="69"/>
    <x v="0"/>
    <n v="30"/>
  </r>
  <r>
    <s v="CSWAFFORD"/>
    <s v="12"/>
    <s v="JRMINC"/>
    <s v="MAILING"/>
    <x v="510"/>
    <x v="11"/>
    <x v="2"/>
    <s v="Invoice"/>
    <s v="100000549"/>
    <x v="483"/>
    <x v="424"/>
    <x v="67"/>
    <x v="0"/>
    <n v="30"/>
  </r>
  <r>
    <s v="CSWAFFORD"/>
    <s v="12"/>
    <s v="JRMINC"/>
    <s v="THEOAKSCLUB"/>
    <x v="510"/>
    <x v="11"/>
    <x v="2"/>
    <s v="Invoice"/>
    <s v="100000551"/>
    <x v="298"/>
    <x v="109"/>
    <x v="45"/>
    <x v="0"/>
    <n v="55"/>
  </r>
  <r>
    <s v="CSWAFFORD"/>
    <s v="12"/>
    <s v="GOLFVENTURES"/>
    <s v="SANIBELISLAND"/>
    <x v="506"/>
    <x v="11"/>
    <x v="2"/>
    <s v="Invoice"/>
    <s v="100000564"/>
    <x v="366"/>
    <x v="336"/>
    <x v="22"/>
    <x v="2"/>
    <n v="1.39"/>
  </r>
  <r>
    <s v="CSWAFFORD"/>
    <s v="12"/>
    <s v="GOLFVENTURES"/>
    <s v="HIDEAWAY"/>
    <x v="506"/>
    <x v="11"/>
    <x v="2"/>
    <s v="Invoice"/>
    <s v="100000565"/>
    <x v="372"/>
    <x v="295"/>
    <x v="43"/>
    <x v="0"/>
    <n v="250"/>
  </r>
  <r>
    <s v="CSWAFFORD"/>
    <s v="12"/>
    <s v="GOLFVENTURES"/>
    <s v="SANIBELISLAND"/>
    <x v="506"/>
    <x v="11"/>
    <x v="2"/>
    <s v="Invoice"/>
    <s v="100000567"/>
    <x v="337"/>
    <x v="298"/>
    <x v="53"/>
    <x v="0"/>
    <n v="275"/>
  </r>
  <r>
    <s v="CSWAFFORD"/>
    <s v="12"/>
    <s v="GOLFVENTURES"/>
    <s v="SANIBELISLAND"/>
    <x v="506"/>
    <x v="11"/>
    <x v="2"/>
    <s v="Invoice"/>
    <s v="100000567"/>
    <x v="372"/>
    <x v="295"/>
    <x v="43"/>
    <x v="0"/>
    <n v="275"/>
  </r>
  <r>
    <s v="CSWAFFORD"/>
    <s v="12"/>
    <s v="GOLFVENTURES"/>
    <s v="SANIBELISLAND"/>
    <x v="506"/>
    <x v="11"/>
    <x v="2"/>
    <s v="Invoice"/>
    <s v="100000567"/>
    <x v="320"/>
    <x v="282"/>
    <x v="87"/>
    <x v="0"/>
    <n v="275"/>
  </r>
  <r>
    <s v="CSWAFFORD"/>
    <s v="12"/>
    <s v="GOLFVENTURES"/>
    <s v="HIDEAWAY"/>
    <x v="506"/>
    <x v="11"/>
    <x v="2"/>
    <s v="Invoice"/>
    <s v="100000568"/>
    <x v="366"/>
    <x v="336"/>
    <x v="22"/>
    <x v="2"/>
    <n v="1.2549999999999999"/>
  </r>
  <r>
    <s v="CSWAFFORD"/>
    <s v="12"/>
    <s v="GOLFVENTURES"/>
    <s v="MAIN"/>
    <x v="506"/>
    <x v="11"/>
    <x v="2"/>
    <s v="Invoice"/>
    <s v="100000569"/>
    <x v="298"/>
    <x v="299"/>
    <x v="45"/>
    <x v="0"/>
    <n v="55"/>
  </r>
  <r>
    <s v="CSWAFFORD"/>
    <s v="12"/>
    <s v="GOLFVENTURES"/>
    <s v="BRADENTONCC"/>
    <x v="512"/>
    <x v="11"/>
    <x v="2"/>
    <s v="Invoice"/>
    <s v="100000583"/>
    <x v="320"/>
    <x v="282"/>
    <x v="87"/>
    <x v="0"/>
    <n v="250"/>
  </r>
  <r>
    <s v="CSWAFFORD"/>
    <s v="12"/>
    <s v="JRMINC"/>
    <s v="MAILING"/>
    <x v="517"/>
    <x v="11"/>
    <x v="2"/>
    <s v="Invoice"/>
    <s v="100000596"/>
    <x v="452"/>
    <x v="388"/>
    <x v="112"/>
    <x v="0"/>
    <n v="180"/>
  </r>
  <r>
    <s v="CSWAFFORD"/>
    <s v="12"/>
    <s v="JRMINC"/>
    <s v="MAILING"/>
    <x v="517"/>
    <x v="11"/>
    <x v="2"/>
    <s v="Invoice"/>
    <s v="100000596"/>
    <x v="455"/>
    <x v="391"/>
    <x v="56"/>
    <x v="0"/>
    <n v="180"/>
  </r>
  <r>
    <s v="CSWAFFORD"/>
    <s v="12"/>
    <s v="JRMINC"/>
    <s v="MAILING"/>
    <x v="517"/>
    <x v="11"/>
    <x v="2"/>
    <s v="Invoice"/>
    <s v="100000596"/>
    <x v="484"/>
    <x v="425"/>
    <x v="118"/>
    <x v="0"/>
    <n v="180"/>
  </r>
  <r>
    <s v="CSWAFFORD"/>
    <s v="12"/>
    <s v="GOLFVENTURES"/>
    <s v="MAIN"/>
    <x v="517"/>
    <x v="11"/>
    <x v="2"/>
    <s v="Invoice"/>
    <s v="100000597"/>
    <x v="133"/>
    <x v="299"/>
    <x v="45"/>
    <x v="0"/>
    <n v="20"/>
  </r>
  <r>
    <s v="CSWAFFORD"/>
    <s v="12"/>
    <s v="GOLFVENTURES"/>
    <s v="MAIN"/>
    <x v="517"/>
    <x v="11"/>
    <x v="2"/>
    <s v="Invoice"/>
    <s v="100000597"/>
    <x v="485"/>
    <x v="281"/>
    <x v="42"/>
    <x v="0"/>
    <n v="20"/>
  </r>
  <r>
    <s v="CSWAFFORD"/>
    <s v="12"/>
    <s v="GOLFVENTURES"/>
    <s v="CHSEAGLERIDGE"/>
    <x v="504"/>
    <x v="11"/>
    <x v="2"/>
    <s v="Invoice"/>
    <s v="100000598"/>
    <x v="120"/>
    <x v="299"/>
    <x v="45"/>
    <x v="0"/>
    <n v="250"/>
  </r>
  <r>
    <s v="CSWAFFORD"/>
    <s v="12"/>
    <s v="GOLFVENTURES"/>
    <s v="MAIN"/>
    <x v="513"/>
    <x v="11"/>
    <x v="2"/>
    <s v="Invoice"/>
    <s v="100000604"/>
    <x v="317"/>
    <x v="267"/>
    <x v="80"/>
    <x v="0"/>
    <n v="1000"/>
  </r>
  <r>
    <s v="CSWAFFORD"/>
    <s v="12"/>
    <s v="GOLFVENTURES"/>
    <s v="MAIN"/>
    <x v="513"/>
    <x v="11"/>
    <x v="2"/>
    <s v="Invoice"/>
    <s v="100000605"/>
    <x v="365"/>
    <x v="298"/>
    <x v="53"/>
    <x v="0"/>
    <n v="60"/>
  </r>
  <r>
    <s v="CSWAFFORD"/>
    <s v="12"/>
    <s v="GOLFVENTURES"/>
    <s v="MAIN"/>
    <x v="513"/>
    <x v="11"/>
    <x v="2"/>
    <s v="Invoice"/>
    <s v="100000605"/>
    <x v="3"/>
    <x v="411"/>
    <x v="2"/>
    <x v="0"/>
    <n v="60"/>
  </r>
  <r>
    <s v="CSWAFFORD"/>
    <s v="12"/>
    <s v="GOLFVENTURES"/>
    <s v="MAIN"/>
    <x v="513"/>
    <x v="11"/>
    <x v="2"/>
    <s v="Invoice"/>
    <s v="100000605"/>
    <x v="303"/>
    <x v="267"/>
    <x v="80"/>
    <x v="0"/>
    <n v="60"/>
  </r>
  <r>
    <s v="CSWAFFORD"/>
    <s v="12"/>
    <s v="GOLFVENTURES"/>
    <s v="WILLOWLAKES"/>
    <x v="518"/>
    <x v="11"/>
    <x v="2"/>
    <s v="Invoice"/>
    <s v="100000609"/>
    <x v="367"/>
    <x v="324"/>
    <x v="22"/>
    <x v="2"/>
    <n v="0.55500000000000005"/>
  </r>
  <r>
    <s v="CSWAFFORD"/>
    <s v="12"/>
    <s v="GOLFVENTURES"/>
    <s v="LAWNWORX"/>
    <x v="518"/>
    <x v="11"/>
    <x v="2"/>
    <s v="Invoice"/>
    <s v="100000610"/>
    <x v="458"/>
    <x v="395"/>
    <x v="114"/>
    <x v="0"/>
    <n v="250"/>
  </r>
  <r>
    <s v="CSWAFFORD"/>
    <s v="12"/>
    <s v="GOLFVENTURES"/>
    <s v="WILLOWLAKES"/>
    <x v="518"/>
    <x v="11"/>
    <x v="2"/>
    <s v="Invoice"/>
    <s v="100000611"/>
    <x v="368"/>
    <x v="325"/>
    <x v="36"/>
    <x v="0"/>
    <n v="110"/>
  </r>
  <r>
    <s v="HAP"/>
    <s v="01"/>
    <s v="GREENWAY"/>
    <s v="AVILAGOLFCLUB"/>
    <x v="519"/>
    <x v="0"/>
    <x v="2"/>
    <s v="Invoice"/>
    <s v="100000625"/>
    <x v="88"/>
    <x v="2"/>
    <x v="2"/>
    <x v="0"/>
    <n v="55"/>
  </r>
  <r>
    <s v="HAP"/>
    <s v="01"/>
    <s v="GREENWAY"/>
    <s v="AVILAGOLFCLUB"/>
    <x v="519"/>
    <x v="0"/>
    <x v="2"/>
    <s v="Invoice"/>
    <s v="100000625"/>
    <x v="0"/>
    <x v="0"/>
    <x v="0"/>
    <x v="0"/>
    <n v="55"/>
  </r>
  <r>
    <s v="HAP"/>
    <s v="01"/>
    <s v="GREENWAY"/>
    <s v="ROYAL PALM GC"/>
    <x v="520"/>
    <x v="0"/>
    <x v="2"/>
    <s v="Invoice"/>
    <s v="100000632"/>
    <x v="5"/>
    <x v="4"/>
    <x v="4"/>
    <x v="0"/>
    <n v="30"/>
  </r>
  <r>
    <s v="HAP"/>
    <s v="01"/>
    <s v="GREENWAY"/>
    <s v="ROYAL PALM GC"/>
    <x v="520"/>
    <x v="0"/>
    <x v="2"/>
    <s v="Invoice"/>
    <s v="100000632"/>
    <x v="22"/>
    <x v="17"/>
    <x v="17"/>
    <x v="0"/>
    <n v="30"/>
  </r>
  <r>
    <s v="HAP"/>
    <s v="01"/>
    <s v="GREENWAY"/>
    <s v="ROYAL PALM GC"/>
    <x v="520"/>
    <x v="0"/>
    <x v="2"/>
    <s v="Invoice"/>
    <s v="100000632"/>
    <x v="6"/>
    <x v="5"/>
    <x v="5"/>
    <x v="0"/>
    <n v="20"/>
  </r>
  <r>
    <s v="HAP"/>
    <s v="01"/>
    <s v="GREENWAY"/>
    <s v="ROYAL PALM GC"/>
    <x v="520"/>
    <x v="0"/>
    <x v="2"/>
    <s v="Invoice"/>
    <s v="100000632"/>
    <x v="2"/>
    <x v="0"/>
    <x v="0"/>
    <x v="0"/>
    <n v="30"/>
  </r>
  <r>
    <s v="HAP"/>
    <s v="01"/>
    <s v="GREENWAY"/>
    <s v="JACARANDA G C"/>
    <x v="521"/>
    <x v="0"/>
    <x v="2"/>
    <s v="Invoice"/>
    <s v="100000659"/>
    <x v="188"/>
    <x v="17"/>
    <x v="17"/>
    <x v="0"/>
    <n v="55"/>
  </r>
  <r>
    <s v="HAP"/>
    <s v="01"/>
    <s v="GREENWAY"/>
    <s v="JACARANDA G C"/>
    <x v="521"/>
    <x v="0"/>
    <x v="2"/>
    <s v="Invoice"/>
    <s v="100000659"/>
    <x v="6"/>
    <x v="5"/>
    <x v="5"/>
    <x v="0"/>
    <n v="30"/>
  </r>
  <r>
    <s v="HAP"/>
    <s v="01"/>
    <s v="GREENWAY"/>
    <s v="JACARANDA G C"/>
    <x v="521"/>
    <x v="0"/>
    <x v="2"/>
    <s v="Invoice"/>
    <s v="100000659"/>
    <x v="0"/>
    <x v="0"/>
    <x v="0"/>
    <x v="0"/>
    <n v="55"/>
  </r>
  <r>
    <s v="HAP"/>
    <s v="01"/>
    <s v="GREENWAY"/>
    <s v="WAREHOUSE"/>
    <x v="522"/>
    <x v="0"/>
    <x v="2"/>
    <s v="Invoice"/>
    <s v="100000675"/>
    <x v="4"/>
    <x v="3"/>
    <x v="3"/>
    <x v="0"/>
    <n v="60"/>
  </r>
  <r>
    <s v="HAP"/>
    <s v="01"/>
    <s v="GREENWAY"/>
    <s v="WAREHOUSE"/>
    <x v="522"/>
    <x v="0"/>
    <x v="2"/>
    <s v="Invoice"/>
    <s v="100000675"/>
    <x v="8"/>
    <x v="7"/>
    <x v="7"/>
    <x v="0"/>
    <n v="60"/>
  </r>
  <r>
    <s v="HAP"/>
    <s v="01"/>
    <s v="GREENWAY"/>
    <s v="WAREHOUSE"/>
    <x v="522"/>
    <x v="0"/>
    <x v="2"/>
    <s v="Invoice"/>
    <s v="100000675"/>
    <x v="10"/>
    <x v="9"/>
    <x v="9"/>
    <x v="0"/>
    <n v="30"/>
  </r>
  <r>
    <s v="HAP"/>
    <s v="01"/>
    <s v="GREENWAY"/>
    <s v="WAREHOUSE"/>
    <x v="522"/>
    <x v="0"/>
    <x v="2"/>
    <s v="Invoice"/>
    <s v="100000675"/>
    <x v="11"/>
    <x v="10"/>
    <x v="10"/>
    <x v="0"/>
    <n v="30"/>
  </r>
  <r>
    <s v="HAP"/>
    <s v="01"/>
    <s v="GREENWAY"/>
    <s v="WAREHOUSE"/>
    <x v="522"/>
    <x v="0"/>
    <x v="2"/>
    <s v="Invoice"/>
    <s v="100000675"/>
    <x v="21"/>
    <x v="16"/>
    <x v="16"/>
    <x v="0"/>
    <n v="120"/>
  </r>
  <r>
    <s v="HAP"/>
    <s v="01"/>
    <s v="GREENWAY"/>
    <s v="WAREHOUSE"/>
    <x v="522"/>
    <x v="0"/>
    <x v="2"/>
    <s v="Invoice"/>
    <s v="100000675"/>
    <x v="222"/>
    <x v="196"/>
    <x v="65"/>
    <x v="0"/>
    <n v="55"/>
  </r>
  <r>
    <s v="HAP"/>
    <s v="01"/>
    <s v="GREENWAY"/>
    <s v="WAREHOUSE"/>
    <x v="522"/>
    <x v="0"/>
    <x v="2"/>
    <s v="Invoice"/>
    <s v="100000675"/>
    <x v="6"/>
    <x v="5"/>
    <x v="5"/>
    <x v="0"/>
    <n v="120"/>
  </r>
  <r>
    <s v="HAP"/>
    <s v="01"/>
    <s v="GREENWAY"/>
    <s v="WAREHOUSE"/>
    <x v="522"/>
    <x v="0"/>
    <x v="2"/>
    <s v="Invoice"/>
    <s v="100000675"/>
    <x v="2"/>
    <x v="0"/>
    <x v="0"/>
    <x v="0"/>
    <n v="120"/>
  </r>
  <r>
    <s v="HAP"/>
    <s v="01"/>
    <s v="GREENWAY"/>
    <s v="WINDSOR POLO"/>
    <x v="523"/>
    <x v="0"/>
    <x v="2"/>
    <s v="Invoice"/>
    <s v="100000696"/>
    <x v="486"/>
    <x v="7"/>
    <x v="7"/>
    <x v="0"/>
    <n v="55"/>
  </r>
  <r>
    <s v="HAP"/>
    <s v="01"/>
    <s v="GREENWAY"/>
    <s v="WAREHOUSE"/>
    <x v="524"/>
    <x v="0"/>
    <x v="2"/>
    <s v="Invoice"/>
    <s v="100000727"/>
    <x v="3"/>
    <x v="379"/>
    <x v="2"/>
    <x v="0"/>
    <n v="120"/>
  </r>
  <r>
    <s v="HAP"/>
    <s v="01"/>
    <s v="GREENWAY"/>
    <s v="WAREHOUSE"/>
    <x v="524"/>
    <x v="0"/>
    <x v="2"/>
    <s v="Invoice"/>
    <s v="100000727"/>
    <x v="2"/>
    <x v="0"/>
    <x v="0"/>
    <x v="0"/>
    <n v="120"/>
  </r>
  <r>
    <s v="DAVID"/>
    <s v="02"/>
    <s v="CAROLINATU"/>
    <s v="GRANDOVER RESOR"/>
    <x v="525"/>
    <x v="0"/>
    <x v="2"/>
    <s v="Invoice"/>
    <s v="100000636"/>
    <x v="163"/>
    <x v="227"/>
    <x v="56"/>
    <x v="0"/>
    <n v="40"/>
  </r>
  <r>
    <s v="DAVID"/>
    <s v="02"/>
    <s v="THEANDERSON"/>
    <s v="LK PLACID"/>
    <x v="526"/>
    <x v="0"/>
    <x v="2"/>
    <s v="Invoice"/>
    <s v="100000642"/>
    <x v="124"/>
    <x v="112"/>
    <x v="20"/>
    <x v="1"/>
    <n v="41540"/>
  </r>
  <r>
    <s v="DAVID"/>
    <s v="02"/>
    <s v="EVOQUAWATER"/>
    <s v="MAIN"/>
    <x v="521"/>
    <x v="0"/>
    <x v="2"/>
    <s v="Invoice"/>
    <s v="100000655"/>
    <x v="160"/>
    <x v="231"/>
    <x v="54"/>
    <x v="0"/>
    <n v="360"/>
  </r>
  <r>
    <s v="DAVID"/>
    <s v="02"/>
    <s v="EVOQUAWATER"/>
    <s v="MAIN"/>
    <x v="521"/>
    <x v="0"/>
    <x v="2"/>
    <s v="Invoice"/>
    <s v="100000656"/>
    <x v="160"/>
    <x v="231"/>
    <x v="54"/>
    <x v="0"/>
    <n v="360"/>
  </r>
  <r>
    <s v="DAVID"/>
    <s v="02"/>
    <s v="BIGEARTH"/>
    <s v="PALMETTO"/>
    <x v="523"/>
    <x v="0"/>
    <x v="2"/>
    <s v="Invoice"/>
    <s v="100000689"/>
    <x v="307"/>
    <x v="271"/>
    <x v="92"/>
    <x v="0"/>
    <n v="50"/>
  </r>
  <r>
    <s v="DAVID"/>
    <s v="02"/>
    <s v="CPSWACHU"/>
    <s v="WAUCHULA"/>
    <x v="527"/>
    <x v="0"/>
    <x v="2"/>
    <s v="Invoice"/>
    <s v="100000773"/>
    <x v="267"/>
    <x v="235"/>
    <x v="75"/>
    <x v="0"/>
    <n v="70"/>
  </r>
  <r>
    <s v="DAVID"/>
    <s v="02"/>
    <s v="CPSWACHU"/>
    <s v="WAUCHULA"/>
    <x v="527"/>
    <x v="0"/>
    <x v="2"/>
    <s v="Invoice"/>
    <s v="100000780"/>
    <x v="267"/>
    <x v="235"/>
    <x v="75"/>
    <x v="0"/>
    <n v="70"/>
  </r>
  <r>
    <s v=""/>
    <s v="03"/>
    <s v="CPSMULB"/>
    <s v="UAP/MULBERRY"/>
    <x v="525"/>
    <x v="0"/>
    <x v="2"/>
    <s v="Invoice"/>
    <s v="100000634"/>
    <x v="5"/>
    <x v="72"/>
    <x v="4"/>
    <x v="0"/>
    <n v="540"/>
  </r>
  <r>
    <s v=""/>
    <s v="03"/>
    <s v="CPSMULB"/>
    <s v="UAP/MULBERRY"/>
    <x v="525"/>
    <x v="0"/>
    <x v="2"/>
    <s v="Invoice"/>
    <s v="100000634"/>
    <x v="34"/>
    <x v="29"/>
    <x v="26"/>
    <x v="0"/>
    <n v="540"/>
  </r>
  <r>
    <s v=""/>
    <s v="03"/>
    <s v="CPSMULB"/>
    <s v="UAP/MULBERRY"/>
    <x v="525"/>
    <x v="0"/>
    <x v="2"/>
    <s v="Invoice"/>
    <s v="100000634"/>
    <x v="40"/>
    <x v="35"/>
    <x v="29"/>
    <x v="0"/>
    <n v="180"/>
  </r>
  <r>
    <s v="JUSTIN"/>
    <s v="03"/>
    <s v="G&amp;DFARMS"/>
    <s v="MIDDLE"/>
    <x v="521"/>
    <x v="0"/>
    <x v="2"/>
    <s v="Invoice"/>
    <s v="100000652"/>
    <x v="99"/>
    <x v="93"/>
    <x v="22"/>
    <x v="2"/>
    <n v="15"/>
  </r>
  <r>
    <s v="JUSTIN"/>
    <s v="03"/>
    <s v="COUNCILO"/>
    <s v="COUNCIL-OXFORD"/>
    <x v="523"/>
    <x v="0"/>
    <x v="2"/>
    <s v="Invoice"/>
    <s v="100000688"/>
    <x v="34"/>
    <x v="29"/>
    <x v="26"/>
    <x v="0"/>
    <n v="360"/>
  </r>
  <r>
    <s v="JUSTIN"/>
    <s v="03"/>
    <s v="G&amp;DFARMS"/>
    <s v="MIDDLE"/>
    <x v="523"/>
    <x v="0"/>
    <x v="2"/>
    <s v="Invoice"/>
    <s v="100000691"/>
    <x v="99"/>
    <x v="93"/>
    <x v="22"/>
    <x v="2"/>
    <n v="15.04"/>
  </r>
  <r>
    <s v="JUSTIN"/>
    <s v="03"/>
    <s v="TRIANGLE"/>
    <s v="TRIANGLE/LAKEPL"/>
    <x v="528"/>
    <x v="0"/>
    <x v="2"/>
    <s v="Invoice"/>
    <s v="100000698"/>
    <x v="138"/>
    <x v="94"/>
    <x v="41"/>
    <x v="0"/>
    <n v="65"/>
  </r>
  <r>
    <s v="JUSTIN"/>
    <s v="03"/>
    <s v="GRIFFINF"/>
    <s v="FROSTPROOF"/>
    <x v="529"/>
    <x v="0"/>
    <x v="2"/>
    <s v="Invoice"/>
    <s v="100000718"/>
    <x v="136"/>
    <x v="111"/>
    <x v="46"/>
    <x v="0"/>
    <n v="120"/>
  </r>
  <r>
    <s v="JUSTIN"/>
    <s v="03"/>
    <s v="G&amp;DFARMS"/>
    <s v="MIDDLE"/>
    <x v="524"/>
    <x v="0"/>
    <x v="2"/>
    <s v="Invoice"/>
    <s v="100000729"/>
    <x v="99"/>
    <x v="93"/>
    <x v="22"/>
    <x v="2"/>
    <n v="15.015000000000001"/>
  </r>
  <r>
    <s v="JUSTIN"/>
    <s v="03"/>
    <s v="IMGCITRUS"/>
    <s v="CHERRYLAKE"/>
    <x v="530"/>
    <x v="0"/>
    <x v="2"/>
    <s v="Invoice"/>
    <s v="100000755"/>
    <x v="409"/>
    <x v="354"/>
    <x v="103"/>
    <x v="0"/>
    <n v="2.5"/>
  </r>
  <r>
    <s v="JUSTIN"/>
    <s v="03"/>
    <s v="MCKENNA"/>
    <s v="MAILING"/>
    <x v="530"/>
    <x v="0"/>
    <x v="2"/>
    <s v="Invoice"/>
    <s v="100000756"/>
    <x v="409"/>
    <x v="354"/>
    <x v="103"/>
    <x v="0"/>
    <n v="2.5"/>
  </r>
  <r>
    <s v="JUSTIN"/>
    <s v="03"/>
    <s v="CPSPARRI"/>
    <s v="PARRISH"/>
    <x v="527"/>
    <x v="0"/>
    <x v="2"/>
    <s v="Invoice"/>
    <s v="100000775"/>
    <x v="34"/>
    <x v="29"/>
    <x v="26"/>
    <x v="0"/>
    <n v="180"/>
  </r>
  <r>
    <s v="JUSTIN"/>
    <s v="03"/>
    <s v="CPSPARRI"/>
    <s v="PARRISH"/>
    <x v="527"/>
    <x v="0"/>
    <x v="2"/>
    <s v="Invoice"/>
    <s v="100000775"/>
    <x v="40"/>
    <x v="35"/>
    <x v="29"/>
    <x v="0"/>
    <n v="180"/>
  </r>
  <r>
    <s v="JUSTIN"/>
    <s v="03"/>
    <s v="COUNCILO"/>
    <s v="COUNCIL-OXFORD"/>
    <x v="527"/>
    <x v="0"/>
    <x v="2"/>
    <s v="Invoice"/>
    <s v="100000777"/>
    <x v="48"/>
    <x v="33"/>
    <x v="28"/>
    <x v="0"/>
    <n v="25"/>
  </r>
  <r>
    <s v="DPOPPELL"/>
    <s v="04"/>
    <s v="5KFARMS"/>
    <s v="ROEBUCK"/>
    <x v="531"/>
    <x v="0"/>
    <x v="2"/>
    <s v="Invoice"/>
    <s v="100000619"/>
    <x v="43"/>
    <x v="38"/>
    <x v="22"/>
    <x v="2"/>
    <n v="1.2625"/>
  </r>
  <r>
    <s v="DPOPPELL"/>
    <s v="04"/>
    <s v="CHAVEZJOR"/>
    <s v="JOSE' CHAV- COD"/>
    <x v="531"/>
    <x v="0"/>
    <x v="2"/>
    <s v="Invoice"/>
    <s v="100000621"/>
    <x v="53"/>
    <x v="46"/>
    <x v="22"/>
    <x v="2"/>
    <n v="0.15"/>
  </r>
  <r>
    <s v="DPOPPELL"/>
    <s v="04"/>
    <s v="THREESTA"/>
    <s v="WALDEN-SHEFFIEL"/>
    <x v="519"/>
    <x v="0"/>
    <x v="2"/>
    <s v="Invoice"/>
    <s v="100000624"/>
    <x v="67"/>
    <x v="60"/>
    <x v="22"/>
    <x v="2"/>
    <n v="15.057499999999999"/>
  </r>
  <r>
    <s v="DPOPPELL"/>
    <s v="04"/>
    <s v="FCFARMS"/>
    <s v="HWY39"/>
    <x v="519"/>
    <x v="0"/>
    <x v="2"/>
    <s v="Invoice"/>
    <s v="100000627"/>
    <x v="487"/>
    <x v="426"/>
    <x v="22"/>
    <x v="2"/>
    <n v="2.5"/>
  </r>
  <r>
    <s v="DPOPPELL"/>
    <s v="04"/>
    <s v="SYDNEYFA"/>
    <s v="FORBES/NORTH"/>
    <x v="520"/>
    <x v="0"/>
    <x v="2"/>
    <s v="Invoice"/>
    <s v="100000629"/>
    <x v="67"/>
    <x v="60"/>
    <x v="22"/>
    <x v="2"/>
    <n v="5.0149999999999997"/>
  </r>
  <r>
    <s v="DPOPPELL"/>
    <s v="04"/>
    <s v="SYDNEYFA"/>
    <s v="FORBES ROAD"/>
    <x v="520"/>
    <x v="0"/>
    <x v="2"/>
    <s v="Invoice"/>
    <s v="100000630"/>
    <x v="67"/>
    <x v="60"/>
    <x v="22"/>
    <x v="2"/>
    <n v="10.0175"/>
  </r>
  <r>
    <s v="DPOPPELL"/>
    <s v="04"/>
    <s v="IFASGULF"/>
    <s v="BALM-STRAWBERRY"/>
    <x v="520"/>
    <x v="0"/>
    <x v="2"/>
    <s v="Invoice"/>
    <s v="100000633"/>
    <x v="111"/>
    <x v="99"/>
    <x v="22"/>
    <x v="2"/>
    <n v="2.5"/>
  </r>
  <r>
    <s v="DPOPPELL"/>
    <s v="04"/>
    <s v="SOUTHERNHILL"/>
    <s v="SCHOFIELD"/>
    <x v="525"/>
    <x v="0"/>
    <x v="2"/>
    <s v="Invoice"/>
    <s v="100000635"/>
    <x v="43"/>
    <x v="38"/>
    <x v="22"/>
    <x v="2"/>
    <n v="2.5175000000000001"/>
  </r>
  <r>
    <s v="DPOPPELL"/>
    <s v="04"/>
    <s v="ROQUEFARMS"/>
    <s v="MEEKHORIZON"/>
    <x v="532"/>
    <x v="0"/>
    <x v="2"/>
    <s v="Invoice"/>
    <s v="100000638"/>
    <x v="46"/>
    <x v="40"/>
    <x v="22"/>
    <x v="2"/>
    <n v="1.5"/>
  </r>
  <r>
    <s v="DPOPPELL"/>
    <s v="04"/>
    <s v="ROQUEFARMS"/>
    <s v="MAIN"/>
    <x v="532"/>
    <x v="0"/>
    <x v="2"/>
    <s v="Invoice"/>
    <s v="100000639A"/>
    <x v="46"/>
    <x v="40"/>
    <x v="22"/>
    <x v="2"/>
    <n v="4.875"/>
  </r>
  <r>
    <s v="DPOPPELL"/>
    <s v="04"/>
    <s v="GUTIERREZA"/>
    <s v="DUETTE"/>
    <x v="532"/>
    <x v="0"/>
    <x v="2"/>
    <s v="Invoice"/>
    <s v="100000641"/>
    <x v="43"/>
    <x v="38"/>
    <x v="22"/>
    <x v="2"/>
    <n v="12.505000000000001"/>
  </r>
  <r>
    <s v="DPOPPELL"/>
    <s v="04"/>
    <s v="FANCYFAR"/>
    <s v="THE HILL"/>
    <x v="526"/>
    <x v="0"/>
    <x v="2"/>
    <s v="Invoice"/>
    <s v="100000643"/>
    <x v="50"/>
    <x v="43"/>
    <x v="22"/>
    <x v="2"/>
    <n v="15.035"/>
  </r>
  <r>
    <s v="DPOPPELL"/>
    <s v="04"/>
    <s v="MIDWAYF"/>
    <s v="WILDER RD."/>
    <x v="533"/>
    <x v="0"/>
    <x v="2"/>
    <s v="Invoice"/>
    <s v="100000645"/>
    <x v="67"/>
    <x v="60"/>
    <x v="22"/>
    <x v="2"/>
    <n v="2"/>
  </r>
  <r>
    <s v="DPOPPELL"/>
    <s v="04"/>
    <s v="CHARLIEG-LLC"/>
    <s v="DAIRY"/>
    <x v="533"/>
    <x v="0"/>
    <x v="2"/>
    <s v="Invoice"/>
    <s v="100000646"/>
    <x v="67"/>
    <x v="60"/>
    <x v="22"/>
    <x v="2"/>
    <n v="5"/>
  </r>
  <r>
    <s v="DPOPPELL"/>
    <s v="04"/>
    <s v="SWEETLIFE"/>
    <s v="KNIGHTS GRIFFIN"/>
    <x v="534"/>
    <x v="0"/>
    <x v="2"/>
    <s v="Invoice"/>
    <s v="100000647"/>
    <x v="67"/>
    <x v="60"/>
    <x v="22"/>
    <x v="2"/>
    <n v="15.045"/>
  </r>
  <r>
    <s v="DPOPPELL"/>
    <s v="04"/>
    <s v="SOUTHERNHILL"/>
    <s v="SCHOFIELD"/>
    <x v="534"/>
    <x v="0"/>
    <x v="2"/>
    <s v="Invoice"/>
    <s v="100000648"/>
    <x v="43"/>
    <x v="38"/>
    <x v="22"/>
    <x v="2"/>
    <n v="1.0049999999999999"/>
  </r>
  <r>
    <s v="DPOPPELL"/>
    <s v="04"/>
    <s v="GUTIERREZA"/>
    <s v="JOE KING RD"/>
    <x v="534"/>
    <x v="0"/>
    <x v="2"/>
    <s v="Invoice"/>
    <s v="100000650"/>
    <x v="43"/>
    <x v="38"/>
    <x v="22"/>
    <x v="2"/>
    <n v="3.76"/>
  </r>
  <r>
    <s v="DPOPPELL"/>
    <s v="04"/>
    <s v="CHARLIEG-LLC"/>
    <s v="ALBRITTON"/>
    <x v="534"/>
    <x v="0"/>
    <x v="2"/>
    <s v="Invoice"/>
    <s v="100000651"/>
    <x v="67"/>
    <x v="60"/>
    <x v="22"/>
    <x v="2"/>
    <n v="1.2675000000000001"/>
  </r>
  <r>
    <s v="DPOPPELL"/>
    <s v="04"/>
    <s v="SANCHEZFARM"/>
    <s v="FORBES-N"/>
    <x v="521"/>
    <x v="0"/>
    <x v="2"/>
    <s v="Invoice"/>
    <s v="100000653"/>
    <x v="67"/>
    <x v="60"/>
    <x v="22"/>
    <x v="2"/>
    <n v="12.53"/>
  </r>
  <r>
    <s v="DPOPPELL"/>
    <s v="04"/>
    <s v="COLORFULH"/>
    <s v="BETHLEHEM"/>
    <x v="521"/>
    <x v="0"/>
    <x v="2"/>
    <s v="Invoice"/>
    <s v="100000658"/>
    <x v="69"/>
    <x v="62"/>
    <x v="22"/>
    <x v="2"/>
    <n v="5.0025000000000004"/>
  </r>
  <r>
    <s v="DPOPPELL"/>
    <s v="04"/>
    <s v="IFASGULF"/>
    <s v="BALM-STRAWBERRY"/>
    <x v="535"/>
    <x v="0"/>
    <x v="2"/>
    <s v="Invoice"/>
    <s v="100000660"/>
    <x v="28"/>
    <x v="23"/>
    <x v="22"/>
    <x v="2"/>
    <n v="7.4950000000000001"/>
  </r>
  <r>
    <s v="DPOPPELL"/>
    <s v="04"/>
    <s v="MIDWAYF"/>
    <s v="ALS - SOUTH"/>
    <x v="535"/>
    <x v="0"/>
    <x v="2"/>
    <s v="Invoice"/>
    <s v="100000661"/>
    <x v="67"/>
    <x v="60"/>
    <x v="22"/>
    <x v="2"/>
    <n v="2.5"/>
  </r>
  <r>
    <s v="DPOPPELL"/>
    <s v="04"/>
    <s v="FRANKLIN"/>
    <s v="MCGEE RD. NORTH"/>
    <x v="535"/>
    <x v="0"/>
    <x v="2"/>
    <s v="Invoice"/>
    <s v="100000664"/>
    <x v="45"/>
    <x v="37"/>
    <x v="30"/>
    <x v="0"/>
    <n v="500"/>
  </r>
  <r>
    <s v="DPOPPELL"/>
    <s v="04"/>
    <s v="FRANKLIN"/>
    <s v="MCGEE RD. NORTH"/>
    <x v="535"/>
    <x v="0"/>
    <x v="2"/>
    <s v="Invoice"/>
    <s v="100000665"/>
    <x v="28"/>
    <x v="23"/>
    <x v="22"/>
    <x v="2"/>
    <n v="10"/>
  </r>
  <r>
    <s v="DPOPPELL"/>
    <s v="04"/>
    <s v="STRAWBERRYR"/>
    <s v="RANCH 1"/>
    <x v="535"/>
    <x v="0"/>
    <x v="2"/>
    <s v="Invoice"/>
    <s v="100000666"/>
    <x v="67"/>
    <x v="60"/>
    <x v="22"/>
    <x v="2"/>
    <n v="15.022500000000001"/>
  </r>
  <r>
    <s v="DPOPPELL"/>
    <s v="04"/>
    <s v="BERRYBLISS"/>
    <s v="JAUDONSOUTH"/>
    <x v="522"/>
    <x v="0"/>
    <x v="2"/>
    <s v="Invoice"/>
    <s v="100000667"/>
    <x v="43"/>
    <x v="38"/>
    <x v="22"/>
    <x v="2"/>
    <n v="1.2524999999999999"/>
  </r>
  <r>
    <s v="DPOPPELL"/>
    <s v="04"/>
    <s v="CHAVEZJOR"/>
    <s v="JOSE' CHAV- COD"/>
    <x v="522"/>
    <x v="0"/>
    <x v="2"/>
    <s v="Invoice"/>
    <s v="100000670"/>
    <x v="53"/>
    <x v="46"/>
    <x v="22"/>
    <x v="2"/>
    <n v="0.15"/>
  </r>
  <r>
    <s v="DPOPPELL"/>
    <s v="04"/>
    <s v="5KFARMS"/>
    <s v="ROEBUCK"/>
    <x v="522"/>
    <x v="0"/>
    <x v="2"/>
    <s v="Invoice"/>
    <s v="100000671"/>
    <x v="43"/>
    <x v="38"/>
    <x v="22"/>
    <x v="2"/>
    <n v="1.25"/>
  </r>
  <r>
    <s v="DPOPPELL"/>
    <s v="04"/>
    <s v="MIDWAYF"/>
    <s v="FORBES"/>
    <x v="522"/>
    <x v="0"/>
    <x v="2"/>
    <s v="Invoice"/>
    <s v="100000672"/>
    <x v="67"/>
    <x v="60"/>
    <x v="22"/>
    <x v="2"/>
    <n v="9.9949999999999992"/>
  </r>
  <r>
    <s v="DPOPPELL"/>
    <s v="04"/>
    <s v="SWEETLIFE"/>
    <s v="MCGEE RD."/>
    <x v="522"/>
    <x v="0"/>
    <x v="2"/>
    <s v="Invoice"/>
    <s v="100000673"/>
    <x v="67"/>
    <x v="60"/>
    <x v="22"/>
    <x v="2"/>
    <n v="5.0350000000000001"/>
  </r>
  <r>
    <s v="DPOPPELL"/>
    <s v="04"/>
    <s v="PALMAJOSE"/>
    <s v="JAUDON RD"/>
    <x v="536"/>
    <x v="0"/>
    <x v="2"/>
    <s v="Invoice"/>
    <s v="100000682"/>
    <x v="63"/>
    <x v="56"/>
    <x v="22"/>
    <x v="2"/>
    <n v="3"/>
  </r>
  <r>
    <s v="DPOPPELL"/>
    <s v="04"/>
    <s v="CIRCLEGF&amp;R LLC"/>
    <s v="KNIGHTS-N-#16"/>
    <x v="536"/>
    <x v="0"/>
    <x v="2"/>
    <s v="Invoice"/>
    <s v="100000684"/>
    <x v="67"/>
    <x v="60"/>
    <x v="22"/>
    <x v="2"/>
    <n v="15.015000000000001"/>
  </r>
  <r>
    <s v="DPOPPELL"/>
    <s v="04"/>
    <s v="SOUTHERNHILL"/>
    <s v="SCHOFIELD"/>
    <x v="536"/>
    <x v="0"/>
    <x v="2"/>
    <s v="Invoice"/>
    <s v="100000685"/>
    <x v="72"/>
    <x v="65"/>
    <x v="22"/>
    <x v="2"/>
    <n v="5"/>
  </r>
  <r>
    <s v="DPOPPELL"/>
    <s v="04"/>
    <s v="EWSIMMON"/>
    <s v="TURKEY CRK"/>
    <x v="536"/>
    <x v="0"/>
    <x v="2"/>
    <s v="Invoice"/>
    <s v="100000686"/>
    <x v="268"/>
    <x v="236"/>
    <x v="22"/>
    <x v="2"/>
    <n v="10.022500000000001"/>
  </r>
  <r>
    <s v="DPOPPELL"/>
    <s v="04"/>
    <s v="CHARLIEG-LLC"/>
    <s v="DAIRY"/>
    <x v="536"/>
    <x v="0"/>
    <x v="2"/>
    <s v="Invoice"/>
    <s v="100000687"/>
    <x v="67"/>
    <x v="60"/>
    <x v="22"/>
    <x v="2"/>
    <n v="7.9974999999999996"/>
  </r>
  <r>
    <s v="DPOPPELL"/>
    <s v="04"/>
    <s v="FORTGREENFARMS"/>
    <s v="FTGREEN"/>
    <x v="523"/>
    <x v="0"/>
    <x v="2"/>
    <s v="Invoice"/>
    <s v="100000692"/>
    <x v="43"/>
    <x v="38"/>
    <x v="22"/>
    <x v="2"/>
    <n v="5.0075000000000003"/>
  </r>
  <r>
    <s v="DPOPPELL"/>
    <s v="04"/>
    <s v="ROQUEFARMS"/>
    <s v="SWEETWATER"/>
    <x v="523"/>
    <x v="0"/>
    <x v="2"/>
    <s v="Invoice"/>
    <s v="100000693"/>
    <x v="43"/>
    <x v="38"/>
    <x v="22"/>
    <x v="2"/>
    <n v="7.5"/>
  </r>
  <r>
    <s v="DPOPPELL"/>
    <s v="04"/>
    <s v="MIDWAYF"/>
    <s v="WILDER RD."/>
    <x v="523"/>
    <x v="0"/>
    <x v="2"/>
    <s v="Invoice"/>
    <s v="100000694"/>
    <x v="67"/>
    <x v="60"/>
    <x v="22"/>
    <x v="2"/>
    <n v="2.0049999999999999"/>
  </r>
  <r>
    <s v="DPOPPELL"/>
    <s v="04"/>
    <s v="FAVORITE"/>
    <s v="BETHLEHEM ROAD"/>
    <x v="523"/>
    <x v="0"/>
    <x v="2"/>
    <s v="Invoice"/>
    <s v="100000695"/>
    <x v="43"/>
    <x v="38"/>
    <x v="22"/>
    <x v="2"/>
    <n v="15.015000000000001"/>
  </r>
  <r>
    <s v="DPOPPELL"/>
    <s v="04"/>
    <s v="STEVEMAT"/>
    <s v="DRAWDY"/>
    <x v="523"/>
    <x v="0"/>
    <x v="2"/>
    <s v="Invoice"/>
    <s v="100000697"/>
    <x v="346"/>
    <x v="59"/>
    <x v="32"/>
    <x v="0"/>
    <n v="250"/>
  </r>
  <r>
    <s v="DPOPPELL"/>
    <s v="04"/>
    <s v="FLORIDAAG"/>
    <s v="KINGSWAY"/>
    <x v="537"/>
    <x v="0"/>
    <x v="2"/>
    <s v="Invoice"/>
    <s v="100000699"/>
    <x v="326"/>
    <x v="289"/>
    <x v="22"/>
    <x v="2"/>
    <n v="2.2625000000000002"/>
  </r>
  <r>
    <s v="DPOPPELL"/>
    <s v="04"/>
    <s v="EWSIMMON"/>
    <s v="JERRY SMITH RD"/>
    <x v="537"/>
    <x v="0"/>
    <x v="2"/>
    <s v="Invoice"/>
    <s v="100000700"/>
    <x v="488"/>
    <x v="427"/>
    <x v="22"/>
    <x v="2"/>
    <n v="5"/>
  </r>
  <r>
    <s v="DPOPPELL"/>
    <s v="04"/>
    <s v="EWSIMMON"/>
    <s v="JERRY SMITH RD"/>
    <x v="537"/>
    <x v="0"/>
    <x v="2"/>
    <s v="Invoice"/>
    <s v="100000700"/>
    <x v="357"/>
    <x v="317"/>
    <x v="25"/>
    <x v="0"/>
    <n v="1.875"/>
  </r>
  <r>
    <s v="DPOPPELL"/>
    <s v="04"/>
    <s v="MIDWAYF"/>
    <s v="NURSERY"/>
    <x v="537"/>
    <x v="0"/>
    <x v="2"/>
    <s v="Invoice"/>
    <s v="100000701"/>
    <x v="67"/>
    <x v="60"/>
    <x v="22"/>
    <x v="2"/>
    <n v="4.5125000000000002"/>
  </r>
  <r>
    <s v="DPOPPELL"/>
    <s v="04"/>
    <s v="CHARLIEG-LLC"/>
    <s v="WILDER LOOP"/>
    <x v="537"/>
    <x v="0"/>
    <x v="2"/>
    <s v="Invoice"/>
    <s v="100000702"/>
    <x v="67"/>
    <x v="60"/>
    <x v="22"/>
    <x v="2"/>
    <n v="3.5024999999999999"/>
  </r>
  <r>
    <s v="DPOPPELL"/>
    <s v="04"/>
    <s v="ROQUEFARMS"/>
    <s v="MEEKHORIZON"/>
    <x v="537"/>
    <x v="0"/>
    <x v="2"/>
    <s v="Invoice"/>
    <s v="100000703"/>
    <x v="43"/>
    <x v="38"/>
    <x v="22"/>
    <x v="2"/>
    <n v="7.5"/>
  </r>
  <r>
    <s v=""/>
    <s v="04"/>
    <s v="MANUELCH"/>
    <s v="MAILING"/>
    <x v="537"/>
    <x v="0"/>
    <x v="2"/>
    <s v="Invoice"/>
    <s v="100000704"/>
    <x v="85"/>
    <x v="213"/>
    <x v="35"/>
    <x v="0"/>
    <n v="10"/>
  </r>
  <r>
    <s v="DPOPPELL"/>
    <s v="04"/>
    <s v="GUTIERREZDAN"/>
    <s v="FORBES/SLATON"/>
    <x v="537"/>
    <x v="0"/>
    <x v="2"/>
    <s v="Invoice"/>
    <s v="100000705"/>
    <x v="43"/>
    <x v="38"/>
    <x v="22"/>
    <x v="2"/>
    <n v="7.5075000000000003"/>
  </r>
  <r>
    <s v="DPOPPELL"/>
    <s v="04"/>
    <s v="FLORIDAAG"/>
    <s v="DOVER"/>
    <x v="537"/>
    <x v="0"/>
    <x v="2"/>
    <s v="Invoice"/>
    <s v="100000706"/>
    <x v="52"/>
    <x v="45"/>
    <x v="22"/>
    <x v="2"/>
    <n v="2.5049999999999999"/>
  </r>
  <r>
    <s v="DPOPPELL"/>
    <s v="04"/>
    <s v="FANCYFAR"/>
    <s v="DRANE FIELD"/>
    <x v="537"/>
    <x v="0"/>
    <x v="2"/>
    <s v="Invoice"/>
    <s v="100000707"/>
    <x v="50"/>
    <x v="43"/>
    <x v="22"/>
    <x v="2"/>
    <n v="12.02"/>
  </r>
  <r>
    <s v="DPOPPELL"/>
    <s v="04"/>
    <s v="SWEETLIFE"/>
    <s v="SWINDLEN"/>
    <x v="528"/>
    <x v="0"/>
    <x v="2"/>
    <s v="Invoice"/>
    <s v="100000712"/>
    <x v="67"/>
    <x v="60"/>
    <x v="22"/>
    <x v="2"/>
    <n v="15.03"/>
  </r>
  <r>
    <s v="DPOPPELL"/>
    <s v="04"/>
    <s v="FANCYFAR"/>
    <s v="CASON1"/>
    <x v="528"/>
    <x v="0"/>
    <x v="2"/>
    <s v="Invoice"/>
    <s v="100000713"/>
    <x v="50"/>
    <x v="43"/>
    <x v="22"/>
    <x v="2"/>
    <n v="2.5"/>
  </r>
  <r>
    <s v="DPOPPELL"/>
    <s v="04"/>
    <s v="FANCYFAR"/>
    <s v="CASON3"/>
    <x v="528"/>
    <x v="0"/>
    <x v="2"/>
    <s v="Invoice"/>
    <s v="100000714"/>
    <x v="50"/>
    <x v="43"/>
    <x v="22"/>
    <x v="2"/>
    <n v="5"/>
  </r>
  <r>
    <s v="DPOPPELL"/>
    <s v="04"/>
    <s v="CHAVEZJOR"/>
    <s v="JOSE' CHAV- COD"/>
    <x v="528"/>
    <x v="0"/>
    <x v="2"/>
    <s v="Invoice"/>
    <s v="100000716"/>
    <x v="53"/>
    <x v="46"/>
    <x v="22"/>
    <x v="2"/>
    <n v="0.3"/>
  </r>
  <r>
    <s v="DPOPPELL"/>
    <s v="04"/>
    <s v="SWEETLIFE"/>
    <s v="FOSTER DUKES N"/>
    <x v="529"/>
    <x v="0"/>
    <x v="2"/>
    <s v="Invoice"/>
    <s v="100000719"/>
    <x v="67"/>
    <x v="60"/>
    <x v="22"/>
    <x v="2"/>
    <n v="10.015000000000001"/>
  </r>
  <r>
    <s v="DPOPPELL"/>
    <s v="04"/>
    <s v="THREESTA"/>
    <s v="WALDEN-SHEFFIEL"/>
    <x v="529"/>
    <x v="0"/>
    <x v="2"/>
    <s v="Invoice"/>
    <s v="100000720"/>
    <x v="67"/>
    <x v="60"/>
    <x v="22"/>
    <x v="2"/>
    <n v="6.7069999999999999"/>
  </r>
  <r>
    <s v="DPOPPELL"/>
    <s v="04"/>
    <s v="THREESTA"/>
    <s v="WALDEN-SHEFFIEL"/>
    <x v="529"/>
    <x v="0"/>
    <x v="2"/>
    <s v="Invoice"/>
    <s v="100000720"/>
    <x v="357"/>
    <x v="317"/>
    <x v="25"/>
    <x v="0"/>
    <n v="2.625"/>
  </r>
  <r>
    <s v="DPOPPELL"/>
    <s v="04"/>
    <s v="FCFARMS"/>
    <s v="PEEPLES"/>
    <x v="529"/>
    <x v="0"/>
    <x v="2"/>
    <s v="Invoice"/>
    <s v="100000721"/>
    <x v="58"/>
    <x v="51"/>
    <x v="22"/>
    <x v="2"/>
    <n v="2.5"/>
  </r>
  <r>
    <s v="DPOPPELL"/>
    <s v="04"/>
    <s v="MIDWAYF"/>
    <s v="EKNIGHTS"/>
    <x v="529"/>
    <x v="0"/>
    <x v="2"/>
    <s v="Invoice"/>
    <s v="100000723"/>
    <x v="67"/>
    <x v="60"/>
    <x v="22"/>
    <x v="2"/>
    <n v="12.505000000000001"/>
  </r>
  <r>
    <s v="DPOPPELL"/>
    <s v="04"/>
    <s v="SPIVEYFA"/>
    <s v="HOPEWELL"/>
    <x v="529"/>
    <x v="0"/>
    <x v="2"/>
    <s v="Invoice"/>
    <s v="100000724"/>
    <x v="56"/>
    <x v="49"/>
    <x v="22"/>
    <x v="2"/>
    <n v="4"/>
  </r>
  <r>
    <s v="DPOPPELL"/>
    <s v="04"/>
    <s v="MIDWAYF"/>
    <s v="NURSERY"/>
    <x v="524"/>
    <x v="0"/>
    <x v="2"/>
    <s v="Invoice"/>
    <s v="100000725"/>
    <x v="67"/>
    <x v="60"/>
    <x v="22"/>
    <x v="2"/>
    <n v="11.045"/>
  </r>
  <r>
    <s v="DPOPPELL"/>
    <s v="04"/>
    <s v="MIDWAYF"/>
    <s v="ALS - SOUTH"/>
    <x v="524"/>
    <x v="0"/>
    <x v="2"/>
    <s v="Invoice"/>
    <s v="100000726"/>
    <x v="67"/>
    <x v="60"/>
    <x v="22"/>
    <x v="2"/>
    <n v="3.01"/>
  </r>
  <r>
    <s v="DPOPPELL"/>
    <s v="04"/>
    <s v="IFASGULF"/>
    <s v="BALM-STRAWBERRY"/>
    <x v="524"/>
    <x v="0"/>
    <x v="2"/>
    <s v="Invoice"/>
    <s v="100000731"/>
    <x v="489"/>
    <x v="428"/>
    <x v="22"/>
    <x v="2"/>
    <n v="0.15"/>
  </r>
  <r>
    <s v="DPOPPELL"/>
    <s v="04"/>
    <s v="IFASGULF"/>
    <s v="BALM-STRAWBERRY"/>
    <x v="524"/>
    <x v="0"/>
    <x v="2"/>
    <s v="Invoice"/>
    <s v="100000732"/>
    <x v="490"/>
    <x v="28"/>
    <x v="2"/>
    <x v="0"/>
    <n v="30"/>
  </r>
  <r>
    <s v="DPOPPELL"/>
    <s v="04"/>
    <s v="SOUTHERNHILL"/>
    <s v="SCHOFIELD"/>
    <x v="524"/>
    <x v="0"/>
    <x v="2"/>
    <s v="Invoice"/>
    <s v="100000733"/>
    <x v="43"/>
    <x v="38"/>
    <x v="22"/>
    <x v="2"/>
    <n v="2.5"/>
  </r>
  <r>
    <s v="DPOPPELL"/>
    <s v="04"/>
    <s v="GILLMANBUDD"/>
    <s v="BENNETT RD"/>
    <x v="538"/>
    <x v="0"/>
    <x v="2"/>
    <s v="Invoice"/>
    <s v="100000734"/>
    <x v="63"/>
    <x v="56"/>
    <x v="22"/>
    <x v="2"/>
    <n v="2.5024999999999999"/>
  </r>
  <r>
    <s v="DPOPPELL"/>
    <s v="04"/>
    <s v="CIRCLEGF&amp;R LLC"/>
    <s v="KNIGHTS-N-#16"/>
    <x v="538"/>
    <x v="0"/>
    <x v="2"/>
    <s v="Invoice"/>
    <s v="100000735"/>
    <x v="67"/>
    <x v="60"/>
    <x v="22"/>
    <x v="2"/>
    <n v="15.022500000000001"/>
  </r>
  <r>
    <s v="DPOPPELL"/>
    <s v="04"/>
    <s v="CIRCLEGF&amp;R LLC"/>
    <s v="KNIGHTS-N-#12"/>
    <x v="538"/>
    <x v="0"/>
    <x v="2"/>
    <s v="Invoice"/>
    <s v="100000737"/>
    <x v="67"/>
    <x v="60"/>
    <x v="22"/>
    <x v="2"/>
    <n v="15.022"/>
  </r>
  <r>
    <s v="DPOPPELL"/>
    <s v="04"/>
    <s v="CHARLIEG-LLC"/>
    <s v="DAIRY"/>
    <x v="538"/>
    <x v="0"/>
    <x v="2"/>
    <s v="Invoice"/>
    <s v="100000738"/>
    <x v="67"/>
    <x v="60"/>
    <x v="22"/>
    <x v="2"/>
    <n v="15.03"/>
  </r>
  <r>
    <s v="DPOPPELL"/>
    <s v="04"/>
    <s v="JOSEHERN"/>
    <s v="DURANT"/>
    <x v="538"/>
    <x v="0"/>
    <x v="2"/>
    <s v="Invoice"/>
    <s v="100000742"/>
    <x v="43"/>
    <x v="38"/>
    <x v="22"/>
    <x v="2"/>
    <n v="8.0124999999999993"/>
  </r>
  <r>
    <s v="DPOPPELL"/>
    <s v="04"/>
    <s v="5KFARMS"/>
    <s v="ROEBUCK"/>
    <x v="538"/>
    <x v="0"/>
    <x v="2"/>
    <s v="Invoice"/>
    <s v="100000743"/>
    <x v="43"/>
    <x v="38"/>
    <x v="22"/>
    <x v="2"/>
    <n v="2.5"/>
  </r>
  <r>
    <s v="DPOPPELL"/>
    <s v="04"/>
    <s v="GUTIERREZDAN"/>
    <s v="COOLER"/>
    <x v="538"/>
    <x v="0"/>
    <x v="2"/>
    <s v="Invoice"/>
    <s v="100000744"/>
    <x v="43"/>
    <x v="38"/>
    <x v="22"/>
    <x v="2"/>
    <n v="9.0124999999999993"/>
  </r>
  <r>
    <s v="DPOPPELL"/>
    <s v="04"/>
    <s v="GAONA, ESPER"/>
    <s v="STRAUSS RD."/>
    <x v="538"/>
    <x v="0"/>
    <x v="2"/>
    <s v="Invoice"/>
    <s v="100000745"/>
    <x v="58"/>
    <x v="51"/>
    <x v="22"/>
    <x v="2"/>
    <n v="1.0425"/>
  </r>
  <r>
    <s v="DPOPPELL"/>
    <s v="04"/>
    <s v="GWFARMS"/>
    <s v="MAILIING"/>
    <x v="538"/>
    <x v="0"/>
    <x v="2"/>
    <s v="Invoice"/>
    <s v="100000746"/>
    <x v="58"/>
    <x v="51"/>
    <x v="22"/>
    <x v="2"/>
    <n v="1.29"/>
  </r>
  <r>
    <s v="DPOPPELL"/>
    <s v="04"/>
    <s v="PARKESDA"/>
    <s v="HILL"/>
    <x v="538"/>
    <x v="0"/>
    <x v="2"/>
    <s v="Invoice"/>
    <s v="100000747"/>
    <x v="69"/>
    <x v="62"/>
    <x v="22"/>
    <x v="2"/>
    <n v="10.0275"/>
  </r>
  <r>
    <s v="DPOPPELL"/>
    <s v="04"/>
    <s v="IFASGULF"/>
    <s v="BALM-STRAWBERRY"/>
    <x v="530"/>
    <x v="0"/>
    <x v="2"/>
    <s v="Invoice"/>
    <s v="100000750"/>
    <x v="491"/>
    <x v="429"/>
    <x v="22"/>
    <x v="2"/>
    <n v="0.15"/>
  </r>
  <r>
    <s v="DPOPPELL"/>
    <s v="04"/>
    <s v="IFASGULF"/>
    <s v="BALM-STRAWBERRY"/>
    <x v="530"/>
    <x v="0"/>
    <x v="2"/>
    <s v="Invoice"/>
    <s v="100000751"/>
    <x v="492"/>
    <x v="430"/>
    <x v="22"/>
    <x v="2"/>
    <n v="0.15"/>
  </r>
  <r>
    <s v="DPOPPELL"/>
    <s v="04"/>
    <s v="IFASGULF"/>
    <s v="BALM-STRAWBERRY"/>
    <x v="530"/>
    <x v="0"/>
    <x v="2"/>
    <s v="Invoice"/>
    <s v="100000752"/>
    <x v="493"/>
    <x v="431"/>
    <x v="22"/>
    <x v="2"/>
    <n v="0.15"/>
  </r>
  <r>
    <s v="DPOPPELL"/>
    <s v="04"/>
    <s v="IFASGULF"/>
    <s v="BALM-STRAWBERRY"/>
    <x v="530"/>
    <x v="0"/>
    <x v="2"/>
    <s v="Invoice"/>
    <s v="100000753"/>
    <x v="494"/>
    <x v="432"/>
    <x v="22"/>
    <x v="2"/>
    <n v="0.15"/>
  </r>
  <r>
    <s v="DPOPPELL"/>
    <s v="04"/>
    <s v="ALVAREZJ"/>
    <s v="ROGERS"/>
    <x v="530"/>
    <x v="0"/>
    <x v="2"/>
    <s v="Invoice"/>
    <s v="100000754"/>
    <x v="43"/>
    <x v="38"/>
    <x v="22"/>
    <x v="2"/>
    <n v="2.0024999999999999"/>
  </r>
  <r>
    <s v="DPOPPELL"/>
    <s v="04"/>
    <s v="SWEETLIFE"/>
    <s v="KNIGHTS GRIFFIN"/>
    <x v="530"/>
    <x v="0"/>
    <x v="2"/>
    <s v="Invoice"/>
    <s v="100000757"/>
    <x v="67"/>
    <x v="60"/>
    <x v="22"/>
    <x v="2"/>
    <n v="20.02"/>
  </r>
  <r>
    <s v="DPOPPELL"/>
    <s v="04"/>
    <s v="BONIFACIO"/>
    <s v="CORONET"/>
    <x v="530"/>
    <x v="0"/>
    <x v="2"/>
    <s v="Invoice"/>
    <s v="100000758"/>
    <x v="63"/>
    <x v="56"/>
    <x v="22"/>
    <x v="2"/>
    <n v="2.75"/>
  </r>
  <r>
    <s v="DPOPPELL"/>
    <s v="04"/>
    <s v="MIDWAYF"/>
    <s v="WILDER RD."/>
    <x v="530"/>
    <x v="0"/>
    <x v="2"/>
    <s v="Invoice"/>
    <s v="100000759"/>
    <x v="67"/>
    <x v="60"/>
    <x v="22"/>
    <x v="2"/>
    <n v="2.2675000000000001"/>
  </r>
  <r>
    <s v="DPOPPELL"/>
    <s v="04"/>
    <s v="SWEETLIFE"/>
    <s v="KEENE RD."/>
    <x v="530"/>
    <x v="0"/>
    <x v="2"/>
    <s v="Invoice"/>
    <s v="100000760"/>
    <x v="67"/>
    <x v="60"/>
    <x v="22"/>
    <x v="2"/>
    <n v="7.5149999999999997"/>
  </r>
  <r>
    <s v="DPOPPELL"/>
    <s v="04"/>
    <s v="MIDWAYF"/>
    <s v="NURSERY"/>
    <x v="530"/>
    <x v="0"/>
    <x v="2"/>
    <s v="Invoice"/>
    <s v="100000761"/>
    <x v="67"/>
    <x v="60"/>
    <x v="22"/>
    <x v="2"/>
    <n v="4.0049999999999999"/>
  </r>
  <r>
    <s v="DPOPPELL"/>
    <s v="04"/>
    <s v="LARRYENN"/>
    <s v="TRAPNELL ROAD"/>
    <x v="530"/>
    <x v="0"/>
    <x v="2"/>
    <s v="Invoice"/>
    <s v="100000762"/>
    <x v="58"/>
    <x v="51"/>
    <x v="22"/>
    <x v="2"/>
    <n v="5"/>
  </r>
  <r>
    <s v="DPOPPELL"/>
    <s v="04"/>
    <s v="MIDWAYF"/>
    <s v="ALS - NORTH"/>
    <x v="530"/>
    <x v="0"/>
    <x v="2"/>
    <s v="Invoice"/>
    <s v="100000763"/>
    <x v="67"/>
    <x v="60"/>
    <x v="22"/>
    <x v="2"/>
    <n v="4.5075000000000003"/>
  </r>
  <r>
    <s v="DPOPPELL"/>
    <s v="04"/>
    <s v="FORTGREENFARMS"/>
    <s v="MAIN"/>
    <x v="527"/>
    <x v="0"/>
    <x v="2"/>
    <s v="Invoice"/>
    <s v="100000767"/>
    <x v="43"/>
    <x v="38"/>
    <x v="22"/>
    <x v="2"/>
    <n v="10.01"/>
  </r>
  <r>
    <s v="DPOPPELL"/>
    <s v="04"/>
    <s v="CJABBOTT"/>
    <s v="JOHNGILL"/>
    <x v="527"/>
    <x v="0"/>
    <x v="2"/>
    <s v="Invoice"/>
    <s v="100000768"/>
    <x v="43"/>
    <x v="38"/>
    <x v="22"/>
    <x v="2"/>
    <n v="5.0149999999999997"/>
  </r>
  <r>
    <s v="DPOPPELL"/>
    <s v="04"/>
    <s v="GUTIERREZA"/>
    <s v="DUETTE"/>
    <x v="527"/>
    <x v="0"/>
    <x v="2"/>
    <s v="Invoice"/>
    <s v="100000769"/>
    <x v="43"/>
    <x v="38"/>
    <x v="22"/>
    <x v="2"/>
    <n v="20.02"/>
  </r>
  <r>
    <s v="DPOPPELL"/>
    <s v="04"/>
    <s v="CHARLIEG-LLC"/>
    <s v="WILDER LOOP"/>
    <x v="527"/>
    <x v="0"/>
    <x v="2"/>
    <s v="Invoice"/>
    <s v="100000772"/>
    <x v="67"/>
    <x v="60"/>
    <x v="22"/>
    <x v="2"/>
    <n v="3.5"/>
  </r>
  <r>
    <s v="DPOPPELL"/>
    <s v="04"/>
    <s v="STRAWBERRYR"/>
    <s v="RANCH 4"/>
    <x v="527"/>
    <x v="0"/>
    <x v="2"/>
    <s v="Invoice"/>
    <s v="100000774"/>
    <x v="67"/>
    <x v="60"/>
    <x v="22"/>
    <x v="2"/>
    <n v="15.335000000000001"/>
  </r>
  <r>
    <s v="DPOPPELL"/>
    <s v="04"/>
    <s v="STRAWBERRYR"/>
    <s v="RANCH 4"/>
    <x v="527"/>
    <x v="0"/>
    <x v="2"/>
    <s v="Invoice"/>
    <s v="100000774"/>
    <x v="357"/>
    <x v="317"/>
    <x v="25"/>
    <x v="0"/>
    <n v="5.625"/>
  </r>
  <r>
    <s v="DPOPPELL"/>
    <s v="04"/>
    <s v="ROQUEFARMS"/>
    <s v="RINGDAHL"/>
    <x v="527"/>
    <x v="0"/>
    <x v="2"/>
    <s v="Invoice"/>
    <s v="100000781"/>
    <x v="43"/>
    <x v="38"/>
    <x v="22"/>
    <x v="2"/>
    <n v="2.5"/>
  </r>
  <r>
    <s v="DPOPPELL"/>
    <s v="04"/>
    <s v="SYDNEYFA"/>
    <s v="FORBES/NORTH"/>
    <x v="527"/>
    <x v="0"/>
    <x v="2"/>
    <s v="Invoice"/>
    <s v="100000783"/>
    <x v="67"/>
    <x v="60"/>
    <x v="22"/>
    <x v="2"/>
    <n v="5.0199999999999996"/>
  </r>
  <r>
    <s v="DPOPPELL"/>
    <s v="04"/>
    <s v="SYDNEYFA"/>
    <s v="FORBES/NORTH"/>
    <x v="527"/>
    <x v="0"/>
    <x v="2"/>
    <s v="Invoice"/>
    <s v="100000783"/>
    <x v="67"/>
    <x v="60"/>
    <x v="22"/>
    <x v="2"/>
    <n v="5.0199999999999996"/>
  </r>
  <r>
    <s v="DPOPPELL"/>
    <s v="04"/>
    <s v="BEAUCHAMP"/>
    <s v="HAGGERTY-NORTH"/>
    <x v="527"/>
    <x v="0"/>
    <x v="2"/>
    <s v="Invoice"/>
    <s v="100000784"/>
    <x v="50"/>
    <x v="43"/>
    <x v="22"/>
    <x v="2"/>
    <n v="4.53"/>
  </r>
  <r>
    <s v="DPOPPELL"/>
    <s v="04"/>
    <s v="ELIASCEDILLO"/>
    <s v="JESS WALDEN"/>
    <x v="527"/>
    <x v="0"/>
    <x v="2"/>
    <s v="Invoice"/>
    <s v="100000785"/>
    <x v="43"/>
    <x v="38"/>
    <x v="22"/>
    <x v="2"/>
    <n v="3.25"/>
  </r>
  <r>
    <s v="HOUSE"/>
    <s v="05"/>
    <s v="SOUTHERN"/>
    <s v="SOUTHERN AG"/>
    <x v="522"/>
    <x v="0"/>
    <x v="2"/>
    <s v="Invoice"/>
    <s v="100000668"/>
    <x v="211"/>
    <x v="187"/>
    <x v="17"/>
    <x v="0"/>
    <n v="60"/>
  </r>
  <r>
    <s v="HOUSE"/>
    <s v="05"/>
    <s v="CPSBOYNTON"/>
    <s v="BOYNTON BCH"/>
    <x v="522"/>
    <x v="0"/>
    <x v="2"/>
    <s v="Invoice"/>
    <s v="100000676"/>
    <x v="101"/>
    <x v="21"/>
    <x v="21"/>
    <x v="0"/>
    <n v="180"/>
  </r>
  <r>
    <s v=""/>
    <s v="07"/>
    <s v="BARNESFE"/>
    <s v="HASTINGS"/>
    <x v="520"/>
    <x v="0"/>
    <x v="2"/>
    <s v="Invoice"/>
    <s v="100000628"/>
    <x v="158"/>
    <x v="139"/>
    <x v="53"/>
    <x v="0"/>
    <n v="480"/>
  </r>
  <r>
    <s v="CHEAD"/>
    <s v="07"/>
    <s v="UFPSUNIT"/>
    <s v="CITRA FARM"/>
    <x v="528"/>
    <x v="0"/>
    <x v="2"/>
    <s v="Invoice"/>
    <s v="100000708"/>
    <x v="73"/>
    <x v="66"/>
    <x v="22"/>
    <x v="2"/>
    <n v="2.5125000000000002"/>
  </r>
  <r>
    <s v=""/>
    <s v="07"/>
    <s v="CPSHASTI"/>
    <s v="HASTINGS"/>
    <x v="528"/>
    <x v="0"/>
    <x v="2"/>
    <s v="Invoice"/>
    <s v="100000709"/>
    <x v="158"/>
    <x v="139"/>
    <x v="53"/>
    <x v="0"/>
    <n v="240"/>
  </r>
  <r>
    <s v="DPOPPELL1"/>
    <s v="08"/>
    <s v="MAYO"/>
    <s v="PLANTCITY"/>
    <x v="531"/>
    <x v="0"/>
    <x v="2"/>
    <s v="Invoice"/>
    <s v="100000618"/>
    <x v="398"/>
    <x v="345"/>
    <x v="22"/>
    <x v="2"/>
    <n v="10"/>
  </r>
  <r>
    <s v="DPOPPELL1"/>
    <s v="08"/>
    <s v="COASTALAGSUPPLY"/>
    <s v="MULBERRY"/>
    <x v="519"/>
    <x v="0"/>
    <x v="2"/>
    <s v="Invoice"/>
    <s v="100000622"/>
    <x v="58"/>
    <x v="51"/>
    <x v="22"/>
    <x v="2"/>
    <n v="7.4749999999999996"/>
  </r>
  <r>
    <s v="DPOPPELL1"/>
    <s v="08"/>
    <s v="COASTALAGSUPPLY"/>
    <s v="MULBERRY"/>
    <x v="519"/>
    <x v="0"/>
    <x v="2"/>
    <s v="Invoice"/>
    <s v="100000623"/>
    <x v="378"/>
    <x v="332"/>
    <x v="3"/>
    <x v="0"/>
    <n v="180"/>
  </r>
  <r>
    <s v="DPOPPELL1"/>
    <s v="08"/>
    <s v="COASTALAGSUPPLY"/>
    <s v="MULBERRY"/>
    <x v="535"/>
    <x v="0"/>
    <x v="2"/>
    <s v="Invoice"/>
    <s v="100000662"/>
    <x v="75"/>
    <x v="68"/>
    <x v="22"/>
    <x v="2"/>
    <n v="2.5"/>
  </r>
  <r>
    <s v="DPOPPELL1"/>
    <s v="08"/>
    <s v="MAYO"/>
    <s v="PLANTCITY"/>
    <x v="522"/>
    <x v="0"/>
    <x v="2"/>
    <s v="Invoice"/>
    <s v="100000669"/>
    <x v="210"/>
    <x v="186"/>
    <x v="22"/>
    <x v="2"/>
    <n v="12.005000000000001"/>
  </r>
  <r>
    <s v="DPOPPELL1"/>
    <s v="08"/>
    <s v="MAYO"/>
    <s v="PLANTCITY"/>
    <x v="529"/>
    <x v="0"/>
    <x v="2"/>
    <s v="Invoice"/>
    <s v="100000715"/>
    <x v="495"/>
    <x v="433"/>
    <x v="22"/>
    <x v="2"/>
    <n v="5"/>
  </r>
  <r>
    <s v="DPOPPELL1"/>
    <s v="08"/>
    <s v="COASTALAGSUPPLY"/>
    <s v="MULBERRY"/>
    <x v="538"/>
    <x v="0"/>
    <x v="2"/>
    <s v="Invoice"/>
    <s v="100000736"/>
    <x v="58"/>
    <x v="51"/>
    <x v="22"/>
    <x v="2"/>
    <n v="5"/>
  </r>
  <r>
    <s v="DPOPPELL1"/>
    <s v="08"/>
    <s v="MAYO"/>
    <s v="PLANTCITY"/>
    <x v="538"/>
    <x v="0"/>
    <x v="2"/>
    <s v="Invoice"/>
    <s v="100000739"/>
    <x v="496"/>
    <x v="434"/>
    <x v="22"/>
    <x v="2"/>
    <n v="11.99"/>
  </r>
  <r>
    <s v="DPOPPELL1"/>
    <s v="08"/>
    <s v="MAYO"/>
    <s v="PLANTCITY"/>
    <x v="527"/>
    <x v="0"/>
    <x v="2"/>
    <s v="Invoice"/>
    <s v="100000764"/>
    <x v="496"/>
    <x v="434"/>
    <x v="22"/>
    <x v="2"/>
    <n v="11.99"/>
  </r>
  <r>
    <s v="DPOPPELL1"/>
    <s v="08"/>
    <s v="CPSMULB"/>
    <s v="UAP/MULBERRY"/>
    <x v="527"/>
    <x v="0"/>
    <x v="2"/>
    <s v="Invoice"/>
    <s v="100000776"/>
    <x v="102"/>
    <x v="71"/>
    <x v="100"/>
    <x v="0"/>
    <n v="3000"/>
  </r>
  <r>
    <s v="DPOPPELL1"/>
    <s v="08"/>
    <s v="TRIANGLE"/>
    <s v="TRIANGLE/PC"/>
    <x v="527"/>
    <x v="0"/>
    <x v="2"/>
    <s v="Invoice"/>
    <s v="100000782"/>
    <x v="5"/>
    <x v="72"/>
    <x v="4"/>
    <x v="0"/>
    <n v="360"/>
  </r>
  <r>
    <s v="DPOPPELL1"/>
    <s v="08"/>
    <s v="TRIANGLE"/>
    <s v="TRIANGLE/PC"/>
    <x v="527"/>
    <x v="0"/>
    <x v="2"/>
    <s v="Invoice"/>
    <s v="100000782"/>
    <x v="96"/>
    <x v="90"/>
    <x v="39"/>
    <x v="0"/>
    <n v="180"/>
  </r>
  <r>
    <s v="DPOPPELL1"/>
    <s v="08"/>
    <s v="TRIANGLE"/>
    <s v="TRIANGLE/PC"/>
    <x v="527"/>
    <x v="0"/>
    <x v="2"/>
    <s v="Invoice"/>
    <s v="100000782"/>
    <x v="34"/>
    <x v="29"/>
    <x v="26"/>
    <x v="0"/>
    <n v="180"/>
  </r>
  <r>
    <s v="DPOPPELL1"/>
    <s v="08"/>
    <s v="TRIANGLE"/>
    <s v="TRIANGLE/PC"/>
    <x v="527"/>
    <x v="0"/>
    <x v="2"/>
    <s v="Invoice"/>
    <s v="100000782"/>
    <x v="40"/>
    <x v="35"/>
    <x v="29"/>
    <x v="0"/>
    <n v="180"/>
  </r>
  <r>
    <s v="DPOPPELL1"/>
    <s v="08"/>
    <s v="TRIANGLE"/>
    <s v="TRIANGLE/PC"/>
    <x v="527"/>
    <x v="0"/>
    <x v="2"/>
    <s v="Invoice"/>
    <s v="100000782"/>
    <x v="77"/>
    <x v="37"/>
    <x v="30"/>
    <x v="0"/>
    <n v="300"/>
  </r>
  <r>
    <s v=""/>
    <s v="09"/>
    <s v="NUTRATURF"/>
    <s v="CRUMP ST, NC"/>
    <x v="519"/>
    <x v="0"/>
    <x v="2"/>
    <s v="Invoice"/>
    <s v="100000626"/>
    <x v="81"/>
    <x v="74"/>
    <x v="13"/>
    <x v="0"/>
    <n v="55"/>
  </r>
  <r>
    <s v=""/>
    <s v="09"/>
    <s v="NUTRATURF"/>
    <s v="CRUMP ST, NC"/>
    <x v="519"/>
    <x v="0"/>
    <x v="2"/>
    <s v="Invoice"/>
    <s v="100000626"/>
    <x v="82"/>
    <x v="75"/>
    <x v="26"/>
    <x v="0"/>
    <n v="55"/>
  </r>
  <r>
    <s v="GEORGIA"/>
    <s v="09"/>
    <s v="GREENRES"/>
    <s v="LADSON"/>
    <x v="532"/>
    <x v="0"/>
    <x v="2"/>
    <s v="Invoice"/>
    <s v="100000640"/>
    <x v="109"/>
    <x v="80"/>
    <x v="2"/>
    <x v="0"/>
    <n v="1650"/>
  </r>
  <r>
    <s v="GEORGIA"/>
    <s v="09"/>
    <s v="SOUTHAG"/>
    <s v="BOONE"/>
    <x v="521"/>
    <x v="0"/>
    <x v="2"/>
    <s v="Invoice"/>
    <s v="100000657"/>
    <x v="22"/>
    <x v="69"/>
    <x v="17"/>
    <x v="0"/>
    <n v="300"/>
  </r>
  <r>
    <s v="GEORGIA"/>
    <s v="09"/>
    <s v="SOUTHAG"/>
    <s v="BOONE"/>
    <x v="535"/>
    <x v="0"/>
    <x v="2"/>
    <s v="Invoice"/>
    <s v="100000663"/>
    <x v="22"/>
    <x v="69"/>
    <x v="17"/>
    <x v="0"/>
    <n v="240"/>
  </r>
  <r>
    <s v="CSWAFFORD"/>
    <s v="12"/>
    <s v="GOLFVENTURES"/>
    <s v="MAIN"/>
    <x v="520"/>
    <x v="0"/>
    <x v="2"/>
    <s v="Invoice"/>
    <s v="100000631"/>
    <x v="424"/>
    <x v="362"/>
    <x v="47"/>
    <x v="0"/>
    <n v="90"/>
  </r>
  <r>
    <s v="CSWAFFORD"/>
    <s v="12"/>
    <s v="GOLFVENTURES"/>
    <s v="MAIN"/>
    <x v="520"/>
    <x v="0"/>
    <x v="2"/>
    <s v="Invoice"/>
    <s v="100000631"/>
    <x v="249"/>
    <x v="294"/>
    <x v="70"/>
    <x v="0"/>
    <n v="90"/>
  </r>
  <r>
    <s v="CSWAFFORD"/>
    <s v="12"/>
    <s v="JRMINC"/>
    <s v="MAILING"/>
    <x v="532"/>
    <x v="0"/>
    <x v="2"/>
    <s v="Invoice"/>
    <s v="100000637"/>
    <x v="424"/>
    <x v="362"/>
    <x v="47"/>
    <x v="0"/>
    <n v="60"/>
  </r>
  <r>
    <s v="CSWAFFORD"/>
    <s v="12"/>
    <s v="JRMINC"/>
    <s v="MAILING"/>
    <x v="532"/>
    <x v="0"/>
    <x v="2"/>
    <s v="Invoice"/>
    <s v="100000637"/>
    <x v="497"/>
    <x v="435"/>
    <x v="110"/>
    <x v="0"/>
    <n v="60"/>
  </r>
  <r>
    <s v="CSWAFFORD"/>
    <s v="12"/>
    <s v="JRMINC"/>
    <s v="MAILING"/>
    <x v="532"/>
    <x v="0"/>
    <x v="2"/>
    <s v="Invoice"/>
    <s v="100000637"/>
    <x v="481"/>
    <x v="421"/>
    <x v="117"/>
    <x v="0"/>
    <n v="60"/>
  </r>
  <r>
    <s v="CSWAFFORD"/>
    <s v="12"/>
    <s v="GOLFVENTURES"/>
    <s v="MAIN"/>
    <x v="533"/>
    <x v="0"/>
    <x v="2"/>
    <s v="Invoice"/>
    <s v="100000644"/>
    <x v="364"/>
    <x v="321"/>
    <x v="96"/>
    <x v="0"/>
    <n v="60"/>
  </r>
  <r>
    <s v="CSWAFFORD"/>
    <s v="12"/>
    <s v="GOLFVENTURES"/>
    <s v="MAIN"/>
    <x v="533"/>
    <x v="0"/>
    <x v="2"/>
    <s v="Invoice"/>
    <s v="100000644"/>
    <x v="439"/>
    <x v="297"/>
    <x v="91"/>
    <x v="0"/>
    <n v="60"/>
  </r>
  <r>
    <s v="CSWAFFORD"/>
    <s v="12"/>
    <s v="GOLFVENTURES"/>
    <s v="MAIN"/>
    <x v="533"/>
    <x v="0"/>
    <x v="2"/>
    <s v="Invoice"/>
    <s v="100000644"/>
    <x v="370"/>
    <x v="320"/>
    <x v="63"/>
    <x v="0"/>
    <n v="60"/>
  </r>
  <r>
    <s v="CSWAFFORD"/>
    <s v="12"/>
    <s v="GOLFVENTURES"/>
    <s v="EAGLESLAKE"/>
    <x v="521"/>
    <x v="0"/>
    <x v="2"/>
    <s v="Invoice"/>
    <s v="100000654"/>
    <x v="338"/>
    <x v="419"/>
    <x v="8"/>
    <x v="0"/>
    <n v="250"/>
  </r>
  <r>
    <s v="CSWAFFORD"/>
    <s v="12"/>
    <s v="GOLFVENTURES"/>
    <s v="GCI"/>
    <x v="522"/>
    <x v="0"/>
    <x v="2"/>
    <s v="Invoice"/>
    <s v="100000674"/>
    <x v="498"/>
    <x v="313"/>
    <x v="49"/>
    <x v="0"/>
    <n v="55"/>
  </r>
  <r>
    <s v="CSWAFFORD"/>
    <s v="12"/>
    <s v="GOLFVENTURES"/>
    <s v="THEYACHT&amp;CC"/>
    <x v="522"/>
    <x v="0"/>
    <x v="2"/>
    <s v="Invoice"/>
    <s v="100000677"/>
    <x v="109"/>
    <x v="411"/>
    <x v="2"/>
    <x v="0"/>
    <n v="250"/>
  </r>
  <r>
    <s v="CSWAFFORD"/>
    <s v="12"/>
    <s v="GOLFVENTURES"/>
    <s v="THEYACHT&amp;CC"/>
    <x v="522"/>
    <x v="0"/>
    <x v="2"/>
    <s v="Invoice"/>
    <s v="100000678"/>
    <x v="120"/>
    <x v="299"/>
    <x v="45"/>
    <x v="0"/>
    <n v="250"/>
  </r>
  <r>
    <s v="CSWAFFORD"/>
    <s v="12"/>
    <s v="GOLFVENTURES"/>
    <s v="THEYACHT&amp;CC"/>
    <x v="522"/>
    <x v="0"/>
    <x v="2"/>
    <s v="Invoice"/>
    <s v="100000678"/>
    <x v="424"/>
    <x v="362"/>
    <x v="47"/>
    <x v="0"/>
    <n v="10"/>
  </r>
  <r>
    <s v="CSWAFFORD"/>
    <s v="12"/>
    <s v="GOLFVENTURES"/>
    <s v="THEYACHT&amp;CC"/>
    <x v="522"/>
    <x v="0"/>
    <x v="2"/>
    <s v="Invoice"/>
    <s v="100000678"/>
    <x v="112"/>
    <x v="100"/>
    <x v="42"/>
    <x v="0"/>
    <n v="250"/>
  </r>
  <r>
    <s v="CSWAFFORD"/>
    <s v="12"/>
    <s v="GOLFVENTURES"/>
    <s v="THEYACHT&amp;CC"/>
    <x v="522"/>
    <x v="0"/>
    <x v="2"/>
    <s v="Invoice"/>
    <s v="100000678"/>
    <x v="320"/>
    <x v="282"/>
    <x v="87"/>
    <x v="0"/>
    <n v="250"/>
  </r>
  <r>
    <s v="CSWAFFORD"/>
    <s v="12"/>
    <s v="GOLFVENTURES"/>
    <s v="LAWNWORX"/>
    <x v="536"/>
    <x v="0"/>
    <x v="2"/>
    <s v="Invoice"/>
    <s v="100000679"/>
    <x v="458"/>
    <x v="395"/>
    <x v="114"/>
    <x v="0"/>
    <n v="250"/>
  </r>
  <r>
    <s v="CSWAFFORD"/>
    <s v="12"/>
    <s v="GOLFVENTURES"/>
    <s v="LAWNWORXUMATILL"/>
    <x v="536"/>
    <x v="0"/>
    <x v="2"/>
    <s v="Invoice"/>
    <s v="100000680"/>
    <x v="458"/>
    <x v="395"/>
    <x v="114"/>
    <x v="0"/>
    <n v="250"/>
  </r>
  <r>
    <s v="CSWAFFORD"/>
    <s v="12"/>
    <s v="JRMINC"/>
    <s v="MAILING"/>
    <x v="536"/>
    <x v="0"/>
    <x v="2"/>
    <s v="Invoice"/>
    <s v="100000681"/>
    <x v="424"/>
    <x v="362"/>
    <x v="47"/>
    <x v="0"/>
    <n v="30"/>
  </r>
  <r>
    <s v="CSWAFFORD"/>
    <s v="12"/>
    <s v="GOLFVENTURES"/>
    <s v="MAIN"/>
    <x v="536"/>
    <x v="0"/>
    <x v="2"/>
    <s v="Invoice"/>
    <s v="100000683"/>
    <x v="330"/>
    <x v="292"/>
    <x v="36"/>
    <x v="0"/>
    <n v="1000"/>
  </r>
  <r>
    <s v="CSWAFFORD"/>
    <s v="12"/>
    <s v="GOLFVENTURES"/>
    <s v="STONEYBROOK"/>
    <x v="523"/>
    <x v="0"/>
    <x v="2"/>
    <s v="Invoice"/>
    <s v="100000690"/>
    <x v="366"/>
    <x v="336"/>
    <x v="22"/>
    <x v="2"/>
    <n v="1.2649999999999999"/>
  </r>
  <r>
    <s v="CSWAFFORD"/>
    <s v="12"/>
    <s v="GOLFVENTURES"/>
    <s v="MAIN"/>
    <x v="528"/>
    <x v="0"/>
    <x v="2"/>
    <s v="Invoice"/>
    <s v="100000710"/>
    <x v="364"/>
    <x v="321"/>
    <x v="96"/>
    <x v="0"/>
    <n v="60"/>
  </r>
  <r>
    <s v="CSWAFFORD"/>
    <s v="12"/>
    <s v="GOLFVENTURES"/>
    <s v="MAIN"/>
    <x v="528"/>
    <x v="0"/>
    <x v="2"/>
    <s v="Invoice"/>
    <s v="100000710"/>
    <x v="438"/>
    <x v="373"/>
    <x v="108"/>
    <x v="0"/>
    <n v="60"/>
  </r>
  <r>
    <s v="CSWAFFORD"/>
    <s v="12"/>
    <s v="GOLFVENTURES"/>
    <s v="MAIN"/>
    <x v="528"/>
    <x v="0"/>
    <x v="2"/>
    <s v="Invoice"/>
    <s v="100000710"/>
    <x v="439"/>
    <x v="297"/>
    <x v="91"/>
    <x v="0"/>
    <n v="60"/>
  </r>
  <r>
    <s v="CSWAFFORD"/>
    <s v="12"/>
    <s v="GOLFVENTURES"/>
    <s v="MAIN"/>
    <x v="528"/>
    <x v="0"/>
    <x v="2"/>
    <s v="Invoice"/>
    <s v="100000711"/>
    <x v="459"/>
    <x v="265"/>
    <x v="79"/>
    <x v="0"/>
    <n v="50"/>
  </r>
  <r>
    <s v="CSWAFFORD"/>
    <s v="12"/>
    <s v="JRMINC"/>
    <s v="MAILING"/>
    <x v="529"/>
    <x v="0"/>
    <x v="2"/>
    <s v="Invoice"/>
    <s v="100000717"/>
    <x v="424"/>
    <x v="362"/>
    <x v="47"/>
    <x v="0"/>
    <n v="60"/>
  </r>
  <r>
    <s v="CSWAFFORD"/>
    <s v="12"/>
    <s v="GOLFVENTURES"/>
    <s v="MAIN"/>
    <x v="529"/>
    <x v="0"/>
    <x v="2"/>
    <s v="Invoice"/>
    <s v="100000722"/>
    <x v="499"/>
    <x v="375"/>
    <x v="82"/>
    <x v="0"/>
    <n v="75"/>
  </r>
  <r>
    <s v="CSWAFFORD"/>
    <s v="12"/>
    <s v="GOLFVENTURES"/>
    <s v="GCI"/>
    <x v="524"/>
    <x v="0"/>
    <x v="2"/>
    <s v="Invoice"/>
    <s v="100000728"/>
    <x v="363"/>
    <x v="320"/>
    <x v="63"/>
    <x v="0"/>
    <n v="250"/>
  </r>
  <r>
    <s v="CSWAFFORD"/>
    <s v="12"/>
    <s v="GOLFVENTURES"/>
    <s v="MAIN"/>
    <x v="538"/>
    <x v="0"/>
    <x v="2"/>
    <s v="Invoice"/>
    <s v="100000740"/>
    <x v="457"/>
    <x v="314"/>
    <x v="95"/>
    <x v="0"/>
    <n v="15"/>
  </r>
  <r>
    <s v="CSWAFFORD"/>
    <s v="12"/>
    <s v="GOLFVENTURES"/>
    <s v="MAIN"/>
    <x v="538"/>
    <x v="0"/>
    <x v="2"/>
    <s v="Invoice"/>
    <s v="100000741"/>
    <x v="457"/>
    <x v="314"/>
    <x v="95"/>
    <x v="0"/>
    <n v="15"/>
  </r>
  <r>
    <s v="CSWAFFORD"/>
    <s v="12"/>
    <s v="JRMINC"/>
    <s v="CHEMICALDYNAMIC"/>
    <x v="530"/>
    <x v="0"/>
    <x v="2"/>
    <s v="Invoice"/>
    <s v="100000748"/>
    <x v="500"/>
    <x v="436"/>
    <x v="80"/>
    <x v="0"/>
    <n v="60"/>
  </r>
  <r>
    <s v="CSWAFFORD"/>
    <s v="12"/>
    <s v="JRMINC"/>
    <s v="CHEMICALDYNAMIC"/>
    <x v="530"/>
    <x v="0"/>
    <x v="2"/>
    <s v="Invoice"/>
    <s v="100000748"/>
    <x v="501"/>
    <x v="437"/>
    <x v="54"/>
    <x v="0"/>
    <n v="60"/>
  </r>
  <r>
    <s v="CSWAFFORD"/>
    <s v="12"/>
    <s v="JRMINC"/>
    <s v="CHEMICALDYNAMIC"/>
    <x v="530"/>
    <x v="0"/>
    <x v="2"/>
    <s v="Invoice"/>
    <s v="100000748"/>
    <x v="452"/>
    <x v="388"/>
    <x v="112"/>
    <x v="0"/>
    <n v="180"/>
  </r>
  <r>
    <s v="CSWAFFORD"/>
    <s v="12"/>
    <s v="JRMINC"/>
    <s v="CHEMICALDYNAMIC"/>
    <x v="530"/>
    <x v="0"/>
    <x v="2"/>
    <s v="Invoice"/>
    <s v="100000748"/>
    <x v="483"/>
    <x v="424"/>
    <x v="67"/>
    <x v="0"/>
    <n v="90"/>
  </r>
  <r>
    <s v="CSWAFFORD"/>
    <s v="12"/>
    <s v="JRMINC"/>
    <s v="CHEMICALDYNAMIC"/>
    <x v="530"/>
    <x v="0"/>
    <x v="2"/>
    <s v="Invoice"/>
    <s v="100000748"/>
    <x v="481"/>
    <x v="421"/>
    <x v="117"/>
    <x v="0"/>
    <n v="90"/>
  </r>
  <r>
    <s v="CSWAFFORD"/>
    <s v="12"/>
    <s v="GOLFVENTURES"/>
    <s v="BRADENTONCC"/>
    <x v="530"/>
    <x v="0"/>
    <x v="2"/>
    <s v="Invoice"/>
    <s v="100000749"/>
    <x v="372"/>
    <x v="295"/>
    <x v="43"/>
    <x v="0"/>
    <n v="250"/>
  </r>
  <r>
    <s v="CSWAFFORD"/>
    <s v="12"/>
    <s v="GOLFVENTURES"/>
    <s v="BRADENTONCC"/>
    <x v="530"/>
    <x v="0"/>
    <x v="2"/>
    <s v="Invoice"/>
    <s v="100000749"/>
    <x v="338"/>
    <x v="419"/>
    <x v="8"/>
    <x v="0"/>
    <n v="250"/>
  </r>
  <r>
    <s v="CSWAFFORD"/>
    <s v="12"/>
    <s v="GOLFVENTURES"/>
    <s v="COUNTRYBOY"/>
    <x v="527"/>
    <x v="0"/>
    <x v="2"/>
    <s v="Invoice"/>
    <s v="100000771"/>
    <x v="502"/>
    <x v="312"/>
    <x v="95"/>
    <x v="0"/>
    <n v="550"/>
  </r>
  <r>
    <s v="CSWAFFORD"/>
    <s v="12"/>
    <s v="GOLFVENTURES"/>
    <s v="MAIN"/>
    <x v="527"/>
    <x v="0"/>
    <x v="2"/>
    <s v="Invoice"/>
    <s v="100000778"/>
    <x v="369"/>
    <x v="338"/>
    <x v="97"/>
    <x v="0"/>
    <n v="1300"/>
  </r>
  <r>
    <s v="CSWAFFORD"/>
    <s v="12"/>
    <s v="GOLFVENTURES"/>
    <s v="MAIN"/>
    <x v="527"/>
    <x v="0"/>
    <x v="2"/>
    <s v="Invoice"/>
    <s v="100000779"/>
    <x v="503"/>
    <x v="395"/>
    <x v="114"/>
    <x v="0"/>
    <n v="250"/>
  </r>
  <r>
    <s v="HAP"/>
    <s v="01"/>
    <s v="GREENWAY"/>
    <s v="JACARANDA G C"/>
    <x v="539"/>
    <x v="1"/>
    <x v="2"/>
    <s v="Invoice"/>
    <s v="100000794"/>
    <x v="6"/>
    <x v="5"/>
    <x v="5"/>
    <x v="0"/>
    <n v="30"/>
  </r>
  <r>
    <s v="HAP"/>
    <s v="01"/>
    <s v="GREENWAY"/>
    <s v="JACARANDA G C"/>
    <x v="539"/>
    <x v="1"/>
    <x v="2"/>
    <s v="Invoice"/>
    <s v="100000794"/>
    <x v="0"/>
    <x v="0"/>
    <x v="0"/>
    <x v="0"/>
    <n v="55"/>
  </r>
  <r>
    <s v="HAP"/>
    <s v="01"/>
    <s v="GREENWAY"/>
    <s v="JACARANDA G C"/>
    <x v="539"/>
    <x v="1"/>
    <x v="2"/>
    <s v="Invoice"/>
    <s v="100000794"/>
    <x v="88"/>
    <x v="2"/>
    <x v="2"/>
    <x v="0"/>
    <n v="55"/>
  </r>
  <r>
    <s v="HAP"/>
    <s v="01"/>
    <s v="GREENWAY"/>
    <s v="WAREHOUSE"/>
    <x v="540"/>
    <x v="1"/>
    <x v="2"/>
    <s v="Invoice"/>
    <s v="100000829"/>
    <x v="6"/>
    <x v="5"/>
    <x v="5"/>
    <x v="0"/>
    <n v="120"/>
  </r>
  <r>
    <s v="HAP"/>
    <s v="01"/>
    <s v="GREENWAY"/>
    <s v="WAREHOUSE"/>
    <x v="540"/>
    <x v="1"/>
    <x v="2"/>
    <s v="Invoice"/>
    <s v="100000829"/>
    <x v="12"/>
    <x v="11"/>
    <x v="11"/>
    <x v="0"/>
    <n v="120"/>
  </r>
  <r>
    <s v="HAP"/>
    <s v="01"/>
    <s v="GREENWAY"/>
    <s v="WAREHOUSE"/>
    <x v="540"/>
    <x v="1"/>
    <x v="2"/>
    <s v="Invoice"/>
    <s v="100000829"/>
    <x v="7"/>
    <x v="6"/>
    <x v="6"/>
    <x v="0"/>
    <n v="60"/>
  </r>
  <r>
    <s v="HAP"/>
    <s v="01"/>
    <s v="GREENWAY"/>
    <s v="WAREHOUSE"/>
    <x v="540"/>
    <x v="1"/>
    <x v="2"/>
    <s v="Invoice"/>
    <s v="100000829"/>
    <x v="90"/>
    <x v="13"/>
    <x v="13"/>
    <x v="0"/>
    <n v="60"/>
  </r>
  <r>
    <s v="HAP"/>
    <s v="01"/>
    <s v="GREENWAY"/>
    <s v="WAREHOUSE"/>
    <x v="540"/>
    <x v="1"/>
    <x v="2"/>
    <s v="Invoice"/>
    <s v="100000829"/>
    <x v="5"/>
    <x v="4"/>
    <x v="4"/>
    <x v="0"/>
    <n v="120"/>
  </r>
  <r>
    <s v="HAP"/>
    <s v="01"/>
    <s v="GREENWAY"/>
    <s v="WAREHOUSE"/>
    <x v="540"/>
    <x v="1"/>
    <x v="2"/>
    <s v="Invoice"/>
    <s v="100000829"/>
    <x v="2"/>
    <x v="0"/>
    <x v="0"/>
    <x v="0"/>
    <n v="120"/>
  </r>
  <r>
    <s v="HAP"/>
    <s v="01"/>
    <s v="GREENWAY"/>
    <s v="AVILAGOLFCLUB"/>
    <x v="541"/>
    <x v="1"/>
    <x v="2"/>
    <s v="Invoice"/>
    <s v="100000852"/>
    <x v="0"/>
    <x v="0"/>
    <x v="0"/>
    <x v="0"/>
    <n v="55"/>
  </r>
  <r>
    <s v="HAP"/>
    <s v="01"/>
    <s v="GREENWAY"/>
    <s v="AVILAGOLFCLUB"/>
    <x v="541"/>
    <x v="1"/>
    <x v="2"/>
    <s v="Invoice"/>
    <s v="100000852"/>
    <x v="88"/>
    <x v="2"/>
    <x v="2"/>
    <x v="0"/>
    <n v="55"/>
  </r>
  <r>
    <s v="HAP"/>
    <s v="01"/>
    <s v="GREENWAY"/>
    <s v="JACARANDA G C"/>
    <x v="542"/>
    <x v="1"/>
    <x v="2"/>
    <s v="Invoice"/>
    <s v="100000950"/>
    <x v="418"/>
    <x v="3"/>
    <x v="3"/>
    <x v="0"/>
    <n v="110"/>
  </r>
  <r>
    <s v="HAP"/>
    <s v="01"/>
    <s v="GREENWAY"/>
    <s v="IRON HORSE G.C."/>
    <x v="543"/>
    <x v="1"/>
    <x v="2"/>
    <s v="Invoice"/>
    <s v="100000963"/>
    <x v="1"/>
    <x v="1"/>
    <x v="1"/>
    <x v="0"/>
    <n v="110"/>
  </r>
  <r>
    <s v="HAP"/>
    <s v="01"/>
    <s v="GREENWAY"/>
    <s v="MIZNER C. CLUB"/>
    <x v="543"/>
    <x v="1"/>
    <x v="2"/>
    <s v="Invoice"/>
    <s v="100000965"/>
    <x v="6"/>
    <x v="5"/>
    <x v="5"/>
    <x v="0"/>
    <n v="50"/>
  </r>
  <r>
    <s v="HAP"/>
    <s v="01"/>
    <s v="GREENWAY"/>
    <s v="MIZNER C. CLUB"/>
    <x v="543"/>
    <x v="1"/>
    <x v="2"/>
    <s v="Invoice"/>
    <s v="100000965"/>
    <x v="5"/>
    <x v="4"/>
    <x v="4"/>
    <x v="0"/>
    <n v="100"/>
  </r>
  <r>
    <s v="HAP"/>
    <s v="01"/>
    <s v="GREENWAY"/>
    <s v="MIZNER C. CLUB"/>
    <x v="543"/>
    <x v="1"/>
    <x v="2"/>
    <s v="Invoice"/>
    <s v="100000965"/>
    <x v="2"/>
    <x v="0"/>
    <x v="0"/>
    <x v="0"/>
    <n v="100"/>
  </r>
  <r>
    <s v="HAP"/>
    <s v="01"/>
    <s v="GREENWAY"/>
    <s v="MIZNER C. CLUB"/>
    <x v="543"/>
    <x v="1"/>
    <x v="2"/>
    <s v="Invoice"/>
    <s v="100000965"/>
    <x v="3"/>
    <x v="379"/>
    <x v="2"/>
    <x v="0"/>
    <n v="50"/>
  </r>
  <r>
    <s v="DAVID"/>
    <s v="02"/>
    <s v="EVOQUAWATER"/>
    <s v="MAIN"/>
    <x v="544"/>
    <x v="1"/>
    <x v="2"/>
    <s v="Invoice"/>
    <s v="100000808"/>
    <x v="160"/>
    <x v="231"/>
    <x v="54"/>
    <x v="0"/>
    <n v="360"/>
  </r>
  <r>
    <s v="DAVID"/>
    <s v="02"/>
    <s v="FLORIDAGAR"/>
    <s v="GARDENSUPPLIES"/>
    <x v="544"/>
    <x v="1"/>
    <x v="2"/>
    <s v="Invoice"/>
    <s v="100000815"/>
    <x v="304"/>
    <x v="268"/>
    <x v="73"/>
    <x v="0"/>
    <n v="150"/>
  </r>
  <r>
    <s v="DAVID"/>
    <s v="02"/>
    <s v="TARGETSPECIALTY"/>
    <s v="MAIN"/>
    <x v="545"/>
    <x v="1"/>
    <x v="2"/>
    <s v="Invoice"/>
    <s v="100000867"/>
    <x v="283"/>
    <x v="19"/>
    <x v="19"/>
    <x v="0"/>
    <n v="55"/>
  </r>
  <r>
    <s v="DAVID"/>
    <s v="02"/>
    <s v="TRUEALGAE"/>
    <s v="MCINTOSH"/>
    <x v="546"/>
    <x v="1"/>
    <x v="2"/>
    <s v="Invoice"/>
    <s v="100000881"/>
    <x v="32"/>
    <x v="246"/>
    <x v="25"/>
    <x v="0"/>
    <n v="275"/>
  </r>
  <r>
    <s v="DAVID"/>
    <s v="02"/>
    <s v="EVOQUAWATER"/>
    <s v="XYLEM128S"/>
    <x v="547"/>
    <x v="1"/>
    <x v="2"/>
    <s v="Invoice"/>
    <s v="100000895"/>
    <x v="160"/>
    <x v="231"/>
    <x v="54"/>
    <x v="0"/>
    <n v="360"/>
  </r>
  <r>
    <s v="DAVID"/>
    <s v="02"/>
    <s v="CPSMULB"/>
    <s v="UAP/MULBERRY"/>
    <x v="548"/>
    <x v="1"/>
    <x v="2"/>
    <s v="Invoice"/>
    <s v="100000911"/>
    <x v="32"/>
    <x v="438"/>
    <x v="25"/>
    <x v="0"/>
    <n v="3870"/>
  </r>
  <r>
    <s v="DAVID"/>
    <s v="02"/>
    <s v="EVOQUAWATER"/>
    <s v="STOR-N-MORE"/>
    <x v="549"/>
    <x v="1"/>
    <x v="2"/>
    <s v="Invoice"/>
    <s v="100000923"/>
    <x v="160"/>
    <x v="231"/>
    <x v="54"/>
    <x v="0"/>
    <n v="360"/>
  </r>
  <r>
    <s v="DAVID"/>
    <s v="02"/>
    <s v="SUNNILAND"/>
    <s v="LONGWOOD"/>
    <x v="549"/>
    <x v="1"/>
    <x v="2"/>
    <s v="Invoice"/>
    <s v="100000926"/>
    <x v="124"/>
    <x v="112"/>
    <x v="20"/>
    <x v="1"/>
    <n v="24520"/>
  </r>
  <r>
    <s v="DAVID"/>
    <s v="02"/>
    <s v="GEOPONICSCORP"/>
    <s v="EWING"/>
    <x v="550"/>
    <x v="1"/>
    <x v="2"/>
    <s v="Invoice"/>
    <s v="100000981"/>
    <x v="504"/>
    <x v="439"/>
    <x v="119"/>
    <x v="0"/>
    <n v="180"/>
  </r>
  <r>
    <s v="DAVID"/>
    <s v="02"/>
    <s v="FLORIDAGAR"/>
    <s v="GARDENSUPPLIES"/>
    <x v="550"/>
    <x v="1"/>
    <x v="2"/>
    <s v="Invoice"/>
    <s v="100000983"/>
    <x v="392"/>
    <x v="341"/>
    <x v="101"/>
    <x v="0"/>
    <n v="75"/>
  </r>
  <r>
    <s v="DAVID"/>
    <s v="02"/>
    <s v="FLORIDAGAR"/>
    <s v="GARDENSUPPLIES"/>
    <x v="550"/>
    <x v="1"/>
    <x v="2"/>
    <s v="Invoice"/>
    <s v="100000983"/>
    <x v="304"/>
    <x v="268"/>
    <x v="73"/>
    <x v="0"/>
    <n v="127"/>
  </r>
  <r>
    <s v="DAVID"/>
    <s v="02"/>
    <s v="CPSFTPIE"/>
    <s v="FT. PIERCE"/>
    <x v="551"/>
    <x v="1"/>
    <x v="2"/>
    <s v="Invoice"/>
    <s v="100000989"/>
    <x v="267"/>
    <x v="235"/>
    <x v="75"/>
    <x v="0"/>
    <n v="70"/>
  </r>
  <r>
    <s v="JUSTIN"/>
    <s v="03"/>
    <s v="CPSOKEE"/>
    <s v="OKEE-LIQ PLANT"/>
    <x v="539"/>
    <x v="1"/>
    <x v="2"/>
    <s v="Invoice"/>
    <s v="100000786"/>
    <x v="134"/>
    <x v="94"/>
    <x v="41"/>
    <x v="0"/>
    <n v="2947.87"/>
  </r>
  <r>
    <s v="JUSTIN"/>
    <s v="03"/>
    <s v="TRIANGLE"/>
    <s v="TRIANGLE/LAKEPL"/>
    <x v="539"/>
    <x v="1"/>
    <x v="2"/>
    <s v="Invoice"/>
    <s v="100000787"/>
    <x v="100"/>
    <x v="94"/>
    <x v="41"/>
    <x v="0"/>
    <n v="750"/>
  </r>
  <r>
    <s v="JUSTIN"/>
    <s v="03"/>
    <s v="G&amp;DFARMS"/>
    <s v="MIDDLE"/>
    <x v="552"/>
    <x v="1"/>
    <x v="2"/>
    <s v="Invoice"/>
    <s v="100000799"/>
    <x v="99"/>
    <x v="93"/>
    <x v="22"/>
    <x v="2"/>
    <n v="15.022"/>
  </r>
  <r>
    <s v="JUSTIN"/>
    <s v="03"/>
    <s v="G&amp;DFARMS"/>
    <s v="MIDDLE"/>
    <x v="544"/>
    <x v="1"/>
    <x v="2"/>
    <s v="Invoice"/>
    <s v="100000817"/>
    <x v="99"/>
    <x v="93"/>
    <x v="22"/>
    <x v="2"/>
    <n v="15.012499999999999"/>
  </r>
  <r>
    <s v="JUSTIN"/>
    <s v="03"/>
    <s v="G&amp;DFARMS"/>
    <s v="MIDDLE"/>
    <x v="545"/>
    <x v="1"/>
    <x v="2"/>
    <s v="Invoice"/>
    <s v="100000868"/>
    <x v="99"/>
    <x v="93"/>
    <x v="22"/>
    <x v="2"/>
    <n v="15.012499999999999"/>
  </r>
  <r>
    <s v="JUSTIN"/>
    <s v="03"/>
    <s v="CPSWACHU"/>
    <s v="WAUCHULA"/>
    <x v="546"/>
    <x v="1"/>
    <x v="2"/>
    <s v="Invoice"/>
    <s v="100000885"/>
    <x v="34"/>
    <x v="29"/>
    <x v="26"/>
    <x v="0"/>
    <n v="180"/>
  </r>
  <r>
    <s v="JUSTIN"/>
    <s v="03"/>
    <s v="G&amp;DFARMS"/>
    <s v="MIDDLE"/>
    <x v="549"/>
    <x v="1"/>
    <x v="2"/>
    <s v="Invoice"/>
    <s v="100000927"/>
    <x v="99"/>
    <x v="93"/>
    <x v="22"/>
    <x v="2"/>
    <n v="15.025"/>
  </r>
  <r>
    <s v="JUSTIN"/>
    <s v="03"/>
    <s v="CPSWACHU"/>
    <s v="WAUCHULA"/>
    <x v="542"/>
    <x v="1"/>
    <x v="2"/>
    <s v="Invoice"/>
    <s v="100000942"/>
    <x v="34"/>
    <x v="29"/>
    <x v="26"/>
    <x v="0"/>
    <n v="180"/>
  </r>
  <r>
    <s v="JUSTIN"/>
    <s v="03"/>
    <s v="CPSWACHU"/>
    <s v="WAUCHULA"/>
    <x v="542"/>
    <x v="1"/>
    <x v="2"/>
    <s v="Invoice"/>
    <s v="100000942"/>
    <x v="191"/>
    <x v="169"/>
    <x v="61"/>
    <x v="0"/>
    <n v="540"/>
  </r>
  <r>
    <s v="JUSTIN"/>
    <s v="03"/>
    <s v="CPSWACHU"/>
    <s v="WAUCHULA"/>
    <x v="542"/>
    <x v="1"/>
    <x v="2"/>
    <s v="Invoice"/>
    <s v="100000943"/>
    <x v="96"/>
    <x v="90"/>
    <x v="39"/>
    <x v="0"/>
    <n v="120"/>
  </r>
  <r>
    <s v="JUSTIN"/>
    <s v="03"/>
    <s v="TRIANGLE"/>
    <s v="TRIANGLE/LAKEPL"/>
    <x v="542"/>
    <x v="1"/>
    <x v="2"/>
    <s v="Invoice"/>
    <s v="100000947"/>
    <x v="100"/>
    <x v="94"/>
    <x v="41"/>
    <x v="0"/>
    <n v="1500"/>
  </r>
  <r>
    <s v="JUSTIN"/>
    <s v="03"/>
    <s v="G&amp;DFARMS"/>
    <s v="MIDDLE"/>
    <x v="543"/>
    <x v="1"/>
    <x v="2"/>
    <s v="Invoice"/>
    <s v="100000955"/>
    <x v="99"/>
    <x v="93"/>
    <x v="22"/>
    <x v="2"/>
    <n v="15.025"/>
  </r>
  <r>
    <s v="JUSTIN"/>
    <s v="03"/>
    <s v="COUNCILO"/>
    <s v="COUNCIL-OXFORD"/>
    <x v="550"/>
    <x v="1"/>
    <x v="2"/>
    <s v="Invoice"/>
    <s v="100000968"/>
    <x v="41"/>
    <x v="36"/>
    <x v="26"/>
    <x v="0"/>
    <n v="500"/>
  </r>
  <r>
    <s v=""/>
    <s v="03"/>
    <s v="CPSMULB"/>
    <s v="UAP/MULBERRY"/>
    <x v="553"/>
    <x v="1"/>
    <x v="2"/>
    <s v="Invoice"/>
    <s v="100001032"/>
    <x v="34"/>
    <x v="29"/>
    <x v="26"/>
    <x v="0"/>
    <n v="540"/>
  </r>
  <r>
    <s v="JUSTIN"/>
    <s v="03"/>
    <s v="CPSFTPIE"/>
    <s v="FT. PIERCE"/>
    <x v="554"/>
    <x v="1"/>
    <x v="2"/>
    <s v="Invoice"/>
    <s v="100001041"/>
    <x v="34"/>
    <x v="29"/>
    <x v="26"/>
    <x v="0"/>
    <n v="180"/>
  </r>
  <r>
    <s v="DPOPPELL"/>
    <s v="04"/>
    <s v="CHBERRY"/>
    <s v="BOBCAT"/>
    <x v="539"/>
    <x v="1"/>
    <x v="2"/>
    <s v="Invoice"/>
    <s v="100000788"/>
    <x v="58"/>
    <x v="51"/>
    <x v="22"/>
    <x v="2"/>
    <n v="2.5150000000000001"/>
  </r>
  <r>
    <s v="DPOPPELL"/>
    <s v="04"/>
    <s v="MIDWAYF"/>
    <s v="FUTCH"/>
    <x v="539"/>
    <x v="1"/>
    <x v="2"/>
    <s v="Invoice"/>
    <s v="100000789"/>
    <x v="67"/>
    <x v="60"/>
    <x v="22"/>
    <x v="2"/>
    <n v="4.0025000000000004"/>
  </r>
  <r>
    <s v="DPOPPELL"/>
    <s v="04"/>
    <s v="FANCYFAR"/>
    <s v="CASON1"/>
    <x v="539"/>
    <x v="1"/>
    <x v="2"/>
    <s v="Invoice"/>
    <s v="100000790"/>
    <x v="50"/>
    <x v="43"/>
    <x v="22"/>
    <x v="2"/>
    <n v="7.5049999999999999"/>
  </r>
  <r>
    <s v="DPOPPELL"/>
    <s v="04"/>
    <s v="MIKELOTT"/>
    <s v="HILLSBOROUGH/E"/>
    <x v="539"/>
    <x v="1"/>
    <x v="2"/>
    <s v="Invoice"/>
    <s v="100000792"/>
    <x v="43"/>
    <x v="38"/>
    <x v="22"/>
    <x v="2"/>
    <n v="4.9974999999999996"/>
  </r>
  <r>
    <s v="DPOPPELL"/>
    <s v="04"/>
    <s v="CIRCLEGF&amp;R LLC"/>
    <s v="KNIGHTS-N-#16"/>
    <x v="539"/>
    <x v="1"/>
    <x v="2"/>
    <s v="Invoice"/>
    <s v="100000793"/>
    <x v="67"/>
    <x v="60"/>
    <x v="22"/>
    <x v="2"/>
    <n v="7.51"/>
  </r>
  <r>
    <s v="DPOPPELL"/>
    <s v="04"/>
    <s v="CHAVEZJOR"/>
    <s v="JOSE' CHAV- COD"/>
    <x v="539"/>
    <x v="1"/>
    <x v="2"/>
    <s v="Invoice"/>
    <s v="100000795"/>
    <x v="53"/>
    <x v="46"/>
    <x v="22"/>
    <x v="2"/>
    <n v="0.15"/>
  </r>
  <r>
    <s v="DPOPPELL"/>
    <s v="04"/>
    <s v="CEDILLO"/>
    <s v="MAIN"/>
    <x v="552"/>
    <x v="1"/>
    <x v="2"/>
    <s v="Invoice"/>
    <s v="100000796"/>
    <x v="43"/>
    <x v="38"/>
    <x v="22"/>
    <x v="2"/>
    <n v="2"/>
  </r>
  <r>
    <s v="DPOPPELL"/>
    <s v="04"/>
    <s v="ALONSOFARMS"/>
    <s v="SUMNER"/>
    <x v="552"/>
    <x v="1"/>
    <x v="2"/>
    <s v="Invoice"/>
    <s v="100000797"/>
    <x v="58"/>
    <x v="51"/>
    <x v="22"/>
    <x v="2"/>
    <n v="4.0149999999999997"/>
  </r>
  <r>
    <s v="DPOPPELL"/>
    <s v="04"/>
    <s v="MIDWAYF"/>
    <s v="SAMALLEN"/>
    <x v="552"/>
    <x v="1"/>
    <x v="2"/>
    <s v="Invoice"/>
    <s v="100000798"/>
    <x v="67"/>
    <x v="60"/>
    <x v="22"/>
    <x v="2"/>
    <n v="2.5074999999999998"/>
  </r>
  <r>
    <s v="DPOPPELL"/>
    <s v="04"/>
    <s v="CIRCLEGF&amp;R LLC"/>
    <s v="KNIGHTS-N/SOUTH"/>
    <x v="552"/>
    <x v="1"/>
    <x v="2"/>
    <s v="Invoice"/>
    <s v="100000800"/>
    <x v="67"/>
    <x v="60"/>
    <x v="22"/>
    <x v="2"/>
    <n v="15.0175"/>
  </r>
  <r>
    <s v="DPOPPELL"/>
    <s v="04"/>
    <s v="MENDOZAHEC"/>
    <s v="JAUDON RD"/>
    <x v="552"/>
    <x v="1"/>
    <x v="2"/>
    <s v="Invoice"/>
    <s v="100000801"/>
    <x v="43"/>
    <x v="38"/>
    <x v="22"/>
    <x v="2"/>
    <n v="2.5"/>
  </r>
  <r>
    <s v="DPOPPELL"/>
    <s v="04"/>
    <s v="GUTIERREZA"/>
    <s v="JOE KING RD"/>
    <x v="552"/>
    <x v="1"/>
    <x v="2"/>
    <s v="Invoice"/>
    <s v="100000802"/>
    <x v="43"/>
    <x v="38"/>
    <x v="22"/>
    <x v="2"/>
    <n v="3.75"/>
  </r>
  <r>
    <s v="DPOPPELL"/>
    <s v="04"/>
    <s v="5KFARMS"/>
    <s v="VFW"/>
    <x v="552"/>
    <x v="1"/>
    <x v="2"/>
    <s v="Invoice"/>
    <s v="100000803"/>
    <x v="43"/>
    <x v="38"/>
    <x v="22"/>
    <x v="2"/>
    <n v="3.75"/>
  </r>
  <r>
    <s v="DPOPPELL"/>
    <s v="04"/>
    <s v="GILLMANBUDD"/>
    <s v="FORBES"/>
    <x v="552"/>
    <x v="1"/>
    <x v="2"/>
    <s v="Invoice"/>
    <s v="100000805"/>
    <x v="63"/>
    <x v="56"/>
    <x v="22"/>
    <x v="2"/>
    <n v="2.5225"/>
  </r>
  <r>
    <s v="DPOPPELL"/>
    <s v="04"/>
    <s v="FERRISFA"/>
    <s v="MAILING"/>
    <x v="544"/>
    <x v="1"/>
    <x v="2"/>
    <s v="Invoice"/>
    <s v="100000809"/>
    <x v="107"/>
    <x v="98"/>
    <x v="36"/>
    <x v="0"/>
    <n v="20"/>
  </r>
  <r>
    <s v="DPOPPELL"/>
    <s v="04"/>
    <s v="MIDWAYF"/>
    <s v="EKNIGHTS"/>
    <x v="544"/>
    <x v="1"/>
    <x v="2"/>
    <s v="Invoice"/>
    <s v="100000810"/>
    <x v="67"/>
    <x v="60"/>
    <x v="22"/>
    <x v="2"/>
    <n v="7.52"/>
  </r>
  <r>
    <s v="DPOPPELL"/>
    <s v="04"/>
    <s v="JOSEHERN"/>
    <s v="TRAPNELL RD/E"/>
    <x v="544"/>
    <x v="1"/>
    <x v="2"/>
    <s v="Invoice"/>
    <s v="100000811"/>
    <x v="58"/>
    <x v="51"/>
    <x v="22"/>
    <x v="2"/>
    <n v="2.012"/>
  </r>
  <r>
    <s v="DPOPPELL"/>
    <s v="04"/>
    <s v="ROQUEFARMS"/>
    <s v="RINGDAHL"/>
    <x v="544"/>
    <x v="1"/>
    <x v="2"/>
    <s v="Invoice"/>
    <s v="100000812"/>
    <x v="110"/>
    <x v="97"/>
    <x v="16"/>
    <x v="0"/>
    <n v="500"/>
  </r>
  <r>
    <s v="DPOPPELL"/>
    <s v="04"/>
    <s v="ROQUEFARMS"/>
    <s v="SWEETWATER"/>
    <x v="544"/>
    <x v="1"/>
    <x v="2"/>
    <s v="Invoice"/>
    <s v="100000813"/>
    <x v="43"/>
    <x v="38"/>
    <x v="22"/>
    <x v="2"/>
    <n v="10"/>
  </r>
  <r>
    <s v="DPOPPELL"/>
    <s v="04"/>
    <s v="JOSEHERN"/>
    <s v="KEYSVILLE N"/>
    <x v="544"/>
    <x v="1"/>
    <x v="2"/>
    <s v="Invoice"/>
    <s v="100000814"/>
    <x v="58"/>
    <x v="51"/>
    <x v="22"/>
    <x v="2"/>
    <n v="15.0075"/>
  </r>
  <r>
    <s v=""/>
    <s v="04"/>
    <s v="PLANTCIT"/>
    <s v="MAILING"/>
    <x v="544"/>
    <x v="1"/>
    <x v="2"/>
    <s v="Invoice"/>
    <s v="100000816"/>
    <x v="487"/>
    <x v="426"/>
    <x v="22"/>
    <x v="2"/>
    <n v="1.2350000000000001"/>
  </r>
  <r>
    <s v=""/>
    <s v="04"/>
    <s v="PORTER HA"/>
    <s v="PASTURE"/>
    <x v="544"/>
    <x v="1"/>
    <x v="2"/>
    <s v="Invoice"/>
    <s v="100000818"/>
    <x v="28"/>
    <x v="23"/>
    <x v="22"/>
    <x v="2"/>
    <n v="5.03"/>
  </r>
  <r>
    <s v="DPOPPELL"/>
    <s v="04"/>
    <s v="FORTGREENFARMS"/>
    <s v="FTGREEN"/>
    <x v="544"/>
    <x v="1"/>
    <x v="2"/>
    <s v="Invoice"/>
    <s v="100000819"/>
    <x v="43"/>
    <x v="38"/>
    <x v="22"/>
    <x v="2"/>
    <n v="10"/>
  </r>
  <r>
    <s v="DPOPPELL"/>
    <s v="04"/>
    <s v="CJABBOTT"/>
    <s v="JOHNGILL"/>
    <x v="544"/>
    <x v="1"/>
    <x v="2"/>
    <s v="Invoice"/>
    <s v="100000820"/>
    <x v="43"/>
    <x v="38"/>
    <x v="22"/>
    <x v="2"/>
    <n v="5"/>
  </r>
  <r>
    <s v="DPOPPELL"/>
    <s v="04"/>
    <s v="JGRANCH"/>
    <s v="WISCON RD."/>
    <x v="540"/>
    <x v="1"/>
    <x v="2"/>
    <s v="Invoice"/>
    <s v="100000822"/>
    <x v="237"/>
    <x v="75"/>
    <x v="26"/>
    <x v="0"/>
    <n v="5"/>
  </r>
  <r>
    <s v="DPOPPELL"/>
    <s v="04"/>
    <s v="JGRANCH"/>
    <s v="WISCON RD."/>
    <x v="540"/>
    <x v="1"/>
    <x v="2"/>
    <s v="Invoice"/>
    <s v="100000822"/>
    <x v="77"/>
    <x v="37"/>
    <x v="30"/>
    <x v="0"/>
    <n v="30"/>
  </r>
  <r>
    <s v="DPOPPELL"/>
    <s v="04"/>
    <s v="STRAWBERRYR"/>
    <s v="RANCH 4"/>
    <x v="540"/>
    <x v="1"/>
    <x v="2"/>
    <s v="Invoice"/>
    <s v="100000824"/>
    <x v="357"/>
    <x v="317"/>
    <x v="25"/>
    <x v="0"/>
    <n v="3.75"/>
  </r>
  <r>
    <s v="DPOPPELL"/>
    <s v="04"/>
    <s v="STRAWBERRYR"/>
    <s v="RANCH 4"/>
    <x v="540"/>
    <x v="1"/>
    <x v="2"/>
    <s v="Invoice"/>
    <s v="100000824"/>
    <x v="67"/>
    <x v="60"/>
    <x v="22"/>
    <x v="2"/>
    <n v="10.0275"/>
  </r>
  <r>
    <s v="DPOPPELL"/>
    <s v="04"/>
    <s v="MIDWAYF"/>
    <s v="FRAZIER"/>
    <x v="544"/>
    <x v="1"/>
    <x v="2"/>
    <s v="Invoice"/>
    <s v="100000825"/>
    <x v="67"/>
    <x v="60"/>
    <x v="22"/>
    <x v="2"/>
    <n v="5.0125000000000002"/>
  </r>
  <r>
    <s v="DPOPPELL"/>
    <s v="04"/>
    <s v="CHAVEZJOR"/>
    <s v="JOSE' CHAV- COD"/>
    <x v="540"/>
    <x v="1"/>
    <x v="2"/>
    <s v="Invoice"/>
    <s v="100000826"/>
    <x v="53"/>
    <x v="46"/>
    <x v="22"/>
    <x v="2"/>
    <n v="0.3"/>
  </r>
  <r>
    <s v="DPOPPELL"/>
    <s v="04"/>
    <s v="MIDWAYF"/>
    <s v="SAMALLEN"/>
    <x v="540"/>
    <x v="1"/>
    <x v="2"/>
    <s v="Invoice"/>
    <s v="100000827"/>
    <x v="67"/>
    <x v="60"/>
    <x v="22"/>
    <x v="2"/>
    <n v="2.0125000000000002"/>
  </r>
  <r>
    <s v="DPOPPELL"/>
    <s v="04"/>
    <s v="MIDWAYF"/>
    <s v="NURSERY"/>
    <x v="540"/>
    <x v="1"/>
    <x v="2"/>
    <s v="Invoice"/>
    <s v="100000828"/>
    <x v="67"/>
    <x v="60"/>
    <x v="22"/>
    <x v="2"/>
    <n v="14.515000000000001"/>
  </r>
  <r>
    <s v="DPOPPELL"/>
    <s v="04"/>
    <s v="JGRANCH"/>
    <s v="WISCON RD."/>
    <x v="540"/>
    <x v="1"/>
    <x v="2"/>
    <s v="Invoice"/>
    <s v="100000832"/>
    <x v="28"/>
    <x v="23"/>
    <x v="22"/>
    <x v="2"/>
    <n v="2.4849999999999999"/>
  </r>
  <r>
    <s v="DPOPPELL"/>
    <s v="04"/>
    <s v="FANCYFAR"/>
    <s v="ENGLISH CREEK"/>
    <x v="555"/>
    <x v="1"/>
    <x v="2"/>
    <s v="Invoice"/>
    <s v="100000833"/>
    <x v="50"/>
    <x v="43"/>
    <x v="22"/>
    <x v="2"/>
    <n v="0.51249999999999996"/>
  </r>
  <r>
    <s v="DPOPPELL"/>
    <s v="04"/>
    <s v="MENDOZAHEC"/>
    <s v="OLIVERRD"/>
    <x v="555"/>
    <x v="1"/>
    <x v="2"/>
    <s v="Invoice"/>
    <s v="100000834"/>
    <x v="43"/>
    <x v="38"/>
    <x v="22"/>
    <x v="2"/>
    <n v="2.5024999999999999"/>
  </r>
  <r>
    <s v="DPOPPELL"/>
    <s v="04"/>
    <s v="SANCHEZFARM"/>
    <s v="WACHULA"/>
    <x v="555"/>
    <x v="1"/>
    <x v="2"/>
    <s v="Invoice"/>
    <s v="100000835"/>
    <x v="43"/>
    <x v="38"/>
    <x v="22"/>
    <x v="2"/>
    <n v="11.307499999999999"/>
  </r>
  <r>
    <s v="DPOPPELL"/>
    <s v="04"/>
    <s v="PARKESDA"/>
    <s v="HILL"/>
    <x v="555"/>
    <x v="1"/>
    <x v="2"/>
    <s v="Invoice"/>
    <s v="100000836"/>
    <x v="69"/>
    <x v="62"/>
    <x v="22"/>
    <x v="2"/>
    <n v="10.029999999999999"/>
  </r>
  <r>
    <s v="DPOPPELL"/>
    <s v="04"/>
    <s v="ROQUEFARMS"/>
    <s v="MEEKHORIZON"/>
    <x v="555"/>
    <x v="1"/>
    <x v="2"/>
    <s v="Invoice"/>
    <s v="100000837"/>
    <x v="110"/>
    <x v="97"/>
    <x v="16"/>
    <x v="0"/>
    <n v="250"/>
  </r>
  <r>
    <s v="DPOPPELL"/>
    <s v="04"/>
    <s v="JOEPENA"/>
    <s v="JIMREDMAN"/>
    <x v="555"/>
    <x v="1"/>
    <x v="2"/>
    <s v="Invoice"/>
    <s v="100000838A"/>
    <x v="55"/>
    <x v="48"/>
    <x v="22"/>
    <x v="2"/>
    <n v="1"/>
  </r>
  <r>
    <s v="DPOPPELL"/>
    <s v="04"/>
    <s v="SRISAIAY"/>
    <s v="SYDNEY DOVER"/>
    <x v="555"/>
    <x v="1"/>
    <x v="2"/>
    <s v="Invoice"/>
    <s v="100000839"/>
    <x v="58"/>
    <x v="51"/>
    <x v="22"/>
    <x v="2"/>
    <n v="3.7425000000000002"/>
  </r>
  <r>
    <s v="DPOPPELL"/>
    <s v="04"/>
    <s v="EWSIMMON"/>
    <s v="JERRY SMITH RD"/>
    <x v="555"/>
    <x v="1"/>
    <x v="2"/>
    <s v="Invoice"/>
    <s v="100000840"/>
    <x v="357"/>
    <x v="317"/>
    <x v="25"/>
    <x v="0"/>
    <n v="3.75"/>
  </r>
  <r>
    <s v="DPOPPELL"/>
    <s v="04"/>
    <s v="EWSIMMON"/>
    <s v="JERRY SMITH RD"/>
    <x v="555"/>
    <x v="1"/>
    <x v="2"/>
    <s v="Invoice"/>
    <s v="100000840"/>
    <x v="268"/>
    <x v="236"/>
    <x v="22"/>
    <x v="2"/>
    <n v="9.9849999999999994"/>
  </r>
  <r>
    <s v="DPOPPELL"/>
    <s v="04"/>
    <s v="GAONA, ESPER"/>
    <s v="KEENE"/>
    <x v="555"/>
    <x v="1"/>
    <x v="2"/>
    <s v="Invoice"/>
    <s v="100000841"/>
    <x v="58"/>
    <x v="51"/>
    <x v="22"/>
    <x v="2"/>
    <n v="2.0099999999999998"/>
  </r>
  <r>
    <s v="DPOPPELL"/>
    <s v="04"/>
    <s v="VENTURAFARMS"/>
    <s v="GALLAGHER"/>
    <x v="555"/>
    <x v="1"/>
    <x v="2"/>
    <s v="Invoice"/>
    <s v="100000842"/>
    <x v="63"/>
    <x v="56"/>
    <x v="22"/>
    <x v="2"/>
    <n v="0.5"/>
  </r>
  <r>
    <s v="DPOPPELL"/>
    <s v="04"/>
    <s v="SANCHEZFARM"/>
    <s v="WACHULA"/>
    <x v="541"/>
    <x v="1"/>
    <x v="2"/>
    <s v="Invoice"/>
    <s v="100000845"/>
    <x v="59"/>
    <x v="52"/>
    <x v="22"/>
    <x v="2"/>
    <n v="10.52"/>
  </r>
  <r>
    <s v="DPOPPELL"/>
    <s v="04"/>
    <s v="SYDNEYFA"/>
    <s v="SYDNEY-WASHER"/>
    <x v="541"/>
    <x v="1"/>
    <x v="2"/>
    <s v="Invoice"/>
    <s v="100000846"/>
    <x v="67"/>
    <x v="60"/>
    <x v="22"/>
    <x v="2"/>
    <n v="5"/>
  </r>
  <r>
    <s v="DPOPPELL"/>
    <s v="04"/>
    <s v="SOUTHERNHILL"/>
    <s v="SCHOFIELD"/>
    <x v="541"/>
    <x v="1"/>
    <x v="2"/>
    <s v="Invoice"/>
    <s v="100000849"/>
    <x v="43"/>
    <x v="38"/>
    <x v="22"/>
    <x v="2"/>
    <n v="3.5274999999999999"/>
  </r>
  <r>
    <s v="DPOPPELL"/>
    <s v="04"/>
    <s v="CIRCLEGF&amp;R LLC"/>
    <s v="KNIGHTS-N/SOUTH"/>
    <x v="541"/>
    <x v="1"/>
    <x v="2"/>
    <s v="Invoice"/>
    <s v="100000850"/>
    <x v="67"/>
    <x v="60"/>
    <x v="22"/>
    <x v="2"/>
    <n v="2.5"/>
  </r>
  <r>
    <s v="DPOPPELL"/>
    <s v="04"/>
    <s v="CIRCLEGF&amp;R LLC"/>
    <s v="PUMP4"/>
    <x v="541"/>
    <x v="1"/>
    <x v="2"/>
    <s v="Invoice"/>
    <s v="100000851"/>
    <x v="67"/>
    <x v="60"/>
    <x v="22"/>
    <x v="2"/>
    <n v="15.016999999999999"/>
  </r>
  <r>
    <s v="DPOPPELL"/>
    <s v="04"/>
    <s v="MANUELCH"/>
    <s v="TURKEYCREEK"/>
    <x v="541"/>
    <x v="1"/>
    <x v="2"/>
    <s v="Invoice"/>
    <s v="100000853"/>
    <x v="85"/>
    <x v="213"/>
    <x v="35"/>
    <x v="0"/>
    <n v="50"/>
  </r>
  <r>
    <s v="DPOPPELL"/>
    <s v="04"/>
    <s v="MANUELCH"/>
    <s v="TURKEYCREEK"/>
    <x v="541"/>
    <x v="1"/>
    <x v="2"/>
    <s v="Invoice"/>
    <s v="100000853"/>
    <x v="102"/>
    <x v="71"/>
    <x v="100"/>
    <x v="0"/>
    <n v="250"/>
  </r>
  <r>
    <s v="DPOPPELL"/>
    <s v="04"/>
    <s v="CHARLIEG-LLC"/>
    <s v="DAIRY"/>
    <x v="541"/>
    <x v="1"/>
    <x v="2"/>
    <s v="Invoice"/>
    <s v="100000854"/>
    <x v="67"/>
    <x v="60"/>
    <x v="22"/>
    <x v="2"/>
    <n v="15.016999999999999"/>
  </r>
  <r>
    <s v="DPOPPELL"/>
    <s v="04"/>
    <s v="GUTIERREZDAN"/>
    <s v="GLENHARWELL 133"/>
    <x v="541"/>
    <x v="1"/>
    <x v="2"/>
    <s v="Invoice"/>
    <s v="100000855"/>
    <x v="43"/>
    <x v="38"/>
    <x v="22"/>
    <x v="2"/>
    <n v="8.0050000000000008"/>
  </r>
  <r>
    <s v="DPOPPELL"/>
    <s v="04"/>
    <s v="MIKELOTT"/>
    <s v="HILLSBOROUGH"/>
    <x v="541"/>
    <x v="1"/>
    <x v="2"/>
    <s v="Invoice"/>
    <s v="100000856"/>
    <x v="43"/>
    <x v="38"/>
    <x v="22"/>
    <x v="2"/>
    <n v="5"/>
  </r>
  <r>
    <s v="DPOPPELL"/>
    <s v="04"/>
    <s v="GUTIERREZA"/>
    <s v="WASHINGTON"/>
    <x v="556"/>
    <x v="1"/>
    <x v="2"/>
    <s v="Invoice"/>
    <s v="100000857"/>
    <x v="43"/>
    <x v="38"/>
    <x v="22"/>
    <x v="2"/>
    <n v="4.0025000000000004"/>
  </r>
  <r>
    <s v="DPOPPELL"/>
    <s v="04"/>
    <s v="SPIVEYFA"/>
    <s v="HOPEWELL"/>
    <x v="556"/>
    <x v="1"/>
    <x v="2"/>
    <s v="Invoice"/>
    <s v="100000858"/>
    <x v="56"/>
    <x v="49"/>
    <x v="22"/>
    <x v="2"/>
    <n v="4.0324999999999998"/>
  </r>
  <r>
    <s v="DPOPPELL"/>
    <s v="04"/>
    <s v="SWEETLIFE"/>
    <s v="KNIGHTS GRIFFIN"/>
    <x v="556"/>
    <x v="1"/>
    <x v="2"/>
    <s v="Invoice"/>
    <s v="100000859"/>
    <x v="67"/>
    <x v="60"/>
    <x v="22"/>
    <x v="2"/>
    <n v="15.0175"/>
  </r>
  <r>
    <s v="DPOPPELL"/>
    <s v="04"/>
    <s v="FAVORITE"/>
    <s v="BETHLEHEM ROAD"/>
    <x v="556"/>
    <x v="1"/>
    <x v="2"/>
    <s v="Invoice"/>
    <s v="100000860"/>
    <x v="58"/>
    <x v="51"/>
    <x v="22"/>
    <x v="2"/>
    <n v="15.015000000000001"/>
  </r>
  <r>
    <s v="DPOPPELL"/>
    <s v="04"/>
    <s v="FERRISFA"/>
    <s v="STRABERRIES"/>
    <x v="556"/>
    <x v="1"/>
    <x v="2"/>
    <s v="Invoice"/>
    <s v="100000861"/>
    <x v="72"/>
    <x v="65"/>
    <x v="22"/>
    <x v="2"/>
    <n v="15.015000000000001"/>
  </r>
  <r>
    <s v="DPOPPELL"/>
    <s v="04"/>
    <s v="CENFLO ORGANICS"/>
    <s v="MCINTOSH"/>
    <x v="556"/>
    <x v="1"/>
    <x v="2"/>
    <s v="Invoice"/>
    <s v="100000862"/>
    <x v="69"/>
    <x v="62"/>
    <x v="22"/>
    <x v="2"/>
    <n v="4.01"/>
  </r>
  <r>
    <s v="DPOPPELL"/>
    <s v="04"/>
    <s v="SWEETLIFE"/>
    <s v="SWINDLES"/>
    <x v="556"/>
    <x v="1"/>
    <x v="2"/>
    <s v="Invoice"/>
    <s v="100000863"/>
    <x v="67"/>
    <x v="60"/>
    <x v="22"/>
    <x v="2"/>
    <n v="7.5175000000000001"/>
  </r>
  <r>
    <s v="DPOPPELL"/>
    <s v="04"/>
    <s v="5KFARMS"/>
    <s v="ROEBUCK"/>
    <x v="556"/>
    <x v="1"/>
    <x v="2"/>
    <s v="Invoice"/>
    <s v="100000864"/>
    <x v="43"/>
    <x v="38"/>
    <x v="22"/>
    <x v="2"/>
    <n v="2.5"/>
  </r>
  <r>
    <s v="DPOPPELL"/>
    <s v="04"/>
    <s v="ROQUEFARMS"/>
    <s v="RINGDAHL"/>
    <x v="556"/>
    <x v="1"/>
    <x v="2"/>
    <s v="Invoice"/>
    <s v="100000865"/>
    <x v="43"/>
    <x v="38"/>
    <x v="22"/>
    <x v="2"/>
    <n v="2.5"/>
  </r>
  <r>
    <s v="DPOPPELL"/>
    <s v="04"/>
    <s v="MIDWAYF"/>
    <s v="FUTCH"/>
    <x v="545"/>
    <x v="1"/>
    <x v="2"/>
    <s v="Invoice"/>
    <s v="100000866"/>
    <x v="67"/>
    <x v="60"/>
    <x v="22"/>
    <x v="2"/>
    <n v="10.01"/>
  </r>
  <r>
    <s v="DPOPPELL"/>
    <s v="04"/>
    <s v="DURGAFARMS"/>
    <s v="SOUTHTANK"/>
    <x v="545"/>
    <x v="1"/>
    <x v="2"/>
    <s v="Invoice"/>
    <s v="100000869"/>
    <x v="58"/>
    <x v="51"/>
    <x v="22"/>
    <x v="2"/>
    <n v="10.0075"/>
  </r>
  <r>
    <s v="DPOPPELL"/>
    <s v="04"/>
    <s v="SRISAIAY"/>
    <s v="PASTURE"/>
    <x v="545"/>
    <x v="1"/>
    <x v="2"/>
    <s v="Invoice"/>
    <s v="100000870"/>
    <x v="58"/>
    <x v="51"/>
    <x v="22"/>
    <x v="2"/>
    <n v="5.0250000000000004"/>
  </r>
  <r>
    <s v="DPOPPELL"/>
    <s v="04"/>
    <s v="GUTIERREZA"/>
    <s v="TOMGALLAGHER"/>
    <x v="545"/>
    <x v="1"/>
    <x v="2"/>
    <s v="Invoice"/>
    <s v="100000871"/>
    <x v="69"/>
    <x v="62"/>
    <x v="22"/>
    <x v="2"/>
    <n v="2.04"/>
  </r>
  <r>
    <s v="DPOPPELL"/>
    <s v="04"/>
    <s v="THREESTA"/>
    <s v="WALDEN-SHEFFIEL"/>
    <x v="545"/>
    <x v="1"/>
    <x v="2"/>
    <s v="Invoice"/>
    <s v="100000872"/>
    <x v="357"/>
    <x v="317"/>
    <x v="25"/>
    <x v="0"/>
    <n v="3.75"/>
  </r>
  <r>
    <s v="DPOPPELL"/>
    <s v="04"/>
    <s v="THREESTA"/>
    <s v="WALDEN-SHEFFIEL"/>
    <x v="545"/>
    <x v="1"/>
    <x v="2"/>
    <s v="Invoice"/>
    <s v="100000872"/>
    <x v="67"/>
    <x v="60"/>
    <x v="22"/>
    <x v="2"/>
    <n v="10.01"/>
  </r>
  <r>
    <s v="DPOPPELL"/>
    <s v="04"/>
    <s v="FCFARMS"/>
    <s v="GALLAGHER"/>
    <x v="545"/>
    <x v="1"/>
    <x v="2"/>
    <s v="Invoice"/>
    <s v="100000873"/>
    <x v="69"/>
    <x v="62"/>
    <x v="22"/>
    <x v="2"/>
    <n v="2.4950000000000001"/>
  </r>
  <r>
    <s v="DPOPPELL"/>
    <s v="04"/>
    <s v="STEVEMAT"/>
    <s v="DRAWDY"/>
    <x v="545"/>
    <x v="1"/>
    <x v="2"/>
    <s v="Invoice"/>
    <s v="100000875"/>
    <x v="346"/>
    <x v="59"/>
    <x v="32"/>
    <x v="0"/>
    <n v="250"/>
  </r>
  <r>
    <s v="DPOPPELL"/>
    <s v="04"/>
    <s v="RAILROADCITY"/>
    <s v="MOTTRD"/>
    <x v="545"/>
    <x v="1"/>
    <x v="2"/>
    <s v="Invoice"/>
    <s v="100000876"/>
    <x v="43"/>
    <x v="38"/>
    <x v="22"/>
    <x v="2"/>
    <n v="1.25"/>
  </r>
  <r>
    <s v="DPOPPELL"/>
    <s v="04"/>
    <s v="CHARLIEG-LLC"/>
    <s v="LAMPP ROAD"/>
    <x v="545"/>
    <x v="1"/>
    <x v="2"/>
    <s v="Invoice"/>
    <s v="100000877"/>
    <x v="67"/>
    <x v="60"/>
    <x v="22"/>
    <x v="2"/>
    <n v="5.0199999999999996"/>
  </r>
  <r>
    <s v="DPOPPELL"/>
    <s v="04"/>
    <s v="SWEETLIFE"/>
    <s v="SAMALLEN-SOUTH"/>
    <x v="545"/>
    <x v="1"/>
    <x v="2"/>
    <s v="Invoice"/>
    <s v="100000878"/>
    <x v="67"/>
    <x v="60"/>
    <x v="22"/>
    <x v="2"/>
    <n v="10.005000000000001"/>
  </r>
  <r>
    <s v="DPOPPELL"/>
    <s v="04"/>
    <s v="LEE GILLM"/>
    <s v="THONOTOSASSA"/>
    <x v="545"/>
    <x v="1"/>
    <x v="2"/>
    <s v="Invoice"/>
    <s v="100000879"/>
    <x v="63"/>
    <x v="56"/>
    <x v="22"/>
    <x v="2"/>
    <n v="5.0149999999999997"/>
  </r>
  <r>
    <s v="DPOPPELL"/>
    <s v="04"/>
    <s v="MIDWAYF"/>
    <s v="ALS - NORTH"/>
    <x v="545"/>
    <x v="1"/>
    <x v="2"/>
    <s v="Invoice"/>
    <s v="100000880"/>
    <x v="67"/>
    <x v="60"/>
    <x v="22"/>
    <x v="2"/>
    <n v="2.4975000000000001"/>
  </r>
  <r>
    <s v="DPOPPELL"/>
    <s v="04"/>
    <s v="FANCYFAR"/>
    <s v="CASON1"/>
    <x v="546"/>
    <x v="1"/>
    <x v="2"/>
    <s v="Invoice"/>
    <s v="100000883"/>
    <x v="50"/>
    <x v="43"/>
    <x v="22"/>
    <x v="2"/>
    <n v="15.0175"/>
  </r>
  <r>
    <s v="DPOPPELL"/>
    <s v="04"/>
    <s v="5KFARMS"/>
    <s v="ROEBUCK"/>
    <x v="546"/>
    <x v="1"/>
    <x v="2"/>
    <s v="Invoice"/>
    <s v="100000886"/>
    <x v="69"/>
    <x v="62"/>
    <x v="22"/>
    <x v="2"/>
    <n v="1.25"/>
  </r>
  <r>
    <s v="DPOPPELL"/>
    <s v="04"/>
    <s v="FRANKLIN"/>
    <s v="MCGEE RD. SOUTH"/>
    <x v="546"/>
    <x v="1"/>
    <x v="2"/>
    <s v="Invoice"/>
    <s v="100000887"/>
    <x v="28"/>
    <x v="23"/>
    <x v="22"/>
    <x v="2"/>
    <n v="8.0050000000000008"/>
  </r>
  <r>
    <s v="DPOPPELL"/>
    <s v="04"/>
    <s v="FCFARMS"/>
    <s v="KNIGHTSGRIFFIN"/>
    <x v="546"/>
    <x v="1"/>
    <x v="2"/>
    <s v="Invoice"/>
    <s v="100000888"/>
    <x v="50"/>
    <x v="43"/>
    <x v="22"/>
    <x v="2"/>
    <n v="2.5"/>
  </r>
  <r>
    <s v="DPOPPELL"/>
    <s v="04"/>
    <s v="BEAUCHAMP"/>
    <s v="GALLAGHER"/>
    <x v="546"/>
    <x v="1"/>
    <x v="2"/>
    <s v="Invoice"/>
    <s v="100000891"/>
    <x v="50"/>
    <x v="43"/>
    <x v="22"/>
    <x v="2"/>
    <n v="9.5175000000000001"/>
  </r>
  <r>
    <s v="DPOPPELL"/>
    <s v="04"/>
    <s v="IFASGULF"/>
    <s v="BALM-STRAWBERRY"/>
    <x v="546"/>
    <x v="1"/>
    <x v="2"/>
    <s v="Invoice"/>
    <s v="100000892"/>
    <x v="28"/>
    <x v="23"/>
    <x v="22"/>
    <x v="2"/>
    <n v="7.5"/>
  </r>
  <r>
    <s v="DPOPPELL"/>
    <s v="04"/>
    <s v="GILLMANBUDD"/>
    <s v="FORBES"/>
    <x v="546"/>
    <x v="1"/>
    <x v="2"/>
    <s v="Invoice"/>
    <s v="100000893"/>
    <x v="63"/>
    <x v="56"/>
    <x v="22"/>
    <x v="2"/>
    <n v="4.9924999999999997"/>
  </r>
  <r>
    <s v="DPOPPELL"/>
    <s v="04"/>
    <s v="FCFARMS"/>
    <s v="KNIGHTSGRIFFIN"/>
    <x v="546"/>
    <x v="1"/>
    <x v="2"/>
    <s v="Invoice"/>
    <s v="100000894"/>
    <x v="40"/>
    <x v="35"/>
    <x v="29"/>
    <x v="0"/>
    <n v="25"/>
  </r>
  <r>
    <s v="DPOPPELL"/>
    <s v="04"/>
    <s v="JOSEHERN"/>
    <s v="DURANT"/>
    <x v="546"/>
    <x v="1"/>
    <x v="2"/>
    <s v="Invoice"/>
    <s v="100000896"/>
    <x v="55"/>
    <x v="48"/>
    <x v="22"/>
    <x v="2"/>
    <n v="8.01"/>
  </r>
  <r>
    <s v="DPOPPELL"/>
    <s v="04"/>
    <s v="CJABBOTT"/>
    <s v="JOHNGILL"/>
    <x v="547"/>
    <x v="1"/>
    <x v="2"/>
    <s v="Invoice"/>
    <s v="100000898"/>
    <x v="43"/>
    <x v="38"/>
    <x v="22"/>
    <x v="2"/>
    <n v="5.0049999999999999"/>
  </r>
  <r>
    <s v="DPOPPELL"/>
    <s v="04"/>
    <s v="FORTGREENFARMS"/>
    <s v="FTGREEN"/>
    <x v="547"/>
    <x v="1"/>
    <x v="2"/>
    <s v="Invoice"/>
    <s v="100000899"/>
    <x v="43"/>
    <x v="38"/>
    <x v="22"/>
    <x v="2"/>
    <n v="10.0175"/>
  </r>
  <r>
    <s v="DPOPPELL"/>
    <s v="04"/>
    <s v="FLORIDAAG"/>
    <s v="KINGSWAY"/>
    <x v="547"/>
    <x v="1"/>
    <x v="2"/>
    <s v="Invoice"/>
    <s v="100000900"/>
    <x v="326"/>
    <x v="289"/>
    <x v="22"/>
    <x v="2"/>
    <n v="2.2599999999999998"/>
  </r>
  <r>
    <s v="DPOPPELL"/>
    <s v="04"/>
    <s v="GUTIERREZA"/>
    <s v="JOE KING RD"/>
    <x v="547"/>
    <x v="1"/>
    <x v="2"/>
    <s v="Invoice"/>
    <s v="100000901"/>
    <x v="43"/>
    <x v="38"/>
    <x v="22"/>
    <x v="2"/>
    <n v="3.7725"/>
  </r>
  <r>
    <s v="DPOPPELL"/>
    <s v="04"/>
    <s v="JOSEHERN"/>
    <s v="SPARKMAN"/>
    <x v="547"/>
    <x v="1"/>
    <x v="2"/>
    <s v="Invoice"/>
    <s v="100000902"/>
    <x v="58"/>
    <x v="51"/>
    <x v="22"/>
    <x v="2"/>
    <n v="10.032500000000001"/>
  </r>
  <r>
    <s v="DPOPPELL"/>
    <s v="04"/>
    <s v="MIDWAYF"/>
    <s v="NURSERY"/>
    <x v="547"/>
    <x v="1"/>
    <x v="2"/>
    <s v="Invoice"/>
    <s v="100000903"/>
    <x v="67"/>
    <x v="60"/>
    <x v="22"/>
    <x v="2"/>
    <n v="9.5075000000000003"/>
  </r>
  <r>
    <s v="DPOPPELL"/>
    <s v="04"/>
    <s v="TOMLIN"/>
    <s v="AG DEPT."/>
    <x v="547"/>
    <x v="1"/>
    <x v="2"/>
    <s v="Invoice"/>
    <s v="100000904"/>
    <x v="28"/>
    <x v="23"/>
    <x v="22"/>
    <x v="2"/>
    <n v="1.2524999999999999"/>
  </r>
  <r>
    <s v="DPOPPELL"/>
    <s v="04"/>
    <s v="SWEETLIFE"/>
    <s v="KNIGHTS GRIFFIN"/>
    <x v="547"/>
    <x v="1"/>
    <x v="2"/>
    <s v="Invoice"/>
    <s v="100000905"/>
    <x v="67"/>
    <x v="60"/>
    <x v="22"/>
    <x v="2"/>
    <n v="15.03"/>
  </r>
  <r>
    <s v="DPOPPELL"/>
    <s v="04"/>
    <s v="SWEETLIFE"/>
    <s v="SWINDLEN"/>
    <x v="548"/>
    <x v="1"/>
    <x v="2"/>
    <s v="Invoice"/>
    <s v="100000906"/>
    <x v="67"/>
    <x v="60"/>
    <x v="22"/>
    <x v="2"/>
    <n v="12.515000000000001"/>
  </r>
  <r>
    <s v="DPOPPELL"/>
    <s v="04"/>
    <s v="JOHNPOPP"/>
    <s v="CAMERON"/>
    <x v="548"/>
    <x v="1"/>
    <x v="2"/>
    <s v="Invoice"/>
    <s v="100000907"/>
    <x v="505"/>
    <x v="440"/>
    <x v="120"/>
    <x v="0"/>
    <n v="3000"/>
  </r>
  <r>
    <s v="DPOPPELL"/>
    <s v="04"/>
    <s v="CHARLIEG-LLC"/>
    <s v="ALBRITTON"/>
    <x v="548"/>
    <x v="1"/>
    <x v="2"/>
    <s v="Invoice"/>
    <s v="100000908"/>
    <x v="67"/>
    <x v="60"/>
    <x v="22"/>
    <x v="2"/>
    <n v="2.5049999999999999"/>
  </r>
  <r>
    <s v="DPOPPELL"/>
    <s v="04"/>
    <s v="DURGAFARMS"/>
    <s v="SYDNEYDOVER"/>
    <x v="548"/>
    <x v="1"/>
    <x v="2"/>
    <s v="Invoice"/>
    <s v="100000909"/>
    <x v="58"/>
    <x v="51"/>
    <x v="22"/>
    <x v="2"/>
    <n v="4.9950000000000001"/>
  </r>
  <r>
    <s v="DPOPPELL"/>
    <s v="04"/>
    <s v="SWEETLIFE"/>
    <s v="FOSTER DUKES N"/>
    <x v="548"/>
    <x v="1"/>
    <x v="2"/>
    <s v="Invoice"/>
    <s v="100000910"/>
    <x v="67"/>
    <x v="60"/>
    <x v="22"/>
    <x v="2"/>
    <n v="9.9949999999999992"/>
  </r>
  <r>
    <s v="DPOPPELL"/>
    <s v="04"/>
    <s v="FIDELCAS"/>
    <s v="GALLAGHER RD."/>
    <x v="548"/>
    <x v="1"/>
    <x v="2"/>
    <s v="Invoice"/>
    <s v="100000912"/>
    <x v="109"/>
    <x v="80"/>
    <x v="2"/>
    <x v="0"/>
    <n v="750"/>
  </r>
  <r>
    <s v="DPOPPELL"/>
    <s v="04"/>
    <s v="MENDOZAHEC"/>
    <s v="JAUDON RD"/>
    <x v="548"/>
    <x v="1"/>
    <x v="2"/>
    <s v="Invoice"/>
    <s v="100000913"/>
    <x v="43"/>
    <x v="38"/>
    <x v="22"/>
    <x v="2"/>
    <n v="8.5050000000000008"/>
  </r>
  <r>
    <s v="DPOPPELL"/>
    <s v="04"/>
    <s v="CENFLO ORGANICS"/>
    <s v="HWY92"/>
    <x v="548"/>
    <x v="1"/>
    <x v="2"/>
    <s v="Invoice"/>
    <s v="100000914"/>
    <x v="69"/>
    <x v="62"/>
    <x v="22"/>
    <x v="2"/>
    <n v="2.4975000000000001"/>
  </r>
  <r>
    <s v="DPOPPELL"/>
    <s v="04"/>
    <s v="ELIASCEDILLO"/>
    <s v="TRAPNELL"/>
    <x v="548"/>
    <x v="1"/>
    <x v="2"/>
    <s v="Invoice"/>
    <s v="100000919"/>
    <x v="43"/>
    <x v="38"/>
    <x v="22"/>
    <x v="2"/>
    <n v="4"/>
  </r>
  <r>
    <s v="DPOPPELL"/>
    <s v="04"/>
    <s v="SPIVEYFA"/>
    <s v="HOPEWELL"/>
    <x v="548"/>
    <x v="1"/>
    <x v="2"/>
    <s v="Invoice"/>
    <s v="100000920"/>
    <x v="56"/>
    <x v="49"/>
    <x v="22"/>
    <x v="2"/>
    <n v="3.4975000000000001"/>
  </r>
  <r>
    <s v="DPOPPELL"/>
    <s v="04"/>
    <s v="MIDWAYF"/>
    <s v="ALS - NORTH"/>
    <x v="548"/>
    <x v="1"/>
    <x v="2"/>
    <s v="Invoice"/>
    <s v="100000921"/>
    <x v="67"/>
    <x v="60"/>
    <x v="22"/>
    <x v="2"/>
    <n v="8.5175000000000001"/>
  </r>
  <r>
    <s v="DPOPPELL"/>
    <s v="04"/>
    <s v="GUTIERREZA"/>
    <s v="DUETTE"/>
    <x v="549"/>
    <x v="1"/>
    <x v="2"/>
    <s v="Invoice"/>
    <s v="100000924"/>
    <x v="43"/>
    <x v="38"/>
    <x v="22"/>
    <x v="2"/>
    <n v="10.01"/>
  </r>
  <r>
    <s v="DPOPPELL"/>
    <s v="04"/>
    <s v="ALONSOFARMS"/>
    <s v="WIMAUMA"/>
    <x v="549"/>
    <x v="1"/>
    <x v="2"/>
    <s v="Invoice"/>
    <s v="100000925"/>
    <x v="58"/>
    <x v="51"/>
    <x v="22"/>
    <x v="2"/>
    <n v="5.01"/>
  </r>
  <r>
    <s v="DPOPPELL"/>
    <s v="04"/>
    <s v="CHAVEZJOR"/>
    <s v="JOSE' CHAV- COD"/>
    <x v="549"/>
    <x v="1"/>
    <x v="2"/>
    <s v="Invoice"/>
    <s v="100000928"/>
    <x v="53"/>
    <x v="46"/>
    <x v="22"/>
    <x v="2"/>
    <n v="0.3"/>
  </r>
  <r>
    <s v="DPOPPELL"/>
    <s v="04"/>
    <s v="ROQUEFARMS"/>
    <s v="RINGDAHL"/>
    <x v="549"/>
    <x v="1"/>
    <x v="2"/>
    <s v="Invoice"/>
    <s v="100000930"/>
    <x v="43"/>
    <x v="38"/>
    <x v="22"/>
    <x v="2"/>
    <n v="2.5"/>
  </r>
  <r>
    <s v="DPOPPELL"/>
    <s v="04"/>
    <s v="CHARLIEG-LLC"/>
    <s v="DAIRY"/>
    <x v="549"/>
    <x v="1"/>
    <x v="2"/>
    <s v="Invoice"/>
    <s v="100000931"/>
    <x v="67"/>
    <x v="60"/>
    <x v="22"/>
    <x v="2"/>
    <n v="15.012499999999999"/>
  </r>
  <r>
    <s v="DPOPPELL"/>
    <s v="04"/>
    <s v="LAWSONFA"/>
    <s v="MAILING"/>
    <x v="549"/>
    <x v="1"/>
    <x v="2"/>
    <s v="Invoice"/>
    <s v="100000933"/>
    <x v="108"/>
    <x v="59"/>
    <x v="32"/>
    <x v="0"/>
    <n v="2.5"/>
  </r>
  <r>
    <s v="DPOPPELL"/>
    <s v="04"/>
    <s v="CHARLIEG-LLC"/>
    <s v="LAMPP ROAD"/>
    <x v="549"/>
    <x v="1"/>
    <x v="2"/>
    <s v="Invoice"/>
    <s v="100000934"/>
    <x v="67"/>
    <x v="60"/>
    <x v="22"/>
    <x v="2"/>
    <n v="10.012499999999999"/>
  </r>
  <r>
    <s v="DPOPPELL"/>
    <s v="04"/>
    <s v="SWEETFARMS"/>
    <s v="SPRINGHEAD"/>
    <x v="549"/>
    <x v="1"/>
    <x v="2"/>
    <s v="Invoice"/>
    <s v="100000935"/>
    <x v="58"/>
    <x v="51"/>
    <x v="22"/>
    <x v="2"/>
    <n v="1.51"/>
  </r>
  <r>
    <s v="DPOPPELL"/>
    <s v="04"/>
    <s v="JOEPENA"/>
    <s v="HWY 92"/>
    <x v="542"/>
    <x v="1"/>
    <x v="2"/>
    <s v="Invoice"/>
    <s v="100000936"/>
    <x v="114"/>
    <x v="101"/>
    <x v="22"/>
    <x v="2"/>
    <n v="1"/>
  </r>
  <r>
    <s v="DPOPPELL"/>
    <s v="04"/>
    <s v="ROQUEFARMS"/>
    <s v="SWEETWATER"/>
    <x v="542"/>
    <x v="1"/>
    <x v="2"/>
    <s v="Invoice"/>
    <s v="100000937"/>
    <x v="43"/>
    <x v="38"/>
    <x v="22"/>
    <x v="2"/>
    <n v="15"/>
  </r>
  <r>
    <s v="DPOPPELL"/>
    <s v="04"/>
    <s v="LAWSONFA"/>
    <s v="CARUTHERS RD."/>
    <x v="542"/>
    <x v="1"/>
    <x v="2"/>
    <s v="Invoice"/>
    <s v="100000939"/>
    <x v="58"/>
    <x v="51"/>
    <x v="22"/>
    <x v="2"/>
    <n v="0.995"/>
  </r>
  <r>
    <s v="DPOPPELL"/>
    <s v="04"/>
    <s v="SYDNEYFA"/>
    <s v="FORBES ROAD"/>
    <x v="542"/>
    <x v="1"/>
    <x v="2"/>
    <s v="Invoice"/>
    <s v="100000940"/>
    <x v="67"/>
    <x v="60"/>
    <x v="22"/>
    <x v="2"/>
    <n v="5.0049999999999999"/>
  </r>
  <r>
    <s v="DPOPPELL"/>
    <s v="04"/>
    <s v="MENDOZAHEC"/>
    <s v="HWY60"/>
    <x v="542"/>
    <x v="1"/>
    <x v="2"/>
    <s v="Invoice"/>
    <s v="100000941"/>
    <x v="43"/>
    <x v="38"/>
    <x v="22"/>
    <x v="2"/>
    <n v="9.52"/>
  </r>
  <r>
    <s v="DPOPPELL"/>
    <s v="04"/>
    <s v="MIDWAYF"/>
    <s v="WILDER RD."/>
    <x v="542"/>
    <x v="1"/>
    <x v="2"/>
    <s v="Invoice"/>
    <s v="100000944"/>
    <x v="67"/>
    <x v="60"/>
    <x v="22"/>
    <x v="2"/>
    <n v="2.0099999999999998"/>
  </r>
  <r>
    <s v="DPOPPELL"/>
    <s v="04"/>
    <s v="SWEETLIFE"/>
    <s v="SAMALLEN-NORTH"/>
    <x v="542"/>
    <x v="1"/>
    <x v="2"/>
    <s v="Invoice"/>
    <s v="100000945"/>
    <x v="67"/>
    <x v="60"/>
    <x v="22"/>
    <x v="2"/>
    <n v="4.9974999999999996"/>
  </r>
  <r>
    <s v="DPOPPELL"/>
    <s v="04"/>
    <s v="SWEETLIFE"/>
    <s v="MCGEE RD."/>
    <x v="542"/>
    <x v="1"/>
    <x v="2"/>
    <s v="Invoice"/>
    <s v="100000946"/>
    <x v="67"/>
    <x v="60"/>
    <x v="22"/>
    <x v="2"/>
    <n v="8.7575000000000003"/>
  </r>
  <r>
    <s v="DPOPPELL"/>
    <s v="04"/>
    <s v="STRAWBERRYR"/>
    <s v="RANCH 4"/>
    <x v="542"/>
    <x v="1"/>
    <x v="2"/>
    <s v="Invoice"/>
    <s v="100000948"/>
    <x v="357"/>
    <x v="317"/>
    <x v="25"/>
    <x v="0"/>
    <n v="5.625"/>
  </r>
  <r>
    <s v="DPOPPELL"/>
    <s v="04"/>
    <s v="STRAWBERRYR"/>
    <s v="RANCH 4"/>
    <x v="542"/>
    <x v="1"/>
    <x v="2"/>
    <s v="Invoice"/>
    <s v="100000948"/>
    <x v="67"/>
    <x v="60"/>
    <x v="22"/>
    <x v="2"/>
    <n v="15.05"/>
  </r>
  <r>
    <s v=""/>
    <s v="04"/>
    <s v="CHANDLERCR"/>
    <s v="HOLLOWAY RD"/>
    <x v="542"/>
    <x v="1"/>
    <x v="2"/>
    <s v="Invoice"/>
    <s v="100000949"/>
    <x v="505"/>
    <x v="440"/>
    <x v="120"/>
    <x v="0"/>
    <n v="3000"/>
  </r>
  <r>
    <s v="DPOPPELL"/>
    <s v="04"/>
    <s v="PARKESDA"/>
    <s v="HILL"/>
    <x v="542"/>
    <x v="1"/>
    <x v="2"/>
    <s v="Invoice"/>
    <s v="100000951"/>
    <x v="69"/>
    <x v="62"/>
    <x v="22"/>
    <x v="2"/>
    <n v="10.02"/>
  </r>
  <r>
    <s v="DPOPPELL"/>
    <s v="04"/>
    <s v="GUTIERREZDAN"/>
    <s v="AL SIMMONS"/>
    <x v="542"/>
    <x v="1"/>
    <x v="2"/>
    <s v="Invoice"/>
    <s v="100000952"/>
    <x v="58"/>
    <x v="51"/>
    <x v="22"/>
    <x v="2"/>
    <n v="8.5250000000000004"/>
  </r>
  <r>
    <s v="DPOPPELL"/>
    <s v="04"/>
    <s v="MIDWAYF"/>
    <s v="FORBES"/>
    <x v="542"/>
    <x v="1"/>
    <x v="2"/>
    <s v="Invoice"/>
    <s v="100000953"/>
    <x v="67"/>
    <x v="60"/>
    <x v="22"/>
    <x v="2"/>
    <n v="9.0050000000000008"/>
  </r>
  <r>
    <s v="DPOPPELL"/>
    <s v="04"/>
    <s v="LEE GILLM"/>
    <s v="COW PENS/WEST"/>
    <x v="542"/>
    <x v="1"/>
    <x v="2"/>
    <s v="Invoice"/>
    <s v="100000954"/>
    <x v="63"/>
    <x v="56"/>
    <x v="22"/>
    <x v="2"/>
    <n v="3.5"/>
  </r>
  <r>
    <s v="DPOPPELL"/>
    <s v="04"/>
    <s v="MIDWAYF"/>
    <s v="SAMALLEN"/>
    <x v="543"/>
    <x v="1"/>
    <x v="2"/>
    <s v="Invoice"/>
    <s v="100000956"/>
    <x v="67"/>
    <x v="60"/>
    <x v="22"/>
    <x v="2"/>
    <n v="9.5150000000000006"/>
  </r>
  <r>
    <s v="DPOPPELL"/>
    <s v="04"/>
    <s v="GAONA, ESPER"/>
    <s v="STRAUSS RD."/>
    <x v="543"/>
    <x v="1"/>
    <x v="2"/>
    <s v="Invoice"/>
    <s v="100000957"/>
    <x v="58"/>
    <x v="51"/>
    <x v="22"/>
    <x v="2"/>
    <n v="4.7549999999999999"/>
  </r>
  <r>
    <s v="DPOPPELL"/>
    <s v="04"/>
    <s v="LEE GILLM"/>
    <s v="THONOTOSASSA"/>
    <x v="543"/>
    <x v="1"/>
    <x v="2"/>
    <s v="Invoice"/>
    <s v="100000959"/>
    <x v="63"/>
    <x v="56"/>
    <x v="22"/>
    <x v="2"/>
    <n v="5.0075000000000003"/>
  </r>
  <r>
    <s v="DPOPPELL"/>
    <s v="04"/>
    <s v="PARKESDA"/>
    <s v="BILOXI"/>
    <x v="543"/>
    <x v="1"/>
    <x v="2"/>
    <s v="Invoice"/>
    <s v="100000960"/>
    <x v="69"/>
    <x v="62"/>
    <x v="22"/>
    <x v="2"/>
    <n v="10.0075"/>
  </r>
  <r>
    <s v="DPOPPELL"/>
    <s v="04"/>
    <s v="ALVAREZJ"/>
    <s v="ROGERS"/>
    <x v="543"/>
    <x v="1"/>
    <x v="2"/>
    <s v="Invoice"/>
    <s v="100000961"/>
    <x v="43"/>
    <x v="38"/>
    <x v="22"/>
    <x v="2"/>
    <n v="4"/>
  </r>
  <r>
    <s v=""/>
    <s v="04"/>
    <s v="PORTER HA"/>
    <s v="PASTURE"/>
    <x v="543"/>
    <x v="1"/>
    <x v="2"/>
    <s v="Invoice"/>
    <s v="100000962"/>
    <x v="58"/>
    <x v="51"/>
    <x v="22"/>
    <x v="2"/>
    <n v="5.0125000000000002"/>
  </r>
  <r>
    <s v="DPOPPELL"/>
    <s v="04"/>
    <s v="STRAWBERRYR"/>
    <s v="RANCH 2"/>
    <x v="543"/>
    <x v="1"/>
    <x v="2"/>
    <s v="Invoice"/>
    <s v="100000964"/>
    <x v="357"/>
    <x v="317"/>
    <x v="25"/>
    <x v="0"/>
    <n v="5.625"/>
  </r>
  <r>
    <s v="DPOPPELL"/>
    <s v="04"/>
    <s v="STRAWBERRYR"/>
    <s v="RANCH 2"/>
    <x v="543"/>
    <x v="1"/>
    <x v="2"/>
    <s v="Invoice"/>
    <s v="100000964"/>
    <x v="67"/>
    <x v="60"/>
    <x v="22"/>
    <x v="2"/>
    <n v="5.0049999999999999"/>
  </r>
  <r>
    <s v="DPOPPELL"/>
    <s v="04"/>
    <s v="SRISAIAY"/>
    <s v="SYDNEY DOVER"/>
    <x v="543"/>
    <x v="1"/>
    <x v="2"/>
    <s v="Invoice"/>
    <s v="100000966"/>
    <x v="58"/>
    <x v="51"/>
    <x v="22"/>
    <x v="2"/>
    <n v="5.0125000000000002"/>
  </r>
  <r>
    <s v="DPOPPELL"/>
    <s v="04"/>
    <s v="MIKELOTT"/>
    <s v="HILLSBOROUGH"/>
    <x v="550"/>
    <x v="1"/>
    <x v="2"/>
    <s v="Invoice"/>
    <s v="100000969"/>
    <x v="43"/>
    <x v="38"/>
    <x v="22"/>
    <x v="2"/>
    <n v="5.01"/>
  </r>
  <r>
    <s v="DPOPPELL"/>
    <s v="04"/>
    <s v="MIKELOTT"/>
    <s v="HILLSBOROUGH"/>
    <x v="550"/>
    <x v="1"/>
    <x v="2"/>
    <s v="Invoice"/>
    <s v="100000970"/>
    <x v="43"/>
    <x v="38"/>
    <x v="22"/>
    <x v="2"/>
    <n v="5.0125000000000002"/>
  </r>
  <r>
    <s v="DPOPPELL"/>
    <s v="04"/>
    <s v="SYDNEYFA"/>
    <s v="FORBES/NORTH"/>
    <x v="550"/>
    <x v="1"/>
    <x v="2"/>
    <s v="Invoice"/>
    <s v="100000971"/>
    <x v="67"/>
    <x v="60"/>
    <x v="22"/>
    <x v="2"/>
    <n v="5.4249999999999998"/>
  </r>
  <r>
    <s v="DPOPPELL"/>
    <s v="04"/>
    <s v="SYDNEYFA"/>
    <s v="SYDNEY-WASHER"/>
    <x v="550"/>
    <x v="1"/>
    <x v="2"/>
    <s v="Invoice"/>
    <s v="100000972"/>
    <x v="67"/>
    <x v="60"/>
    <x v="22"/>
    <x v="2"/>
    <n v="5.0049999999999999"/>
  </r>
  <r>
    <s v="DPOPPELL"/>
    <s v="04"/>
    <s v="IFASGULF"/>
    <s v="BALM-STRAWBERRY"/>
    <x v="550"/>
    <x v="1"/>
    <x v="2"/>
    <s v="Invoice"/>
    <s v="100000973"/>
    <x v="28"/>
    <x v="23"/>
    <x v="22"/>
    <x v="2"/>
    <n v="7.49"/>
  </r>
  <r>
    <s v="DPOPPELL"/>
    <s v="04"/>
    <s v="FLORIDAAG"/>
    <s v="DOVER"/>
    <x v="550"/>
    <x v="1"/>
    <x v="2"/>
    <s v="Invoice"/>
    <s v="100000974"/>
    <x v="52"/>
    <x v="45"/>
    <x v="22"/>
    <x v="2"/>
    <n v="2.5"/>
  </r>
  <r>
    <s v="DPOPPELL"/>
    <s v="04"/>
    <s v="CIRCLEGF&amp;R LLC"/>
    <s v="KNIGHTS-NE #14"/>
    <x v="550"/>
    <x v="1"/>
    <x v="2"/>
    <s v="Invoice"/>
    <s v="100000976"/>
    <x v="67"/>
    <x v="60"/>
    <x v="22"/>
    <x v="2"/>
    <n v="11"/>
  </r>
  <r>
    <s v="DPOPPELL"/>
    <s v="04"/>
    <s v="THREESTA"/>
    <s v="WALDEN-SHEFFIEL"/>
    <x v="550"/>
    <x v="1"/>
    <x v="2"/>
    <s v="Invoice"/>
    <s v="100000978"/>
    <x v="357"/>
    <x v="317"/>
    <x v="25"/>
    <x v="0"/>
    <n v="3.75"/>
  </r>
  <r>
    <s v="DPOPPELL"/>
    <s v="04"/>
    <s v="THREESTA"/>
    <s v="WALDEN-SHEFFIEL"/>
    <x v="550"/>
    <x v="1"/>
    <x v="2"/>
    <s v="Invoice"/>
    <s v="100000978"/>
    <x v="67"/>
    <x v="60"/>
    <x v="22"/>
    <x v="2"/>
    <n v="10"/>
  </r>
  <r>
    <s v="DPOPPELL"/>
    <s v="04"/>
    <s v="MIDWAYF"/>
    <s v="FUTCH"/>
    <x v="550"/>
    <x v="1"/>
    <x v="2"/>
    <s v="Invoice"/>
    <s v="100000979"/>
    <x v="67"/>
    <x v="60"/>
    <x v="22"/>
    <x v="2"/>
    <n v="10.0075"/>
  </r>
  <r>
    <s v="DPOPPELL"/>
    <s v="04"/>
    <s v="CEDILLO"/>
    <s v="CARUTHERS"/>
    <x v="550"/>
    <x v="1"/>
    <x v="2"/>
    <s v="Invoice"/>
    <s v="100000980"/>
    <x v="43"/>
    <x v="38"/>
    <x v="22"/>
    <x v="2"/>
    <n v="2.5"/>
  </r>
  <r>
    <s v="DPOPPELL"/>
    <s v="04"/>
    <s v="CIRCLEGF&amp;R LLC"/>
    <s v="KNIGHTS-N-#16"/>
    <x v="550"/>
    <x v="1"/>
    <x v="2"/>
    <s v="Invoice"/>
    <s v="100000982"/>
    <x v="67"/>
    <x v="60"/>
    <x v="22"/>
    <x v="2"/>
    <n v="15.035"/>
  </r>
  <r>
    <s v="DPOPPELL"/>
    <s v="04"/>
    <s v="SRISAIAY"/>
    <s v="PASTURE"/>
    <x v="551"/>
    <x v="1"/>
    <x v="2"/>
    <s v="Invoice"/>
    <s v="100000986"/>
    <x v="58"/>
    <x v="51"/>
    <x v="22"/>
    <x v="2"/>
    <n v="5"/>
  </r>
  <r>
    <s v="DPOPPELL"/>
    <s v="04"/>
    <s v="CIRCLEGF&amp;R LLC"/>
    <s v="KNIGHTS-N/SOUTH"/>
    <x v="551"/>
    <x v="1"/>
    <x v="2"/>
    <s v="Invoice"/>
    <s v="100000987"/>
    <x v="67"/>
    <x v="60"/>
    <x v="22"/>
    <x v="2"/>
    <n v="9.0175000000000001"/>
  </r>
  <r>
    <s v="DPOPPELL"/>
    <s v="04"/>
    <s v="EWSIMMON"/>
    <s v="JERRY SMITH RD"/>
    <x v="551"/>
    <x v="1"/>
    <x v="2"/>
    <s v="Invoice"/>
    <s v="100000988"/>
    <x v="357"/>
    <x v="317"/>
    <x v="25"/>
    <x v="0"/>
    <n v="1.875"/>
  </r>
  <r>
    <s v="DPOPPELL"/>
    <s v="04"/>
    <s v="EWSIMMON"/>
    <s v="JERRY SMITH RD"/>
    <x v="551"/>
    <x v="1"/>
    <x v="2"/>
    <s v="Invoice"/>
    <s v="100000988"/>
    <x v="69"/>
    <x v="62"/>
    <x v="22"/>
    <x v="2"/>
    <n v="5.0125000000000002"/>
  </r>
  <r>
    <s v="DPOPPELL"/>
    <s v="04"/>
    <s v="MANUELCH"/>
    <s v="TURKEYCREEK"/>
    <x v="551"/>
    <x v="1"/>
    <x v="2"/>
    <s v="Invoice"/>
    <s v="100000992"/>
    <x v="66"/>
    <x v="59"/>
    <x v="32"/>
    <x v="0"/>
    <n v="60"/>
  </r>
  <r>
    <s v="DPOPPELL"/>
    <s v="04"/>
    <s v="SIMMONS"/>
    <s v="MAILING"/>
    <x v="551"/>
    <x v="1"/>
    <x v="2"/>
    <s v="Invoice"/>
    <s v="100000993"/>
    <x v="53"/>
    <x v="46"/>
    <x v="22"/>
    <x v="2"/>
    <n v="0.15"/>
  </r>
  <r>
    <s v="DPOPPELL"/>
    <s v="04"/>
    <s v="FRANKLIN"/>
    <s v="FRANKLIN FARM"/>
    <x v="551"/>
    <x v="1"/>
    <x v="2"/>
    <s v="Invoice"/>
    <s v="100000994"/>
    <x v="43"/>
    <x v="38"/>
    <x v="22"/>
    <x v="2"/>
    <n v="10.012499999999999"/>
  </r>
  <r>
    <s v="DPOPPELL"/>
    <s v="04"/>
    <s v="THREESTA"/>
    <s v="WALDEN-SHEFFIEL"/>
    <x v="551"/>
    <x v="1"/>
    <x v="2"/>
    <s v="Invoice"/>
    <s v="100000995"/>
    <x v="85"/>
    <x v="213"/>
    <x v="35"/>
    <x v="0"/>
    <n v="10"/>
  </r>
  <r>
    <s v="DPOPPELL"/>
    <s v="04"/>
    <s v="SWEETLIFE"/>
    <s v="KNIGHTS GRIFFIN"/>
    <x v="551"/>
    <x v="1"/>
    <x v="2"/>
    <s v="Invoice"/>
    <s v="100000998"/>
    <x v="67"/>
    <x v="60"/>
    <x v="22"/>
    <x v="2"/>
    <n v="15.015000000000001"/>
  </r>
  <r>
    <s v="DPOPPELL"/>
    <s v="04"/>
    <s v="SWEETLIFE"/>
    <s v="KNIGHTS GRIFFIN"/>
    <x v="551"/>
    <x v="1"/>
    <x v="2"/>
    <s v="Invoice"/>
    <s v="100000999"/>
    <x v="67"/>
    <x v="60"/>
    <x v="22"/>
    <x v="2"/>
    <n v="5.0125000000000002"/>
  </r>
  <r>
    <s v="DPOPPELL"/>
    <s v="04"/>
    <s v="JOHNPOPP"/>
    <s v="CAMERON"/>
    <x v="551"/>
    <x v="1"/>
    <x v="2"/>
    <s v="Invoice"/>
    <s v="100001000"/>
    <x v="505"/>
    <x v="440"/>
    <x v="120"/>
    <x v="0"/>
    <n v="3000"/>
  </r>
  <r>
    <s v="DPOPPELL"/>
    <s v="04"/>
    <s v="GWFARMS"/>
    <s v="TURKEYCREEKNORT"/>
    <x v="557"/>
    <x v="1"/>
    <x v="2"/>
    <s v="Invoice"/>
    <s v="100001001"/>
    <x v="69"/>
    <x v="62"/>
    <x v="22"/>
    <x v="2"/>
    <n v="1.25"/>
  </r>
  <r>
    <s v="DPOPPELL"/>
    <s v="04"/>
    <s v="HINTONFA"/>
    <s v="SYDNEY NORTH"/>
    <x v="557"/>
    <x v="1"/>
    <x v="2"/>
    <s v="Invoice"/>
    <s v="100001002"/>
    <x v="43"/>
    <x v="38"/>
    <x v="22"/>
    <x v="2"/>
    <n v="8.02"/>
  </r>
  <r>
    <s v="DPOPPELL"/>
    <s v="04"/>
    <s v="M&amp;GFARMS"/>
    <s v="SWEATTLP"/>
    <x v="557"/>
    <x v="1"/>
    <x v="2"/>
    <s v="Invoice"/>
    <s v="100001003"/>
    <x v="58"/>
    <x v="51"/>
    <x v="22"/>
    <x v="2"/>
    <n v="15.02"/>
  </r>
  <r>
    <s v="DPOPPELL"/>
    <s v="04"/>
    <s v="VENTURAFARMS"/>
    <s v="GALLAGHER"/>
    <x v="557"/>
    <x v="1"/>
    <x v="2"/>
    <s v="Invoice"/>
    <s v="100001004"/>
    <x v="56"/>
    <x v="49"/>
    <x v="22"/>
    <x v="2"/>
    <n v="1.75"/>
  </r>
  <r>
    <s v="DPOPPELL"/>
    <s v="04"/>
    <s v="M&amp;GFARMS"/>
    <s v="ONA"/>
    <x v="557"/>
    <x v="1"/>
    <x v="2"/>
    <s v="Invoice"/>
    <s v="100001005"/>
    <x v="58"/>
    <x v="51"/>
    <x v="22"/>
    <x v="2"/>
    <n v="15.025"/>
  </r>
  <r>
    <s v="DPOPPELL"/>
    <s v="04"/>
    <s v="GUTIERREZDAN"/>
    <s v="HWY 92"/>
    <x v="557"/>
    <x v="1"/>
    <x v="2"/>
    <s v="Invoice"/>
    <s v="100001006"/>
    <x v="55"/>
    <x v="48"/>
    <x v="22"/>
    <x v="2"/>
    <n v="12.01"/>
  </r>
  <r>
    <s v="DPOPPELL"/>
    <s v="04"/>
    <s v="GUTIERREZA"/>
    <s v="WASHINGTON"/>
    <x v="557"/>
    <x v="1"/>
    <x v="2"/>
    <s v="Invoice"/>
    <s v="100001007"/>
    <x v="43"/>
    <x v="38"/>
    <x v="22"/>
    <x v="2"/>
    <n v="7.7575000000000003"/>
  </r>
  <r>
    <s v="DPOPPELL"/>
    <s v="04"/>
    <s v="SPIVEYFA"/>
    <s v="HOPEWELL"/>
    <x v="557"/>
    <x v="1"/>
    <x v="2"/>
    <s v="Invoice"/>
    <s v="100001008"/>
    <x v="56"/>
    <x v="49"/>
    <x v="22"/>
    <x v="2"/>
    <n v="3.51"/>
  </r>
  <r>
    <s v="DPOPPELL"/>
    <s v="04"/>
    <s v="MIDWAYF"/>
    <s v="NURSERY"/>
    <x v="558"/>
    <x v="1"/>
    <x v="2"/>
    <s v="Invoice"/>
    <s v="100001009"/>
    <x v="67"/>
    <x v="60"/>
    <x v="22"/>
    <x v="2"/>
    <n v="9.5075000000000003"/>
  </r>
  <r>
    <s v="DPOPPELL"/>
    <s v="04"/>
    <s v="MIDWAYF"/>
    <s v="ALS - NORTH"/>
    <x v="558"/>
    <x v="1"/>
    <x v="2"/>
    <s v="Invoice"/>
    <s v="100001010"/>
    <x v="67"/>
    <x v="60"/>
    <x v="22"/>
    <x v="2"/>
    <n v="7.25"/>
  </r>
  <r>
    <s v="DPOPPELL"/>
    <s v="04"/>
    <s v="BEAUCHAMP"/>
    <s v="GALLAGHER"/>
    <x v="558"/>
    <x v="1"/>
    <x v="2"/>
    <s v="Invoice"/>
    <s v="100001011"/>
    <x v="50"/>
    <x v="43"/>
    <x v="22"/>
    <x v="2"/>
    <n v="8.0124999999999993"/>
  </r>
  <r>
    <s v="DPOPPELL"/>
    <s v="04"/>
    <s v="ELIASCEDILLO"/>
    <s v="JESS WALDEN"/>
    <x v="558"/>
    <x v="1"/>
    <x v="2"/>
    <s v="Invoice"/>
    <s v="100001012"/>
    <x v="58"/>
    <x v="51"/>
    <x v="22"/>
    <x v="2"/>
    <n v="2.25"/>
  </r>
  <r>
    <s v="DPOPPELL"/>
    <s v="04"/>
    <s v="FANCYFAR"/>
    <s v="CASON3"/>
    <x v="558"/>
    <x v="1"/>
    <x v="2"/>
    <s v="Invoice"/>
    <s v="100001013"/>
    <x v="50"/>
    <x v="43"/>
    <x v="22"/>
    <x v="2"/>
    <n v="10.01"/>
  </r>
  <r>
    <s v="DPOPPELL"/>
    <s v="04"/>
    <s v="FERRISFA"/>
    <s v="STRABERRIES"/>
    <x v="558"/>
    <x v="1"/>
    <x v="2"/>
    <s v="Invoice"/>
    <s v="100001017"/>
    <x v="44"/>
    <x v="39"/>
    <x v="22"/>
    <x v="2"/>
    <n v="15.01"/>
  </r>
  <r>
    <s v="DPOPPELL"/>
    <s v="04"/>
    <s v="THREESTA"/>
    <s v="BILLY GREEN"/>
    <x v="558"/>
    <x v="1"/>
    <x v="2"/>
    <s v="Invoice"/>
    <s v="100001019"/>
    <x v="357"/>
    <x v="317"/>
    <x v="25"/>
    <x v="0"/>
    <n v="4.6875"/>
  </r>
  <r>
    <s v="DPOPPELL"/>
    <s v="04"/>
    <s v="THREESTA"/>
    <s v="BILLY GREEN"/>
    <x v="558"/>
    <x v="1"/>
    <x v="2"/>
    <s v="Invoice"/>
    <s v="100001019"/>
    <x v="67"/>
    <x v="60"/>
    <x v="22"/>
    <x v="2"/>
    <n v="12.526999999999999"/>
  </r>
  <r>
    <s v="DPOPPELL"/>
    <s v="04"/>
    <s v="SYDNEYFA"/>
    <s v="FORBES ROAD"/>
    <x v="558"/>
    <x v="1"/>
    <x v="2"/>
    <s v="Invoice"/>
    <s v="100001020"/>
    <x v="67"/>
    <x v="60"/>
    <x v="22"/>
    <x v="2"/>
    <n v="5.0025000000000004"/>
  </r>
  <r>
    <s v="DPOPPELL"/>
    <s v="04"/>
    <s v="GUTIERREZA"/>
    <s v="WIAMAUMA"/>
    <x v="558"/>
    <x v="1"/>
    <x v="2"/>
    <s v="Invoice"/>
    <s v="100001021"/>
    <x v="43"/>
    <x v="38"/>
    <x v="22"/>
    <x v="2"/>
    <n v="7.5075000000000003"/>
  </r>
  <r>
    <s v="DPOPPELL"/>
    <s v="04"/>
    <s v="DURGAFARMS"/>
    <s v="SOUTHTANK"/>
    <x v="558"/>
    <x v="1"/>
    <x v="2"/>
    <s v="Invoice"/>
    <s v="100001022"/>
    <x v="58"/>
    <x v="51"/>
    <x v="22"/>
    <x v="2"/>
    <n v="7.51"/>
  </r>
  <r>
    <s v="DPOPPELL"/>
    <s v="04"/>
    <s v="FORTGREENFARMS"/>
    <s v="FTGREEN"/>
    <x v="553"/>
    <x v="1"/>
    <x v="2"/>
    <s v="Invoice"/>
    <s v="100001023"/>
    <x v="58"/>
    <x v="51"/>
    <x v="22"/>
    <x v="2"/>
    <n v="7.5"/>
  </r>
  <r>
    <s v="DPOPPELL"/>
    <s v="04"/>
    <s v="CJABBOTT"/>
    <s v="JOHNGILL"/>
    <x v="553"/>
    <x v="1"/>
    <x v="2"/>
    <s v="Invoice"/>
    <s v="100001024"/>
    <x v="58"/>
    <x v="51"/>
    <x v="22"/>
    <x v="2"/>
    <n v="5.0025000000000004"/>
  </r>
  <r>
    <s v="DPOPPELL"/>
    <s v="04"/>
    <s v="BONIFACIO"/>
    <s v="BONIFACIO"/>
    <x v="553"/>
    <x v="1"/>
    <x v="2"/>
    <s v="Invoice"/>
    <s v="100001025"/>
    <x v="77"/>
    <x v="37"/>
    <x v="30"/>
    <x v="0"/>
    <n v="60"/>
  </r>
  <r>
    <s v="DPOPPELL"/>
    <s v="04"/>
    <s v="ROQUEFARMS"/>
    <s v="SWEETWATER"/>
    <x v="553"/>
    <x v="1"/>
    <x v="2"/>
    <s v="Invoice"/>
    <s v="100001026"/>
    <x v="110"/>
    <x v="97"/>
    <x v="16"/>
    <x v="0"/>
    <n v="250"/>
  </r>
  <r>
    <s v="DPOPPELL"/>
    <s v="04"/>
    <s v="BERRYBLISS"/>
    <s v="TRAPNELL"/>
    <x v="553"/>
    <x v="1"/>
    <x v="2"/>
    <s v="Invoice"/>
    <s v="100001027"/>
    <x v="69"/>
    <x v="62"/>
    <x v="22"/>
    <x v="2"/>
    <n v="5.0049999999999999"/>
  </r>
  <r>
    <s v="DPOPPELL"/>
    <s v="04"/>
    <s v="BERRYBLISS"/>
    <s v="JAUDONSOUTH"/>
    <x v="553"/>
    <x v="1"/>
    <x v="2"/>
    <s v="Invoice"/>
    <s v="100001028"/>
    <x v="43"/>
    <x v="38"/>
    <x v="22"/>
    <x v="2"/>
    <n v="1.0075000000000001"/>
  </r>
  <r>
    <s v="DPOPPELL"/>
    <s v="04"/>
    <s v="DURGAFARMS"/>
    <s v="SYDNEYDOVER"/>
    <x v="553"/>
    <x v="1"/>
    <x v="2"/>
    <s v="Invoice"/>
    <s v="100001029"/>
    <x v="58"/>
    <x v="51"/>
    <x v="22"/>
    <x v="2"/>
    <n v="5.01"/>
  </r>
  <r>
    <s v="DPOPPELL"/>
    <s v="04"/>
    <s v="SOUTHERNHILL"/>
    <s v="SCHOFIELD"/>
    <x v="553"/>
    <x v="1"/>
    <x v="2"/>
    <s v="Invoice"/>
    <s v="100001030"/>
    <x v="43"/>
    <x v="38"/>
    <x v="22"/>
    <x v="2"/>
    <n v="3.74"/>
  </r>
  <r>
    <s v="DPOPPELL"/>
    <s v="04"/>
    <s v="M&amp;GFARMS"/>
    <s v="HAREFAMILYLN"/>
    <x v="553"/>
    <x v="1"/>
    <x v="2"/>
    <s v="Invoice"/>
    <s v="100001031"/>
    <x v="102"/>
    <x v="71"/>
    <x v="100"/>
    <x v="0"/>
    <n v="250"/>
  </r>
  <r>
    <s v="DPOPPELL"/>
    <s v="04"/>
    <s v="M&amp;GFARMS"/>
    <s v="HAREFAMILYLN"/>
    <x v="553"/>
    <x v="1"/>
    <x v="2"/>
    <s v="Invoice"/>
    <s v="100001031"/>
    <x v="45"/>
    <x v="37"/>
    <x v="30"/>
    <x v="0"/>
    <n v="250"/>
  </r>
  <r>
    <s v="DPOPPELL"/>
    <s v="04"/>
    <s v="FRANKLIN"/>
    <s v="MCGEE RD. SOUTH"/>
    <x v="553"/>
    <x v="1"/>
    <x v="2"/>
    <s v="Invoice"/>
    <s v="100001033"/>
    <x v="28"/>
    <x v="23"/>
    <x v="22"/>
    <x v="2"/>
    <n v="8.9525000000000006"/>
  </r>
  <r>
    <s v="DPOPPELL"/>
    <s v="04"/>
    <s v="ROQUEFARMS"/>
    <s v="RINGDAHL"/>
    <x v="553"/>
    <x v="1"/>
    <x v="2"/>
    <s v="Invoice"/>
    <s v="100001034"/>
    <x v="43"/>
    <x v="38"/>
    <x v="22"/>
    <x v="2"/>
    <n v="15"/>
  </r>
  <r>
    <s v="DPOPPELL"/>
    <s v="04"/>
    <s v="CHARLIEG-LLC"/>
    <s v="DAIRY"/>
    <x v="553"/>
    <x v="1"/>
    <x v="2"/>
    <s v="Invoice"/>
    <s v="100001035"/>
    <x v="67"/>
    <x v="60"/>
    <x v="22"/>
    <x v="2"/>
    <n v="15.0025"/>
  </r>
  <r>
    <s v="DPOPPELL"/>
    <s v="04"/>
    <s v="SYDNEYFA"/>
    <s v="SYDNEY-WASHER"/>
    <x v="553"/>
    <x v="1"/>
    <x v="2"/>
    <s v="Invoice"/>
    <s v="100001036"/>
    <x v="64"/>
    <x v="57"/>
    <x v="22"/>
    <x v="2"/>
    <n v="5.13"/>
  </r>
  <r>
    <s v="DPOPPELL"/>
    <s v="04"/>
    <s v="MENDOZAHEC"/>
    <s v="JAUDON RD"/>
    <x v="553"/>
    <x v="1"/>
    <x v="2"/>
    <s v="Invoice"/>
    <s v="100001037"/>
    <x v="43"/>
    <x v="38"/>
    <x v="22"/>
    <x v="2"/>
    <n v="9.0124999999999993"/>
  </r>
  <r>
    <s v="DPOPPELL"/>
    <s v="04"/>
    <s v="MENDOZAHEC"/>
    <s v="HWY60"/>
    <x v="553"/>
    <x v="1"/>
    <x v="2"/>
    <s v="Invoice"/>
    <s v="100001038"/>
    <x v="43"/>
    <x v="38"/>
    <x v="22"/>
    <x v="2"/>
    <n v="5.0175000000000001"/>
  </r>
  <r>
    <s v="DPOPPELL"/>
    <s v="04"/>
    <s v="PARKESDA"/>
    <s v="HILL"/>
    <x v="553"/>
    <x v="1"/>
    <x v="2"/>
    <s v="Invoice"/>
    <s v="100001039"/>
    <x v="69"/>
    <x v="62"/>
    <x v="22"/>
    <x v="2"/>
    <n v="10.01"/>
  </r>
  <r>
    <s v="DPOPPELL"/>
    <s v="04"/>
    <s v="ROQUEFARMS"/>
    <s v="MEEKHORIZON"/>
    <x v="553"/>
    <x v="1"/>
    <x v="2"/>
    <s v="Invoice"/>
    <s v="100001040"/>
    <x v="43"/>
    <x v="38"/>
    <x v="22"/>
    <x v="2"/>
    <n v="5"/>
  </r>
  <r>
    <s v="DPOPPELL"/>
    <s v="04"/>
    <s v="LARRYENN"/>
    <s v="TRAPNELL ROAD"/>
    <x v="554"/>
    <x v="1"/>
    <x v="2"/>
    <s v="Invoice"/>
    <s v="100001042"/>
    <x v="58"/>
    <x v="51"/>
    <x v="22"/>
    <x v="2"/>
    <n v="7.51"/>
  </r>
  <r>
    <s v="DPOPPELL"/>
    <s v="04"/>
    <s v="MENDOZAHEC"/>
    <s v="WALLACERD"/>
    <x v="554"/>
    <x v="1"/>
    <x v="2"/>
    <s v="Invoice"/>
    <s v="100001043"/>
    <x v="69"/>
    <x v="62"/>
    <x v="22"/>
    <x v="2"/>
    <n v="4.0075000000000003"/>
  </r>
  <r>
    <s v="DPOPPELL"/>
    <s v="04"/>
    <s v="M&amp;GFARMS"/>
    <s v="COUNTY LINE RD"/>
    <x v="554"/>
    <x v="1"/>
    <x v="2"/>
    <s v="Invoice"/>
    <s v="100001044"/>
    <x v="58"/>
    <x v="51"/>
    <x v="22"/>
    <x v="2"/>
    <n v="2.5175000000000001"/>
  </r>
  <r>
    <s v="DPOPPELL"/>
    <s v="04"/>
    <s v="MIDWAYF"/>
    <s v="SAMALLEN"/>
    <x v="554"/>
    <x v="1"/>
    <x v="2"/>
    <s v="Invoice"/>
    <s v="100001046"/>
    <x v="67"/>
    <x v="60"/>
    <x v="22"/>
    <x v="2"/>
    <n v="4.26"/>
  </r>
  <r>
    <s v="DPOPPELL"/>
    <s v="04"/>
    <s v="CHARLIEG-LLC"/>
    <s v="LAMPP ROAD"/>
    <x v="554"/>
    <x v="1"/>
    <x v="2"/>
    <s v="Invoice"/>
    <s v="100001047"/>
    <x v="67"/>
    <x v="60"/>
    <x v="22"/>
    <x v="2"/>
    <n v="2.5099999999999998"/>
  </r>
  <r>
    <s v="DPOPPELL"/>
    <s v="04"/>
    <s v="FCFARMS"/>
    <s v="HOLLINGSWORTH"/>
    <x v="554"/>
    <x v="1"/>
    <x v="2"/>
    <s v="Invoice"/>
    <s v="100001048"/>
    <x v="43"/>
    <x v="38"/>
    <x v="22"/>
    <x v="2"/>
    <n v="5"/>
  </r>
  <r>
    <s v="DPOPPELL"/>
    <s v="04"/>
    <s v="SOUTHERNHILL"/>
    <s v="SCHOFIELD"/>
    <x v="554"/>
    <x v="1"/>
    <x v="2"/>
    <s v="Invoice"/>
    <s v="100001049"/>
    <x v="72"/>
    <x v="65"/>
    <x v="22"/>
    <x v="2"/>
    <n v="3.78"/>
  </r>
  <r>
    <s v="DPOPPELL"/>
    <s v="04"/>
    <s v="TWINFARMS"/>
    <s v="WIMAUMA"/>
    <x v="554"/>
    <x v="1"/>
    <x v="2"/>
    <s v="Invoice"/>
    <s v="100001050"/>
    <x v="43"/>
    <x v="38"/>
    <x v="22"/>
    <x v="2"/>
    <n v="1.25"/>
  </r>
  <r>
    <s v="DPOPPELL"/>
    <s v="04"/>
    <s v="JOEPENA"/>
    <s v="JIMREDMAN"/>
    <x v="554"/>
    <x v="1"/>
    <x v="2"/>
    <s v="Invoice"/>
    <s v="100001051"/>
    <x v="55"/>
    <x v="48"/>
    <x v="22"/>
    <x v="2"/>
    <n v="1"/>
  </r>
  <r>
    <s v="DPOPPELL"/>
    <s v="04"/>
    <s v="SWEETLIFE"/>
    <s v="SWINDLEN"/>
    <x v="554"/>
    <x v="1"/>
    <x v="2"/>
    <s v="Invoice"/>
    <s v="100001052"/>
    <x v="67"/>
    <x v="60"/>
    <x v="22"/>
    <x v="2"/>
    <n v="15.026999999999999"/>
  </r>
  <r>
    <s v="DPOPPELL"/>
    <s v="04"/>
    <s v="STRAWBERRYR"/>
    <s v="RANCH 4"/>
    <x v="554"/>
    <x v="1"/>
    <x v="2"/>
    <s v="Invoice"/>
    <s v="100001053"/>
    <x v="357"/>
    <x v="317"/>
    <x v="25"/>
    <x v="0"/>
    <n v="3.75"/>
  </r>
  <r>
    <s v="DPOPPELL"/>
    <s v="04"/>
    <s v="STRAWBERRYR"/>
    <s v="RANCH 4"/>
    <x v="554"/>
    <x v="1"/>
    <x v="2"/>
    <s v="Invoice"/>
    <s v="100001053"/>
    <x v="64"/>
    <x v="57"/>
    <x v="22"/>
    <x v="2"/>
    <n v="10.035"/>
  </r>
  <r>
    <s v="DPOPPELL"/>
    <s v="04"/>
    <s v="CHAVEZJOR"/>
    <s v="JOSE' CHAV- COD"/>
    <x v="554"/>
    <x v="1"/>
    <x v="2"/>
    <s v="Invoice"/>
    <s v="100001054"/>
    <x v="53"/>
    <x v="46"/>
    <x v="22"/>
    <x v="2"/>
    <n v="0.3"/>
  </r>
  <r>
    <s v="DPOPPELL"/>
    <s v="04"/>
    <s v="STRAWBERRYR"/>
    <s v="RANCH 2"/>
    <x v="554"/>
    <x v="1"/>
    <x v="2"/>
    <s v="Invoice"/>
    <s v="100001056"/>
    <x v="357"/>
    <x v="317"/>
    <x v="25"/>
    <x v="0"/>
    <n v="5.625"/>
  </r>
  <r>
    <s v="DPOPPELL"/>
    <s v="04"/>
    <s v="STRAWBERRYR"/>
    <s v="RANCH 2"/>
    <x v="554"/>
    <x v="1"/>
    <x v="2"/>
    <s v="Invoice"/>
    <s v="100001056"/>
    <x v="64"/>
    <x v="57"/>
    <x v="22"/>
    <x v="2"/>
    <n v="15.032500000000001"/>
  </r>
  <r>
    <s v="DPOPPELL"/>
    <s v="04"/>
    <s v="ELIASCEDILLO"/>
    <s v="JESS WALDEN"/>
    <x v="554"/>
    <x v="1"/>
    <x v="2"/>
    <s v="Invoice"/>
    <s v="100001057"/>
    <x v="58"/>
    <x v="51"/>
    <x v="22"/>
    <x v="2"/>
    <n v="4.25"/>
  </r>
  <r>
    <s v="DPOPPELL"/>
    <s v="04"/>
    <s v="MIKELOTT"/>
    <s v="HILLSBOROUGH"/>
    <x v="554"/>
    <x v="1"/>
    <x v="2"/>
    <s v="Invoice"/>
    <s v="100001061"/>
    <x v="43"/>
    <x v="38"/>
    <x v="22"/>
    <x v="2"/>
    <n v="5.0175000000000001"/>
  </r>
  <r>
    <s v="DPOPPELL"/>
    <s v="04"/>
    <s v="SWEETFARMS"/>
    <s v="JIMJOHNSON"/>
    <x v="554"/>
    <x v="1"/>
    <x v="2"/>
    <s v="Invoice"/>
    <s v="100001063"/>
    <x v="58"/>
    <x v="51"/>
    <x v="22"/>
    <x v="2"/>
    <n v="3.0024999999999999"/>
  </r>
  <r>
    <s v="HOUSE"/>
    <s v="05"/>
    <s v="SOUTHERN"/>
    <s v="SOUTHERN AG"/>
    <x v="541"/>
    <x v="1"/>
    <x v="2"/>
    <s v="Invoice"/>
    <s v="100000847"/>
    <x v="122"/>
    <x v="63"/>
    <x v="33"/>
    <x v="0"/>
    <n v="180"/>
  </r>
  <r>
    <s v="HOUSE"/>
    <s v="05"/>
    <s v="SOUTHERN"/>
    <s v="SOUTHERN AG"/>
    <x v="541"/>
    <x v="1"/>
    <x v="2"/>
    <s v="Invoice"/>
    <s v="100000847"/>
    <x v="96"/>
    <x v="90"/>
    <x v="39"/>
    <x v="0"/>
    <n v="60"/>
  </r>
  <r>
    <s v="HOUSE"/>
    <s v="05"/>
    <s v="SOUTHERN"/>
    <s v="SOUTHERN AG"/>
    <x v="541"/>
    <x v="1"/>
    <x v="2"/>
    <s v="Invoice"/>
    <s v="100000847"/>
    <x v="163"/>
    <x v="145"/>
    <x v="56"/>
    <x v="0"/>
    <n v="30"/>
  </r>
  <r>
    <s v="HOUSE"/>
    <s v="05"/>
    <s v="CPSBOYNTON"/>
    <s v="BOYNTON BCH"/>
    <x v="546"/>
    <x v="1"/>
    <x v="2"/>
    <s v="Invoice"/>
    <s v="100000882"/>
    <x v="101"/>
    <x v="21"/>
    <x v="21"/>
    <x v="0"/>
    <n v="180"/>
  </r>
  <r>
    <s v=""/>
    <s v="07"/>
    <s v="BARNESFE"/>
    <s v="HASTINGS"/>
    <x v="541"/>
    <x v="1"/>
    <x v="2"/>
    <s v="Invoice"/>
    <s v="100000844"/>
    <x v="158"/>
    <x v="139"/>
    <x v="53"/>
    <x v="0"/>
    <n v="480"/>
  </r>
  <r>
    <s v="DPOPPELL1"/>
    <s v="08"/>
    <s v="MAYO"/>
    <s v="PLANTCITY"/>
    <x v="552"/>
    <x v="1"/>
    <x v="2"/>
    <s v="Invoice"/>
    <s v="100000804"/>
    <x v="398"/>
    <x v="345"/>
    <x v="22"/>
    <x v="2"/>
    <n v="11.9825"/>
  </r>
  <r>
    <s v="DPOPPELL1"/>
    <s v="08"/>
    <s v="COASTALAGSUPPLY"/>
    <s v="MULBERRY"/>
    <x v="540"/>
    <x v="1"/>
    <x v="2"/>
    <s v="Invoice"/>
    <s v="100000830"/>
    <x v="96"/>
    <x v="90"/>
    <x v="39"/>
    <x v="0"/>
    <n v="90"/>
  </r>
  <r>
    <s v="DPOPPELL1"/>
    <s v="08"/>
    <s v="COASTALAGSUPPLY"/>
    <s v="MULBERRY"/>
    <x v="540"/>
    <x v="1"/>
    <x v="2"/>
    <s v="Invoice"/>
    <s v="100000830"/>
    <x v="34"/>
    <x v="29"/>
    <x v="26"/>
    <x v="0"/>
    <n v="180"/>
  </r>
  <r>
    <s v="DPOPPELL1"/>
    <s v="08"/>
    <s v="TRIANGLE"/>
    <s v="TRIANGLE/PC"/>
    <x v="546"/>
    <x v="1"/>
    <x v="2"/>
    <s v="Invoice"/>
    <s v="100000889"/>
    <x v="69"/>
    <x v="62"/>
    <x v="22"/>
    <x v="2"/>
    <n v="1.3025"/>
  </r>
  <r>
    <s v="DPOPPELL1"/>
    <s v="08"/>
    <s v="TRIANGLE"/>
    <s v="TRIANGLE/PC"/>
    <x v="546"/>
    <x v="1"/>
    <x v="2"/>
    <s v="Invoice"/>
    <s v="100000890"/>
    <x v="67"/>
    <x v="60"/>
    <x v="22"/>
    <x v="2"/>
    <n v="1.2524999999999999"/>
  </r>
  <r>
    <s v="DPOPPELL1"/>
    <s v="08"/>
    <s v="CPSMULB"/>
    <s v="UAP/MULBERRY"/>
    <x v="549"/>
    <x v="1"/>
    <x v="2"/>
    <s v="Invoice"/>
    <s v="100000929"/>
    <x v="102"/>
    <x v="71"/>
    <x v="100"/>
    <x v="0"/>
    <n v="1500"/>
  </r>
  <r>
    <s v="DPOPPELL1"/>
    <s v="08"/>
    <s v="PURLEYNK"/>
    <s v="MAIN"/>
    <x v="550"/>
    <x v="1"/>
    <x v="2"/>
    <s v="Invoice"/>
    <s v="100000975"/>
    <x v="28"/>
    <x v="23"/>
    <x v="22"/>
    <x v="2"/>
    <n v="0.15"/>
  </r>
  <r>
    <s v="DPOPPELL1"/>
    <s v="08"/>
    <s v="TRIANGLE"/>
    <s v="TRIANGLE/PC"/>
    <x v="551"/>
    <x v="1"/>
    <x v="2"/>
    <s v="Invoice"/>
    <s v="100000985"/>
    <x v="34"/>
    <x v="29"/>
    <x v="26"/>
    <x v="0"/>
    <n v="360"/>
  </r>
  <r>
    <s v="DPOPPELL1"/>
    <s v="08"/>
    <s v="COASTALAGSUPPLY"/>
    <s v="MULBERRY"/>
    <x v="551"/>
    <x v="1"/>
    <x v="2"/>
    <s v="Invoice"/>
    <s v="100000990"/>
    <x v="58"/>
    <x v="51"/>
    <x v="22"/>
    <x v="2"/>
    <n v="5.0125000000000002"/>
  </r>
  <r>
    <s v="DPOPPELL1"/>
    <s v="08"/>
    <s v="CPSMULB"/>
    <s v="UAP/MULBERRY"/>
    <x v="551"/>
    <x v="1"/>
    <x v="2"/>
    <s v="Invoice"/>
    <s v="100000991"/>
    <x v="102"/>
    <x v="71"/>
    <x v="100"/>
    <x v="0"/>
    <n v="1250"/>
  </r>
  <r>
    <s v="DPOPPELL1"/>
    <s v="08"/>
    <s v="COASTALAGSUPPLY"/>
    <s v="MULBERRY"/>
    <x v="554"/>
    <x v="1"/>
    <x v="2"/>
    <s v="Invoice"/>
    <s v="100001055"/>
    <x v="45"/>
    <x v="37"/>
    <x v="30"/>
    <x v="0"/>
    <n v="500"/>
  </r>
  <r>
    <s v=""/>
    <s v="09"/>
    <s v="GREENRES"/>
    <s v="OCEAN HWY-NC"/>
    <x v="549"/>
    <x v="1"/>
    <x v="2"/>
    <s v="Invoice"/>
    <s v="100000938"/>
    <x v="211"/>
    <x v="187"/>
    <x v="17"/>
    <x v="0"/>
    <n v="60"/>
  </r>
  <r>
    <s v=""/>
    <s v="09"/>
    <s v="GREENRES"/>
    <s v="OCEAN HWY-NC"/>
    <x v="549"/>
    <x v="1"/>
    <x v="2"/>
    <s v="Invoice"/>
    <s v="100000938"/>
    <x v="109"/>
    <x v="80"/>
    <x v="2"/>
    <x v="0"/>
    <n v="500"/>
  </r>
  <r>
    <s v=""/>
    <s v="09"/>
    <s v="GREENRES"/>
    <s v="OCEAN HWY-NC"/>
    <x v="549"/>
    <x v="1"/>
    <x v="2"/>
    <s v="Invoice"/>
    <s v="100000938"/>
    <x v="3"/>
    <x v="80"/>
    <x v="2"/>
    <x v="0"/>
    <n v="180"/>
  </r>
  <r>
    <s v="GEORGIA"/>
    <s v="09"/>
    <s v="GREENRES"/>
    <s v="MGMT WAY-NC"/>
    <x v="543"/>
    <x v="1"/>
    <x v="2"/>
    <s v="Invoice"/>
    <s v="100000958A"/>
    <x v="109"/>
    <x v="80"/>
    <x v="2"/>
    <x v="0"/>
    <n v="250"/>
  </r>
  <r>
    <s v="TRES"/>
    <s v="11"/>
    <s v="SOUTHINTEGRITY"/>
    <s v="NEWMARKET"/>
    <x v="544"/>
    <x v="1"/>
    <x v="2"/>
    <s v="Invoice"/>
    <s v="100000821"/>
    <x v="506"/>
    <x v="441"/>
    <x v="121"/>
    <x v="0"/>
    <n v="500"/>
  </r>
  <r>
    <s v="CSWAFFORD"/>
    <s v="12"/>
    <s v="GOLFVENTURES"/>
    <s v="MAIN"/>
    <x v="539"/>
    <x v="1"/>
    <x v="2"/>
    <s v="Invoice"/>
    <s v="100000791"/>
    <x v="370"/>
    <x v="320"/>
    <x v="63"/>
    <x v="0"/>
    <n v="60"/>
  </r>
  <r>
    <s v="CSWAFFORD"/>
    <s v="12"/>
    <s v="GOLFVENTURES"/>
    <s v="MAIN"/>
    <x v="539"/>
    <x v="1"/>
    <x v="2"/>
    <s v="Invoice"/>
    <s v="100000791"/>
    <x v="365"/>
    <x v="298"/>
    <x v="53"/>
    <x v="0"/>
    <n v="60"/>
  </r>
  <r>
    <s v="CSWAFFORD"/>
    <s v="12"/>
    <s v="GOLFVENTURES"/>
    <s v="MAIN"/>
    <x v="539"/>
    <x v="1"/>
    <x v="2"/>
    <s v="Invoice"/>
    <s v="100000791"/>
    <x v="249"/>
    <x v="294"/>
    <x v="70"/>
    <x v="0"/>
    <n v="60"/>
  </r>
  <r>
    <s v="CSWAFFORD"/>
    <s v="12"/>
    <s v="JRMINC"/>
    <s v="CHEMICALDYNAMIC"/>
    <x v="552"/>
    <x v="1"/>
    <x v="2"/>
    <s v="Invoice"/>
    <s v="100000806"/>
    <x v="482"/>
    <x v="423"/>
    <x v="69"/>
    <x v="0"/>
    <n v="20"/>
  </r>
  <r>
    <s v="CSWAFFORD"/>
    <s v="12"/>
    <s v="JRMINC"/>
    <s v="CHEMICALDYNAMIC"/>
    <x v="552"/>
    <x v="1"/>
    <x v="2"/>
    <s v="Invoice"/>
    <s v="100000806"/>
    <x v="456"/>
    <x v="392"/>
    <x v="10"/>
    <x v="0"/>
    <n v="25"/>
  </r>
  <r>
    <s v="CSWAFFORD"/>
    <s v="12"/>
    <s v="JRMINC"/>
    <s v="MAILING"/>
    <x v="552"/>
    <x v="1"/>
    <x v="2"/>
    <s v="Invoice"/>
    <s v="100000807"/>
    <x v="424"/>
    <x v="362"/>
    <x v="47"/>
    <x v="0"/>
    <n v="20"/>
  </r>
  <r>
    <s v="CSWAFFORD"/>
    <s v="12"/>
    <s v="GOLFVENTURES"/>
    <s v="STONEYBROOK"/>
    <x v="540"/>
    <x v="1"/>
    <x v="2"/>
    <s v="Invoice"/>
    <s v="100000823"/>
    <x v="310"/>
    <x v="442"/>
    <x v="56"/>
    <x v="0"/>
    <n v="250"/>
  </r>
  <r>
    <s v="CSWAFFORD"/>
    <s v="12"/>
    <s v="GOLFVENTURES"/>
    <s v="MAIN"/>
    <x v="540"/>
    <x v="1"/>
    <x v="2"/>
    <s v="Invoice"/>
    <s v="100000831"/>
    <x v="499"/>
    <x v="375"/>
    <x v="82"/>
    <x v="0"/>
    <n v="5"/>
  </r>
  <r>
    <s v="CSWAFFORD"/>
    <s v="12"/>
    <s v="GOLFVENTURES"/>
    <s v="MAIN"/>
    <x v="541"/>
    <x v="1"/>
    <x v="2"/>
    <s v="Invoice"/>
    <s v="100000843"/>
    <x v="372"/>
    <x v="443"/>
    <x v="43"/>
    <x v="0"/>
    <n v="250"/>
  </r>
  <r>
    <s v="CSWAFFORD"/>
    <s v="12"/>
    <s v="JRMINC"/>
    <s v="CHEMICALDYNAMIC"/>
    <x v="541"/>
    <x v="1"/>
    <x v="2"/>
    <s v="Invoice"/>
    <s v="100000848"/>
    <x v="424"/>
    <x v="362"/>
    <x v="47"/>
    <x v="0"/>
    <n v="120"/>
  </r>
  <r>
    <s v="CSWAFFORD"/>
    <s v="12"/>
    <s v="GOLFVENTURES"/>
    <s v="MAIN"/>
    <x v="545"/>
    <x v="1"/>
    <x v="2"/>
    <s v="Invoice"/>
    <s v="100000874"/>
    <x v="442"/>
    <x v="378"/>
    <x v="109"/>
    <x v="0"/>
    <n v="60"/>
  </r>
  <r>
    <s v="CSWAFFORD"/>
    <s v="12"/>
    <s v="GOLFVENTURES"/>
    <s v="MAIN"/>
    <x v="545"/>
    <x v="1"/>
    <x v="2"/>
    <s v="Invoice"/>
    <s v="100000874"/>
    <x v="364"/>
    <x v="321"/>
    <x v="96"/>
    <x v="0"/>
    <n v="60"/>
  </r>
  <r>
    <s v="CSWAFFORD"/>
    <s v="12"/>
    <s v="GOLFVENTURES"/>
    <s v="MAIN"/>
    <x v="545"/>
    <x v="1"/>
    <x v="2"/>
    <s v="Invoice"/>
    <s v="100000874"/>
    <x v="3"/>
    <x v="411"/>
    <x v="2"/>
    <x v="0"/>
    <n v="60"/>
  </r>
  <r>
    <s v="CSWAFFORD"/>
    <s v="12"/>
    <s v="GOLFVENTURES"/>
    <s v="BLUFFSGOLF"/>
    <x v="546"/>
    <x v="1"/>
    <x v="2"/>
    <s v="Invoice"/>
    <s v="100000884"/>
    <x v="338"/>
    <x v="419"/>
    <x v="8"/>
    <x v="0"/>
    <n v="250"/>
  </r>
  <r>
    <s v="CSWAFFORD"/>
    <s v="12"/>
    <s v="GOLFVENTURES"/>
    <s v="MAIN"/>
    <x v="547"/>
    <x v="1"/>
    <x v="2"/>
    <s v="Invoice"/>
    <s v="100000897"/>
    <x v="503"/>
    <x v="395"/>
    <x v="114"/>
    <x v="0"/>
    <n v="200"/>
  </r>
  <r>
    <s v="CSWAFFORD"/>
    <s v="12"/>
    <s v="GOLFVENTURES"/>
    <s v="NAPLESHERITAGE"/>
    <x v="549"/>
    <x v="1"/>
    <x v="2"/>
    <s v="Invoice"/>
    <s v="100000922"/>
    <x v="366"/>
    <x v="336"/>
    <x v="22"/>
    <x v="2"/>
    <n v="1.3791199999999999"/>
  </r>
  <r>
    <s v="CSWAFFORD"/>
    <s v="12"/>
    <s v="GOLFVENTURES"/>
    <s v="MAIN"/>
    <x v="551"/>
    <x v="1"/>
    <x v="2"/>
    <s v="Invoice"/>
    <s v="100000996"/>
    <x v="459"/>
    <x v="265"/>
    <x v="79"/>
    <x v="0"/>
    <n v="90"/>
  </r>
  <r>
    <s v="CSWAFFORD"/>
    <s v="12"/>
    <s v="GOLFVENTURES"/>
    <s v="MAIN"/>
    <x v="551"/>
    <x v="1"/>
    <x v="2"/>
    <s v="Invoice"/>
    <s v="100000996"/>
    <x v="3"/>
    <x v="411"/>
    <x v="2"/>
    <x v="0"/>
    <n v="90"/>
  </r>
  <r>
    <s v="CSWAFFORD"/>
    <s v="12"/>
    <s v="GOLFVENTURES"/>
    <s v="MAIN"/>
    <x v="551"/>
    <x v="1"/>
    <x v="2"/>
    <s v="Invoice"/>
    <s v="100000997"/>
    <x v="442"/>
    <x v="378"/>
    <x v="109"/>
    <x v="0"/>
    <n v="6"/>
  </r>
  <r>
    <s v="CSWAFFORD"/>
    <s v="12"/>
    <s v="GOLFVENTURES"/>
    <s v="MAIN"/>
    <x v="551"/>
    <x v="1"/>
    <x v="2"/>
    <s v="Invoice"/>
    <s v="100000997"/>
    <x v="424"/>
    <x v="362"/>
    <x v="47"/>
    <x v="0"/>
    <n v="1.5"/>
  </r>
  <r>
    <s v="CSWAFFORD"/>
    <s v="12"/>
    <s v="JRMINC"/>
    <s v="THEOAKSCLUB"/>
    <x v="558"/>
    <x v="1"/>
    <x v="2"/>
    <s v="Invoice"/>
    <s v="100001018"/>
    <x v="298"/>
    <x v="109"/>
    <x v="45"/>
    <x v="0"/>
    <n v="55"/>
  </r>
  <r>
    <s v="CSWAFFORD"/>
    <s v="12"/>
    <s v="GOLFVENTURES"/>
    <s v="MAIN"/>
    <x v="554"/>
    <x v="1"/>
    <x v="2"/>
    <s v="Invoice"/>
    <s v="100001045"/>
    <x v="482"/>
    <x v="423"/>
    <x v="69"/>
    <x v="0"/>
    <n v="15"/>
  </r>
  <r>
    <s v="CSWAFFORD"/>
    <s v="12"/>
    <s v="GOLFVENTURES"/>
    <s v="MAIN"/>
    <x v="554"/>
    <x v="1"/>
    <x v="2"/>
    <s v="Invoice"/>
    <s v="100001045"/>
    <x v="424"/>
    <x v="362"/>
    <x v="47"/>
    <x v="0"/>
    <n v="90"/>
  </r>
  <r>
    <s v="CSWAFFORD"/>
    <s v="12"/>
    <s v="GOLFVENTURES"/>
    <s v="MAIN"/>
    <x v="554"/>
    <x v="1"/>
    <x v="2"/>
    <s v="Invoice"/>
    <s v="100001045"/>
    <x v="439"/>
    <x v="297"/>
    <x v="91"/>
    <x v="0"/>
    <n v="75"/>
  </r>
  <r>
    <s v="HAP"/>
    <s v="01"/>
    <s v="GREENWAY"/>
    <s v="JACARANDA G C"/>
    <x v="559"/>
    <x v="2"/>
    <x v="2"/>
    <s v="Invoice"/>
    <s v="100001095"/>
    <x v="6"/>
    <x v="5"/>
    <x v="5"/>
    <x v="0"/>
    <n v="30"/>
  </r>
  <r>
    <s v="HAP"/>
    <s v="01"/>
    <s v="GREENWAY"/>
    <s v="JACARANDA G C"/>
    <x v="559"/>
    <x v="2"/>
    <x v="2"/>
    <s v="Invoice"/>
    <s v="100001095"/>
    <x v="188"/>
    <x v="17"/>
    <x v="17"/>
    <x v="0"/>
    <n v="55"/>
  </r>
  <r>
    <s v="HAP"/>
    <s v="01"/>
    <s v="GREENWAY"/>
    <s v="JACARANDA G C"/>
    <x v="559"/>
    <x v="2"/>
    <x v="2"/>
    <s v="Invoice"/>
    <s v="100001095"/>
    <x v="0"/>
    <x v="0"/>
    <x v="0"/>
    <x v="0"/>
    <n v="55"/>
  </r>
  <r>
    <s v="HAP"/>
    <s v="01"/>
    <s v="GREENWAY"/>
    <s v="JACARANDA G C"/>
    <x v="559"/>
    <x v="2"/>
    <x v="2"/>
    <s v="Invoice"/>
    <s v="100001095"/>
    <x v="88"/>
    <x v="2"/>
    <x v="2"/>
    <x v="0"/>
    <n v="55"/>
  </r>
  <r>
    <s v="HAP"/>
    <s v="01"/>
    <s v="ALMARCH"/>
    <s v="THONOTOSASSA"/>
    <x v="560"/>
    <x v="2"/>
    <x v="2"/>
    <s v="Invoice"/>
    <s v="100001147"/>
    <x v="92"/>
    <x v="82"/>
    <x v="35"/>
    <x v="0"/>
    <n v="180"/>
  </r>
  <r>
    <s v="HAP"/>
    <s v="01"/>
    <s v="GREENWAY"/>
    <s v="WAREHOUSE"/>
    <x v="560"/>
    <x v="2"/>
    <x v="2"/>
    <s v="Invoice"/>
    <s v="100001150"/>
    <x v="6"/>
    <x v="5"/>
    <x v="5"/>
    <x v="0"/>
    <n v="120"/>
  </r>
  <r>
    <s v="HAP"/>
    <s v="01"/>
    <s v="GREENWAY"/>
    <s v="WAREHOUSE"/>
    <x v="560"/>
    <x v="2"/>
    <x v="2"/>
    <s v="Invoice"/>
    <s v="100001150"/>
    <x v="21"/>
    <x v="16"/>
    <x v="16"/>
    <x v="0"/>
    <n v="120"/>
  </r>
  <r>
    <s v="HAP"/>
    <s v="01"/>
    <s v="GREENWAY"/>
    <s v="WAREHOUSE"/>
    <x v="560"/>
    <x v="2"/>
    <x v="2"/>
    <s v="Invoice"/>
    <s v="100001150"/>
    <x v="22"/>
    <x v="17"/>
    <x v="17"/>
    <x v="0"/>
    <n v="60"/>
  </r>
  <r>
    <s v="HAP"/>
    <s v="01"/>
    <s v="GREENWAY"/>
    <s v="WAREHOUSE"/>
    <x v="560"/>
    <x v="2"/>
    <x v="2"/>
    <s v="Invoice"/>
    <s v="100001150"/>
    <x v="8"/>
    <x v="7"/>
    <x v="7"/>
    <x v="0"/>
    <n v="60"/>
  </r>
  <r>
    <s v="HAP"/>
    <s v="01"/>
    <s v="GREENWAY"/>
    <s v="WAREHOUSE"/>
    <x v="560"/>
    <x v="2"/>
    <x v="2"/>
    <s v="Invoice"/>
    <s v="100001150"/>
    <x v="2"/>
    <x v="0"/>
    <x v="0"/>
    <x v="0"/>
    <n v="120"/>
  </r>
  <r>
    <s v="HAP"/>
    <s v="01"/>
    <s v="GREENWAY"/>
    <s v="WAREHOUSE"/>
    <x v="560"/>
    <x v="2"/>
    <x v="2"/>
    <s v="Invoice"/>
    <s v="100001150"/>
    <x v="3"/>
    <x v="379"/>
    <x v="2"/>
    <x v="0"/>
    <n v="120"/>
  </r>
  <r>
    <s v="HAP"/>
    <s v="01"/>
    <s v="GREENWAY"/>
    <s v="ROYAL PALM GC"/>
    <x v="561"/>
    <x v="2"/>
    <x v="2"/>
    <s v="Invoice"/>
    <s v="100001202"/>
    <x v="6"/>
    <x v="5"/>
    <x v="5"/>
    <x v="0"/>
    <n v="20"/>
  </r>
  <r>
    <s v="HAP"/>
    <s v="01"/>
    <s v="GREENWAY"/>
    <s v="ROYAL PALM GC"/>
    <x v="561"/>
    <x v="2"/>
    <x v="2"/>
    <s v="Invoice"/>
    <s v="100001202"/>
    <x v="5"/>
    <x v="4"/>
    <x v="4"/>
    <x v="0"/>
    <n v="40"/>
  </r>
  <r>
    <s v="HAP"/>
    <s v="01"/>
    <s v="GREENWAY"/>
    <s v="ROYAL PALM GC"/>
    <x v="561"/>
    <x v="2"/>
    <x v="2"/>
    <s v="Invoice"/>
    <s v="100001202"/>
    <x v="2"/>
    <x v="0"/>
    <x v="0"/>
    <x v="0"/>
    <n v="40"/>
  </r>
  <r>
    <s v="HAP"/>
    <s v="01"/>
    <s v="GREENWAY"/>
    <s v="CORALCREEK"/>
    <x v="561"/>
    <x v="2"/>
    <x v="2"/>
    <s v="Invoice"/>
    <s v="100001203"/>
    <x v="390"/>
    <x v="16"/>
    <x v="16"/>
    <x v="0"/>
    <n v="55"/>
  </r>
  <r>
    <s v="HAP"/>
    <s v="01"/>
    <s v="GREENWAY"/>
    <s v="CORALCREEK"/>
    <x v="561"/>
    <x v="2"/>
    <x v="2"/>
    <s v="Invoice"/>
    <s v="100001203"/>
    <x v="84"/>
    <x v="11"/>
    <x v="11"/>
    <x v="0"/>
    <n v="55"/>
  </r>
  <r>
    <s v="HAP"/>
    <s v="01"/>
    <s v="GREENWAY"/>
    <s v="CORALCREEK"/>
    <x v="561"/>
    <x v="2"/>
    <x v="2"/>
    <s v="Invoice"/>
    <s v="100001203"/>
    <x v="88"/>
    <x v="2"/>
    <x v="2"/>
    <x v="0"/>
    <n v="55"/>
  </r>
  <r>
    <s v="HAP"/>
    <s v="01"/>
    <s v="GREENWAY"/>
    <s v="MIZNER C. CLUB"/>
    <x v="562"/>
    <x v="2"/>
    <x v="2"/>
    <s v="Invoice"/>
    <s v="100001341"/>
    <x v="6"/>
    <x v="5"/>
    <x v="5"/>
    <x v="0"/>
    <n v="50"/>
  </r>
  <r>
    <s v="HAP"/>
    <s v="01"/>
    <s v="GREENWAY"/>
    <s v="MIZNER C. CLUB"/>
    <x v="562"/>
    <x v="2"/>
    <x v="2"/>
    <s v="Invoice"/>
    <s v="100001341"/>
    <x v="5"/>
    <x v="4"/>
    <x v="4"/>
    <x v="0"/>
    <n v="100"/>
  </r>
  <r>
    <s v="HAP"/>
    <s v="01"/>
    <s v="GREENWAY"/>
    <s v="MIZNER C. CLUB"/>
    <x v="562"/>
    <x v="2"/>
    <x v="2"/>
    <s v="Invoice"/>
    <s v="100001341"/>
    <x v="2"/>
    <x v="0"/>
    <x v="0"/>
    <x v="0"/>
    <n v="100"/>
  </r>
  <r>
    <s v="HAP"/>
    <s v="01"/>
    <s v="GREENWAY"/>
    <s v="MIZNER C. CLUB"/>
    <x v="562"/>
    <x v="2"/>
    <x v="2"/>
    <s v="Invoice"/>
    <s v="100001341"/>
    <x v="3"/>
    <x v="379"/>
    <x v="2"/>
    <x v="0"/>
    <n v="50"/>
  </r>
  <r>
    <s v="DAVID"/>
    <s v="02"/>
    <s v="EVOQUAWATER"/>
    <s v="COUNTYOFCOLLIER"/>
    <x v="563"/>
    <x v="2"/>
    <x v="2"/>
    <s v="Invoice"/>
    <s v="100001073"/>
    <x v="295"/>
    <x v="231"/>
    <x v="54"/>
    <x v="0"/>
    <n v="150"/>
  </r>
  <r>
    <s v="DAVID"/>
    <s v="02"/>
    <s v="BIGEARTH"/>
    <s v="TAMPA"/>
    <x v="564"/>
    <x v="2"/>
    <x v="2"/>
    <s v="Invoice"/>
    <s v="100001112"/>
    <x v="98"/>
    <x v="92"/>
    <x v="40"/>
    <x v="0"/>
    <n v="50"/>
  </r>
  <r>
    <s v="DAVID"/>
    <s v="02"/>
    <s v="RUSSTECH"/>
    <s v="BELL CHEMICAL"/>
    <x v="565"/>
    <x v="2"/>
    <x v="2"/>
    <s v="Invoice"/>
    <s v="100001160"/>
    <x v="507"/>
    <x v="444"/>
    <x v="20"/>
    <x v="1"/>
    <n v="47720"/>
  </r>
  <r>
    <s v="DAVID"/>
    <s v="02"/>
    <s v="EVOQUAWATER"/>
    <s v="MAIN"/>
    <x v="566"/>
    <x v="2"/>
    <x v="2"/>
    <s v="Invoice"/>
    <s v="100001257"/>
    <x v="160"/>
    <x v="231"/>
    <x v="54"/>
    <x v="0"/>
    <n v="360"/>
  </r>
  <r>
    <s v="DAVID"/>
    <s v="02"/>
    <s v="OHARAPEST"/>
    <s v="MAILIING"/>
    <x v="567"/>
    <x v="2"/>
    <x v="2"/>
    <s v="Invoice"/>
    <s v="100001283"/>
    <x v="211"/>
    <x v="187"/>
    <x v="17"/>
    <x v="0"/>
    <n v="5"/>
  </r>
  <r>
    <s v="DAVID"/>
    <s v="02"/>
    <s v="OHARAPEST"/>
    <s v="MAILIING"/>
    <x v="567"/>
    <x v="2"/>
    <x v="2"/>
    <s v="Invoice"/>
    <s v="100001283"/>
    <x v="97"/>
    <x v="91"/>
    <x v="8"/>
    <x v="0"/>
    <n v="250"/>
  </r>
  <r>
    <s v="DAVID"/>
    <s v="02"/>
    <s v="OHARAPEST"/>
    <s v="MAILIING"/>
    <x v="567"/>
    <x v="2"/>
    <x v="2"/>
    <s v="Invoice"/>
    <s v="100001283"/>
    <x v="508"/>
    <x v="445"/>
    <x v="20"/>
    <x v="1"/>
    <n v="10.5"/>
  </r>
  <r>
    <s v="JUSTIN"/>
    <s v="03"/>
    <s v="CPSWACHU"/>
    <s v="WAUCHULA"/>
    <x v="563"/>
    <x v="2"/>
    <x v="2"/>
    <s v="Invoice"/>
    <s v="100001067"/>
    <x v="34"/>
    <x v="29"/>
    <x v="26"/>
    <x v="0"/>
    <n v="180"/>
  </r>
  <r>
    <s v="JUSTIN"/>
    <s v="03"/>
    <s v="CPSOKEE"/>
    <s v="OKEE-LIQ PLANT"/>
    <x v="559"/>
    <x v="2"/>
    <x v="2"/>
    <s v="Invoice"/>
    <s v="100001093"/>
    <x v="134"/>
    <x v="94"/>
    <x v="41"/>
    <x v="0"/>
    <n v="3034.75"/>
  </r>
  <r>
    <s v="JUSTIN"/>
    <s v="03"/>
    <s v="CPSPARRI"/>
    <s v="PARRISH"/>
    <x v="564"/>
    <x v="2"/>
    <x v="2"/>
    <s v="Invoice"/>
    <s v="100001114"/>
    <x v="40"/>
    <x v="35"/>
    <x v="29"/>
    <x v="0"/>
    <n v="180"/>
  </r>
  <r>
    <s v="JUSTIN"/>
    <s v="03"/>
    <s v="CPSPARRI"/>
    <s v="PARRISH"/>
    <x v="564"/>
    <x v="2"/>
    <x v="2"/>
    <s v="Invoice"/>
    <s v="100001125"/>
    <x v="34"/>
    <x v="29"/>
    <x v="26"/>
    <x v="0"/>
    <n v="180"/>
  </r>
  <r>
    <s v="JUSTIN"/>
    <s v="03"/>
    <s v="COUNCILO"/>
    <s v="COUNCIL-OXFORD"/>
    <x v="565"/>
    <x v="2"/>
    <x v="2"/>
    <s v="Invoice"/>
    <s v="100001170"/>
    <x v="34"/>
    <x v="29"/>
    <x v="26"/>
    <x v="0"/>
    <n v="180"/>
  </r>
  <r>
    <s v="JUSTIN"/>
    <s v="03"/>
    <s v="COUNCILO"/>
    <s v="COUNCIL-OXFORD"/>
    <x v="565"/>
    <x v="2"/>
    <x v="2"/>
    <s v="Invoice"/>
    <s v="100001170"/>
    <x v="40"/>
    <x v="35"/>
    <x v="29"/>
    <x v="0"/>
    <n v="180"/>
  </r>
  <r>
    <s v="JUSTIN"/>
    <s v="03"/>
    <s v="CPSPARRI"/>
    <s v="PARRISH"/>
    <x v="565"/>
    <x v="2"/>
    <x v="2"/>
    <s v="Invoice"/>
    <s v="100001171"/>
    <x v="5"/>
    <x v="72"/>
    <x v="4"/>
    <x v="0"/>
    <n v="180"/>
  </r>
  <r>
    <s v=""/>
    <s v="03"/>
    <s v="CPSMULB"/>
    <s v="UAP/MULBERRY"/>
    <x v="565"/>
    <x v="2"/>
    <x v="2"/>
    <s v="Invoice"/>
    <s v="100001172"/>
    <x v="34"/>
    <x v="29"/>
    <x v="26"/>
    <x v="0"/>
    <n v="540"/>
  </r>
  <r>
    <s v="JUSTIN"/>
    <s v="03"/>
    <s v="CPSPARRI"/>
    <s v="PARRISH"/>
    <x v="561"/>
    <x v="2"/>
    <x v="2"/>
    <s v="Invoice"/>
    <s v="100001191"/>
    <x v="34"/>
    <x v="29"/>
    <x v="26"/>
    <x v="0"/>
    <n v="180"/>
  </r>
  <r>
    <s v=""/>
    <s v="03"/>
    <s v="CPSMULB"/>
    <s v="UAP/MULBERRY"/>
    <x v="568"/>
    <x v="2"/>
    <x v="2"/>
    <s v="Invoice"/>
    <s v="100001226"/>
    <x v="34"/>
    <x v="29"/>
    <x v="26"/>
    <x v="0"/>
    <n v="180"/>
  </r>
  <r>
    <s v=""/>
    <s v="03"/>
    <s v="CPSMULB"/>
    <s v="UAP/MULBERRY"/>
    <x v="568"/>
    <x v="2"/>
    <x v="2"/>
    <s v="Invoice"/>
    <s v="100001226"/>
    <x v="5"/>
    <x v="72"/>
    <x v="4"/>
    <x v="0"/>
    <n v="180"/>
  </r>
  <r>
    <s v="JUSTIN"/>
    <s v="03"/>
    <s v="G&amp;DFARMS"/>
    <s v="MIDDLE"/>
    <x v="568"/>
    <x v="2"/>
    <x v="2"/>
    <s v="Invoice"/>
    <s v="100001229"/>
    <x v="509"/>
    <x v="446"/>
    <x v="22"/>
    <x v="2"/>
    <n v="15"/>
  </r>
  <r>
    <s v=""/>
    <s v="03"/>
    <s v="CPSMULB"/>
    <s v="UAP/MULBERRY"/>
    <x v="569"/>
    <x v="2"/>
    <x v="2"/>
    <s v="Invoice"/>
    <s v="100001241"/>
    <x v="5"/>
    <x v="72"/>
    <x v="4"/>
    <x v="0"/>
    <n v="360"/>
  </r>
  <r>
    <s v="JUSTIN"/>
    <s v="03"/>
    <s v="G&amp;DFARMS"/>
    <s v="MIDDLE"/>
    <x v="570"/>
    <x v="2"/>
    <x v="2"/>
    <s v="Invoice"/>
    <s v="100001268"/>
    <x v="509"/>
    <x v="446"/>
    <x v="22"/>
    <x v="2"/>
    <n v="15.0275"/>
  </r>
  <r>
    <s v=""/>
    <s v="03"/>
    <s v="CPSMULB"/>
    <s v="UAP/MULBERRY"/>
    <x v="570"/>
    <x v="2"/>
    <x v="2"/>
    <s v="Invoice"/>
    <s v="100001270"/>
    <x v="31"/>
    <x v="124"/>
    <x v="24"/>
    <x v="0"/>
    <n v="180"/>
  </r>
  <r>
    <s v=""/>
    <s v="03"/>
    <s v="CPSMULB"/>
    <s v="UAP/MULBERRY"/>
    <x v="570"/>
    <x v="2"/>
    <x v="2"/>
    <s v="Invoice"/>
    <s v="100001270"/>
    <x v="34"/>
    <x v="29"/>
    <x v="26"/>
    <x v="0"/>
    <n v="180"/>
  </r>
  <r>
    <s v=""/>
    <s v="03"/>
    <s v="CPSMULB"/>
    <s v="UAP/MULBERRY"/>
    <x v="570"/>
    <x v="2"/>
    <x v="2"/>
    <s v="Invoice"/>
    <s v="100001270"/>
    <x v="5"/>
    <x v="72"/>
    <x v="4"/>
    <x v="0"/>
    <n v="180"/>
  </r>
  <r>
    <s v=""/>
    <s v="03"/>
    <s v="CPSMULB"/>
    <s v="UAP/MULBERRY"/>
    <x v="567"/>
    <x v="2"/>
    <x v="2"/>
    <s v="Invoice"/>
    <s v="100001281"/>
    <x v="5"/>
    <x v="72"/>
    <x v="4"/>
    <x v="0"/>
    <n v="540"/>
  </r>
  <r>
    <s v="JUSTIN"/>
    <s v="03"/>
    <s v="CPSPARRI"/>
    <s v="PARRISH"/>
    <x v="571"/>
    <x v="2"/>
    <x v="2"/>
    <s v="Invoice"/>
    <s v="100001310"/>
    <x v="5"/>
    <x v="72"/>
    <x v="4"/>
    <x v="0"/>
    <n v="180"/>
  </r>
  <r>
    <s v="JUSTIN"/>
    <s v="03"/>
    <s v="COUNCILO"/>
    <s v="COUNCIL-OXFORD"/>
    <x v="571"/>
    <x v="2"/>
    <x v="2"/>
    <s v="Invoice"/>
    <s v="100001312"/>
    <x v="41"/>
    <x v="36"/>
    <x v="26"/>
    <x v="0"/>
    <n v="500"/>
  </r>
  <r>
    <s v="JUSTIN"/>
    <s v="03"/>
    <s v="COUNCILO"/>
    <s v="COUNCIL-OXFORD"/>
    <x v="571"/>
    <x v="2"/>
    <x v="2"/>
    <s v="Invoice"/>
    <s v="100001312"/>
    <x v="168"/>
    <x v="88"/>
    <x v="8"/>
    <x v="0"/>
    <n v="180"/>
  </r>
  <r>
    <s v="JUSTIN"/>
    <s v="03"/>
    <s v="G&amp;DFARMS"/>
    <s v="MIDDLE"/>
    <x v="572"/>
    <x v="2"/>
    <x v="2"/>
    <s v="Invoice"/>
    <s v="100001324"/>
    <x v="509"/>
    <x v="446"/>
    <x v="22"/>
    <x v="2"/>
    <n v="15.02"/>
  </r>
  <r>
    <s v=""/>
    <s v="03"/>
    <s v="CPSMULB"/>
    <s v="UAP/MULBERRY"/>
    <x v="573"/>
    <x v="2"/>
    <x v="2"/>
    <s v="Invoice"/>
    <s v="100001345"/>
    <x v="34"/>
    <x v="29"/>
    <x v="26"/>
    <x v="0"/>
    <n v="180"/>
  </r>
  <r>
    <s v="JUSTIN"/>
    <s v="03"/>
    <s v="CPSWAVER"/>
    <s v="WAVERLY"/>
    <x v="574"/>
    <x v="2"/>
    <x v="2"/>
    <s v="Invoice"/>
    <s v="100001367"/>
    <x v="5"/>
    <x v="72"/>
    <x v="4"/>
    <x v="0"/>
    <n v="180"/>
  </r>
  <r>
    <s v="JUSTIN"/>
    <s v="03"/>
    <s v="CPSWACHU"/>
    <s v="WAUCHULA"/>
    <x v="575"/>
    <x v="2"/>
    <x v="2"/>
    <s v="Invoice"/>
    <s v="100001379"/>
    <x v="196"/>
    <x v="172"/>
    <x v="61"/>
    <x v="0"/>
    <n v="180"/>
  </r>
  <r>
    <s v="JUSTIN"/>
    <s v="03"/>
    <s v="CPSWACHU"/>
    <s v="WAUCHULA"/>
    <x v="575"/>
    <x v="2"/>
    <x v="2"/>
    <s v="Invoice"/>
    <s v="100001380"/>
    <x v="196"/>
    <x v="172"/>
    <x v="61"/>
    <x v="0"/>
    <n v="180"/>
  </r>
  <r>
    <s v="JUSTIN"/>
    <s v="03"/>
    <s v="G&amp;DFARMS"/>
    <s v="MIDDLE"/>
    <x v="575"/>
    <x v="2"/>
    <x v="2"/>
    <s v="Invoice"/>
    <s v="100001384"/>
    <x v="509"/>
    <x v="446"/>
    <x v="22"/>
    <x v="2"/>
    <n v="15.025"/>
  </r>
  <r>
    <s v="DPOPPELL"/>
    <s v="04"/>
    <s v="SWEETLIFE"/>
    <s v="MCGEE RD."/>
    <x v="563"/>
    <x v="2"/>
    <x v="2"/>
    <s v="Invoice"/>
    <s v="100001071"/>
    <x v="67"/>
    <x v="60"/>
    <x v="22"/>
    <x v="2"/>
    <n v="15.045"/>
  </r>
  <r>
    <s v="DPOPPELL"/>
    <s v="04"/>
    <s v="FAVORITE"/>
    <s v="BETHLEHEM ROAD"/>
    <x v="563"/>
    <x v="2"/>
    <x v="2"/>
    <s v="Invoice"/>
    <s v="100001072"/>
    <x v="58"/>
    <x v="51"/>
    <x v="22"/>
    <x v="2"/>
    <n v="15.015000000000001"/>
  </r>
  <r>
    <s v="DPOPPELL"/>
    <s v="04"/>
    <s v="EWSIMMON"/>
    <s v="JERRY SMITH RD"/>
    <x v="576"/>
    <x v="2"/>
    <x v="2"/>
    <s v="Invoice"/>
    <s v="100001074"/>
    <x v="67"/>
    <x v="60"/>
    <x v="22"/>
    <x v="2"/>
    <n v="10.022"/>
  </r>
  <r>
    <s v="DPOPPELL"/>
    <s v="04"/>
    <s v="JOSEHERN"/>
    <s v="SPARKMAN"/>
    <x v="576"/>
    <x v="2"/>
    <x v="2"/>
    <s v="Invoice"/>
    <s v="100001075"/>
    <x v="58"/>
    <x v="51"/>
    <x v="22"/>
    <x v="2"/>
    <n v="10.0025"/>
  </r>
  <r>
    <s v="DPOPPELL"/>
    <s v="04"/>
    <s v="JOEPENA"/>
    <s v="HWY 92"/>
    <x v="576"/>
    <x v="2"/>
    <x v="2"/>
    <s v="Invoice"/>
    <s v="100001076"/>
    <x v="114"/>
    <x v="101"/>
    <x v="22"/>
    <x v="2"/>
    <n v="1"/>
  </r>
  <r>
    <s v="DPOPPELL"/>
    <s v="04"/>
    <s v="DURGAFARMS"/>
    <s v="SOUTHTANK"/>
    <x v="576"/>
    <x v="2"/>
    <x v="2"/>
    <s v="Invoice"/>
    <s v="100001077"/>
    <x v="58"/>
    <x v="51"/>
    <x v="22"/>
    <x v="2"/>
    <n v="5.0075000000000003"/>
  </r>
  <r>
    <s v="DPOPPELL"/>
    <s v="04"/>
    <s v="SRISAIAY"/>
    <s v="PASTURE"/>
    <x v="576"/>
    <x v="2"/>
    <x v="2"/>
    <s v="Invoice"/>
    <s v="100001078"/>
    <x v="58"/>
    <x v="51"/>
    <x v="22"/>
    <x v="2"/>
    <n v="5.0075000000000003"/>
  </r>
  <r>
    <s v="DPOPPELL"/>
    <s v="04"/>
    <s v="CJABBOTT"/>
    <s v="JOHNGILL"/>
    <x v="576"/>
    <x v="2"/>
    <x v="2"/>
    <s v="Invoice"/>
    <s v="100001079"/>
    <x v="58"/>
    <x v="51"/>
    <x v="22"/>
    <x v="2"/>
    <n v="5"/>
  </r>
  <r>
    <s v="DPOPPELL"/>
    <s v="04"/>
    <s v="MIDWAYF"/>
    <s v="WILDER RD."/>
    <x v="576"/>
    <x v="2"/>
    <x v="2"/>
    <s v="Invoice"/>
    <s v="100001080"/>
    <x v="67"/>
    <x v="60"/>
    <x v="22"/>
    <x v="2"/>
    <n v="2"/>
  </r>
  <r>
    <s v="DPOPPELL"/>
    <s v="04"/>
    <s v="FORTGREENFARMS"/>
    <s v="FTGREEN"/>
    <x v="576"/>
    <x v="2"/>
    <x v="2"/>
    <s v="Invoice"/>
    <s v="100001081"/>
    <x v="58"/>
    <x v="51"/>
    <x v="22"/>
    <x v="2"/>
    <n v="10.01"/>
  </r>
  <r>
    <s v="DPOPPELL"/>
    <s v="04"/>
    <s v="JOSEHERN"/>
    <s v="DURANT"/>
    <x v="576"/>
    <x v="2"/>
    <x v="2"/>
    <s v="Invoice"/>
    <s v="100001082"/>
    <x v="55"/>
    <x v="48"/>
    <x v="22"/>
    <x v="2"/>
    <n v="8"/>
  </r>
  <r>
    <s v="DPOPPELL"/>
    <s v="04"/>
    <s v="GAONA, ESPER"/>
    <s v="STRAUSS RD."/>
    <x v="576"/>
    <x v="2"/>
    <x v="2"/>
    <s v="Invoice"/>
    <s v="100001083"/>
    <x v="28"/>
    <x v="23"/>
    <x v="22"/>
    <x v="2"/>
    <n v="1.2549999999999999"/>
  </r>
  <r>
    <s v=""/>
    <s v="04"/>
    <s v="PORTER HA"/>
    <s v="BILLS PLACE"/>
    <x v="576"/>
    <x v="2"/>
    <x v="2"/>
    <s v="Invoice"/>
    <s v="100001084"/>
    <x v="375"/>
    <x v="329"/>
    <x v="22"/>
    <x v="2"/>
    <n v="9.0050000000000008"/>
  </r>
  <r>
    <s v="DPOPPELL"/>
    <s v="04"/>
    <s v="ALONSOFARMS"/>
    <s v="GALLAGHER"/>
    <x v="559"/>
    <x v="2"/>
    <x v="2"/>
    <s v="Invoice"/>
    <s v="100001086"/>
    <x v="58"/>
    <x v="51"/>
    <x v="22"/>
    <x v="2"/>
    <n v="5.0175000000000001"/>
  </r>
  <r>
    <s v="DPOPPELL"/>
    <s v="04"/>
    <s v="GILLMANBUDD"/>
    <s v="FORBES"/>
    <x v="559"/>
    <x v="2"/>
    <x v="2"/>
    <s v="Invoice"/>
    <s v="100001087"/>
    <x v="510"/>
    <x v="447"/>
    <x v="22"/>
    <x v="2"/>
    <n v="5.0025000000000004"/>
  </r>
  <r>
    <s v="DPOPPELL"/>
    <s v="04"/>
    <s v="ALVAREZJ"/>
    <s v="ROGERS"/>
    <x v="559"/>
    <x v="2"/>
    <x v="2"/>
    <s v="Invoice"/>
    <s v="100001088"/>
    <x v="68"/>
    <x v="61"/>
    <x v="22"/>
    <x v="2"/>
    <n v="3"/>
  </r>
  <r>
    <s v="DPOPPELL"/>
    <s v="04"/>
    <s v="SWEETLIFE"/>
    <s v="KNIGHTS GRIFFIN"/>
    <x v="559"/>
    <x v="2"/>
    <x v="2"/>
    <s v="Invoice"/>
    <s v="100001089"/>
    <x v="67"/>
    <x v="60"/>
    <x v="22"/>
    <x v="2"/>
    <n v="20.012499999999999"/>
  </r>
  <r>
    <s v="DPOPPELL"/>
    <s v="04"/>
    <s v="MIDWAYF"/>
    <s v="ALS - NORTH"/>
    <x v="559"/>
    <x v="2"/>
    <x v="2"/>
    <s v="Invoice"/>
    <s v="100001094"/>
    <x v="67"/>
    <x v="60"/>
    <x v="22"/>
    <x v="2"/>
    <n v="7.2474999999999996"/>
  </r>
  <r>
    <s v="DPOPPELL"/>
    <s v="04"/>
    <s v="M&amp;GFARMS"/>
    <s v="ALLENRD"/>
    <x v="577"/>
    <x v="2"/>
    <x v="2"/>
    <s v="Invoice"/>
    <s v="100001099"/>
    <x v="58"/>
    <x v="51"/>
    <x v="22"/>
    <x v="2"/>
    <n v="15.0175"/>
  </r>
  <r>
    <s v="DPOPPELL"/>
    <s v="04"/>
    <s v="EWSIMMON"/>
    <s v="TURKEY CRK"/>
    <x v="577"/>
    <x v="2"/>
    <x v="2"/>
    <s v="Invoice"/>
    <s v="100001100"/>
    <x v="357"/>
    <x v="317"/>
    <x v="25"/>
    <x v="0"/>
    <n v="2.25"/>
  </r>
  <r>
    <s v="DPOPPELL"/>
    <s v="04"/>
    <s v="EWSIMMON"/>
    <s v="TURKEY CRK"/>
    <x v="577"/>
    <x v="2"/>
    <x v="2"/>
    <s v="Invoice"/>
    <s v="100001100"/>
    <x v="67"/>
    <x v="60"/>
    <x v="22"/>
    <x v="2"/>
    <n v="5.0049999999999999"/>
  </r>
  <r>
    <s v="DPOPPELL"/>
    <s v="04"/>
    <s v="BEAUCHAMP"/>
    <s v="GALLAGHER"/>
    <x v="577"/>
    <x v="2"/>
    <x v="2"/>
    <s v="Invoice"/>
    <s v="100001101"/>
    <x v="50"/>
    <x v="43"/>
    <x v="22"/>
    <x v="2"/>
    <n v="3.5049999999999999"/>
  </r>
  <r>
    <s v="DPOPPELL"/>
    <s v="04"/>
    <s v="JOSEHERN"/>
    <s v="KEYSVILLE N"/>
    <x v="577"/>
    <x v="2"/>
    <x v="2"/>
    <s v="Invoice"/>
    <s v="100001102"/>
    <x v="58"/>
    <x v="51"/>
    <x v="22"/>
    <x v="2"/>
    <n v="14.984999999999999"/>
  </r>
  <r>
    <s v="DPOPPELL"/>
    <s v="04"/>
    <s v="GAONA, ESPER"/>
    <s v="SMOKINACES"/>
    <x v="577"/>
    <x v="2"/>
    <x v="2"/>
    <s v="Invoice"/>
    <s v="100001103"/>
    <x v="28"/>
    <x v="23"/>
    <x v="22"/>
    <x v="2"/>
    <n v="3.7425000000000002"/>
  </r>
  <r>
    <s v="DPOPPELL"/>
    <s v="04"/>
    <s v="GUTIERREZA"/>
    <s v="DUETTE"/>
    <x v="577"/>
    <x v="2"/>
    <x v="2"/>
    <s v="Invoice"/>
    <s v="100001104"/>
    <x v="58"/>
    <x v="51"/>
    <x v="22"/>
    <x v="2"/>
    <n v="2.5074999999999998"/>
  </r>
  <r>
    <s v="DPOPPELL"/>
    <s v="04"/>
    <s v="ALONSOFARMS"/>
    <s v="WIMAUMA"/>
    <x v="577"/>
    <x v="2"/>
    <x v="2"/>
    <s v="Invoice"/>
    <s v="100001105"/>
    <x v="58"/>
    <x v="51"/>
    <x v="22"/>
    <x v="2"/>
    <n v="5.0049999999999999"/>
  </r>
  <r>
    <s v="DPOPPELL"/>
    <s v="04"/>
    <s v="MIDWAYF"/>
    <s v="NURSERY"/>
    <x v="577"/>
    <x v="2"/>
    <x v="2"/>
    <s v="Invoice"/>
    <s v="100001106"/>
    <x v="67"/>
    <x v="60"/>
    <x v="22"/>
    <x v="2"/>
    <n v="10.0025"/>
  </r>
  <r>
    <s v="DPOPPELL"/>
    <s v="04"/>
    <s v="THREESTA"/>
    <s v="WALDEN-SHEFFIEL"/>
    <x v="559"/>
    <x v="2"/>
    <x v="2"/>
    <s v="Invoice"/>
    <s v="100001107"/>
    <x v="511"/>
    <x v="448"/>
    <x v="22"/>
    <x v="2"/>
    <n v="8.0150000000000006"/>
  </r>
  <r>
    <s v="DPOPPELL"/>
    <s v="04"/>
    <s v="FLORIDAAG"/>
    <s v="KINGSWAY"/>
    <x v="559"/>
    <x v="2"/>
    <x v="2"/>
    <s v="Invoice"/>
    <s v="100001108"/>
    <x v="326"/>
    <x v="289"/>
    <x v="22"/>
    <x v="2"/>
    <n v="2.2524999999999999"/>
  </r>
  <r>
    <s v="DPOPPELL"/>
    <s v="04"/>
    <s v="MIDWAYF"/>
    <s v="FUTCH"/>
    <x v="559"/>
    <x v="2"/>
    <x v="2"/>
    <s v="Invoice"/>
    <s v="100001109"/>
    <x v="67"/>
    <x v="60"/>
    <x v="22"/>
    <x v="2"/>
    <n v="10.0075"/>
  </r>
  <r>
    <s v="DPOPPELL"/>
    <s v="04"/>
    <s v="GUTIERREZA"/>
    <s v="DUETTE"/>
    <x v="559"/>
    <x v="2"/>
    <x v="2"/>
    <s v="Invoice"/>
    <s v="100001110"/>
    <x v="69"/>
    <x v="62"/>
    <x v="22"/>
    <x v="2"/>
    <n v="20.002500000000001"/>
  </r>
  <r>
    <s v="DPOPPELL"/>
    <s v="04"/>
    <s v="GUTIERREZA"/>
    <s v="JL"/>
    <x v="577"/>
    <x v="2"/>
    <x v="2"/>
    <s v="Invoice"/>
    <s v="100001111"/>
    <x v="58"/>
    <x v="51"/>
    <x v="22"/>
    <x v="2"/>
    <n v="12.48"/>
  </r>
  <r>
    <s v="DPOPPELL"/>
    <s v="04"/>
    <s v="MENDOZAHEC"/>
    <s v="FARKAS"/>
    <x v="577"/>
    <x v="2"/>
    <x v="2"/>
    <s v="Invoice"/>
    <s v="100001117"/>
    <x v="43"/>
    <x v="38"/>
    <x v="22"/>
    <x v="2"/>
    <n v="9.9975000000000005"/>
  </r>
  <r>
    <s v="DPOPPELL"/>
    <s v="04"/>
    <s v="THREESTA"/>
    <s v="MAILING"/>
    <x v="564"/>
    <x v="2"/>
    <x v="2"/>
    <s v="Invoice"/>
    <s v="100001118"/>
    <x v="85"/>
    <x v="213"/>
    <x v="35"/>
    <x v="0"/>
    <n v="35"/>
  </r>
  <r>
    <s v="DPOPPELL"/>
    <s v="04"/>
    <s v="SANCHEZFARM"/>
    <s v="WACHULA"/>
    <x v="564"/>
    <x v="2"/>
    <x v="2"/>
    <s v="Invoice"/>
    <s v="100001119"/>
    <x v="43"/>
    <x v="38"/>
    <x v="22"/>
    <x v="2"/>
    <n v="7.5"/>
  </r>
  <r>
    <s v="DPOPPELL"/>
    <s v="04"/>
    <s v="EBERTBENJIMAN"/>
    <s v="MAIN"/>
    <x v="564"/>
    <x v="2"/>
    <x v="2"/>
    <s v="Invoice"/>
    <s v="100001120"/>
    <x v="85"/>
    <x v="213"/>
    <x v="35"/>
    <x v="0"/>
    <n v="2.5"/>
  </r>
  <r>
    <s v="DPOPPELL"/>
    <s v="04"/>
    <s v="EBERTBENJIMAN"/>
    <s v="MAIN"/>
    <x v="564"/>
    <x v="2"/>
    <x v="2"/>
    <s v="Invoice"/>
    <s v="100001120"/>
    <x v="5"/>
    <x v="72"/>
    <x v="4"/>
    <x v="0"/>
    <n v="2.5"/>
  </r>
  <r>
    <s v="DPOPPELL"/>
    <s v="04"/>
    <s v="GERALDWI"/>
    <s v="MCINTOSH ROAD"/>
    <x v="564"/>
    <x v="2"/>
    <x v="2"/>
    <s v="Invoice"/>
    <s v="100001121"/>
    <x v="69"/>
    <x v="62"/>
    <x v="22"/>
    <x v="2"/>
    <n v="10.0025"/>
  </r>
  <r>
    <s v="DPOPPELL"/>
    <s v="04"/>
    <s v="THREESTA"/>
    <s v="MAILING"/>
    <x v="564"/>
    <x v="2"/>
    <x v="2"/>
    <s v="Invoice"/>
    <s v="100001122"/>
    <x v="5"/>
    <x v="72"/>
    <x v="4"/>
    <x v="0"/>
    <n v="35"/>
  </r>
  <r>
    <s v="DPOPPELL"/>
    <s v="04"/>
    <s v="SWEETLIFE"/>
    <s v="SWINDLES"/>
    <x v="564"/>
    <x v="2"/>
    <x v="2"/>
    <s v="Invoice"/>
    <s v="100001123"/>
    <x v="67"/>
    <x v="60"/>
    <x v="22"/>
    <x v="2"/>
    <n v="10.02"/>
  </r>
  <r>
    <s v="DPOPPELL"/>
    <s v="04"/>
    <s v="SYDNEYFA"/>
    <s v="FORBES ROAD"/>
    <x v="564"/>
    <x v="2"/>
    <x v="2"/>
    <s v="Invoice"/>
    <s v="100001124"/>
    <x v="511"/>
    <x v="448"/>
    <x v="22"/>
    <x v="2"/>
    <n v="5"/>
  </r>
  <r>
    <s v="DPOPPELL"/>
    <s v="04"/>
    <s v="SANCHEZFARM"/>
    <s v="WACHULA"/>
    <x v="564"/>
    <x v="2"/>
    <x v="2"/>
    <s v="Invoice"/>
    <s v="100001126"/>
    <x v="59"/>
    <x v="52"/>
    <x v="22"/>
    <x v="2"/>
    <n v="15.01"/>
  </r>
  <r>
    <s v="DPOPPELL"/>
    <s v="04"/>
    <s v="MENDOZAHEC"/>
    <s v="OLIVERRD"/>
    <x v="564"/>
    <x v="2"/>
    <x v="2"/>
    <s v="Invoice"/>
    <s v="100001127"/>
    <x v="43"/>
    <x v="38"/>
    <x v="22"/>
    <x v="2"/>
    <n v="8.5024999999999995"/>
  </r>
  <r>
    <s v="DPOPPELL"/>
    <s v="04"/>
    <s v="SPIVEYFA"/>
    <s v="HOPEWELL"/>
    <x v="564"/>
    <x v="2"/>
    <x v="2"/>
    <s v="Invoice"/>
    <s v="100001128"/>
    <x v="56"/>
    <x v="49"/>
    <x v="22"/>
    <x v="2"/>
    <n v="3.9950000000000001"/>
  </r>
  <r>
    <s v="DPOPPELL"/>
    <s v="04"/>
    <s v="CHBERRY"/>
    <s v="BOBCAT"/>
    <x v="564"/>
    <x v="2"/>
    <x v="2"/>
    <s v="Invoice"/>
    <s v="100001129"/>
    <x v="58"/>
    <x v="51"/>
    <x v="22"/>
    <x v="2"/>
    <n v="2.5049999999999999"/>
  </r>
  <r>
    <s v="DPOPPELL"/>
    <s v="04"/>
    <s v="PARKESDA"/>
    <s v="HILL"/>
    <x v="564"/>
    <x v="2"/>
    <x v="2"/>
    <s v="Invoice"/>
    <s v="100001130"/>
    <x v="65"/>
    <x v="58"/>
    <x v="22"/>
    <x v="2"/>
    <n v="10"/>
  </r>
  <r>
    <s v="DPOPPELL"/>
    <s v="04"/>
    <s v="FANCYFAR"/>
    <s v="CASON1"/>
    <x v="564"/>
    <x v="2"/>
    <x v="2"/>
    <s v="Invoice"/>
    <s v="100001131"/>
    <x v="50"/>
    <x v="43"/>
    <x v="22"/>
    <x v="2"/>
    <n v="8.0425000000000004"/>
  </r>
  <r>
    <s v="DPOPPELL"/>
    <s v="04"/>
    <s v="SWEETLIFE"/>
    <s v="SWINDLEN"/>
    <x v="578"/>
    <x v="2"/>
    <x v="2"/>
    <s v="Invoice"/>
    <s v="100001132"/>
    <x v="67"/>
    <x v="60"/>
    <x v="22"/>
    <x v="2"/>
    <n v="10.007"/>
  </r>
  <r>
    <s v="DPOPPELL"/>
    <s v="04"/>
    <s v="MENDOZAHEC"/>
    <s v="FISHFARM"/>
    <x v="578"/>
    <x v="2"/>
    <x v="2"/>
    <s v="Invoice"/>
    <s v="100001133"/>
    <x v="43"/>
    <x v="38"/>
    <x v="22"/>
    <x v="2"/>
    <n v="2.5024999999999999"/>
  </r>
  <r>
    <s v="DPOPPELL"/>
    <s v="04"/>
    <s v="EWSIMMON"/>
    <s v="JERRY SMITH RD"/>
    <x v="578"/>
    <x v="2"/>
    <x v="2"/>
    <s v="Invoice"/>
    <s v="100001134"/>
    <x v="357"/>
    <x v="317"/>
    <x v="25"/>
    <x v="0"/>
    <n v="1.875"/>
  </r>
  <r>
    <s v="DPOPPELL"/>
    <s v="04"/>
    <s v="EWSIMMON"/>
    <s v="JERRY SMITH RD"/>
    <x v="578"/>
    <x v="2"/>
    <x v="2"/>
    <s v="Invoice"/>
    <s v="100001134"/>
    <x v="67"/>
    <x v="60"/>
    <x v="22"/>
    <x v="2"/>
    <n v="5.01"/>
  </r>
  <r>
    <s v="DPOPPELL"/>
    <s v="04"/>
    <s v="MENDOZAHEC"/>
    <s v="LONEOAK"/>
    <x v="578"/>
    <x v="2"/>
    <x v="2"/>
    <s v="Invoice"/>
    <s v="100001135"/>
    <x v="43"/>
    <x v="38"/>
    <x v="22"/>
    <x v="2"/>
    <n v="1.2675000000000001"/>
  </r>
  <r>
    <s v="DPOPPELL"/>
    <s v="04"/>
    <s v="SYDNEYFA"/>
    <s v="FORBES/NORTH"/>
    <x v="560"/>
    <x v="2"/>
    <x v="2"/>
    <s v="Invoice"/>
    <s v="100001142"/>
    <x v="511"/>
    <x v="448"/>
    <x v="22"/>
    <x v="2"/>
    <n v="5"/>
  </r>
  <r>
    <s v="DPOPPELL"/>
    <s v="04"/>
    <s v="SYDNEYFA"/>
    <s v="SYDNEY-WASHER"/>
    <x v="560"/>
    <x v="2"/>
    <x v="2"/>
    <s v="Invoice"/>
    <s v="100001143"/>
    <x v="511"/>
    <x v="448"/>
    <x v="22"/>
    <x v="2"/>
    <n v="5.01"/>
  </r>
  <r>
    <s v="DPOPPELL"/>
    <s v="04"/>
    <s v="CIRCLEGF&amp;R LLC"/>
    <s v="KNIGHTS-N-#16"/>
    <x v="560"/>
    <x v="2"/>
    <x v="2"/>
    <s v="Invoice"/>
    <s v="100001144"/>
    <x v="67"/>
    <x v="60"/>
    <x v="22"/>
    <x v="2"/>
    <n v="15.0375"/>
  </r>
  <r>
    <s v="DPOPPELL"/>
    <s v="04"/>
    <s v="FRANKLIN"/>
    <s v="HARVEY TEW ROAD"/>
    <x v="560"/>
    <x v="2"/>
    <x v="2"/>
    <s v="Invoice"/>
    <s v="100001145"/>
    <x v="140"/>
    <x v="72"/>
    <x v="4"/>
    <x v="0"/>
    <n v="250"/>
  </r>
  <r>
    <s v="DPOPPELL"/>
    <s v="04"/>
    <s v="M&amp;GFARMS"/>
    <s v="ONA"/>
    <x v="560"/>
    <x v="2"/>
    <x v="2"/>
    <s v="Invoice"/>
    <s v="100001146"/>
    <x v="58"/>
    <x v="51"/>
    <x v="22"/>
    <x v="2"/>
    <n v="15.02"/>
  </r>
  <r>
    <s v="DPOPPELL"/>
    <s v="04"/>
    <s v="FERRISFA"/>
    <s v="STRABERRIES"/>
    <x v="560"/>
    <x v="2"/>
    <x v="2"/>
    <s v="Invoice"/>
    <s v="100001148"/>
    <x v="154"/>
    <x v="136"/>
    <x v="22"/>
    <x v="2"/>
    <n v="20.03"/>
  </r>
  <r>
    <s v="DPOPPELL"/>
    <s v="04"/>
    <s v="FRANKLIN"/>
    <s v="MCGEE RD. NORTH"/>
    <x v="560"/>
    <x v="2"/>
    <x v="2"/>
    <s v="Invoice"/>
    <s v="100001151"/>
    <x v="28"/>
    <x v="23"/>
    <x v="22"/>
    <x v="2"/>
    <n v="6.51"/>
  </r>
  <r>
    <s v="DPOPPELL"/>
    <s v="04"/>
    <s v="CIRCLEGF&amp;R LLC"/>
    <s v="KNIGHTS-N/SOUTH"/>
    <x v="560"/>
    <x v="2"/>
    <x v="2"/>
    <s v="Invoice"/>
    <s v="100001152"/>
    <x v="67"/>
    <x v="60"/>
    <x v="22"/>
    <x v="2"/>
    <n v="15.012499999999999"/>
  </r>
  <r>
    <s v="DPOPPELL"/>
    <s v="04"/>
    <s v="FRANKLIN"/>
    <s v="FRANKLIN FARM"/>
    <x v="560"/>
    <x v="2"/>
    <x v="2"/>
    <s v="Invoice"/>
    <s v="100001153"/>
    <x v="43"/>
    <x v="38"/>
    <x v="22"/>
    <x v="2"/>
    <n v="10.015000000000001"/>
  </r>
  <r>
    <s v="DPOPPELL"/>
    <s v="04"/>
    <s v="MIKELOTT"/>
    <s v="HILLSBOROUGH/E"/>
    <x v="565"/>
    <x v="2"/>
    <x v="2"/>
    <s v="Invoice"/>
    <s v="100001156"/>
    <x v="43"/>
    <x v="38"/>
    <x v="22"/>
    <x v="2"/>
    <n v="5.01"/>
  </r>
  <r>
    <s v="DPOPPELL"/>
    <s v="04"/>
    <s v="CJABBOTT"/>
    <s v="MAIN"/>
    <x v="565"/>
    <x v="2"/>
    <x v="2"/>
    <s v="Invoice"/>
    <s v="100001157A"/>
    <x v="58"/>
    <x v="51"/>
    <x v="22"/>
    <x v="2"/>
    <n v="2.5"/>
  </r>
  <r>
    <s v="DPOPPELL"/>
    <s v="04"/>
    <s v="FORTGREENFARMS"/>
    <s v="FTGREEN"/>
    <x v="565"/>
    <x v="2"/>
    <x v="2"/>
    <s v="Invoice"/>
    <s v="100001158A"/>
    <x v="58"/>
    <x v="51"/>
    <x v="22"/>
    <x v="2"/>
    <n v="12.5"/>
  </r>
  <r>
    <s v="DPOPPELL"/>
    <s v="04"/>
    <s v="DESHONGK"/>
    <s v="KNIGHTS/SCHOOL"/>
    <x v="565"/>
    <x v="2"/>
    <x v="2"/>
    <s v="Invoice"/>
    <s v="100001159"/>
    <x v="43"/>
    <x v="38"/>
    <x v="22"/>
    <x v="2"/>
    <n v="5.0025000000000004"/>
  </r>
  <r>
    <s v="DPOPPELL"/>
    <s v="04"/>
    <s v="ROQUEFARMS"/>
    <s v="MAIN"/>
    <x v="565"/>
    <x v="2"/>
    <x v="2"/>
    <s v="Invoice"/>
    <s v="100001161"/>
    <x v="233"/>
    <x v="209"/>
    <x v="22"/>
    <x v="2"/>
    <n v="13.75"/>
  </r>
  <r>
    <s v="DPOPPELL"/>
    <s v="04"/>
    <s v="ROQUEFARMS"/>
    <s v="SWEETWATER"/>
    <x v="565"/>
    <x v="2"/>
    <x v="2"/>
    <s v="Invoice"/>
    <s v="100001162"/>
    <x v="140"/>
    <x v="72"/>
    <x v="4"/>
    <x v="0"/>
    <n v="250"/>
  </r>
  <r>
    <s v="DPOPPELL"/>
    <s v="04"/>
    <s v="FORTGREENFARMS"/>
    <s v="MAIN"/>
    <x v="565"/>
    <x v="2"/>
    <x v="2"/>
    <s v="Invoice"/>
    <s v="100001163"/>
    <x v="34"/>
    <x v="29"/>
    <x v="26"/>
    <x v="0"/>
    <n v="60"/>
  </r>
  <r>
    <s v="DPOPPELL"/>
    <s v="04"/>
    <s v="CJABBOTT"/>
    <s v="MAIN"/>
    <x v="565"/>
    <x v="2"/>
    <x v="2"/>
    <s v="Invoice"/>
    <s v="100001164"/>
    <x v="34"/>
    <x v="29"/>
    <x v="26"/>
    <x v="0"/>
    <n v="20"/>
  </r>
  <r>
    <s v="DPOPPELL"/>
    <s v="04"/>
    <s v="CHARLIEG-LLC"/>
    <s v="DAIRY"/>
    <x v="565"/>
    <x v="2"/>
    <x v="2"/>
    <s v="Invoice"/>
    <s v="100001165"/>
    <x v="67"/>
    <x v="60"/>
    <x v="22"/>
    <x v="2"/>
    <n v="12.54"/>
  </r>
  <r>
    <s v="DPOPPELL"/>
    <s v="04"/>
    <s v="CHARLIEG-LLC"/>
    <s v="DAIRY"/>
    <x v="565"/>
    <x v="2"/>
    <x v="2"/>
    <s v="Invoice"/>
    <s v="100001166"/>
    <x v="67"/>
    <x v="60"/>
    <x v="22"/>
    <x v="2"/>
    <n v="11.015000000000001"/>
  </r>
  <r>
    <s v="DPOPPELL"/>
    <s v="04"/>
    <s v="LEE GILLM"/>
    <s v="STAFFORD/HOME"/>
    <x v="565"/>
    <x v="2"/>
    <x v="2"/>
    <s v="Invoice"/>
    <s v="100001167"/>
    <x v="63"/>
    <x v="56"/>
    <x v="22"/>
    <x v="2"/>
    <n v="5.01"/>
  </r>
  <r>
    <s v="DPOPPELL"/>
    <s v="04"/>
    <s v="THREESTA"/>
    <s v="WALDEN-SHEFFIEL"/>
    <x v="565"/>
    <x v="2"/>
    <x v="2"/>
    <s v="Invoice"/>
    <s v="100001168"/>
    <x v="357"/>
    <x v="317"/>
    <x v="25"/>
    <x v="0"/>
    <n v="2.8125"/>
  </r>
  <r>
    <s v="DPOPPELL"/>
    <s v="04"/>
    <s v="THREESTA"/>
    <s v="WALDEN-SHEFFIEL"/>
    <x v="565"/>
    <x v="2"/>
    <x v="2"/>
    <s v="Invoice"/>
    <s v="100001168"/>
    <x v="511"/>
    <x v="448"/>
    <x v="22"/>
    <x v="2"/>
    <n v="7.5175000000000001"/>
  </r>
  <r>
    <s v="DPOPPELL"/>
    <s v="04"/>
    <s v="GUTIERREZDAN"/>
    <s v="THEHILL"/>
    <x v="565"/>
    <x v="2"/>
    <x v="2"/>
    <s v="Invoice"/>
    <s v="100001169"/>
    <x v="58"/>
    <x v="51"/>
    <x v="22"/>
    <x v="2"/>
    <n v="10.53"/>
  </r>
  <r>
    <s v="DPOPPELL"/>
    <s v="04"/>
    <s v="STRAWBERRYR"/>
    <s v="RANCH 4"/>
    <x v="579"/>
    <x v="2"/>
    <x v="2"/>
    <s v="Invoice"/>
    <s v="100001174"/>
    <x v="357"/>
    <x v="317"/>
    <x v="25"/>
    <x v="0"/>
    <n v="5.1624999999999996"/>
  </r>
  <r>
    <s v="DPOPPELL"/>
    <s v="04"/>
    <s v="STRAWBERRYR"/>
    <s v="RANCH 4"/>
    <x v="579"/>
    <x v="2"/>
    <x v="2"/>
    <s v="Invoice"/>
    <s v="100001174"/>
    <x v="205"/>
    <x v="181"/>
    <x v="22"/>
    <x v="2"/>
    <n v="15"/>
  </r>
  <r>
    <s v="DPOPPELL"/>
    <s v="04"/>
    <s v="GUTIERREZA"/>
    <s v="WASHINGTON"/>
    <x v="579"/>
    <x v="2"/>
    <x v="2"/>
    <s v="Invoice"/>
    <s v="100001175"/>
    <x v="69"/>
    <x v="62"/>
    <x v="22"/>
    <x v="2"/>
    <n v="4.0025000000000004"/>
  </r>
  <r>
    <s v="DPOPPELL"/>
    <s v="04"/>
    <s v="GAONA, ESPER"/>
    <s v="MAILING"/>
    <x v="579"/>
    <x v="2"/>
    <x v="2"/>
    <s v="Invoice"/>
    <s v="100001176"/>
    <x v="28"/>
    <x v="23"/>
    <x v="22"/>
    <x v="2"/>
    <n v="2.5125000000000002"/>
  </r>
  <r>
    <s v="DPOPPELL"/>
    <s v="04"/>
    <s v="SRISAIAY"/>
    <s v="PASTURE"/>
    <x v="579"/>
    <x v="2"/>
    <x v="2"/>
    <s v="Invoice"/>
    <s v="100001177"/>
    <x v="27"/>
    <x v="22"/>
    <x v="22"/>
    <x v="2"/>
    <n v="7.51"/>
  </r>
  <r>
    <s v="DPOPPELL"/>
    <s v="04"/>
    <s v="PIGEONCOVE"/>
    <s v="MAIN"/>
    <x v="579"/>
    <x v="2"/>
    <x v="2"/>
    <s v="Invoice"/>
    <s v="100001180"/>
    <x v="43"/>
    <x v="38"/>
    <x v="22"/>
    <x v="2"/>
    <n v="2.5"/>
  </r>
  <r>
    <s v="DPOPPELL"/>
    <s v="04"/>
    <s v="CENFLO ORGANICS"/>
    <s v="MCINTOSH"/>
    <x v="579"/>
    <x v="2"/>
    <x v="2"/>
    <s v="Invoice"/>
    <s v="100001181"/>
    <x v="65"/>
    <x v="58"/>
    <x v="22"/>
    <x v="2"/>
    <n v="6.5125000000000002"/>
  </r>
  <r>
    <s v="DPOPPELL"/>
    <s v="04"/>
    <s v="DURGAFARMS"/>
    <s v="SOUTHTANK"/>
    <x v="579"/>
    <x v="2"/>
    <x v="2"/>
    <s v="Invoice"/>
    <s v="100001183"/>
    <x v="27"/>
    <x v="22"/>
    <x v="22"/>
    <x v="2"/>
    <n v="10.035"/>
  </r>
  <r>
    <s v="DPOPPELL"/>
    <s v="04"/>
    <s v="MENDOZAHEC"/>
    <s v="HWY60"/>
    <x v="579"/>
    <x v="2"/>
    <x v="2"/>
    <s v="Invoice"/>
    <s v="100001184"/>
    <x v="69"/>
    <x v="62"/>
    <x v="22"/>
    <x v="2"/>
    <n v="4"/>
  </r>
  <r>
    <s v="DPOPPELL"/>
    <s v="04"/>
    <s v="MIDWAYF"/>
    <s v="SAMALLEN"/>
    <x v="561"/>
    <x v="2"/>
    <x v="2"/>
    <s v="Invoice"/>
    <s v="100001189"/>
    <x v="67"/>
    <x v="60"/>
    <x v="22"/>
    <x v="2"/>
    <n v="5.7824999999999998"/>
  </r>
  <r>
    <s v="DPOPPELL"/>
    <s v="04"/>
    <s v="IFASGULF"/>
    <s v="BALM-STRAWBERRY"/>
    <x v="561"/>
    <x v="2"/>
    <x v="2"/>
    <s v="Invoice"/>
    <s v="100001190"/>
    <x v="356"/>
    <x v="316"/>
    <x v="22"/>
    <x v="2"/>
    <n v="1.1875"/>
  </r>
  <r>
    <s v="DPOPPELL"/>
    <s v="04"/>
    <s v="IFASGULF"/>
    <s v="BALM-STRAWBERRY"/>
    <x v="561"/>
    <x v="2"/>
    <x v="2"/>
    <s v="Invoice"/>
    <s v="100001195"/>
    <x v="28"/>
    <x v="23"/>
    <x v="22"/>
    <x v="2"/>
    <n v="7.5"/>
  </r>
  <r>
    <s v="DPOPPELL"/>
    <s v="04"/>
    <s v="GUTIERREZA"/>
    <s v="DUETTE"/>
    <x v="561"/>
    <x v="2"/>
    <x v="2"/>
    <s v="Invoice"/>
    <s v="100001196"/>
    <x v="58"/>
    <x v="51"/>
    <x v="22"/>
    <x v="2"/>
    <n v="2.5150000000000001"/>
  </r>
  <r>
    <s v="DPOPPELL"/>
    <s v="04"/>
    <s v="SWEETFARMS"/>
    <s v="SPRINGHEAD"/>
    <x v="561"/>
    <x v="2"/>
    <x v="2"/>
    <s v="Invoice"/>
    <s v="100001197"/>
    <x v="58"/>
    <x v="51"/>
    <x v="22"/>
    <x v="2"/>
    <n v="2.0099999999999998"/>
  </r>
  <r>
    <s v="DPOPPELL"/>
    <s v="04"/>
    <s v="GUTIERREZA"/>
    <s v="DUETTE"/>
    <x v="561"/>
    <x v="2"/>
    <x v="2"/>
    <s v="Invoice"/>
    <s v="100001198"/>
    <x v="69"/>
    <x v="62"/>
    <x v="22"/>
    <x v="2"/>
    <n v="5.0149999999999997"/>
  </r>
  <r>
    <s v="DPOPPELL"/>
    <s v="04"/>
    <s v="PARKESDA"/>
    <s v="HILL"/>
    <x v="561"/>
    <x v="2"/>
    <x v="2"/>
    <s v="Invoice"/>
    <s v="100001199"/>
    <x v="65"/>
    <x v="58"/>
    <x v="22"/>
    <x v="2"/>
    <n v="10.022500000000001"/>
  </r>
  <r>
    <s v="DPOPPELL"/>
    <s v="04"/>
    <s v="STRAWBERRYR"/>
    <s v="RANCH 2"/>
    <x v="561"/>
    <x v="2"/>
    <x v="2"/>
    <s v="Invoice"/>
    <s v="100001200"/>
    <x v="357"/>
    <x v="317"/>
    <x v="25"/>
    <x v="0"/>
    <n v="5.1624999999999996"/>
  </r>
  <r>
    <s v="DPOPPELL"/>
    <s v="04"/>
    <s v="STRAWBERRYR"/>
    <s v="RANCH 2"/>
    <x v="561"/>
    <x v="2"/>
    <x v="2"/>
    <s v="Invoice"/>
    <s v="100001200"/>
    <x v="205"/>
    <x v="181"/>
    <x v="22"/>
    <x v="2"/>
    <n v="15.01"/>
  </r>
  <r>
    <s v="DPOPPELL"/>
    <s v="04"/>
    <s v="SOUTHERNHILL"/>
    <s v="SCHOFIELD"/>
    <x v="561"/>
    <x v="2"/>
    <x v="2"/>
    <s v="Invoice"/>
    <s v="100001201"/>
    <x v="43"/>
    <x v="38"/>
    <x v="22"/>
    <x v="2"/>
    <n v="2.5225"/>
  </r>
  <r>
    <s v="DPOPPELL"/>
    <s v="04"/>
    <s v="MIKELOTT"/>
    <s v="HILLSBOROUGH"/>
    <x v="561"/>
    <x v="2"/>
    <x v="2"/>
    <s v="Invoice"/>
    <s v="100001205"/>
    <x v="43"/>
    <x v="38"/>
    <x v="22"/>
    <x v="2"/>
    <n v="5.01"/>
  </r>
  <r>
    <s v="DPOPPELL"/>
    <s v="04"/>
    <s v="BEAUCHAMP"/>
    <s v="SAM ALLEN"/>
    <x v="561"/>
    <x v="2"/>
    <x v="2"/>
    <s v="Invoice"/>
    <s v="100001206"/>
    <x v="50"/>
    <x v="43"/>
    <x v="22"/>
    <x v="2"/>
    <n v="5.01"/>
  </r>
  <r>
    <s v="DPOPPELL"/>
    <s v="04"/>
    <s v="MENDOZAHEC"/>
    <s v="FISHFARM"/>
    <x v="580"/>
    <x v="2"/>
    <x v="2"/>
    <s v="Invoice"/>
    <s v="100001208"/>
    <x v="43"/>
    <x v="38"/>
    <x v="22"/>
    <x v="2"/>
    <n v="2.4975000000000001"/>
  </r>
  <r>
    <s v="DPOPPELL"/>
    <s v="04"/>
    <s v="SWEETLIFE"/>
    <s v="KNIGHTS GRIFFIN"/>
    <x v="580"/>
    <x v="2"/>
    <x v="2"/>
    <s v="Invoice"/>
    <s v="100001209"/>
    <x v="67"/>
    <x v="60"/>
    <x v="22"/>
    <x v="2"/>
    <n v="20.032499999999999"/>
  </r>
  <r>
    <s v="DPOPPELL"/>
    <s v="04"/>
    <s v="MIDWAYF"/>
    <s v="ALS - NORTH"/>
    <x v="580"/>
    <x v="2"/>
    <x v="2"/>
    <s v="Invoice"/>
    <s v="100001210"/>
    <x v="67"/>
    <x v="60"/>
    <x v="22"/>
    <x v="2"/>
    <n v="5.51"/>
  </r>
  <r>
    <s v="DPOPPELL"/>
    <s v="04"/>
    <s v="FANCYFAR"/>
    <s v="CASON1"/>
    <x v="580"/>
    <x v="2"/>
    <x v="2"/>
    <s v="Invoice"/>
    <s v="100001211"/>
    <x v="50"/>
    <x v="43"/>
    <x v="22"/>
    <x v="2"/>
    <n v="2.5049999999999999"/>
  </r>
  <r>
    <s v="DPOPPELL"/>
    <s v="04"/>
    <s v="FANCYFAR"/>
    <s v="DRANE FIELD"/>
    <x v="580"/>
    <x v="2"/>
    <x v="2"/>
    <s v="Invoice"/>
    <s v="100001215"/>
    <x v="50"/>
    <x v="43"/>
    <x v="22"/>
    <x v="2"/>
    <n v="15.0275"/>
  </r>
  <r>
    <s v="DPOPPELL"/>
    <s v="04"/>
    <s v="GUTIERREZA"/>
    <s v="DUETTE"/>
    <x v="580"/>
    <x v="2"/>
    <x v="2"/>
    <s v="Invoice"/>
    <s v="100001217"/>
    <x v="110"/>
    <x v="97"/>
    <x v="16"/>
    <x v="0"/>
    <n v="250"/>
  </r>
  <r>
    <s v="DPOPPELL"/>
    <s v="04"/>
    <s v="GUTIERREZA"/>
    <s v="DUETTE"/>
    <x v="580"/>
    <x v="2"/>
    <x v="2"/>
    <s v="Invoice"/>
    <s v="100001217"/>
    <x v="142"/>
    <x v="123"/>
    <x v="0"/>
    <x v="0"/>
    <n v="250"/>
  </r>
  <r>
    <s v="DPOPPELL"/>
    <s v="04"/>
    <s v="GUTIERREZA"/>
    <s v="DUETTE"/>
    <x v="580"/>
    <x v="2"/>
    <x v="2"/>
    <s v="Invoice"/>
    <s v="100001217"/>
    <x v="109"/>
    <x v="80"/>
    <x v="2"/>
    <x v="0"/>
    <n v="250"/>
  </r>
  <r>
    <s v="DPOPPELL"/>
    <s v="04"/>
    <s v="LEE GILLM"/>
    <s v="PASTUREPUMP"/>
    <x v="580"/>
    <x v="2"/>
    <x v="2"/>
    <s v="Invoice"/>
    <s v="100001218"/>
    <x v="63"/>
    <x v="56"/>
    <x v="22"/>
    <x v="2"/>
    <n v="1.75"/>
  </r>
  <r>
    <s v="DPOPPELL"/>
    <s v="04"/>
    <s v="ALONSOFARMS"/>
    <s v="IKESMITH"/>
    <x v="580"/>
    <x v="2"/>
    <x v="2"/>
    <s v="Invoice"/>
    <s v="100001219"/>
    <x v="58"/>
    <x v="51"/>
    <x v="22"/>
    <x v="2"/>
    <n v="5"/>
  </r>
  <r>
    <s v="DPOPPELL"/>
    <s v="04"/>
    <s v="SYDNEYFA"/>
    <s v="FORBES ROAD"/>
    <x v="568"/>
    <x v="2"/>
    <x v="2"/>
    <s v="Invoice"/>
    <s v="100001220"/>
    <x v="511"/>
    <x v="448"/>
    <x v="22"/>
    <x v="2"/>
    <n v="5.0125000000000002"/>
  </r>
  <r>
    <s v="DPOPPELL"/>
    <s v="04"/>
    <s v="M&amp;GFARMS"/>
    <s v="SR-674"/>
    <x v="568"/>
    <x v="2"/>
    <x v="2"/>
    <s v="Invoice"/>
    <s v="100001223"/>
    <x v="58"/>
    <x v="51"/>
    <x v="22"/>
    <x v="2"/>
    <n v="15.05"/>
  </r>
  <r>
    <s v=""/>
    <s v="04"/>
    <s v="DURANTHI"/>
    <s v="MAILING"/>
    <x v="568"/>
    <x v="2"/>
    <x v="2"/>
    <s v="Invoice"/>
    <s v="100001224"/>
    <x v="28"/>
    <x v="23"/>
    <x v="22"/>
    <x v="2"/>
    <n v="1.2524999999999999"/>
  </r>
  <r>
    <s v="DPOPPELL"/>
    <s v="04"/>
    <s v="MIDWAYF"/>
    <s v="WILDER RD."/>
    <x v="568"/>
    <x v="2"/>
    <x v="2"/>
    <s v="Invoice"/>
    <s v="100001225"/>
    <x v="67"/>
    <x v="60"/>
    <x v="22"/>
    <x v="2"/>
    <n v="2.0049999999999999"/>
  </r>
  <r>
    <s v="DPOPPELL"/>
    <s v="04"/>
    <s v="SPIVEYFA"/>
    <s v="HOPEWELL"/>
    <x v="568"/>
    <x v="2"/>
    <x v="2"/>
    <s v="Invoice"/>
    <s v="100001228"/>
    <x v="56"/>
    <x v="49"/>
    <x v="22"/>
    <x v="2"/>
    <n v="4.01"/>
  </r>
  <r>
    <s v="DPOPPELL"/>
    <s v="04"/>
    <s v="CHAVEZJOR"/>
    <s v="JOSE' CHAV- COD"/>
    <x v="568"/>
    <x v="2"/>
    <x v="2"/>
    <s v="Invoice"/>
    <s v="100001230"/>
    <x v="53"/>
    <x v="46"/>
    <x v="22"/>
    <x v="2"/>
    <n v="0.15"/>
  </r>
  <r>
    <s v="DPOPPELL"/>
    <s v="04"/>
    <s v="DURGAFARMS"/>
    <s v="SOUTHTANK"/>
    <x v="568"/>
    <x v="2"/>
    <x v="2"/>
    <s v="Invoice"/>
    <s v="100001231"/>
    <x v="27"/>
    <x v="22"/>
    <x v="22"/>
    <x v="2"/>
    <n v="5.01"/>
  </r>
  <r>
    <s v="DPOPPELL"/>
    <s v="04"/>
    <s v="EWSIMMON"/>
    <s v="JERRY SMITH RD"/>
    <x v="568"/>
    <x v="2"/>
    <x v="2"/>
    <s v="Invoice"/>
    <s v="100001232"/>
    <x v="357"/>
    <x v="317"/>
    <x v="25"/>
    <x v="0"/>
    <n v="1.875"/>
  </r>
  <r>
    <s v="DPOPPELL"/>
    <s v="04"/>
    <s v="EWSIMMON"/>
    <s v="JERRY SMITH RD"/>
    <x v="568"/>
    <x v="2"/>
    <x v="2"/>
    <s v="Invoice"/>
    <s v="100001232"/>
    <x v="67"/>
    <x v="60"/>
    <x v="22"/>
    <x v="2"/>
    <n v="5.0350000000000001"/>
  </r>
  <r>
    <s v="DPOPPELL"/>
    <s v="04"/>
    <s v="GWFARMS"/>
    <s v="JAUDONNORTH"/>
    <x v="568"/>
    <x v="2"/>
    <x v="2"/>
    <s v="Invoice"/>
    <s v="100001234"/>
    <x v="58"/>
    <x v="51"/>
    <x v="22"/>
    <x v="2"/>
    <n v="1.2725"/>
  </r>
  <r>
    <s v="DPOPPELL"/>
    <s v="04"/>
    <s v="THREESTA"/>
    <s v="WALDEN-SHEFFIEL"/>
    <x v="569"/>
    <x v="2"/>
    <x v="2"/>
    <s v="Invoice"/>
    <s v="100001235"/>
    <x v="357"/>
    <x v="317"/>
    <x v="25"/>
    <x v="0"/>
    <n v="4.6875"/>
  </r>
  <r>
    <s v="DPOPPELL"/>
    <s v="04"/>
    <s v="THREESTA"/>
    <s v="WALDEN-SHEFFIEL"/>
    <x v="569"/>
    <x v="2"/>
    <x v="2"/>
    <s v="Invoice"/>
    <s v="100001235"/>
    <x v="511"/>
    <x v="448"/>
    <x v="22"/>
    <x v="2"/>
    <n v="12.5025"/>
  </r>
  <r>
    <s v="DPOPPELL"/>
    <s v="04"/>
    <s v="MIDWAYF"/>
    <s v="FUTCH"/>
    <x v="569"/>
    <x v="2"/>
    <x v="2"/>
    <s v="Invoice"/>
    <s v="100001236"/>
    <x v="67"/>
    <x v="60"/>
    <x v="22"/>
    <x v="2"/>
    <n v="6.0049999999999999"/>
  </r>
  <r>
    <s v="DPOPPELL"/>
    <s v="04"/>
    <s v="GARCIAFARMS"/>
    <s v="MAIN"/>
    <x v="569"/>
    <x v="2"/>
    <x v="2"/>
    <s v="Invoice"/>
    <s v="100001237"/>
    <x v="43"/>
    <x v="38"/>
    <x v="22"/>
    <x v="2"/>
    <n v="5.0025000000000004"/>
  </r>
  <r>
    <s v="DPOPPELL"/>
    <s v="04"/>
    <s v="TWINFARMS"/>
    <s v="WIMAUMA"/>
    <x v="569"/>
    <x v="2"/>
    <x v="2"/>
    <s v="Invoice"/>
    <s v="100001238"/>
    <x v="58"/>
    <x v="51"/>
    <x v="22"/>
    <x v="2"/>
    <n v="1"/>
  </r>
  <r>
    <s v="DPOPPELL"/>
    <s v="04"/>
    <s v="MIDWAYF"/>
    <s v="NURSERY"/>
    <x v="569"/>
    <x v="2"/>
    <x v="2"/>
    <s v="Invoice"/>
    <s v="100001242"/>
    <x v="67"/>
    <x v="60"/>
    <x v="22"/>
    <x v="2"/>
    <n v="12.515000000000001"/>
  </r>
  <r>
    <s v="DPOPPELL"/>
    <s v="04"/>
    <s v="CIRCLEGF&amp;R LLC"/>
    <s v="KNIGHTS-N-#16"/>
    <x v="569"/>
    <x v="2"/>
    <x v="2"/>
    <s v="Invoice"/>
    <s v="100001243"/>
    <x v="67"/>
    <x v="60"/>
    <x v="22"/>
    <x v="2"/>
    <n v="13.772"/>
  </r>
  <r>
    <s v="DPOPPELL"/>
    <s v="04"/>
    <s v="CIRCLEGF&amp;R LLC"/>
    <s v="KNIGHTS-N-#13"/>
    <x v="569"/>
    <x v="2"/>
    <x v="2"/>
    <s v="Invoice"/>
    <s v="100001244"/>
    <x v="67"/>
    <x v="60"/>
    <x v="22"/>
    <x v="2"/>
    <n v="12.762499999999999"/>
  </r>
  <r>
    <s v="DPOPPELL"/>
    <s v="04"/>
    <s v="SRISAIAY"/>
    <s v="PASTURE"/>
    <x v="566"/>
    <x v="2"/>
    <x v="2"/>
    <s v="Invoice"/>
    <s v="100001246"/>
    <x v="27"/>
    <x v="22"/>
    <x v="22"/>
    <x v="2"/>
    <n v="5.0149999999999997"/>
  </r>
  <r>
    <s v="DPOPPELL"/>
    <s v="04"/>
    <s v="BEAUCHAMP"/>
    <s v="GALLAGHER"/>
    <x v="566"/>
    <x v="2"/>
    <x v="2"/>
    <s v="Invoice"/>
    <s v="100001247"/>
    <x v="50"/>
    <x v="43"/>
    <x v="22"/>
    <x v="2"/>
    <n v="4.5"/>
  </r>
  <r>
    <s v="DPOPPELL"/>
    <s v="04"/>
    <s v="JOEPENA"/>
    <s v="HWY 92"/>
    <x v="569"/>
    <x v="2"/>
    <x v="2"/>
    <s v="Invoice"/>
    <s v="100001248"/>
    <x v="114"/>
    <x v="101"/>
    <x v="22"/>
    <x v="2"/>
    <n v="1"/>
  </r>
  <r>
    <s v="DPOPPELL"/>
    <s v="04"/>
    <s v="GUILLERMOV"/>
    <s v="MAIN"/>
    <x v="569"/>
    <x v="2"/>
    <x v="2"/>
    <s v="Invoice"/>
    <s v="100001249"/>
    <x v="53"/>
    <x v="46"/>
    <x v="22"/>
    <x v="2"/>
    <n v="0.15"/>
  </r>
  <r>
    <s v="DPOPPELL"/>
    <s v="04"/>
    <s v="CIRCLEGF&amp;R LLC"/>
    <s v="KNIGHTS-N-#12"/>
    <x v="569"/>
    <x v="2"/>
    <x v="2"/>
    <s v="Invoice"/>
    <s v="100001250"/>
    <x v="67"/>
    <x v="60"/>
    <x v="22"/>
    <x v="2"/>
    <n v="15.015000000000001"/>
  </r>
  <r>
    <s v="DPOPPELL"/>
    <s v="04"/>
    <s v="M&amp;GFARMS"/>
    <s v="COUNTY LINE RD"/>
    <x v="566"/>
    <x v="2"/>
    <x v="2"/>
    <s v="Invoice"/>
    <s v="100001251"/>
    <x v="58"/>
    <x v="51"/>
    <x v="22"/>
    <x v="2"/>
    <n v="2.5"/>
  </r>
  <r>
    <s v="DPOPPELL"/>
    <s v="04"/>
    <s v="FORTGREENFARMS"/>
    <s v="FTGREEN"/>
    <x v="566"/>
    <x v="2"/>
    <x v="2"/>
    <s v="Invoice"/>
    <s v="100001252"/>
    <x v="58"/>
    <x v="51"/>
    <x v="22"/>
    <x v="2"/>
    <n v="15.0025"/>
  </r>
  <r>
    <s v="DPOPPELL"/>
    <s v="04"/>
    <s v="EWSIMMON"/>
    <s v="MUDLAKE ROAD"/>
    <x v="566"/>
    <x v="2"/>
    <x v="2"/>
    <s v="Invoice"/>
    <s v="100001253"/>
    <x v="357"/>
    <x v="317"/>
    <x v="25"/>
    <x v="0"/>
    <n v="1.875"/>
  </r>
  <r>
    <s v="DPOPPELL"/>
    <s v="04"/>
    <s v="EWSIMMON"/>
    <s v="MUDLAKE ROAD"/>
    <x v="566"/>
    <x v="2"/>
    <x v="2"/>
    <s v="Invoice"/>
    <s v="100001253"/>
    <x v="67"/>
    <x v="60"/>
    <x v="22"/>
    <x v="2"/>
    <n v="5"/>
  </r>
  <r>
    <s v="DPOPPELL"/>
    <s v="04"/>
    <s v="GUTIERREZA"/>
    <s v="JOE KING RD"/>
    <x v="566"/>
    <x v="2"/>
    <x v="2"/>
    <s v="Invoice"/>
    <s v="100001254"/>
    <x v="58"/>
    <x v="51"/>
    <x v="22"/>
    <x v="2"/>
    <n v="3.7549999999999999"/>
  </r>
  <r>
    <s v="DPOPPELL"/>
    <s v="04"/>
    <s v="GAONA, ESPER"/>
    <s v="WILLIAMSRD"/>
    <x v="566"/>
    <x v="2"/>
    <x v="2"/>
    <s v="Invoice"/>
    <s v="100001255"/>
    <x v="28"/>
    <x v="23"/>
    <x v="22"/>
    <x v="2"/>
    <n v="2.5150000000000001"/>
  </r>
  <r>
    <s v="DPOPPELL"/>
    <s v="04"/>
    <s v="MENDOZAHEC"/>
    <s v="JAUDON RD"/>
    <x v="566"/>
    <x v="2"/>
    <x v="2"/>
    <s v="Invoice"/>
    <s v="100001256"/>
    <x v="43"/>
    <x v="38"/>
    <x v="22"/>
    <x v="2"/>
    <n v="2.5175000000000001"/>
  </r>
  <r>
    <s v="DPOPPELL"/>
    <s v="04"/>
    <s v="FLORIDAAG"/>
    <s v="KINGSWAY"/>
    <x v="566"/>
    <x v="2"/>
    <x v="2"/>
    <s v="Invoice"/>
    <s v="100001258"/>
    <x v="42"/>
    <x v="37"/>
    <x v="30"/>
    <x v="0"/>
    <n v="10"/>
  </r>
  <r>
    <s v="DPOPPELL"/>
    <s v="04"/>
    <s v="FLORIDAAG"/>
    <s v="KINGSWAY"/>
    <x v="566"/>
    <x v="2"/>
    <x v="2"/>
    <s v="Invoice"/>
    <s v="100001259"/>
    <x v="326"/>
    <x v="289"/>
    <x v="22"/>
    <x v="2"/>
    <n v="2.2599999999999998"/>
  </r>
  <r>
    <s v="DPOPPELL"/>
    <s v="04"/>
    <s v="ALONSOFARMS"/>
    <s v="WIMAUMA"/>
    <x v="566"/>
    <x v="2"/>
    <x v="2"/>
    <s v="Invoice"/>
    <s v="100001260"/>
    <x v="58"/>
    <x v="51"/>
    <x v="22"/>
    <x v="2"/>
    <n v="5.01"/>
  </r>
  <r>
    <s v="DPOPPELL"/>
    <s v="04"/>
    <s v="JOSEHERN"/>
    <s v="SPARKMAN"/>
    <x v="566"/>
    <x v="2"/>
    <x v="2"/>
    <s v="Invoice"/>
    <s v="100001261"/>
    <x v="58"/>
    <x v="51"/>
    <x v="22"/>
    <x v="2"/>
    <n v="10.0175"/>
  </r>
  <r>
    <s v="DPOPPELL"/>
    <s v="04"/>
    <s v="DURGAFARMS"/>
    <s v="SOUTHTANK"/>
    <x v="566"/>
    <x v="2"/>
    <x v="2"/>
    <s v="Invoice"/>
    <s v="100001262"/>
    <x v="27"/>
    <x v="22"/>
    <x v="22"/>
    <x v="2"/>
    <n v="5.0149999999999997"/>
  </r>
  <r>
    <s v="DPOPPELL"/>
    <s v="04"/>
    <s v="MIDWAYF"/>
    <s v="FRAZIER"/>
    <x v="566"/>
    <x v="2"/>
    <x v="2"/>
    <s v="Invoice"/>
    <s v="100001263"/>
    <x v="67"/>
    <x v="60"/>
    <x v="22"/>
    <x v="2"/>
    <n v="5"/>
  </r>
  <r>
    <s v="DPOPPELL"/>
    <s v="04"/>
    <s v="SANCHEZFARM"/>
    <s v="SOUTH FORBES"/>
    <x v="566"/>
    <x v="2"/>
    <x v="2"/>
    <s v="Invoice"/>
    <s v="100001264"/>
    <x v="67"/>
    <x v="60"/>
    <x v="22"/>
    <x v="2"/>
    <n v="10.02"/>
  </r>
  <r>
    <s v="DPOPPELL"/>
    <s v="04"/>
    <s v="SOUTHERNHILL"/>
    <s v="SCHOFIELD"/>
    <x v="570"/>
    <x v="2"/>
    <x v="2"/>
    <s v="Invoice"/>
    <s v="100001271"/>
    <x v="47"/>
    <x v="41"/>
    <x v="22"/>
    <x v="2"/>
    <n v="2.5024999999999999"/>
  </r>
  <r>
    <s v="DPOPPELL"/>
    <s v="04"/>
    <s v="SOUTHERNHILL"/>
    <s v="SCHOFIELD"/>
    <x v="570"/>
    <x v="2"/>
    <x v="2"/>
    <s v="Invoice"/>
    <s v="100001272"/>
    <x v="43"/>
    <x v="38"/>
    <x v="22"/>
    <x v="2"/>
    <n v="2.5099999999999998"/>
  </r>
  <r>
    <s v="DPOPPELL"/>
    <s v="04"/>
    <s v="SWEETLIFE"/>
    <s v="KNIGHTS GRIFFIN"/>
    <x v="570"/>
    <x v="2"/>
    <x v="2"/>
    <s v="Invoice"/>
    <s v="100001273"/>
    <x v="67"/>
    <x v="60"/>
    <x v="22"/>
    <x v="2"/>
    <n v="12.494999999999999"/>
  </r>
  <r>
    <s v="DPOPPELL"/>
    <s v="04"/>
    <s v="SWEETLIFE"/>
    <s v="KEENE RD."/>
    <x v="570"/>
    <x v="2"/>
    <x v="2"/>
    <s v="Invoice"/>
    <s v="100001274"/>
    <x v="67"/>
    <x v="60"/>
    <x v="22"/>
    <x v="2"/>
    <n v="15.02"/>
  </r>
  <r>
    <s v="DPOPPELL"/>
    <s v="04"/>
    <s v="SWEETLIFE"/>
    <s v="FOSTER DUKES N"/>
    <x v="570"/>
    <x v="2"/>
    <x v="2"/>
    <s v="Invoice"/>
    <s v="100001275"/>
    <x v="67"/>
    <x v="60"/>
    <x v="22"/>
    <x v="2"/>
    <n v="10.01"/>
  </r>
  <r>
    <s v="DPOPPELL"/>
    <s v="04"/>
    <s v="FAVORITE"/>
    <s v="BETHLEHEM ROAD"/>
    <x v="570"/>
    <x v="2"/>
    <x v="2"/>
    <s v="Invoice"/>
    <s v="100001276"/>
    <x v="58"/>
    <x v="51"/>
    <x v="22"/>
    <x v="2"/>
    <n v="5.0049999999999999"/>
  </r>
  <r>
    <s v="DPOPPELL"/>
    <s v="04"/>
    <s v="PARKESDA"/>
    <s v="BILOXI"/>
    <x v="570"/>
    <x v="2"/>
    <x v="2"/>
    <s v="Invoice"/>
    <s v="100001277"/>
    <x v="65"/>
    <x v="58"/>
    <x v="22"/>
    <x v="2"/>
    <n v="15.0175"/>
  </r>
  <r>
    <s v="DPOPPELL"/>
    <s v="04"/>
    <s v="VENTURAFARMS"/>
    <s v="GALLAGHER"/>
    <x v="570"/>
    <x v="2"/>
    <x v="2"/>
    <s v="Invoice"/>
    <s v="100001278"/>
    <x v="56"/>
    <x v="49"/>
    <x v="22"/>
    <x v="2"/>
    <n v="1"/>
  </r>
  <r>
    <s v="DPOPPELL"/>
    <s v="04"/>
    <s v="SWEETLIFE"/>
    <s v="SWINDLES"/>
    <x v="570"/>
    <x v="2"/>
    <x v="2"/>
    <s v="Invoice"/>
    <s v="100001279"/>
    <x v="67"/>
    <x v="60"/>
    <x v="22"/>
    <x v="2"/>
    <n v="10.005000000000001"/>
  </r>
  <r>
    <s v="DPOPPELL"/>
    <s v="04"/>
    <s v="JGRANCH"/>
    <s v="WISCON RD."/>
    <x v="567"/>
    <x v="2"/>
    <x v="2"/>
    <s v="Invoice"/>
    <s v="100001280"/>
    <x v="77"/>
    <x v="37"/>
    <x v="30"/>
    <x v="0"/>
    <n v="30"/>
  </r>
  <r>
    <s v="DPOPPELL"/>
    <s v="04"/>
    <s v="GUTIERREZA"/>
    <s v="DUETTE"/>
    <x v="567"/>
    <x v="2"/>
    <x v="2"/>
    <s v="Invoice"/>
    <s v="100001284"/>
    <x v="58"/>
    <x v="51"/>
    <x v="22"/>
    <x v="2"/>
    <n v="12.5175"/>
  </r>
  <r>
    <s v="DPOPPELL"/>
    <s v="04"/>
    <s v="SOTERO"/>
    <s v="SOTERO"/>
    <x v="567"/>
    <x v="2"/>
    <x v="2"/>
    <s v="Invoice"/>
    <s v="100001292"/>
    <x v="53"/>
    <x v="46"/>
    <x v="22"/>
    <x v="2"/>
    <n v="0.3"/>
  </r>
  <r>
    <s v="DPOPPELL"/>
    <s v="04"/>
    <s v="JGRANCH"/>
    <s v="WISCON RD."/>
    <x v="567"/>
    <x v="2"/>
    <x v="2"/>
    <s v="Invoice"/>
    <s v="100001293"/>
    <x v="28"/>
    <x v="23"/>
    <x v="22"/>
    <x v="2"/>
    <n v="2.5024999999999999"/>
  </r>
  <r>
    <s v="DPOPPELL"/>
    <s v="04"/>
    <s v="MENDOZAHEC"/>
    <s v="HWY60"/>
    <x v="567"/>
    <x v="2"/>
    <x v="2"/>
    <s v="Invoice"/>
    <s v="100001294"/>
    <x v="69"/>
    <x v="62"/>
    <x v="22"/>
    <x v="2"/>
    <n v="8.5574999999999992"/>
  </r>
  <r>
    <s v="DPOPPELL"/>
    <s v="04"/>
    <s v="GUTIERREZDAN"/>
    <s v="TANNER RD."/>
    <x v="567"/>
    <x v="2"/>
    <x v="2"/>
    <s v="Invoice"/>
    <s v="100001295"/>
    <x v="55"/>
    <x v="48"/>
    <x v="22"/>
    <x v="2"/>
    <n v="4.5049999999999999"/>
  </r>
  <r>
    <s v="DPOPPELL"/>
    <s v="04"/>
    <s v="ROQUEFARMS"/>
    <s v="RINGDAHL"/>
    <x v="567"/>
    <x v="2"/>
    <x v="2"/>
    <s v="Invoice"/>
    <s v="100001298"/>
    <x v="43"/>
    <x v="38"/>
    <x v="22"/>
    <x v="2"/>
    <n v="3.75"/>
  </r>
  <r>
    <s v="DPOPPELL"/>
    <s v="04"/>
    <s v="LEE GILLM"/>
    <s v="COW PENS/WEST"/>
    <x v="567"/>
    <x v="2"/>
    <x v="2"/>
    <s v="Invoice"/>
    <s v="100001305"/>
    <x v="63"/>
    <x v="56"/>
    <x v="22"/>
    <x v="2"/>
    <n v="3.0074999999999998"/>
  </r>
  <r>
    <s v="DPOPPELL"/>
    <s v="04"/>
    <s v="ROQUEFARMS"/>
    <s v="MEEKHORIZON"/>
    <x v="567"/>
    <x v="2"/>
    <x v="2"/>
    <s v="Invoice"/>
    <s v="100001307"/>
    <x v="43"/>
    <x v="38"/>
    <x v="22"/>
    <x v="2"/>
    <n v="5"/>
  </r>
  <r>
    <s v="DPOPPELL"/>
    <s v="04"/>
    <s v="CHAVEZJOR"/>
    <s v="JOSE' CHAV- COD"/>
    <x v="567"/>
    <x v="2"/>
    <x v="2"/>
    <s v="Invoice"/>
    <s v="100001308"/>
    <x v="53"/>
    <x v="46"/>
    <x v="22"/>
    <x v="2"/>
    <n v="0.15"/>
  </r>
  <r>
    <s v="DPOPPELL"/>
    <s v="04"/>
    <s v="ROQUEFARMS"/>
    <s v="SWEETWATER"/>
    <x v="571"/>
    <x v="2"/>
    <x v="2"/>
    <s v="Invoice"/>
    <s v="100001313"/>
    <x v="43"/>
    <x v="38"/>
    <x v="22"/>
    <x v="2"/>
    <n v="10"/>
  </r>
  <r>
    <s v="DPOPPELL"/>
    <s v="04"/>
    <s v="M&amp;GFARMS"/>
    <s v="ONA"/>
    <x v="571"/>
    <x v="2"/>
    <x v="2"/>
    <s v="Invoice"/>
    <s v="100001314"/>
    <x v="58"/>
    <x v="51"/>
    <x v="22"/>
    <x v="2"/>
    <n v="15.0725"/>
  </r>
  <r>
    <s v="DPOPPELL"/>
    <s v="04"/>
    <s v="SYDNEYFA"/>
    <s v="FORBES/NORTH"/>
    <x v="571"/>
    <x v="2"/>
    <x v="2"/>
    <s v="Invoice"/>
    <s v="100001315"/>
    <x v="511"/>
    <x v="448"/>
    <x v="22"/>
    <x v="2"/>
    <n v="5.0025000000000004"/>
  </r>
  <r>
    <s v="DPOPPELL"/>
    <s v="04"/>
    <s v="SYDNEYFA"/>
    <s v="FORBES ROAD"/>
    <x v="571"/>
    <x v="2"/>
    <x v="2"/>
    <s v="Invoice"/>
    <s v="100001316"/>
    <x v="511"/>
    <x v="448"/>
    <x v="22"/>
    <x v="2"/>
    <n v="10.0025"/>
  </r>
  <r>
    <s v=""/>
    <s v="04"/>
    <s v="PORTER HA"/>
    <s v="PASTURE"/>
    <x v="571"/>
    <x v="2"/>
    <x v="2"/>
    <s v="Invoice"/>
    <s v="100001318"/>
    <x v="375"/>
    <x v="329"/>
    <x v="22"/>
    <x v="2"/>
    <n v="5.0049999999999999"/>
  </r>
  <r>
    <s v="DPOPPELL"/>
    <s v="04"/>
    <s v="MIDWAYF"/>
    <s v="ALS - NORTH"/>
    <x v="571"/>
    <x v="2"/>
    <x v="2"/>
    <s v="Invoice"/>
    <s v="100001319"/>
    <x v="67"/>
    <x v="60"/>
    <x v="22"/>
    <x v="2"/>
    <n v="7.7625000000000002"/>
  </r>
  <r>
    <s v="DPOPPELL"/>
    <s v="04"/>
    <s v="M&amp;GFARMS"/>
    <s v="SWEATTLP"/>
    <x v="571"/>
    <x v="2"/>
    <x v="2"/>
    <s v="Invoice"/>
    <s v="100001320"/>
    <x v="58"/>
    <x v="51"/>
    <x v="22"/>
    <x v="2"/>
    <n v="15.0025"/>
  </r>
  <r>
    <s v="DPOPPELL"/>
    <s v="04"/>
    <s v="STRAWBERRYR"/>
    <s v="RANCH 1"/>
    <x v="571"/>
    <x v="2"/>
    <x v="2"/>
    <s v="Invoice"/>
    <s v="100001321"/>
    <x v="357"/>
    <x v="317"/>
    <x v="25"/>
    <x v="0"/>
    <n v="5.1624999999999996"/>
  </r>
  <r>
    <s v="DPOPPELL"/>
    <s v="04"/>
    <s v="STRAWBERRYR"/>
    <s v="RANCH 1"/>
    <x v="571"/>
    <x v="2"/>
    <x v="2"/>
    <s v="Invoice"/>
    <s v="100001321"/>
    <x v="205"/>
    <x v="181"/>
    <x v="22"/>
    <x v="2"/>
    <n v="15"/>
  </r>
  <r>
    <s v="DPOPPELL"/>
    <s v="04"/>
    <s v="GONZALEZFARMS"/>
    <s v="MAIN"/>
    <x v="571"/>
    <x v="2"/>
    <x v="2"/>
    <s v="Invoice"/>
    <s v="100001322"/>
    <x v="43"/>
    <x v="38"/>
    <x v="22"/>
    <x v="2"/>
    <n v="1.25"/>
  </r>
  <r>
    <s v="DPOPPELL"/>
    <s v="04"/>
    <s v="STRAWBERRYR"/>
    <s v="RANCH 4"/>
    <x v="572"/>
    <x v="2"/>
    <x v="2"/>
    <s v="Invoice"/>
    <s v="100001323"/>
    <x v="357"/>
    <x v="317"/>
    <x v="25"/>
    <x v="0"/>
    <n v="5.1624999999999996"/>
  </r>
  <r>
    <s v="DPOPPELL"/>
    <s v="04"/>
    <s v="STRAWBERRYR"/>
    <s v="RANCH 4"/>
    <x v="572"/>
    <x v="2"/>
    <x v="2"/>
    <s v="Invoice"/>
    <s v="100001323"/>
    <x v="205"/>
    <x v="181"/>
    <x v="22"/>
    <x v="2"/>
    <n v="15.005000000000001"/>
  </r>
  <r>
    <s v="DPOPPELL"/>
    <s v="04"/>
    <s v="FRANKLIN"/>
    <s v="MCGEE RD. NORTH"/>
    <x v="572"/>
    <x v="2"/>
    <x v="2"/>
    <s v="Invoice"/>
    <s v="100001325"/>
    <x v="28"/>
    <x v="23"/>
    <x v="22"/>
    <x v="2"/>
    <n v="6.0125000000000002"/>
  </r>
  <r>
    <s v="DPOPPELL"/>
    <s v="04"/>
    <s v="MIDWAYF"/>
    <s v="SAMALLEN"/>
    <x v="571"/>
    <x v="2"/>
    <x v="2"/>
    <s v="Invoice"/>
    <s v="100001326"/>
    <x v="67"/>
    <x v="60"/>
    <x v="22"/>
    <x v="2"/>
    <n v="13.01"/>
  </r>
  <r>
    <s v="DPOPPELL"/>
    <s v="04"/>
    <s v="FLORIDAAG"/>
    <s v="DOVER"/>
    <x v="572"/>
    <x v="2"/>
    <x v="2"/>
    <s v="Invoice"/>
    <s v="100001327"/>
    <x v="512"/>
    <x v="449"/>
    <x v="22"/>
    <x v="2"/>
    <n v="0.15"/>
  </r>
  <r>
    <s v="DPOPPELL"/>
    <s v="04"/>
    <s v="FLORIDAAG"/>
    <s v="DOVER"/>
    <x v="572"/>
    <x v="2"/>
    <x v="2"/>
    <s v="Invoice"/>
    <s v="100001328"/>
    <x v="513"/>
    <x v="450"/>
    <x v="22"/>
    <x v="2"/>
    <n v="0.15"/>
  </r>
  <r>
    <s v="DPOPPELL"/>
    <s v="04"/>
    <s v="EWSIMMON"/>
    <s v="JERRY SMITH RD"/>
    <x v="572"/>
    <x v="2"/>
    <x v="2"/>
    <s v="Invoice"/>
    <s v="100001329"/>
    <x v="357"/>
    <x v="317"/>
    <x v="25"/>
    <x v="0"/>
    <n v="4.6875"/>
  </r>
  <r>
    <s v="DPOPPELL"/>
    <s v="04"/>
    <s v="EWSIMMON"/>
    <s v="JERRY SMITH RD"/>
    <x v="572"/>
    <x v="2"/>
    <x v="2"/>
    <s v="Invoice"/>
    <s v="100001329"/>
    <x v="67"/>
    <x v="60"/>
    <x v="22"/>
    <x v="2"/>
    <n v="12.505000000000001"/>
  </r>
  <r>
    <s v="DPOPPELL"/>
    <s v="04"/>
    <s v="ALONSOFARMS"/>
    <s v="SCARPO"/>
    <x v="572"/>
    <x v="2"/>
    <x v="2"/>
    <s v="Invoice"/>
    <s v="100001330"/>
    <x v="58"/>
    <x v="51"/>
    <x v="22"/>
    <x v="2"/>
    <n v="2.4975000000000001"/>
  </r>
  <r>
    <s v="DPOPPELL"/>
    <s v="04"/>
    <s v="CEDILLO"/>
    <s v="CARUTHERS"/>
    <x v="572"/>
    <x v="2"/>
    <x v="2"/>
    <s v="Invoice"/>
    <s v="100001333"/>
    <x v="43"/>
    <x v="38"/>
    <x v="22"/>
    <x v="2"/>
    <n v="1.5"/>
  </r>
  <r>
    <s v="DPOPPELL"/>
    <s v="04"/>
    <s v="CEDILLO"/>
    <s v="MAIN"/>
    <x v="572"/>
    <x v="2"/>
    <x v="2"/>
    <s v="Invoice"/>
    <s v="100001334"/>
    <x v="40"/>
    <x v="35"/>
    <x v="29"/>
    <x v="0"/>
    <n v="5"/>
  </r>
  <r>
    <s v="DPOPPELL"/>
    <s v="04"/>
    <s v="SPIVEYFA"/>
    <s v="HOPEWELL"/>
    <x v="562"/>
    <x v="2"/>
    <x v="2"/>
    <s v="Invoice"/>
    <s v="100001335"/>
    <x v="56"/>
    <x v="49"/>
    <x v="22"/>
    <x v="2"/>
    <n v="3.5049999999999999"/>
  </r>
  <r>
    <s v="DPOPPELL"/>
    <s v="04"/>
    <s v="BEAUCHAMP"/>
    <s v="HAGGERTY-NORTH"/>
    <x v="562"/>
    <x v="2"/>
    <x v="2"/>
    <s v="Invoice"/>
    <s v="100001336"/>
    <x v="50"/>
    <x v="43"/>
    <x v="22"/>
    <x v="2"/>
    <n v="4.5075000000000003"/>
  </r>
  <r>
    <s v="DPOPPELL"/>
    <s v="04"/>
    <s v="GAONA, ESPER"/>
    <s v="STRAUSS RD."/>
    <x v="562"/>
    <x v="2"/>
    <x v="2"/>
    <s v="Invoice"/>
    <s v="100001337"/>
    <x v="28"/>
    <x v="23"/>
    <x v="22"/>
    <x v="2"/>
    <n v="0.995"/>
  </r>
  <r>
    <s v="DPOPPELL"/>
    <s v="04"/>
    <s v="ALVAREZJ"/>
    <s v="SYDNEY RD"/>
    <x v="562"/>
    <x v="2"/>
    <x v="2"/>
    <s v="Invoice"/>
    <s v="100001338"/>
    <x v="68"/>
    <x v="61"/>
    <x v="22"/>
    <x v="2"/>
    <n v="2.02"/>
  </r>
  <r>
    <s v="DPOPPELL"/>
    <s v="04"/>
    <s v="FORTGREENFARMS"/>
    <s v="FTGREEN"/>
    <x v="562"/>
    <x v="2"/>
    <x v="2"/>
    <s v="Invoice"/>
    <s v="100001339"/>
    <x v="58"/>
    <x v="51"/>
    <x v="22"/>
    <x v="2"/>
    <n v="10.012499999999999"/>
  </r>
  <r>
    <s v="DPOPPELL"/>
    <s v="04"/>
    <s v="CJABBOTT"/>
    <s v="JOHNGILL"/>
    <x v="562"/>
    <x v="2"/>
    <x v="2"/>
    <s v="Invoice"/>
    <s v="100001340"/>
    <x v="58"/>
    <x v="51"/>
    <x v="22"/>
    <x v="2"/>
    <n v="5.0125000000000002"/>
  </r>
  <r>
    <s v="DPOPPELL"/>
    <s v="04"/>
    <s v="FERRISFA"/>
    <s v="STRABERRIES"/>
    <x v="562"/>
    <x v="2"/>
    <x v="2"/>
    <s v="Invoice"/>
    <s v="100001342"/>
    <x v="154"/>
    <x v="136"/>
    <x v="22"/>
    <x v="2"/>
    <n v="10.015000000000001"/>
  </r>
  <r>
    <s v="DPOPPELL"/>
    <s v="04"/>
    <s v="FERRISFA"/>
    <s v="BLUEBERRY-NEW"/>
    <x v="562"/>
    <x v="2"/>
    <x v="2"/>
    <s v="Invoice"/>
    <s v="100001343"/>
    <x v="435"/>
    <x v="368"/>
    <x v="22"/>
    <x v="2"/>
    <n v="5.01"/>
  </r>
  <r>
    <s v="DPOPPELL"/>
    <s v="04"/>
    <s v="CHBERRY"/>
    <s v="BOBCAT"/>
    <x v="573"/>
    <x v="2"/>
    <x v="2"/>
    <s v="Invoice"/>
    <s v="100001346"/>
    <x v="58"/>
    <x v="51"/>
    <x v="22"/>
    <x v="2"/>
    <n v="2.9950000000000001"/>
  </r>
  <r>
    <s v="DPOPPELL"/>
    <s v="04"/>
    <s v="SRISAIAY"/>
    <s v="SYDNEY DOVER"/>
    <x v="573"/>
    <x v="2"/>
    <x v="2"/>
    <s v="Invoice"/>
    <s v="100001347"/>
    <x v="27"/>
    <x v="22"/>
    <x v="22"/>
    <x v="2"/>
    <n v="5.0125000000000002"/>
  </r>
  <r>
    <s v="DPOPPELL"/>
    <s v="04"/>
    <s v="DURGAFARMS"/>
    <s v="SOUTHTANK"/>
    <x v="573"/>
    <x v="2"/>
    <x v="2"/>
    <s v="Invoice"/>
    <s v="100001348"/>
    <x v="27"/>
    <x v="22"/>
    <x v="22"/>
    <x v="2"/>
    <n v="5.0250000000000004"/>
  </r>
  <r>
    <s v="DPOPPELL"/>
    <s v="04"/>
    <s v="THREESTA"/>
    <s v="WALDEN-SHEFFIEL"/>
    <x v="573"/>
    <x v="2"/>
    <x v="2"/>
    <s v="Invoice"/>
    <s v="100001349"/>
    <x v="357"/>
    <x v="317"/>
    <x v="25"/>
    <x v="0"/>
    <n v="3.75"/>
  </r>
  <r>
    <s v="DPOPPELL"/>
    <s v="04"/>
    <s v="THREESTA"/>
    <s v="WALDEN-SHEFFIEL"/>
    <x v="573"/>
    <x v="2"/>
    <x v="2"/>
    <s v="Invoice"/>
    <s v="100001349"/>
    <x v="511"/>
    <x v="448"/>
    <x v="22"/>
    <x v="2"/>
    <n v="10.005000000000001"/>
  </r>
  <r>
    <s v="DPOPPELL"/>
    <s v="04"/>
    <s v="MENDOZAHEC"/>
    <s v="LONEOAK"/>
    <x v="573"/>
    <x v="2"/>
    <x v="2"/>
    <s v="Invoice"/>
    <s v="100001350"/>
    <x v="69"/>
    <x v="62"/>
    <x v="22"/>
    <x v="2"/>
    <n v="5.26"/>
  </r>
  <r>
    <s v="DPOPPELL"/>
    <s v="04"/>
    <s v="CHARLIEG-LLC"/>
    <s v="DAIRY"/>
    <x v="573"/>
    <x v="2"/>
    <x v="2"/>
    <s v="Invoice"/>
    <s v="100001353"/>
    <x v="67"/>
    <x v="60"/>
    <x v="22"/>
    <x v="2"/>
    <n v="14.272500000000001"/>
  </r>
  <r>
    <s v="DPOPPELL"/>
    <s v="04"/>
    <s v="CHARLIEG-LLC"/>
    <s v="DAIRY"/>
    <x v="573"/>
    <x v="2"/>
    <x v="2"/>
    <s v="Invoice"/>
    <s v="100001354"/>
    <x v="67"/>
    <x v="60"/>
    <x v="22"/>
    <x v="2"/>
    <n v="12.022500000000001"/>
  </r>
  <r>
    <s v="DPOPPELL"/>
    <s v="04"/>
    <s v="MIDWAYF"/>
    <s v="WILDER RD."/>
    <x v="573"/>
    <x v="2"/>
    <x v="2"/>
    <s v="Invoice"/>
    <s v="100001355"/>
    <x v="67"/>
    <x v="60"/>
    <x v="22"/>
    <x v="2"/>
    <n v="2.0074999999999998"/>
  </r>
  <r>
    <s v="DPOPPELL"/>
    <s v="04"/>
    <s v="CHAVEZJOR"/>
    <s v="JOSE' CHAV- COD"/>
    <x v="573"/>
    <x v="2"/>
    <x v="2"/>
    <s v="Invoice"/>
    <s v="100001356"/>
    <x v="53"/>
    <x v="46"/>
    <x v="22"/>
    <x v="2"/>
    <n v="0.15"/>
  </r>
  <r>
    <s v="DPOPPELL"/>
    <s v="04"/>
    <s v="RAILROADCITY"/>
    <s v="MOTTRD"/>
    <x v="573"/>
    <x v="2"/>
    <x v="2"/>
    <s v="Invoice"/>
    <s v="100001357"/>
    <x v="42"/>
    <x v="37"/>
    <x v="30"/>
    <x v="0"/>
    <n v="5"/>
  </r>
  <r>
    <s v="DPOPPELL"/>
    <s v="04"/>
    <s v="RAILROADCITY"/>
    <s v="MOTTRD"/>
    <x v="573"/>
    <x v="2"/>
    <x v="2"/>
    <s v="Invoice"/>
    <s v="100001358"/>
    <x v="43"/>
    <x v="38"/>
    <x v="22"/>
    <x v="2"/>
    <n v="1.25"/>
  </r>
  <r>
    <s v="DPOPPELL"/>
    <s v="04"/>
    <s v="MIDWAYF"/>
    <s v="FUTCH"/>
    <x v="573"/>
    <x v="2"/>
    <x v="2"/>
    <s v="Invoice"/>
    <s v="100001359"/>
    <x v="67"/>
    <x v="60"/>
    <x v="22"/>
    <x v="2"/>
    <n v="10.0075"/>
  </r>
  <r>
    <s v="DPOPPELL"/>
    <s v="04"/>
    <s v="CHARLIEG-LLC"/>
    <s v="LAMPP ROAD"/>
    <x v="573"/>
    <x v="2"/>
    <x v="2"/>
    <s v="Invoice"/>
    <s v="100001360"/>
    <x v="67"/>
    <x v="60"/>
    <x v="22"/>
    <x v="2"/>
    <n v="5"/>
  </r>
  <r>
    <s v="DPOPPELL"/>
    <s v="04"/>
    <s v="MIDWAYF"/>
    <s v="KNIGHTSGRIFFIN"/>
    <x v="573"/>
    <x v="2"/>
    <x v="2"/>
    <s v="Invoice"/>
    <s v="100001361"/>
    <x v="67"/>
    <x v="60"/>
    <x v="22"/>
    <x v="2"/>
    <n v="2.5049999999999999"/>
  </r>
  <r>
    <s v="DPOPPELL"/>
    <s v="04"/>
    <s v="ALONSOFARMS"/>
    <s v="WIMAUMA"/>
    <x v="573"/>
    <x v="2"/>
    <x v="2"/>
    <s v="Invoice"/>
    <s v="100001362"/>
    <x v="27"/>
    <x v="22"/>
    <x v="22"/>
    <x v="2"/>
    <n v="10.015000000000001"/>
  </r>
  <r>
    <s v="DPOPPELL"/>
    <s v="04"/>
    <s v="HAMSFARM"/>
    <s v="TANK2#B"/>
    <x v="574"/>
    <x v="2"/>
    <x v="2"/>
    <s v="Invoice"/>
    <s v="100001368"/>
    <x v="471"/>
    <x v="149"/>
    <x v="30"/>
    <x v="0"/>
    <n v="125"/>
  </r>
  <r>
    <s v="DPOPPELL"/>
    <s v="04"/>
    <s v="GUTIERREZA"/>
    <s v="JL"/>
    <x v="574"/>
    <x v="2"/>
    <x v="2"/>
    <s v="Invoice"/>
    <s v="100001369"/>
    <x v="58"/>
    <x v="51"/>
    <x v="22"/>
    <x v="2"/>
    <n v="14.03"/>
  </r>
  <r>
    <s v="DPOPPELL"/>
    <s v="04"/>
    <s v="GWFARMS"/>
    <s v="TURKEYCREEKNORT"/>
    <x v="574"/>
    <x v="2"/>
    <x v="2"/>
    <s v="Invoice"/>
    <s v="100001370"/>
    <x v="69"/>
    <x v="62"/>
    <x v="22"/>
    <x v="2"/>
    <n v="1.2575000000000001"/>
  </r>
  <r>
    <s v="DPOPPELL"/>
    <s v="04"/>
    <s v="MENDOZAHEC"/>
    <s v="HWY60"/>
    <x v="574"/>
    <x v="2"/>
    <x v="2"/>
    <s v="Invoice"/>
    <s v="100001371"/>
    <x v="69"/>
    <x v="62"/>
    <x v="22"/>
    <x v="2"/>
    <n v="8.5124999999999993"/>
  </r>
  <r>
    <s v="DPOPPELL"/>
    <s v="04"/>
    <s v="JOSEHERN"/>
    <s v="KEYSVILLE N"/>
    <x v="574"/>
    <x v="2"/>
    <x v="2"/>
    <s v="Invoice"/>
    <s v="100001372"/>
    <x v="56"/>
    <x v="49"/>
    <x v="22"/>
    <x v="2"/>
    <n v="5.0049999999999999"/>
  </r>
  <r>
    <s v="DPOPPELL"/>
    <s v="04"/>
    <s v="JOSEHERN"/>
    <s v="KEYSVILLE N"/>
    <x v="574"/>
    <x v="2"/>
    <x v="2"/>
    <s v="Invoice"/>
    <s v="100001373"/>
    <x v="58"/>
    <x v="51"/>
    <x v="22"/>
    <x v="2"/>
    <n v="10.015000000000001"/>
  </r>
  <r>
    <s v="DPOPPELL"/>
    <s v="04"/>
    <s v="M&amp;GFARMS"/>
    <s v="HWY 640"/>
    <x v="574"/>
    <x v="2"/>
    <x v="2"/>
    <s v="Invoice"/>
    <s v="100001374"/>
    <x v="58"/>
    <x v="51"/>
    <x v="22"/>
    <x v="2"/>
    <n v="15.032500000000001"/>
  </r>
  <r>
    <s v="DPOPPELL"/>
    <s v="04"/>
    <s v="SRISAIAY"/>
    <s v="PASTURE"/>
    <x v="574"/>
    <x v="2"/>
    <x v="2"/>
    <s v="Invoice"/>
    <s v="100001375"/>
    <x v="27"/>
    <x v="22"/>
    <x v="22"/>
    <x v="2"/>
    <n v="5.0075000000000003"/>
  </r>
  <r>
    <s v="DPOPPELL"/>
    <s v="04"/>
    <s v="LARRYENN"/>
    <s v="TRAPNELL ROAD"/>
    <x v="575"/>
    <x v="2"/>
    <x v="2"/>
    <s v="Invoice"/>
    <s v="100001387"/>
    <x v="28"/>
    <x v="23"/>
    <x v="22"/>
    <x v="2"/>
    <n v="7.0025000000000004"/>
  </r>
  <r>
    <s v="DPOPPELL"/>
    <s v="04"/>
    <s v="MENDOZAHEC"/>
    <s v="FISHFARM"/>
    <x v="575"/>
    <x v="2"/>
    <x v="2"/>
    <s v="Invoice"/>
    <s v="100001388"/>
    <x v="43"/>
    <x v="38"/>
    <x v="22"/>
    <x v="2"/>
    <n v="2.5125000000000002"/>
  </r>
  <r>
    <s v="DPOPPELL"/>
    <s v="04"/>
    <s v="FAVORITE"/>
    <s v="MCINTOSH ROAD"/>
    <x v="575"/>
    <x v="2"/>
    <x v="2"/>
    <s v="Invoice"/>
    <s v="100001389"/>
    <x v="58"/>
    <x v="51"/>
    <x v="22"/>
    <x v="2"/>
    <n v="10.0075"/>
  </r>
  <r>
    <s v="DPOPPELL"/>
    <s v="04"/>
    <s v="PARKESDA"/>
    <s v="HILL"/>
    <x v="575"/>
    <x v="2"/>
    <x v="2"/>
    <s v="Invoice"/>
    <s v="100001390"/>
    <x v="65"/>
    <x v="58"/>
    <x v="22"/>
    <x v="2"/>
    <n v="10.012499999999999"/>
  </r>
  <r>
    <s v="HOUSE"/>
    <s v="05"/>
    <s v="CPSBOYNTON"/>
    <s v="BOYNTON BCH"/>
    <x v="561"/>
    <x v="2"/>
    <x v="2"/>
    <s v="Invoice"/>
    <s v="100001192"/>
    <x v="121"/>
    <x v="110"/>
    <x v="1"/>
    <x v="0"/>
    <n v="180"/>
  </r>
  <r>
    <s v="HOUSE"/>
    <s v="05"/>
    <s v="SOUTHERN"/>
    <s v="SOUTHERN AG"/>
    <x v="567"/>
    <x v="2"/>
    <x v="2"/>
    <s v="Invoice"/>
    <s v="100001290"/>
    <x v="101"/>
    <x v="21"/>
    <x v="21"/>
    <x v="0"/>
    <n v="120"/>
  </r>
  <r>
    <s v="HOUSE"/>
    <s v="05"/>
    <s v="SOUTHERN"/>
    <s v="SOUTHERN AG"/>
    <x v="567"/>
    <x v="2"/>
    <x v="2"/>
    <s v="Invoice"/>
    <s v="100001290"/>
    <x v="96"/>
    <x v="90"/>
    <x v="39"/>
    <x v="0"/>
    <n v="180"/>
  </r>
  <r>
    <s v="HOUSE"/>
    <s v="05"/>
    <s v="SOUTHERN"/>
    <s v="SOUTHERN AG"/>
    <x v="567"/>
    <x v="2"/>
    <x v="2"/>
    <s v="Invoice"/>
    <s v="100001290"/>
    <x v="133"/>
    <x v="109"/>
    <x v="45"/>
    <x v="0"/>
    <n v="30"/>
  </r>
  <r>
    <s v="HOUSE"/>
    <s v="05"/>
    <s v="CPSBOYNTON"/>
    <s v="BOYNTON BCH"/>
    <x v="562"/>
    <x v="2"/>
    <x v="2"/>
    <s v="Invoice"/>
    <s v="100001331"/>
    <x v="5"/>
    <x v="72"/>
    <x v="4"/>
    <x v="0"/>
    <n v="180"/>
  </r>
  <r>
    <s v="HOUSE"/>
    <s v="05"/>
    <s v="CPSBOYNTON"/>
    <s v="BOYNTON BCH"/>
    <x v="562"/>
    <x v="2"/>
    <x v="2"/>
    <s v="Invoice"/>
    <s v="100001332"/>
    <x v="101"/>
    <x v="21"/>
    <x v="21"/>
    <x v="0"/>
    <n v="360"/>
  </r>
  <r>
    <s v=""/>
    <s v="07"/>
    <s v="BARNESFE"/>
    <s v="HASTINGS"/>
    <x v="563"/>
    <x v="2"/>
    <x v="2"/>
    <s v="Invoice"/>
    <s v="100001070"/>
    <x v="397"/>
    <x v="344"/>
    <x v="102"/>
    <x v="0"/>
    <n v="360"/>
  </r>
  <r>
    <s v=""/>
    <s v="07"/>
    <s v="BARNESFE"/>
    <s v="HASTINGS"/>
    <x v="579"/>
    <x v="2"/>
    <x v="2"/>
    <s v="Invoice"/>
    <s v="100001173"/>
    <x v="101"/>
    <x v="21"/>
    <x v="21"/>
    <x v="0"/>
    <n v="180"/>
  </r>
  <r>
    <s v=""/>
    <s v="07"/>
    <s v="BARNESFE"/>
    <s v="HASTINGS"/>
    <x v="579"/>
    <x v="2"/>
    <x v="2"/>
    <s v="Invoice"/>
    <s v="100001173"/>
    <x v="415"/>
    <x v="359"/>
    <x v="65"/>
    <x v="0"/>
    <n v="180"/>
  </r>
  <r>
    <s v=""/>
    <s v="07"/>
    <s v="BARNESFE"/>
    <s v="HASTINGS"/>
    <x v="579"/>
    <x v="2"/>
    <x v="2"/>
    <s v="Invoice"/>
    <s v="100001173"/>
    <x v="48"/>
    <x v="33"/>
    <x v="28"/>
    <x v="0"/>
    <n v="20"/>
  </r>
  <r>
    <s v=""/>
    <s v="07"/>
    <s v="CPSHASTI"/>
    <s v="HASTINGS"/>
    <x v="567"/>
    <x v="2"/>
    <x v="2"/>
    <s v="Invoice"/>
    <s v="100001297"/>
    <x v="463"/>
    <x v="405"/>
    <x v="20"/>
    <x v="1"/>
    <n v="500"/>
  </r>
  <r>
    <s v="CHEAD"/>
    <s v="07"/>
    <s v="TRIANGLE"/>
    <s v="OAKHAMMOCK"/>
    <x v="571"/>
    <x v="2"/>
    <x v="2"/>
    <s v="Invoice"/>
    <s v="100001317"/>
    <x v="70"/>
    <x v="63"/>
    <x v="33"/>
    <x v="0"/>
    <n v="250"/>
  </r>
  <r>
    <s v="DPOPPELL1"/>
    <s v="08"/>
    <s v="TRIANGLE"/>
    <s v="TRIANGLE/PC"/>
    <x v="559"/>
    <x v="2"/>
    <x v="2"/>
    <s v="Invoice"/>
    <s v="100001085"/>
    <x v="77"/>
    <x v="37"/>
    <x v="30"/>
    <x v="0"/>
    <n v="450"/>
  </r>
  <r>
    <s v="DPOPPELL1"/>
    <s v="08"/>
    <s v="CPSMULB"/>
    <s v="UAP/MULBERRY"/>
    <x v="577"/>
    <x v="2"/>
    <x v="2"/>
    <s v="Invoice"/>
    <s v="100001097"/>
    <x v="102"/>
    <x v="71"/>
    <x v="100"/>
    <x v="0"/>
    <n v="1250"/>
  </r>
  <r>
    <s v="DPOPPELL1"/>
    <s v="08"/>
    <s v="COASTALAGSUPPLY"/>
    <s v="MULBERRY"/>
    <x v="579"/>
    <x v="2"/>
    <x v="2"/>
    <s v="Invoice"/>
    <s v="100001179"/>
    <x v="42"/>
    <x v="37"/>
    <x v="30"/>
    <x v="0"/>
    <n v="30"/>
  </r>
  <r>
    <s v="DPOPPELL1"/>
    <s v="08"/>
    <s v="COASTALAGSUPPLY"/>
    <s v="MULBERRY"/>
    <x v="579"/>
    <x v="2"/>
    <x v="2"/>
    <s v="Invoice"/>
    <s v="100001179"/>
    <x v="45"/>
    <x v="37"/>
    <x v="30"/>
    <x v="0"/>
    <n v="250"/>
  </r>
  <r>
    <s v="DPOPPELL1"/>
    <s v="08"/>
    <s v="TRIANGLE"/>
    <s v="TRIANGLE/PC"/>
    <x v="561"/>
    <x v="2"/>
    <x v="2"/>
    <s v="Invoice"/>
    <s v="100001204"/>
    <x v="34"/>
    <x v="29"/>
    <x v="26"/>
    <x v="0"/>
    <n v="360"/>
  </r>
  <r>
    <s v="DPOPPELL1"/>
    <s v="08"/>
    <s v="TRIANGLE"/>
    <s v="TRIANGLE/PC"/>
    <x v="561"/>
    <x v="2"/>
    <x v="2"/>
    <s v="Invoice"/>
    <s v="100001204"/>
    <x v="77"/>
    <x v="37"/>
    <x v="30"/>
    <x v="0"/>
    <n v="300"/>
  </r>
  <r>
    <s v="DPOPPELL1"/>
    <s v="08"/>
    <s v="TRIANGLE"/>
    <s v="TRIANGLE/PC"/>
    <x v="580"/>
    <x v="2"/>
    <x v="2"/>
    <s v="Invoice"/>
    <s v="100001207"/>
    <x v="5"/>
    <x v="72"/>
    <x v="4"/>
    <x v="0"/>
    <n v="360"/>
  </r>
  <r>
    <s v="DPOPPELL1"/>
    <s v="08"/>
    <s v="COASTALAGSUPPLY"/>
    <s v="MULBERRY"/>
    <x v="580"/>
    <x v="2"/>
    <x v="2"/>
    <s v="Invoice"/>
    <s v="100001213"/>
    <x v="77"/>
    <x v="37"/>
    <x v="30"/>
    <x v="0"/>
    <n v="150"/>
  </r>
  <r>
    <s v="DPOPPELL1"/>
    <s v="08"/>
    <s v="COASTALAGSUPPLY"/>
    <s v="MULBERRY"/>
    <x v="580"/>
    <x v="2"/>
    <x v="2"/>
    <s v="Invoice"/>
    <s v="100001214"/>
    <x v="136"/>
    <x v="111"/>
    <x v="46"/>
    <x v="0"/>
    <n v="180"/>
  </r>
  <r>
    <s v="DPOPPELL1"/>
    <s v="08"/>
    <s v="CPSMULB"/>
    <s v="UAP/MULBERRY"/>
    <x v="580"/>
    <x v="2"/>
    <x v="2"/>
    <s v="Invoice"/>
    <s v="100001216"/>
    <x v="102"/>
    <x v="71"/>
    <x v="100"/>
    <x v="0"/>
    <n v="2000"/>
  </r>
  <r>
    <s v="DPOPPELL1"/>
    <s v="08"/>
    <s v="COASTALAGSUPPLY"/>
    <s v="MULBERRY"/>
    <x v="567"/>
    <x v="2"/>
    <x v="2"/>
    <s v="Invoice"/>
    <s v="100001291"/>
    <x v="5"/>
    <x v="72"/>
    <x v="4"/>
    <x v="0"/>
    <n v="360"/>
  </r>
  <r>
    <s v="DPOPPELL1"/>
    <s v="08"/>
    <s v="TRIANGLE"/>
    <s v="TRIANGLE/PC"/>
    <x v="567"/>
    <x v="2"/>
    <x v="2"/>
    <s v="Invoice"/>
    <s v="100001296"/>
    <x v="34"/>
    <x v="29"/>
    <x v="26"/>
    <x v="0"/>
    <n v="180"/>
  </r>
  <r>
    <s v="DPOPPELL1"/>
    <s v="08"/>
    <s v="TRIANGLE"/>
    <s v="TRIANGLE/PC"/>
    <x v="567"/>
    <x v="2"/>
    <x v="2"/>
    <s v="Invoice"/>
    <s v="100001296"/>
    <x v="5"/>
    <x v="72"/>
    <x v="4"/>
    <x v="0"/>
    <n v="360"/>
  </r>
  <r>
    <s v="DPOPPELL1"/>
    <s v="08"/>
    <s v="TRIANGLE"/>
    <s v="TRIANGLE/PC"/>
    <x v="567"/>
    <x v="2"/>
    <x v="2"/>
    <s v="Invoice"/>
    <s v="100001299"/>
    <x v="463"/>
    <x v="405"/>
    <x v="20"/>
    <x v="1"/>
    <n v="200"/>
  </r>
  <r>
    <s v="DPOPPELL1"/>
    <s v="08"/>
    <s v="MAYO"/>
    <s v="PLANTCITY"/>
    <x v="567"/>
    <x v="2"/>
    <x v="2"/>
    <s v="Invoice"/>
    <s v="100001309"/>
    <x v="125"/>
    <x v="113"/>
    <x v="22"/>
    <x v="2"/>
    <n v="5.5"/>
  </r>
  <r>
    <s v="DPOPPELL1"/>
    <s v="08"/>
    <s v="CPSMULB"/>
    <s v="UAP/MULBERRY"/>
    <x v="573"/>
    <x v="2"/>
    <x v="2"/>
    <s v="Invoice"/>
    <s v="100001352"/>
    <x v="102"/>
    <x v="71"/>
    <x v="100"/>
    <x v="0"/>
    <n v="750"/>
  </r>
  <r>
    <s v="DPOPPELL1"/>
    <s v="08"/>
    <s v="MAYO"/>
    <s v="PLANTCITY"/>
    <x v="575"/>
    <x v="2"/>
    <x v="2"/>
    <s v="Invoice"/>
    <s v="100001383"/>
    <x v="210"/>
    <x v="186"/>
    <x v="22"/>
    <x v="2"/>
    <n v="12.012499999999999"/>
  </r>
  <r>
    <s v=""/>
    <s v="09"/>
    <s v="AGRIBUSI"/>
    <s v="AGB/ROOSEVELT"/>
    <x v="566"/>
    <x v="2"/>
    <x v="2"/>
    <s v="Invoice"/>
    <s v="100001245"/>
    <x v="89"/>
    <x v="81"/>
    <x v="20"/>
    <x v="1"/>
    <n v="5100"/>
  </r>
  <r>
    <s v="CSWAFFORD"/>
    <s v="12"/>
    <s v="GOLFVENTURES"/>
    <s v="THEYACHT&amp;CC"/>
    <x v="577"/>
    <x v="2"/>
    <x v="2"/>
    <s v="Invoice"/>
    <s v="100001096"/>
    <x v="320"/>
    <x v="282"/>
    <x v="87"/>
    <x v="0"/>
    <n v="250"/>
  </r>
  <r>
    <s v="CSWAFFORD"/>
    <s v="12"/>
    <s v="GOLFVENTURES"/>
    <s v="MAIN"/>
    <x v="577"/>
    <x v="2"/>
    <x v="2"/>
    <s v="Invoice"/>
    <s v="100001098"/>
    <x v="438"/>
    <x v="373"/>
    <x v="108"/>
    <x v="0"/>
    <n v="60"/>
  </r>
  <r>
    <s v="CSWAFFORD"/>
    <s v="12"/>
    <s v="GOLFVENTURES"/>
    <s v="MAIN"/>
    <x v="577"/>
    <x v="2"/>
    <x v="2"/>
    <s v="Invoice"/>
    <s v="100001098"/>
    <x v="249"/>
    <x v="294"/>
    <x v="70"/>
    <x v="0"/>
    <n v="60"/>
  </r>
  <r>
    <s v="CSWAFFORD"/>
    <s v="12"/>
    <s v="GOLFVENTURES"/>
    <s v="MAIN"/>
    <x v="577"/>
    <x v="2"/>
    <x v="2"/>
    <s v="Invoice"/>
    <s v="100001098"/>
    <x v="364"/>
    <x v="321"/>
    <x v="96"/>
    <x v="0"/>
    <n v="60"/>
  </r>
  <r>
    <s v="CSWAFFORD"/>
    <s v="12"/>
    <s v="GOLFVENTURES"/>
    <s v="BOCAROYALE"/>
    <x v="564"/>
    <x v="2"/>
    <x v="2"/>
    <s v="Invoice"/>
    <s v="100001113"/>
    <x v="366"/>
    <x v="336"/>
    <x v="22"/>
    <x v="2"/>
    <n v="1.2675000000000001"/>
  </r>
  <r>
    <s v="CSWAFFORD"/>
    <s v="12"/>
    <s v="JRMINC"/>
    <s v="LAKEWOODRANCH"/>
    <x v="564"/>
    <x v="2"/>
    <x v="2"/>
    <s v="Invoice"/>
    <s v="100001115"/>
    <x v="109"/>
    <x v="80"/>
    <x v="2"/>
    <x v="0"/>
    <n v="250"/>
  </r>
  <r>
    <s v="CSWAFFORD"/>
    <s v="12"/>
    <s v="GOLFVENTURES"/>
    <s v="BOCAROYALE"/>
    <x v="564"/>
    <x v="2"/>
    <x v="2"/>
    <s v="Invoice"/>
    <s v="100001116"/>
    <x v="317"/>
    <x v="267"/>
    <x v="80"/>
    <x v="0"/>
    <n v="250"/>
  </r>
  <r>
    <s v="CSWAFFORD"/>
    <s v="12"/>
    <s v="GOLFVENTURES"/>
    <s v="BOCAROYALE"/>
    <x v="564"/>
    <x v="2"/>
    <x v="2"/>
    <s v="Invoice"/>
    <s v="100001116"/>
    <x v="363"/>
    <x v="320"/>
    <x v="63"/>
    <x v="0"/>
    <n v="250"/>
  </r>
  <r>
    <s v="CSWAFFORD"/>
    <s v="12"/>
    <s v="JRMINC"/>
    <s v="MAILING"/>
    <x v="560"/>
    <x v="2"/>
    <x v="2"/>
    <s v="Invoice"/>
    <s v="100001149"/>
    <x v="448"/>
    <x v="384"/>
    <x v="110"/>
    <x v="0"/>
    <n v="60"/>
  </r>
  <r>
    <s v="CSWAFFORD"/>
    <s v="12"/>
    <s v="JRMINC"/>
    <s v="MAILING"/>
    <x v="560"/>
    <x v="2"/>
    <x v="2"/>
    <s v="Invoice"/>
    <s v="100001149"/>
    <x v="424"/>
    <x v="362"/>
    <x v="47"/>
    <x v="0"/>
    <n v="60"/>
  </r>
  <r>
    <s v="CSWAFFORD"/>
    <s v="12"/>
    <s v="JRMINC"/>
    <s v="MAILING"/>
    <x v="560"/>
    <x v="2"/>
    <x v="2"/>
    <s v="Invoice"/>
    <s v="100001149"/>
    <x v="484"/>
    <x v="425"/>
    <x v="118"/>
    <x v="0"/>
    <n v="180"/>
  </r>
  <r>
    <s v="CSWAFFORD"/>
    <s v="12"/>
    <s v="JRMINC"/>
    <s v="MAILING"/>
    <x v="560"/>
    <x v="2"/>
    <x v="2"/>
    <s v="Invoice"/>
    <s v="100001149"/>
    <x v="514"/>
    <x v="451"/>
    <x v="122"/>
    <x v="0"/>
    <n v="30"/>
  </r>
  <r>
    <s v="CSWAFFORD"/>
    <s v="12"/>
    <s v="JRMINC"/>
    <s v="MAILING"/>
    <x v="560"/>
    <x v="2"/>
    <x v="2"/>
    <s v="Invoice"/>
    <s v="100001149"/>
    <x v="452"/>
    <x v="388"/>
    <x v="112"/>
    <x v="0"/>
    <n v="180"/>
  </r>
  <r>
    <s v="CSWAFFORD"/>
    <s v="12"/>
    <s v="JRMINC"/>
    <s v="MAILING"/>
    <x v="560"/>
    <x v="2"/>
    <x v="2"/>
    <s v="Invoice"/>
    <s v="100001149"/>
    <x v="455"/>
    <x v="391"/>
    <x v="56"/>
    <x v="0"/>
    <n v="180"/>
  </r>
  <r>
    <s v="CSWAFFORD"/>
    <s v="12"/>
    <s v="GOLFVENTURES"/>
    <s v="MAIN"/>
    <x v="565"/>
    <x v="2"/>
    <x v="2"/>
    <s v="Invoice"/>
    <s v="100001154"/>
    <x v="371"/>
    <x v="283"/>
    <x v="88"/>
    <x v="0"/>
    <n v="60"/>
  </r>
  <r>
    <s v="CSWAFFORD"/>
    <s v="12"/>
    <s v="GOLFVENTURES"/>
    <s v="MAIN"/>
    <x v="565"/>
    <x v="2"/>
    <x v="2"/>
    <s v="Invoice"/>
    <s v="100001154"/>
    <x v="485"/>
    <x v="281"/>
    <x v="42"/>
    <x v="0"/>
    <n v="60"/>
  </r>
  <r>
    <s v="CSWAFFORD"/>
    <s v="12"/>
    <s v="GOLFVENTURES"/>
    <s v="MAIN"/>
    <x v="565"/>
    <x v="2"/>
    <x v="2"/>
    <s v="Invoice"/>
    <s v="100001154"/>
    <x v="8"/>
    <x v="396"/>
    <x v="7"/>
    <x v="0"/>
    <n v="60"/>
  </r>
  <r>
    <s v="CSWAFFORD"/>
    <s v="12"/>
    <s v="GOLFVENTURES"/>
    <s v="MAIN"/>
    <x v="565"/>
    <x v="2"/>
    <x v="2"/>
    <s v="Invoice"/>
    <s v="100001155"/>
    <x v="365"/>
    <x v="298"/>
    <x v="53"/>
    <x v="0"/>
    <n v="60"/>
  </r>
  <r>
    <s v="CSWAFFORD"/>
    <s v="12"/>
    <s v="GOLFVENTURES"/>
    <s v="MAIN"/>
    <x v="565"/>
    <x v="2"/>
    <x v="2"/>
    <s v="Invoice"/>
    <s v="100001155"/>
    <x v="336"/>
    <x v="292"/>
    <x v="36"/>
    <x v="0"/>
    <n v="60"/>
  </r>
  <r>
    <s v="CSWAFFORD"/>
    <s v="12"/>
    <s v="GOLFVENTURES"/>
    <s v="MAIN"/>
    <x v="565"/>
    <x v="2"/>
    <x v="2"/>
    <s v="Invoice"/>
    <s v="100001155"/>
    <x v="9"/>
    <x v="419"/>
    <x v="8"/>
    <x v="0"/>
    <n v="60"/>
  </r>
  <r>
    <s v="CSWAFFORD"/>
    <s v="12"/>
    <s v="GOLFVENTURES"/>
    <s v="MAIN"/>
    <x v="579"/>
    <x v="2"/>
    <x v="2"/>
    <s v="Invoice"/>
    <s v="100001178"/>
    <x v="482"/>
    <x v="423"/>
    <x v="69"/>
    <x v="0"/>
    <n v="10"/>
  </r>
  <r>
    <s v="CSWAFFORD"/>
    <s v="12"/>
    <s v="GOLFVENTURES"/>
    <s v="BURNTSTORE"/>
    <x v="561"/>
    <x v="2"/>
    <x v="2"/>
    <s v="Invoice"/>
    <s v="100001193"/>
    <x v="515"/>
    <x v="373"/>
    <x v="108"/>
    <x v="0"/>
    <n v="150"/>
  </r>
  <r>
    <s v="CSWAFFORD"/>
    <s v="12"/>
    <s v="GOLFVENTURES"/>
    <s v="BURNTSTORE"/>
    <x v="561"/>
    <x v="2"/>
    <x v="2"/>
    <s v="Invoice"/>
    <s v="100001193"/>
    <x v="516"/>
    <x v="292"/>
    <x v="36"/>
    <x v="0"/>
    <n v="150"/>
  </r>
  <r>
    <s v="CSWAFFORD"/>
    <s v="12"/>
    <s v="GOLFVENTURES"/>
    <s v="BURNTSTORE"/>
    <x v="561"/>
    <x v="2"/>
    <x v="2"/>
    <s v="Invoice"/>
    <s v="100001193"/>
    <x v="383"/>
    <x v="281"/>
    <x v="42"/>
    <x v="0"/>
    <n v="150"/>
  </r>
  <r>
    <s v="CSWAFFORD"/>
    <s v="12"/>
    <s v="GOLFVENTURES"/>
    <s v="COUNTRYBOY"/>
    <x v="561"/>
    <x v="2"/>
    <x v="2"/>
    <s v="Invoice"/>
    <s v="100001194"/>
    <x v="502"/>
    <x v="312"/>
    <x v="95"/>
    <x v="0"/>
    <n v="275"/>
  </r>
  <r>
    <s v="CSWAFFORD"/>
    <s v="12"/>
    <s v="GOLFVENTURES"/>
    <s v="MAIN"/>
    <x v="568"/>
    <x v="2"/>
    <x v="2"/>
    <s v="Invoice"/>
    <s v="100001221"/>
    <x v="438"/>
    <x v="373"/>
    <x v="108"/>
    <x v="0"/>
    <n v="60"/>
  </r>
  <r>
    <s v="CSWAFFORD"/>
    <s v="12"/>
    <s v="GOLFVENTURES"/>
    <s v="MAIN"/>
    <x v="568"/>
    <x v="2"/>
    <x v="2"/>
    <s v="Invoice"/>
    <s v="100001221"/>
    <x v="370"/>
    <x v="320"/>
    <x v="63"/>
    <x v="0"/>
    <n v="60"/>
  </r>
  <r>
    <s v="CSWAFFORD"/>
    <s v="12"/>
    <s v="GOLFVENTURES"/>
    <s v="MAIN"/>
    <x v="568"/>
    <x v="2"/>
    <x v="2"/>
    <s v="Invoice"/>
    <s v="100001221"/>
    <x v="209"/>
    <x v="452"/>
    <x v="63"/>
    <x v="0"/>
    <n v="60"/>
  </r>
  <r>
    <s v="CSWAFFORD"/>
    <s v="12"/>
    <s v="JRMINC"/>
    <s v="CRESCENTOAKS"/>
    <x v="569"/>
    <x v="2"/>
    <x v="2"/>
    <s v="Invoice"/>
    <s v="100001239"/>
    <x v="517"/>
    <x v="424"/>
    <x v="67"/>
    <x v="0"/>
    <n v="30"/>
  </r>
  <r>
    <s v="CSWAFFORD"/>
    <s v="12"/>
    <s v="GOLFVENTURES"/>
    <s v="MAIN"/>
    <x v="569"/>
    <x v="2"/>
    <x v="2"/>
    <s v="Invoice"/>
    <s v="100001240"/>
    <x v="440"/>
    <x v="321"/>
    <x v="96"/>
    <x v="0"/>
    <n v="250"/>
  </r>
  <r>
    <s v="CSWAFFORD"/>
    <s v="12"/>
    <s v="JRMINC"/>
    <s v="CHEMICALDYNAMIC"/>
    <x v="566"/>
    <x v="2"/>
    <x v="2"/>
    <s v="Invoice"/>
    <s v="100001269"/>
    <x v="452"/>
    <x v="388"/>
    <x v="112"/>
    <x v="0"/>
    <n v="90"/>
  </r>
  <r>
    <s v="CSWAFFORD"/>
    <s v="12"/>
    <s v="JRMINC"/>
    <s v="CHEMICALDYNAMIC"/>
    <x v="566"/>
    <x v="2"/>
    <x v="2"/>
    <s v="Invoice"/>
    <s v="100001269"/>
    <x v="483"/>
    <x v="424"/>
    <x v="67"/>
    <x v="0"/>
    <n v="90"/>
  </r>
  <r>
    <s v="CSWAFFORD"/>
    <s v="12"/>
    <s v="JRMINC"/>
    <s v="CHEMICALDYNAMIC"/>
    <x v="566"/>
    <x v="2"/>
    <x v="2"/>
    <s v="Invoice"/>
    <s v="100001269"/>
    <x v="456"/>
    <x v="392"/>
    <x v="10"/>
    <x v="0"/>
    <n v="90"/>
  </r>
  <r>
    <s v="CSWAFFORD"/>
    <s v="12"/>
    <s v="GOLFVENTURES"/>
    <s v="HOBESOUND"/>
    <x v="567"/>
    <x v="2"/>
    <x v="2"/>
    <s v="Invoice"/>
    <s v="100001282"/>
    <x v="373"/>
    <x v="375"/>
    <x v="82"/>
    <x v="0"/>
    <n v="250"/>
  </r>
  <r>
    <s v="CSWAFFORD"/>
    <s v="12"/>
    <s v="GOLFVENTURES"/>
    <s v="HOBESOUND"/>
    <x v="567"/>
    <x v="2"/>
    <x v="2"/>
    <s v="Invoice"/>
    <s v="100001282"/>
    <x v="317"/>
    <x v="267"/>
    <x v="80"/>
    <x v="0"/>
    <n v="250"/>
  </r>
  <r>
    <s v="CSWAFFORD"/>
    <s v="12"/>
    <s v="JRMINC"/>
    <s v="FEDEXFREIGHTTER"/>
    <x v="567"/>
    <x v="2"/>
    <x v="2"/>
    <s v="Invoice"/>
    <s v="100001300"/>
    <x v="482"/>
    <x v="423"/>
    <x v="69"/>
    <x v="0"/>
    <n v="60"/>
  </r>
  <r>
    <s v="CSWAFFORD"/>
    <s v="12"/>
    <s v="JRMINC"/>
    <s v="FEDEXFREIGHTTER"/>
    <x v="567"/>
    <x v="2"/>
    <x v="2"/>
    <s v="Invoice"/>
    <s v="100001300"/>
    <x v="483"/>
    <x v="424"/>
    <x v="67"/>
    <x v="0"/>
    <n v="60"/>
  </r>
  <r>
    <s v="CSWAFFORD"/>
    <s v="12"/>
    <s v="JRMINC"/>
    <s v="FEDEXFREIGHTTER"/>
    <x v="567"/>
    <x v="2"/>
    <x v="2"/>
    <s v="Invoice"/>
    <s v="100001300"/>
    <x v="91"/>
    <x v="453"/>
    <x v="14"/>
    <x v="0"/>
    <n v="60"/>
  </r>
  <r>
    <s v="CSWAFFORD"/>
    <s v="12"/>
    <s v="GOLFVENTURES"/>
    <s v="CHSEAGLERIDGE"/>
    <x v="571"/>
    <x v="2"/>
    <x v="2"/>
    <s v="Invoice"/>
    <s v="100001311"/>
    <x v="319"/>
    <x v="281"/>
    <x v="42"/>
    <x v="0"/>
    <n v="275"/>
  </r>
  <r>
    <s v="CSWAFFORD"/>
    <s v="12"/>
    <s v="GOLFVENTURES"/>
    <s v="COUNTRYBOY"/>
    <x v="573"/>
    <x v="2"/>
    <x v="2"/>
    <s v="Invoice"/>
    <s v="100001344"/>
    <x v="369"/>
    <x v="338"/>
    <x v="97"/>
    <x v="0"/>
    <n v="250"/>
  </r>
  <r>
    <s v="CSWAFFORD"/>
    <s v="12"/>
    <s v="GOLFVENTURES"/>
    <s v="MAIN"/>
    <x v="574"/>
    <x v="2"/>
    <x v="2"/>
    <s v="Invoice"/>
    <s v="100001364"/>
    <x v="380"/>
    <x v="334"/>
    <x v="80"/>
    <x v="0"/>
    <n v="1300"/>
  </r>
  <r>
    <s v="CSWAFFORD"/>
    <s v="12"/>
    <s v="GOLFVENTURES"/>
    <s v="LAWNWORX"/>
    <x v="574"/>
    <x v="2"/>
    <x v="2"/>
    <s v="Invoice"/>
    <s v="100001365"/>
    <x v="380"/>
    <x v="334"/>
    <x v="80"/>
    <x v="0"/>
    <n v="500"/>
  </r>
  <r>
    <s v="CSWAFFORD"/>
    <s v="12"/>
    <s v="GOLFVENTURES"/>
    <s v="MAIN"/>
    <x v="574"/>
    <x v="2"/>
    <x v="2"/>
    <s v="Invoice"/>
    <s v="100001366"/>
    <x v="249"/>
    <x v="294"/>
    <x v="70"/>
    <x v="0"/>
    <n v="90"/>
  </r>
  <r>
    <s v="CSWAFFORD"/>
    <s v="12"/>
    <s v="GOLFVENTURES"/>
    <s v="MAIN"/>
    <x v="574"/>
    <x v="2"/>
    <x v="2"/>
    <s v="Invoice"/>
    <s v="100001366"/>
    <x v="364"/>
    <x v="321"/>
    <x v="96"/>
    <x v="0"/>
    <n v="90"/>
  </r>
  <r>
    <s v="CSWAFFORD"/>
    <s v="12"/>
    <s v="JRMINC"/>
    <s v="LAKEWOODRANCH"/>
    <x v="575"/>
    <x v="2"/>
    <x v="2"/>
    <s v="Invoice"/>
    <s v="100001381"/>
    <x v="109"/>
    <x v="80"/>
    <x v="2"/>
    <x v="0"/>
    <n v="250"/>
  </r>
  <r>
    <s v="CSWAFFORD"/>
    <s v="12"/>
    <s v="GOLFVENTURES"/>
    <s v="BRADENTONCC"/>
    <x v="575"/>
    <x v="2"/>
    <x v="2"/>
    <s v="Invoice"/>
    <s v="100001382"/>
    <x v="330"/>
    <x v="292"/>
    <x v="36"/>
    <x v="0"/>
    <n v="500"/>
  </r>
  <r>
    <s v="CSWAFFORD"/>
    <s v="12"/>
    <s v="GOLFVENTURES"/>
    <s v="BRADENTONCC"/>
    <x v="575"/>
    <x v="2"/>
    <x v="2"/>
    <s v="Invoice"/>
    <s v="100001382"/>
    <x v="338"/>
    <x v="419"/>
    <x v="8"/>
    <x v="0"/>
    <n v="250"/>
  </r>
  <r>
    <s v="CSWAFFORD"/>
    <s v="12"/>
    <s v="GOLFVENTURES"/>
    <s v="BRADENTONCC"/>
    <x v="575"/>
    <x v="2"/>
    <x v="2"/>
    <s v="Invoice"/>
    <s v="100001382"/>
    <x v="320"/>
    <x v="282"/>
    <x v="87"/>
    <x v="0"/>
    <n v="250"/>
  </r>
  <r>
    <s v="CSWAFFORD"/>
    <s v="12"/>
    <s v="GOLFVENTURES"/>
    <s v="BRADENTONCC"/>
    <x v="575"/>
    <x v="2"/>
    <x v="2"/>
    <s v="Invoice"/>
    <s v="100001382"/>
    <x v="372"/>
    <x v="295"/>
    <x v="43"/>
    <x v="0"/>
    <n v="250"/>
  </r>
  <r>
    <s v="HAP"/>
    <s v="01"/>
    <s v="GREENWAY"/>
    <s v="WAREHOUSE"/>
    <x v="581"/>
    <x v="3"/>
    <x v="3"/>
    <s v="Invoice"/>
    <s v="100001459"/>
    <x v="6"/>
    <x v="5"/>
    <x v="5"/>
    <x v="0"/>
    <n v="120"/>
  </r>
  <r>
    <s v="HAP"/>
    <s v="01"/>
    <s v="GREENWAY"/>
    <s v="WAREHOUSE"/>
    <x v="581"/>
    <x v="3"/>
    <x v="3"/>
    <s v="Invoice"/>
    <s v="100001459"/>
    <x v="22"/>
    <x v="17"/>
    <x v="17"/>
    <x v="0"/>
    <n v="120"/>
  </r>
  <r>
    <s v="HAP"/>
    <s v="01"/>
    <s v="GREENWAY"/>
    <s v="WAREHOUSE"/>
    <x v="581"/>
    <x v="3"/>
    <x v="3"/>
    <s v="Invoice"/>
    <s v="100001459"/>
    <x v="90"/>
    <x v="13"/>
    <x v="13"/>
    <x v="0"/>
    <n v="60"/>
  </r>
  <r>
    <s v="HAP"/>
    <s v="01"/>
    <s v="GREENWAY"/>
    <s v="WAREHOUSE"/>
    <x v="581"/>
    <x v="3"/>
    <x v="3"/>
    <s v="Invoice"/>
    <s v="100001459"/>
    <x v="5"/>
    <x v="4"/>
    <x v="4"/>
    <x v="0"/>
    <n v="120"/>
  </r>
  <r>
    <s v="HAP"/>
    <s v="01"/>
    <s v="GREENWAY"/>
    <s v="WAREHOUSE"/>
    <x v="581"/>
    <x v="3"/>
    <x v="3"/>
    <s v="Invoice"/>
    <s v="100001459"/>
    <x v="2"/>
    <x v="0"/>
    <x v="0"/>
    <x v="0"/>
    <n v="120"/>
  </r>
  <r>
    <s v="HAP"/>
    <s v="01"/>
    <s v="GREENWAY"/>
    <s v="WAREHOUSE"/>
    <x v="581"/>
    <x v="3"/>
    <x v="3"/>
    <s v="Invoice"/>
    <s v="100001459"/>
    <x v="3"/>
    <x v="379"/>
    <x v="2"/>
    <x v="0"/>
    <n v="60"/>
  </r>
  <r>
    <s v="HAP"/>
    <s v="01"/>
    <s v="GREENWAY"/>
    <s v="AVILAGOLFCLUB"/>
    <x v="582"/>
    <x v="3"/>
    <x v="3"/>
    <s v="Invoice"/>
    <s v="100001490"/>
    <x v="6"/>
    <x v="5"/>
    <x v="5"/>
    <x v="0"/>
    <n v="20"/>
  </r>
  <r>
    <s v="HAP"/>
    <s v="01"/>
    <s v="GREENWAY"/>
    <s v="AVILAGOLFCLUB"/>
    <x v="582"/>
    <x v="3"/>
    <x v="3"/>
    <s v="Invoice"/>
    <s v="100001490"/>
    <x v="0"/>
    <x v="0"/>
    <x v="0"/>
    <x v="0"/>
    <n v="55"/>
  </r>
  <r>
    <s v="HAP"/>
    <s v="01"/>
    <s v="GREENWAY"/>
    <s v="AVILAGOLFCLUB"/>
    <x v="582"/>
    <x v="3"/>
    <x v="3"/>
    <s v="Invoice"/>
    <s v="100001490"/>
    <x v="88"/>
    <x v="2"/>
    <x v="2"/>
    <x v="0"/>
    <n v="55"/>
  </r>
  <r>
    <s v="HAP"/>
    <s v="01"/>
    <s v="GREENWAY"/>
    <s v="BANYAN CREEK"/>
    <x v="582"/>
    <x v="3"/>
    <x v="3"/>
    <s v="Invoice"/>
    <s v="100001491"/>
    <x v="188"/>
    <x v="17"/>
    <x v="17"/>
    <x v="0"/>
    <n v="55"/>
  </r>
  <r>
    <s v="HAP"/>
    <s v="01"/>
    <s v="GREENWAY"/>
    <s v="BANYAN CREEK"/>
    <x v="582"/>
    <x v="3"/>
    <x v="3"/>
    <s v="Invoice"/>
    <s v="100001491"/>
    <x v="0"/>
    <x v="0"/>
    <x v="0"/>
    <x v="0"/>
    <n v="55"/>
  </r>
  <r>
    <s v="HAP"/>
    <s v="01"/>
    <s v="GREENWAY"/>
    <s v="BANYAN CREEK"/>
    <x v="582"/>
    <x v="3"/>
    <x v="3"/>
    <s v="Invoice"/>
    <s v="100001491"/>
    <x v="88"/>
    <x v="2"/>
    <x v="2"/>
    <x v="0"/>
    <n v="55"/>
  </r>
  <r>
    <s v="HAP"/>
    <s v="01"/>
    <s v="GREENWAY"/>
    <s v="JACARANDA G C"/>
    <x v="582"/>
    <x v="3"/>
    <x v="3"/>
    <s v="Invoice"/>
    <s v="100001492"/>
    <x v="6"/>
    <x v="5"/>
    <x v="5"/>
    <x v="0"/>
    <n v="30"/>
  </r>
  <r>
    <s v="HAP"/>
    <s v="01"/>
    <s v="GREENWAY"/>
    <s v="JACARANDA G C"/>
    <x v="582"/>
    <x v="3"/>
    <x v="3"/>
    <s v="Invoice"/>
    <s v="100001492"/>
    <x v="188"/>
    <x v="17"/>
    <x v="17"/>
    <x v="0"/>
    <n v="55"/>
  </r>
  <r>
    <s v="HAP"/>
    <s v="01"/>
    <s v="GREENWAY"/>
    <s v="JACARANDA G C"/>
    <x v="583"/>
    <x v="3"/>
    <x v="3"/>
    <s v="Invoice"/>
    <s v="100001543"/>
    <x v="88"/>
    <x v="2"/>
    <x v="2"/>
    <x v="0"/>
    <n v="55"/>
  </r>
  <r>
    <s v="HAP"/>
    <s v="01"/>
    <s v="GREENWAY"/>
    <s v="IRON HORSE G.C."/>
    <x v="583"/>
    <x v="3"/>
    <x v="3"/>
    <s v="Invoice"/>
    <s v="100001544"/>
    <x v="1"/>
    <x v="1"/>
    <x v="1"/>
    <x v="0"/>
    <n v="110"/>
  </r>
  <r>
    <s v="HAP"/>
    <s v="01"/>
    <s v="GREENWAY"/>
    <s v="WAREHOUSE"/>
    <x v="584"/>
    <x v="3"/>
    <x v="3"/>
    <s v="Invoice"/>
    <s v="100001562"/>
    <x v="12"/>
    <x v="11"/>
    <x v="11"/>
    <x v="0"/>
    <n v="120"/>
  </r>
  <r>
    <s v="HAP"/>
    <s v="01"/>
    <s v="GREENWAY"/>
    <s v="WAREHOUSE"/>
    <x v="584"/>
    <x v="3"/>
    <x v="3"/>
    <s v="Invoice"/>
    <s v="100001562"/>
    <x v="11"/>
    <x v="10"/>
    <x v="10"/>
    <x v="0"/>
    <n v="60"/>
  </r>
  <r>
    <s v="HAP"/>
    <s v="01"/>
    <s v="GREENWAY"/>
    <s v="WAREHOUSE"/>
    <x v="584"/>
    <x v="3"/>
    <x v="3"/>
    <s v="Invoice"/>
    <s v="100001562"/>
    <x v="3"/>
    <x v="379"/>
    <x v="2"/>
    <x v="0"/>
    <n v="40"/>
  </r>
  <r>
    <s v="HAP"/>
    <s v="01"/>
    <s v="GREENWAY"/>
    <s v="WAREHOUSE"/>
    <x v="584"/>
    <x v="3"/>
    <x v="3"/>
    <s v="Invoice"/>
    <s v="100001562"/>
    <x v="91"/>
    <x v="14"/>
    <x v="14"/>
    <x v="0"/>
    <n v="20"/>
  </r>
  <r>
    <s v="HAP"/>
    <s v="01"/>
    <s v="ALMARCH"/>
    <s v="THONOTOSASSA"/>
    <x v="585"/>
    <x v="3"/>
    <x v="3"/>
    <s v="Invoice"/>
    <s v="100001608"/>
    <x v="22"/>
    <x v="83"/>
    <x v="17"/>
    <x v="0"/>
    <n v="55"/>
  </r>
  <r>
    <s v="HAP"/>
    <s v="01"/>
    <s v="ALMARCH"/>
    <s v="THONOTOSASSA"/>
    <x v="585"/>
    <x v="3"/>
    <x v="3"/>
    <s v="Invoice"/>
    <s v="100001608"/>
    <x v="93"/>
    <x v="84"/>
    <x v="37"/>
    <x v="0"/>
    <n v="55"/>
  </r>
  <r>
    <s v="HAP"/>
    <s v="01"/>
    <s v="GREENWAY"/>
    <s v="WAREHOUSE"/>
    <x v="586"/>
    <x v="3"/>
    <x v="3"/>
    <s v="Invoice"/>
    <s v="100001619"/>
    <x v="4"/>
    <x v="3"/>
    <x v="3"/>
    <x v="0"/>
    <n v="60"/>
  </r>
  <r>
    <s v="HAP"/>
    <s v="01"/>
    <s v="GREENWAY"/>
    <s v="WAREHOUSE"/>
    <x v="586"/>
    <x v="3"/>
    <x v="3"/>
    <s v="Invoice"/>
    <s v="100001619"/>
    <x v="21"/>
    <x v="16"/>
    <x v="16"/>
    <x v="0"/>
    <n v="120"/>
  </r>
  <r>
    <s v="HAP"/>
    <s v="01"/>
    <s v="GREENWAY"/>
    <s v="WAREHOUSE"/>
    <x v="586"/>
    <x v="3"/>
    <x v="3"/>
    <s v="Invoice"/>
    <s v="100001619"/>
    <x v="7"/>
    <x v="6"/>
    <x v="6"/>
    <x v="0"/>
    <n v="60"/>
  </r>
  <r>
    <s v="HAP"/>
    <s v="01"/>
    <s v="GREENWAY"/>
    <s v="WAREHOUSE"/>
    <x v="586"/>
    <x v="3"/>
    <x v="3"/>
    <s v="Invoice"/>
    <s v="100001619"/>
    <x v="2"/>
    <x v="0"/>
    <x v="0"/>
    <x v="0"/>
    <n v="120"/>
  </r>
  <r>
    <s v="HAP"/>
    <s v="01"/>
    <s v="GREENWAY"/>
    <s v="MIZNER C. CLUB"/>
    <x v="586"/>
    <x v="3"/>
    <x v="3"/>
    <s v="Invoice"/>
    <s v="100001628"/>
    <x v="6"/>
    <x v="5"/>
    <x v="5"/>
    <x v="0"/>
    <n v="50"/>
  </r>
  <r>
    <s v="HAP"/>
    <s v="01"/>
    <s v="GREENWAY"/>
    <s v="MIZNER C. CLUB"/>
    <x v="586"/>
    <x v="3"/>
    <x v="3"/>
    <s v="Invoice"/>
    <s v="100001628"/>
    <x v="5"/>
    <x v="4"/>
    <x v="4"/>
    <x v="0"/>
    <n v="100"/>
  </r>
  <r>
    <s v="HAP"/>
    <s v="01"/>
    <s v="GREENWAY"/>
    <s v="MIZNER C. CLUB"/>
    <x v="586"/>
    <x v="3"/>
    <x v="3"/>
    <s v="Invoice"/>
    <s v="100001628"/>
    <x v="2"/>
    <x v="0"/>
    <x v="0"/>
    <x v="0"/>
    <n v="100"/>
  </r>
  <r>
    <s v="HAP"/>
    <s v="01"/>
    <s v="GREENWAY"/>
    <s v="MIZNER C. CLUB"/>
    <x v="586"/>
    <x v="3"/>
    <x v="3"/>
    <s v="Invoice"/>
    <s v="100001628"/>
    <x v="3"/>
    <x v="379"/>
    <x v="2"/>
    <x v="0"/>
    <n v="50"/>
  </r>
  <r>
    <s v="DAVID"/>
    <s v="02"/>
    <s v="FLORIDAF"/>
    <s v="FLORIDA FERTILI"/>
    <x v="587"/>
    <x v="3"/>
    <x v="3"/>
    <s v="Invoice"/>
    <s v="100001396A"/>
    <x v="29"/>
    <x v="24"/>
    <x v="20"/>
    <x v="1"/>
    <n v="9863"/>
  </r>
  <r>
    <s v="DAVID"/>
    <s v="02"/>
    <s v="CAROLINATU"/>
    <s v="GRANDOVER RESOR"/>
    <x v="588"/>
    <x v="3"/>
    <x v="3"/>
    <s v="Invoice"/>
    <s v="100001421"/>
    <x v="22"/>
    <x v="69"/>
    <x v="17"/>
    <x v="0"/>
    <n v="265"/>
  </r>
  <r>
    <s v="DAVID"/>
    <s v="02"/>
    <s v="CAROLINATU"/>
    <s v="GRANDOVER RESOR"/>
    <x v="588"/>
    <x v="3"/>
    <x v="3"/>
    <s v="Invoice"/>
    <s v="100001421"/>
    <x v="163"/>
    <x v="227"/>
    <x v="56"/>
    <x v="0"/>
    <n v="220"/>
  </r>
  <r>
    <s v="DAVID"/>
    <s v="02"/>
    <s v="RUSSTECH"/>
    <s v="CORTEC"/>
    <x v="581"/>
    <x v="3"/>
    <x v="3"/>
    <s v="Invoice"/>
    <s v="100001455"/>
    <x v="507"/>
    <x v="444"/>
    <x v="20"/>
    <x v="1"/>
    <n v="41060"/>
  </r>
  <r>
    <s v="DAVID"/>
    <s v="02"/>
    <s v="EVOQUAWATER"/>
    <s v="MAIN"/>
    <x v="589"/>
    <x v="3"/>
    <x v="3"/>
    <s v="Invoice"/>
    <s v="100001507"/>
    <x v="160"/>
    <x v="231"/>
    <x v="54"/>
    <x v="0"/>
    <n v="360"/>
  </r>
  <r>
    <s v="DAVID"/>
    <s v="02"/>
    <s v="EVOQUAWATER"/>
    <s v="XYLEM"/>
    <x v="590"/>
    <x v="3"/>
    <x v="3"/>
    <s v="Invoice"/>
    <s v="100001511"/>
    <x v="160"/>
    <x v="231"/>
    <x v="54"/>
    <x v="0"/>
    <n v="360"/>
  </r>
  <r>
    <s v="DAVID"/>
    <s v="02"/>
    <s v="EVOQUAWATER"/>
    <s v="COUNTYOFCOLLIER"/>
    <x v="591"/>
    <x v="3"/>
    <x v="3"/>
    <s v="Invoice"/>
    <s v="100001569"/>
    <x v="295"/>
    <x v="231"/>
    <x v="54"/>
    <x v="0"/>
    <n v="150"/>
  </r>
  <r>
    <s v="DAVID"/>
    <s v="02"/>
    <s v="EVOQUAWATER"/>
    <s v="MAIN"/>
    <x v="592"/>
    <x v="3"/>
    <x v="3"/>
    <s v="Invoice"/>
    <s v="100001597"/>
    <x v="160"/>
    <x v="231"/>
    <x v="54"/>
    <x v="0"/>
    <n v="180"/>
  </r>
  <r>
    <s v="DAVID"/>
    <s v="02"/>
    <s v="TRIANGLE"/>
    <s v="TRIANGLE/PC"/>
    <x v="592"/>
    <x v="3"/>
    <x v="3"/>
    <s v="Invoice"/>
    <s v="100001598"/>
    <x v="127"/>
    <x v="115"/>
    <x v="20"/>
    <x v="1"/>
    <n v="600"/>
  </r>
  <r>
    <s v="DAVID"/>
    <s v="02"/>
    <s v="FLORIDAF"/>
    <s v="FLORIDA FERTILI"/>
    <x v="593"/>
    <x v="3"/>
    <x v="3"/>
    <s v="Invoice"/>
    <s v="100001656"/>
    <x v="29"/>
    <x v="24"/>
    <x v="20"/>
    <x v="1"/>
    <n v="19280"/>
  </r>
  <r>
    <s v="JUSTIN"/>
    <s v="03"/>
    <s v="CPSPARRI"/>
    <s v="PARRISH"/>
    <x v="587"/>
    <x v="3"/>
    <x v="3"/>
    <s v="Invoice"/>
    <s v="100001395"/>
    <x v="40"/>
    <x v="35"/>
    <x v="29"/>
    <x v="0"/>
    <n v="180"/>
  </r>
  <r>
    <s v="JUSTIN"/>
    <s v="03"/>
    <s v="G&amp;DFARMS"/>
    <s v="MIDDLE"/>
    <x v="588"/>
    <x v="3"/>
    <x v="3"/>
    <s v="Invoice"/>
    <s v="100001405"/>
    <x v="509"/>
    <x v="446"/>
    <x v="22"/>
    <x v="2"/>
    <n v="15.007"/>
  </r>
  <r>
    <s v=""/>
    <s v="03"/>
    <s v="CPSMULB"/>
    <s v="UAP/MULBERRY"/>
    <x v="594"/>
    <x v="3"/>
    <x v="3"/>
    <s v="Invoice"/>
    <s v="100001435"/>
    <x v="96"/>
    <x v="90"/>
    <x v="39"/>
    <x v="0"/>
    <n v="180"/>
  </r>
  <r>
    <s v=""/>
    <s v="03"/>
    <s v="CPSMULB"/>
    <s v="UAP/MULBERRY"/>
    <x v="594"/>
    <x v="3"/>
    <x v="3"/>
    <s v="Invoice"/>
    <s v="100001435"/>
    <x v="5"/>
    <x v="72"/>
    <x v="4"/>
    <x v="0"/>
    <n v="180"/>
  </r>
  <r>
    <s v=""/>
    <s v="03"/>
    <s v="CPSMULB"/>
    <s v="UAP/MULBERRY"/>
    <x v="594"/>
    <x v="3"/>
    <x v="3"/>
    <s v="Invoice"/>
    <s v="100001435"/>
    <x v="102"/>
    <x v="71"/>
    <x v="100"/>
    <x v="0"/>
    <n v="1500"/>
  </r>
  <r>
    <s v="JUSTIN"/>
    <s v="03"/>
    <s v="COASTALAGSUPPLY"/>
    <s v="MULBERRY"/>
    <x v="595"/>
    <x v="3"/>
    <x v="3"/>
    <s v="Invoice"/>
    <s v="100001460"/>
    <x v="34"/>
    <x v="29"/>
    <x v="26"/>
    <x v="0"/>
    <n v="360"/>
  </r>
  <r>
    <s v="JUSTIN"/>
    <s v="03"/>
    <s v="COASTALAGSUPPLY"/>
    <s v="MULBERRY"/>
    <x v="595"/>
    <x v="3"/>
    <x v="3"/>
    <s v="Invoice"/>
    <s v="100001460"/>
    <x v="87"/>
    <x v="88"/>
    <x v="8"/>
    <x v="0"/>
    <n v="250"/>
  </r>
  <r>
    <s v="JUSTIN"/>
    <s v="03"/>
    <s v="COUNCILO"/>
    <s v="COUNCIL-OXFORD"/>
    <x v="595"/>
    <x v="3"/>
    <x v="3"/>
    <s v="Invoice"/>
    <s v="100001464"/>
    <x v="137"/>
    <x v="153"/>
    <x v="23"/>
    <x v="0"/>
    <n v="180"/>
  </r>
  <r>
    <s v="JUSTIN"/>
    <s v="03"/>
    <s v="COUNCILO"/>
    <s v="COUNCIL-OXFORD"/>
    <x v="595"/>
    <x v="3"/>
    <x v="3"/>
    <s v="Invoice"/>
    <s v="100001464"/>
    <x v="39"/>
    <x v="34"/>
    <x v="26"/>
    <x v="0"/>
    <n v="60"/>
  </r>
  <r>
    <s v="JUSTIN"/>
    <s v="03"/>
    <s v="COUNCILO"/>
    <s v="COUNCIL-OXFORD"/>
    <x v="595"/>
    <x v="3"/>
    <x v="3"/>
    <s v="Invoice"/>
    <s v="100001464"/>
    <x v="168"/>
    <x v="88"/>
    <x v="8"/>
    <x v="0"/>
    <n v="180"/>
  </r>
  <r>
    <s v="JUSTIN"/>
    <s v="03"/>
    <s v="COUNCILO"/>
    <s v="COUNCIL-OXFORD"/>
    <x v="595"/>
    <x v="3"/>
    <x v="3"/>
    <s v="Invoice"/>
    <s v="100001464"/>
    <x v="5"/>
    <x v="72"/>
    <x v="4"/>
    <x v="0"/>
    <n v="60"/>
  </r>
  <r>
    <s v="JUSTIN"/>
    <s v="03"/>
    <s v="FLORIDAF"/>
    <s v="FLORIDA FERTILI"/>
    <x v="596"/>
    <x v="3"/>
    <x v="3"/>
    <s v="Invoice"/>
    <s v="100001469"/>
    <x v="164"/>
    <x v="147"/>
    <x v="57"/>
    <x v="0"/>
    <n v="120"/>
  </r>
  <r>
    <s v="JUSTIN"/>
    <s v="03"/>
    <s v="G&amp;DFARMS"/>
    <s v="MIDDLE"/>
    <x v="596"/>
    <x v="3"/>
    <x v="3"/>
    <s v="Invoice"/>
    <s v="100001479"/>
    <x v="509"/>
    <x v="446"/>
    <x v="22"/>
    <x v="2"/>
    <n v="15.04"/>
  </r>
  <r>
    <s v="JUSTIN"/>
    <s v="03"/>
    <s v="CPSWAVER"/>
    <s v="WAVERLY"/>
    <x v="582"/>
    <x v="3"/>
    <x v="3"/>
    <s v="Invoice"/>
    <s v="100001489"/>
    <x v="191"/>
    <x v="169"/>
    <x v="61"/>
    <x v="0"/>
    <n v="180"/>
  </r>
  <r>
    <s v=""/>
    <s v="03"/>
    <s v="CPSMULB"/>
    <s v="UAP/MULBERRY"/>
    <x v="589"/>
    <x v="3"/>
    <x v="3"/>
    <s v="Invoice"/>
    <s v="100001503"/>
    <x v="34"/>
    <x v="29"/>
    <x v="26"/>
    <x v="0"/>
    <n v="180"/>
  </r>
  <r>
    <s v=""/>
    <s v="03"/>
    <s v="CPSMULB"/>
    <s v="UAP/MULBERRY"/>
    <x v="589"/>
    <x v="3"/>
    <x v="3"/>
    <s v="Invoice"/>
    <s v="100001504"/>
    <x v="5"/>
    <x v="72"/>
    <x v="4"/>
    <x v="0"/>
    <n v="540"/>
  </r>
  <r>
    <s v=""/>
    <s v="03"/>
    <s v="CPSMULB"/>
    <s v="UAP/MULBERRY"/>
    <x v="597"/>
    <x v="3"/>
    <x v="3"/>
    <s v="Invoice"/>
    <s v="100001521"/>
    <x v="102"/>
    <x v="71"/>
    <x v="100"/>
    <x v="0"/>
    <n v="500"/>
  </r>
  <r>
    <s v="JUSTIN"/>
    <s v="03"/>
    <s v="CPSWACHU"/>
    <s v="WAUCHULA"/>
    <x v="583"/>
    <x v="3"/>
    <x v="3"/>
    <s v="Invoice"/>
    <s v="100001531"/>
    <x v="34"/>
    <x v="29"/>
    <x v="26"/>
    <x v="0"/>
    <n v="360"/>
  </r>
  <r>
    <s v="JUSTIN"/>
    <s v="03"/>
    <s v="G&amp;DFARMS"/>
    <s v="MIDDLE"/>
    <x v="584"/>
    <x v="3"/>
    <x v="3"/>
    <s v="Invoice"/>
    <s v="100001553"/>
    <x v="509"/>
    <x v="446"/>
    <x v="22"/>
    <x v="2"/>
    <n v="15"/>
  </r>
  <r>
    <s v=""/>
    <s v="03"/>
    <s v="CPSMULB"/>
    <s v="UAP/MULBERRY"/>
    <x v="584"/>
    <x v="3"/>
    <x v="3"/>
    <s v="Invoice"/>
    <s v="100001561"/>
    <x v="34"/>
    <x v="29"/>
    <x v="26"/>
    <x v="0"/>
    <n v="360"/>
  </r>
  <r>
    <s v="JUSTIN"/>
    <s v="03"/>
    <s v="CPSFTPIE"/>
    <s v="FT. PIERCE"/>
    <x v="598"/>
    <x v="3"/>
    <x v="3"/>
    <s v="Invoice"/>
    <s v="100001585"/>
    <x v="74"/>
    <x v="67"/>
    <x v="7"/>
    <x v="0"/>
    <n v="2000"/>
  </r>
  <r>
    <s v="JUSTIN"/>
    <s v="03"/>
    <s v="COUNCILO"/>
    <s v="COUNCIL-OXFORD"/>
    <x v="598"/>
    <x v="3"/>
    <x v="3"/>
    <s v="Invoice"/>
    <s v="100001586"/>
    <x v="41"/>
    <x v="36"/>
    <x v="26"/>
    <x v="0"/>
    <n v="250"/>
  </r>
  <r>
    <s v="JUSTIN"/>
    <s v="03"/>
    <s v="CPSIMMOK"/>
    <s v="IMMOKALEE"/>
    <x v="598"/>
    <x v="3"/>
    <x v="3"/>
    <s v="Invoice"/>
    <s v="100001587"/>
    <x v="4"/>
    <x v="371"/>
    <x v="3"/>
    <x v="0"/>
    <n v="180"/>
  </r>
  <r>
    <s v="JUSTIN"/>
    <s v="03"/>
    <s v="TRIANGLE"/>
    <s v="TRIANGLE/LAKEPL"/>
    <x v="598"/>
    <x v="3"/>
    <x v="3"/>
    <s v="Invoice"/>
    <s v="100001591"/>
    <x v="100"/>
    <x v="94"/>
    <x v="41"/>
    <x v="0"/>
    <n v="2750"/>
  </r>
  <r>
    <s v="JUSTIN"/>
    <s v="03"/>
    <s v="CPSFTPIE"/>
    <s v="FT. PIERCE"/>
    <x v="592"/>
    <x v="3"/>
    <x v="3"/>
    <s v="Invoice"/>
    <s v="100001592"/>
    <x v="74"/>
    <x v="67"/>
    <x v="7"/>
    <x v="0"/>
    <n v="2500"/>
  </r>
  <r>
    <s v="JUSTIN"/>
    <s v="03"/>
    <s v="COUNCILO"/>
    <s v="COUNCIL-OXFORD"/>
    <x v="599"/>
    <x v="3"/>
    <x v="3"/>
    <s v="Invoice"/>
    <s v="100001603"/>
    <x v="41"/>
    <x v="36"/>
    <x v="26"/>
    <x v="0"/>
    <n v="250"/>
  </r>
  <r>
    <s v=""/>
    <s v="03"/>
    <s v="CPSMULB"/>
    <s v="UAP/MULBERRY"/>
    <x v="585"/>
    <x v="3"/>
    <x v="3"/>
    <s v="Invoice"/>
    <s v="100001610"/>
    <x v="40"/>
    <x v="35"/>
    <x v="29"/>
    <x v="0"/>
    <n v="180"/>
  </r>
  <r>
    <s v="JUSTIN"/>
    <s v="03"/>
    <s v="CPSPARRI"/>
    <s v="PARRISH"/>
    <x v="585"/>
    <x v="3"/>
    <x v="3"/>
    <s v="Invoice"/>
    <s v="100001611"/>
    <x v="34"/>
    <x v="29"/>
    <x v="26"/>
    <x v="0"/>
    <n v="180"/>
  </r>
  <r>
    <s v="JUSTIN"/>
    <s v="03"/>
    <s v="CPSPARRI"/>
    <s v="PARRISH"/>
    <x v="585"/>
    <x v="3"/>
    <x v="3"/>
    <s v="Invoice"/>
    <s v="100001611"/>
    <x v="5"/>
    <x v="72"/>
    <x v="4"/>
    <x v="0"/>
    <n v="180"/>
  </r>
  <r>
    <s v=""/>
    <s v="03"/>
    <s v="CPSMULB"/>
    <s v="UAP/MULBERRY"/>
    <x v="586"/>
    <x v="3"/>
    <x v="3"/>
    <s v="Invoice"/>
    <s v="100001615"/>
    <x v="40"/>
    <x v="35"/>
    <x v="29"/>
    <x v="0"/>
    <n v="180"/>
  </r>
  <r>
    <s v="JUSTIN"/>
    <s v="03"/>
    <s v="CPSFTPIE"/>
    <s v="FT. PIERCE"/>
    <x v="586"/>
    <x v="3"/>
    <x v="3"/>
    <s v="Invoice"/>
    <s v="100001616"/>
    <x v="166"/>
    <x v="29"/>
    <x v="26"/>
    <x v="0"/>
    <n v="1250"/>
  </r>
  <r>
    <s v="JUSTIN"/>
    <s v="03"/>
    <s v="CPSWACHU"/>
    <s v="WAUCHULA"/>
    <x v="586"/>
    <x v="3"/>
    <x v="3"/>
    <s v="Invoice"/>
    <s v="100001617"/>
    <x v="196"/>
    <x v="172"/>
    <x v="61"/>
    <x v="0"/>
    <n v="180"/>
  </r>
  <r>
    <s v="JUSTIN"/>
    <s v="03"/>
    <s v="CPSWAVER"/>
    <s v="WAVERLY"/>
    <x v="586"/>
    <x v="3"/>
    <x v="3"/>
    <s v="Invoice"/>
    <s v="100001620"/>
    <x v="34"/>
    <x v="29"/>
    <x v="26"/>
    <x v="0"/>
    <n v="360"/>
  </r>
  <r>
    <s v="JUSTIN"/>
    <s v="03"/>
    <s v="FLORIDAF"/>
    <s v="FLORIDA FERTILI"/>
    <x v="600"/>
    <x v="3"/>
    <x v="3"/>
    <s v="Invoice"/>
    <s v="100001635"/>
    <x v="100"/>
    <x v="94"/>
    <x v="41"/>
    <x v="0"/>
    <n v="1500"/>
  </r>
  <r>
    <s v=""/>
    <s v="03"/>
    <s v="CPSMULB"/>
    <s v="UAP/MULBERRY"/>
    <x v="600"/>
    <x v="3"/>
    <x v="3"/>
    <s v="Invoice"/>
    <s v="100001639"/>
    <x v="32"/>
    <x v="454"/>
    <x v="25"/>
    <x v="0"/>
    <n v="540"/>
  </r>
  <r>
    <s v="JUSTIN"/>
    <s v="03"/>
    <s v="COUNCILO"/>
    <s v="COUNCIL-OXFORD"/>
    <x v="593"/>
    <x v="3"/>
    <x v="3"/>
    <s v="Invoice"/>
    <s v="100001647"/>
    <x v="41"/>
    <x v="36"/>
    <x v="26"/>
    <x v="0"/>
    <n v="500"/>
  </r>
  <r>
    <s v=""/>
    <s v="03"/>
    <s v="CPSMULB"/>
    <s v="UAP/MULBERRY"/>
    <x v="593"/>
    <x v="3"/>
    <x v="3"/>
    <s v="Invoice"/>
    <s v="100001653"/>
    <x v="34"/>
    <x v="29"/>
    <x v="26"/>
    <x v="0"/>
    <n v="360"/>
  </r>
  <r>
    <s v="JUSTIN"/>
    <s v="03"/>
    <s v="CPSWAVER"/>
    <s v="WAVERLY"/>
    <x v="593"/>
    <x v="3"/>
    <x v="3"/>
    <s v="Invoice"/>
    <s v="100001654"/>
    <x v="136"/>
    <x v="111"/>
    <x v="46"/>
    <x v="0"/>
    <n v="180"/>
  </r>
  <r>
    <s v="JUSTIN"/>
    <s v="03"/>
    <s v="CPSWAVER"/>
    <s v="WAVERLY"/>
    <x v="593"/>
    <x v="3"/>
    <x v="3"/>
    <s v="Invoice"/>
    <s v="100001654"/>
    <x v="36"/>
    <x v="31"/>
    <x v="4"/>
    <x v="0"/>
    <n v="180"/>
  </r>
  <r>
    <s v="JUSTIN"/>
    <s v="03"/>
    <s v="CPSWAVER"/>
    <s v="WAVERLY"/>
    <x v="593"/>
    <x v="3"/>
    <x v="3"/>
    <s v="Invoice"/>
    <s v="100001654"/>
    <x v="5"/>
    <x v="72"/>
    <x v="4"/>
    <x v="0"/>
    <n v="180"/>
  </r>
  <r>
    <s v="JUSTIN"/>
    <s v="03"/>
    <s v="CPSWACHU"/>
    <s v="WAUCHULA"/>
    <x v="593"/>
    <x v="3"/>
    <x v="3"/>
    <s v="Invoice"/>
    <s v="100001655"/>
    <x v="324"/>
    <x v="286"/>
    <x v="13"/>
    <x v="0"/>
    <n v="750"/>
  </r>
  <r>
    <s v="DPOPPELL"/>
    <s v="04"/>
    <s v="FRANKLIN"/>
    <s v="FRANKLIN FARM"/>
    <x v="587"/>
    <x v="3"/>
    <x v="3"/>
    <s v="Invoice"/>
    <s v="100001392"/>
    <x v="43"/>
    <x v="38"/>
    <x v="22"/>
    <x v="2"/>
    <n v="5.0075000000000003"/>
  </r>
  <r>
    <s v="DPOPPELL"/>
    <s v="04"/>
    <s v="FANCYFAR"/>
    <s v="CASON1"/>
    <x v="587"/>
    <x v="3"/>
    <x v="3"/>
    <s v="Invoice"/>
    <s v="100001393"/>
    <x v="50"/>
    <x v="43"/>
    <x v="22"/>
    <x v="2"/>
    <n v="15.012499999999999"/>
  </r>
  <r>
    <s v="DPOPPELL"/>
    <s v="04"/>
    <s v="FRANKLIN"/>
    <s v="FRANKLIN FARM"/>
    <x v="587"/>
    <x v="3"/>
    <x v="3"/>
    <s v="Invoice"/>
    <s v="100001394"/>
    <x v="110"/>
    <x v="97"/>
    <x v="16"/>
    <x v="0"/>
    <n v="500"/>
  </r>
  <r>
    <s v="DPOPPELL"/>
    <s v="04"/>
    <s v="LEE GILLM"/>
    <s v="THONOTOSASSA"/>
    <x v="587"/>
    <x v="3"/>
    <x v="3"/>
    <s v="Invoice"/>
    <s v="100001397"/>
    <x v="63"/>
    <x v="56"/>
    <x v="22"/>
    <x v="2"/>
    <n v="4.9924999999999997"/>
  </r>
  <r>
    <s v="DPOPPELL"/>
    <s v="04"/>
    <s v="CIRCLEGF&amp;R LLC"/>
    <s v="PUMP4"/>
    <x v="587"/>
    <x v="3"/>
    <x v="3"/>
    <s v="Invoice"/>
    <s v="100001398"/>
    <x v="67"/>
    <x v="60"/>
    <x v="22"/>
    <x v="2"/>
    <n v="8.77"/>
  </r>
  <r>
    <s v="DPOPPELL"/>
    <s v="04"/>
    <s v="M&amp;GFARMS"/>
    <s v="RED BARN"/>
    <x v="587"/>
    <x v="3"/>
    <x v="3"/>
    <s v="Invoice"/>
    <s v="100001399"/>
    <x v="45"/>
    <x v="37"/>
    <x v="30"/>
    <x v="0"/>
    <n v="250"/>
  </r>
  <r>
    <s v="DPOPPELL"/>
    <s v="04"/>
    <s v="GUTIERREZA"/>
    <s v="DUETTE"/>
    <x v="588"/>
    <x v="3"/>
    <x v="3"/>
    <s v="Invoice"/>
    <s v="100001400"/>
    <x v="58"/>
    <x v="51"/>
    <x v="22"/>
    <x v="2"/>
    <n v="5.0175000000000001"/>
  </r>
  <r>
    <s v="DPOPPELL"/>
    <s v="04"/>
    <s v="GUILLERMOV"/>
    <s v="MAIN"/>
    <x v="588"/>
    <x v="3"/>
    <x v="3"/>
    <s v="Invoice"/>
    <s v="100001402"/>
    <x v="53"/>
    <x v="46"/>
    <x v="22"/>
    <x v="2"/>
    <n v="0.15"/>
  </r>
  <r>
    <s v="DPOPPELL"/>
    <s v="04"/>
    <s v="GUTIERREZA"/>
    <s v="DUETTE"/>
    <x v="588"/>
    <x v="3"/>
    <x v="3"/>
    <s v="Invoice"/>
    <s v="100001404"/>
    <x v="58"/>
    <x v="51"/>
    <x v="22"/>
    <x v="2"/>
    <n v="15.05"/>
  </r>
  <r>
    <s v="DPOPPELL"/>
    <s v="04"/>
    <s v="SOUTHERNHILL"/>
    <s v="SCHOFIELD"/>
    <x v="588"/>
    <x v="3"/>
    <x v="3"/>
    <s v="Invoice"/>
    <s v="100001406"/>
    <x v="47"/>
    <x v="41"/>
    <x v="22"/>
    <x v="2"/>
    <n v="2.5024999999999999"/>
  </r>
  <r>
    <s v="DPOPPELL"/>
    <s v="04"/>
    <s v="SOUTHERNHILL"/>
    <s v="SCHOFIELD"/>
    <x v="588"/>
    <x v="3"/>
    <x v="3"/>
    <s v="Invoice"/>
    <s v="100001407"/>
    <x v="43"/>
    <x v="38"/>
    <x v="22"/>
    <x v="2"/>
    <n v="2.5049999999999999"/>
  </r>
  <r>
    <s v="DPOPPELL"/>
    <s v="04"/>
    <s v="JOEPENA"/>
    <s v="HWY 92"/>
    <x v="588"/>
    <x v="3"/>
    <x v="3"/>
    <s v="Invoice"/>
    <s v="100001408"/>
    <x v="114"/>
    <x v="101"/>
    <x v="22"/>
    <x v="2"/>
    <n v="1"/>
  </r>
  <r>
    <s v="DPOPPELL"/>
    <s v="04"/>
    <s v="SYDNEYFA"/>
    <s v="SYDNEY-WASHER"/>
    <x v="588"/>
    <x v="3"/>
    <x v="3"/>
    <s v="Invoice"/>
    <s v="100001411"/>
    <x v="511"/>
    <x v="448"/>
    <x v="22"/>
    <x v="2"/>
    <n v="5.0075000000000003"/>
  </r>
  <r>
    <s v="DPOPPELL"/>
    <s v="04"/>
    <s v="SWEETLIFE"/>
    <s v="FOSTERDUKES"/>
    <x v="588"/>
    <x v="3"/>
    <x v="3"/>
    <s v="Invoice"/>
    <s v="100001412"/>
    <x v="67"/>
    <x v="60"/>
    <x v="22"/>
    <x v="2"/>
    <n v="8.0124999999999993"/>
  </r>
  <r>
    <s v="DPOPPELL"/>
    <s v="04"/>
    <s v="MIDWAYF"/>
    <s v="FORBES"/>
    <x v="588"/>
    <x v="3"/>
    <x v="3"/>
    <s v="Invoice"/>
    <s v="100001413"/>
    <x v="67"/>
    <x v="60"/>
    <x v="22"/>
    <x v="2"/>
    <n v="3.0125000000000002"/>
  </r>
  <r>
    <s v="DPOPPELL"/>
    <s v="04"/>
    <s v="MIDWAYF"/>
    <s v="NURSERY"/>
    <x v="588"/>
    <x v="3"/>
    <x v="3"/>
    <s v="Invoice"/>
    <s v="100001414"/>
    <x v="67"/>
    <x v="60"/>
    <x v="22"/>
    <x v="2"/>
    <n v="3.7425000000000002"/>
  </r>
  <r>
    <s v="DPOPPELL"/>
    <s v="04"/>
    <s v="SYDNEYFA"/>
    <s v="FORBES/NORTH"/>
    <x v="588"/>
    <x v="3"/>
    <x v="3"/>
    <s v="Invoice"/>
    <s v="100001415"/>
    <x v="511"/>
    <x v="448"/>
    <x v="22"/>
    <x v="2"/>
    <n v="5.0075000000000003"/>
  </r>
  <r>
    <s v="DPOPPELL"/>
    <s v="04"/>
    <s v="LEE GILLM"/>
    <s v="PASTUREPUMP"/>
    <x v="588"/>
    <x v="3"/>
    <x v="3"/>
    <s v="Invoice"/>
    <s v="100001416"/>
    <x v="63"/>
    <x v="56"/>
    <x v="22"/>
    <x v="2"/>
    <n v="1.7475000000000001"/>
  </r>
  <r>
    <s v="DPOPPELL"/>
    <s v="04"/>
    <s v="SWEETLIFE"/>
    <s v="KNIGHTS GRIFFIN"/>
    <x v="588"/>
    <x v="3"/>
    <x v="3"/>
    <s v="Invoice"/>
    <s v="100001417"/>
    <x v="67"/>
    <x v="60"/>
    <x v="22"/>
    <x v="2"/>
    <n v="15.0375"/>
  </r>
  <r>
    <s v="DPOPPELL"/>
    <s v="04"/>
    <s v="ALVAREZJ"/>
    <s v="ROGERS"/>
    <x v="588"/>
    <x v="3"/>
    <x v="3"/>
    <s v="Invoice"/>
    <s v="100001418"/>
    <x v="68"/>
    <x v="61"/>
    <x v="22"/>
    <x v="2"/>
    <n v="2.0024999999999999"/>
  </r>
  <r>
    <s v="DPOPPELL"/>
    <s v="04"/>
    <s v="DURGAFARMS"/>
    <s v="SYDNEYDOVER"/>
    <x v="588"/>
    <x v="3"/>
    <x v="3"/>
    <s v="Invoice"/>
    <s v="100001419"/>
    <x v="27"/>
    <x v="22"/>
    <x v="22"/>
    <x v="2"/>
    <n v="5.0049999999999999"/>
  </r>
  <r>
    <s v="DPOPPELL"/>
    <s v="04"/>
    <s v="THREESTA"/>
    <s v="WALDEN-SHEFFIEL"/>
    <x v="588"/>
    <x v="3"/>
    <x v="3"/>
    <s v="Invoice"/>
    <s v="100001420"/>
    <x v="511"/>
    <x v="448"/>
    <x v="22"/>
    <x v="2"/>
    <n v="10.012499999999999"/>
  </r>
  <r>
    <s v="DPOPPELL"/>
    <s v="04"/>
    <s v="SWEETLIFE"/>
    <s v="KNIGHTS GRIFFIN"/>
    <x v="588"/>
    <x v="3"/>
    <x v="3"/>
    <s v="Invoice"/>
    <s v="100001422"/>
    <x v="67"/>
    <x v="60"/>
    <x v="22"/>
    <x v="2"/>
    <n v="15.0175"/>
  </r>
  <r>
    <s v="DPOPPELL"/>
    <s v="04"/>
    <s v="STRAWBERRYR"/>
    <s v="RANCH 3"/>
    <x v="588"/>
    <x v="3"/>
    <x v="3"/>
    <s v="Invoice"/>
    <s v="100001423"/>
    <x v="205"/>
    <x v="181"/>
    <x v="22"/>
    <x v="2"/>
    <n v="15.025"/>
  </r>
  <r>
    <s v="DPOPPELL"/>
    <s v="04"/>
    <s v="STRAWBERRYR"/>
    <s v="RANCH 1"/>
    <x v="594"/>
    <x v="3"/>
    <x v="3"/>
    <s v="Invoice"/>
    <s v="100001425"/>
    <x v="205"/>
    <x v="181"/>
    <x v="22"/>
    <x v="2"/>
    <n v="15.005000000000001"/>
  </r>
  <r>
    <s v="DPOPPELL"/>
    <s v="04"/>
    <s v="CIRCLEGF&amp;R LLC"/>
    <s v="PUMP4"/>
    <x v="594"/>
    <x v="3"/>
    <x v="3"/>
    <s v="Invoice"/>
    <s v="100001426"/>
    <x v="518"/>
    <x v="455"/>
    <x v="26"/>
    <x v="0"/>
    <n v="60"/>
  </r>
  <r>
    <s v="DPOPPELL"/>
    <s v="04"/>
    <s v="MIDWAYF"/>
    <s v="NURSERY"/>
    <x v="594"/>
    <x v="3"/>
    <x v="3"/>
    <s v="Invoice"/>
    <s v="100001427"/>
    <x v="518"/>
    <x v="455"/>
    <x v="26"/>
    <x v="0"/>
    <n v="30"/>
  </r>
  <r>
    <s v="DPOPPELL"/>
    <s v="04"/>
    <s v="BEAUCHAMP"/>
    <s v="GALLAGHER"/>
    <x v="594"/>
    <x v="3"/>
    <x v="3"/>
    <s v="Invoice"/>
    <s v="100001428"/>
    <x v="50"/>
    <x v="43"/>
    <x v="22"/>
    <x v="2"/>
    <n v="5.0075000000000003"/>
  </r>
  <r>
    <s v="DPOPPELL"/>
    <s v="04"/>
    <s v="MENDOZAHEC"/>
    <s v="OLIVERRD"/>
    <x v="594"/>
    <x v="3"/>
    <x v="3"/>
    <s v="Invoice"/>
    <s v="100001429"/>
    <x v="69"/>
    <x v="62"/>
    <x v="22"/>
    <x v="2"/>
    <n v="2.5125000000000002"/>
  </r>
  <r>
    <s v="DPOPPELL"/>
    <s v="04"/>
    <s v="FLORIDAAG"/>
    <s v="KINGSWAY"/>
    <x v="594"/>
    <x v="3"/>
    <x v="3"/>
    <s v="Invoice"/>
    <s v="100001430"/>
    <x v="326"/>
    <x v="289"/>
    <x v="22"/>
    <x v="2"/>
    <n v="2.2574999999999998"/>
  </r>
  <r>
    <s v="DPOPPELL"/>
    <s v="04"/>
    <s v="KATHLEEN FARMS"/>
    <s v="KATHLEENRD"/>
    <x v="594"/>
    <x v="3"/>
    <x v="3"/>
    <s v="Invoice"/>
    <s v="100001431"/>
    <x v="518"/>
    <x v="455"/>
    <x v="26"/>
    <x v="0"/>
    <n v="30"/>
  </r>
  <r>
    <s v="DPOPPELL"/>
    <s v="04"/>
    <s v="G&amp;CAGVENTURES"/>
    <s v="FTMEADE"/>
    <x v="594"/>
    <x v="3"/>
    <x v="3"/>
    <s v="Invoice"/>
    <s v="100001432"/>
    <x v="518"/>
    <x v="455"/>
    <x v="26"/>
    <x v="0"/>
    <n v="60"/>
  </r>
  <r>
    <s v="DPOPPELL"/>
    <s v="04"/>
    <s v="FORTGREENFARMS"/>
    <s v="FTGREEN"/>
    <x v="594"/>
    <x v="3"/>
    <x v="3"/>
    <s v="Invoice"/>
    <s v="100001433"/>
    <x v="58"/>
    <x v="51"/>
    <x v="22"/>
    <x v="2"/>
    <n v="10.0075"/>
  </r>
  <r>
    <s v="DPOPPELL"/>
    <s v="04"/>
    <s v="CJABBOTT"/>
    <s v="JOHNGILL"/>
    <x v="594"/>
    <x v="3"/>
    <x v="3"/>
    <s v="Invoice"/>
    <s v="100001434"/>
    <x v="58"/>
    <x v="51"/>
    <x v="22"/>
    <x v="2"/>
    <n v="5.01"/>
  </r>
  <r>
    <s v="DPOPPELL"/>
    <s v="04"/>
    <s v="MIKELOTT"/>
    <s v="HILLSBOROUGH"/>
    <x v="594"/>
    <x v="3"/>
    <x v="3"/>
    <s v="Invoice"/>
    <s v="100001436"/>
    <x v="43"/>
    <x v="38"/>
    <x v="22"/>
    <x v="2"/>
    <n v="5.0025000000000004"/>
  </r>
  <r>
    <s v="DPOPPELL"/>
    <s v="04"/>
    <s v="JOSEHERN"/>
    <s v="SPARKMAN"/>
    <x v="594"/>
    <x v="3"/>
    <x v="3"/>
    <s v="Invoice"/>
    <s v="100001437"/>
    <x v="58"/>
    <x v="51"/>
    <x v="22"/>
    <x v="2"/>
    <n v="10.005000000000001"/>
  </r>
  <r>
    <s v="DPOPPELL"/>
    <s v="04"/>
    <s v="MIDWAYF"/>
    <s v="ALS - NORTH"/>
    <x v="594"/>
    <x v="3"/>
    <x v="3"/>
    <s v="Invoice"/>
    <s v="100001438"/>
    <x v="67"/>
    <x v="60"/>
    <x v="22"/>
    <x v="2"/>
    <n v="4.0125000000000002"/>
  </r>
  <r>
    <s v="DPOPPELL"/>
    <s v="04"/>
    <s v="GAONA, ESPER"/>
    <s v="WILLIAMSRD"/>
    <x v="601"/>
    <x v="3"/>
    <x v="3"/>
    <s v="Invoice"/>
    <s v="100001439"/>
    <x v="28"/>
    <x v="23"/>
    <x v="22"/>
    <x v="2"/>
    <n v="2.5024999999999999"/>
  </r>
  <r>
    <s v="DPOPPELL"/>
    <s v="04"/>
    <s v="SWEETFARMS"/>
    <s v="SPRINGHEAD"/>
    <x v="601"/>
    <x v="3"/>
    <x v="3"/>
    <s v="Invoice"/>
    <s v="100001440"/>
    <x v="58"/>
    <x v="51"/>
    <x v="22"/>
    <x v="2"/>
    <n v="4.0149999999999997"/>
  </r>
  <r>
    <s v="DPOPPELL"/>
    <s v="04"/>
    <s v="SWEETLIFE"/>
    <s v="MCGEE RD."/>
    <x v="601"/>
    <x v="3"/>
    <x v="3"/>
    <s v="Invoice"/>
    <s v="100001441"/>
    <x v="67"/>
    <x v="60"/>
    <x v="22"/>
    <x v="2"/>
    <n v="15.0025"/>
  </r>
  <r>
    <s v="DPOPPELL"/>
    <s v="04"/>
    <s v="FCFARMS"/>
    <s v="GALLAGHER"/>
    <x v="581"/>
    <x v="3"/>
    <x v="3"/>
    <s v="Invoice"/>
    <s v="100001442"/>
    <x v="69"/>
    <x v="62"/>
    <x v="22"/>
    <x v="2"/>
    <n v="2.5"/>
  </r>
  <r>
    <s v=""/>
    <s v="04"/>
    <s v="PORTER HA"/>
    <s v="PASTURE"/>
    <x v="581"/>
    <x v="3"/>
    <x v="3"/>
    <s v="Invoice"/>
    <s v="100001443"/>
    <x v="375"/>
    <x v="329"/>
    <x v="22"/>
    <x v="2"/>
    <n v="8.5075000000000003"/>
  </r>
  <r>
    <s v="DPOPPELL"/>
    <s v="04"/>
    <s v="CHARLIEG-LLC"/>
    <s v="DAIRY"/>
    <x v="581"/>
    <x v="3"/>
    <x v="3"/>
    <s v="Invoice"/>
    <s v="100001446"/>
    <x v="518"/>
    <x v="455"/>
    <x v="26"/>
    <x v="0"/>
    <n v="30"/>
  </r>
  <r>
    <s v="DPOPPELL"/>
    <s v="04"/>
    <s v="IFASGULF"/>
    <s v="BALM-STRAWBERRY"/>
    <x v="581"/>
    <x v="3"/>
    <x v="3"/>
    <s v="Invoice"/>
    <s v="100001450"/>
    <x v="28"/>
    <x v="23"/>
    <x v="22"/>
    <x v="2"/>
    <n v="7.4924999999999997"/>
  </r>
  <r>
    <s v="DPOPPELL"/>
    <s v="04"/>
    <s v="SYDNEYFA"/>
    <s v="FORBES ROAD"/>
    <x v="581"/>
    <x v="3"/>
    <x v="3"/>
    <s v="Invoice"/>
    <s v="100001451"/>
    <x v="511"/>
    <x v="448"/>
    <x v="22"/>
    <x v="2"/>
    <n v="5.0075000000000003"/>
  </r>
  <r>
    <s v="DPOPPELL"/>
    <s v="04"/>
    <s v="EWSIMMON"/>
    <s v="JERRY SMITH RD"/>
    <x v="581"/>
    <x v="3"/>
    <x v="3"/>
    <s v="Invoice"/>
    <s v="100001458"/>
    <x v="357"/>
    <x v="317"/>
    <x v="25"/>
    <x v="0"/>
    <n v="1.875"/>
  </r>
  <r>
    <s v="DPOPPELL"/>
    <s v="04"/>
    <s v="EWSIMMON"/>
    <s v="JERRY SMITH RD"/>
    <x v="581"/>
    <x v="3"/>
    <x v="3"/>
    <s v="Invoice"/>
    <s v="100001458"/>
    <x v="519"/>
    <x v="456"/>
    <x v="22"/>
    <x v="2"/>
    <n v="5.0125000000000002"/>
  </r>
  <r>
    <s v="DPOPPELL"/>
    <s v="04"/>
    <s v="ROQUEFARMS"/>
    <s v="RINGDAHL"/>
    <x v="595"/>
    <x v="3"/>
    <x v="3"/>
    <s v="Invoice"/>
    <s v="100001461"/>
    <x v="43"/>
    <x v="38"/>
    <x v="22"/>
    <x v="2"/>
    <n v="3.75"/>
  </r>
  <r>
    <s v="DPOPPELL"/>
    <s v="04"/>
    <s v="THREESTA"/>
    <s v="WALDEN-SHEFFIEL"/>
    <x v="595"/>
    <x v="3"/>
    <x v="3"/>
    <s v="Invoice"/>
    <s v="100001462"/>
    <x v="511"/>
    <x v="448"/>
    <x v="22"/>
    <x v="2"/>
    <n v="10.012499999999999"/>
  </r>
  <r>
    <s v="DPOPPELL"/>
    <s v="04"/>
    <s v="ALONSOFARMS"/>
    <s v="WIMAUMA"/>
    <x v="595"/>
    <x v="3"/>
    <x v="3"/>
    <s v="Invoice"/>
    <s v="100001463"/>
    <x v="110"/>
    <x v="97"/>
    <x v="16"/>
    <x v="0"/>
    <n v="250"/>
  </r>
  <r>
    <s v="DPOPPELL"/>
    <s v="04"/>
    <s v="ALONSOFARMS"/>
    <s v="WIMAUMA"/>
    <x v="595"/>
    <x v="3"/>
    <x v="3"/>
    <s v="Invoice"/>
    <s v="100001463"/>
    <x v="142"/>
    <x v="123"/>
    <x v="0"/>
    <x v="0"/>
    <n v="250"/>
  </r>
  <r>
    <s v="DPOPPELL"/>
    <s v="04"/>
    <s v="ALONSOFARMS"/>
    <s v="WIMAUMA"/>
    <x v="595"/>
    <x v="3"/>
    <x v="3"/>
    <s v="Invoice"/>
    <s v="100001463"/>
    <x v="109"/>
    <x v="80"/>
    <x v="2"/>
    <x v="0"/>
    <n v="250"/>
  </r>
  <r>
    <s v="DPOPPELL"/>
    <s v="04"/>
    <s v="MANUELCH"/>
    <s v="STANLEY RD."/>
    <x v="595"/>
    <x v="3"/>
    <x v="3"/>
    <s v="Invoice"/>
    <s v="100001466"/>
    <x v="85"/>
    <x v="213"/>
    <x v="35"/>
    <x v="0"/>
    <n v="60"/>
  </r>
  <r>
    <s v="DPOPPELL"/>
    <s v="04"/>
    <s v="MANUELCH"/>
    <s v="STANLEY RD."/>
    <x v="595"/>
    <x v="3"/>
    <x v="3"/>
    <s v="Invoice"/>
    <s v="100001466"/>
    <x v="66"/>
    <x v="59"/>
    <x v="32"/>
    <x v="0"/>
    <n v="60"/>
  </r>
  <r>
    <s v="DPOPPELL"/>
    <s v="04"/>
    <s v="M&amp;GFARMS"/>
    <s v="ONA"/>
    <x v="595"/>
    <x v="3"/>
    <x v="3"/>
    <s v="Invoice"/>
    <s v="100001467"/>
    <x v="58"/>
    <x v="51"/>
    <x v="22"/>
    <x v="2"/>
    <n v="15.015000000000001"/>
  </r>
  <r>
    <s v="DPOPPELL"/>
    <s v="04"/>
    <s v="MENDOZAHEC"/>
    <s v="JAUDON RD"/>
    <x v="595"/>
    <x v="3"/>
    <x v="3"/>
    <s v="Invoice"/>
    <s v="100001470"/>
    <x v="43"/>
    <x v="38"/>
    <x v="22"/>
    <x v="2"/>
    <n v="2.5024999999999999"/>
  </r>
  <r>
    <s v="DPOPPELL"/>
    <s v="04"/>
    <s v="SANCHEZFARM"/>
    <s v="WACHULA"/>
    <x v="596"/>
    <x v="3"/>
    <x v="3"/>
    <s v="Invoice"/>
    <s v="100001474"/>
    <x v="58"/>
    <x v="51"/>
    <x v="22"/>
    <x v="2"/>
    <n v="10.01"/>
  </r>
  <r>
    <s v="DPOPPELL"/>
    <s v="04"/>
    <s v="SANCHEZFARM"/>
    <s v="WACHULA"/>
    <x v="596"/>
    <x v="3"/>
    <x v="3"/>
    <s v="Invoice"/>
    <s v="100001475"/>
    <x v="43"/>
    <x v="38"/>
    <x v="22"/>
    <x v="2"/>
    <n v="11.0375"/>
  </r>
  <r>
    <s v="DPOPPELL"/>
    <s v="04"/>
    <s v="SWEETLIFE"/>
    <s v="VARN ROAD"/>
    <x v="596"/>
    <x v="3"/>
    <x v="3"/>
    <s v="Invoice"/>
    <s v="100001477"/>
    <x v="141"/>
    <x v="124"/>
    <x v="24"/>
    <x v="0"/>
    <n v="250"/>
  </r>
  <r>
    <s v="DPOPPELL"/>
    <s v="04"/>
    <s v="MIDWAYF"/>
    <s v="WILDER RD."/>
    <x v="596"/>
    <x v="3"/>
    <x v="3"/>
    <s v="Invoice"/>
    <s v="100001478"/>
    <x v="67"/>
    <x v="60"/>
    <x v="22"/>
    <x v="2"/>
    <n v="2.0125000000000002"/>
  </r>
  <r>
    <s v="DPOPPELL"/>
    <s v="04"/>
    <s v="MIDWAYF"/>
    <s v="ALS - NORTH"/>
    <x v="596"/>
    <x v="3"/>
    <x v="3"/>
    <s v="Invoice"/>
    <s v="100001480"/>
    <x v="67"/>
    <x v="60"/>
    <x v="22"/>
    <x v="2"/>
    <n v="14.532500000000001"/>
  </r>
  <r>
    <s v="DPOPPELL"/>
    <s v="04"/>
    <s v="GUILLERMOV"/>
    <s v="JENT AVE"/>
    <x v="596"/>
    <x v="3"/>
    <x v="3"/>
    <s v="Invoice"/>
    <s v="100001481"/>
    <x v="53"/>
    <x v="46"/>
    <x v="22"/>
    <x v="2"/>
    <n v="1.0049999999999999"/>
  </r>
  <r>
    <s v="DPOPPELL"/>
    <s v="04"/>
    <s v="MIKELOTT"/>
    <s v="HILLSBOROUGH/E"/>
    <x v="596"/>
    <x v="3"/>
    <x v="3"/>
    <s v="Invoice"/>
    <s v="100001482"/>
    <x v="43"/>
    <x v="38"/>
    <x v="22"/>
    <x v="2"/>
    <n v="5.0199999999999996"/>
  </r>
  <r>
    <s v="DPOPPELL"/>
    <s v="04"/>
    <s v="CENFLO ORGANICS"/>
    <s v="MCINTOSH"/>
    <x v="596"/>
    <x v="3"/>
    <x v="3"/>
    <s v="Invoice"/>
    <s v="100001483"/>
    <x v="65"/>
    <x v="58"/>
    <x v="22"/>
    <x v="2"/>
    <n v="5.5025000000000004"/>
  </r>
  <r>
    <s v="DPOPPELL"/>
    <s v="04"/>
    <s v="CHARLIEG-LLC"/>
    <s v="DAIRY"/>
    <x v="596"/>
    <x v="3"/>
    <x v="3"/>
    <s v="Invoice"/>
    <s v="100001484"/>
    <x v="67"/>
    <x v="60"/>
    <x v="22"/>
    <x v="2"/>
    <n v="15.3725"/>
  </r>
  <r>
    <s v="DPOPPELL"/>
    <s v="04"/>
    <s v="M&amp;GFARMS"/>
    <s v="SR-674"/>
    <x v="582"/>
    <x v="3"/>
    <x v="3"/>
    <s v="Invoice"/>
    <s v="100001487"/>
    <x v="58"/>
    <x v="51"/>
    <x v="22"/>
    <x v="2"/>
    <n v="15.015000000000001"/>
  </r>
  <r>
    <s v="DPOPPELL"/>
    <s v="04"/>
    <s v="TWINFARMS"/>
    <s v="MAIN"/>
    <x v="582"/>
    <x v="3"/>
    <x v="3"/>
    <s v="Invoice"/>
    <s v="100001488"/>
    <x v="58"/>
    <x v="51"/>
    <x v="22"/>
    <x v="2"/>
    <n v="1.0169999999999999"/>
  </r>
  <r>
    <s v="DPOPPELL"/>
    <s v="04"/>
    <s v="FERRISFA"/>
    <s v="STRABERRIES"/>
    <x v="582"/>
    <x v="3"/>
    <x v="3"/>
    <s v="Invoice"/>
    <s v="100001493"/>
    <x v="154"/>
    <x v="136"/>
    <x v="22"/>
    <x v="2"/>
    <n v="20.02"/>
  </r>
  <r>
    <s v="DPOPPELL"/>
    <s v="04"/>
    <s v="FRANKLIN"/>
    <s v="MCGEE RD. NORTH"/>
    <x v="582"/>
    <x v="3"/>
    <x v="3"/>
    <s v="Invoice"/>
    <s v="100001494"/>
    <x v="28"/>
    <x v="23"/>
    <x v="22"/>
    <x v="2"/>
    <n v="8.4824999999999999"/>
  </r>
  <r>
    <s v="DPOPPELL"/>
    <s v="04"/>
    <s v="CHBERRY"/>
    <s v="BOBCAT"/>
    <x v="582"/>
    <x v="3"/>
    <x v="3"/>
    <s v="Invoice"/>
    <s v="100001495"/>
    <x v="58"/>
    <x v="51"/>
    <x v="22"/>
    <x v="2"/>
    <n v="3.0024999999999999"/>
  </r>
  <r>
    <s v="DPOPPELL"/>
    <s v="04"/>
    <s v="MENDOZAHEC"/>
    <s v="FARKAS"/>
    <x v="589"/>
    <x v="3"/>
    <x v="3"/>
    <s v="Invoice"/>
    <s v="100001497"/>
    <x v="69"/>
    <x v="62"/>
    <x v="22"/>
    <x v="2"/>
    <n v="13.53"/>
  </r>
  <r>
    <s v="DPOPPELL"/>
    <s v="04"/>
    <s v="SPIVEYFA"/>
    <s v="HOPEWELL"/>
    <x v="589"/>
    <x v="3"/>
    <x v="3"/>
    <s v="Invoice"/>
    <s v="100001498"/>
    <x v="56"/>
    <x v="49"/>
    <x v="22"/>
    <x v="2"/>
    <n v="4.0125000000000002"/>
  </r>
  <r>
    <s v="DPOPPELL"/>
    <s v="04"/>
    <s v="DURGAFARMS"/>
    <s v="SOUTHTANK"/>
    <x v="589"/>
    <x v="3"/>
    <x v="3"/>
    <s v="Invoice"/>
    <s v="100001499"/>
    <x v="27"/>
    <x v="22"/>
    <x v="22"/>
    <x v="2"/>
    <n v="5.0225"/>
  </r>
  <r>
    <s v="DPOPPELL"/>
    <s v="04"/>
    <s v="SRISAIAY"/>
    <s v="PASTURE"/>
    <x v="589"/>
    <x v="3"/>
    <x v="3"/>
    <s v="Invoice"/>
    <s v="100001500"/>
    <x v="27"/>
    <x v="22"/>
    <x v="22"/>
    <x v="2"/>
    <n v="5.0199999999999996"/>
  </r>
  <r>
    <s v="DPOPPELL"/>
    <s v="04"/>
    <s v="SWEETLIFE"/>
    <s v="KNIGHTS GRIFFIN"/>
    <x v="589"/>
    <x v="3"/>
    <x v="3"/>
    <s v="Invoice"/>
    <s v="100001502"/>
    <x v="67"/>
    <x v="60"/>
    <x v="22"/>
    <x v="2"/>
    <n v="20.045000000000002"/>
  </r>
  <r>
    <s v="DPOPPELL"/>
    <s v="04"/>
    <s v="GAONA, ESPER"/>
    <s v="STRAUSS RD."/>
    <x v="589"/>
    <x v="3"/>
    <x v="3"/>
    <s v="Invoice"/>
    <s v="100001505"/>
    <x v="28"/>
    <x v="23"/>
    <x v="22"/>
    <x v="2"/>
    <n v="1.9775"/>
  </r>
  <r>
    <s v="DPOPPELL"/>
    <s v="04"/>
    <s v="SYDNEYFA"/>
    <s v="FORBES/NORTH"/>
    <x v="589"/>
    <x v="3"/>
    <x v="3"/>
    <s v="Invoice"/>
    <s v="100001506"/>
    <x v="511"/>
    <x v="448"/>
    <x v="22"/>
    <x v="2"/>
    <n v="7.51"/>
  </r>
  <r>
    <s v="DPOPPELL"/>
    <s v="04"/>
    <s v="FAVORITE"/>
    <s v="BETHLEHEM ROAD"/>
    <x v="589"/>
    <x v="3"/>
    <x v="3"/>
    <s v="Invoice"/>
    <s v="100001508"/>
    <x v="58"/>
    <x v="51"/>
    <x v="22"/>
    <x v="2"/>
    <n v="5.0199999999999996"/>
  </r>
  <r>
    <s v="DPOPPELL"/>
    <s v="04"/>
    <s v="SWEETLIFE"/>
    <s v="SWINDLEN"/>
    <x v="589"/>
    <x v="3"/>
    <x v="3"/>
    <s v="Invoice"/>
    <s v="100001509"/>
    <x v="67"/>
    <x v="60"/>
    <x v="22"/>
    <x v="2"/>
    <n v="15.035"/>
  </r>
  <r>
    <s v="DPOPPELL"/>
    <s v="04"/>
    <s v="ROQUEFARMS"/>
    <s v="SWEETWATER"/>
    <x v="590"/>
    <x v="3"/>
    <x v="3"/>
    <s v="Invoice"/>
    <s v="100001513"/>
    <x v="58"/>
    <x v="51"/>
    <x v="22"/>
    <x v="2"/>
    <n v="10"/>
  </r>
  <r>
    <s v="DPOPPELL"/>
    <s v="04"/>
    <s v="SANCHEZFARM"/>
    <s v="574"/>
    <x v="590"/>
    <x v="3"/>
    <x v="3"/>
    <s v="Invoice"/>
    <s v="100001514"/>
    <x v="67"/>
    <x v="60"/>
    <x v="22"/>
    <x v="2"/>
    <n v="6.52"/>
  </r>
  <r>
    <s v="DPOPPELL"/>
    <s v="04"/>
    <s v="GUTIERREZA"/>
    <s v="WASHINGTON"/>
    <x v="590"/>
    <x v="3"/>
    <x v="3"/>
    <s v="Invoice"/>
    <s v="100001515"/>
    <x v="58"/>
    <x v="51"/>
    <x v="22"/>
    <x v="2"/>
    <n v="10.0175"/>
  </r>
  <r>
    <s v="DPOPPELL"/>
    <s v="04"/>
    <s v="CJABBOTT"/>
    <s v="JOHNGILL"/>
    <x v="590"/>
    <x v="3"/>
    <x v="3"/>
    <s v="Invoice"/>
    <s v="100001516"/>
    <x v="58"/>
    <x v="51"/>
    <x v="22"/>
    <x v="2"/>
    <n v="2.5074999999999998"/>
  </r>
  <r>
    <s v="DPOPPELL"/>
    <s v="04"/>
    <s v="FORTGREENFARMS"/>
    <s v="FTGREEN"/>
    <x v="590"/>
    <x v="3"/>
    <x v="3"/>
    <s v="Invoice"/>
    <s v="100001517"/>
    <x v="58"/>
    <x v="51"/>
    <x v="22"/>
    <x v="2"/>
    <n v="12.525"/>
  </r>
  <r>
    <s v="DPOPPELL"/>
    <s v="04"/>
    <s v="HINTONFA"/>
    <s v="COOLER"/>
    <x v="590"/>
    <x v="3"/>
    <x v="3"/>
    <s v="Invoice"/>
    <s v="100001519"/>
    <x v="58"/>
    <x v="51"/>
    <x v="22"/>
    <x v="2"/>
    <n v="10.522500000000001"/>
  </r>
  <r>
    <s v="DPOPPELL"/>
    <s v="04"/>
    <s v="SIMMONS"/>
    <s v="MAILING"/>
    <x v="597"/>
    <x v="3"/>
    <x v="3"/>
    <s v="Invoice"/>
    <s v="100001526"/>
    <x v="53"/>
    <x v="46"/>
    <x v="22"/>
    <x v="2"/>
    <n v="0.15"/>
  </r>
  <r>
    <s v="DPOPPELL"/>
    <s v="04"/>
    <s v="CIRCLEGF&amp;R LLC"/>
    <s v="KNIGHTS-N/SOUTH"/>
    <x v="597"/>
    <x v="3"/>
    <x v="3"/>
    <s v="Invoice"/>
    <s v="100001527"/>
    <x v="67"/>
    <x v="60"/>
    <x v="22"/>
    <x v="2"/>
    <n v="15.032500000000001"/>
  </r>
  <r>
    <s v="DPOPPELL"/>
    <s v="04"/>
    <s v="CIRCLEGF&amp;R LLC"/>
    <s v="PUMP4"/>
    <x v="597"/>
    <x v="3"/>
    <x v="3"/>
    <s v="Invoice"/>
    <s v="100001528"/>
    <x v="67"/>
    <x v="60"/>
    <x v="22"/>
    <x v="2"/>
    <n v="14.0425"/>
  </r>
  <r>
    <s v="DPOPPELL"/>
    <s v="04"/>
    <s v="ELIASCEDILLO"/>
    <s v="MAILING"/>
    <x v="583"/>
    <x v="3"/>
    <x v="3"/>
    <s v="Invoice"/>
    <s v="100001534"/>
    <x v="77"/>
    <x v="37"/>
    <x v="30"/>
    <x v="0"/>
    <n v="30"/>
  </r>
  <r>
    <s v="DPOPPELL"/>
    <s v="04"/>
    <s v="CEDILLO"/>
    <s v="MAIN"/>
    <x v="583"/>
    <x v="3"/>
    <x v="3"/>
    <s v="Invoice"/>
    <s v="100001535"/>
    <x v="40"/>
    <x v="35"/>
    <x v="29"/>
    <x v="0"/>
    <n v="5"/>
  </r>
  <r>
    <s v="DPOPPELL"/>
    <s v="04"/>
    <s v="CEDILLO"/>
    <s v="MAIN"/>
    <x v="583"/>
    <x v="3"/>
    <x v="3"/>
    <s v="Invoice"/>
    <s v="100001536"/>
    <x v="43"/>
    <x v="38"/>
    <x v="22"/>
    <x v="2"/>
    <n v="1.5"/>
  </r>
  <r>
    <s v="DPOPPELL"/>
    <s v="04"/>
    <s v="CIRCLEGF&amp;R LLC"/>
    <s v="KNIGHTS-N-#16"/>
    <x v="583"/>
    <x v="3"/>
    <x v="3"/>
    <s v="Invoice"/>
    <s v="100001537"/>
    <x v="67"/>
    <x v="60"/>
    <x v="22"/>
    <x v="2"/>
    <n v="15.04"/>
  </r>
  <r>
    <s v="DPOPPELL"/>
    <s v="04"/>
    <s v="MIDWAYF"/>
    <s v="FORBES"/>
    <x v="583"/>
    <x v="3"/>
    <x v="3"/>
    <s v="Invoice"/>
    <s v="100001538"/>
    <x v="67"/>
    <x v="60"/>
    <x v="22"/>
    <x v="2"/>
    <n v="15.025"/>
  </r>
  <r>
    <s v="DPOPPELL"/>
    <s v="04"/>
    <s v="FLORIDAGREEN"/>
    <s v="MAIN"/>
    <x v="583"/>
    <x v="3"/>
    <x v="3"/>
    <s v="Invoice"/>
    <s v="100001539"/>
    <x v="34"/>
    <x v="29"/>
    <x v="26"/>
    <x v="0"/>
    <n v="2.5"/>
  </r>
  <r>
    <s v="DPOPPELL"/>
    <s v="04"/>
    <s v="FLORIDAGREEN"/>
    <s v="MAIN"/>
    <x v="583"/>
    <x v="3"/>
    <x v="3"/>
    <s v="Invoice"/>
    <s v="100001539"/>
    <x v="40"/>
    <x v="35"/>
    <x v="29"/>
    <x v="0"/>
    <n v="5"/>
  </r>
  <r>
    <s v="DPOPPELL"/>
    <s v="04"/>
    <s v="SYDNEYFA"/>
    <s v="FORBES ROAD"/>
    <x v="583"/>
    <x v="3"/>
    <x v="3"/>
    <s v="Invoice"/>
    <s v="100001542"/>
    <x v="511"/>
    <x v="448"/>
    <x v="22"/>
    <x v="2"/>
    <n v="10"/>
  </r>
  <r>
    <s v="DPOPPELL"/>
    <s v="04"/>
    <s v="DURGAFARMS"/>
    <s v="SOUTHTANK"/>
    <x v="583"/>
    <x v="3"/>
    <x v="3"/>
    <s v="Invoice"/>
    <s v="100001545"/>
    <x v="27"/>
    <x v="22"/>
    <x v="22"/>
    <x v="2"/>
    <n v="5.0149999999999997"/>
  </r>
  <r>
    <s v="DPOPPELL"/>
    <s v="04"/>
    <s v="THREESTA"/>
    <s v="WALDEN-SHEFFIEL"/>
    <x v="583"/>
    <x v="3"/>
    <x v="3"/>
    <s v="Invoice"/>
    <s v="100001546"/>
    <x v="511"/>
    <x v="448"/>
    <x v="22"/>
    <x v="2"/>
    <n v="10.0075"/>
  </r>
  <r>
    <s v="DPOPPELL"/>
    <s v="04"/>
    <s v="BUTTSKARL"/>
    <s v="MAIN"/>
    <x v="583"/>
    <x v="3"/>
    <x v="3"/>
    <s v="Invoice"/>
    <s v="100001548"/>
    <x v="114"/>
    <x v="101"/>
    <x v="22"/>
    <x v="2"/>
    <n v="2.5"/>
  </r>
  <r>
    <s v="DPOPPELL"/>
    <s v="04"/>
    <s v="MIDWAYF"/>
    <s v="FUTCH"/>
    <x v="583"/>
    <x v="3"/>
    <x v="3"/>
    <s v="Invoice"/>
    <s v="100001549"/>
    <x v="67"/>
    <x v="60"/>
    <x v="22"/>
    <x v="2"/>
    <n v="9.0150000000000006"/>
  </r>
  <r>
    <s v="DPOPPELL"/>
    <s v="04"/>
    <s v="STRAWBERRYR"/>
    <s v="RANCH 2"/>
    <x v="584"/>
    <x v="3"/>
    <x v="3"/>
    <s v="Invoice"/>
    <s v="100001550"/>
    <x v="205"/>
    <x v="181"/>
    <x v="22"/>
    <x v="2"/>
    <n v="15.015000000000001"/>
  </r>
  <r>
    <s v="DPOPPELL"/>
    <s v="04"/>
    <s v="ELIASCEDILLO"/>
    <s v="HEIRS"/>
    <x v="584"/>
    <x v="3"/>
    <x v="3"/>
    <s v="Invoice"/>
    <s v="100001554"/>
    <x v="58"/>
    <x v="51"/>
    <x v="22"/>
    <x v="2"/>
    <n v="1"/>
  </r>
  <r>
    <s v="DPOPPELL"/>
    <s v="04"/>
    <s v="FLORIDAAG"/>
    <s v="DOVER"/>
    <x v="584"/>
    <x v="3"/>
    <x v="3"/>
    <s v="Invoice"/>
    <s v="100001555"/>
    <x v="9"/>
    <x v="106"/>
    <x v="8"/>
    <x v="0"/>
    <n v="5"/>
  </r>
  <r>
    <s v="DPOPPELL"/>
    <s v="04"/>
    <s v="FLORIDAAG"/>
    <s v="DOVER"/>
    <x v="584"/>
    <x v="3"/>
    <x v="3"/>
    <s v="Invoice"/>
    <s v="100001555"/>
    <x v="223"/>
    <x v="19"/>
    <x v="19"/>
    <x v="0"/>
    <n v="5"/>
  </r>
  <r>
    <s v="DPOPPELL"/>
    <s v="04"/>
    <s v="GUTIERREZDAN"/>
    <s v="TANNER RD."/>
    <x v="584"/>
    <x v="3"/>
    <x v="3"/>
    <s v="Invoice"/>
    <s v="100001556"/>
    <x v="55"/>
    <x v="48"/>
    <x v="22"/>
    <x v="2"/>
    <n v="5.0025000000000004"/>
  </r>
  <r>
    <s v="DPOPPELL"/>
    <s v="04"/>
    <s v="THREESTA"/>
    <s v="WALDEN-SHEFFIEL"/>
    <x v="584"/>
    <x v="3"/>
    <x v="3"/>
    <s v="Invoice"/>
    <s v="100001557"/>
    <x v="511"/>
    <x v="448"/>
    <x v="22"/>
    <x v="2"/>
    <n v="9.9975000000000005"/>
  </r>
  <r>
    <s v="DPOPPELL"/>
    <s v="04"/>
    <s v="ALONSOFARMS"/>
    <s v="SUMNER"/>
    <x v="584"/>
    <x v="3"/>
    <x v="3"/>
    <s v="Invoice"/>
    <s v="100001558"/>
    <x v="67"/>
    <x v="60"/>
    <x v="22"/>
    <x v="2"/>
    <n v="4.01"/>
  </r>
  <r>
    <s v="DPOPPELL"/>
    <s v="04"/>
    <s v="PARKESDA"/>
    <s v="HILL"/>
    <x v="584"/>
    <x v="3"/>
    <x v="3"/>
    <s v="Invoice"/>
    <s v="100001559"/>
    <x v="65"/>
    <x v="58"/>
    <x v="22"/>
    <x v="2"/>
    <n v="10.02"/>
  </r>
  <r>
    <s v="DPOPPELL"/>
    <s v="04"/>
    <s v="BERRYBLISS"/>
    <s v="TRAPNELL"/>
    <x v="584"/>
    <x v="3"/>
    <x v="3"/>
    <s v="Invoice"/>
    <s v="100001563"/>
    <x v="69"/>
    <x v="62"/>
    <x v="22"/>
    <x v="2"/>
    <n v="5.0250000000000004"/>
  </r>
  <r>
    <s v="DPOPPELL"/>
    <s v="04"/>
    <s v="PARKESDA"/>
    <s v="BILOXI"/>
    <x v="584"/>
    <x v="3"/>
    <x v="3"/>
    <s v="Invoice"/>
    <s v="100001564"/>
    <x v="65"/>
    <x v="58"/>
    <x v="22"/>
    <x v="2"/>
    <n v="10.022500000000001"/>
  </r>
  <r>
    <s v="DPOPPELL"/>
    <s v="04"/>
    <s v="ALVAREZJ"/>
    <s v="ROGERS"/>
    <x v="584"/>
    <x v="3"/>
    <x v="3"/>
    <s v="Invoice"/>
    <s v="100001565"/>
    <x v="68"/>
    <x v="61"/>
    <x v="22"/>
    <x v="2"/>
    <n v="3.0150000000000001"/>
  </r>
  <r>
    <s v="DPOPPELL"/>
    <s v="04"/>
    <s v="HINTONFA"/>
    <s v="SYDNEY NORTH"/>
    <x v="584"/>
    <x v="3"/>
    <x v="3"/>
    <s v="Invoice"/>
    <s v="100001566"/>
    <x v="58"/>
    <x v="51"/>
    <x v="22"/>
    <x v="2"/>
    <n v="6.77"/>
  </r>
  <r>
    <s v="DPOPPELL"/>
    <s v="04"/>
    <s v="SOUTHERNHILL"/>
    <s v="SCHOFIELD"/>
    <x v="584"/>
    <x v="3"/>
    <x v="3"/>
    <s v="Invoice"/>
    <s v="100001567"/>
    <x v="43"/>
    <x v="38"/>
    <x v="22"/>
    <x v="2"/>
    <n v="2.5074999999999998"/>
  </r>
  <r>
    <s v="DPOPPELL"/>
    <s v="04"/>
    <s v="GUTIERREZA"/>
    <s v="DUETTE"/>
    <x v="591"/>
    <x v="3"/>
    <x v="3"/>
    <s v="Invoice"/>
    <s v="100001570"/>
    <x v="110"/>
    <x v="97"/>
    <x v="16"/>
    <x v="0"/>
    <n v="250"/>
  </r>
  <r>
    <s v="DPOPPELL"/>
    <s v="04"/>
    <s v="GUTIERREZA"/>
    <s v="DUETTE"/>
    <x v="591"/>
    <x v="3"/>
    <x v="3"/>
    <s v="Invoice"/>
    <s v="100001570"/>
    <x v="109"/>
    <x v="80"/>
    <x v="2"/>
    <x v="0"/>
    <n v="250"/>
  </r>
  <r>
    <s v="DPOPPELL"/>
    <s v="04"/>
    <s v="GUTIERREZA"/>
    <s v="DUETTE"/>
    <x v="591"/>
    <x v="3"/>
    <x v="3"/>
    <s v="Invoice"/>
    <s v="100001570"/>
    <x v="45"/>
    <x v="37"/>
    <x v="30"/>
    <x v="0"/>
    <n v="250"/>
  </r>
  <r>
    <s v="DPOPPELL"/>
    <s v="04"/>
    <s v="FLORIDAAG"/>
    <s v="MAILING"/>
    <x v="591"/>
    <x v="3"/>
    <x v="3"/>
    <s v="Invoice"/>
    <s v="100001571"/>
    <x v="52"/>
    <x v="45"/>
    <x v="22"/>
    <x v="2"/>
    <n v="0.3"/>
  </r>
  <r>
    <s v="DPOPPELL"/>
    <s v="04"/>
    <s v="ROQUEFARMS"/>
    <s v="RINGDAHL"/>
    <x v="591"/>
    <x v="3"/>
    <x v="3"/>
    <s v="Invoice"/>
    <s v="100001572"/>
    <x v="43"/>
    <x v="38"/>
    <x v="22"/>
    <x v="2"/>
    <n v="3.75"/>
  </r>
  <r>
    <s v="DPOPPELL"/>
    <s v="04"/>
    <s v="GUTIERREZA"/>
    <s v="AL SIMMONS RD"/>
    <x v="591"/>
    <x v="3"/>
    <x v="3"/>
    <s v="Invoice"/>
    <s v="100001573"/>
    <x v="105"/>
    <x v="97"/>
    <x v="16"/>
    <x v="0"/>
    <n v="90"/>
  </r>
  <r>
    <s v="DPOPPELL"/>
    <s v="04"/>
    <s v="GUTIERREZA"/>
    <s v="AL SIMMONS RD"/>
    <x v="591"/>
    <x v="3"/>
    <x v="3"/>
    <s v="Invoice"/>
    <s v="100001573"/>
    <x v="16"/>
    <x v="80"/>
    <x v="2"/>
    <x v="0"/>
    <n v="90"/>
  </r>
  <r>
    <s v="DPOPPELL"/>
    <s v="04"/>
    <s v="GUTIERREZA"/>
    <s v="AL SIMMONS RD"/>
    <x v="591"/>
    <x v="3"/>
    <x v="3"/>
    <s v="Invoice"/>
    <s v="100001573"/>
    <x v="77"/>
    <x v="37"/>
    <x v="30"/>
    <x v="0"/>
    <n v="90"/>
  </r>
  <r>
    <s v="DPOPPELL"/>
    <s v="04"/>
    <s v="JOEPENA"/>
    <s v="HWY 92"/>
    <x v="591"/>
    <x v="3"/>
    <x v="3"/>
    <s v="Invoice"/>
    <s v="100001574"/>
    <x v="114"/>
    <x v="101"/>
    <x v="22"/>
    <x v="2"/>
    <n v="1"/>
  </r>
  <r>
    <s v="DPOPPELL"/>
    <s v="04"/>
    <s v="JOSEHERN"/>
    <s v="SPARKMAN"/>
    <x v="591"/>
    <x v="3"/>
    <x v="3"/>
    <s v="Invoice"/>
    <s v="100001575"/>
    <x v="58"/>
    <x v="51"/>
    <x v="22"/>
    <x v="2"/>
    <n v="10.012499999999999"/>
  </r>
  <r>
    <s v="DPOPPELL"/>
    <s v="04"/>
    <s v="CHARLIEG-LLC"/>
    <s v="DAIRY"/>
    <x v="591"/>
    <x v="3"/>
    <x v="3"/>
    <s v="Invoice"/>
    <s v="100001576"/>
    <x v="67"/>
    <x v="60"/>
    <x v="22"/>
    <x v="2"/>
    <n v="13.765000000000001"/>
  </r>
  <r>
    <s v="DPOPPELL"/>
    <s v="04"/>
    <s v="SOUTHERNHILL"/>
    <s v="SCHOFIELD"/>
    <x v="602"/>
    <x v="3"/>
    <x v="3"/>
    <s v="Invoice"/>
    <s v="100001580"/>
    <x v="47"/>
    <x v="41"/>
    <x v="22"/>
    <x v="2"/>
    <n v="2.5"/>
  </r>
  <r>
    <s v="DPOPPELL"/>
    <s v="04"/>
    <s v="MENDOZAHEC"/>
    <s v="LONEOAK"/>
    <x v="602"/>
    <x v="3"/>
    <x v="3"/>
    <s v="Invoice"/>
    <s v="100001582"/>
    <x v="69"/>
    <x v="62"/>
    <x v="22"/>
    <x v="2"/>
    <n v="4.79"/>
  </r>
  <r>
    <s v="DPOPPELL"/>
    <s v="04"/>
    <s v="GUTIERREZA"/>
    <s v="DUETTE"/>
    <x v="602"/>
    <x v="3"/>
    <x v="3"/>
    <s v="Invoice"/>
    <s v="100001583"/>
    <x v="58"/>
    <x v="51"/>
    <x v="22"/>
    <x v="2"/>
    <n v="10.0025"/>
  </r>
  <r>
    <s v="DPOPPELL"/>
    <s v="04"/>
    <s v="GUTIERREZA"/>
    <s v="DUETTE"/>
    <x v="602"/>
    <x v="3"/>
    <x v="3"/>
    <s v="Invoice"/>
    <s v="100001584"/>
    <x v="58"/>
    <x v="51"/>
    <x v="22"/>
    <x v="2"/>
    <n v="10.0075"/>
  </r>
  <r>
    <s v="DPOPPELL"/>
    <s v="04"/>
    <s v="STRAWBERRYR"/>
    <s v="SYDNEY-WASHER"/>
    <x v="598"/>
    <x v="3"/>
    <x v="3"/>
    <s v="Invoice"/>
    <s v="100001589"/>
    <x v="205"/>
    <x v="181"/>
    <x v="22"/>
    <x v="2"/>
    <n v="15.0275"/>
  </r>
  <r>
    <s v="DPOPPELL"/>
    <s v="04"/>
    <s v="ALONSOFARMS"/>
    <s v="WIMAUMA"/>
    <x v="592"/>
    <x v="3"/>
    <x v="3"/>
    <s v="Invoice"/>
    <s v="100001595"/>
    <x v="50"/>
    <x v="43"/>
    <x v="22"/>
    <x v="2"/>
    <n v="10.0075"/>
  </r>
  <r>
    <s v="DPOPPELL"/>
    <s v="04"/>
    <s v="FLORIDAAG"/>
    <s v="KINGSWAY"/>
    <x v="592"/>
    <x v="3"/>
    <x v="3"/>
    <s v="Invoice"/>
    <s v="100001596"/>
    <x v="326"/>
    <x v="289"/>
    <x v="22"/>
    <x v="2"/>
    <n v="2.2799999999999998"/>
  </r>
  <r>
    <s v="DPOPPELL"/>
    <s v="04"/>
    <s v="FLORIDAAG"/>
    <s v="DOVER"/>
    <x v="599"/>
    <x v="3"/>
    <x v="3"/>
    <s v="Invoice"/>
    <s v="100001600"/>
    <x v="520"/>
    <x v="457"/>
    <x v="53"/>
    <x v="0"/>
    <n v="5"/>
  </r>
  <r>
    <s v="DPOPPELL"/>
    <s v="04"/>
    <s v="FLORIDAAG"/>
    <s v="DOVER"/>
    <x v="599"/>
    <x v="3"/>
    <x v="3"/>
    <s v="Invoice"/>
    <s v="100001601"/>
    <x v="52"/>
    <x v="45"/>
    <x v="22"/>
    <x v="2"/>
    <n v="1.9875"/>
  </r>
  <r>
    <s v="DPOPPELL"/>
    <s v="04"/>
    <s v="MIDWAYF"/>
    <s v="ALS - NORTH"/>
    <x v="599"/>
    <x v="3"/>
    <x v="3"/>
    <s v="Invoice"/>
    <s v="100001602"/>
    <x v="67"/>
    <x v="60"/>
    <x v="22"/>
    <x v="2"/>
    <n v="9.0175000000000001"/>
  </r>
  <r>
    <s v="DPOPPELL"/>
    <s v="04"/>
    <s v="DURGAFARMS"/>
    <s v="SOUTHTANK"/>
    <x v="585"/>
    <x v="3"/>
    <x v="3"/>
    <s v="Invoice"/>
    <s v="100001605"/>
    <x v="27"/>
    <x v="22"/>
    <x v="22"/>
    <x v="2"/>
    <n v="5.0199999999999996"/>
  </r>
  <r>
    <s v="DPOPPELL"/>
    <s v="04"/>
    <s v="MENDOZAHEC"/>
    <s v="KNIGHTSGRIFFIN"/>
    <x v="585"/>
    <x v="3"/>
    <x v="3"/>
    <s v="Invoice"/>
    <s v="100001606"/>
    <x v="69"/>
    <x v="62"/>
    <x v="22"/>
    <x v="2"/>
    <n v="2.5249999999999999"/>
  </r>
  <r>
    <s v="DPOPPELL"/>
    <s v="04"/>
    <s v="SRISAIAY"/>
    <s v="PASTURE"/>
    <x v="585"/>
    <x v="3"/>
    <x v="3"/>
    <s v="Invoice"/>
    <s v="100001607"/>
    <x v="27"/>
    <x v="22"/>
    <x v="22"/>
    <x v="2"/>
    <n v="5.0199999999999996"/>
  </r>
  <r>
    <s v="DPOPPELL"/>
    <s v="04"/>
    <s v="MIDWAYF"/>
    <s v="WILDER RD."/>
    <x v="585"/>
    <x v="3"/>
    <x v="3"/>
    <s v="Invoice"/>
    <s v="100001612"/>
    <x v="67"/>
    <x v="60"/>
    <x v="22"/>
    <x v="2"/>
    <n v="2.0249999999999999"/>
  </r>
  <r>
    <s v="DPOPPELL"/>
    <s v="04"/>
    <s v="SYDNEYFA"/>
    <s v="FORBES/NORTH"/>
    <x v="585"/>
    <x v="3"/>
    <x v="3"/>
    <s v="Invoice"/>
    <s v="100001613"/>
    <x v="511"/>
    <x v="448"/>
    <x v="22"/>
    <x v="2"/>
    <n v="5.0049999999999999"/>
  </r>
  <r>
    <s v="DPOPPELL"/>
    <s v="04"/>
    <s v="SYDNEYFA"/>
    <s v="SYDNEY-WASHER"/>
    <x v="585"/>
    <x v="3"/>
    <x v="3"/>
    <s v="Invoice"/>
    <s v="100001614"/>
    <x v="511"/>
    <x v="448"/>
    <x v="22"/>
    <x v="2"/>
    <n v="5.0225"/>
  </r>
  <r>
    <s v="DPOPPELL"/>
    <s v="04"/>
    <s v="ROQUEFARMS"/>
    <s v="SWEETWATER"/>
    <x v="586"/>
    <x v="3"/>
    <x v="3"/>
    <s v="Invoice"/>
    <s v="100001618"/>
    <x v="110"/>
    <x v="97"/>
    <x v="16"/>
    <x v="0"/>
    <n v="250"/>
  </r>
  <r>
    <s v="DPOPPELL"/>
    <s v="04"/>
    <s v="FORTGREENFARMS"/>
    <s v="FTGREEN"/>
    <x v="586"/>
    <x v="3"/>
    <x v="3"/>
    <s v="Invoice"/>
    <s v="100001621"/>
    <x v="58"/>
    <x v="51"/>
    <x v="22"/>
    <x v="2"/>
    <n v="10.01"/>
  </r>
  <r>
    <s v="DPOPPELL"/>
    <s v="04"/>
    <s v="CJABBOTT"/>
    <s v="JOHNGILL"/>
    <x v="586"/>
    <x v="3"/>
    <x v="3"/>
    <s v="Invoice"/>
    <s v="100001622"/>
    <x v="58"/>
    <x v="51"/>
    <x v="22"/>
    <x v="2"/>
    <n v="5.0125000000000002"/>
  </r>
  <r>
    <s v="DPOPPELL"/>
    <s v="04"/>
    <s v="ROQUEFARMS"/>
    <s v="SWEETWATER"/>
    <x v="586"/>
    <x v="3"/>
    <x v="3"/>
    <s v="Invoice"/>
    <s v="100001623"/>
    <x v="58"/>
    <x v="51"/>
    <x v="22"/>
    <x v="2"/>
    <n v="10"/>
  </r>
  <r>
    <s v="DPOPPELL"/>
    <s v="04"/>
    <s v="MIDWAYF"/>
    <s v="HAGGERTY ROAD"/>
    <x v="586"/>
    <x v="3"/>
    <x v="3"/>
    <s v="Invoice"/>
    <s v="100001624"/>
    <x v="67"/>
    <x v="60"/>
    <x v="22"/>
    <x v="2"/>
    <n v="12.03"/>
  </r>
  <r>
    <s v="DPOPPELL"/>
    <s v="04"/>
    <s v="FERRISFA"/>
    <s v="MAILING"/>
    <x v="586"/>
    <x v="3"/>
    <x v="3"/>
    <s v="Invoice"/>
    <s v="100001625"/>
    <x v="136"/>
    <x v="111"/>
    <x v="46"/>
    <x v="0"/>
    <n v="20"/>
  </r>
  <r>
    <s v="DPOPPELL"/>
    <s v="04"/>
    <s v="FANCYFAR"/>
    <s v="CASON1"/>
    <x v="586"/>
    <x v="3"/>
    <x v="3"/>
    <s v="Invoice"/>
    <s v="100001626"/>
    <x v="50"/>
    <x v="43"/>
    <x v="22"/>
    <x v="2"/>
    <n v="15.0275"/>
  </r>
  <r>
    <s v=""/>
    <s v="04"/>
    <s v="PORTER HA"/>
    <s v="PASTURE"/>
    <x v="586"/>
    <x v="3"/>
    <x v="3"/>
    <s v="Invoice"/>
    <s v="100001629"/>
    <x v="375"/>
    <x v="329"/>
    <x v="22"/>
    <x v="2"/>
    <n v="5.0125000000000002"/>
  </r>
  <r>
    <s v="DPOPPELL"/>
    <s v="04"/>
    <s v="ROQUEFARMS"/>
    <s v="MEEKHORIZON"/>
    <x v="586"/>
    <x v="3"/>
    <x v="3"/>
    <s v="Invoice"/>
    <s v="100001630"/>
    <x v="43"/>
    <x v="38"/>
    <x v="22"/>
    <x v="2"/>
    <n v="5"/>
  </r>
  <r>
    <s v="DPOPPELL"/>
    <s v="04"/>
    <s v="SRISAIAY"/>
    <s v="SYDNEY DOVER"/>
    <x v="586"/>
    <x v="3"/>
    <x v="3"/>
    <s v="Invoice"/>
    <s v="100001631"/>
    <x v="27"/>
    <x v="22"/>
    <x v="22"/>
    <x v="2"/>
    <n v="5.0075000000000003"/>
  </r>
  <r>
    <s v="DPOPPELL"/>
    <s v="04"/>
    <s v="FANCYFAR"/>
    <s v="DRANE FIELD"/>
    <x v="586"/>
    <x v="3"/>
    <x v="3"/>
    <s v="Invoice"/>
    <s v="100001632"/>
    <x v="50"/>
    <x v="43"/>
    <x v="22"/>
    <x v="2"/>
    <n v="5.01"/>
  </r>
  <r>
    <s v="DPOPPELL"/>
    <s v="04"/>
    <s v="FRANKLIN"/>
    <s v="HARVEY TEW ROAD"/>
    <x v="586"/>
    <x v="3"/>
    <x v="3"/>
    <s v="Invoice"/>
    <s v="100001633"/>
    <x v="43"/>
    <x v="38"/>
    <x v="22"/>
    <x v="2"/>
    <n v="10.0175"/>
  </r>
  <r>
    <s v="DPOPPELL"/>
    <s v="04"/>
    <s v="JOSEHERN"/>
    <s v="KEYSVILLE N"/>
    <x v="600"/>
    <x v="3"/>
    <x v="3"/>
    <s v="Invoice"/>
    <s v="100001637"/>
    <x v="58"/>
    <x v="51"/>
    <x v="22"/>
    <x v="2"/>
    <n v="15.0175"/>
  </r>
  <r>
    <s v="DPOPPELL"/>
    <s v="04"/>
    <s v="M&amp;GFARMS"/>
    <s v="ONA"/>
    <x v="600"/>
    <x v="3"/>
    <x v="3"/>
    <s v="Invoice"/>
    <s v="100001638"/>
    <x v="58"/>
    <x v="51"/>
    <x v="22"/>
    <x v="2"/>
    <n v="15.0275"/>
  </r>
  <r>
    <s v="DPOPPELL"/>
    <s v="04"/>
    <s v="DESHONGK"/>
    <s v="KNIGHTS/SCHOOL"/>
    <x v="600"/>
    <x v="3"/>
    <x v="3"/>
    <s v="Invoice"/>
    <s v="100001641"/>
    <x v="43"/>
    <x v="38"/>
    <x v="22"/>
    <x v="2"/>
    <n v="6.5149999999999997"/>
  </r>
  <r>
    <s v="DPOPPELL"/>
    <s v="04"/>
    <s v="CHBERRY"/>
    <s v="BOBCAT"/>
    <x v="600"/>
    <x v="3"/>
    <x v="3"/>
    <s v="Invoice"/>
    <s v="100001642"/>
    <x v="58"/>
    <x v="51"/>
    <x v="22"/>
    <x v="2"/>
    <n v="3.02"/>
  </r>
  <r>
    <s v="DPOPPELL"/>
    <s v="04"/>
    <s v="SWEETLIFE"/>
    <s v="KNIGHTS GRIFFIN"/>
    <x v="600"/>
    <x v="3"/>
    <x v="3"/>
    <s v="Invoice"/>
    <s v="100001643"/>
    <x v="67"/>
    <x v="60"/>
    <x v="22"/>
    <x v="2"/>
    <n v="15.0075"/>
  </r>
  <r>
    <s v="DPOPPELL"/>
    <s v="04"/>
    <s v="SWEETLIFE"/>
    <s v="SWINDLEN"/>
    <x v="600"/>
    <x v="3"/>
    <x v="3"/>
    <s v="Invoice"/>
    <s v="100001644"/>
    <x v="67"/>
    <x v="60"/>
    <x v="22"/>
    <x v="2"/>
    <n v="12.522500000000001"/>
  </r>
  <r>
    <s v="DPOPPELL"/>
    <s v="04"/>
    <s v="SWEETLIFE"/>
    <s v="KNIGHTS GRIFFIN"/>
    <x v="600"/>
    <x v="3"/>
    <x v="3"/>
    <s v="Invoice"/>
    <s v="100001646"/>
    <x v="67"/>
    <x v="60"/>
    <x v="22"/>
    <x v="2"/>
    <n v="15.01"/>
  </r>
  <r>
    <s v="DPOPPELL"/>
    <s v="04"/>
    <s v="EWSIMMON"/>
    <s v="JERRY SMITH RD"/>
    <x v="600"/>
    <x v="3"/>
    <x v="3"/>
    <s v="Invoice"/>
    <s v="100001648"/>
    <x v="357"/>
    <x v="317"/>
    <x v="25"/>
    <x v="0"/>
    <n v="3.75"/>
  </r>
  <r>
    <s v="DPOPPELL"/>
    <s v="04"/>
    <s v="EWSIMMON"/>
    <s v="JERRY SMITH RD"/>
    <x v="600"/>
    <x v="3"/>
    <x v="3"/>
    <s v="Invoice"/>
    <s v="100001648"/>
    <x v="521"/>
    <x v="458"/>
    <x v="22"/>
    <x v="2"/>
    <n v="10.026999999999999"/>
  </r>
  <r>
    <s v="DPOPPELL"/>
    <s v="04"/>
    <s v="GAONA, ESPER"/>
    <s v="KEENE"/>
    <x v="600"/>
    <x v="3"/>
    <x v="3"/>
    <s v="Invoice"/>
    <s v="100001649"/>
    <x v="28"/>
    <x v="23"/>
    <x v="22"/>
    <x v="2"/>
    <n v="2.4925000000000002"/>
  </r>
  <r>
    <s v="DPOPPELL"/>
    <s v="04"/>
    <s v="ROQUEFARMS"/>
    <s v="RINGDAHL"/>
    <x v="593"/>
    <x v="3"/>
    <x v="3"/>
    <s v="Invoice"/>
    <s v="100001652"/>
    <x v="109"/>
    <x v="80"/>
    <x v="2"/>
    <x v="0"/>
    <n v="250"/>
  </r>
  <r>
    <s v="DPOPPELL"/>
    <s v="04"/>
    <s v="MENDOZAHEC"/>
    <s v="FARKAS"/>
    <x v="593"/>
    <x v="3"/>
    <x v="3"/>
    <s v="Invoice"/>
    <s v="100001657"/>
    <x v="69"/>
    <x v="62"/>
    <x v="22"/>
    <x v="2"/>
    <n v="6.0075000000000003"/>
  </r>
  <r>
    <s v="DPOPPELL"/>
    <s v="04"/>
    <s v="MIKELOTT"/>
    <s v="HILLSBOROUGH"/>
    <x v="593"/>
    <x v="3"/>
    <x v="3"/>
    <s v="Invoice"/>
    <s v="100001658"/>
    <x v="43"/>
    <x v="38"/>
    <x v="22"/>
    <x v="2"/>
    <n v="5.0025000000000004"/>
  </r>
  <r>
    <s v="DPOPPELL"/>
    <s v="04"/>
    <s v="TWINFARMS"/>
    <s v="DAD WELDON RD"/>
    <x v="593"/>
    <x v="3"/>
    <x v="3"/>
    <s v="Invoice"/>
    <s v="100001659"/>
    <x v="58"/>
    <x v="51"/>
    <x v="22"/>
    <x v="2"/>
    <n v="1"/>
  </r>
  <r>
    <s v="DPOPPELL"/>
    <s v="04"/>
    <s v="MENDOZAHEC"/>
    <s v="JAUDON RD"/>
    <x v="593"/>
    <x v="3"/>
    <x v="3"/>
    <s v="Invoice"/>
    <s v="100001663"/>
    <x v="69"/>
    <x v="62"/>
    <x v="22"/>
    <x v="2"/>
    <n v="2.4975000000000001"/>
  </r>
  <r>
    <s v="DPOPPELL"/>
    <s v="04"/>
    <s v="ROQUEFARMS"/>
    <s v="RINGDAHL"/>
    <x v="593"/>
    <x v="3"/>
    <x v="3"/>
    <s v="Invoice"/>
    <s v="100001666"/>
    <x v="43"/>
    <x v="38"/>
    <x v="22"/>
    <x v="2"/>
    <n v="3.75"/>
  </r>
  <r>
    <s v="HOUSE"/>
    <s v="05"/>
    <s v="SOUTHERN"/>
    <s v="SOUTHERN AG"/>
    <x v="583"/>
    <x v="3"/>
    <x v="3"/>
    <s v="Invoice"/>
    <s v="100001533"/>
    <x v="163"/>
    <x v="145"/>
    <x v="56"/>
    <x v="0"/>
    <n v="60"/>
  </r>
  <r>
    <s v="HOUSE"/>
    <s v="05"/>
    <s v="SOUTHERN"/>
    <s v="SOUTHERN AG"/>
    <x v="583"/>
    <x v="3"/>
    <x v="3"/>
    <s v="Invoice"/>
    <s v="100001533"/>
    <x v="388"/>
    <x v="33"/>
    <x v="28"/>
    <x v="0"/>
    <n v="55"/>
  </r>
  <r>
    <s v="HOUSE"/>
    <s v="05"/>
    <s v="SOUTHERN"/>
    <s v="SOUTHERN AG"/>
    <x v="584"/>
    <x v="3"/>
    <x v="3"/>
    <s v="Invoice"/>
    <s v="100001552"/>
    <x v="22"/>
    <x v="69"/>
    <x v="17"/>
    <x v="0"/>
    <n v="180"/>
  </r>
  <r>
    <s v="HOUSE"/>
    <s v="05"/>
    <s v="SOUTHERN"/>
    <s v="SOUTHERN AG"/>
    <x v="584"/>
    <x v="3"/>
    <x v="3"/>
    <s v="Invoice"/>
    <s v="100001552"/>
    <x v="133"/>
    <x v="109"/>
    <x v="45"/>
    <x v="0"/>
    <n v="60"/>
  </r>
  <r>
    <s v="HOUSE"/>
    <s v="05"/>
    <s v="COASTALAGSUPPLY"/>
    <s v="MULBERRY"/>
    <x v="602"/>
    <x v="3"/>
    <x v="3"/>
    <s v="Invoice"/>
    <s v="100001579"/>
    <x v="87"/>
    <x v="88"/>
    <x v="8"/>
    <x v="0"/>
    <n v="500"/>
  </r>
  <r>
    <s v="HOUSE"/>
    <s v="05"/>
    <s v="SOUTHERN"/>
    <s v="SOUTHERN AG"/>
    <x v="593"/>
    <x v="3"/>
    <x v="3"/>
    <s v="Invoice"/>
    <s v="100001664"/>
    <x v="33"/>
    <x v="28"/>
    <x v="2"/>
    <x v="0"/>
    <n v="180"/>
  </r>
  <r>
    <s v="HOUSE"/>
    <s v="05"/>
    <s v="SOUTHERN"/>
    <s v="SOUTHERN AG"/>
    <x v="593"/>
    <x v="3"/>
    <x v="3"/>
    <s v="Invoice"/>
    <s v="100001665"/>
    <x v="119"/>
    <x v="108"/>
    <x v="44"/>
    <x v="0"/>
    <n v="60"/>
  </r>
  <r>
    <s v=""/>
    <s v="07"/>
    <s v="CPSHASTI"/>
    <s v="HASTINGS"/>
    <x v="587"/>
    <x v="3"/>
    <x v="3"/>
    <s v="Invoice"/>
    <s v="100001391"/>
    <x v="522"/>
    <x v="459"/>
    <x v="20"/>
    <x v="1"/>
    <n v="2250"/>
  </r>
  <r>
    <s v=""/>
    <s v="07"/>
    <s v="CPSHASTI"/>
    <s v="HASTINGS"/>
    <x v="587"/>
    <x v="3"/>
    <x v="3"/>
    <s v="Invoice"/>
    <s v="100001391"/>
    <x v="463"/>
    <x v="405"/>
    <x v="20"/>
    <x v="1"/>
    <n v="1500"/>
  </r>
  <r>
    <s v=""/>
    <s v="07"/>
    <s v="CPSHASTI"/>
    <s v="HASTINGS"/>
    <x v="584"/>
    <x v="3"/>
    <x v="3"/>
    <s v="Invoice"/>
    <s v="100001551"/>
    <x v="158"/>
    <x v="139"/>
    <x v="53"/>
    <x v="0"/>
    <n v="960"/>
  </r>
  <r>
    <s v=""/>
    <s v="07"/>
    <s v="CPSHASTI"/>
    <s v="HASTINGS"/>
    <x v="584"/>
    <x v="3"/>
    <x v="3"/>
    <s v="Invoice"/>
    <s v="100001551"/>
    <x v="206"/>
    <x v="139"/>
    <x v="53"/>
    <x v="0"/>
    <n v="1250"/>
  </r>
  <r>
    <s v=""/>
    <s v="07"/>
    <s v="BARNESFE"/>
    <s v="HASTINGS"/>
    <x v="602"/>
    <x v="3"/>
    <x v="3"/>
    <s v="Invoice"/>
    <s v="100001577"/>
    <x v="397"/>
    <x v="344"/>
    <x v="102"/>
    <x v="0"/>
    <n v="180"/>
  </r>
  <r>
    <s v="CHEAD"/>
    <s v="07"/>
    <s v="UFPSUNIT"/>
    <s v="CITRA FARM"/>
    <x v="602"/>
    <x v="3"/>
    <x v="3"/>
    <s v="Invoice"/>
    <s v="100001578"/>
    <x v="73"/>
    <x v="66"/>
    <x v="22"/>
    <x v="2"/>
    <n v="1.2675000000000001"/>
  </r>
  <r>
    <s v="CHEAD"/>
    <s v="07"/>
    <s v="TRIANGLE"/>
    <s v="TRIANGLE/PC"/>
    <x v="592"/>
    <x v="3"/>
    <x v="3"/>
    <s v="Invoice"/>
    <s v="100001599"/>
    <x v="70"/>
    <x v="63"/>
    <x v="33"/>
    <x v="0"/>
    <n v="500"/>
  </r>
  <r>
    <s v="DPOPPELL1"/>
    <s v="08"/>
    <s v="MAYO"/>
    <s v="PLANTCITY"/>
    <x v="588"/>
    <x v="3"/>
    <x v="3"/>
    <s v="Invoice"/>
    <s v="100001401"/>
    <x v="210"/>
    <x v="186"/>
    <x v="22"/>
    <x v="2"/>
    <n v="12.0175"/>
  </r>
  <r>
    <s v="DPOPPELL1"/>
    <s v="08"/>
    <s v="COASTALAGSUPPLY"/>
    <s v="MULBERRY"/>
    <x v="588"/>
    <x v="3"/>
    <x v="3"/>
    <s v="Invoice"/>
    <s v="100001403"/>
    <x v="58"/>
    <x v="51"/>
    <x v="22"/>
    <x v="2"/>
    <n v="2.5049999999999999"/>
  </r>
  <r>
    <s v="DPOPPELL1"/>
    <s v="08"/>
    <s v="PURLEYNK"/>
    <s v="MAIN"/>
    <x v="588"/>
    <x v="3"/>
    <x v="3"/>
    <s v="Invoice"/>
    <s v="100001424"/>
    <x v="28"/>
    <x v="23"/>
    <x v="22"/>
    <x v="2"/>
    <n v="0.15"/>
  </r>
  <r>
    <s v="DPOPPELL1"/>
    <s v="08"/>
    <s v="CPSMULB"/>
    <s v="UAP/MULBERRY"/>
    <x v="581"/>
    <x v="3"/>
    <x v="3"/>
    <s v="Invoice"/>
    <s v="100001444"/>
    <x v="102"/>
    <x v="71"/>
    <x v="100"/>
    <x v="0"/>
    <n v="1000"/>
  </r>
  <r>
    <s v="DPOPPELL1"/>
    <s v="08"/>
    <s v="TRIANGLE"/>
    <s v="TRIANGLE/PC"/>
    <x v="581"/>
    <x v="3"/>
    <x v="3"/>
    <s v="Invoice"/>
    <s v="100001452"/>
    <x v="31"/>
    <x v="124"/>
    <x v="24"/>
    <x v="0"/>
    <n v="180"/>
  </r>
  <r>
    <s v="DPOPPELL1"/>
    <s v="08"/>
    <s v="TRIANGLE"/>
    <s v="TRIANGLE/PC"/>
    <x v="581"/>
    <x v="3"/>
    <x v="3"/>
    <s v="Invoice"/>
    <s v="100001453"/>
    <x v="34"/>
    <x v="29"/>
    <x v="26"/>
    <x v="0"/>
    <n v="180"/>
  </r>
  <r>
    <s v="DPOPPELL1"/>
    <s v="08"/>
    <s v="TRIANGLE"/>
    <s v="TRIANGLE/PC"/>
    <x v="581"/>
    <x v="3"/>
    <x v="3"/>
    <s v="Invoice"/>
    <s v="100001453"/>
    <x v="5"/>
    <x v="72"/>
    <x v="4"/>
    <x v="0"/>
    <n v="180"/>
  </r>
  <r>
    <s v="DPOPPELL1"/>
    <s v="08"/>
    <s v="MAYO"/>
    <s v="PLANTCITY"/>
    <x v="581"/>
    <x v="3"/>
    <x v="3"/>
    <s v="Invoice"/>
    <s v="100001454"/>
    <x v="398"/>
    <x v="345"/>
    <x v="22"/>
    <x v="2"/>
    <n v="12.0175"/>
  </r>
  <r>
    <s v="DPOPPELL1"/>
    <s v="08"/>
    <s v="MAYO"/>
    <s v="PLANTCITY"/>
    <x v="596"/>
    <x v="3"/>
    <x v="3"/>
    <s v="Invoice"/>
    <s v="100001476"/>
    <x v="125"/>
    <x v="113"/>
    <x v="22"/>
    <x v="2"/>
    <n v="2.4950000000000001"/>
  </r>
  <r>
    <s v="DPOPPELL1"/>
    <s v="08"/>
    <s v="TRIANGLE"/>
    <s v="TRIANGLE/PC"/>
    <x v="589"/>
    <x v="3"/>
    <x v="3"/>
    <s v="Invoice"/>
    <s v="100001496"/>
    <x v="45"/>
    <x v="37"/>
    <x v="30"/>
    <x v="0"/>
    <n v="500"/>
  </r>
  <r>
    <s v="DPOPPELL1"/>
    <s v="08"/>
    <s v="MAYO"/>
    <s v="PLANTCITY"/>
    <x v="589"/>
    <x v="3"/>
    <x v="3"/>
    <s v="Invoice"/>
    <s v="100001501"/>
    <x v="125"/>
    <x v="113"/>
    <x v="22"/>
    <x v="2"/>
    <n v="5.0075000000000003"/>
  </r>
  <r>
    <s v="DPOPPELL1"/>
    <s v="08"/>
    <s v="CPSMULB"/>
    <s v="UAP/MULBERRY"/>
    <x v="597"/>
    <x v="3"/>
    <x v="3"/>
    <s v="Invoice"/>
    <s v="100001520"/>
    <x v="102"/>
    <x v="71"/>
    <x v="100"/>
    <x v="0"/>
    <n v="2000"/>
  </r>
  <r>
    <s v="DPOPPELL1"/>
    <s v="08"/>
    <s v="TRIANGLE"/>
    <s v="TRIANGLE/PC"/>
    <x v="597"/>
    <x v="3"/>
    <x v="3"/>
    <s v="Invoice"/>
    <s v="100001529"/>
    <x v="45"/>
    <x v="37"/>
    <x v="30"/>
    <x v="0"/>
    <n v="500"/>
  </r>
  <r>
    <s v="DPOPPELL1"/>
    <s v="08"/>
    <s v="COASTALAGSUPPLY"/>
    <s v="MULBERRY"/>
    <x v="583"/>
    <x v="3"/>
    <x v="3"/>
    <s v="Invoice"/>
    <s v="100001540"/>
    <x v="31"/>
    <x v="124"/>
    <x v="24"/>
    <x v="0"/>
    <n v="180"/>
  </r>
  <r>
    <s v="DPOPPELL1"/>
    <s v="08"/>
    <s v="MAYO"/>
    <s v="PLANTCITY"/>
    <x v="584"/>
    <x v="3"/>
    <x v="3"/>
    <s v="Invoice"/>
    <s v="100001560"/>
    <x v="394"/>
    <x v="343"/>
    <x v="22"/>
    <x v="2"/>
    <n v="5.04"/>
  </r>
  <r>
    <s v="DPOPPELL1"/>
    <s v="08"/>
    <s v="TRIANGLE"/>
    <s v="TRIANGLE/PC"/>
    <x v="602"/>
    <x v="3"/>
    <x v="3"/>
    <s v="Invoice"/>
    <s v="100001581"/>
    <x v="96"/>
    <x v="90"/>
    <x v="39"/>
    <x v="0"/>
    <n v="180"/>
  </r>
  <r>
    <s v="DPOPPELL1"/>
    <s v="08"/>
    <s v="TRIANGLE"/>
    <s v="TRIANGLE/PC"/>
    <x v="602"/>
    <x v="3"/>
    <x v="3"/>
    <s v="Invoice"/>
    <s v="100001581"/>
    <x v="40"/>
    <x v="35"/>
    <x v="29"/>
    <x v="0"/>
    <n v="180"/>
  </r>
  <r>
    <s v="DPOPPELL1"/>
    <s v="08"/>
    <s v="TRIANGLE"/>
    <s v="TRIANGLE/PC"/>
    <x v="602"/>
    <x v="3"/>
    <x v="3"/>
    <s v="Invoice"/>
    <s v="100001581"/>
    <x v="77"/>
    <x v="37"/>
    <x v="30"/>
    <x v="0"/>
    <n v="150"/>
  </r>
  <r>
    <s v="DPOPPELL1"/>
    <s v="08"/>
    <s v="PURLEYNK"/>
    <s v="MAIN"/>
    <x v="586"/>
    <x v="3"/>
    <x v="3"/>
    <s v="Invoice"/>
    <s v="100001627"/>
    <x v="53"/>
    <x v="46"/>
    <x v="22"/>
    <x v="2"/>
    <n v="0.15"/>
  </r>
  <r>
    <s v="DPOPPELL1"/>
    <s v="08"/>
    <s v="COASTALAGSUPPLY"/>
    <s v="MULBERRY"/>
    <x v="593"/>
    <x v="3"/>
    <x v="3"/>
    <s v="Invoice"/>
    <s v="100001650"/>
    <x v="45"/>
    <x v="37"/>
    <x v="30"/>
    <x v="0"/>
    <n v="500"/>
  </r>
  <r>
    <s v="GEORGIA"/>
    <s v="09"/>
    <s v="GREENRES"/>
    <s v="MGMT WAY-NC"/>
    <x v="581"/>
    <x v="3"/>
    <x v="3"/>
    <s v="Invoice"/>
    <s v="100001445"/>
    <x v="188"/>
    <x v="69"/>
    <x v="17"/>
    <x v="0"/>
    <n v="440"/>
  </r>
  <r>
    <s v="GEORGIA"/>
    <s v="09"/>
    <s v="GREENRES"/>
    <s v="MGMT WAY-NC"/>
    <x v="581"/>
    <x v="3"/>
    <x v="3"/>
    <s v="Invoice"/>
    <s v="100001445"/>
    <x v="22"/>
    <x v="69"/>
    <x v="17"/>
    <x v="0"/>
    <n v="180"/>
  </r>
  <r>
    <s v="GEORGIA"/>
    <s v="09"/>
    <s v="AGRIBUSI"/>
    <s v="SGSHELM"/>
    <x v="598"/>
    <x v="3"/>
    <x v="3"/>
    <s v="Invoice"/>
    <s v="100001590"/>
    <x v="159"/>
    <x v="117"/>
    <x v="48"/>
    <x v="0"/>
    <n v="3600"/>
  </r>
  <r>
    <s v=""/>
    <s v="09"/>
    <s v="AGRIBUSI"/>
    <s v="INVICTUSBASTROP"/>
    <x v="592"/>
    <x v="3"/>
    <x v="3"/>
    <s v="Invoice"/>
    <s v="100001594"/>
    <x v="159"/>
    <x v="117"/>
    <x v="48"/>
    <x v="0"/>
    <n v="3600"/>
  </r>
  <r>
    <s v=""/>
    <s v="09"/>
    <s v="AGRIBUSI"/>
    <s v="INVICTUSBASTROP"/>
    <x v="600"/>
    <x v="3"/>
    <x v="3"/>
    <s v="Invoice"/>
    <s v="100001636"/>
    <x v="129"/>
    <x v="117"/>
    <x v="48"/>
    <x v="0"/>
    <n v="3710"/>
  </r>
  <r>
    <s v="GEORGIA"/>
    <s v="09"/>
    <s v="AGRIBUSI"/>
    <s v="INTREPID/TUNICA"/>
    <x v="593"/>
    <x v="3"/>
    <x v="3"/>
    <s v="Invoice"/>
    <s v="100001667"/>
    <x v="129"/>
    <x v="117"/>
    <x v="48"/>
    <x v="0"/>
    <n v="3710"/>
  </r>
  <r>
    <s v="GEORGIA"/>
    <s v="09"/>
    <s v="AGRIBUSI"/>
    <s v="SGSLEACHVILLE"/>
    <x v="593"/>
    <x v="3"/>
    <x v="3"/>
    <s v="Invoice"/>
    <s v="100001668"/>
    <x v="129"/>
    <x v="117"/>
    <x v="48"/>
    <x v="0"/>
    <n v="3710"/>
  </r>
  <r>
    <s v="TRES"/>
    <s v="11"/>
    <s v="SOUTHAGSOLUTION"/>
    <s v="FARMERSALLIANCE"/>
    <x v="581"/>
    <x v="3"/>
    <x v="3"/>
    <s v="Invoice"/>
    <s v="100001449A"/>
    <x v="506"/>
    <x v="441"/>
    <x v="121"/>
    <x v="0"/>
    <n v="500"/>
  </r>
  <r>
    <s v="CSWAFFORD"/>
    <s v="12"/>
    <s v="GOLFVENTURES"/>
    <s v="PINETREEGC"/>
    <x v="588"/>
    <x v="3"/>
    <x v="3"/>
    <s v="Invoice"/>
    <s v="100001409"/>
    <x v="120"/>
    <x v="299"/>
    <x v="45"/>
    <x v="0"/>
    <n v="250"/>
  </r>
  <r>
    <s v="CSWAFFORD"/>
    <s v="12"/>
    <s v="GOLFVENTURES"/>
    <s v="GCI"/>
    <x v="588"/>
    <x v="3"/>
    <x v="3"/>
    <s v="Invoice"/>
    <s v="100001410"/>
    <x v="120"/>
    <x v="299"/>
    <x v="45"/>
    <x v="0"/>
    <n v="250"/>
  </r>
  <r>
    <s v="CSWAFFORD"/>
    <s v="12"/>
    <s v="GOLFVENTURES"/>
    <s v="HIDEAWAY"/>
    <x v="581"/>
    <x v="3"/>
    <x v="3"/>
    <s v="Invoice"/>
    <s v="100001447"/>
    <x v="382"/>
    <x v="337"/>
    <x v="22"/>
    <x v="2"/>
    <n v="0.27"/>
  </r>
  <r>
    <s v="CSWAFFORD"/>
    <s v="12"/>
    <s v="GOLFVENTURES"/>
    <s v="HIDEAWAY"/>
    <x v="581"/>
    <x v="3"/>
    <x v="3"/>
    <s v="Invoice"/>
    <s v="100001448"/>
    <x v="523"/>
    <x v="423"/>
    <x v="69"/>
    <x v="0"/>
    <n v="55"/>
  </r>
  <r>
    <s v="CSWAFFORD"/>
    <s v="12"/>
    <s v="JRMINC"/>
    <s v="RIVERHALL"/>
    <x v="596"/>
    <x v="3"/>
    <x v="3"/>
    <s v="Invoice"/>
    <s v="100001468"/>
    <x v="120"/>
    <x v="109"/>
    <x v="45"/>
    <x v="0"/>
    <n v="250"/>
  </r>
  <r>
    <s v="CSWAFFORD"/>
    <s v="12"/>
    <s v="JRMINC"/>
    <s v="LINKSGREENFIELD"/>
    <x v="595"/>
    <x v="3"/>
    <x v="3"/>
    <s v="Invoice"/>
    <s v="100001471"/>
    <x v="524"/>
    <x v="460"/>
    <x v="22"/>
    <x v="2"/>
    <n v="8.0120000000000005"/>
  </r>
  <r>
    <s v="CSWAFFORD"/>
    <s v="12"/>
    <s v="GOLFVENTURES"/>
    <s v="MAIN"/>
    <x v="596"/>
    <x v="3"/>
    <x v="3"/>
    <s v="Invoice"/>
    <s v="100001472"/>
    <x v="525"/>
    <x v="302"/>
    <x v="70"/>
    <x v="0"/>
    <n v="60"/>
  </r>
  <r>
    <s v="CSWAFFORD"/>
    <s v="12"/>
    <s v="GOLFVENTURES"/>
    <s v="MAIN"/>
    <x v="596"/>
    <x v="3"/>
    <x v="3"/>
    <s v="Invoice"/>
    <s v="100001473"/>
    <x v="438"/>
    <x v="373"/>
    <x v="108"/>
    <x v="0"/>
    <n v="60"/>
  </r>
  <r>
    <s v="CSWAFFORD"/>
    <s v="12"/>
    <s v="GOLFVENTURES"/>
    <s v="MAIN"/>
    <x v="596"/>
    <x v="3"/>
    <x v="3"/>
    <s v="Invoice"/>
    <s v="100001473"/>
    <x v="163"/>
    <x v="442"/>
    <x v="56"/>
    <x v="0"/>
    <n v="90"/>
  </r>
  <r>
    <s v="CSWAFFORD"/>
    <s v="12"/>
    <s v="GOLFVENTURES"/>
    <s v="MAIN"/>
    <x v="596"/>
    <x v="3"/>
    <x v="3"/>
    <s v="Invoice"/>
    <s v="100001473"/>
    <x v="485"/>
    <x v="281"/>
    <x v="42"/>
    <x v="0"/>
    <n v="60"/>
  </r>
  <r>
    <s v="CSWAFFORD"/>
    <s v="12"/>
    <s v="GOLFVENTURES"/>
    <s v="MAIN"/>
    <x v="596"/>
    <x v="3"/>
    <x v="3"/>
    <s v="Invoice"/>
    <s v="100001473"/>
    <x v="3"/>
    <x v="411"/>
    <x v="2"/>
    <x v="0"/>
    <n v="60"/>
  </r>
  <r>
    <s v="CSWAFFORD"/>
    <s v="12"/>
    <s v="JRMINC"/>
    <s v="CHEMICALDYNAMIC"/>
    <x v="589"/>
    <x v="3"/>
    <x v="3"/>
    <s v="Invoice"/>
    <s v="100001510"/>
    <x v="454"/>
    <x v="390"/>
    <x v="113"/>
    <x v="0"/>
    <n v="90"/>
  </r>
  <r>
    <s v="CSWAFFORD"/>
    <s v="12"/>
    <s v="JRMINC"/>
    <s v="CHEMICALDYNAMIC"/>
    <x v="589"/>
    <x v="3"/>
    <x v="3"/>
    <s v="Invoice"/>
    <s v="100001510"/>
    <x v="453"/>
    <x v="389"/>
    <x v="5"/>
    <x v="0"/>
    <n v="90"/>
  </r>
  <r>
    <s v="CSWAFFORD"/>
    <s v="12"/>
    <s v="JRMINC"/>
    <s v="CHEMICALDYNAMIC"/>
    <x v="589"/>
    <x v="3"/>
    <x v="3"/>
    <s v="Invoice"/>
    <s v="100001510"/>
    <x v="209"/>
    <x v="400"/>
    <x v="63"/>
    <x v="0"/>
    <n v="90"/>
  </r>
  <r>
    <s v="CSWAFFORD"/>
    <s v="12"/>
    <s v="JRMINC"/>
    <s v="CHEMICALDYNAMIC"/>
    <x v="589"/>
    <x v="3"/>
    <x v="3"/>
    <s v="Invoice"/>
    <s v="100001510"/>
    <x v="460"/>
    <x v="402"/>
    <x v="115"/>
    <x v="0"/>
    <n v="90"/>
  </r>
  <r>
    <s v="CSWAFFORD"/>
    <s v="12"/>
    <s v="GOLFVENTURES"/>
    <s v="COUNTRYBOY"/>
    <x v="590"/>
    <x v="3"/>
    <x v="3"/>
    <s v="Invoice"/>
    <s v="100001512"/>
    <x v="369"/>
    <x v="338"/>
    <x v="97"/>
    <x v="0"/>
    <n v="250"/>
  </r>
  <r>
    <s v="CSWAFFORD"/>
    <s v="12"/>
    <s v="GOLFVENTURES"/>
    <s v="ARROWHEAD"/>
    <x v="597"/>
    <x v="3"/>
    <x v="3"/>
    <s v="Invoice"/>
    <s v="100001522"/>
    <x v="317"/>
    <x v="267"/>
    <x v="80"/>
    <x v="0"/>
    <n v="275"/>
  </r>
  <r>
    <s v="CSWAFFORD"/>
    <s v="12"/>
    <s v="GOLFVENTURES"/>
    <s v="ARROWHEAD"/>
    <x v="597"/>
    <x v="3"/>
    <x v="3"/>
    <s v="Invoice"/>
    <s v="100001522"/>
    <x v="440"/>
    <x v="321"/>
    <x v="96"/>
    <x v="0"/>
    <n v="275"/>
  </r>
  <r>
    <s v="CSWAFFORD"/>
    <s v="12"/>
    <s v="GOLFVENTURES"/>
    <s v="ARROWHEAD"/>
    <x v="597"/>
    <x v="3"/>
    <x v="3"/>
    <s v="Invoice"/>
    <s v="100001522"/>
    <x v="120"/>
    <x v="299"/>
    <x v="45"/>
    <x v="0"/>
    <n v="250"/>
  </r>
  <r>
    <s v="CSWAFFORD"/>
    <s v="12"/>
    <s v="GOLFVENTURES"/>
    <s v="MAIN"/>
    <x v="597"/>
    <x v="3"/>
    <x v="3"/>
    <s v="Invoice"/>
    <s v="100001523"/>
    <x v="370"/>
    <x v="320"/>
    <x v="63"/>
    <x v="0"/>
    <n v="60"/>
  </r>
  <r>
    <s v="CSWAFFORD"/>
    <s v="12"/>
    <s v="GOLFVENTURES"/>
    <s v="MAIN"/>
    <x v="597"/>
    <x v="3"/>
    <x v="3"/>
    <s v="Invoice"/>
    <s v="100001523"/>
    <x v="365"/>
    <x v="298"/>
    <x v="53"/>
    <x v="0"/>
    <n v="60"/>
  </r>
  <r>
    <s v="CSWAFFORD"/>
    <s v="12"/>
    <s v="GOLFVENTURES"/>
    <s v="MAIN"/>
    <x v="597"/>
    <x v="3"/>
    <x v="3"/>
    <s v="Invoice"/>
    <s v="100001523"/>
    <x v="339"/>
    <x v="302"/>
    <x v="70"/>
    <x v="0"/>
    <n v="60"/>
  </r>
  <r>
    <s v="CSWAFFORD"/>
    <s v="12"/>
    <s v="GOLFVENTURES"/>
    <s v="MAIN"/>
    <x v="597"/>
    <x v="3"/>
    <x v="3"/>
    <s v="Invoice"/>
    <s v="100001524"/>
    <x v="303"/>
    <x v="267"/>
    <x v="80"/>
    <x v="0"/>
    <n v="90"/>
  </r>
  <r>
    <s v="CSWAFFORD"/>
    <s v="12"/>
    <s v="GOLFVENTURES"/>
    <s v="MAIN"/>
    <x v="597"/>
    <x v="3"/>
    <x v="3"/>
    <s v="Invoice"/>
    <s v="100001524"/>
    <x v="249"/>
    <x v="294"/>
    <x v="70"/>
    <x v="0"/>
    <n v="90"/>
  </r>
  <r>
    <s v="CSWAFFORD"/>
    <s v="12"/>
    <s v="GOLFVENTURES"/>
    <s v="MAIN"/>
    <x v="597"/>
    <x v="3"/>
    <x v="3"/>
    <s v="Invoice"/>
    <s v="100001525"/>
    <x v="169"/>
    <x v="461"/>
    <x v="0"/>
    <x v="0"/>
    <n v="20"/>
  </r>
  <r>
    <s v="CSWAFFORD"/>
    <s v="12"/>
    <s v="GOLFVENTURES"/>
    <s v="THEYACHT&amp;CC"/>
    <x v="583"/>
    <x v="3"/>
    <x v="3"/>
    <s v="Invoice"/>
    <s v="100001530"/>
    <x v="320"/>
    <x v="282"/>
    <x v="87"/>
    <x v="0"/>
    <n v="250"/>
  </r>
  <r>
    <s v="CSWAFFORD"/>
    <s v="12"/>
    <s v="GOLFVENTURES"/>
    <s v="THEYACHT&amp;CC"/>
    <x v="583"/>
    <x v="3"/>
    <x v="3"/>
    <s v="Invoice"/>
    <s v="100001530"/>
    <x v="120"/>
    <x v="299"/>
    <x v="45"/>
    <x v="0"/>
    <n v="250"/>
  </r>
  <r>
    <s v="CSWAFFORD"/>
    <s v="12"/>
    <s v="GOLFVENTURES"/>
    <s v="THEYACHT&amp;CC"/>
    <x v="583"/>
    <x v="3"/>
    <x v="3"/>
    <s v="Invoice"/>
    <s v="100001532"/>
    <x v="424"/>
    <x v="362"/>
    <x v="47"/>
    <x v="0"/>
    <n v="10"/>
  </r>
  <r>
    <s v="CSWAFFORD"/>
    <s v="12"/>
    <s v="GOLFVENTURES"/>
    <s v="CHSEAGLERIDGE"/>
    <x v="598"/>
    <x v="3"/>
    <x v="3"/>
    <s v="Invoice"/>
    <s v="100001588"/>
    <x v="319"/>
    <x v="281"/>
    <x v="42"/>
    <x v="0"/>
    <n v="275"/>
  </r>
  <r>
    <s v="CSWAFFORD"/>
    <s v="12"/>
    <s v="GOLFVENTURES"/>
    <s v="MAIN"/>
    <x v="592"/>
    <x v="3"/>
    <x v="3"/>
    <s v="Invoice"/>
    <s v="100001593"/>
    <x v="442"/>
    <x v="378"/>
    <x v="109"/>
    <x v="0"/>
    <n v="60"/>
  </r>
  <r>
    <s v="CSWAFFORD"/>
    <s v="12"/>
    <s v="GOLFVENTURES"/>
    <s v="MAIN"/>
    <x v="592"/>
    <x v="3"/>
    <x v="3"/>
    <s v="Invoice"/>
    <s v="100001593"/>
    <x v="8"/>
    <x v="396"/>
    <x v="7"/>
    <x v="0"/>
    <n v="60"/>
  </r>
  <r>
    <s v="CSWAFFORD"/>
    <s v="12"/>
    <s v="GOLFVENTURES"/>
    <s v="MAIN"/>
    <x v="592"/>
    <x v="3"/>
    <x v="3"/>
    <s v="Invoice"/>
    <s v="100001593"/>
    <x v="3"/>
    <x v="411"/>
    <x v="2"/>
    <x v="0"/>
    <n v="60"/>
  </r>
  <r>
    <s v="CSWAFFORD"/>
    <s v="12"/>
    <s v="GOLFVENTURES"/>
    <s v="SANIBELISLAND"/>
    <x v="600"/>
    <x v="3"/>
    <x v="3"/>
    <s v="Invoice"/>
    <s v="100001634"/>
    <x v="479"/>
    <x v="375"/>
    <x v="82"/>
    <x v="0"/>
    <n v="55"/>
  </r>
  <r>
    <s v="CSWAFFORD"/>
    <s v="12"/>
    <s v="GOLFVENTURES"/>
    <s v="MAIN"/>
    <x v="600"/>
    <x v="3"/>
    <x v="3"/>
    <s v="Invoice"/>
    <s v="100001640"/>
    <x v="424"/>
    <x v="362"/>
    <x v="47"/>
    <x v="0"/>
    <n v="60"/>
  </r>
  <r>
    <s v="CSWAFFORD"/>
    <s v="12"/>
    <s v="GOLFVENTURES"/>
    <s v="MAIN"/>
    <x v="600"/>
    <x v="3"/>
    <x v="3"/>
    <s v="Invoice"/>
    <s v="100001640"/>
    <x v="439"/>
    <x v="297"/>
    <x v="91"/>
    <x v="0"/>
    <n v="60"/>
  </r>
  <r>
    <s v="CSWAFFORD"/>
    <s v="12"/>
    <s v="GOLFVENTURES"/>
    <s v="MAIN"/>
    <x v="600"/>
    <x v="3"/>
    <x v="3"/>
    <s v="Invoice"/>
    <s v="100001640"/>
    <x v="336"/>
    <x v="292"/>
    <x v="36"/>
    <x v="0"/>
    <n v="60"/>
  </r>
  <r>
    <s v="CSWAFFORD"/>
    <s v="12"/>
    <s v="GOLFVENTURES"/>
    <s v="SANIBELISLAND"/>
    <x v="600"/>
    <x v="3"/>
    <x v="3"/>
    <s v="Invoice"/>
    <s v="100001645"/>
    <x v="366"/>
    <x v="336"/>
    <x v="22"/>
    <x v="2"/>
    <n v="0.27579999999999999"/>
  </r>
  <r>
    <s v="HAP"/>
    <s v="01"/>
    <s v="GREENWAY"/>
    <s v="WAREHOUSE"/>
    <x v="603"/>
    <x v="4"/>
    <x v="3"/>
    <s v="Invoice"/>
    <s v="100001755"/>
    <x v="6"/>
    <x v="5"/>
    <x v="5"/>
    <x v="0"/>
    <n v="120"/>
  </r>
  <r>
    <s v="HAP"/>
    <s v="01"/>
    <s v="GREENWAY"/>
    <s v="WAREHOUSE"/>
    <x v="603"/>
    <x v="4"/>
    <x v="3"/>
    <s v="Invoice"/>
    <s v="100001755"/>
    <x v="90"/>
    <x v="13"/>
    <x v="13"/>
    <x v="0"/>
    <n v="60"/>
  </r>
  <r>
    <s v="HAP"/>
    <s v="01"/>
    <s v="GREENWAY"/>
    <s v="WAREHOUSE"/>
    <x v="603"/>
    <x v="4"/>
    <x v="3"/>
    <s v="Invoice"/>
    <s v="100001755"/>
    <x v="5"/>
    <x v="4"/>
    <x v="4"/>
    <x v="0"/>
    <n v="120"/>
  </r>
  <r>
    <s v="HAP"/>
    <s v="01"/>
    <s v="GREENWAY"/>
    <s v="WAREHOUSE"/>
    <x v="603"/>
    <x v="4"/>
    <x v="3"/>
    <s v="Invoice"/>
    <s v="100001755"/>
    <x v="8"/>
    <x v="7"/>
    <x v="7"/>
    <x v="0"/>
    <n v="60"/>
  </r>
  <r>
    <s v="HAP"/>
    <s v="01"/>
    <s v="GREENWAY"/>
    <s v="WAREHOUSE"/>
    <x v="603"/>
    <x v="4"/>
    <x v="3"/>
    <s v="Invoice"/>
    <s v="100001755"/>
    <x v="2"/>
    <x v="0"/>
    <x v="0"/>
    <x v="0"/>
    <n v="120"/>
  </r>
  <r>
    <s v="HAP"/>
    <s v="01"/>
    <s v="GREENWAY"/>
    <s v="WAREHOUSE"/>
    <x v="603"/>
    <x v="4"/>
    <x v="3"/>
    <s v="Invoice"/>
    <s v="100001755"/>
    <x v="3"/>
    <x v="379"/>
    <x v="2"/>
    <x v="0"/>
    <n v="120"/>
  </r>
  <r>
    <s v="HAP"/>
    <s v="01"/>
    <s v="GREENWAY"/>
    <s v="HOUSTONOAKS"/>
    <x v="604"/>
    <x v="4"/>
    <x v="3"/>
    <s v="Invoice"/>
    <s v="100001888"/>
    <x v="4"/>
    <x v="3"/>
    <x v="3"/>
    <x v="0"/>
    <n v="40"/>
  </r>
  <r>
    <s v="HAP"/>
    <s v="01"/>
    <s v="GREENWAY"/>
    <s v="HOUSTONOAKS"/>
    <x v="604"/>
    <x v="4"/>
    <x v="3"/>
    <s v="Invoice"/>
    <s v="100001888"/>
    <x v="6"/>
    <x v="5"/>
    <x v="5"/>
    <x v="0"/>
    <n v="40"/>
  </r>
  <r>
    <s v="HAP"/>
    <s v="01"/>
    <s v="GREENWAY"/>
    <s v="HOUSTONOAKS"/>
    <x v="604"/>
    <x v="4"/>
    <x v="3"/>
    <s v="Invoice"/>
    <s v="100001888"/>
    <x v="5"/>
    <x v="4"/>
    <x v="4"/>
    <x v="0"/>
    <n v="40"/>
  </r>
  <r>
    <s v="HAP"/>
    <s v="01"/>
    <s v="GREENWAY"/>
    <s v="HOUSTONOAKS"/>
    <x v="604"/>
    <x v="4"/>
    <x v="3"/>
    <s v="Invoice"/>
    <s v="100001888"/>
    <x v="2"/>
    <x v="0"/>
    <x v="0"/>
    <x v="0"/>
    <n v="40"/>
  </r>
  <r>
    <s v="HAP"/>
    <s v="01"/>
    <s v="GREENWAY"/>
    <s v="HOUSTONOAKS"/>
    <x v="604"/>
    <x v="4"/>
    <x v="3"/>
    <s v="Invoice"/>
    <s v="100001888"/>
    <x v="3"/>
    <x v="379"/>
    <x v="2"/>
    <x v="0"/>
    <n v="40"/>
  </r>
  <r>
    <s v="HAP"/>
    <s v="01"/>
    <s v="GREENWAY"/>
    <s v="AVILAGOLFCLUB"/>
    <x v="604"/>
    <x v="4"/>
    <x v="3"/>
    <s v="Invoice"/>
    <s v="100001889"/>
    <x v="0"/>
    <x v="0"/>
    <x v="0"/>
    <x v="0"/>
    <n v="55"/>
  </r>
  <r>
    <s v="HAP"/>
    <s v="01"/>
    <s v="GREENWAY"/>
    <s v="AVILAGOLFCLUB"/>
    <x v="604"/>
    <x v="4"/>
    <x v="3"/>
    <s v="Invoice"/>
    <s v="100001889"/>
    <x v="88"/>
    <x v="2"/>
    <x v="2"/>
    <x v="0"/>
    <n v="55"/>
  </r>
  <r>
    <s v="HAP"/>
    <s v="01"/>
    <s v="GREENWAY"/>
    <s v="JACARANDA G C"/>
    <x v="605"/>
    <x v="4"/>
    <x v="3"/>
    <s v="Invoice"/>
    <s v="100001940"/>
    <x v="6"/>
    <x v="5"/>
    <x v="5"/>
    <x v="0"/>
    <n v="30"/>
  </r>
  <r>
    <s v="HAP"/>
    <s v="01"/>
    <s v="GREENWAY"/>
    <s v="JACARANDA G C"/>
    <x v="605"/>
    <x v="4"/>
    <x v="3"/>
    <s v="Invoice"/>
    <s v="100001940"/>
    <x v="188"/>
    <x v="17"/>
    <x v="17"/>
    <x v="0"/>
    <n v="55"/>
  </r>
  <r>
    <s v="HAP"/>
    <s v="01"/>
    <s v="GREENWAY"/>
    <s v="JACARANDA G C"/>
    <x v="605"/>
    <x v="4"/>
    <x v="3"/>
    <s v="Invoice"/>
    <s v="100001940"/>
    <x v="79"/>
    <x v="4"/>
    <x v="4"/>
    <x v="0"/>
    <n v="55"/>
  </r>
  <r>
    <s v="HAP"/>
    <s v="01"/>
    <s v="GREENWAY"/>
    <s v="JACARANDA G C"/>
    <x v="605"/>
    <x v="4"/>
    <x v="3"/>
    <s v="Invoice"/>
    <s v="100001940"/>
    <x v="0"/>
    <x v="0"/>
    <x v="0"/>
    <x v="0"/>
    <n v="55"/>
  </r>
  <r>
    <s v="DAVID"/>
    <s v="02"/>
    <s v="SOILCEA"/>
    <s v="MAIN"/>
    <x v="606"/>
    <x v="4"/>
    <x v="3"/>
    <s v="Invoice"/>
    <s v="100001704"/>
    <x v="36"/>
    <x v="31"/>
    <x v="4"/>
    <x v="0"/>
    <n v="2.5"/>
  </r>
  <r>
    <s v="DAVID"/>
    <s v="02"/>
    <s v="PETROCAN"/>
    <s v="UAP-FT. PIERCE"/>
    <x v="606"/>
    <x v="4"/>
    <x v="3"/>
    <s v="Invoice"/>
    <s v="100001709"/>
    <x v="526"/>
    <x v="462"/>
    <x v="99"/>
    <x v="0"/>
    <n v="7090"/>
  </r>
  <r>
    <s v="DAVID"/>
    <s v="02"/>
    <s v="CPSFTPIE"/>
    <s v="FT. PIERCE"/>
    <x v="606"/>
    <x v="4"/>
    <x v="3"/>
    <s v="Invoice"/>
    <s v="100001710"/>
    <x v="267"/>
    <x v="235"/>
    <x v="75"/>
    <x v="0"/>
    <n v="70"/>
  </r>
  <r>
    <s v="DAVID"/>
    <s v="02"/>
    <s v="PETROCAN"/>
    <s v="TROPICOIL"/>
    <x v="607"/>
    <x v="4"/>
    <x v="3"/>
    <s v="Invoice"/>
    <s v="100001713"/>
    <x v="526"/>
    <x v="462"/>
    <x v="99"/>
    <x v="0"/>
    <n v="6947"/>
  </r>
  <r>
    <s v="DAVID"/>
    <s v="02"/>
    <s v="AGRIBUSI"/>
    <s v="AGB/ROOSEVELT"/>
    <x v="603"/>
    <x v="4"/>
    <x v="3"/>
    <s v="Invoice"/>
    <s v="100001756"/>
    <x v="89"/>
    <x v="81"/>
    <x v="20"/>
    <x v="1"/>
    <n v="2500"/>
  </r>
  <r>
    <s v="DAVID"/>
    <s v="02"/>
    <s v="EVOQUAWATER"/>
    <s v="MAIN"/>
    <x v="608"/>
    <x v="4"/>
    <x v="3"/>
    <s v="Invoice"/>
    <s v="100001778"/>
    <x v="160"/>
    <x v="231"/>
    <x v="54"/>
    <x v="0"/>
    <n v="360"/>
  </r>
  <r>
    <s v="DAVID"/>
    <s v="02"/>
    <s v="RUSSTECH"/>
    <s v="CORTEC"/>
    <x v="609"/>
    <x v="4"/>
    <x v="3"/>
    <s v="Invoice"/>
    <s v="100001800"/>
    <x v="507"/>
    <x v="444"/>
    <x v="20"/>
    <x v="1"/>
    <n v="43160"/>
  </r>
  <r>
    <s v="DAVID"/>
    <s v="02"/>
    <s v="BIOGENECO"/>
    <s v="MAIN"/>
    <x v="610"/>
    <x v="4"/>
    <x v="3"/>
    <s v="Invoice"/>
    <s v="100001817"/>
    <x v="257"/>
    <x v="371"/>
    <x v="3"/>
    <x v="0"/>
    <n v="1650"/>
  </r>
  <r>
    <s v="DAVID"/>
    <s v="02"/>
    <s v="BIOGENECO"/>
    <s v="MAIN"/>
    <x v="610"/>
    <x v="4"/>
    <x v="3"/>
    <s v="Invoice"/>
    <s v="100001817"/>
    <x v="527"/>
    <x v="463"/>
    <x v="123"/>
    <x v="0"/>
    <n v="275"/>
  </r>
  <r>
    <s v="DAVID"/>
    <s v="02"/>
    <s v="BIOGENECO"/>
    <s v="MAIN"/>
    <x v="610"/>
    <x v="4"/>
    <x v="3"/>
    <s v="Invoice"/>
    <s v="100001817"/>
    <x v="528"/>
    <x v="464"/>
    <x v="94"/>
    <x v="0"/>
    <n v="1650"/>
  </r>
  <r>
    <s v="DAVID"/>
    <s v="02"/>
    <s v="BIOGENECO"/>
    <s v="MAIN"/>
    <x v="610"/>
    <x v="4"/>
    <x v="3"/>
    <s v="Invoice"/>
    <s v="100001817"/>
    <x v="529"/>
    <x v="465"/>
    <x v="124"/>
    <x v="0"/>
    <n v="550"/>
  </r>
  <r>
    <s v="DAVID"/>
    <s v="02"/>
    <s v="TARGETSPECIALTY"/>
    <s v="TAMPA"/>
    <x v="611"/>
    <x v="4"/>
    <x v="3"/>
    <s v="Invoice"/>
    <s v="100001831"/>
    <x v="283"/>
    <x v="19"/>
    <x v="19"/>
    <x v="0"/>
    <n v="55"/>
  </r>
  <r>
    <s v="DAVID"/>
    <s v="02"/>
    <s v="AGRIBUSI"/>
    <s v="AGB/ROOSEVELT"/>
    <x v="612"/>
    <x v="4"/>
    <x v="3"/>
    <s v="Invoice"/>
    <s v="100001850"/>
    <x v="89"/>
    <x v="81"/>
    <x v="20"/>
    <x v="1"/>
    <n v="2500"/>
  </r>
  <r>
    <s v="DAVID"/>
    <s v="02"/>
    <s v="SUNNILAND"/>
    <s v="LONGWOOD"/>
    <x v="605"/>
    <x v="4"/>
    <x v="3"/>
    <s v="Invoice"/>
    <s v="100001931"/>
    <x v="124"/>
    <x v="201"/>
    <x v="20"/>
    <x v="1"/>
    <n v="21980"/>
  </r>
  <r>
    <s v="DAVID"/>
    <s v="02"/>
    <s v="SOUTHERN"/>
    <s v="SOUTHERN AG"/>
    <x v="605"/>
    <x v="4"/>
    <x v="3"/>
    <s v="Invoice"/>
    <s v="100001933"/>
    <x v="26"/>
    <x v="21"/>
    <x v="21"/>
    <x v="0"/>
    <n v="2192"/>
  </r>
  <r>
    <s v="DAVID"/>
    <s v="02"/>
    <s v="VERDESIAN"/>
    <s v="CHEMICAL DYNAMI"/>
    <x v="613"/>
    <x v="4"/>
    <x v="3"/>
    <s v="Invoice"/>
    <s v="100001946"/>
    <x v="530"/>
    <x v="466"/>
    <x v="125"/>
    <x v="0"/>
    <n v="1000"/>
  </r>
  <r>
    <s v="DAVID"/>
    <s v="02"/>
    <s v="VERDESIAN"/>
    <s v="CHEMICAL DYNAMI"/>
    <x v="613"/>
    <x v="4"/>
    <x v="3"/>
    <s v="Invoice"/>
    <s v="100001946"/>
    <x v="531"/>
    <x v="467"/>
    <x v="126"/>
    <x v="0"/>
    <n v="2120"/>
  </r>
  <r>
    <s v="DAVID"/>
    <s v="02"/>
    <s v="PETROCAN"/>
    <s v="UAP-FT. PIERCE"/>
    <x v="614"/>
    <x v="4"/>
    <x v="3"/>
    <s v="Invoice"/>
    <s v="100001962"/>
    <x v="526"/>
    <x v="462"/>
    <x v="99"/>
    <x v="0"/>
    <n v="7090"/>
  </r>
  <r>
    <s v="DAVID"/>
    <s v="02"/>
    <s v="CPSFTPIE"/>
    <s v="FT. PIERCE"/>
    <x v="614"/>
    <x v="4"/>
    <x v="3"/>
    <s v="Invoice"/>
    <s v="100001963"/>
    <x v="267"/>
    <x v="235"/>
    <x v="75"/>
    <x v="0"/>
    <n v="70"/>
  </r>
  <r>
    <s v="DAVID"/>
    <s v="02"/>
    <s v="PETROCAN"/>
    <s v="TROPICOIL"/>
    <x v="614"/>
    <x v="4"/>
    <x v="3"/>
    <s v="Invoice"/>
    <s v="100001969"/>
    <x v="526"/>
    <x v="462"/>
    <x v="99"/>
    <x v="0"/>
    <n v="7056"/>
  </r>
  <r>
    <s v="JUSTIN"/>
    <s v="03"/>
    <s v="G&amp;DFARMS"/>
    <s v="MIDDLE"/>
    <x v="615"/>
    <x v="4"/>
    <x v="3"/>
    <s v="Invoice"/>
    <s v="100001670"/>
    <x v="509"/>
    <x v="446"/>
    <x v="22"/>
    <x v="2"/>
    <n v="15.015000000000001"/>
  </r>
  <r>
    <s v=""/>
    <s v="03"/>
    <s v="CPSMULB"/>
    <s v="UAP/MULBERRY"/>
    <x v="606"/>
    <x v="4"/>
    <x v="3"/>
    <s v="Invoice"/>
    <s v="100001697"/>
    <x v="5"/>
    <x v="72"/>
    <x v="4"/>
    <x v="0"/>
    <n v="180"/>
  </r>
  <r>
    <s v="JUSTIN"/>
    <s v="03"/>
    <s v="CPSWAVER"/>
    <s v="WAVERLY"/>
    <x v="607"/>
    <x v="4"/>
    <x v="3"/>
    <s v="Invoice"/>
    <s v="100001715"/>
    <x v="191"/>
    <x v="169"/>
    <x v="61"/>
    <x v="0"/>
    <n v="180"/>
  </r>
  <r>
    <s v="JUSTIN"/>
    <s v="03"/>
    <s v="CPSOKEE"/>
    <s v="OKEE-LIQ PLANT"/>
    <x v="616"/>
    <x v="4"/>
    <x v="3"/>
    <s v="Invoice"/>
    <s v="100001725"/>
    <x v="134"/>
    <x v="94"/>
    <x v="41"/>
    <x v="0"/>
    <n v="2500"/>
  </r>
  <r>
    <s v="JUSTIN"/>
    <s v="03"/>
    <s v="G&amp;DFARMS"/>
    <s v="MIDDLE"/>
    <x v="617"/>
    <x v="4"/>
    <x v="3"/>
    <s v="Invoice"/>
    <s v="100001750"/>
    <x v="509"/>
    <x v="446"/>
    <x v="22"/>
    <x v="2"/>
    <n v="15.015000000000001"/>
  </r>
  <r>
    <s v="JUSTIN"/>
    <s v="03"/>
    <s v="CPSFTPIE"/>
    <s v="FT. PIERCE"/>
    <x v="603"/>
    <x v="4"/>
    <x v="3"/>
    <s v="Invoice"/>
    <s v="100001754"/>
    <x v="34"/>
    <x v="29"/>
    <x v="26"/>
    <x v="0"/>
    <n v="180"/>
  </r>
  <r>
    <s v="JUSTIN"/>
    <s v="03"/>
    <s v="SIMPLOT"/>
    <s v="IMMOKALEE"/>
    <x v="608"/>
    <x v="4"/>
    <x v="3"/>
    <s v="Invoice"/>
    <s v="100001776"/>
    <x v="34"/>
    <x v="29"/>
    <x v="26"/>
    <x v="0"/>
    <n v="180"/>
  </r>
  <r>
    <s v="JUSTIN"/>
    <s v="03"/>
    <s v="CPSFTPIE"/>
    <s v="FT. PIERCE"/>
    <x v="610"/>
    <x v="4"/>
    <x v="3"/>
    <s v="Invoice"/>
    <s v="100001806"/>
    <x v="166"/>
    <x v="29"/>
    <x v="26"/>
    <x v="0"/>
    <n v="500"/>
  </r>
  <r>
    <s v=""/>
    <s v="03"/>
    <s v="CPSMULB"/>
    <s v="UAP/MULBERRY"/>
    <x v="610"/>
    <x v="4"/>
    <x v="3"/>
    <s v="Invoice"/>
    <s v="100001807"/>
    <x v="5"/>
    <x v="72"/>
    <x v="4"/>
    <x v="0"/>
    <n v="540"/>
  </r>
  <r>
    <s v="JUSTIN"/>
    <s v="03"/>
    <s v="CPSWAVER"/>
    <s v="WAVERLY"/>
    <x v="610"/>
    <x v="4"/>
    <x v="3"/>
    <s v="Invoice"/>
    <s v="100001808"/>
    <x v="5"/>
    <x v="72"/>
    <x v="4"/>
    <x v="0"/>
    <n v="180"/>
  </r>
  <r>
    <s v="JUSTIN"/>
    <s v="03"/>
    <s v="CPSPARRI"/>
    <s v="PARRISH"/>
    <x v="610"/>
    <x v="4"/>
    <x v="3"/>
    <s v="Invoice"/>
    <s v="100001818"/>
    <x v="42"/>
    <x v="37"/>
    <x v="30"/>
    <x v="0"/>
    <n v="60"/>
  </r>
  <r>
    <s v="JUSTIN"/>
    <s v="03"/>
    <s v="CPSWACHU"/>
    <s v="WAUCHULA"/>
    <x v="610"/>
    <x v="4"/>
    <x v="3"/>
    <s v="Invoice"/>
    <s v="100001820"/>
    <x v="196"/>
    <x v="172"/>
    <x v="61"/>
    <x v="0"/>
    <n v="360"/>
  </r>
  <r>
    <s v="JUSTIN"/>
    <s v="03"/>
    <s v="G&amp;DFARMS"/>
    <s v="MIDDLE"/>
    <x v="618"/>
    <x v="4"/>
    <x v="3"/>
    <s v="Invoice"/>
    <s v="100001821"/>
    <x v="509"/>
    <x v="446"/>
    <x v="22"/>
    <x v="2"/>
    <n v="15.012"/>
  </r>
  <r>
    <s v="JUSTIN"/>
    <s v="03"/>
    <s v="TRIANGLE"/>
    <s v="TRIANGLE/LAKEPL"/>
    <x v="618"/>
    <x v="4"/>
    <x v="3"/>
    <s v="Invoice"/>
    <s v="100001825"/>
    <x v="166"/>
    <x v="29"/>
    <x v="26"/>
    <x v="0"/>
    <n v="250"/>
  </r>
  <r>
    <s v="JUSTIN"/>
    <s v="03"/>
    <s v="CPSPARRI"/>
    <s v="PARRISH"/>
    <x v="619"/>
    <x v="4"/>
    <x v="3"/>
    <s v="Invoice"/>
    <s v="100001860"/>
    <x v="5"/>
    <x v="72"/>
    <x v="4"/>
    <x v="0"/>
    <n v="180"/>
  </r>
  <r>
    <s v="JUSTIN"/>
    <s v="03"/>
    <s v="TRIANGLE"/>
    <s v="TRIANGLE/LAKEPL"/>
    <x v="619"/>
    <x v="4"/>
    <x v="3"/>
    <s v="Invoice"/>
    <s v="100001862"/>
    <x v="136"/>
    <x v="111"/>
    <x v="46"/>
    <x v="0"/>
    <n v="540"/>
  </r>
  <r>
    <s v="JUSTIN"/>
    <s v="03"/>
    <s v="TRIANGLE"/>
    <s v="TRIANGLE/LAKEPL"/>
    <x v="604"/>
    <x v="4"/>
    <x v="3"/>
    <s v="Invoice"/>
    <s v="100001886"/>
    <x v="136"/>
    <x v="111"/>
    <x v="46"/>
    <x v="0"/>
    <n v="720"/>
  </r>
  <r>
    <s v="JUSTIN"/>
    <s v="03"/>
    <s v="CPSWAVER"/>
    <s v="WAVERLY"/>
    <x v="604"/>
    <x v="4"/>
    <x v="3"/>
    <s v="Invoice"/>
    <s v="100001887"/>
    <x v="38"/>
    <x v="30"/>
    <x v="27"/>
    <x v="0"/>
    <n v="250"/>
  </r>
  <r>
    <s v="JUSTIN"/>
    <s v="03"/>
    <s v="CPSWAVER"/>
    <s v="WAVERLY"/>
    <x v="604"/>
    <x v="4"/>
    <x v="3"/>
    <s v="Invoice"/>
    <s v="100001887"/>
    <x v="140"/>
    <x v="72"/>
    <x v="4"/>
    <x v="0"/>
    <n v="250"/>
  </r>
  <r>
    <s v="JUSTIN"/>
    <s v="03"/>
    <s v="CPSWAVER"/>
    <s v="WAVERLY"/>
    <x v="604"/>
    <x v="4"/>
    <x v="3"/>
    <s v="Invoice"/>
    <s v="100001892"/>
    <x v="38"/>
    <x v="30"/>
    <x v="27"/>
    <x v="0"/>
    <n v="500"/>
  </r>
  <r>
    <s v="JUSTIN"/>
    <s v="03"/>
    <s v="CPSWAVER"/>
    <s v="WAVERLY"/>
    <x v="604"/>
    <x v="4"/>
    <x v="3"/>
    <s v="Invoice"/>
    <s v="100001892"/>
    <x v="140"/>
    <x v="72"/>
    <x v="4"/>
    <x v="0"/>
    <n v="500"/>
  </r>
  <r>
    <s v="JUSTIN"/>
    <s v="03"/>
    <s v="GRIFFINF"/>
    <s v="FROSTPROOF"/>
    <x v="620"/>
    <x v="4"/>
    <x v="3"/>
    <s v="Invoice"/>
    <s v="100001893"/>
    <x v="34"/>
    <x v="29"/>
    <x v="26"/>
    <x v="0"/>
    <n v="720"/>
  </r>
  <r>
    <s v=""/>
    <s v="03"/>
    <s v="CPSMULB"/>
    <s v="UAP/MULBERRY"/>
    <x v="604"/>
    <x v="4"/>
    <x v="3"/>
    <s v="Invoice"/>
    <s v="100001900"/>
    <x v="5"/>
    <x v="72"/>
    <x v="4"/>
    <x v="0"/>
    <n v="540"/>
  </r>
  <r>
    <s v="JUSTIN"/>
    <s v="03"/>
    <s v="COUNCILO"/>
    <s v="COUNCIL-OXFORD"/>
    <x v="621"/>
    <x v="4"/>
    <x v="3"/>
    <s v="Invoice"/>
    <s v="100001907"/>
    <x v="41"/>
    <x v="36"/>
    <x v="26"/>
    <x v="0"/>
    <n v="500"/>
  </r>
  <r>
    <s v="JUSTIN"/>
    <s v="03"/>
    <s v="COUNCILO"/>
    <s v="COUNCIL-OXFORD"/>
    <x v="621"/>
    <x v="4"/>
    <x v="3"/>
    <s v="Invoice"/>
    <s v="100001907"/>
    <x v="34"/>
    <x v="29"/>
    <x v="26"/>
    <x v="0"/>
    <n v="180"/>
  </r>
  <r>
    <s v="JUSTIN"/>
    <s v="03"/>
    <s v="COUNCILO"/>
    <s v="COUNCIL-OXFORD"/>
    <x v="621"/>
    <x v="4"/>
    <x v="3"/>
    <s v="Invoice"/>
    <s v="100001907"/>
    <x v="40"/>
    <x v="35"/>
    <x v="29"/>
    <x v="0"/>
    <n v="180"/>
  </r>
  <r>
    <s v="JUSTIN"/>
    <s v="03"/>
    <s v="COUNCILO"/>
    <s v="COUNCIL-OXFORD"/>
    <x v="621"/>
    <x v="4"/>
    <x v="3"/>
    <s v="Invoice"/>
    <s v="100001910"/>
    <x v="168"/>
    <x v="88"/>
    <x v="8"/>
    <x v="0"/>
    <n v="90"/>
  </r>
  <r>
    <s v="JUSTIN"/>
    <s v="03"/>
    <s v="CPSPARRI"/>
    <s v="PARRISH"/>
    <x v="621"/>
    <x v="4"/>
    <x v="3"/>
    <s v="Invoice"/>
    <s v="100001911"/>
    <x v="40"/>
    <x v="35"/>
    <x v="29"/>
    <x v="0"/>
    <n v="180"/>
  </r>
  <r>
    <s v="JUSTIN"/>
    <s v="03"/>
    <s v="G&amp;DFARMS"/>
    <s v="MIDDLE"/>
    <x v="621"/>
    <x v="4"/>
    <x v="3"/>
    <s v="Invoice"/>
    <s v="100001917"/>
    <x v="509"/>
    <x v="446"/>
    <x v="22"/>
    <x v="2"/>
    <n v="15.022500000000001"/>
  </r>
  <r>
    <s v=""/>
    <s v="03"/>
    <s v="CPSMULB"/>
    <s v="UAP/MULBERRY"/>
    <x v="621"/>
    <x v="4"/>
    <x v="3"/>
    <s v="Invoice"/>
    <s v="100001921"/>
    <x v="40"/>
    <x v="35"/>
    <x v="29"/>
    <x v="0"/>
    <n v="360"/>
  </r>
  <r>
    <s v=""/>
    <s v="03"/>
    <s v="CPSMULB"/>
    <s v="UAP/MULBERRY"/>
    <x v="621"/>
    <x v="4"/>
    <x v="3"/>
    <s v="Invoice"/>
    <s v="100001922"/>
    <x v="5"/>
    <x v="72"/>
    <x v="4"/>
    <x v="0"/>
    <n v="180"/>
  </r>
  <r>
    <s v="JUSTIN"/>
    <s v="03"/>
    <s v="TRIANGLE"/>
    <s v="TRIANGLE/LAKEPL"/>
    <x v="621"/>
    <x v="4"/>
    <x v="3"/>
    <s v="Invoice"/>
    <s v="100001923A"/>
    <x v="100"/>
    <x v="94"/>
    <x v="41"/>
    <x v="0"/>
    <n v="2000"/>
  </r>
  <r>
    <s v="JUSTIN"/>
    <s v="03"/>
    <s v="GRIFFINF"/>
    <s v="FROSTPROOF"/>
    <x v="622"/>
    <x v="4"/>
    <x v="3"/>
    <s v="Invoice"/>
    <s v="100001949"/>
    <x v="34"/>
    <x v="29"/>
    <x v="26"/>
    <x v="0"/>
    <n v="1080"/>
  </r>
  <r>
    <s v="JUSTIN"/>
    <s v="03"/>
    <s v="CPSWACHU"/>
    <s v="WAUCHULA"/>
    <x v="622"/>
    <x v="4"/>
    <x v="3"/>
    <s v="Invoice"/>
    <s v="100001955"/>
    <x v="196"/>
    <x v="172"/>
    <x v="61"/>
    <x v="0"/>
    <n v="180"/>
  </r>
  <r>
    <s v="JUSTIN"/>
    <s v="03"/>
    <s v="CPSPARRI"/>
    <s v="PARRISH"/>
    <x v="622"/>
    <x v="4"/>
    <x v="3"/>
    <s v="Invoice"/>
    <s v="100001958"/>
    <x v="5"/>
    <x v="72"/>
    <x v="4"/>
    <x v="0"/>
    <n v="180"/>
  </r>
  <r>
    <s v=""/>
    <s v="03"/>
    <s v="CPSMULB"/>
    <s v="UAP/MULBERRY"/>
    <x v="614"/>
    <x v="4"/>
    <x v="3"/>
    <s v="Invoice"/>
    <s v="100001966"/>
    <x v="5"/>
    <x v="72"/>
    <x v="4"/>
    <x v="0"/>
    <n v="180"/>
  </r>
  <r>
    <s v="JUSTIN"/>
    <s v="03"/>
    <s v="CPSWAVER"/>
    <s v="WAVERLY"/>
    <x v="614"/>
    <x v="4"/>
    <x v="3"/>
    <s v="Invoice"/>
    <s v="100001967"/>
    <x v="35"/>
    <x v="30"/>
    <x v="27"/>
    <x v="0"/>
    <n v="180"/>
  </r>
  <r>
    <s v="DPOPPELL"/>
    <s v="04"/>
    <s v="SIMMONS"/>
    <s v="MAILING"/>
    <x v="616"/>
    <x v="4"/>
    <x v="3"/>
    <s v="Invoice"/>
    <s v="100000993B"/>
    <x v="53"/>
    <x v="46"/>
    <x v="22"/>
    <x v="2"/>
    <n v="0.15"/>
  </r>
  <r>
    <s v="DPOPPELL"/>
    <s v="04"/>
    <s v="ALVAREZJ"/>
    <s v="SYDNEY RD"/>
    <x v="615"/>
    <x v="4"/>
    <x v="3"/>
    <s v="Invoice"/>
    <s v="100001683"/>
    <x v="68"/>
    <x v="61"/>
    <x v="22"/>
    <x v="2"/>
    <n v="2.0074999999999998"/>
  </r>
  <r>
    <s v="DPOPPELL"/>
    <s v="04"/>
    <s v="FLORIDAAG"/>
    <s v="DOVER"/>
    <x v="615"/>
    <x v="4"/>
    <x v="3"/>
    <s v="Invoice"/>
    <s v="100001684"/>
    <x v="532"/>
    <x v="468"/>
    <x v="22"/>
    <x v="2"/>
    <n v="0.15"/>
  </r>
  <r>
    <s v="DPOPPELL"/>
    <s v="04"/>
    <s v="LEE GILLM"/>
    <s v="COW PENS/WEST"/>
    <x v="615"/>
    <x v="4"/>
    <x v="3"/>
    <s v="Invoice"/>
    <s v="100001686"/>
    <x v="63"/>
    <x v="56"/>
    <x v="22"/>
    <x v="2"/>
    <n v="7.0049999999999999"/>
  </r>
  <r>
    <s v="DPOPPELL"/>
    <s v="04"/>
    <s v="BEAUCHAMP"/>
    <s v="GALLAGHER"/>
    <x v="615"/>
    <x v="4"/>
    <x v="3"/>
    <s v="Invoice"/>
    <s v="100001688"/>
    <x v="50"/>
    <x v="43"/>
    <x v="22"/>
    <x v="2"/>
    <n v="10.005000000000001"/>
  </r>
  <r>
    <s v="DPOPPELL"/>
    <s v="04"/>
    <s v="DURGAFARMS"/>
    <s v="SOUTHTANK"/>
    <x v="615"/>
    <x v="4"/>
    <x v="3"/>
    <s v="Invoice"/>
    <s v="100001689"/>
    <x v="27"/>
    <x v="22"/>
    <x v="22"/>
    <x v="2"/>
    <n v="5.0049999999999999"/>
  </r>
  <r>
    <s v="DPOPPELL"/>
    <s v="04"/>
    <s v="THREESTA"/>
    <s v="WALDEN-SHEFFIEL"/>
    <x v="615"/>
    <x v="4"/>
    <x v="3"/>
    <s v="Invoice"/>
    <s v="100001690"/>
    <x v="511"/>
    <x v="448"/>
    <x v="22"/>
    <x v="2"/>
    <n v="10.02"/>
  </r>
  <r>
    <s v="DPOPPELL"/>
    <s v="04"/>
    <s v="SANCHEZFARM"/>
    <s v="WACHULA"/>
    <x v="606"/>
    <x v="4"/>
    <x v="3"/>
    <s v="Invoice"/>
    <s v="100001691"/>
    <x v="43"/>
    <x v="38"/>
    <x v="22"/>
    <x v="2"/>
    <n v="10.01"/>
  </r>
  <r>
    <s v="DPOPPELL"/>
    <s v="04"/>
    <s v="FAVORITE"/>
    <s v="BETHLEHEM ROAD"/>
    <x v="606"/>
    <x v="4"/>
    <x v="3"/>
    <s v="Invoice"/>
    <s v="100001692"/>
    <x v="518"/>
    <x v="455"/>
    <x v="26"/>
    <x v="0"/>
    <n v="30"/>
  </r>
  <r>
    <s v="DPOPPELL"/>
    <s v="04"/>
    <s v="SANCHEZFARM"/>
    <s v="WACHULA"/>
    <x v="606"/>
    <x v="4"/>
    <x v="3"/>
    <s v="Invoice"/>
    <s v="100001693"/>
    <x v="58"/>
    <x v="51"/>
    <x v="22"/>
    <x v="2"/>
    <n v="9.2650000000000006"/>
  </r>
  <r>
    <s v="DPOPPELL"/>
    <s v="04"/>
    <s v="CJABBOTT"/>
    <s v="JOHNGILL"/>
    <x v="606"/>
    <x v="4"/>
    <x v="3"/>
    <s v="Invoice"/>
    <s v="100001694"/>
    <x v="58"/>
    <x v="51"/>
    <x v="22"/>
    <x v="2"/>
    <n v="3.2570000000000001"/>
  </r>
  <r>
    <s v="DPOPPELL"/>
    <s v="04"/>
    <s v="FORTGREENFARMS"/>
    <s v="FTGREEN"/>
    <x v="606"/>
    <x v="4"/>
    <x v="3"/>
    <s v="Invoice"/>
    <s v="100001695"/>
    <x v="58"/>
    <x v="51"/>
    <x v="22"/>
    <x v="2"/>
    <n v="0.5"/>
  </r>
  <r>
    <s v="DPOPPELL"/>
    <s v="04"/>
    <s v="CIRCLEGF&amp;R LLC"/>
    <s v="KNIGHTS-N/SOUTH"/>
    <x v="606"/>
    <x v="4"/>
    <x v="3"/>
    <s v="Invoice"/>
    <s v="100001696"/>
    <x v="67"/>
    <x v="60"/>
    <x v="22"/>
    <x v="2"/>
    <n v="12.5025"/>
  </r>
  <r>
    <s v="DPOPPELL"/>
    <s v="04"/>
    <s v="CHARLIEG-LLC"/>
    <s v="DAIRY"/>
    <x v="606"/>
    <x v="4"/>
    <x v="3"/>
    <s v="Invoice"/>
    <s v="100001700"/>
    <x v="67"/>
    <x v="60"/>
    <x v="22"/>
    <x v="2"/>
    <n v="14.992000000000001"/>
  </r>
  <r>
    <s v="DPOPPELL"/>
    <s v="04"/>
    <s v="CIRCLEGF&amp;R LLC"/>
    <s v="KNIGHTS-S/W"/>
    <x v="606"/>
    <x v="4"/>
    <x v="3"/>
    <s v="Invoice"/>
    <s v="100001701"/>
    <x v="67"/>
    <x v="60"/>
    <x v="22"/>
    <x v="2"/>
    <n v="9"/>
  </r>
  <r>
    <s v="DPOPPELL"/>
    <s v="04"/>
    <s v="CHARLIEG-LLC"/>
    <s v="LAMPP ROAD"/>
    <x v="606"/>
    <x v="4"/>
    <x v="3"/>
    <s v="Invoice"/>
    <s v="100001702"/>
    <x v="67"/>
    <x v="60"/>
    <x v="22"/>
    <x v="2"/>
    <n v="5.0170000000000003"/>
  </r>
  <r>
    <s v="DPOPPELL"/>
    <s v="04"/>
    <s v="LARRYENN"/>
    <s v="TRAPNELL ROAD"/>
    <x v="607"/>
    <x v="4"/>
    <x v="3"/>
    <s v="Invoice"/>
    <s v="100001705"/>
    <x v="28"/>
    <x v="23"/>
    <x v="22"/>
    <x v="2"/>
    <n v="7.0449999999999999"/>
  </r>
  <r>
    <s v="DPOPPELL"/>
    <s v="04"/>
    <s v="SPIVEYFA"/>
    <s v="HOPEWELL"/>
    <x v="607"/>
    <x v="4"/>
    <x v="3"/>
    <s v="Invoice"/>
    <s v="100001706"/>
    <x v="56"/>
    <x v="49"/>
    <x v="22"/>
    <x v="2"/>
    <n v="4"/>
  </r>
  <r>
    <s v="DPOPPELL"/>
    <s v="04"/>
    <s v="LAWSONFA"/>
    <s v="CARUTHERS RD."/>
    <x v="607"/>
    <x v="4"/>
    <x v="3"/>
    <s v="Invoice"/>
    <s v="100001707"/>
    <x v="28"/>
    <x v="23"/>
    <x v="22"/>
    <x v="2"/>
    <n v="0.45750000000000002"/>
  </r>
  <r>
    <s v="DPOPPELL"/>
    <s v="04"/>
    <s v="PARKESDA"/>
    <s v="HILL"/>
    <x v="606"/>
    <x v="4"/>
    <x v="3"/>
    <s v="Invoice"/>
    <s v="100001708"/>
    <x v="65"/>
    <x v="58"/>
    <x v="22"/>
    <x v="2"/>
    <n v="10.022500000000001"/>
  </r>
  <r>
    <s v="DPOPPELL"/>
    <s v="04"/>
    <s v="FORTGREENFARMS"/>
    <s v="FTGREEN"/>
    <x v="607"/>
    <x v="4"/>
    <x v="3"/>
    <s v="Invoice"/>
    <s v="100001711"/>
    <x v="58"/>
    <x v="51"/>
    <x v="22"/>
    <x v="2"/>
    <n v="15"/>
  </r>
  <r>
    <s v="DPOPPELL"/>
    <s v="04"/>
    <s v="GUTIERREZA"/>
    <s v="DUETTE"/>
    <x v="607"/>
    <x v="4"/>
    <x v="3"/>
    <s v="Invoice"/>
    <s v="100001712A"/>
    <x v="73"/>
    <x v="66"/>
    <x v="22"/>
    <x v="2"/>
    <n v="15.03"/>
  </r>
  <r>
    <s v="DPOPPELL"/>
    <s v="04"/>
    <s v="FORTGREENFARMS"/>
    <s v="FTGREEN"/>
    <x v="607"/>
    <x v="4"/>
    <x v="3"/>
    <s v="Invoice"/>
    <s v="100001714"/>
    <x v="110"/>
    <x v="97"/>
    <x v="16"/>
    <x v="0"/>
    <n v="250"/>
  </r>
  <r>
    <s v="DPOPPELL"/>
    <s v="04"/>
    <s v="MIDWAYF"/>
    <s v="FUTCH"/>
    <x v="607"/>
    <x v="4"/>
    <x v="3"/>
    <s v="Invoice"/>
    <s v="100001718"/>
    <x v="67"/>
    <x v="60"/>
    <x v="22"/>
    <x v="2"/>
    <n v="15.005000000000001"/>
  </r>
  <r>
    <s v="DPOPPELL"/>
    <s v="04"/>
    <s v="ALONSOFARMS"/>
    <s v="IKESMITH"/>
    <x v="607"/>
    <x v="4"/>
    <x v="3"/>
    <s v="Invoice"/>
    <s v="100001719"/>
    <x v="50"/>
    <x v="43"/>
    <x v="22"/>
    <x v="2"/>
    <n v="3.75"/>
  </r>
  <r>
    <s v="DPOPPELL"/>
    <s v="04"/>
    <s v="DURGAFARMS"/>
    <s v="SOUTHTANK"/>
    <x v="607"/>
    <x v="4"/>
    <x v="3"/>
    <s v="Invoice"/>
    <s v="100001720"/>
    <x v="27"/>
    <x v="22"/>
    <x v="22"/>
    <x v="2"/>
    <n v="5"/>
  </r>
  <r>
    <s v="DPOPPELL"/>
    <s v="04"/>
    <s v="ALONSOFARMS"/>
    <s v="GALLAGHER"/>
    <x v="607"/>
    <x v="4"/>
    <x v="3"/>
    <s v="Invoice"/>
    <s v="100001721"/>
    <x v="50"/>
    <x v="43"/>
    <x v="22"/>
    <x v="2"/>
    <n v="5.01"/>
  </r>
  <r>
    <s v="DPOPPELL"/>
    <s v="04"/>
    <s v="STRAWBERRYR"/>
    <s v="SYDNEY-WASHER"/>
    <x v="607"/>
    <x v="4"/>
    <x v="3"/>
    <s v="Invoice"/>
    <s v="100001722A"/>
    <x v="205"/>
    <x v="181"/>
    <x v="22"/>
    <x v="2"/>
    <n v="5"/>
  </r>
  <r>
    <s v="DPOPPELL"/>
    <s v="04"/>
    <s v="STRAWBERRYR"/>
    <s v="RANCH 1"/>
    <x v="607"/>
    <x v="4"/>
    <x v="3"/>
    <s v="Invoice"/>
    <s v="100001723"/>
    <x v="205"/>
    <x v="181"/>
    <x v="22"/>
    <x v="2"/>
    <n v="15.02"/>
  </r>
  <r>
    <s v="DPOPPELL"/>
    <s v="04"/>
    <s v="TWINFARMS"/>
    <s v="WIMAUMA"/>
    <x v="616"/>
    <x v="4"/>
    <x v="3"/>
    <s v="Invoice"/>
    <s v="100001728"/>
    <x v="58"/>
    <x v="51"/>
    <x v="22"/>
    <x v="2"/>
    <n v="1"/>
  </r>
  <r>
    <s v="DPOPPELL"/>
    <s v="04"/>
    <s v="GAONA, ESPER"/>
    <s v="WILLIAMSRD"/>
    <x v="616"/>
    <x v="4"/>
    <x v="3"/>
    <s v="Invoice"/>
    <s v="100001729"/>
    <x v="28"/>
    <x v="23"/>
    <x v="22"/>
    <x v="2"/>
    <n v="3.375"/>
  </r>
  <r>
    <s v="DPOPPELL"/>
    <s v="04"/>
    <s v="M&amp;GFARMS"/>
    <s v="SWEATTLP"/>
    <x v="616"/>
    <x v="4"/>
    <x v="3"/>
    <s v="Invoice"/>
    <s v="100001730"/>
    <x v="58"/>
    <x v="51"/>
    <x v="22"/>
    <x v="2"/>
    <n v="15.0275"/>
  </r>
  <r>
    <s v="DPOPPELL"/>
    <s v="04"/>
    <s v="JOSEHERN"/>
    <s v="SPARKMAN"/>
    <x v="616"/>
    <x v="4"/>
    <x v="3"/>
    <s v="Invoice"/>
    <s v="100001731"/>
    <x v="58"/>
    <x v="51"/>
    <x v="22"/>
    <x v="2"/>
    <n v="10.0075"/>
  </r>
  <r>
    <s v="DPOPPELL"/>
    <s v="04"/>
    <s v="FRANKLIN"/>
    <s v="MCGEE RD. SOUTH"/>
    <x v="616"/>
    <x v="4"/>
    <x v="3"/>
    <s v="Invoice"/>
    <s v="100001732"/>
    <x v="28"/>
    <x v="23"/>
    <x v="22"/>
    <x v="2"/>
    <n v="8.5"/>
  </r>
  <r>
    <s v="DPOPPELL"/>
    <s v="04"/>
    <s v="MENDOZAHEC"/>
    <s v="KNIGHTSGRIFFIN"/>
    <x v="616"/>
    <x v="4"/>
    <x v="3"/>
    <s v="Invoice"/>
    <s v="100001733"/>
    <x v="69"/>
    <x v="62"/>
    <x v="22"/>
    <x v="2"/>
    <n v="2.5"/>
  </r>
  <r>
    <s v="DPOPPELL"/>
    <s v="04"/>
    <s v="LEE GILLM"/>
    <s v="PASTUREPUMP"/>
    <x v="616"/>
    <x v="4"/>
    <x v="3"/>
    <s v="Invoice"/>
    <s v="100001734"/>
    <x v="63"/>
    <x v="56"/>
    <x v="22"/>
    <x v="2"/>
    <n v="1.7524999999999999"/>
  </r>
  <r>
    <s v="DPOPPELL"/>
    <s v="04"/>
    <s v="VENTURAFARMS"/>
    <s v="GALLAGHER"/>
    <x v="616"/>
    <x v="4"/>
    <x v="3"/>
    <s v="Invoice"/>
    <s v="100001735"/>
    <x v="56"/>
    <x v="49"/>
    <x v="22"/>
    <x v="2"/>
    <n v="1"/>
  </r>
  <r>
    <s v="DPOPPELL"/>
    <s v="04"/>
    <s v="SYDNEYFA"/>
    <s v="FORBES/NORTH"/>
    <x v="616"/>
    <x v="4"/>
    <x v="3"/>
    <s v="Invoice"/>
    <s v="100001736"/>
    <x v="511"/>
    <x v="448"/>
    <x v="22"/>
    <x v="2"/>
    <n v="5.0075000000000003"/>
  </r>
  <r>
    <s v="DPOPPELL"/>
    <s v="04"/>
    <s v="SYDNEYFA"/>
    <s v="FORBES ROAD"/>
    <x v="616"/>
    <x v="4"/>
    <x v="3"/>
    <s v="Invoice"/>
    <s v="100001737"/>
    <x v="511"/>
    <x v="448"/>
    <x v="22"/>
    <x v="2"/>
    <n v="5.0025000000000004"/>
  </r>
  <r>
    <s v="DPOPPELL"/>
    <s v="04"/>
    <s v="PARKESDA"/>
    <s v="BLACKBERRIES"/>
    <x v="616"/>
    <x v="4"/>
    <x v="3"/>
    <s v="Invoice"/>
    <s v="100001738"/>
    <x v="69"/>
    <x v="62"/>
    <x v="22"/>
    <x v="2"/>
    <n v="1.26"/>
  </r>
  <r>
    <s v="DPOPPELL"/>
    <s v="04"/>
    <s v="JOEPENA"/>
    <s v="HWY 92"/>
    <x v="616"/>
    <x v="4"/>
    <x v="3"/>
    <s v="Invoice"/>
    <s v="100001739"/>
    <x v="114"/>
    <x v="101"/>
    <x v="22"/>
    <x v="2"/>
    <n v="1"/>
  </r>
  <r>
    <s v="DPOPPELL"/>
    <s v="04"/>
    <s v="EWSIMMON"/>
    <s v="MUD LK-BLUEBERR"/>
    <x v="616"/>
    <x v="4"/>
    <x v="3"/>
    <s v="Invoice"/>
    <s v="100001741"/>
    <x v="357"/>
    <x v="317"/>
    <x v="25"/>
    <x v="0"/>
    <n v="1.875"/>
  </r>
  <r>
    <s v="DPOPPELL"/>
    <s v="04"/>
    <s v="EWSIMMON"/>
    <s v="MUD LK-BLUEBERR"/>
    <x v="616"/>
    <x v="4"/>
    <x v="3"/>
    <s v="Invoice"/>
    <s v="100001741"/>
    <x v="521"/>
    <x v="458"/>
    <x v="22"/>
    <x v="2"/>
    <n v="5.0149999999999997"/>
  </r>
  <r>
    <s v="DPOPPELL"/>
    <s v="04"/>
    <s v="FAVORITE"/>
    <s v="BETHLEHEM ROAD"/>
    <x v="616"/>
    <x v="4"/>
    <x v="3"/>
    <s v="Invoice"/>
    <s v="100001743"/>
    <x v="58"/>
    <x v="51"/>
    <x v="22"/>
    <x v="2"/>
    <n v="15.0275"/>
  </r>
  <r>
    <s v="DPOPPELL"/>
    <s v="04"/>
    <s v="THREESTA"/>
    <s v="WALDEN-SHEFFIEL"/>
    <x v="617"/>
    <x v="4"/>
    <x v="3"/>
    <s v="Invoice"/>
    <s v="100001749"/>
    <x v="5"/>
    <x v="72"/>
    <x v="4"/>
    <x v="0"/>
    <n v="30"/>
  </r>
  <r>
    <s v="DPOPPELL"/>
    <s v="04"/>
    <s v="SWEETLIFE"/>
    <s v="MCGEE RD."/>
    <x v="616"/>
    <x v="4"/>
    <x v="3"/>
    <s v="Invoice"/>
    <s v="100001751"/>
    <x v="67"/>
    <x v="60"/>
    <x v="22"/>
    <x v="2"/>
    <n v="14.052"/>
  </r>
  <r>
    <s v="DPOPPELL"/>
    <s v="04"/>
    <s v="MIDWAYF"/>
    <s v="ALS - NORTH"/>
    <x v="617"/>
    <x v="4"/>
    <x v="3"/>
    <s v="Invoice"/>
    <s v="100001752"/>
    <x v="67"/>
    <x v="60"/>
    <x v="22"/>
    <x v="2"/>
    <n v="4.5049999999999999"/>
  </r>
  <r>
    <s v="DPOPPELL"/>
    <s v="04"/>
    <s v="MENDOZAHEC"/>
    <s v="FARKAS"/>
    <x v="617"/>
    <x v="4"/>
    <x v="3"/>
    <s v="Invoice"/>
    <s v="100001753"/>
    <x v="69"/>
    <x v="62"/>
    <x v="22"/>
    <x v="2"/>
    <n v="9.5374999999999996"/>
  </r>
  <r>
    <s v="DPOPPELL"/>
    <s v="04"/>
    <s v="SOUTHERNHILL"/>
    <s v="SCHOFIELD"/>
    <x v="603"/>
    <x v="4"/>
    <x v="3"/>
    <s v="Invoice"/>
    <s v="100001757"/>
    <x v="43"/>
    <x v="38"/>
    <x v="22"/>
    <x v="2"/>
    <n v="3.75"/>
  </r>
  <r>
    <s v="DPOPPELL"/>
    <s v="04"/>
    <s v="SOUTHERNHILL"/>
    <s v="SCHOFIELD"/>
    <x v="603"/>
    <x v="4"/>
    <x v="3"/>
    <s v="Invoice"/>
    <s v="100001758"/>
    <x v="47"/>
    <x v="41"/>
    <x v="22"/>
    <x v="2"/>
    <n v="3.7650000000000001"/>
  </r>
  <r>
    <s v="DPOPPELL"/>
    <s v="04"/>
    <s v="THREESTA"/>
    <s v="WALDEN-SHEFFIEL"/>
    <x v="603"/>
    <x v="4"/>
    <x v="3"/>
    <s v="Invoice"/>
    <s v="100001759"/>
    <x v="511"/>
    <x v="448"/>
    <x v="22"/>
    <x v="2"/>
    <n v="15.03"/>
  </r>
  <r>
    <s v="DPOPPELL"/>
    <s v="04"/>
    <s v="SYDNEYFA"/>
    <s v="SYDNEY-WASHER"/>
    <x v="603"/>
    <x v="4"/>
    <x v="3"/>
    <s v="Invoice"/>
    <s v="100001762"/>
    <x v="511"/>
    <x v="448"/>
    <x v="22"/>
    <x v="2"/>
    <n v="5.0049999999999999"/>
  </r>
  <r>
    <s v="DPOPPELL"/>
    <s v="04"/>
    <s v="ROBBIETO"/>
    <s v="THONOTOSASSA"/>
    <x v="603"/>
    <x v="4"/>
    <x v="3"/>
    <s v="Invoice"/>
    <s v="100001763"/>
    <x v="34"/>
    <x v="29"/>
    <x v="26"/>
    <x v="0"/>
    <n v="5"/>
  </r>
  <r>
    <s v="DPOPPELL"/>
    <s v="04"/>
    <s v="ALONSOFARMS"/>
    <s v="SCARPO"/>
    <x v="603"/>
    <x v="4"/>
    <x v="3"/>
    <s v="Invoice"/>
    <s v="100001764"/>
    <x v="50"/>
    <x v="43"/>
    <x v="22"/>
    <x v="2"/>
    <n v="2.5150000000000001"/>
  </r>
  <r>
    <s v="DPOPPELL"/>
    <s v="04"/>
    <s v="SRISAIAY"/>
    <s v="PASTURE"/>
    <x v="603"/>
    <x v="4"/>
    <x v="3"/>
    <s v="Invoice"/>
    <s v="100001765"/>
    <x v="27"/>
    <x v="22"/>
    <x v="22"/>
    <x v="2"/>
    <n v="5.0199999999999996"/>
  </r>
  <r>
    <s v="DPOPPELL"/>
    <s v="04"/>
    <s v="GAONA, ESPER"/>
    <s v="STRAUSS RD."/>
    <x v="603"/>
    <x v="4"/>
    <x v="3"/>
    <s v="Invoice"/>
    <s v="100001766"/>
    <x v="28"/>
    <x v="23"/>
    <x v="22"/>
    <x v="2"/>
    <n v="1.2475000000000001"/>
  </r>
  <r>
    <s v="DPOPPELL"/>
    <s v="04"/>
    <s v="RAILROADCITY"/>
    <s v="MOTTRD"/>
    <x v="603"/>
    <x v="4"/>
    <x v="3"/>
    <s v="Invoice"/>
    <s v="100001767"/>
    <x v="58"/>
    <x v="51"/>
    <x v="22"/>
    <x v="2"/>
    <n v="1.25"/>
  </r>
  <r>
    <s v="DPOPPELL"/>
    <s v="04"/>
    <s v="M&amp;GFARMS"/>
    <s v="ONA"/>
    <x v="603"/>
    <x v="4"/>
    <x v="3"/>
    <s v="Invoice"/>
    <s v="100001770"/>
    <x v="58"/>
    <x v="51"/>
    <x v="22"/>
    <x v="2"/>
    <n v="15.025"/>
  </r>
  <r>
    <s v="DPOPPELL"/>
    <s v="04"/>
    <s v="MIDWAYF"/>
    <s v="WILDER RD."/>
    <x v="603"/>
    <x v="4"/>
    <x v="3"/>
    <s v="Invoice"/>
    <s v="100001771"/>
    <x v="67"/>
    <x v="60"/>
    <x v="22"/>
    <x v="2"/>
    <n v="2.0225"/>
  </r>
  <r>
    <s v="DPOPPELL"/>
    <s v="04"/>
    <s v="JOSEHERN"/>
    <s v="KEYSVILLE N"/>
    <x v="603"/>
    <x v="4"/>
    <x v="3"/>
    <s v="Invoice"/>
    <s v="100001773"/>
    <x v="58"/>
    <x v="51"/>
    <x v="22"/>
    <x v="2"/>
    <n v="15.02"/>
  </r>
  <r>
    <s v="DPOPPELL"/>
    <s v="04"/>
    <s v="CHAVEZJOR"/>
    <s v="JOSE' CHAV- COD"/>
    <x v="603"/>
    <x v="4"/>
    <x v="3"/>
    <s v="Invoice"/>
    <s v="100001774"/>
    <x v="53"/>
    <x v="46"/>
    <x v="22"/>
    <x v="2"/>
    <n v="0.15"/>
  </r>
  <r>
    <s v="DPOPPELL"/>
    <s v="04"/>
    <s v="GUTIERREZA"/>
    <s v="DUETTE"/>
    <x v="608"/>
    <x v="4"/>
    <x v="3"/>
    <s v="Invoice"/>
    <s v="100001777"/>
    <x v="110"/>
    <x v="97"/>
    <x v="16"/>
    <x v="0"/>
    <n v="250"/>
  </r>
  <r>
    <s v="DPOPPELL"/>
    <s v="04"/>
    <s v="GUTIERREZA"/>
    <s v="DUETTE"/>
    <x v="608"/>
    <x v="4"/>
    <x v="3"/>
    <s v="Invoice"/>
    <s v="100001777"/>
    <x v="109"/>
    <x v="80"/>
    <x v="2"/>
    <x v="0"/>
    <n v="250"/>
  </r>
  <r>
    <s v="DPOPPELL"/>
    <s v="04"/>
    <s v="GUTIERREZA"/>
    <s v="DUETTE"/>
    <x v="608"/>
    <x v="4"/>
    <x v="3"/>
    <s v="Invoice"/>
    <s v="100001777"/>
    <x v="45"/>
    <x v="37"/>
    <x v="30"/>
    <x v="0"/>
    <n v="250"/>
  </r>
  <r>
    <s v="DPOPPELL"/>
    <s v="04"/>
    <s v="FERRISFA"/>
    <s v="BLUEBERRIES"/>
    <x v="608"/>
    <x v="4"/>
    <x v="3"/>
    <s v="Invoice"/>
    <s v="100001779"/>
    <x v="435"/>
    <x v="368"/>
    <x v="22"/>
    <x v="2"/>
    <n v="5"/>
  </r>
  <r>
    <s v="DPOPPELL"/>
    <s v="04"/>
    <s v="FERRISFA"/>
    <s v="STRABERRIES"/>
    <x v="608"/>
    <x v="4"/>
    <x v="3"/>
    <s v="Invoice"/>
    <s v="100001780"/>
    <x v="154"/>
    <x v="136"/>
    <x v="22"/>
    <x v="2"/>
    <n v="10"/>
  </r>
  <r>
    <s v="DPOPPELL"/>
    <s v="04"/>
    <s v="JGRANCH"/>
    <s v="WISCON RD."/>
    <x v="608"/>
    <x v="4"/>
    <x v="3"/>
    <s v="Invoice"/>
    <s v="100001781"/>
    <x v="28"/>
    <x v="23"/>
    <x v="22"/>
    <x v="2"/>
    <n v="2.5"/>
  </r>
  <r>
    <s v="DPOPPELL"/>
    <s v="04"/>
    <s v="BONIFACIO"/>
    <s v="CORONET"/>
    <x v="608"/>
    <x v="4"/>
    <x v="3"/>
    <s v="Invoice"/>
    <s v="100001782"/>
    <x v="63"/>
    <x v="56"/>
    <x v="22"/>
    <x v="2"/>
    <n v="6.25"/>
  </r>
  <r>
    <s v="DPOPPELL"/>
    <s v="04"/>
    <s v="CENFLO ORGANICS"/>
    <s v="MCINTOSH"/>
    <x v="608"/>
    <x v="4"/>
    <x v="3"/>
    <s v="Invoice"/>
    <s v="100001786"/>
    <x v="65"/>
    <x v="58"/>
    <x v="22"/>
    <x v="2"/>
    <n v="7.0250000000000004"/>
  </r>
  <r>
    <s v="DPOPPELL"/>
    <s v="04"/>
    <s v="FLORIDAAG"/>
    <s v="DOVER"/>
    <x v="608"/>
    <x v="4"/>
    <x v="3"/>
    <s v="Invoice"/>
    <s v="100001787"/>
    <x v="326"/>
    <x v="289"/>
    <x v="22"/>
    <x v="2"/>
    <n v="4.0274999999999999"/>
  </r>
  <r>
    <s v="DPOPPELL"/>
    <s v="04"/>
    <s v="FORTGREENFARMS"/>
    <s v="BOWLINGGREEN"/>
    <x v="609"/>
    <x v="4"/>
    <x v="3"/>
    <s v="Invoice"/>
    <s v="100001790"/>
    <x v="110"/>
    <x v="97"/>
    <x v="16"/>
    <x v="0"/>
    <n v="250"/>
  </r>
  <r>
    <s v="DPOPPELL"/>
    <s v="04"/>
    <s v="MIDWAYF"/>
    <s v="FORBES"/>
    <x v="609"/>
    <x v="4"/>
    <x v="3"/>
    <s v="Invoice"/>
    <s v="100001794"/>
    <x v="67"/>
    <x v="60"/>
    <x v="22"/>
    <x v="2"/>
    <n v="12.5375"/>
  </r>
  <r>
    <s v="DPOPPELL"/>
    <s v="04"/>
    <s v="SYDNEYFA"/>
    <s v="FORBES ROAD"/>
    <x v="609"/>
    <x v="4"/>
    <x v="3"/>
    <s v="Invoice"/>
    <s v="100001795"/>
    <x v="511"/>
    <x v="448"/>
    <x v="22"/>
    <x v="2"/>
    <n v="4.9974999999999996"/>
  </r>
  <r>
    <s v="DPOPPELL"/>
    <s v="04"/>
    <s v="SYDNEYFA"/>
    <s v="FORBES/NORTH"/>
    <x v="609"/>
    <x v="4"/>
    <x v="3"/>
    <s v="Invoice"/>
    <s v="100001796"/>
    <x v="511"/>
    <x v="448"/>
    <x v="22"/>
    <x v="2"/>
    <n v="4.9924999999999997"/>
  </r>
  <r>
    <s v="DPOPPELL"/>
    <s v="04"/>
    <s v="GUTIERREZA"/>
    <s v="WASHINGTON"/>
    <x v="609"/>
    <x v="4"/>
    <x v="3"/>
    <s v="Invoice"/>
    <s v="100001797"/>
    <x v="533"/>
    <x v="469"/>
    <x v="22"/>
    <x v="2"/>
    <n v="14"/>
  </r>
  <r>
    <s v="DPOPPELL"/>
    <s v="04"/>
    <s v="IFASGULF"/>
    <s v="BALM-STRAWBERRY"/>
    <x v="609"/>
    <x v="4"/>
    <x v="3"/>
    <s v="Invoice"/>
    <s v="100001801"/>
    <x v="28"/>
    <x v="23"/>
    <x v="22"/>
    <x v="2"/>
    <n v="7.5075000000000003"/>
  </r>
  <r>
    <s v="DPOPPELL"/>
    <s v="04"/>
    <s v="MENDOZAHEC"/>
    <s v="JAUDON RD"/>
    <x v="609"/>
    <x v="4"/>
    <x v="3"/>
    <s v="Invoice"/>
    <s v="100001802"/>
    <x v="69"/>
    <x v="62"/>
    <x v="22"/>
    <x v="2"/>
    <n v="4.0075000000000003"/>
  </r>
  <r>
    <s v="DPOPPELL"/>
    <s v="04"/>
    <s v="EWSIMMON"/>
    <s v="JERRY SMITH RD"/>
    <x v="609"/>
    <x v="4"/>
    <x v="3"/>
    <s v="Invoice"/>
    <s v="100001803"/>
    <x v="357"/>
    <x v="317"/>
    <x v="25"/>
    <x v="0"/>
    <n v="1.875"/>
  </r>
  <r>
    <s v="DPOPPELL"/>
    <s v="04"/>
    <s v="EWSIMMON"/>
    <s v="JERRY SMITH RD"/>
    <x v="609"/>
    <x v="4"/>
    <x v="3"/>
    <s v="Invoice"/>
    <s v="100001803"/>
    <x v="521"/>
    <x v="458"/>
    <x v="22"/>
    <x v="2"/>
    <n v="5.0125000000000002"/>
  </r>
  <r>
    <s v="DPOPPELL"/>
    <s v="04"/>
    <s v="GWFARMS"/>
    <s v="TURKEYCREEKNORT"/>
    <x v="609"/>
    <x v="4"/>
    <x v="3"/>
    <s v="Invoice"/>
    <s v="100001804"/>
    <x v="69"/>
    <x v="62"/>
    <x v="22"/>
    <x v="2"/>
    <n v="1.2675000000000001"/>
  </r>
  <r>
    <s v="DPOPPELL"/>
    <s v="04"/>
    <s v="STRAWBERRYR"/>
    <s v="RANCH 1"/>
    <x v="610"/>
    <x v="4"/>
    <x v="3"/>
    <s v="Invoice"/>
    <s v="100001805"/>
    <x v="205"/>
    <x v="181"/>
    <x v="22"/>
    <x v="2"/>
    <n v="15.01"/>
  </r>
  <r>
    <s v="DPOPPELL"/>
    <s v="04"/>
    <s v="THREESTA"/>
    <s v="WALDEN-SHEFFIEL"/>
    <x v="610"/>
    <x v="4"/>
    <x v="3"/>
    <s v="Invoice"/>
    <s v="100001811"/>
    <x v="511"/>
    <x v="448"/>
    <x v="22"/>
    <x v="2"/>
    <n v="4.9974999999999996"/>
  </r>
  <r>
    <s v="DPOPPELL"/>
    <s v="04"/>
    <s v="MIKELOTT"/>
    <s v="HILLSBOROUGH/E"/>
    <x v="610"/>
    <x v="4"/>
    <x v="3"/>
    <s v="Invoice"/>
    <s v="100001812"/>
    <x v="43"/>
    <x v="38"/>
    <x v="22"/>
    <x v="2"/>
    <n v="5"/>
  </r>
  <r>
    <s v="DPOPPELL"/>
    <s v="04"/>
    <s v="M&amp;GFARMS"/>
    <s v="ALLENRD"/>
    <x v="610"/>
    <x v="4"/>
    <x v="3"/>
    <s v="Invoice"/>
    <s v="100001813"/>
    <x v="58"/>
    <x v="51"/>
    <x v="22"/>
    <x v="2"/>
    <n v="14.984999999999999"/>
  </r>
  <r>
    <s v="DPOPPELL"/>
    <s v="04"/>
    <s v="CHARLIEG-LLC"/>
    <s v="DAIRY"/>
    <x v="610"/>
    <x v="4"/>
    <x v="3"/>
    <s v="Invoice"/>
    <s v="100001819"/>
    <x v="67"/>
    <x v="60"/>
    <x v="22"/>
    <x v="2"/>
    <n v="8.5"/>
  </r>
  <r>
    <s v="DPOPPELL"/>
    <s v="04"/>
    <s v="ALONSOFARMS"/>
    <s v="WIMAUMA"/>
    <x v="618"/>
    <x v="4"/>
    <x v="3"/>
    <s v="Invoice"/>
    <s v="100001822"/>
    <x v="110"/>
    <x v="97"/>
    <x v="16"/>
    <x v="0"/>
    <n v="250"/>
  </r>
  <r>
    <s v="DPOPPELL"/>
    <s v="04"/>
    <s v="ALONSOFARMS"/>
    <s v="WIMAUMA"/>
    <x v="618"/>
    <x v="4"/>
    <x v="3"/>
    <s v="Invoice"/>
    <s v="100001822"/>
    <x v="109"/>
    <x v="80"/>
    <x v="2"/>
    <x v="0"/>
    <n v="250"/>
  </r>
  <r>
    <s v="DPOPPELL"/>
    <s v="04"/>
    <s v="ALONSOFARMS"/>
    <s v="WIMAUMA"/>
    <x v="618"/>
    <x v="4"/>
    <x v="3"/>
    <s v="Invoice"/>
    <s v="100001822"/>
    <x v="45"/>
    <x v="37"/>
    <x v="30"/>
    <x v="0"/>
    <n v="250"/>
  </r>
  <r>
    <s v="DPOPPELL"/>
    <s v="04"/>
    <s v="SWEETLIFE"/>
    <s v="KNIGHTS GRIFFIN"/>
    <x v="618"/>
    <x v="4"/>
    <x v="3"/>
    <s v="Invoice"/>
    <s v="100001823"/>
    <x v="67"/>
    <x v="60"/>
    <x v="22"/>
    <x v="2"/>
    <n v="15.0075"/>
  </r>
  <r>
    <s v="DPOPPELL"/>
    <s v="04"/>
    <s v="SWEETFARMS"/>
    <s v="SPRINGHEAD"/>
    <x v="618"/>
    <x v="4"/>
    <x v="3"/>
    <s v="Invoice"/>
    <s v="100001826"/>
    <x v="58"/>
    <x v="51"/>
    <x v="22"/>
    <x v="2"/>
    <n v="2.0024999999999999"/>
  </r>
  <r>
    <s v=""/>
    <s v="04"/>
    <s v="PORTER HA"/>
    <s v="PASTURE"/>
    <x v="618"/>
    <x v="4"/>
    <x v="3"/>
    <s v="Invoice"/>
    <s v="100001827"/>
    <x v="534"/>
    <x v="470"/>
    <x v="22"/>
    <x v="2"/>
    <n v="4.9874999999999998"/>
  </r>
  <r>
    <s v="DPOPPELL"/>
    <s v="04"/>
    <s v="SPIVEYFA"/>
    <s v="HOPEWELL"/>
    <x v="618"/>
    <x v="4"/>
    <x v="3"/>
    <s v="Invoice"/>
    <s v="100001828"/>
    <x v="56"/>
    <x v="49"/>
    <x v="22"/>
    <x v="2"/>
    <n v="3.4975000000000001"/>
  </r>
  <r>
    <s v="DPOPPELL"/>
    <s v="04"/>
    <s v="FANCYFAR"/>
    <s v="CASON1"/>
    <x v="618"/>
    <x v="4"/>
    <x v="3"/>
    <s v="Invoice"/>
    <s v="100001829"/>
    <x v="535"/>
    <x v="471"/>
    <x v="22"/>
    <x v="2"/>
    <n v="15.025"/>
  </r>
  <r>
    <s v="DPOPPELL"/>
    <s v="04"/>
    <s v="SWEETLIFE"/>
    <s v="SWINDLEN"/>
    <x v="611"/>
    <x v="4"/>
    <x v="3"/>
    <s v="Invoice"/>
    <s v="100001832"/>
    <x v="67"/>
    <x v="60"/>
    <x v="22"/>
    <x v="2"/>
    <n v="15"/>
  </r>
  <r>
    <s v="DPOPPELL"/>
    <s v="04"/>
    <s v="GUTIERREZA"/>
    <s v="DUETTE"/>
    <x v="611"/>
    <x v="4"/>
    <x v="3"/>
    <s v="Invoice"/>
    <s v="100001833"/>
    <x v="533"/>
    <x v="469"/>
    <x v="22"/>
    <x v="2"/>
    <n v="15.0525"/>
  </r>
  <r>
    <s v="DPOPPELL"/>
    <s v="04"/>
    <s v="CEDILLO"/>
    <s v="CARUTHERS"/>
    <x v="611"/>
    <x v="4"/>
    <x v="3"/>
    <s v="Invoice"/>
    <s v="100001834"/>
    <x v="43"/>
    <x v="38"/>
    <x v="22"/>
    <x v="2"/>
    <n v="1.5"/>
  </r>
  <r>
    <s v="DPOPPELL"/>
    <s v="04"/>
    <s v="MENDOZAHEC"/>
    <s v="FISHFARM"/>
    <x v="611"/>
    <x v="4"/>
    <x v="3"/>
    <s v="Invoice"/>
    <s v="100001837"/>
    <x v="43"/>
    <x v="38"/>
    <x v="22"/>
    <x v="2"/>
    <n v="2.5"/>
  </r>
  <r>
    <s v=""/>
    <s v="04"/>
    <s v="ALVAREZJ"/>
    <s v="MOORESLAKE"/>
    <x v="611"/>
    <x v="4"/>
    <x v="3"/>
    <s v="Invoice"/>
    <s v="100001838"/>
    <x v="105"/>
    <x v="97"/>
    <x v="16"/>
    <x v="0"/>
    <n v="30"/>
  </r>
  <r>
    <s v=""/>
    <s v="04"/>
    <s v="ALVAREZJ"/>
    <s v="MOORESLAKE"/>
    <x v="611"/>
    <x v="4"/>
    <x v="3"/>
    <s v="Invoice"/>
    <s v="100001838"/>
    <x v="16"/>
    <x v="80"/>
    <x v="2"/>
    <x v="0"/>
    <n v="30"/>
  </r>
  <r>
    <s v="DPOPPELL"/>
    <s v="04"/>
    <s v="MENDOZAHEC"/>
    <s v="FARKAS"/>
    <x v="611"/>
    <x v="4"/>
    <x v="3"/>
    <s v="Invoice"/>
    <s v="100001839"/>
    <x v="69"/>
    <x v="62"/>
    <x v="22"/>
    <x v="2"/>
    <n v="9.75"/>
  </r>
  <r>
    <s v="DPOPPELL"/>
    <s v="04"/>
    <s v="SWEETLIFE"/>
    <s v="FOSTERDUKES"/>
    <x v="611"/>
    <x v="4"/>
    <x v="3"/>
    <s v="Invoice"/>
    <s v="100001842"/>
    <x v="67"/>
    <x v="60"/>
    <x v="22"/>
    <x v="2"/>
    <n v="14.01"/>
  </r>
  <r>
    <s v="DPOPPELL"/>
    <s v="04"/>
    <s v="CHAVEZJOR"/>
    <s v="JOSE' CHAV- COD"/>
    <x v="611"/>
    <x v="4"/>
    <x v="3"/>
    <s v="Invoice"/>
    <s v="100001845"/>
    <x v="53"/>
    <x v="46"/>
    <x v="22"/>
    <x v="2"/>
    <n v="0.15"/>
  </r>
  <r>
    <s v="DPOPPELL"/>
    <s v="04"/>
    <s v="CIRCLEGF&amp;R LLC"/>
    <s v="KNIGHTS-N-#16"/>
    <x v="611"/>
    <x v="4"/>
    <x v="3"/>
    <s v="Invoice"/>
    <s v="100001846"/>
    <x v="67"/>
    <x v="60"/>
    <x v="22"/>
    <x v="2"/>
    <n v="12.035"/>
  </r>
  <r>
    <s v="DPOPPELL"/>
    <s v="04"/>
    <s v="CIRCLEGF&amp;R LLC"/>
    <s v="KNIGHTS-N-#12"/>
    <x v="612"/>
    <x v="4"/>
    <x v="3"/>
    <s v="Invoice"/>
    <s v="100001847"/>
    <x v="67"/>
    <x v="60"/>
    <x v="22"/>
    <x v="2"/>
    <n v="14.037000000000001"/>
  </r>
  <r>
    <s v="DPOPPELL"/>
    <s v="04"/>
    <s v="CIRCLEGF&amp;R LLC"/>
    <s v="PUMP4"/>
    <x v="612"/>
    <x v="4"/>
    <x v="3"/>
    <s v="Invoice"/>
    <s v="100001848"/>
    <x v="67"/>
    <x v="60"/>
    <x v="22"/>
    <x v="2"/>
    <n v="15.04"/>
  </r>
  <r>
    <s v="DPOPPELL"/>
    <s v="04"/>
    <s v="STRAWBERRYR"/>
    <s v="RANCH 2"/>
    <x v="612"/>
    <x v="4"/>
    <x v="3"/>
    <s v="Invoice"/>
    <s v="100001849"/>
    <x v="205"/>
    <x v="181"/>
    <x v="22"/>
    <x v="2"/>
    <n v="15.025"/>
  </r>
  <r>
    <s v="DPOPPELL"/>
    <s v="04"/>
    <s v="MIKELOTT"/>
    <s v="HILLSBOROUGH"/>
    <x v="612"/>
    <x v="4"/>
    <x v="3"/>
    <s v="Invoice"/>
    <s v="100001852"/>
    <x v="43"/>
    <x v="38"/>
    <x v="22"/>
    <x v="2"/>
    <n v="5.0175000000000001"/>
  </r>
  <r>
    <s v="DPOPPELL"/>
    <s v="04"/>
    <s v="ALVAREZJ"/>
    <s v="ROGERS"/>
    <x v="612"/>
    <x v="4"/>
    <x v="3"/>
    <s v="Invoice"/>
    <s v="100001853"/>
    <x v="58"/>
    <x v="51"/>
    <x v="22"/>
    <x v="2"/>
    <n v="2.0125000000000002"/>
  </r>
  <r>
    <s v="DPOPPELL"/>
    <s v="04"/>
    <s v="TWINFARMS"/>
    <s v="DAD WELDON RD"/>
    <x v="612"/>
    <x v="4"/>
    <x v="3"/>
    <s v="Invoice"/>
    <s v="100001854"/>
    <x v="58"/>
    <x v="51"/>
    <x v="22"/>
    <x v="2"/>
    <n v="1.0149999999999999"/>
  </r>
  <r>
    <s v="DPOPPELL"/>
    <s v="04"/>
    <s v="GUTIERREZDAN"/>
    <s v="TANNER RD."/>
    <x v="612"/>
    <x v="4"/>
    <x v="3"/>
    <s v="Invoice"/>
    <s v="100001856"/>
    <x v="58"/>
    <x v="51"/>
    <x v="22"/>
    <x v="2"/>
    <n v="7.0125000000000002"/>
  </r>
  <r>
    <s v="DPOPPELL"/>
    <s v="04"/>
    <s v="EWSIMMON"/>
    <s v="MUD LAKE/W.SIDE"/>
    <x v="612"/>
    <x v="4"/>
    <x v="3"/>
    <s v="Invoice"/>
    <s v="100001857"/>
    <x v="357"/>
    <x v="317"/>
    <x v="25"/>
    <x v="0"/>
    <n v="1.875"/>
  </r>
  <r>
    <s v="DPOPPELL"/>
    <s v="04"/>
    <s v="EWSIMMON"/>
    <s v="MUD LAKE/W.SIDE"/>
    <x v="612"/>
    <x v="4"/>
    <x v="3"/>
    <s v="Invoice"/>
    <s v="100001857"/>
    <x v="521"/>
    <x v="458"/>
    <x v="22"/>
    <x v="2"/>
    <n v="5.0125000000000002"/>
  </r>
  <r>
    <s v="DPOPPELL"/>
    <s v="04"/>
    <s v="MIDWAYF"/>
    <s v="KNIGHTSGRIFFIN"/>
    <x v="612"/>
    <x v="4"/>
    <x v="3"/>
    <s v="Invoice"/>
    <s v="100001858"/>
    <x v="67"/>
    <x v="60"/>
    <x v="22"/>
    <x v="2"/>
    <n v="10.51"/>
  </r>
  <r>
    <s v="DPOPPELL"/>
    <s v="04"/>
    <s v="EWSIMMON"/>
    <s v="MUD LAKE/W.SIDE"/>
    <x v="612"/>
    <x v="4"/>
    <x v="3"/>
    <s v="Invoice"/>
    <s v="100001859"/>
    <x v="357"/>
    <x v="317"/>
    <x v="25"/>
    <x v="0"/>
    <n v="0.9375"/>
  </r>
  <r>
    <s v="DPOPPELL"/>
    <s v="04"/>
    <s v="EWSIMMON"/>
    <s v="MUD LAKE/W.SIDE"/>
    <x v="612"/>
    <x v="4"/>
    <x v="3"/>
    <s v="Invoice"/>
    <s v="100001859"/>
    <x v="521"/>
    <x v="458"/>
    <x v="22"/>
    <x v="2"/>
    <n v="2.5274999999999999"/>
  </r>
  <r>
    <s v="DPOPPELL"/>
    <s v="04"/>
    <s v="FORTGREENFARMS"/>
    <s v="FTGREEN"/>
    <x v="619"/>
    <x v="4"/>
    <x v="3"/>
    <s v="Invoice"/>
    <s v="100001863"/>
    <x v="58"/>
    <x v="51"/>
    <x v="22"/>
    <x v="2"/>
    <n v="12.5275"/>
  </r>
  <r>
    <s v="DPOPPELL"/>
    <s v="04"/>
    <s v="CJABBOTT"/>
    <s v="JOHNGILL"/>
    <x v="619"/>
    <x v="4"/>
    <x v="3"/>
    <s v="Invoice"/>
    <s v="100001864"/>
    <x v="58"/>
    <x v="51"/>
    <x v="22"/>
    <x v="2"/>
    <n v="2.5024999999999999"/>
  </r>
  <r>
    <s v="DPOPPELL"/>
    <s v="04"/>
    <s v="MIDWAYF"/>
    <s v="SAMALLEN"/>
    <x v="619"/>
    <x v="4"/>
    <x v="3"/>
    <s v="Invoice"/>
    <s v="100001866"/>
    <x v="67"/>
    <x v="60"/>
    <x v="22"/>
    <x v="2"/>
    <n v="9.75"/>
  </r>
  <r>
    <s v="DPOPPELL"/>
    <s v="04"/>
    <s v="DURGAFARMS"/>
    <s v="SOUTHTANK"/>
    <x v="619"/>
    <x v="4"/>
    <x v="3"/>
    <s v="Invoice"/>
    <s v="100001867"/>
    <x v="27"/>
    <x v="22"/>
    <x v="22"/>
    <x v="2"/>
    <n v="5.0049999999999999"/>
  </r>
  <r>
    <s v="DPOPPELL"/>
    <s v="04"/>
    <s v="JOSEHERN"/>
    <s v="SPARKMAN"/>
    <x v="619"/>
    <x v="4"/>
    <x v="3"/>
    <s v="Invoice"/>
    <s v="100001868"/>
    <x v="58"/>
    <x v="51"/>
    <x v="22"/>
    <x v="2"/>
    <n v="10.015000000000001"/>
  </r>
  <r>
    <s v="DPOPPELL"/>
    <s v="04"/>
    <s v="FRANKLIN"/>
    <s v="FRANKLIN FARM"/>
    <x v="619"/>
    <x v="4"/>
    <x v="3"/>
    <s v="Invoice"/>
    <s v="100001870"/>
    <x v="43"/>
    <x v="38"/>
    <x v="22"/>
    <x v="2"/>
    <n v="10.02"/>
  </r>
  <r>
    <s v="DPOPPELL"/>
    <s v="04"/>
    <s v="SWEETLIFE"/>
    <s v="KNIGHTS GRIFFIN"/>
    <x v="620"/>
    <x v="4"/>
    <x v="3"/>
    <s v="Invoice"/>
    <s v="100001875"/>
    <x v="67"/>
    <x v="60"/>
    <x v="22"/>
    <x v="2"/>
    <n v="15.035"/>
  </r>
  <r>
    <s v="DPOPPELL"/>
    <s v="04"/>
    <s v="ALONSOFARMS"/>
    <s v="WIMAUMA"/>
    <x v="620"/>
    <x v="4"/>
    <x v="3"/>
    <s v="Invoice"/>
    <s v="100001876"/>
    <x v="50"/>
    <x v="43"/>
    <x v="22"/>
    <x v="2"/>
    <n v="10.0275"/>
  </r>
  <r>
    <s v="DPOPPELL"/>
    <s v="04"/>
    <s v="SYDNEYFA"/>
    <s v="FORBES ROAD"/>
    <x v="620"/>
    <x v="4"/>
    <x v="3"/>
    <s v="Invoice"/>
    <s v="100001877"/>
    <x v="50"/>
    <x v="43"/>
    <x v="22"/>
    <x v="2"/>
    <n v="5.01"/>
  </r>
  <r>
    <s v="DPOPPELL"/>
    <s v="04"/>
    <s v="FANCYFAR"/>
    <s v="CASON1"/>
    <x v="620"/>
    <x v="4"/>
    <x v="3"/>
    <s v="Invoice"/>
    <s v="100001878"/>
    <x v="536"/>
    <x v="472"/>
    <x v="22"/>
    <x v="2"/>
    <n v="2.4750000000000001"/>
  </r>
  <r>
    <s v="DPOPPELL"/>
    <s v="04"/>
    <s v="SWEETFARMS"/>
    <s v="JIMJOHNSON"/>
    <x v="620"/>
    <x v="4"/>
    <x v="3"/>
    <s v="Invoice"/>
    <s v="100001879"/>
    <x v="58"/>
    <x v="51"/>
    <x v="22"/>
    <x v="2"/>
    <n v="2.0024999999999999"/>
  </r>
  <r>
    <s v="DPOPPELL"/>
    <s v="04"/>
    <s v="EWSIMMON"/>
    <s v="JERRY SMITH RD"/>
    <x v="620"/>
    <x v="4"/>
    <x v="3"/>
    <s v="Invoice"/>
    <s v="100001881"/>
    <x v="357"/>
    <x v="317"/>
    <x v="25"/>
    <x v="0"/>
    <n v="1.875"/>
  </r>
  <r>
    <s v="DPOPPELL"/>
    <s v="04"/>
    <s v="EWSIMMON"/>
    <s v="JERRY SMITH RD"/>
    <x v="620"/>
    <x v="4"/>
    <x v="3"/>
    <s v="Invoice"/>
    <s v="100001881"/>
    <x v="521"/>
    <x v="458"/>
    <x v="22"/>
    <x v="2"/>
    <n v="5.0149999999999997"/>
  </r>
  <r>
    <s v="DPOPPELL"/>
    <s v="04"/>
    <s v="SRISAIAY"/>
    <s v="PASTURE"/>
    <x v="604"/>
    <x v="4"/>
    <x v="3"/>
    <s v="Invoice"/>
    <s v="100001882"/>
    <x v="27"/>
    <x v="22"/>
    <x v="22"/>
    <x v="2"/>
    <n v="5.0225"/>
  </r>
  <r>
    <s v="DPOPPELL"/>
    <s v="04"/>
    <s v="CHBERRY"/>
    <s v="BOBCAT"/>
    <x v="620"/>
    <x v="4"/>
    <x v="3"/>
    <s v="Invoice"/>
    <s v="100001883"/>
    <x v="58"/>
    <x v="51"/>
    <x v="22"/>
    <x v="2"/>
    <n v="3.0125000000000002"/>
  </r>
  <r>
    <s v="DPOPPELL"/>
    <s v="04"/>
    <s v="THREESTA"/>
    <s v="WALDEN-SHEFFIEL"/>
    <x v="604"/>
    <x v="4"/>
    <x v="3"/>
    <s v="Invoice"/>
    <s v="100001885"/>
    <x v="50"/>
    <x v="43"/>
    <x v="22"/>
    <x v="2"/>
    <n v="12.022500000000001"/>
  </r>
  <r>
    <s v="DPOPPELL"/>
    <s v="04"/>
    <s v="FCFARMS"/>
    <s v="GALLAGHER"/>
    <x v="604"/>
    <x v="4"/>
    <x v="3"/>
    <s v="Invoice"/>
    <s v="100001894"/>
    <x v="69"/>
    <x v="62"/>
    <x v="22"/>
    <x v="2"/>
    <n v="2.5350000000000001"/>
  </r>
  <r>
    <s v="DPOPPELL"/>
    <s v="04"/>
    <s v="JOEPENA"/>
    <s v="HWY 92"/>
    <x v="604"/>
    <x v="4"/>
    <x v="3"/>
    <s v="Invoice"/>
    <s v="100001896"/>
    <x v="114"/>
    <x v="101"/>
    <x v="22"/>
    <x v="2"/>
    <n v="1"/>
  </r>
  <r>
    <s v="DPOPPELL"/>
    <s v="04"/>
    <s v="M&amp;GFARMS"/>
    <s v="ONA"/>
    <x v="604"/>
    <x v="4"/>
    <x v="3"/>
    <s v="Invoice"/>
    <s v="100001897"/>
    <x v="58"/>
    <x v="51"/>
    <x v="22"/>
    <x v="2"/>
    <n v="15.047499999999999"/>
  </r>
  <r>
    <s v="DPOPPELL"/>
    <s v="04"/>
    <s v="BEAUCHAMP"/>
    <s v="HAGGERTY-NORTH"/>
    <x v="604"/>
    <x v="4"/>
    <x v="3"/>
    <s v="Invoice"/>
    <s v="100001898"/>
    <x v="50"/>
    <x v="43"/>
    <x v="22"/>
    <x v="2"/>
    <n v="4.51"/>
  </r>
  <r>
    <s v="DPOPPELL"/>
    <s v="04"/>
    <s v="CHARLIEG-LLC"/>
    <s v="ALBRITTON"/>
    <x v="604"/>
    <x v="4"/>
    <x v="3"/>
    <s v="Invoice"/>
    <s v="100001899"/>
    <x v="67"/>
    <x v="60"/>
    <x v="22"/>
    <x v="2"/>
    <n v="10.012499999999999"/>
  </r>
  <r>
    <s v="DPOPPELL"/>
    <s v="04"/>
    <s v="PIGEONCOVE"/>
    <s v="MAIN"/>
    <x v="604"/>
    <x v="4"/>
    <x v="3"/>
    <s v="Invoice"/>
    <s v="100001901"/>
    <x v="50"/>
    <x v="43"/>
    <x v="22"/>
    <x v="2"/>
    <n v="2.0225"/>
  </r>
  <r>
    <s v="DPOPPELL"/>
    <s v="04"/>
    <s v="EWSIMMON"/>
    <s v="TURKEY CRK"/>
    <x v="604"/>
    <x v="4"/>
    <x v="3"/>
    <s v="Invoice"/>
    <s v="100001902"/>
    <x v="357"/>
    <x v="317"/>
    <x v="25"/>
    <x v="0"/>
    <n v="1.875"/>
  </r>
  <r>
    <s v="DPOPPELL"/>
    <s v="04"/>
    <s v="EWSIMMON"/>
    <s v="TURKEY CRK"/>
    <x v="604"/>
    <x v="4"/>
    <x v="3"/>
    <s v="Invoice"/>
    <s v="100001902"/>
    <x v="521"/>
    <x v="458"/>
    <x v="22"/>
    <x v="2"/>
    <n v="5.0199999999999996"/>
  </r>
  <r>
    <s v="DPOPPELL"/>
    <s v="04"/>
    <s v="MIDWAYF"/>
    <s v="NURSERY"/>
    <x v="604"/>
    <x v="4"/>
    <x v="3"/>
    <s v="Invoice"/>
    <s v="100001903"/>
    <x v="67"/>
    <x v="60"/>
    <x v="22"/>
    <x v="2"/>
    <n v="7.0250000000000004"/>
  </r>
  <r>
    <s v="DPOPPELL"/>
    <s v="04"/>
    <s v="MIDWAYF"/>
    <s v="WILDER RD."/>
    <x v="621"/>
    <x v="4"/>
    <x v="3"/>
    <s v="Invoice"/>
    <s v="100001904"/>
    <x v="67"/>
    <x v="60"/>
    <x v="22"/>
    <x v="2"/>
    <n v="2.5024999999999999"/>
  </r>
  <r>
    <s v="DPOPPELL"/>
    <s v="04"/>
    <s v="MIDWAYF"/>
    <s v="FUTCH"/>
    <x v="621"/>
    <x v="4"/>
    <x v="3"/>
    <s v="Invoice"/>
    <s v="100001914"/>
    <x v="67"/>
    <x v="60"/>
    <x v="22"/>
    <x v="2"/>
    <n v="10.0025"/>
  </r>
  <r>
    <s v="DPOPPELL"/>
    <s v="04"/>
    <s v="SYDNEYFA"/>
    <s v="SYDNEY-WASHER"/>
    <x v="621"/>
    <x v="4"/>
    <x v="3"/>
    <s v="Invoice"/>
    <s v="100001915"/>
    <x v="50"/>
    <x v="43"/>
    <x v="22"/>
    <x v="2"/>
    <n v="5.01"/>
  </r>
  <r>
    <s v="DPOPPELL"/>
    <s v="04"/>
    <s v="SYDNEYFA"/>
    <s v="FORBES/NORTH"/>
    <x v="621"/>
    <x v="4"/>
    <x v="3"/>
    <s v="Invoice"/>
    <s v="100001918"/>
    <x v="50"/>
    <x v="43"/>
    <x v="22"/>
    <x v="2"/>
    <n v="5.0049999999999999"/>
  </r>
  <r>
    <s v="DPOPPELL"/>
    <s v="04"/>
    <s v="SANCHEZFARM"/>
    <s v="FORBES-N"/>
    <x v="621"/>
    <x v="4"/>
    <x v="3"/>
    <s v="Invoice"/>
    <s v="100001919"/>
    <x v="67"/>
    <x v="60"/>
    <x v="22"/>
    <x v="2"/>
    <n v="10.52"/>
  </r>
  <r>
    <s v="DPOPPELL"/>
    <s v="04"/>
    <s v="SYDNEYFA"/>
    <s v="SYDNEY-WASHER"/>
    <x v="612"/>
    <x v="4"/>
    <x v="3"/>
    <s v="Invoice"/>
    <s v="100001924"/>
    <x v="58"/>
    <x v="51"/>
    <x v="22"/>
    <x v="2"/>
    <n v="2.5"/>
  </r>
  <r>
    <s v="DPOPPELL"/>
    <s v="04"/>
    <s v="CHARLIEG-LLC"/>
    <s v="DAIRY"/>
    <x v="605"/>
    <x v="4"/>
    <x v="3"/>
    <s v="Invoice"/>
    <s v="100001926"/>
    <x v="67"/>
    <x v="60"/>
    <x v="22"/>
    <x v="2"/>
    <n v="7.49"/>
  </r>
  <r>
    <s v="DPOPPELL"/>
    <s v="04"/>
    <s v="GAONA, ESPER"/>
    <s v="WILLIAMSRD"/>
    <x v="605"/>
    <x v="4"/>
    <x v="3"/>
    <s v="Invoice"/>
    <s v="100001927"/>
    <x v="28"/>
    <x v="23"/>
    <x v="22"/>
    <x v="2"/>
    <n v="2.5225"/>
  </r>
  <r>
    <s v="DPOPPELL"/>
    <s v="04"/>
    <s v="FRANKLIN"/>
    <s v="MCGEE RD. NORTH"/>
    <x v="605"/>
    <x v="4"/>
    <x v="3"/>
    <s v="Invoice"/>
    <s v="100001928"/>
    <x v="28"/>
    <x v="23"/>
    <x v="22"/>
    <x v="2"/>
    <n v="9"/>
  </r>
  <r>
    <s v="DPOPPELL"/>
    <s v="04"/>
    <s v="MENDOZAHEC"/>
    <s v="JAUDON RD"/>
    <x v="605"/>
    <x v="4"/>
    <x v="3"/>
    <s v="Invoice"/>
    <s v="100001929"/>
    <x v="69"/>
    <x v="62"/>
    <x v="22"/>
    <x v="2"/>
    <n v="7"/>
  </r>
  <r>
    <s v="DPOPPELL"/>
    <s v="04"/>
    <s v="GUTIERREZDAN"/>
    <s v="PEPPERFIELD"/>
    <x v="605"/>
    <x v="4"/>
    <x v="3"/>
    <s v="Invoice"/>
    <s v="100001930"/>
    <x v="58"/>
    <x v="51"/>
    <x v="22"/>
    <x v="2"/>
    <n v="2.4874999999999998"/>
  </r>
  <r>
    <s v=""/>
    <s v="04"/>
    <s v="BROWNIVANHOE"/>
    <s v="MAIN"/>
    <x v="605"/>
    <x v="4"/>
    <x v="3"/>
    <s v="Invoice"/>
    <s v="100001934"/>
    <x v="309"/>
    <x v="273"/>
    <x v="20"/>
    <x v="1"/>
    <n v="1250"/>
  </r>
  <r>
    <s v="DPOPPELL"/>
    <s v="04"/>
    <s v="MIDWAYF"/>
    <s v="WILDER RD."/>
    <x v="605"/>
    <x v="4"/>
    <x v="3"/>
    <s v="Invoice"/>
    <s v="100001935"/>
    <x v="67"/>
    <x v="60"/>
    <x v="22"/>
    <x v="2"/>
    <n v="0.99250000000000005"/>
  </r>
  <r>
    <s v="DPOPPELL"/>
    <s v="04"/>
    <s v="CHAVEZJOR"/>
    <s v="JOSE' CHAV- COD"/>
    <x v="605"/>
    <x v="4"/>
    <x v="3"/>
    <s v="Invoice"/>
    <s v="100001937"/>
    <x v="53"/>
    <x v="46"/>
    <x v="22"/>
    <x v="2"/>
    <n v="0.15"/>
  </r>
  <r>
    <s v="DPOPPELL"/>
    <s v="04"/>
    <s v="DURGAFARMS"/>
    <s v="SOUTHTANK"/>
    <x v="605"/>
    <x v="4"/>
    <x v="3"/>
    <s v="Invoice"/>
    <s v="100001942"/>
    <x v="27"/>
    <x v="22"/>
    <x v="22"/>
    <x v="2"/>
    <n v="10.0175"/>
  </r>
  <r>
    <s v="DPOPPELL"/>
    <s v="04"/>
    <s v="SRISAIAY"/>
    <s v="SYDNEY DOVER"/>
    <x v="605"/>
    <x v="4"/>
    <x v="3"/>
    <s v="Invoice"/>
    <s v="100001943"/>
    <x v="27"/>
    <x v="22"/>
    <x v="22"/>
    <x v="2"/>
    <n v="5.0025000000000004"/>
  </r>
  <r>
    <s v="DPOPPELL"/>
    <s v="04"/>
    <s v="IFASGULF"/>
    <s v="BALM-STRAWBERRY"/>
    <x v="613"/>
    <x v="4"/>
    <x v="3"/>
    <s v="Invoice"/>
    <s v="100001944"/>
    <x v="28"/>
    <x v="23"/>
    <x v="22"/>
    <x v="2"/>
    <n v="7.5"/>
  </r>
  <r>
    <s v="DPOPPELL"/>
    <s v="04"/>
    <s v="SOUTHERNHILL"/>
    <s v="SCHOFIELD"/>
    <x v="613"/>
    <x v="4"/>
    <x v="3"/>
    <s v="Invoice"/>
    <s v="100001945"/>
    <x v="43"/>
    <x v="38"/>
    <x v="22"/>
    <x v="2"/>
    <n v="3.7650000000000001"/>
  </r>
  <r>
    <s v="DPOPPELL"/>
    <s v="04"/>
    <s v="ROBBIETO"/>
    <s v="THONOTOSASSA"/>
    <x v="613"/>
    <x v="4"/>
    <x v="3"/>
    <s v="Invoice"/>
    <s v="100001948"/>
    <x v="138"/>
    <x v="94"/>
    <x v="41"/>
    <x v="0"/>
    <n v="15"/>
  </r>
  <r>
    <s v="DPOPPELL"/>
    <s v="04"/>
    <s v="PARKESDA"/>
    <s v="BILOXI"/>
    <x v="613"/>
    <x v="4"/>
    <x v="3"/>
    <s v="Invoice"/>
    <s v="100001950"/>
    <x v="65"/>
    <x v="58"/>
    <x v="22"/>
    <x v="2"/>
    <n v="7.5175000000000001"/>
  </r>
  <r>
    <s v="DPOPPELL"/>
    <s v="04"/>
    <s v="FERRISFA"/>
    <s v="STRABERRIES"/>
    <x v="613"/>
    <x v="4"/>
    <x v="3"/>
    <s v="Invoice"/>
    <s v="100001951"/>
    <x v="154"/>
    <x v="136"/>
    <x v="22"/>
    <x v="2"/>
    <n v="15.035"/>
  </r>
  <r>
    <s v="DPOPPELL"/>
    <s v="04"/>
    <s v="PARKESDA"/>
    <s v="HILL"/>
    <x v="613"/>
    <x v="4"/>
    <x v="3"/>
    <s v="Invoice"/>
    <s v="100001952"/>
    <x v="65"/>
    <x v="58"/>
    <x v="22"/>
    <x v="2"/>
    <n v="10.0075"/>
  </r>
  <r>
    <s v="DPOPPELL"/>
    <s v="04"/>
    <s v="CJABBOTT"/>
    <s v="JOHNGILL"/>
    <x v="622"/>
    <x v="4"/>
    <x v="3"/>
    <s v="Invoice"/>
    <s v="100001953"/>
    <x v="58"/>
    <x v="51"/>
    <x v="22"/>
    <x v="2"/>
    <n v="2.5024999999999999"/>
  </r>
  <r>
    <s v="DPOPPELL"/>
    <s v="04"/>
    <s v="FORTGREENFARMS"/>
    <s v="FTGREEN"/>
    <x v="622"/>
    <x v="4"/>
    <x v="3"/>
    <s v="Invoice"/>
    <s v="100001954"/>
    <x v="58"/>
    <x v="51"/>
    <x v="22"/>
    <x v="2"/>
    <n v="12.515000000000001"/>
  </r>
  <r>
    <s v="DPOPPELL"/>
    <s v="04"/>
    <s v="MENDOZAHEC"/>
    <s v="KNIGHTSGRIFFIN"/>
    <x v="622"/>
    <x v="4"/>
    <x v="3"/>
    <s v="Invoice"/>
    <s v="100001956"/>
    <x v="69"/>
    <x v="62"/>
    <x v="22"/>
    <x v="2"/>
    <n v="2.5074999999999998"/>
  </r>
  <r>
    <s v="DPOPPELL"/>
    <s v="04"/>
    <s v="MIDWAYF"/>
    <s v="KNIGHTSGRIFFIN"/>
    <x v="622"/>
    <x v="4"/>
    <x v="3"/>
    <s v="Invoice"/>
    <s v="100001957"/>
    <x v="67"/>
    <x v="60"/>
    <x v="22"/>
    <x v="2"/>
    <n v="7.5225"/>
  </r>
  <r>
    <s v="DPOPPELL"/>
    <s v="04"/>
    <s v="ROQUEFARMS"/>
    <s v="SWEETWATER"/>
    <x v="614"/>
    <x v="4"/>
    <x v="3"/>
    <s v="Invoice"/>
    <s v="100001961"/>
    <x v="110"/>
    <x v="97"/>
    <x v="16"/>
    <x v="0"/>
    <n v="250"/>
  </r>
  <r>
    <s v="DPOPPELL"/>
    <s v="04"/>
    <s v="ROQUEFARMS"/>
    <s v="SWEETWATER"/>
    <x v="614"/>
    <x v="4"/>
    <x v="3"/>
    <s v="Invoice"/>
    <s v="100001961"/>
    <x v="109"/>
    <x v="80"/>
    <x v="2"/>
    <x v="0"/>
    <n v="118"/>
  </r>
  <r>
    <s v="DPOPPELL"/>
    <s v="04"/>
    <s v="EWSIMMON"/>
    <s v="JERRYSMITH/SO"/>
    <x v="614"/>
    <x v="4"/>
    <x v="3"/>
    <s v="Invoice"/>
    <s v="100001970"/>
    <x v="357"/>
    <x v="317"/>
    <x v="25"/>
    <x v="0"/>
    <n v="1.875"/>
  </r>
  <r>
    <s v="DPOPPELL"/>
    <s v="04"/>
    <s v="EWSIMMON"/>
    <s v="JERRYSMITH/SO"/>
    <x v="614"/>
    <x v="4"/>
    <x v="3"/>
    <s v="Invoice"/>
    <s v="100001970"/>
    <x v="521"/>
    <x v="458"/>
    <x v="22"/>
    <x v="2"/>
    <n v="5.01"/>
  </r>
  <r>
    <s v="DPOPPELL"/>
    <s v="04"/>
    <s v="GUTIERREZA"/>
    <s v="DUETTE"/>
    <x v="614"/>
    <x v="4"/>
    <x v="3"/>
    <s v="Invoice"/>
    <s v="100001971"/>
    <x v="58"/>
    <x v="51"/>
    <x v="22"/>
    <x v="2"/>
    <n v="10.012499999999999"/>
  </r>
  <r>
    <s v="DPOPPELL"/>
    <s v="04"/>
    <s v="FANCYFAR"/>
    <s v="THE HILL"/>
    <x v="614"/>
    <x v="4"/>
    <x v="3"/>
    <s v="Invoice"/>
    <s v="100001972"/>
    <x v="50"/>
    <x v="43"/>
    <x v="22"/>
    <x v="2"/>
    <n v="2.5"/>
  </r>
  <r>
    <s v="DPOPPELL"/>
    <s v="04"/>
    <s v="MENDOZAHEC"/>
    <s v="FARKAS"/>
    <x v="614"/>
    <x v="4"/>
    <x v="3"/>
    <s v="Invoice"/>
    <s v="100001973"/>
    <x v="69"/>
    <x v="62"/>
    <x v="22"/>
    <x v="2"/>
    <n v="8.5225000000000009"/>
  </r>
  <r>
    <s v="DPOPPELL"/>
    <s v="04"/>
    <s v="ROQUEFARMS"/>
    <s v="SWEETWATER"/>
    <x v="614"/>
    <x v="4"/>
    <x v="3"/>
    <s v="Invoice"/>
    <s v="100001974"/>
    <x v="43"/>
    <x v="38"/>
    <x v="22"/>
    <x v="2"/>
    <n v="6"/>
  </r>
  <r>
    <s v="DPOPPELL"/>
    <s v="04"/>
    <s v="BEAUCHAMP"/>
    <s v="GALLAGHER"/>
    <x v="614"/>
    <x v="4"/>
    <x v="3"/>
    <s v="Invoice"/>
    <s v="100001975"/>
    <x v="50"/>
    <x v="43"/>
    <x v="22"/>
    <x v="2"/>
    <n v="4.0075000000000003"/>
  </r>
  <r>
    <s v="DPOPPELL"/>
    <s v="04"/>
    <s v="M&amp;GFARMS"/>
    <s v="COUNTY LINE RD"/>
    <x v="614"/>
    <x v="4"/>
    <x v="3"/>
    <s v="Invoice"/>
    <s v="100001977"/>
    <x v="58"/>
    <x v="51"/>
    <x v="22"/>
    <x v="2"/>
    <n v="15.0425"/>
  </r>
  <r>
    <s v="HOUSE"/>
    <s v="05"/>
    <s v="CPSBOYNTON"/>
    <s v="BOYNTON BCH"/>
    <x v="615"/>
    <x v="4"/>
    <x v="3"/>
    <s v="Invoice"/>
    <s v="100001669A"/>
    <x v="101"/>
    <x v="21"/>
    <x v="21"/>
    <x v="0"/>
    <n v="180"/>
  </r>
  <r>
    <s v="HOUSE"/>
    <s v="05"/>
    <s v="CPSHOMES"/>
    <s v="HOMESTEAD"/>
    <x v="609"/>
    <x v="4"/>
    <x v="3"/>
    <s v="Invoice"/>
    <s v="100001792"/>
    <x v="156"/>
    <x v="138"/>
    <x v="53"/>
    <x v="0"/>
    <n v="180"/>
  </r>
  <r>
    <s v="HOUSE"/>
    <s v="05"/>
    <s v="CPSHOMES"/>
    <s v="HOMESTEAD"/>
    <x v="609"/>
    <x v="4"/>
    <x v="3"/>
    <s v="Invoice"/>
    <s v="100001792"/>
    <x v="427"/>
    <x v="128"/>
    <x v="29"/>
    <x v="0"/>
    <n v="240"/>
  </r>
  <r>
    <s v="HOUSE"/>
    <s v="05"/>
    <s v="NATURALEARTH"/>
    <s v="OVIEDO"/>
    <x v="611"/>
    <x v="4"/>
    <x v="3"/>
    <s v="Invoice"/>
    <s v="100001836"/>
    <x v="8"/>
    <x v="67"/>
    <x v="7"/>
    <x v="0"/>
    <n v="50"/>
  </r>
  <r>
    <s v="HOUSE"/>
    <s v="05"/>
    <s v="SOUTHEASTTURF"/>
    <s v="SHELLPOINT"/>
    <x v="619"/>
    <x v="4"/>
    <x v="3"/>
    <s v="Invoice"/>
    <s v="100001861"/>
    <x v="537"/>
    <x v="473"/>
    <x v="80"/>
    <x v="0"/>
    <n v="250"/>
  </r>
  <r>
    <s v="HOUSE"/>
    <s v="05"/>
    <s v="SOUTHERN"/>
    <s v="SOUTHERN AG"/>
    <x v="605"/>
    <x v="4"/>
    <x v="3"/>
    <s v="Invoice"/>
    <s v="100001932"/>
    <x v="101"/>
    <x v="21"/>
    <x v="21"/>
    <x v="0"/>
    <n v="60"/>
  </r>
  <r>
    <s v="HOUSE"/>
    <s v="05"/>
    <s v="SOUTHERN"/>
    <s v="SOUTHERN AG"/>
    <x v="605"/>
    <x v="4"/>
    <x v="3"/>
    <s v="Invoice"/>
    <s v="100001932"/>
    <x v="22"/>
    <x v="69"/>
    <x v="17"/>
    <x v="0"/>
    <n v="180"/>
  </r>
  <r>
    <s v="HOUSE"/>
    <s v="05"/>
    <s v="SOUTHERN"/>
    <s v="SOUTHERN AG"/>
    <x v="605"/>
    <x v="4"/>
    <x v="3"/>
    <s v="Invoice"/>
    <s v="100001932"/>
    <x v="237"/>
    <x v="75"/>
    <x v="26"/>
    <x v="0"/>
    <n v="180"/>
  </r>
  <r>
    <s v="HOUSE"/>
    <s v="05"/>
    <s v="SOUTHERN"/>
    <s v="SOUTHERN AG"/>
    <x v="605"/>
    <x v="4"/>
    <x v="3"/>
    <s v="Invoice"/>
    <s v="100001932"/>
    <x v="48"/>
    <x v="33"/>
    <x v="28"/>
    <x v="0"/>
    <n v="60"/>
  </r>
  <r>
    <s v="HOUSE"/>
    <s v="05"/>
    <s v="SOUTHEASTTURF"/>
    <s v="SHELLPOINT"/>
    <x v="614"/>
    <x v="4"/>
    <x v="3"/>
    <s v="Invoice"/>
    <s v="100001959"/>
    <x v="298"/>
    <x v="109"/>
    <x v="45"/>
    <x v="0"/>
    <n v="55"/>
  </r>
  <r>
    <s v="BRIDGE"/>
    <s v="06"/>
    <s v="TRIANGLE"/>
    <s v="TRIANGLE/LAKEPL"/>
    <x v="618"/>
    <x v="4"/>
    <x v="3"/>
    <s v="Invoice"/>
    <s v="100001824"/>
    <x v="136"/>
    <x v="111"/>
    <x v="46"/>
    <x v="0"/>
    <n v="360"/>
  </r>
  <r>
    <s v=""/>
    <s v="07"/>
    <s v="MILLERBL"/>
    <s v="PALATKA"/>
    <x v="615"/>
    <x v="4"/>
    <x v="3"/>
    <s v="Invoice"/>
    <s v="100001685"/>
    <x v="208"/>
    <x v="184"/>
    <x v="22"/>
    <x v="2"/>
    <n v="15.0025"/>
  </r>
  <r>
    <s v=""/>
    <s v="07"/>
    <s v="BARNESFE"/>
    <s v="HASTINGS"/>
    <x v="617"/>
    <x v="4"/>
    <x v="3"/>
    <s v="Invoice"/>
    <s v="100001744"/>
    <x v="158"/>
    <x v="139"/>
    <x v="53"/>
    <x v="0"/>
    <n v="480"/>
  </r>
  <r>
    <s v=""/>
    <s v="07"/>
    <s v="BARNESFE"/>
    <s v="HASTINGS"/>
    <x v="617"/>
    <x v="4"/>
    <x v="3"/>
    <s v="Invoice"/>
    <s v="100001744"/>
    <x v="206"/>
    <x v="139"/>
    <x v="53"/>
    <x v="0"/>
    <n v="250"/>
  </r>
  <r>
    <s v=""/>
    <s v="07"/>
    <s v="CPSHASTI"/>
    <s v="HASTINGS"/>
    <x v="617"/>
    <x v="4"/>
    <x v="3"/>
    <s v="Invoice"/>
    <s v="100001745"/>
    <x v="34"/>
    <x v="29"/>
    <x v="26"/>
    <x v="0"/>
    <n v="180"/>
  </r>
  <r>
    <s v=""/>
    <s v="07"/>
    <s v="BARNESFE"/>
    <s v="HASTINGS"/>
    <x v="617"/>
    <x v="4"/>
    <x v="3"/>
    <s v="Invoice"/>
    <s v="100001746"/>
    <x v="207"/>
    <x v="183"/>
    <x v="22"/>
    <x v="2"/>
    <n v="5.0125000000000002"/>
  </r>
  <r>
    <s v=""/>
    <s v="07"/>
    <s v="BARNESFE"/>
    <s v="HASTINGS"/>
    <x v="620"/>
    <x v="4"/>
    <x v="3"/>
    <s v="Invoice"/>
    <s v="100001873"/>
    <x v="207"/>
    <x v="183"/>
    <x v="22"/>
    <x v="2"/>
    <n v="4.9800000000000004"/>
  </r>
  <r>
    <s v=""/>
    <s v="07"/>
    <s v="BARNESFE"/>
    <s v="HASTINGS"/>
    <x v="620"/>
    <x v="4"/>
    <x v="3"/>
    <s v="Invoice"/>
    <s v="100001874"/>
    <x v="158"/>
    <x v="139"/>
    <x v="53"/>
    <x v="0"/>
    <n v="480"/>
  </r>
  <r>
    <s v=""/>
    <s v="07"/>
    <s v="BARNESFE"/>
    <s v="HASTINGS"/>
    <x v="613"/>
    <x v="4"/>
    <x v="3"/>
    <s v="Invoice"/>
    <s v="100001941"/>
    <x v="207"/>
    <x v="183"/>
    <x v="22"/>
    <x v="2"/>
    <n v="10"/>
  </r>
  <r>
    <s v="DPOPPELL1"/>
    <s v="08"/>
    <s v="TRIANGLE"/>
    <s v="TRIANGLE/PC"/>
    <x v="615"/>
    <x v="4"/>
    <x v="3"/>
    <s v="Invoice"/>
    <s v="100001687"/>
    <x v="5"/>
    <x v="72"/>
    <x v="4"/>
    <x v="0"/>
    <n v="360"/>
  </r>
  <r>
    <s v="DPOPPELL1"/>
    <s v="08"/>
    <s v="TRIANGLE"/>
    <s v="TRIANGLE/PC"/>
    <x v="607"/>
    <x v="4"/>
    <x v="3"/>
    <s v="Invoice"/>
    <s v="100001717"/>
    <x v="77"/>
    <x v="37"/>
    <x v="30"/>
    <x v="0"/>
    <n v="300"/>
  </r>
  <r>
    <s v="DPOPPELL1"/>
    <s v="08"/>
    <s v="TRIANGLE"/>
    <s v="TRIANGLE/PC"/>
    <x v="616"/>
    <x v="4"/>
    <x v="3"/>
    <s v="Invoice"/>
    <s v="100001742"/>
    <x v="5"/>
    <x v="72"/>
    <x v="4"/>
    <x v="0"/>
    <n v="360"/>
  </r>
  <r>
    <s v="DPOPPELL1"/>
    <s v="08"/>
    <s v="MAYO"/>
    <s v="PLANTCITY"/>
    <x v="617"/>
    <x v="4"/>
    <x v="3"/>
    <s v="Invoice"/>
    <s v="100001748"/>
    <x v="125"/>
    <x v="113"/>
    <x v="22"/>
    <x v="2"/>
    <n v="10"/>
  </r>
  <r>
    <s v="DPOPPELL1"/>
    <s v="08"/>
    <s v="COASTALAGSUPPLY"/>
    <s v="MULBERRY"/>
    <x v="603"/>
    <x v="4"/>
    <x v="3"/>
    <s v="Invoice"/>
    <s v="100001760"/>
    <x v="5"/>
    <x v="72"/>
    <x v="4"/>
    <x v="0"/>
    <n v="360"/>
  </r>
  <r>
    <s v="DPOPPELL1"/>
    <s v="08"/>
    <s v="MAYO"/>
    <s v="PLANTCITY"/>
    <x v="603"/>
    <x v="4"/>
    <x v="3"/>
    <s v="Invoice"/>
    <s v="100001772"/>
    <x v="125"/>
    <x v="113"/>
    <x v="22"/>
    <x v="2"/>
    <n v="9.98"/>
  </r>
  <r>
    <s v="DPOPPELL1"/>
    <s v="08"/>
    <s v="COASTALAGSUPPLY"/>
    <s v="MULBERRY"/>
    <x v="609"/>
    <x v="4"/>
    <x v="3"/>
    <s v="Invoice"/>
    <s v="100001788"/>
    <x v="5"/>
    <x v="72"/>
    <x v="4"/>
    <x v="0"/>
    <n v="140"/>
  </r>
  <r>
    <s v="DPOPPELL1"/>
    <s v="08"/>
    <s v="COASTALAGSUPPLY"/>
    <s v="MULBERRY"/>
    <x v="612"/>
    <x v="4"/>
    <x v="3"/>
    <s v="Invoice"/>
    <s v="100001855"/>
    <x v="45"/>
    <x v="37"/>
    <x v="30"/>
    <x v="0"/>
    <n v="1250"/>
  </r>
  <r>
    <s v="DPOPPELL1"/>
    <s v="08"/>
    <s v="MAYO"/>
    <s v="PLANTCITY"/>
    <x v="620"/>
    <x v="4"/>
    <x v="3"/>
    <s v="Invoice"/>
    <s v="100001871"/>
    <x v="125"/>
    <x v="113"/>
    <x v="22"/>
    <x v="2"/>
    <n v="11.9575"/>
  </r>
  <r>
    <s v="DPOPPELL1"/>
    <s v="08"/>
    <s v="MAYO"/>
    <s v="PLANTCITY"/>
    <x v="620"/>
    <x v="4"/>
    <x v="3"/>
    <s v="Invoice"/>
    <s v="100001880"/>
    <x v="210"/>
    <x v="186"/>
    <x v="22"/>
    <x v="2"/>
    <n v="12.0025"/>
  </r>
  <r>
    <s v="DPOPPELL1"/>
    <s v="08"/>
    <s v="COASTALAGSUPPLY"/>
    <s v="MULBERRY"/>
    <x v="604"/>
    <x v="4"/>
    <x v="3"/>
    <s v="Invoice"/>
    <s v="100001884"/>
    <x v="34"/>
    <x v="29"/>
    <x v="26"/>
    <x v="0"/>
    <n v="540"/>
  </r>
  <r>
    <s v="DPOPPELL1"/>
    <s v="08"/>
    <s v="MAYO"/>
    <s v="PLANTCITY"/>
    <x v="604"/>
    <x v="4"/>
    <x v="3"/>
    <s v="Invoice"/>
    <s v="100001895"/>
    <x v="125"/>
    <x v="113"/>
    <x v="22"/>
    <x v="2"/>
    <n v="12"/>
  </r>
  <r>
    <s v="DPOPPELL1"/>
    <s v="08"/>
    <s v="MAYO"/>
    <s v="PLANTCITY"/>
    <x v="621"/>
    <x v="4"/>
    <x v="3"/>
    <s v="Invoice"/>
    <s v="100001913"/>
    <x v="125"/>
    <x v="113"/>
    <x v="22"/>
    <x v="2"/>
    <n v="6.0125000000000002"/>
  </r>
  <r>
    <s v="DPOPPELL1"/>
    <s v="08"/>
    <s v="PURLEYNK"/>
    <s v="MAIN"/>
    <x v="621"/>
    <x v="4"/>
    <x v="3"/>
    <s v="Invoice"/>
    <s v="100001920"/>
    <x v="53"/>
    <x v="46"/>
    <x v="22"/>
    <x v="2"/>
    <n v="0.15"/>
  </r>
  <r>
    <s v=""/>
    <s v="09"/>
    <s v="AGRIBUSI"/>
    <s v="AGB/ROOSEVELT"/>
    <x v="606"/>
    <x v="4"/>
    <x v="3"/>
    <s v="Invoice"/>
    <s v="100001699"/>
    <x v="89"/>
    <x v="81"/>
    <x v="20"/>
    <x v="1"/>
    <n v="2000"/>
  </r>
  <r>
    <s v="GEORGIA"/>
    <s v="09"/>
    <s v="AGRIBUSI"/>
    <s v="INTREPID/TUNICA"/>
    <x v="607"/>
    <x v="4"/>
    <x v="3"/>
    <s v="Invoice"/>
    <s v="100001716"/>
    <x v="159"/>
    <x v="117"/>
    <x v="48"/>
    <x v="0"/>
    <n v="3600"/>
  </r>
  <r>
    <s v=""/>
    <s v="09"/>
    <s v="AGRIBUSI"/>
    <s v="INVICTUSBASTROP"/>
    <x v="616"/>
    <x v="4"/>
    <x v="3"/>
    <s v="Invoice"/>
    <s v="100001740"/>
    <x v="129"/>
    <x v="117"/>
    <x v="48"/>
    <x v="0"/>
    <n v="3710"/>
  </r>
  <r>
    <s v="GEORGIA"/>
    <s v="09"/>
    <s v="AGRIBUSI"/>
    <s v="SGSLEACHVILLE"/>
    <x v="617"/>
    <x v="4"/>
    <x v="3"/>
    <s v="Invoice"/>
    <s v="100001747"/>
    <x v="159"/>
    <x v="117"/>
    <x v="48"/>
    <x v="0"/>
    <n v="3600"/>
  </r>
  <r>
    <s v=""/>
    <s v="09"/>
    <s v="AGRIBUSI"/>
    <s v="MEHERRIN/CHARLE"/>
    <x v="608"/>
    <x v="4"/>
    <x v="3"/>
    <s v="Invoice"/>
    <s v="100001783"/>
    <x v="246"/>
    <x v="195"/>
    <x v="20"/>
    <x v="1"/>
    <n v="27803"/>
  </r>
  <r>
    <s v=""/>
    <s v="09"/>
    <s v="AGRIBUSI"/>
    <s v="MEHERRIN/CHARLE"/>
    <x v="608"/>
    <x v="4"/>
    <x v="3"/>
    <s v="Invoice"/>
    <s v="100001783"/>
    <x v="220"/>
    <x v="195"/>
    <x v="20"/>
    <x v="1"/>
    <n v="9000"/>
  </r>
  <r>
    <s v="GEORGIA"/>
    <s v="09"/>
    <s v="AGRIBUSI"/>
    <s v="IRWINVILLE"/>
    <x v="608"/>
    <x v="4"/>
    <x v="3"/>
    <s v="Invoice"/>
    <s v="100001784"/>
    <x v="107"/>
    <x v="98"/>
    <x v="36"/>
    <x v="0"/>
    <n v="360"/>
  </r>
  <r>
    <s v=""/>
    <s v="09"/>
    <s v="AGRIBUSI"/>
    <s v="AGB/ROOSEVELT"/>
    <x v="606"/>
    <x v="4"/>
    <x v="3"/>
    <s v="Invoice"/>
    <s v="100001785"/>
    <x v="89"/>
    <x v="81"/>
    <x v="20"/>
    <x v="1"/>
    <n v="500"/>
  </r>
  <r>
    <s v="GEORGIA"/>
    <s v="09"/>
    <s v="AGRIBUSI"/>
    <s v="NUTRIENTIFTON"/>
    <x v="609"/>
    <x v="4"/>
    <x v="3"/>
    <s v="Invoice"/>
    <s v="100001799"/>
    <x v="215"/>
    <x v="190"/>
    <x v="20"/>
    <x v="1"/>
    <n v="5000"/>
  </r>
  <r>
    <s v=""/>
    <s v="09"/>
    <s v="AGRIBUSI"/>
    <s v="AGB/ROOSEVELT"/>
    <x v="611"/>
    <x v="4"/>
    <x v="3"/>
    <s v="Invoice"/>
    <s v="100001844"/>
    <x v="291"/>
    <x v="256"/>
    <x v="1"/>
    <x v="0"/>
    <n v="360"/>
  </r>
  <r>
    <s v=""/>
    <s v="09"/>
    <s v="AGRIBUSI"/>
    <s v="AGB/ROOSEVELT"/>
    <x v="611"/>
    <x v="4"/>
    <x v="3"/>
    <s v="Invoice"/>
    <s v="100001844"/>
    <x v="212"/>
    <x v="188"/>
    <x v="20"/>
    <x v="1"/>
    <n v="7200"/>
  </r>
  <r>
    <s v=""/>
    <s v="09"/>
    <s v="AGRIBUSI"/>
    <s v="AGB/ROOSEVELT"/>
    <x v="611"/>
    <x v="4"/>
    <x v="3"/>
    <s v="Invoice"/>
    <s v="100001844"/>
    <x v="214"/>
    <x v="189"/>
    <x v="20"/>
    <x v="1"/>
    <n v="1800"/>
  </r>
  <r>
    <s v=""/>
    <s v="09"/>
    <s v="AGRIBUSI"/>
    <s v="AGB/ROOSEVELT"/>
    <x v="611"/>
    <x v="4"/>
    <x v="3"/>
    <s v="Invoice"/>
    <s v="100001844"/>
    <x v="213"/>
    <x v="189"/>
    <x v="20"/>
    <x v="1"/>
    <n v="20000"/>
  </r>
  <r>
    <s v=""/>
    <s v="09"/>
    <s v="AGRIBUSI"/>
    <s v="AGB/ROOSEVELT"/>
    <x v="611"/>
    <x v="4"/>
    <x v="3"/>
    <s v="Invoice"/>
    <s v="100001844"/>
    <x v="213"/>
    <x v="189"/>
    <x v="20"/>
    <x v="1"/>
    <n v="2200"/>
  </r>
  <r>
    <s v="GEORGIA"/>
    <s v="09"/>
    <s v="AGRIBUSI"/>
    <s v="INTREPID/TUNICA"/>
    <x v="619"/>
    <x v="4"/>
    <x v="3"/>
    <s v="Invoice"/>
    <s v="100001869"/>
    <x v="159"/>
    <x v="117"/>
    <x v="48"/>
    <x v="0"/>
    <n v="3600"/>
  </r>
  <r>
    <s v="GEORGIA"/>
    <s v="09"/>
    <s v="SOUTHAG"/>
    <s v="BOONE"/>
    <x v="621"/>
    <x v="4"/>
    <x v="3"/>
    <s v="Invoice"/>
    <s v="100001925"/>
    <x v="122"/>
    <x v="63"/>
    <x v="33"/>
    <x v="0"/>
    <n v="90"/>
  </r>
  <r>
    <s v="GEORGIA"/>
    <s v="09"/>
    <s v="SOUTHAG"/>
    <s v="BOONE"/>
    <x v="621"/>
    <x v="4"/>
    <x v="3"/>
    <s v="Invoice"/>
    <s v="100001925"/>
    <x v="96"/>
    <x v="90"/>
    <x v="39"/>
    <x v="0"/>
    <n v="720"/>
  </r>
  <r>
    <s v="GEORGIA"/>
    <s v="09"/>
    <s v="SOUTHAG"/>
    <s v="BOONE"/>
    <x v="621"/>
    <x v="4"/>
    <x v="3"/>
    <s v="Invoice"/>
    <s v="100001925"/>
    <x v="22"/>
    <x v="69"/>
    <x v="17"/>
    <x v="0"/>
    <n v="1440"/>
  </r>
  <r>
    <s v="GEORGIA"/>
    <s v="09"/>
    <s v="SOUTHAG"/>
    <s v="BOONE"/>
    <x v="621"/>
    <x v="4"/>
    <x v="3"/>
    <s v="Invoice"/>
    <s v="100001925"/>
    <x v="7"/>
    <x v="243"/>
    <x v="6"/>
    <x v="0"/>
    <n v="540"/>
  </r>
  <r>
    <s v="GEORGIA"/>
    <s v="09"/>
    <s v="SOUTHAG"/>
    <s v="BOONE"/>
    <x v="621"/>
    <x v="4"/>
    <x v="3"/>
    <s v="Invoice"/>
    <s v="100001925"/>
    <x v="106"/>
    <x v="74"/>
    <x v="13"/>
    <x v="0"/>
    <n v="60"/>
  </r>
  <r>
    <s v="GEORGIA"/>
    <s v="09"/>
    <s v="SOUTHAG"/>
    <s v="BOONE"/>
    <x v="621"/>
    <x v="4"/>
    <x v="3"/>
    <s v="Invoice"/>
    <s v="100001925"/>
    <x v="5"/>
    <x v="72"/>
    <x v="4"/>
    <x v="0"/>
    <n v="900"/>
  </r>
  <r>
    <s v="GEORGIA"/>
    <s v="09"/>
    <s v="SOUTHAG"/>
    <s v="BOONE"/>
    <x v="621"/>
    <x v="4"/>
    <x v="3"/>
    <s v="Invoice"/>
    <s v="100001925"/>
    <x v="33"/>
    <x v="28"/>
    <x v="2"/>
    <x v="0"/>
    <n v="180"/>
  </r>
  <r>
    <s v=""/>
    <s v="09"/>
    <s v="CPSSOUTH"/>
    <s v="CROSSCREEK RD"/>
    <x v="605"/>
    <x v="4"/>
    <x v="3"/>
    <s v="Invoice"/>
    <s v="100001939"/>
    <x v="101"/>
    <x v="21"/>
    <x v="21"/>
    <x v="0"/>
    <n v="360"/>
  </r>
  <r>
    <s v="GEORGIA"/>
    <s v="09"/>
    <s v="AGRIBUSI"/>
    <s v="INTREPID/TUNICA"/>
    <x v="613"/>
    <x v="4"/>
    <x v="3"/>
    <s v="Invoice"/>
    <s v="100001947"/>
    <x v="159"/>
    <x v="117"/>
    <x v="48"/>
    <x v="0"/>
    <n v="3600"/>
  </r>
  <r>
    <s v=""/>
    <s v="09"/>
    <s v="AGRIBUSI"/>
    <s v="MEHERRIN/KINGST"/>
    <x v="614"/>
    <x v="4"/>
    <x v="3"/>
    <s v="Invoice"/>
    <s v="100001976"/>
    <x v="221"/>
    <x v="194"/>
    <x v="20"/>
    <x v="1"/>
    <n v="5000"/>
  </r>
  <r>
    <s v="TRES"/>
    <s v="11"/>
    <s v="SOUTHAGSOLUTION"/>
    <s v="FARMERSALLIANCE"/>
    <x v="621"/>
    <x v="4"/>
    <x v="3"/>
    <s v="Invoice"/>
    <s v="100001906"/>
    <x v="506"/>
    <x v="441"/>
    <x v="121"/>
    <x v="0"/>
    <n v="500"/>
  </r>
  <r>
    <s v="CSWAFFORD"/>
    <s v="12"/>
    <s v="GOLFVENTURES"/>
    <s v="MAIN"/>
    <x v="606"/>
    <x v="4"/>
    <x v="3"/>
    <s v="Invoice"/>
    <s v="100001698"/>
    <x v="499"/>
    <x v="375"/>
    <x v="82"/>
    <x v="0"/>
    <n v="10"/>
  </r>
  <r>
    <s v="CSWAFFORD"/>
    <s v="12"/>
    <s v="JRMINC"/>
    <s v="CHEMICALDYNAMIC"/>
    <x v="616"/>
    <x v="4"/>
    <x v="3"/>
    <s v="Invoice"/>
    <s v="100001724"/>
    <x v="483"/>
    <x v="424"/>
    <x v="67"/>
    <x v="0"/>
    <n v="90"/>
  </r>
  <r>
    <s v="CSWAFFORD"/>
    <s v="12"/>
    <s v="JRMINC"/>
    <s v="CHEMICALDYNAMIC"/>
    <x v="616"/>
    <x v="4"/>
    <x v="3"/>
    <s v="Invoice"/>
    <s v="100001724"/>
    <x v="456"/>
    <x v="392"/>
    <x v="10"/>
    <x v="0"/>
    <n v="90"/>
  </r>
  <r>
    <s v="CSWAFFORD"/>
    <s v="12"/>
    <s v="GOLFVENTURES"/>
    <s v="HIDEAWAY"/>
    <x v="616"/>
    <x v="4"/>
    <x v="3"/>
    <s v="Invoice"/>
    <s v="100001726"/>
    <x v="366"/>
    <x v="336"/>
    <x v="22"/>
    <x v="2"/>
    <n v="1.2475000000000001"/>
  </r>
  <r>
    <s v="CSWAFFORD"/>
    <s v="12"/>
    <s v="GOLFVENTURES"/>
    <s v="HIDEAWAY"/>
    <x v="616"/>
    <x v="4"/>
    <x v="3"/>
    <s v="Invoice"/>
    <s v="100001727"/>
    <x v="317"/>
    <x v="267"/>
    <x v="80"/>
    <x v="0"/>
    <n v="250"/>
  </r>
  <r>
    <s v="CSWAFFORD"/>
    <s v="12"/>
    <s v="GOLFVENTURES"/>
    <s v="MAIN"/>
    <x v="603"/>
    <x v="4"/>
    <x v="3"/>
    <s v="Invoice"/>
    <s v="100001761"/>
    <x v="365"/>
    <x v="298"/>
    <x v="53"/>
    <x v="0"/>
    <n v="60"/>
  </r>
  <r>
    <s v="CSWAFFORD"/>
    <s v="12"/>
    <s v="GOLFVENTURES"/>
    <s v="MAIN"/>
    <x v="603"/>
    <x v="4"/>
    <x v="3"/>
    <s v="Invoice"/>
    <s v="100001761"/>
    <x v="352"/>
    <x v="474"/>
    <x v="95"/>
    <x v="0"/>
    <n v="60"/>
  </r>
  <r>
    <s v="CSWAFFORD"/>
    <s v="12"/>
    <s v="GOLFVENTURES"/>
    <s v="MAIN"/>
    <x v="603"/>
    <x v="4"/>
    <x v="3"/>
    <s v="Invoice"/>
    <s v="100001761"/>
    <x v="364"/>
    <x v="321"/>
    <x v="96"/>
    <x v="0"/>
    <n v="60"/>
  </r>
  <r>
    <s v="CSWAFFORD"/>
    <s v="12"/>
    <s v="GOLFVENTURES"/>
    <s v="BAYCOLONY"/>
    <x v="608"/>
    <x v="4"/>
    <x v="3"/>
    <s v="Invoice"/>
    <s v="100001775"/>
    <x v="319"/>
    <x v="281"/>
    <x v="42"/>
    <x v="0"/>
    <n v="275"/>
  </r>
  <r>
    <s v="CSWAFFORD"/>
    <s v="12"/>
    <s v="GOLFVENTURES"/>
    <s v="MAIN"/>
    <x v="609"/>
    <x v="4"/>
    <x v="3"/>
    <s v="Invoice"/>
    <s v="100001789"/>
    <x v="538"/>
    <x v="475"/>
    <x v="127"/>
    <x v="0"/>
    <n v="275"/>
  </r>
  <r>
    <s v="CSWAFFORD"/>
    <s v="12"/>
    <s v="GOLFVENTURES"/>
    <s v="MAIN"/>
    <x v="609"/>
    <x v="4"/>
    <x v="3"/>
    <s v="Invoice"/>
    <s v="100001789"/>
    <x v="257"/>
    <x v="371"/>
    <x v="3"/>
    <x v="0"/>
    <n v="550"/>
  </r>
  <r>
    <s v="CSWAFFORD"/>
    <s v="12"/>
    <s v="GOLFVENTURES"/>
    <s v="UPROOTED"/>
    <x v="609"/>
    <x v="4"/>
    <x v="3"/>
    <s v="Invoice"/>
    <s v="100001791"/>
    <x v="353"/>
    <x v="313"/>
    <x v="49"/>
    <x v="0"/>
    <n v="250"/>
  </r>
  <r>
    <s v="CSWAFFORD"/>
    <s v="12"/>
    <s v="GOLFVENTURES"/>
    <s v="MAIN"/>
    <x v="609"/>
    <x v="4"/>
    <x v="3"/>
    <s v="Invoice"/>
    <s v="100001793"/>
    <x v="385"/>
    <x v="321"/>
    <x v="96"/>
    <x v="0"/>
    <n v="110"/>
  </r>
  <r>
    <s v="CSWAFFORD"/>
    <s v="12"/>
    <s v="GOLFVENTURES"/>
    <s v="MAIN"/>
    <x v="610"/>
    <x v="4"/>
    <x v="3"/>
    <s v="Invoice"/>
    <s v="100001809"/>
    <x v="385"/>
    <x v="321"/>
    <x v="96"/>
    <x v="0"/>
    <n v="55"/>
  </r>
  <r>
    <s v="CSWAFFORD"/>
    <s v="12"/>
    <s v="GOLFVENTURES"/>
    <s v="PINETREEGC"/>
    <x v="610"/>
    <x v="4"/>
    <x v="3"/>
    <s v="Invoice"/>
    <s v="100001810"/>
    <x v="319"/>
    <x v="281"/>
    <x v="42"/>
    <x v="0"/>
    <n v="250"/>
  </r>
  <r>
    <s v="CSWAFFORD"/>
    <s v="12"/>
    <s v="GOLFVENTURES"/>
    <s v="COUNTRYBOY"/>
    <x v="612"/>
    <x v="4"/>
    <x v="3"/>
    <s v="Invoice"/>
    <s v="100001851"/>
    <x v="369"/>
    <x v="338"/>
    <x v="97"/>
    <x v="0"/>
    <n v="250"/>
  </r>
  <r>
    <s v="CSWAFFORD"/>
    <s v="12"/>
    <s v="GOLFVENTURES"/>
    <s v="MAIN"/>
    <x v="619"/>
    <x v="4"/>
    <x v="3"/>
    <s v="Invoice"/>
    <s v="100001865"/>
    <x v="438"/>
    <x v="373"/>
    <x v="108"/>
    <x v="0"/>
    <n v="60"/>
  </r>
  <r>
    <s v="CSWAFFORD"/>
    <s v="12"/>
    <s v="GOLFVENTURES"/>
    <s v="MAIN"/>
    <x v="619"/>
    <x v="4"/>
    <x v="3"/>
    <s v="Invoice"/>
    <s v="100001865"/>
    <x v="424"/>
    <x v="362"/>
    <x v="47"/>
    <x v="0"/>
    <n v="60"/>
  </r>
  <r>
    <s v="CSWAFFORD"/>
    <s v="12"/>
    <s v="GOLFVENTURES"/>
    <s v="MAIN"/>
    <x v="619"/>
    <x v="4"/>
    <x v="3"/>
    <s v="Invoice"/>
    <s v="100001865"/>
    <x v="249"/>
    <x v="294"/>
    <x v="70"/>
    <x v="0"/>
    <n v="90"/>
  </r>
  <r>
    <s v="CSWAFFORD"/>
    <s v="12"/>
    <s v="GOLFVENTURES"/>
    <s v="MAIN"/>
    <x v="619"/>
    <x v="4"/>
    <x v="3"/>
    <s v="Invoice"/>
    <s v="100001865"/>
    <x v="485"/>
    <x v="281"/>
    <x v="42"/>
    <x v="0"/>
    <n v="60"/>
  </r>
  <r>
    <s v="CSWAFFORD"/>
    <s v="12"/>
    <s v="GOLFVENTURES"/>
    <s v="MAIN"/>
    <x v="619"/>
    <x v="4"/>
    <x v="3"/>
    <s v="Invoice"/>
    <s v="100001865"/>
    <x v="3"/>
    <x v="411"/>
    <x v="2"/>
    <x v="0"/>
    <n v="90"/>
  </r>
  <r>
    <s v="CSWAFFORD"/>
    <s v="12"/>
    <s v="GOLFVENTURES"/>
    <s v="THEYACHT&amp;CC"/>
    <x v="604"/>
    <x v="4"/>
    <x v="3"/>
    <s v="Invoice"/>
    <s v="100001890"/>
    <x v="320"/>
    <x v="282"/>
    <x v="87"/>
    <x v="0"/>
    <n v="250"/>
  </r>
  <r>
    <s v="CSWAFFORD"/>
    <s v="12"/>
    <s v="GOLFVENTURES"/>
    <s v="THEYACHT&amp;CC"/>
    <x v="604"/>
    <x v="4"/>
    <x v="3"/>
    <s v="Invoice"/>
    <s v="100001890"/>
    <x v="112"/>
    <x v="100"/>
    <x v="42"/>
    <x v="0"/>
    <n v="250"/>
  </r>
  <r>
    <s v="CSWAFFORD"/>
    <s v="12"/>
    <s v="GOLFVENTURES"/>
    <s v="THEYACHT&amp;CC"/>
    <x v="604"/>
    <x v="4"/>
    <x v="3"/>
    <s v="Invoice"/>
    <s v="100001890"/>
    <x v="109"/>
    <x v="411"/>
    <x v="2"/>
    <x v="0"/>
    <n v="250"/>
  </r>
  <r>
    <s v="CSWAFFORD"/>
    <s v="12"/>
    <s v="GOLFVENTURES"/>
    <s v="GCI"/>
    <x v="604"/>
    <x v="4"/>
    <x v="3"/>
    <s v="Invoice"/>
    <s v="100001891"/>
    <x v="317"/>
    <x v="267"/>
    <x v="80"/>
    <x v="0"/>
    <n v="250"/>
  </r>
  <r>
    <s v="CSWAFFORD"/>
    <s v="12"/>
    <s v="GOLFVENTURES"/>
    <s v="BOCAROYALE"/>
    <x v="621"/>
    <x v="4"/>
    <x v="3"/>
    <s v="Invoice"/>
    <s v="100001905"/>
    <x v="317"/>
    <x v="267"/>
    <x v="80"/>
    <x v="0"/>
    <n v="250"/>
  </r>
  <r>
    <s v="CSWAFFORD"/>
    <s v="12"/>
    <s v="GOLFVENTURES"/>
    <s v="BOCAROYALE"/>
    <x v="621"/>
    <x v="4"/>
    <x v="3"/>
    <s v="Invoice"/>
    <s v="100001905"/>
    <x v="363"/>
    <x v="320"/>
    <x v="63"/>
    <x v="0"/>
    <n v="250"/>
  </r>
  <r>
    <s v="CSWAFFORD"/>
    <s v="12"/>
    <s v="GOLFVENTURES"/>
    <s v="ROYALWOOD"/>
    <x v="621"/>
    <x v="4"/>
    <x v="3"/>
    <s v="Invoice"/>
    <s v="100001908"/>
    <x v="372"/>
    <x v="295"/>
    <x v="43"/>
    <x v="0"/>
    <n v="250"/>
  </r>
  <r>
    <s v="CSWAFFORD"/>
    <s v="12"/>
    <s v="GOLFVENTURES"/>
    <s v="ROYALWOOD"/>
    <x v="621"/>
    <x v="4"/>
    <x v="3"/>
    <s v="Invoice"/>
    <s v="100001909"/>
    <x v="366"/>
    <x v="336"/>
    <x v="22"/>
    <x v="2"/>
    <n v="5.015E-2"/>
  </r>
  <r>
    <s v="CSWAFFORD"/>
    <s v="12"/>
    <s v="GOLFVENTURES"/>
    <s v="MAIN"/>
    <x v="621"/>
    <x v="4"/>
    <x v="3"/>
    <s v="Invoice"/>
    <s v="100001912"/>
    <x v="457"/>
    <x v="314"/>
    <x v="95"/>
    <x v="0"/>
    <n v="15"/>
  </r>
  <r>
    <s v="CSWAFFORD"/>
    <s v="12"/>
    <s v="GOLFVENTURES"/>
    <s v="BOCAROYALE"/>
    <x v="621"/>
    <x v="4"/>
    <x v="3"/>
    <s v="Invoice"/>
    <s v="100001916"/>
    <x v="366"/>
    <x v="336"/>
    <x v="22"/>
    <x v="2"/>
    <n v="1.25"/>
  </r>
  <r>
    <s v="CSWAFFORD"/>
    <s v="12"/>
    <s v="GOLFVENTURES"/>
    <s v="MAIN"/>
    <x v="605"/>
    <x v="4"/>
    <x v="3"/>
    <s v="Invoice"/>
    <s v="100001936"/>
    <x v="16"/>
    <x v="80"/>
    <x v="2"/>
    <x v="0"/>
    <n v="60"/>
  </r>
  <r>
    <s v="CSWAFFORD"/>
    <s v="12"/>
    <s v="GOLFVENTURES"/>
    <s v="S&amp;O"/>
    <x v="605"/>
    <x v="4"/>
    <x v="3"/>
    <s v="Invoice"/>
    <s v="100001938"/>
    <x v="353"/>
    <x v="313"/>
    <x v="49"/>
    <x v="0"/>
    <n v="1100"/>
  </r>
  <r>
    <s v="CSWAFFORD"/>
    <s v="12"/>
    <s v="GOLFVENTURES"/>
    <s v="S&amp;O"/>
    <x v="605"/>
    <x v="4"/>
    <x v="3"/>
    <s v="Invoice"/>
    <s v="100001938"/>
    <x v="353"/>
    <x v="313"/>
    <x v="49"/>
    <x v="0"/>
    <n v="1500"/>
  </r>
  <r>
    <s v="CSWAFFORD"/>
    <s v="12"/>
    <s v="GOLFVENTURES"/>
    <s v="S&amp;O"/>
    <x v="605"/>
    <x v="4"/>
    <x v="3"/>
    <s v="Invoice"/>
    <s v="100001938"/>
    <x v="424"/>
    <x v="362"/>
    <x v="47"/>
    <x v="0"/>
    <n v="42.5"/>
  </r>
  <r>
    <s v="CSWAFFORD"/>
    <s v="12"/>
    <s v="GOLFVENTURES"/>
    <s v="HIGHLANDWOODS"/>
    <x v="614"/>
    <x v="4"/>
    <x v="3"/>
    <s v="Invoice"/>
    <s v="100001960"/>
    <x v="440"/>
    <x v="321"/>
    <x v="96"/>
    <x v="0"/>
    <n v="275"/>
  </r>
  <r>
    <s v="CSWAFFORD"/>
    <s v="12"/>
    <s v="GOLFVENTURES"/>
    <s v="MAIN"/>
    <x v="622"/>
    <x v="4"/>
    <x v="3"/>
    <s v="Invoice"/>
    <s v="100001964"/>
    <x v="482"/>
    <x v="423"/>
    <x v="69"/>
    <x v="0"/>
    <n v="5"/>
  </r>
  <r>
    <s v="HAP"/>
    <s v="01"/>
    <s v="GREENWAY"/>
    <s v="WAREHOUSE"/>
    <x v="623"/>
    <x v="5"/>
    <x v="3"/>
    <s v="Invoice"/>
    <s v="100002064"/>
    <x v="6"/>
    <x v="5"/>
    <x v="5"/>
    <x v="0"/>
    <n v="120"/>
  </r>
  <r>
    <s v="HAP"/>
    <s v="01"/>
    <s v="GREENWAY"/>
    <s v="WAREHOUSE"/>
    <x v="623"/>
    <x v="5"/>
    <x v="3"/>
    <s v="Invoice"/>
    <s v="100002064"/>
    <x v="2"/>
    <x v="0"/>
    <x v="0"/>
    <x v="0"/>
    <n v="120"/>
  </r>
  <r>
    <s v="HAP"/>
    <s v="01"/>
    <s v="GREENWAY"/>
    <s v="WAREHOUSE"/>
    <x v="623"/>
    <x v="5"/>
    <x v="3"/>
    <s v="Invoice"/>
    <s v="100002064"/>
    <x v="3"/>
    <x v="379"/>
    <x v="2"/>
    <x v="0"/>
    <n v="120"/>
  </r>
  <r>
    <s v="HAP"/>
    <s v="01"/>
    <s v="GREENWAY"/>
    <s v="MIZNER C. CLUB"/>
    <x v="623"/>
    <x v="5"/>
    <x v="3"/>
    <s v="Invoice"/>
    <s v="100002076"/>
    <x v="6"/>
    <x v="5"/>
    <x v="5"/>
    <x v="0"/>
    <n v="50"/>
  </r>
  <r>
    <s v="HAP"/>
    <s v="01"/>
    <s v="GREENWAY"/>
    <s v="MIZNER C. CLUB"/>
    <x v="623"/>
    <x v="5"/>
    <x v="3"/>
    <s v="Invoice"/>
    <s v="100002076"/>
    <x v="5"/>
    <x v="4"/>
    <x v="4"/>
    <x v="0"/>
    <n v="100"/>
  </r>
  <r>
    <s v="HAP"/>
    <s v="01"/>
    <s v="GREENWAY"/>
    <s v="MIZNER C. CLUB"/>
    <x v="623"/>
    <x v="5"/>
    <x v="3"/>
    <s v="Invoice"/>
    <s v="100002076"/>
    <x v="2"/>
    <x v="0"/>
    <x v="0"/>
    <x v="0"/>
    <n v="100"/>
  </r>
  <r>
    <s v="HAP"/>
    <s v="01"/>
    <s v="GREENWAY"/>
    <s v="MIZNER C. CLUB"/>
    <x v="623"/>
    <x v="5"/>
    <x v="3"/>
    <s v="Invoice"/>
    <s v="100002076"/>
    <x v="3"/>
    <x v="379"/>
    <x v="2"/>
    <x v="0"/>
    <n v="50"/>
  </r>
  <r>
    <s v="HAP"/>
    <s v="01"/>
    <s v="GREENWAY"/>
    <s v="WAREHOUSE"/>
    <x v="624"/>
    <x v="5"/>
    <x v="3"/>
    <s v="Invoice"/>
    <s v="100002192"/>
    <x v="4"/>
    <x v="3"/>
    <x v="3"/>
    <x v="0"/>
    <n v="60"/>
  </r>
  <r>
    <s v="HAP"/>
    <s v="01"/>
    <s v="GREENWAY"/>
    <s v="WAREHOUSE"/>
    <x v="624"/>
    <x v="5"/>
    <x v="3"/>
    <s v="Invoice"/>
    <s v="100002192"/>
    <x v="6"/>
    <x v="5"/>
    <x v="5"/>
    <x v="0"/>
    <n v="120"/>
  </r>
  <r>
    <s v="HAP"/>
    <s v="01"/>
    <s v="GREENWAY"/>
    <s v="WAREHOUSE"/>
    <x v="624"/>
    <x v="5"/>
    <x v="3"/>
    <s v="Invoice"/>
    <s v="100002192"/>
    <x v="22"/>
    <x v="17"/>
    <x v="17"/>
    <x v="0"/>
    <n v="120"/>
  </r>
  <r>
    <s v="HAP"/>
    <s v="01"/>
    <s v="GREENWAY"/>
    <s v="WAREHOUSE"/>
    <x v="624"/>
    <x v="5"/>
    <x v="3"/>
    <s v="Invoice"/>
    <s v="100002192"/>
    <x v="90"/>
    <x v="13"/>
    <x v="13"/>
    <x v="0"/>
    <n v="120"/>
  </r>
  <r>
    <s v="HAP"/>
    <s v="01"/>
    <s v="GREENWAY"/>
    <s v="WAREHOUSE"/>
    <x v="624"/>
    <x v="5"/>
    <x v="3"/>
    <s v="Invoice"/>
    <s v="100002192"/>
    <x v="5"/>
    <x v="4"/>
    <x v="4"/>
    <x v="0"/>
    <n v="120"/>
  </r>
  <r>
    <s v="HAP"/>
    <s v="01"/>
    <s v="GREENWAY"/>
    <s v="WAREHOUSE"/>
    <x v="624"/>
    <x v="5"/>
    <x v="3"/>
    <s v="Invoice"/>
    <s v="100002192"/>
    <x v="8"/>
    <x v="7"/>
    <x v="7"/>
    <x v="0"/>
    <n v="60"/>
  </r>
  <r>
    <s v="HAP"/>
    <s v="01"/>
    <s v="GREENWAY"/>
    <s v="WAREHOUSE"/>
    <x v="624"/>
    <x v="5"/>
    <x v="3"/>
    <s v="Invoice"/>
    <s v="100002192"/>
    <x v="2"/>
    <x v="0"/>
    <x v="0"/>
    <x v="0"/>
    <n v="120"/>
  </r>
  <r>
    <s v="DAVID"/>
    <s v="02"/>
    <s v="INNOVATIVE"/>
    <s v="MIAMI"/>
    <x v="625"/>
    <x v="5"/>
    <x v="3"/>
    <s v="Invoice"/>
    <s v="100002042"/>
    <x v="465"/>
    <x v="407"/>
    <x v="53"/>
    <x v="0"/>
    <n v="440"/>
  </r>
  <r>
    <s v="DAVID"/>
    <s v="02"/>
    <s v="FLORIDAGAR"/>
    <s v="GARDENSUPPLIES"/>
    <x v="626"/>
    <x v="5"/>
    <x v="3"/>
    <s v="Invoice"/>
    <s v="100002115"/>
    <x v="539"/>
    <x v="476"/>
    <x v="123"/>
    <x v="0"/>
    <n v="75"/>
  </r>
  <r>
    <s v="DAVID"/>
    <s v="02"/>
    <s v="FLORIDAGAR"/>
    <s v="GARDENSUPPLIES"/>
    <x v="626"/>
    <x v="5"/>
    <x v="3"/>
    <s v="Invoice"/>
    <s v="100002115"/>
    <x v="304"/>
    <x v="268"/>
    <x v="73"/>
    <x v="0"/>
    <n v="75"/>
  </r>
  <r>
    <s v="DAVID"/>
    <s v="02"/>
    <s v="OHARAPEST"/>
    <s v="MAILIING"/>
    <x v="626"/>
    <x v="5"/>
    <x v="3"/>
    <s v="Invoice"/>
    <s v="100002117"/>
    <x v="247"/>
    <x v="76"/>
    <x v="11"/>
    <x v="0"/>
    <n v="250"/>
  </r>
  <r>
    <s v="DAVID"/>
    <s v="02"/>
    <s v="THEANDERSON"/>
    <s v="LK PLACID"/>
    <x v="627"/>
    <x v="5"/>
    <x v="3"/>
    <s v="Invoice"/>
    <s v="100002122"/>
    <x v="124"/>
    <x v="112"/>
    <x v="20"/>
    <x v="1"/>
    <n v="43080"/>
  </r>
  <r>
    <s v="DAVID"/>
    <s v="02"/>
    <s v="GREENRES"/>
    <s v="WINSTON-SALEM"/>
    <x v="627"/>
    <x v="5"/>
    <x v="3"/>
    <s v="Invoice"/>
    <s v="100002127"/>
    <x v="188"/>
    <x v="69"/>
    <x v="17"/>
    <x v="0"/>
    <n v="220"/>
  </r>
  <r>
    <s v="DAVID"/>
    <s v="02"/>
    <s v="GREENRES"/>
    <s v="WINSTON-SALEM"/>
    <x v="627"/>
    <x v="5"/>
    <x v="3"/>
    <s v="Invoice"/>
    <s v="100002127"/>
    <x v="22"/>
    <x v="69"/>
    <x v="17"/>
    <x v="0"/>
    <n v="360"/>
  </r>
  <r>
    <s v="DAVID"/>
    <s v="02"/>
    <s v="SOUTHERN"/>
    <s v="SOUTHERN AG"/>
    <x v="627"/>
    <x v="5"/>
    <x v="3"/>
    <s v="Invoice"/>
    <s v="100002130"/>
    <x v="26"/>
    <x v="21"/>
    <x v="21"/>
    <x v="0"/>
    <n v="548"/>
  </r>
  <r>
    <s v="DAVID"/>
    <s v="02"/>
    <s v="EVOQUAWATER"/>
    <s v="MAIN"/>
    <x v="627"/>
    <x v="5"/>
    <x v="3"/>
    <s v="Invoice"/>
    <s v="100002135"/>
    <x v="160"/>
    <x v="231"/>
    <x v="54"/>
    <x v="0"/>
    <n v="360"/>
  </r>
  <r>
    <s v="DAVID"/>
    <s v="02"/>
    <s v="AGRIBUSI"/>
    <s v="INNVICTISINDIAN"/>
    <x v="628"/>
    <x v="5"/>
    <x v="3"/>
    <s v="Invoice"/>
    <s v="100002158"/>
    <x v="159"/>
    <x v="117"/>
    <x v="48"/>
    <x v="0"/>
    <n v="3600"/>
  </r>
  <r>
    <s v="DAVID"/>
    <s v="02"/>
    <s v="EVOQUAWATER"/>
    <s v="STOR-N-MORE"/>
    <x v="629"/>
    <x v="5"/>
    <x v="3"/>
    <s v="Invoice"/>
    <s v="100002197"/>
    <x v="160"/>
    <x v="231"/>
    <x v="54"/>
    <x v="0"/>
    <n v="360"/>
  </r>
  <r>
    <s v="DAVID"/>
    <s v="02"/>
    <s v="PETROCAN"/>
    <s v="UAP-FT. PIERCE"/>
    <x v="629"/>
    <x v="5"/>
    <x v="3"/>
    <s v="Invoice"/>
    <s v="100002201"/>
    <x v="526"/>
    <x v="462"/>
    <x v="99"/>
    <x v="0"/>
    <n v="7143"/>
  </r>
  <r>
    <s v="DAVID"/>
    <s v="02"/>
    <s v="CPSFTPIE"/>
    <s v="FT. PIERCE"/>
    <x v="629"/>
    <x v="5"/>
    <x v="3"/>
    <s v="Invoice"/>
    <s v="100002202"/>
    <x v="267"/>
    <x v="235"/>
    <x v="75"/>
    <x v="0"/>
    <n v="70"/>
  </r>
  <r>
    <s v="DAVID"/>
    <s v="02"/>
    <s v="RUSSTECH"/>
    <s v="CORTEC"/>
    <x v="630"/>
    <x v="5"/>
    <x v="3"/>
    <s v="Invoice"/>
    <s v="100002214"/>
    <x v="507"/>
    <x v="444"/>
    <x v="20"/>
    <x v="1"/>
    <n v="43960"/>
  </r>
  <r>
    <s v="DAVID"/>
    <s v="02"/>
    <s v="VERDESIAN"/>
    <s v="CHEMICAL DYNAMI"/>
    <x v="624"/>
    <x v="5"/>
    <x v="3"/>
    <s v="Invoice"/>
    <s v="100002229"/>
    <x v="540"/>
    <x v="477"/>
    <x v="25"/>
    <x v="0"/>
    <n v="1000"/>
  </r>
  <r>
    <s v="DAVID"/>
    <s v="02"/>
    <s v="FLORIDAF"/>
    <s v="FLORIDA FERTILI"/>
    <x v="631"/>
    <x v="5"/>
    <x v="3"/>
    <s v="Invoice"/>
    <s v="100002267"/>
    <x v="29"/>
    <x v="24"/>
    <x v="20"/>
    <x v="1"/>
    <n v="13150"/>
  </r>
  <r>
    <s v="DAVID"/>
    <s v="02"/>
    <s v="BIOGENECO"/>
    <s v="MAIN"/>
    <x v="632"/>
    <x v="5"/>
    <x v="3"/>
    <s v="Invoice"/>
    <s v="100002276"/>
    <x v="257"/>
    <x v="371"/>
    <x v="3"/>
    <x v="0"/>
    <n v="1375"/>
  </r>
  <r>
    <s v="DAVID"/>
    <s v="02"/>
    <s v="BIOGENECO"/>
    <s v="MAIN"/>
    <x v="632"/>
    <x v="5"/>
    <x v="3"/>
    <s v="Invoice"/>
    <s v="100002276"/>
    <x v="528"/>
    <x v="464"/>
    <x v="94"/>
    <x v="0"/>
    <n v="1375"/>
  </r>
  <r>
    <s v="DAVID"/>
    <s v="02"/>
    <s v="RUSSTECH"/>
    <s v="CORTEC"/>
    <x v="632"/>
    <x v="5"/>
    <x v="3"/>
    <s v="Invoice"/>
    <s v="100002279"/>
    <x v="507"/>
    <x v="444"/>
    <x v="20"/>
    <x v="1"/>
    <n v="44940"/>
  </r>
  <r>
    <s v="DAVID"/>
    <s v="02"/>
    <s v="FLORIDAF"/>
    <s v="FLORIDA FERTILI"/>
    <x v="632"/>
    <x v="5"/>
    <x v="3"/>
    <s v="Invoice"/>
    <s v="100002294"/>
    <x v="29"/>
    <x v="24"/>
    <x v="20"/>
    <x v="1"/>
    <n v="6575"/>
  </r>
  <r>
    <s v="JUSTIN"/>
    <s v="03"/>
    <s v="CPSWACHU"/>
    <s v="WAUCHULA"/>
    <x v="633"/>
    <x v="5"/>
    <x v="3"/>
    <s v="Invoice"/>
    <s v="100001993"/>
    <x v="34"/>
    <x v="29"/>
    <x v="26"/>
    <x v="0"/>
    <n v="180"/>
  </r>
  <r>
    <s v="JUSTIN"/>
    <s v="03"/>
    <s v="SIMPLOT"/>
    <s v="IMMOKALEE"/>
    <x v="633"/>
    <x v="5"/>
    <x v="3"/>
    <s v="Invoice"/>
    <s v="100001994"/>
    <x v="34"/>
    <x v="29"/>
    <x v="26"/>
    <x v="0"/>
    <n v="180"/>
  </r>
  <r>
    <s v="JUSTIN"/>
    <s v="03"/>
    <s v="FLORIDAF"/>
    <s v="FLORIDA FERTILI"/>
    <x v="633"/>
    <x v="5"/>
    <x v="3"/>
    <s v="Invoice"/>
    <s v="100001995"/>
    <x v="541"/>
    <x v="478"/>
    <x v="128"/>
    <x v="0"/>
    <n v="500"/>
  </r>
  <r>
    <s v="JUSTIN"/>
    <s v="03"/>
    <s v="CPSPARRI"/>
    <s v="PARRISH"/>
    <x v="633"/>
    <x v="5"/>
    <x v="3"/>
    <s v="Invoice"/>
    <s v="100001997"/>
    <x v="34"/>
    <x v="29"/>
    <x v="26"/>
    <x v="0"/>
    <n v="180"/>
  </r>
  <r>
    <s v="JUSTIN"/>
    <s v="03"/>
    <s v="CPSPARRI"/>
    <s v="PARRISH"/>
    <x v="633"/>
    <x v="5"/>
    <x v="3"/>
    <s v="Invoice"/>
    <s v="100001997"/>
    <x v="5"/>
    <x v="72"/>
    <x v="4"/>
    <x v="0"/>
    <n v="180"/>
  </r>
  <r>
    <s v="JUSTIN"/>
    <s v="03"/>
    <s v="COASTALAGSUPPLY"/>
    <s v="MULBERRY"/>
    <x v="633"/>
    <x v="5"/>
    <x v="3"/>
    <s v="Invoice"/>
    <s v="100001998"/>
    <x v="378"/>
    <x v="332"/>
    <x v="3"/>
    <x v="0"/>
    <n v="180"/>
  </r>
  <r>
    <s v="JUSTIN"/>
    <s v="03"/>
    <s v="COASTALAGSUPPLY"/>
    <s v="MULBERRY"/>
    <x v="633"/>
    <x v="5"/>
    <x v="3"/>
    <s v="Invoice"/>
    <s v="100001998"/>
    <x v="38"/>
    <x v="30"/>
    <x v="27"/>
    <x v="0"/>
    <n v="750"/>
  </r>
  <r>
    <s v="JUSTIN"/>
    <s v="03"/>
    <s v="G&amp;DFARMS"/>
    <s v="MIDDLE"/>
    <x v="633"/>
    <x v="5"/>
    <x v="3"/>
    <s v="Invoice"/>
    <s v="100001999"/>
    <x v="509"/>
    <x v="446"/>
    <x v="22"/>
    <x v="2"/>
    <n v="15.0275"/>
  </r>
  <r>
    <s v="JUSTIN"/>
    <s v="03"/>
    <s v="TRIANGLE"/>
    <s v="TRIANGLE/LAKEPL"/>
    <x v="633"/>
    <x v="5"/>
    <x v="3"/>
    <s v="Invoice"/>
    <s v="100002002"/>
    <x v="136"/>
    <x v="111"/>
    <x v="46"/>
    <x v="0"/>
    <n v="720"/>
  </r>
  <r>
    <s v="JUSTIN"/>
    <s v="03"/>
    <s v="CPSWAVER"/>
    <s v="WAVERLY"/>
    <x v="634"/>
    <x v="5"/>
    <x v="3"/>
    <s v="Invoice"/>
    <s v="100002011"/>
    <x v="34"/>
    <x v="29"/>
    <x v="26"/>
    <x v="0"/>
    <n v="180"/>
  </r>
  <r>
    <s v="JUSTIN"/>
    <s v="03"/>
    <s v="CPSWAVER"/>
    <s v="WAVERLY"/>
    <x v="634"/>
    <x v="5"/>
    <x v="3"/>
    <s v="Invoice"/>
    <s v="100002011"/>
    <x v="5"/>
    <x v="72"/>
    <x v="4"/>
    <x v="0"/>
    <n v="540"/>
  </r>
  <r>
    <s v="JUSTIN"/>
    <s v="03"/>
    <s v="CPSFTPIE"/>
    <s v="FT. PIERCE"/>
    <x v="634"/>
    <x v="5"/>
    <x v="3"/>
    <s v="Invoice"/>
    <s v="100002012"/>
    <x v="166"/>
    <x v="29"/>
    <x v="26"/>
    <x v="0"/>
    <n v="750"/>
  </r>
  <r>
    <s v="JUSTIN"/>
    <s v="03"/>
    <s v="CPSFTPIE"/>
    <s v="FT. PIERCE"/>
    <x v="634"/>
    <x v="5"/>
    <x v="3"/>
    <s v="Invoice"/>
    <s v="100002016"/>
    <x v="34"/>
    <x v="29"/>
    <x v="26"/>
    <x v="0"/>
    <n v="180"/>
  </r>
  <r>
    <s v="JUSTIN"/>
    <s v="03"/>
    <s v="COASTALAGSUPPLY"/>
    <s v="MULBERRY"/>
    <x v="634"/>
    <x v="5"/>
    <x v="3"/>
    <s v="Invoice"/>
    <s v="100002022"/>
    <x v="96"/>
    <x v="90"/>
    <x v="39"/>
    <x v="0"/>
    <n v="180"/>
  </r>
  <r>
    <s v="JUSTIN"/>
    <s v="03"/>
    <s v="TRIANGLE"/>
    <s v="SHADYBROOK"/>
    <x v="634"/>
    <x v="5"/>
    <x v="3"/>
    <s v="Invoice"/>
    <s v="100002024"/>
    <x v="224"/>
    <x v="199"/>
    <x v="22"/>
    <x v="2"/>
    <n v="5.0075000000000003"/>
  </r>
  <r>
    <s v="JUSTIN"/>
    <s v="03"/>
    <s v="CPSWACHU"/>
    <s v="WAUCHULA"/>
    <x v="625"/>
    <x v="5"/>
    <x v="3"/>
    <s v="Invoice"/>
    <s v="100002034"/>
    <x v="324"/>
    <x v="286"/>
    <x v="13"/>
    <x v="0"/>
    <n v="500"/>
  </r>
  <r>
    <s v="JUSTIN"/>
    <s v="03"/>
    <s v="CPSWACHU"/>
    <s v="WAUCHULA"/>
    <x v="625"/>
    <x v="5"/>
    <x v="3"/>
    <s v="Invoice"/>
    <s v="100002035"/>
    <x v="34"/>
    <x v="29"/>
    <x v="26"/>
    <x v="0"/>
    <n v="360"/>
  </r>
  <r>
    <s v="JUSTIN"/>
    <s v="03"/>
    <s v="COUNCILO"/>
    <s v="COUNCIL-OXFORD"/>
    <x v="625"/>
    <x v="5"/>
    <x v="3"/>
    <s v="Invoice"/>
    <s v="100002038"/>
    <x v="168"/>
    <x v="88"/>
    <x v="8"/>
    <x v="0"/>
    <n v="180"/>
  </r>
  <r>
    <s v="JUSTIN"/>
    <s v="03"/>
    <s v="TRIANGLE"/>
    <s v="TRIANGLE/LAKEPL"/>
    <x v="625"/>
    <x v="5"/>
    <x v="3"/>
    <s v="Invoice"/>
    <s v="100002039"/>
    <x v="36"/>
    <x v="31"/>
    <x v="4"/>
    <x v="0"/>
    <n v="120"/>
  </r>
  <r>
    <s v="JUSTIN"/>
    <s v="03"/>
    <s v="COUNCILO"/>
    <s v="COUNCIL-OXFORD"/>
    <x v="635"/>
    <x v="5"/>
    <x v="3"/>
    <s v="Invoice"/>
    <s v="100002050"/>
    <x v="211"/>
    <x v="187"/>
    <x v="17"/>
    <x v="0"/>
    <n v="5"/>
  </r>
  <r>
    <s v="JUSTIN"/>
    <s v="03"/>
    <s v="G&amp;DFARMS"/>
    <s v="MIDDLE"/>
    <x v="635"/>
    <x v="5"/>
    <x v="3"/>
    <s v="Invoice"/>
    <s v="100002052"/>
    <x v="509"/>
    <x v="446"/>
    <x v="22"/>
    <x v="2"/>
    <n v="15.015000000000001"/>
  </r>
  <r>
    <s v=""/>
    <s v="03"/>
    <s v="CPSMULB"/>
    <s v="UAP/MULBERRY"/>
    <x v="636"/>
    <x v="5"/>
    <x v="3"/>
    <s v="Invoice"/>
    <s v="100002060"/>
    <x v="5"/>
    <x v="72"/>
    <x v="4"/>
    <x v="0"/>
    <n v="180"/>
  </r>
  <r>
    <s v="JUSTIN"/>
    <s v="03"/>
    <s v="CPSFTPIE"/>
    <s v="FT. PIERCE"/>
    <x v="623"/>
    <x v="5"/>
    <x v="3"/>
    <s v="Invoice"/>
    <s v="100002066"/>
    <x v="166"/>
    <x v="29"/>
    <x v="26"/>
    <x v="0"/>
    <n v="500"/>
  </r>
  <r>
    <s v="JUSTIN"/>
    <s v="03"/>
    <s v="TRIANGLE"/>
    <s v="TRIANGLE/LAKEPL"/>
    <x v="623"/>
    <x v="5"/>
    <x v="3"/>
    <s v="Invoice"/>
    <s v="100002068"/>
    <x v="166"/>
    <x v="29"/>
    <x v="26"/>
    <x v="0"/>
    <n v="250"/>
  </r>
  <r>
    <s v="JUSTIN"/>
    <s v="03"/>
    <s v="TRIANGLE"/>
    <s v="TRIANGLE/LAKEPL"/>
    <x v="623"/>
    <x v="5"/>
    <x v="3"/>
    <s v="Invoice"/>
    <s v="100002069"/>
    <x v="445"/>
    <x v="30"/>
    <x v="27"/>
    <x v="0"/>
    <n v="315"/>
  </r>
  <r>
    <s v=""/>
    <s v="03"/>
    <s v="CPSMULB"/>
    <s v="UAP/MULBERRY"/>
    <x v="636"/>
    <x v="5"/>
    <x v="3"/>
    <s v="Invoice"/>
    <s v="100002081"/>
    <x v="5"/>
    <x v="72"/>
    <x v="4"/>
    <x v="0"/>
    <n v="180"/>
  </r>
  <r>
    <s v="JUSTIN"/>
    <s v="03"/>
    <s v="G&amp;DFARMS"/>
    <s v="MIDDLE"/>
    <x v="637"/>
    <x v="5"/>
    <x v="3"/>
    <s v="Invoice"/>
    <s v="100002088"/>
    <x v="509"/>
    <x v="446"/>
    <x v="22"/>
    <x v="2"/>
    <n v="15.0175"/>
  </r>
  <r>
    <s v="JUSTIN"/>
    <s v="03"/>
    <s v="CPSWACHU"/>
    <s v="WAUCHULA"/>
    <x v="626"/>
    <x v="5"/>
    <x v="3"/>
    <s v="Invoice"/>
    <s v="100002104"/>
    <x v="191"/>
    <x v="169"/>
    <x v="61"/>
    <x v="0"/>
    <n v="180"/>
  </r>
  <r>
    <s v="JUSTIN"/>
    <s v="03"/>
    <s v="CPSWACHU"/>
    <s v="WAUCHULA"/>
    <x v="626"/>
    <x v="5"/>
    <x v="3"/>
    <s v="Invoice"/>
    <s v="100002105"/>
    <x v="196"/>
    <x v="172"/>
    <x v="61"/>
    <x v="0"/>
    <n v="360"/>
  </r>
  <r>
    <s v="JUSTIN"/>
    <s v="03"/>
    <s v="CPSWACHU"/>
    <s v="WAUCHULA"/>
    <x v="626"/>
    <x v="5"/>
    <x v="3"/>
    <s v="Invoice"/>
    <s v="100002106"/>
    <x v="34"/>
    <x v="29"/>
    <x v="26"/>
    <x v="0"/>
    <n v="360"/>
  </r>
  <r>
    <s v="JUSTIN"/>
    <s v="03"/>
    <s v="CPSFTPIE"/>
    <s v="FT. PIERCE"/>
    <x v="638"/>
    <x v="5"/>
    <x v="3"/>
    <s v="Invoice"/>
    <s v="100002133"/>
    <x v="34"/>
    <x v="29"/>
    <x v="26"/>
    <x v="0"/>
    <n v="180"/>
  </r>
  <r>
    <s v="JUSTIN"/>
    <s v="03"/>
    <s v="CPSFTPIE"/>
    <s v="FT. PIERCE"/>
    <x v="638"/>
    <x v="5"/>
    <x v="3"/>
    <s v="Invoice"/>
    <s v="100002133"/>
    <x v="197"/>
    <x v="31"/>
    <x v="4"/>
    <x v="0"/>
    <n v="1000"/>
  </r>
  <r>
    <s v="JUSTIN"/>
    <s v="03"/>
    <s v="G&amp;DFARMS"/>
    <s v="MIDDLE"/>
    <x v="627"/>
    <x v="5"/>
    <x v="3"/>
    <s v="Invoice"/>
    <s v="100002136"/>
    <x v="509"/>
    <x v="446"/>
    <x v="22"/>
    <x v="2"/>
    <n v="15.012499999999999"/>
  </r>
  <r>
    <s v="JUSTIN"/>
    <s v="03"/>
    <s v="SIMPLOT"/>
    <s v="IMMOKALEE"/>
    <x v="639"/>
    <x v="5"/>
    <x v="3"/>
    <s v="Invoice"/>
    <s v="100002166"/>
    <x v="34"/>
    <x v="29"/>
    <x v="26"/>
    <x v="0"/>
    <n v="180"/>
  </r>
  <r>
    <s v="JUSTIN"/>
    <s v="03"/>
    <s v="CPSFTPIE"/>
    <s v="FT. PIERCE"/>
    <x v="624"/>
    <x v="5"/>
    <x v="3"/>
    <s v="Invoice"/>
    <s v="100002177"/>
    <x v="36"/>
    <x v="31"/>
    <x v="4"/>
    <x v="0"/>
    <n v="180"/>
  </r>
  <r>
    <s v="JUSTIN"/>
    <s v="03"/>
    <s v="COUNCILO"/>
    <s v="COUNCIL-OXFORD"/>
    <x v="624"/>
    <x v="5"/>
    <x v="3"/>
    <s v="Invoice"/>
    <s v="100002178"/>
    <x v="34"/>
    <x v="29"/>
    <x v="26"/>
    <x v="0"/>
    <n v="180"/>
  </r>
  <r>
    <s v="JUSTIN"/>
    <s v="03"/>
    <s v="CPSWAVER"/>
    <s v="WAVERLY"/>
    <x v="624"/>
    <x v="5"/>
    <x v="3"/>
    <s v="Invoice"/>
    <s v="100002181"/>
    <x v="38"/>
    <x v="30"/>
    <x v="27"/>
    <x v="0"/>
    <n v="250"/>
  </r>
  <r>
    <s v="JUSTIN"/>
    <s v="03"/>
    <s v="COASTALAGSUPPLY"/>
    <s v="MULBERRY"/>
    <x v="624"/>
    <x v="5"/>
    <x v="3"/>
    <s v="Invoice"/>
    <s v="100002182"/>
    <x v="378"/>
    <x v="332"/>
    <x v="3"/>
    <x v="0"/>
    <n v="180"/>
  </r>
  <r>
    <s v="JUSTIN"/>
    <s v="03"/>
    <s v="COASTALAGSUPPLY"/>
    <s v="MULBERRY"/>
    <x v="624"/>
    <x v="5"/>
    <x v="3"/>
    <s v="Invoice"/>
    <s v="100002182"/>
    <x v="35"/>
    <x v="30"/>
    <x v="27"/>
    <x v="0"/>
    <n v="180"/>
  </r>
  <r>
    <s v="JUSTIN"/>
    <s v="03"/>
    <s v="COASTALAGSUPPLY"/>
    <s v="MULBERRY"/>
    <x v="624"/>
    <x v="5"/>
    <x v="3"/>
    <s v="Invoice"/>
    <s v="100002183"/>
    <x v="58"/>
    <x v="51"/>
    <x v="22"/>
    <x v="2"/>
    <n v="1.2749999999999999"/>
  </r>
  <r>
    <s v="JUSTIN"/>
    <s v="03"/>
    <s v="COASTALAGSUPPLY"/>
    <s v="MULBERRY"/>
    <x v="624"/>
    <x v="5"/>
    <x v="3"/>
    <s v="Invoice"/>
    <s v="100002184"/>
    <x v="75"/>
    <x v="68"/>
    <x v="22"/>
    <x v="2"/>
    <n v="2.5099999999999998"/>
  </r>
  <r>
    <s v="JUSTIN"/>
    <s v="03"/>
    <s v="TRIANGLE"/>
    <s v="TRIANGLE/LAKEPL"/>
    <x v="629"/>
    <x v="5"/>
    <x v="3"/>
    <s v="Invoice"/>
    <s v="100002199"/>
    <x v="197"/>
    <x v="31"/>
    <x v="4"/>
    <x v="0"/>
    <n v="250"/>
  </r>
  <r>
    <s v="JUSTIN"/>
    <s v="03"/>
    <s v="TRIANGLE"/>
    <s v="TRIANGLE/LAKEPL"/>
    <x v="629"/>
    <x v="5"/>
    <x v="3"/>
    <s v="Invoice"/>
    <s v="100002200"/>
    <x v="36"/>
    <x v="31"/>
    <x v="4"/>
    <x v="0"/>
    <n v="180"/>
  </r>
  <r>
    <s v="JUSTIN"/>
    <s v="03"/>
    <s v="COUNCILO"/>
    <s v="COUNCIL-OXFORD"/>
    <x v="630"/>
    <x v="5"/>
    <x v="3"/>
    <s v="Invoice"/>
    <s v="100002209"/>
    <x v="211"/>
    <x v="187"/>
    <x v="17"/>
    <x v="0"/>
    <n v="10"/>
  </r>
  <r>
    <s v="JUSTIN"/>
    <s v="03"/>
    <s v="CPSWACHU"/>
    <s v="WAUCHULA"/>
    <x v="630"/>
    <x v="5"/>
    <x v="3"/>
    <s v="Invoice"/>
    <s v="100002222"/>
    <x v="34"/>
    <x v="29"/>
    <x v="26"/>
    <x v="0"/>
    <n v="360"/>
  </r>
  <r>
    <s v="JUSTIN"/>
    <s v="03"/>
    <s v="CPSPARRI"/>
    <s v="PARRISH"/>
    <x v="640"/>
    <x v="5"/>
    <x v="3"/>
    <s v="Invoice"/>
    <s v="100002228"/>
    <x v="34"/>
    <x v="29"/>
    <x v="26"/>
    <x v="0"/>
    <n v="180"/>
  </r>
  <r>
    <s v="JUSTIN"/>
    <s v="03"/>
    <s v="GRIFFINF"/>
    <s v="FROSTPROOF"/>
    <x v="641"/>
    <x v="5"/>
    <x v="3"/>
    <s v="Invoice"/>
    <s v="100002245A"/>
    <x v="96"/>
    <x v="90"/>
    <x v="39"/>
    <x v="0"/>
    <n v="70"/>
  </r>
  <r>
    <s v="JUSTIN"/>
    <s v="03"/>
    <s v="GRIFFINF"/>
    <s v="FROSTPROOF"/>
    <x v="641"/>
    <x v="5"/>
    <x v="3"/>
    <s v="Invoice"/>
    <s v="100002245A"/>
    <x v="36"/>
    <x v="31"/>
    <x v="4"/>
    <x v="0"/>
    <n v="900"/>
  </r>
  <r>
    <s v="JUSTIN"/>
    <s v="03"/>
    <s v="GRIFFINF"/>
    <s v="FROSTPROOF"/>
    <x v="641"/>
    <x v="5"/>
    <x v="3"/>
    <s v="Invoice"/>
    <s v="100002251"/>
    <x v="36"/>
    <x v="31"/>
    <x v="4"/>
    <x v="0"/>
    <n v="720"/>
  </r>
  <r>
    <s v="JUSTIN"/>
    <s v="03"/>
    <s v="JRMINC"/>
    <s v="STOREITALL"/>
    <x v="641"/>
    <x v="5"/>
    <x v="3"/>
    <s v="Invoice"/>
    <s v="100002254"/>
    <x v="484"/>
    <x v="479"/>
    <x v="46"/>
    <x v="0"/>
    <n v="85"/>
  </r>
  <r>
    <s v="JUSTIN"/>
    <s v="03"/>
    <s v="GRIFFINF"/>
    <s v="FROSTPROOF"/>
    <x v="642"/>
    <x v="5"/>
    <x v="3"/>
    <s v="Invoice"/>
    <s v="100002255"/>
    <x v="36"/>
    <x v="31"/>
    <x v="4"/>
    <x v="0"/>
    <n v="1080"/>
  </r>
  <r>
    <s v="JUSTIN"/>
    <s v="03"/>
    <s v="GRIFFINF"/>
    <s v="FROSTPROOF"/>
    <x v="631"/>
    <x v="5"/>
    <x v="3"/>
    <s v="Invoice"/>
    <s v="100002263"/>
    <x v="96"/>
    <x v="90"/>
    <x v="39"/>
    <x v="0"/>
    <n v="110"/>
  </r>
  <r>
    <s v="JUSTIN"/>
    <s v="03"/>
    <s v="GRIFFINF"/>
    <s v="FROSTPROOF"/>
    <x v="631"/>
    <x v="5"/>
    <x v="3"/>
    <s v="Invoice"/>
    <s v="100002263"/>
    <x v="36"/>
    <x v="31"/>
    <x v="4"/>
    <x v="0"/>
    <n v="1080"/>
  </r>
  <r>
    <s v="JUSTIN"/>
    <s v="03"/>
    <s v="SIMPLOT"/>
    <s v="IMMOKALEE"/>
    <x v="631"/>
    <x v="5"/>
    <x v="3"/>
    <s v="Invoice"/>
    <s v="100002264"/>
    <x v="34"/>
    <x v="29"/>
    <x v="26"/>
    <x v="0"/>
    <n v="360"/>
  </r>
  <r>
    <s v="JUSTIN"/>
    <s v="03"/>
    <s v="CPSPARRI"/>
    <s v="PARRISH"/>
    <x v="631"/>
    <x v="5"/>
    <x v="3"/>
    <s v="Invoice"/>
    <s v="100002265"/>
    <x v="34"/>
    <x v="29"/>
    <x v="26"/>
    <x v="0"/>
    <n v="180"/>
  </r>
  <r>
    <s v="JUSTIN"/>
    <s v="03"/>
    <s v="CPSWACHU"/>
    <s v="WAUCHULA"/>
    <x v="631"/>
    <x v="5"/>
    <x v="3"/>
    <s v="Invoice"/>
    <s v="100002266"/>
    <x v="34"/>
    <x v="29"/>
    <x v="26"/>
    <x v="0"/>
    <n v="180"/>
  </r>
  <r>
    <s v="JUSTIN"/>
    <s v="03"/>
    <s v="COUNCILO"/>
    <s v="COUNCIL-OXFORD"/>
    <x v="631"/>
    <x v="5"/>
    <x v="3"/>
    <s v="Invoice"/>
    <s v="100002268"/>
    <x v="34"/>
    <x v="29"/>
    <x v="26"/>
    <x v="0"/>
    <n v="180"/>
  </r>
  <r>
    <s v="JUSTIN"/>
    <s v="03"/>
    <s v="COUNCILO"/>
    <s v="COUNCIL-OXFORD"/>
    <x v="631"/>
    <x v="5"/>
    <x v="3"/>
    <s v="Invoice"/>
    <s v="100002268"/>
    <x v="40"/>
    <x v="35"/>
    <x v="29"/>
    <x v="0"/>
    <n v="180"/>
  </r>
  <r>
    <s v="JUSTIN"/>
    <s v="03"/>
    <s v="TRIANGLE"/>
    <s v="TRIANGLE/LAKEPL"/>
    <x v="631"/>
    <x v="5"/>
    <x v="3"/>
    <s v="Invoice"/>
    <s v="100002270"/>
    <x v="100"/>
    <x v="94"/>
    <x v="41"/>
    <x v="0"/>
    <n v="3000"/>
  </r>
  <r>
    <s v="JUSTIN"/>
    <s v="03"/>
    <s v="CPSWACHU"/>
    <s v="WAUCHULA"/>
    <x v="631"/>
    <x v="5"/>
    <x v="3"/>
    <s v="Invoice"/>
    <s v="100002275"/>
    <x v="34"/>
    <x v="29"/>
    <x v="26"/>
    <x v="0"/>
    <n v="180"/>
  </r>
  <r>
    <s v="JUSTIN"/>
    <s v="03"/>
    <s v="CPSOKEE"/>
    <s v="OKEE-LIQ PLANT"/>
    <x v="632"/>
    <x v="5"/>
    <x v="3"/>
    <s v="Invoice"/>
    <s v="100002280"/>
    <x v="134"/>
    <x v="94"/>
    <x v="41"/>
    <x v="0"/>
    <n v="1905"/>
  </r>
  <r>
    <s v="JUSTIN"/>
    <s v="03"/>
    <s v="COUNCILO"/>
    <s v="COUNCIL-OXFORD"/>
    <x v="632"/>
    <x v="5"/>
    <x v="3"/>
    <s v="Invoice"/>
    <s v="100002288"/>
    <x v="168"/>
    <x v="88"/>
    <x v="8"/>
    <x v="0"/>
    <n v="90"/>
  </r>
  <r>
    <s v="JUSTIN"/>
    <s v="03"/>
    <s v="TRIANGLE"/>
    <s v="TRIANGLE/LAKEPL"/>
    <x v="632"/>
    <x v="5"/>
    <x v="3"/>
    <s v="Invoice"/>
    <s v="100002292"/>
    <x v="36"/>
    <x v="31"/>
    <x v="4"/>
    <x v="0"/>
    <n v="180"/>
  </r>
  <r>
    <s v="DPOPPELL"/>
    <s v="04"/>
    <s v="M&amp;GFARMS"/>
    <s v="ONA"/>
    <x v="643"/>
    <x v="5"/>
    <x v="3"/>
    <s v="Invoice"/>
    <s v="100001981"/>
    <x v="58"/>
    <x v="51"/>
    <x v="22"/>
    <x v="2"/>
    <n v="15.012499999999999"/>
  </r>
  <r>
    <s v="DPOPPELL"/>
    <s v="04"/>
    <s v="FERRISFA"/>
    <s v="BLUEBERRY-NEW"/>
    <x v="643"/>
    <x v="5"/>
    <x v="3"/>
    <s v="Invoice"/>
    <s v="100001982"/>
    <x v="435"/>
    <x v="368"/>
    <x v="22"/>
    <x v="2"/>
    <n v="15.032500000000001"/>
  </r>
  <r>
    <s v="DPOPPELL"/>
    <s v="04"/>
    <s v="CHARLIEG-LLC"/>
    <s v="DAIRY"/>
    <x v="643"/>
    <x v="5"/>
    <x v="3"/>
    <s v="Invoice"/>
    <s v="100001987"/>
    <x v="67"/>
    <x v="60"/>
    <x v="22"/>
    <x v="2"/>
    <n v="11.032500000000001"/>
  </r>
  <r>
    <s v=""/>
    <s v="04"/>
    <s v="PORTER HA"/>
    <s v="PASTURE"/>
    <x v="643"/>
    <x v="5"/>
    <x v="3"/>
    <s v="Invoice"/>
    <s v="100001989"/>
    <x v="534"/>
    <x v="470"/>
    <x v="22"/>
    <x v="2"/>
    <n v="3.5175000000000001"/>
  </r>
  <r>
    <s v="DPOPPELL"/>
    <s v="04"/>
    <s v="M&amp;GFARMS"/>
    <s v="SR-674"/>
    <x v="643"/>
    <x v="5"/>
    <x v="3"/>
    <s v="Invoice"/>
    <s v="100001990"/>
    <x v="58"/>
    <x v="51"/>
    <x v="22"/>
    <x v="2"/>
    <n v="15.022500000000001"/>
  </r>
  <r>
    <s v="DPOPPELL"/>
    <s v="04"/>
    <s v="THREESTA"/>
    <s v="WALDEN-SHEFFIEL"/>
    <x v="643"/>
    <x v="5"/>
    <x v="3"/>
    <s v="Invoice"/>
    <s v="100001991"/>
    <x v="50"/>
    <x v="43"/>
    <x v="22"/>
    <x v="2"/>
    <n v="10.012499999999999"/>
  </r>
  <r>
    <s v="DPOPPELL"/>
    <s v="04"/>
    <s v="CJABBOTT"/>
    <s v="BOWLINGGREEN"/>
    <x v="633"/>
    <x v="5"/>
    <x v="3"/>
    <s v="Invoice"/>
    <s v="100001992"/>
    <x v="110"/>
    <x v="97"/>
    <x v="16"/>
    <x v="0"/>
    <n v="250"/>
  </r>
  <r>
    <s v="DPOPPELL"/>
    <s v="04"/>
    <s v="SWEETLIFE"/>
    <s v="KEENE RD."/>
    <x v="633"/>
    <x v="5"/>
    <x v="3"/>
    <s v="Invoice"/>
    <s v="100002001"/>
    <x v="67"/>
    <x v="60"/>
    <x v="22"/>
    <x v="2"/>
    <n v="15.032"/>
  </r>
  <r>
    <s v="DPOPPELL"/>
    <s v="04"/>
    <s v="ROQUEFARMS"/>
    <s v="MEEKHORIZON"/>
    <x v="633"/>
    <x v="5"/>
    <x v="3"/>
    <s v="Invoice"/>
    <s v="100002003"/>
    <x v="43"/>
    <x v="38"/>
    <x v="22"/>
    <x v="2"/>
    <n v="5"/>
  </r>
  <r>
    <s v="DPOPPELL"/>
    <s v="04"/>
    <s v="BONIFACIO"/>
    <s v="PANDORA"/>
    <x v="633"/>
    <x v="5"/>
    <x v="3"/>
    <s v="Invoice"/>
    <s v="100002004"/>
    <x v="63"/>
    <x v="56"/>
    <x v="22"/>
    <x v="2"/>
    <n v="1"/>
  </r>
  <r>
    <s v="DPOPPELL"/>
    <s v="04"/>
    <s v="LEE GILLM"/>
    <s v="THONOTOSASSA"/>
    <x v="633"/>
    <x v="5"/>
    <x v="3"/>
    <s v="Invoice"/>
    <s v="100002005"/>
    <x v="63"/>
    <x v="56"/>
    <x v="22"/>
    <x v="2"/>
    <n v="2"/>
  </r>
  <r>
    <s v="DPOPPELL"/>
    <s v="04"/>
    <s v="SPIVEYFA"/>
    <s v="HOPEWELL"/>
    <x v="633"/>
    <x v="5"/>
    <x v="3"/>
    <s v="Invoice"/>
    <s v="100002007"/>
    <x v="56"/>
    <x v="49"/>
    <x v="22"/>
    <x v="2"/>
    <n v="3.5"/>
  </r>
  <r>
    <s v="DPOPPELL"/>
    <s v="04"/>
    <s v="SYDNEYFA"/>
    <s v="FORBES ROAD"/>
    <x v="633"/>
    <x v="5"/>
    <x v="3"/>
    <s v="Invoice"/>
    <s v="100002008"/>
    <x v="50"/>
    <x v="43"/>
    <x v="22"/>
    <x v="2"/>
    <n v="7.5"/>
  </r>
  <r>
    <s v="DPOPPELL"/>
    <s v="04"/>
    <s v="GUILLERMOV"/>
    <s v="JENT AVE"/>
    <x v="633"/>
    <x v="5"/>
    <x v="3"/>
    <s v="Invoice"/>
    <s v="100002009"/>
    <x v="53"/>
    <x v="46"/>
    <x v="22"/>
    <x v="2"/>
    <n v="1"/>
  </r>
  <r>
    <s v="DPOPPELL"/>
    <s v="04"/>
    <s v="BONIFACIO"/>
    <s v="PANDORA"/>
    <x v="633"/>
    <x v="5"/>
    <x v="3"/>
    <s v="Invoice"/>
    <s v="100002010"/>
    <x v="63"/>
    <x v="56"/>
    <x v="22"/>
    <x v="2"/>
    <n v="1.5"/>
  </r>
  <r>
    <s v="DPOPPELL"/>
    <s v="04"/>
    <s v="CHAVEZJOR"/>
    <s v="JOSE' CHAV- COD"/>
    <x v="634"/>
    <x v="5"/>
    <x v="3"/>
    <s v="Invoice"/>
    <s v="100002019"/>
    <x v="53"/>
    <x v="46"/>
    <x v="22"/>
    <x v="2"/>
    <n v="0.15"/>
  </r>
  <r>
    <s v="DPOPPELL"/>
    <s v="04"/>
    <s v="JOSEHERN"/>
    <s v="KEYSVILLE N"/>
    <x v="634"/>
    <x v="5"/>
    <x v="3"/>
    <s v="Invoice"/>
    <s v="100002023"/>
    <x v="58"/>
    <x v="51"/>
    <x v="22"/>
    <x v="2"/>
    <n v="15.0075"/>
  </r>
  <r>
    <s v="DPOPPELL"/>
    <s v="04"/>
    <s v="CIRCLEGF&amp;R LLC"/>
    <s v="KNIGHTS-N/SOUTH"/>
    <x v="634"/>
    <x v="5"/>
    <x v="3"/>
    <s v="Invoice"/>
    <s v="100002025"/>
    <x v="67"/>
    <x v="60"/>
    <x v="22"/>
    <x v="2"/>
    <n v="15.0025"/>
  </r>
  <r>
    <s v="DPOPPELL"/>
    <s v="04"/>
    <s v="FAVORITE"/>
    <s v="BETHLEHEM ROAD"/>
    <x v="634"/>
    <x v="5"/>
    <x v="3"/>
    <s v="Invoice"/>
    <s v="100002026"/>
    <x v="58"/>
    <x v="51"/>
    <x v="22"/>
    <x v="2"/>
    <n v="15.012"/>
  </r>
  <r>
    <s v="DPOPPELL"/>
    <s v="04"/>
    <s v="ALONSOFARMS"/>
    <s v="IKESMITH"/>
    <x v="634"/>
    <x v="5"/>
    <x v="3"/>
    <s v="Invoice"/>
    <s v="100002027"/>
    <x v="50"/>
    <x v="43"/>
    <x v="22"/>
    <x v="2"/>
    <n v="5"/>
  </r>
  <r>
    <s v="DPOPPELL"/>
    <s v="04"/>
    <s v="GUTIERREZA"/>
    <s v="DUETTE"/>
    <x v="634"/>
    <x v="5"/>
    <x v="3"/>
    <s v="Invoice"/>
    <s v="100002028"/>
    <x v="43"/>
    <x v="38"/>
    <x v="22"/>
    <x v="2"/>
    <n v="4.0049999999999999"/>
  </r>
  <r>
    <s v="DPOPPELL"/>
    <s v="04"/>
    <s v="DURGAFARMS"/>
    <s v="SOUTHTANK"/>
    <x v="634"/>
    <x v="5"/>
    <x v="3"/>
    <s v="Invoice"/>
    <s v="100002029"/>
    <x v="27"/>
    <x v="22"/>
    <x v="22"/>
    <x v="2"/>
    <n v="4.9924999999999997"/>
  </r>
  <r>
    <s v="DPOPPELL"/>
    <s v="04"/>
    <s v="SRISAIAY"/>
    <s v="PASTURE"/>
    <x v="634"/>
    <x v="5"/>
    <x v="3"/>
    <s v="Invoice"/>
    <s v="100002030"/>
    <x v="27"/>
    <x v="22"/>
    <x v="22"/>
    <x v="2"/>
    <n v="5.0149999999999997"/>
  </r>
  <r>
    <s v="DPOPPELL"/>
    <s v="04"/>
    <s v="GUTIERREZA"/>
    <s v="DUETTE"/>
    <x v="634"/>
    <x v="5"/>
    <x v="3"/>
    <s v="Invoice"/>
    <s v="100002031"/>
    <x v="533"/>
    <x v="469"/>
    <x v="22"/>
    <x v="2"/>
    <n v="5.0049999999999999"/>
  </r>
  <r>
    <s v="DPOPPELL"/>
    <s v="04"/>
    <s v="CIRCLEGF&amp;R LLC"/>
    <s v="KNIGHTS-N-#16"/>
    <x v="625"/>
    <x v="5"/>
    <x v="3"/>
    <s v="Invoice"/>
    <s v="100002032"/>
    <x v="67"/>
    <x v="60"/>
    <x v="22"/>
    <x v="2"/>
    <n v="12.065"/>
  </r>
  <r>
    <s v="DPOPPELL"/>
    <s v="04"/>
    <s v="SYDNEYFA"/>
    <s v="FORBES/NORTH"/>
    <x v="625"/>
    <x v="5"/>
    <x v="3"/>
    <s v="Invoice"/>
    <s v="100002040"/>
    <x v="50"/>
    <x v="43"/>
    <x v="22"/>
    <x v="2"/>
    <n v="5"/>
  </r>
  <r>
    <s v="DPOPPELL"/>
    <s v="04"/>
    <s v="STRAWBERRYR"/>
    <s v="RANCH 1"/>
    <x v="625"/>
    <x v="5"/>
    <x v="3"/>
    <s v="Invoice"/>
    <s v="100002041"/>
    <x v="50"/>
    <x v="43"/>
    <x v="22"/>
    <x v="2"/>
    <n v="15.015000000000001"/>
  </r>
  <r>
    <s v="DPOPPELL"/>
    <s v="04"/>
    <s v="STRAWBERRYR"/>
    <s v="RANCH 4"/>
    <x v="625"/>
    <x v="5"/>
    <x v="3"/>
    <s v="Invoice"/>
    <s v="100002043"/>
    <x v="50"/>
    <x v="43"/>
    <x v="22"/>
    <x v="2"/>
    <n v="15.007"/>
  </r>
  <r>
    <s v="DPOPPELL"/>
    <s v="04"/>
    <s v="ALVAREZJ"/>
    <s v="ROGERS"/>
    <x v="625"/>
    <x v="5"/>
    <x v="3"/>
    <s v="Invoice"/>
    <s v="100002044"/>
    <x v="58"/>
    <x v="51"/>
    <x v="22"/>
    <x v="2"/>
    <n v="3"/>
  </r>
  <r>
    <s v="DPOPPELL"/>
    <s v="04"/>
    <s v="SWEETLIFE"/>
    <s v="FOSTER DUKES N"/>
    <x v="635"/>
    <x v="5"/>
    <x v="3"/>
    <s v="Invoice"/>
    <s v="100002051"/>
    <x v="67"/>
    <x v="60"/>
    <x v="22"/>
    <x v="2"/>
    <n v="10"/>
  </r>
  <r>
    <s v="DPOPPELL"/>
    <s v="04"/>
    <s v="SWEETLIFE"/>
    <s v="SWINDLEN"/>
    <x v="635"/>
    <x v="5"/>
    <x v="3"/>
    <s v="Invoice"/>
    <s v="100002053"/>
    <x v="67"/>
    <x v="60"/>
    <x v="22"/>
    <x v="2"/>
    <n v="15"/>
  </r>
  <r>
    <s v="DPOPPELL"/>
    <s v="04"/>
    <s v="SWEETLIFE"/>
    <s v="KNIGHTS GRIFFIN"/>
    <x v="635"/>
    <x v="5"/>
    <x v="3"/>
    <s v="Invoice"/>
    <s v="100002055"/>
    <x v="67"/>
    <x v="60"/>
    <x v="22"/>
    <x v="2"/>
    <n v="15.015000000000001"/>
  </r>
  <r>
    <s v="DPOPPELL"/>
    <s v="04"/>
    <s v="FORTGREENFARMS"/>
    <s v="FTGREEN"/>
    <x v="635"/>
    <x v="5"/>
    <x v="3"/>
    <s v="Invoice"/>
    <s v="100002056"/>
    <x v="58"/>
    <x v="51"/>
    <x v="22"/>
    <x v="2"/>
    <n v="12.5175"/>
  </r>
  <r>
    <s v="DPOPPELL"/>
    <s v="04"/>
    <s v="CJABBOTT"/>
    <s v="JOHNGILL"/>
    <x v="635"/>
    <x v="5"/>
    <x v="3"/>
    <s v="Invoice"/>
    <s v="100002057"/>
    <x v="58"/>
    <x v="51"/>
    <x v="22"/>
    <x v="2"/>
    <n v="2.5074999999999998"/>
  </r>
  <r>
    <s v="DPOPPELL"/>
    <s v="04"/>
    <s v="FANCYFAR"/>
    <s v="CASON1"/>
    <x v="635"/>
    <x v="5"/>
    <x v="3"/>
    <s v="Invoice"/>
    <s v="100002061"/>
    <x v="50"/>
    <x v="43"/>
    <x v="22"/>
    <x v="2"/>
    <n v="7.5149999999999997"/>
  </r>
  <r>
    <s v="DPOPPELL"/>
    <s v="04"/>
    <s v="GAONA, ESPER"/>
    <s v="STRAUSS RD."/>
    <x v="635"/>
    <x v="5"/>
    <x v="3"/>
    <s v="Invoice"/>
    <s v="100002062"/>
    <x v="28"/>
    <x v="23"/>
    <x v="22"/>
    <x v="2"/>
    <n v="1.51"/>
  </r>
  <r>
    <s v="DPOPPELL"/>
    <s v="04"/>
    <s v="JOSEHERN"/>
    <s v="SPARKMAN"/>
    <x v="623"/>
    <x v="5"/>
    <x v="3"/>
    <s v="Invoice"/>
    <s v="100002067"/>
    <x v="58"/>
    <x v="51"/>
    <x v="22"/>
    <x v="2"/>
    <n v="8.0150000000000006"/>
  </r>
  <r>
    <s v="DPOPPELL"/>
    <s v="04"/>
    <s v="FLORIDAAG"/>
    <s v="KINGSWAY"/>
    <x v="623"/>
    <x v="5"/>
    <x v="3"/>
    <s v="Invoice"/>
    <s v="100002070"/>
    <x v="326"/>
    <x v="289"/>
    <x v="22"/>
    <x v="2"/>
    <n v="2.27"/>
  </r>
  <r>
    <s v="DPOPPELL"/>
    <s v="04"/>
    <s v="CHARLIEG-LLC"/>
    <s v="LAMPP ROAD"/>
    <x v="623"/>
    <x v="5"/>
    <x v="3"/>
    <s v="Invoice"/>
    <s v="100002071"/>
    <x v="67"/>
    <x v="60"/>
    <x v="22"/>
    <x v="2"/>
    <n v="7.5149999999999997"/>
  </r>
  <r>
    <s v="DPOPPELL"/>
    <s v="04"/>
    <s v="GUTIERREZA"/>
    <s v="DUETTE"/>
    <x v="623"/>
    <x v="5"/>
    <x v="3"/>
    <s v="Invoice"/>
    <s v="100002072"/>
    <x v="533"/>
    <x v="469"/>
    <x v="22"/>
    <x v="2"/>
    <n v="12.505000000000001"/>
  </r>
  <r>
    <s v="DPOPPELL"/>
    <s v="04"/>
    <s v="CENFLO ORGANICS"/>
    <s v="HWY92"/>
    <x v="623"/>
    <x v="5"/>
    <x v="3"/>
    <s v="Invoice"/>
    <s v="100002073"/>
    <x v="65"/>
    <x v="58"/>
    <x v="22"/>
    <x v="2"/>
    <n v="2"/>
  </r>
  <r>
    <s v="DPOPPELL"/>
    <s v="04"/>
    <s v="THREESTA"/>
    <s v="WALDEN-SHEFFIEL"/>
    <x v="623"/>
    <x v="5"/>
    <x v="3"/>
    <s v="Invoice"/>
    <s v="100002074"/>
    <x v="50"/>
    <x v="43"/>
    <x v="22"/>
    <x v="2"/>
    <n v="10.012499999999999"/>
  </r>
  <r>
    <s v="DPOPPELL"/>
    <s v="04"/>
    <s v="MIDWAYF"/>
    <s v="HAGGERTY ROAD"/>
    <x v="623"/>
    <x v="5"/>
    <x v="3"/>
    <s v="Invoice"/>
    <s v="100002075"/>
    <x v="67"/>
    <x v="60"/>
    <x v="22"/>
    <x v="2"/>
    <n v="8.7624999999999993"/>
  </r>
  <r>
    <s v="DPOPPELL"/>
    <s v="04"/>
    <s v="GAONA, ESPER"/>
    <s v="MCGEERD"/>
    <x v="636"/>
    <x v="5"/>
    <x v="3"/>
    <s v="Invoice"/>
    <s v="100002077"/>
    <x v="43"/>
    <x v="38"/>
    <x v="22"/>
    <x v="2"/>
    <n v="2.0249999999999999"/>
  </r>
  <r>
    <s v="DPOPPELL"/>
    <s v="04"/>
    <s v="MIDWAYF"/>
    <s v="WILDER RD."/>
    <x v="636"/>
    <x v="5"/>
    <x v="3"/>
    <s v="Invoice"/>
    <s v="100002078"/>
    <x v="67"/>
    <x v="60"/>
    <x v="22"/>
    <x v="2"/>
    <n v="2.0375000000000001"/>
  </r>
  <r>
    <s v="DPOPPELL"/>
    <s v="04"/>
    <s v="SWEETLIFE"/>
    <s v="KNIGHTS GRIFFIN"/>
    <x v="636"/>
    <x v="5"/>
    <x v="3"/>
    <s v="Invoice"/>
    <s v="100002082"/>
    <x v="67"/>
    <x v="60"/>
    <x v="22"/>
    <x v="2"/>
    <n v="12.545"/>
  </r>
  <r>
    <s v="DPOPPELL"/>
    <s v="04"/>
    <s v="EWSIMMON"/>
    <s v="MUD LK-BLUEBERR"/>
    <x v="636"/>
    <x v="5"/>
    <x v="3"/>
    <s v="Invoice"/>
    <s v="100002083"/>
    <x v="357"/>
    <x v="317"/>
    <x v="25"/>
    <x v="0"/>
    <n v="0.9375"/>
  </r>
  <r>
    <s v="DPOPPELL"/>
    <s v="04"/>
    <s v="EWSIMMON"/>
    <s v="MUD LK-BLUEBERR"/>
    <x v="636"/>
    <x v="5"/>
    <x v="3"/>
    <s v="Invoice"/>
    <s v="100002083"/>
    <x v="521"/>
    <x v="458"/>
    <x v="22"/>
    <x v="2"/>
    <n v="2.5125000000000002"/>
  </r>
  <r>
    <s v="DPOPPELL"/>
    <s v="04"/>
    <s v="ROQUEFARMS"/>
    <s v="SWEETWATER"/>
    <x v="636"/>
    <x v="5"/>
    <x v="3"/>
    <s v="Invoice"/>
    <s v="100002084"/>
    <x v="43"/>
    <x v="38"/>
    <x v="22"/>
    <x v="2"/>
    <n v="15"/>
  </r>
  <r>
    <s v="DPOPPELL"/>
    <s v="04"/>
    <s v="UNDERGROUNDFARM"/>
    <s v="CAREYRD"/>
    <x v="637"/>
    <x v="5"/>
    <x v="3"/>
    <s v="Invoice"/>
    <s v="100002086"/>
    <x v="338"/>
    <x v="106"/>
    <x v="8"/>
    <x v="0"/>
    <n v="250"/>
  </r>
  <r>
    <s v="DPOPPELL"/>
    <s v="04"/>
    <s v="CHAVEZJOR"/>
    <s v="JOSE' CHAV- COD"/>
    <x v="637"/>
    <x v="5"/>
    <x v="3"/>
    <s v="Invoice"/>
    <s v="100002087"/>
    <x v="53"/>
    <x v="46"/>
    <x v="22"/>
    <x v="2"/>
    <n v="0.15"/>
  </r>
  <r>
    <s v="DPOPPELL"/>
    <s v="04"/>
    <s v="MIDWAYF"/>
    <s v="ALS - SOUTH"/>
    <x v="637"/>
    <x v="5"/>
    <x v="3"/>
    <s v="Invoice"/>
    <s v="100002089"/>
    <x v="67"/>
    <x v="60"/>
    <x v="22"/>
    <x v="2"/>
    <n v="1.02"/>
  </r>
  <r>
    <s v="DPOPPELL"/>
    <s v="04"/>
    <s v="MENDOZAHEC"/>
    <s v="KNIGHTSGRIFFIN"/>
    <x v="637"/>
    <x v="5"/>
    <x v="3"/>
    <s v="Invoice"/>
    <s v="100002090"/>
    <x v="69"/>
    <x v="62"/>
    <x v="22"/>
    <x v="2"/>
    <n v="2.5249999999999999"/>
  </r>
  <r>
    <s v="DPOPPELL"/>
    <s v="04"/>
    <s v="MENDOZAHEC"/>
    <s v="HWY60"/>
    <x v="637"/>
    <x v="5"/>
    <x v="3"/>
    <s v="Invoice"/>
    <s v="100002091"/>
    <x v="69"/>
    <x v="62"/>
    <x v="22"/>
    <x v="2"/>
    <n v="5.01"/>
  </r>
  <r>
    <s v="DPOPPELL"/>
    <s v="04"/>
    <s v="CHBERRY"/>
    <s v="BOBCAT"/>
    <x v="637"/>
    <x v="5"/>
    <x v="3"/>
    <s v="Invoice"/>
    <s v="100002094"/>
    <x v="58"/>
    <x v="51"/>
    <x v="22"/>
    <x v="2"/>
    <n v="2"/>
  </r>
  <r>
    <s v="DPOPPELL"/>
    <s v="04"/>
    <s v="LARRYENN"/>
    <s v="CASON ROAD"/>
    <x v="637"/>
    <x v="5"/>
    <x v="3"/>
    <s v="Invoice"/>
    <s v="100002095"/>
    <x v="28"/>
    <x v="23"/>
    <x v="22"/>
    <x v="2"/>
    <n v="2.4975000000000001"/>
  </r>
  <r>
    <s v="DPOPPELL"/>
    <s v="04"/>
    <s v="SYDNEYFA"/>
    <s v="SYDNEY-WASHER"/>
    <x v="637"/>
    <x v="5"/>
    <x v="3"/>
    <s v="Invoice"/>
    <s v="100002096"/>
    <x v="50"/>
    <x v="43"/>
    <x v="22"/>
    <x v="2"/>
    <n v="5.0324999999999998"/>
  </r>
  <r>
    <s v="DPOPPELL"/>
    <s v="04"/>
    <s v="GARCIAFARMS"/>
    <s v="MAILIING"/>
    <x v="637"/>
    <x v="5"/>
    <x v="3"/>
    <s v="Invoice"/>
    <s v="100002101"/>
    <x v="542"/>
    <x v="19"/>
    <x v="19"/>
    <x v="0"/>
    <n v="20"/>
  </r>
  <r>
    <s v="DPOPPELL"/>
    <s v="04"/>
    <s v="SOUTHERNHILL"/>
    <s v="SCHOFIELD"/>
    <x v="626"/>
    <x v="5"/>
    <x v="3"/>
    <s v="Invoice"/>
    <s v="100002114"/>
    <x v="47"/>
    <x v="41"/>
    <x v="22"/>
    <x v="2"/>
    <n v="2.5"/>
  </r>
  <r>
    <s v="DPOPPELL"/>
    <s v="04"/>
    <s v="MIKELOTT"/>
    <s v="HILLSBOROUGH"/>
    <x v="626"/>
    <x v="5"/>
    <x v="3"/>
    <s v="Invoice"/>
    <s v="100002118"/>
    <x v="43"/>
    <x v="38"/>
    <x v="22"/>
    <x v="2"/>
    <n v="5"/>
  </r>
  <r>
    <s v="DPOPPELL"/>
    <s v="04"/>
    <s v="GUTIERREZA"/>
    <s v="DUETTE"/>
    <x v="627"/>
    <x v="5"/>
    <x v="3"/>
    <s v="Invoice"/>
    <s v="100002120"/>
    <x v="58"/>
    <x v="51"/>
    <x v="22"/>
    <x v="2"/>
    <n v="5.0175000000000001"/>
  </r>
  <r>
    <s v="DPOPPELL"/>
    <s v="04"/>
    <s v="GUTIERREZA"/>
    <s v="DUETTE"/>
    <x v="627"/>
    <x v="5"/>
    <x v="3"/>
    <s v="Invoice"/>
    <s v="100002121"/>
    <x v="43"/>
    <x v="38"/>
    <x v="22"/>
    <x v="2"/>
    <n v="3.0049999999999999"/>
  </r>
  <r>
    <s v="DPOPPELL"/>
    <s v="04"/>
    <s v="SANCHEZFARM"/>
    <s v="WACHULA"/>
    <x v="627"/>
    <x v="5"/>
    <x v="3"/>
    <s v="Invoice"/>
    <s v="100002123"/>
    <x v="58"/>
    <x v="51"/>
    <x v="22"/>
    <x v="2"/>
    <n v="6.52"/>
  </r>
  <r>
    <s v="DPOPPELL"/>
    <s v="04"/>
    <s v="SOUTHERNHILL"/>
    <s v="SCHOFIELD"/>
    <x v="627"/>
    <x v="5"/>
    <x v="3"/>
    <s v="Invoice"/>
    <s v="100002124"/>
    <x v="43"/>
    <x v="38"/>
    <x v="22"/>
    <x v="2"/>
    <n v="2.5"/>
  </r>
  <r>
    <s v="DPOPPELL"/>
    <s v="04"/>
    <s v="MIDWAYF"/>
    <s v="FUTCH"/>
    <x v="627"/>
    <x v="5"/>
    <x v="3"/>
    <s v="Invoice"/>
    <s v="100002125"/>
    <x v="67"/>
    <x v="60"/>
    <x v="22"/>
    <x v="2"/>
    <n v="4"/>
  </r>
  <r>
    <s v="DPOPPELL"/>
    <s v="04"/>
    <s v="SANCHEZFARM"/>
    <s v="WACHULA"/>
    <x v="627"/>
    <x v="5"/>
    <x v="3"/>
    <s v="Invoice"/>
    <s v="100002128"/>
    <x v="43"/>
    <x v="38"/>
    <x v="22"/>
    <x v="2"/>
    <n v="4.9974999999999996"/>
  </r>
  <r>
    <s v="DPOPPELL"/>
    <s v="04"/>
    <s v="STEVEMAT"/>
    <s v="DRAWDY"/>
    <x v="627"/>
    <x v="5"/>
    <x v="3"/>
    <s v="Invoice"/>
    <s v="100002131"/>
    <x v="107"/>
    <x v="98"/>
    <x v="36"/>
    <x v="0"/>
    <n v="15"/>
  </r>
  <r>
    <s v=""/>
    <s v="04"/>
    <s v="VENTURAFARMS"/>
    <s v="MAIN"/>
    <x v="627"/>
    <x v="5"/>
    <x v="3"/>
    <s v="Invoice"/>
    <s v="100002134"/>
    <x v="42"/>
    <x v="37"/>
    <x v="30"/>
    <x v="0"/>
    <n v="5"/>
  </r>
  <r>
    <s v="DPOPPELL"/>
    <s v="04"/>
    <s v="VENTURAFARMS"/>
    <s v="GALLAGHER"/>
    <x v="627"/>
    <x v="5"/>
    <x v="3"/>
    <s v="Invoice"/>
    <s v="100002137"/>
    <x v="63"/>
    <x v="56"/>
    <x v="22"/>
    <x v="2"/>
    <n v="1"/>
  </r>
  <r>
    <s v="DPOPPELL"/>
    <s v="04"/>
    <s v="ELIASCEDILLO"/>
    <s v="LITHIA"/>
    <x v="627"/>
    <x v="5"/>
    <x v="3"/>
    <s v="Invoice"/>
    <s v="100002138"/>
    <x v="58"/>
    <x v="51"/>
    <x v="22"/>
    <x v="2"/>
    <n v="1.5"/>
  </r>
  <r>
    <s v="DPOPPELL"/>
    <s v="04"/>
    <s v="ELIASCEDILLO"/>
    <s v="TRAPNELL"/>
    <x v="627"/>
    <x v="5"/>
    <x v="3"/>
    <s v="Invoice"/>
    <s v="100002139"/>
    <x v="43"/>
    <x v="38"/>
    <x v="22"/>
    <x v="2"/>
    <n v="1.25"/>
  </r>
  <r>
    <s v="DPOPPELL"/>
    <s v="04"/>
    <s v="SYDNEYFA"/>
    <s v="FORBES ROAD"/>
    <x v="627"/>
    <x v="5"/>
    <x v="3"/>
    <s v="Invoice"/>
    <s v="100002140"/>
    <x v="50"/>
    <x v="43"/>
    <x v="22"/>
    <x v="2"/>
    <n v="5.0149999999999997"/>
  </r>
  <r>
    <s v="DPOPPELL"/>
    <s v="04"/>
    <s v="ALONSOFARMS"/>
    <s v="SCARPO"/>
    <x v="638"/>
    <x v="5"/>
    <x v="3"/>
    <s v="Invoice"/>
    <s v="100002141"/>
    <x v="43"/>
    <x v="38"/>
    <x v="22"/>
    <x v="2"/>
    <n v="2.4950000000000001"/>
  </r>
  <r>
    <s v="DPOPPELL"/>
    <s v="04"/>
    <s v="SYDNEYFA"/>
    <s v="FORBES ROAD"/>
    <x v="638"/>
    <x v="5"/>
    <x v="3"/>
    <s v="Invoice"/>
    <s v="100002142"/>
    <x v="69"/>
    <x v="62"/>
    <x v="22"/>
    <x v="2"/>
    <n v="5"/>
  </r>
  <r>
    <s v="DPOPPELL"/>
    <s v="04"/>
    <s v="SYDNEYFA"/>
    <s v="FORBES/NORTH"/>
    <x v="638"/>
    <x v="5"/>
    <x v="3"/>
    <s v="Invoice"/>
    <s v="100002142A"/>
    <x v="69"/>
    <x v="62"/>
    <x v="22"/>
    <x v="2"/>
    <n v="5"/>
  </r>
  <r>
    <s v="DPOPPELL"/>
    <s v="04"/>
    <s v="MIDWAYF"/>
    <s v="ALS - SOUTH"/>
    <x v="638"/>
    <x v="5"/>
    <x v="3"/>
    <s v="Invoice"/>
    <s v="100002145"/>
    <x v="233"/>
    <x v="209"/>
    <x v="22"/>
    <x v="2"/>
    <n v="2.5"/>
  </r>
  <r>
    <s v="DPOPPELL"/>
    <s v="04"/>
    <s v="MENDOZAHEC"/>
    <s v="FISHFARM"/>
    <x v="638"/>
    <x v="5"/>
    <x v="3"/>
    <s v="Invoice"/>
    <s v="100002146"/>
    <x v="69"/>
    <x v="62"/>
    <x v="22"/>
    <x v="2"/>
    <n v="2.5099999999999998"/>
  </r>
  <r>
    <s v="DPOPPELL"/>
    <s v="04"/>
    <s v="MIKELOTT"/>
    <s v="HILLSBOROUGH/E"/>
    <x v="638"/>
    <x v="5"/>
    <x v="3"/>
    <s v="Invoice"/>
    <s v="100002149"/>
    <x v="43"/>
    <x v="38"/>
    <x v="22"/>
    <x v="2"/>
    <n v="5.03"/>
  </r>
  <r>
    <s v="DPOPPELL"/>
    <s v="04"/>
    <s v="SRISAIAY"/>
    <s v="PASTURE"/>
    <x v="638"/>
    <x v="5"/>
    <x v="3"/>
    <s v="Invoice"/>
    <s v="100002150"/>
    <x v="27"/>
    <x v="22"/>
    <x v="22"/>
    <x v="2"/>
    <n v="5.0199999999999996"/>
  </r>
  <r>
    <s v="DPOPPELL"/>
    <s v="04"/>
    <s v="TRIANGLE"/>
    <s v="OAKHAMMOCK"/>
    <x v="628"/>
    <x v="5"/>
    <x v="3"/>
    <s v="Invoice"/>
    <s v="100002151"/>
    <x v="125"/>
    <x v="113"/>
    <x v="22"/>
    <x v="2"/>
    <n v="1.2450000000000001"/>
  </r>
  <r>
    <s v="DPOPPELL"/>
    <s v="04"/>
    <s v="THREESTA"/>
    <s v="WALDEN-SHEFFIEL"/>
    <x v="628"/>
    <x v="5"/>
    <x v="3"/>
    <s v="Invoice"/>
    <s v="100002155"/>
    <x v="69"/>
    <x v="62"/>
    <x v="22"/>
    <x v="2"/>
    <n v="10"/>
  </r>
  <r>
    <s v="DPOPPELL"/>
    <s v="04"/>
    <s v="THREESTA"/>
    <s v="WALDEN-SHEFFIEL"/>
    <x v="628"/>
    <x v="5"/>
    <x v="3"/>
    <s v="Invoice"/>
    <s v="100002156"/>
    <x v="69"/>
    <x v="62"/>
    <x v="22"/>
    <x v="2"/>
    <n v="5.0170000000000003"/>
  </r>
  <r>
    <s v="DPOPPELL"/>
    <s v="04"/>
    <s v="DURGAFARMS"/>
    <s v="SOUTHTANK"/>
    <x v="628"/>
    <x v="5"/>
    <x v="3"/>
    <s v="Invoice"/>
    <s v="100002159"/>
    <x v="27"/>
    <x v="22"/>
    <x v="22"/>
    <x v="2"/>
    <n v="10.015000000000001"/>
  </r>
  <r>
    <s v="DPOPPELL"/>
    <s v="04"/>
    <s v="LEE GILLM"/>
    <s v="THONOTOSASSA"/>
    <x v="628"/>
    <x v="5"/>
    <x v="3"/>
    <s v="Invoice"/>
    <s v="100002160"/>
    <x v="63"/>
    <x v="56"/>
    <x v="22"/>
    <x v="2"/>
    <n v="2.4849999999999999"/>
  </r>
  <r>
    <s v="DPOPPELL"/>
    <s v="04"/>
    <s v="GWFARMS"/>
    <s v="JAUDONNORTH"/>
    <x v="628"/>
    <x v="5"/>
    <x v="3"/>
    <s v="Invoice"/>
    <s v="100002162"/>
    <x v="43"/>
    <x v="38"/>
    <x v="22"/>
    <x v="2"/>
    <n v="1.2575000000000001"/>
  </r>
  <r>
    <s v="DPOPPELL"/>
    <s v="04"/>
    <s v="FRANKLIN"/>
    <s v="MCGEE RD. NORTH"/>
    <x v="628"/>
    <x v="5"/>
    <x v="3"/>
    <s v="Invoice"/>
    <s v="100002163"/>
    <x v="28"/>
    <x v="23"/>
    <x v="22"/>
    <x v="2"/>
    <n v="6.02"/>
  </r>
  <r>
    <s v="DPOPPELL"/>
    <s v="04"/>
    <s v="CHAVEZJOR"/>
    <s v="JOSE' CHAV- COD"/>
    <x v="628"/>
    <x v="5"/>
    <x v="3"/>
    <s v="Invoice"/>
    <s v="100002165"/>
    <x v="53"/>
    <x v="46"/>
    <x v="22"/>
    <x v="2"/>
    <n v="0.15"/>
  </r>
  <r>
    <s v="DPOPPELL"/>
    <s v="04"/>
    <s v="BONIFACIO"/>
    <s v="CORONET"/>
    <x v="639"/>
    <x v="5"/>
    <x v="3"/>
    <s v="Invoice"/>
    <s v="100002167"/>
    <x v="34"/>
    <x v="29"/>
    <x v="26"/>
    <x v="0"/>
    <n v="5"/>
  </r>
  <r>
    <s v="DPOPPELL"/>
    <s v="04"/>
    <s v="BONIFACIO"/>
    <s v="CORONET"/>
    <x v="639"/>
    <x v="5"/>
    <x v="3"/>
    <s v="Invoice"/>
    <s v="100002167"/>
    <x v="5"/>
    <x v="72"/>
    <x v="4"/>
    <x v="0"/>
    <n v="5"/>
  </r>
  <r>
    <s v="DPOPPELL"/>
    <s v="04"/>
    <s v="M&amp;GFARMS"/>
    <s v="HWY 640"/>
    <x v="639"/>
    <x v="5"/>
    <x v="3"/>
    <s v="Invoice"/>
    <s v="100002168"/>
    <x v="58"/>
    <x v="51"/>
    <x v="22"/>
    <x v="2"/>
    <n v="15"/>
  </r>
  <r>
    <s v="DPOPPELL"/>
    <s v="04"/>
    <s v="ROQUEFARMS"/>
    <s v="RINGDAHL"/>
    <x v="639"/>
    <x v="5"/>
    <x v="3"/>
    <s v="Invoice"/>
    <s v="100002169"/>
    <x v="43"/>
    <x v="38"/>
    <x v="22"/>
    <x v="2"/>
    <n v="3.75"/>
  </r>
  <r>
    <s v="DPOPPELL"/>
    <s v="04"/>
    <s v="FANCYFAR"/>
    <s v="THE HILL"/>
    <x v="639"/>
    <x v="5"/>
    <x v="3"/>
    <s v="Invoice"/>
    <s v="100002170"/>
    <x v="43"/>
    <x v="38"/>
    <x v="22"/>
    <x v="2"/>
    <n v="5.0199999999999996"/>
  </r>
  <r>
    <s v="DPOPPELL"/>
    <s v="04"/>
    <s v="BONIFACIO"/>
    <s v="CORONET"/>
    <x v="639"/>
    <x v="5"/>
    <x v="3"/>
    <s v="Invoice"/>
    <s v="100002172"/>
    <x v="63"/>
    <x v="56"/>
    <x v="22"/>
    <x v="2"/>
    <n v="2.5"/>
  </r>
  <r>
    <s v="DPOPPELL"/>
    <s v="04"/>
    <s v="LARRYENN"/>
    <s v="TRAPNELL ROAD"/>
    <x v="639"/>
    <x v="5"/>
    <x v="3"/>
    <s v="Invoice"/>
    <s v="100002173"/>
    <x v="43"/>
    <x v="38"/>
    <x v="22"/>
    <x v="2"/>
    <n v="4.5"/>
  </r>
  <r>
    <s v="DPOPPELL"/>
    <s v="04"/>
    <s v="JOEPENA"/>
    <s v="HWY 92"/>
    <x v="639"/>
    <x v="5"/>
    <x v="3"/>
    <s v="Invoice"/>
    <s v="100002174"/>
    <x v="114"/>
    <x v="101"/>
    <x v="22"/>
    <x v="2"/>
    <n v="0.75"/>
  </r>
  <r>
    <s v="DPOPPELL"/>
    <s v="04"/>
    <s v="CHARLIEG-LLC"/>
    <s v="DAIRY"/>
    <x v="639"/>
    <x v="5"/>
    <x v="3"/>
    <s v="Invoice"/>
    <s v="100002175"/>
    <x v="233"/>
    <x v="209"/>
    <x v="22"/>
    <x v="2"/>
    <n v="2.4900000000000002"/>
  </r>
  <r>
    <s v="DPOPPELL"/>
    <s v="04"/>
    <s v="STEVEMAT"/>
    <s v="HOPEWELL RD N.S"/>
    <x v="624"/>
    <x v="5"/>
    <x v="3"/>
    <s v="Invoice"/>
    <s v="100002176"/>
    <x v="140"/>
    <x v="72"/>
    <x v="4"/>
    <x v="0"/>
    <n v="500"/>
  </r>
  <r>
    <s v="DPOPPELL"/>
    <s v="04"/>
    <s v="STEVEMAT"/>
    <s v="HOPEWELL RD N.S"/>
    <x v="624"/>
    <x v="5"/>
    <x v="3"/>
    <s v="Invoice"/>
    <s v="100002176"/>
    <x v="79"/>
    <x v="72"/>
    <x v="4"/>
    <x v="0"/>
    <n v="55"/>
  </r>
  <r>
    <s v="DPOPPELL"/>
    <s v="04"/>
    <s v="GUTIERREZA"/>
    <s v="DUETTE"/>
    <x v="624"/>
    <x v="5"/>
    <x v="3"/>
    <s v="Invoice"/>
    <s v="100002179"/>
    <x v="45"/>
    <x v="37"/>
    <x v="30"/>
    <x v="0"/>
    <n v="250"/>
  </r>
  <r>
    <s v=""/>
    <s v="04"/>
    <s v="FILEMONMARTINEZ"/>
    <s v="MAILING"/>
    <x v="624"/>
    <x v="5"/>
    <x v="3"/>
    <s v="Invoice"/>
    <s v="100002180"/>
    <x v="77"/>
    <x v="37"/>
    <x v="30"/>
    <x v="0"/>
    <n v="30"/>
  </r>
  <r>
    <s v="DPOPPELL"/>
    <s v="04"/>
    <s v="GUTIERREZA"/>
    <s v="DUETTE"/>
    <x v="624"/>
    <x v="5"/>
    <x v="3"/>
    <s v="Invoice"/>
    <s v="100002185"/>
    <x v="43"/>
    <x v="38"/>
    <x v="22"/>
    <x v="2"/>
    <n v="2.5274999999999999"/>
  </r>
  <r>
    <s v="DPOPPELL"/>
    <s v="04"/>
    <s v="SPIVEYFA"/>
    <s v="HOPEWELL"/>
    <x v="624"/>
    <x v="5"/>
    <x v="3"/>
    <s v="Invoice"/>
    <s v="100002193"/>
    <x v="56"/>
    <x v="49"/>
    <x v="22"/>
    <x v="2"/>
    <n v="4.0075000000000003"/>
  </r>
  <r>
    <s v="DPOPPELL"/>
    <s v="04"/>
    <s v="MIDWAYF"/>
    <s v="HAGGERTY ROAD"/>
    <x v="624"/>
    <x v="5"/>
    <x v="3"/>
    <s v="Invoice"/>
    <s v="100002194"/>
    <x v="233"/>
    <x v="209"/>
    <x v="22"/>
    <x v="2"/>
    <n v="3"/>
  </r>
  <r>
    <s v="DPOPPELL"/>
    <s v="04"/>
    <s v="M&amp;GFARMS"/>
    <s v="SWEATTLP"/>
    <x v="624"/>
    <x v="5"/>
    <x v="3"/>
    <s v="Invoice"/>
    <s v="100002195"/>
    <x v="58"/>
    <x v="51"/>
    <x v="22"/>
    <x v="2"/>
    <n v="15.012"/>
  </r>
  <r>
    <s v=""/>
    <s v="04"/>
    <s v="FILEMONMARTINEZ"/>
    <s v="MAILING"/>
    <x v="624"/>
    <x v="5"/>
    <x v="3"/>
    <s v="Invoice"/>
    <s v="100002196"/>
    <x v="63"/>
    <x v="56"/>
    <x v="22"/>
    <x v="2"/>
    <n v="2"/>
  </r>
  <r>
    <s v="DPOPPELL"/>
    <s v="04"/>
    <s v="SYDNEYFA"/>
    <s v="FORBES ROAD"/>
    <x v="629"/>
    <x v="5"/>
    <x v="3"/>
    <s v="Invoice"/>
    <s v="100002203"/>
    <x v="69"/>
    <x v="62"/>
    <x v="22"/>
    <x v="2"/>
    <n v="7.5125000000000002"/>
  </r>
  <r>
    <s v="DPOPPELL"/>
    <s v="04"/>
    <s v="MIDWAYF"/>
    <s v="FUTCH"/>
    <x v="629"/>
    <x v="5"/>
    <x v="3"/>
    <s v="Invoice"/>
    <s v="100002206"/>
    <x v="233"/>
    <x v="209"/>
    <x v="22"/>
    <x v="2"/>
    <n v="5.9924999999999997"/>
  </r>
  <r>
    <s v="DPOPPELL"/>
    <s v="04"/>
    <s v="STRAWBERRYR"/>
    <s v="RANCH 1"/>
    <x v="629"/>
    <x v="5"/>
    <x v="3"/>
    <s v="Invoice"/>
    <s v="100002208"/>
    <x v="69"/>
    <x v="62"/>
    <x v="22"/>
    <x v="2"/>
    <n v="15.02"/>
  </r>
  <r>
    <s v="DPOPPELL"/>
    <s v="04"/>
    <s v="STRAWBERRYR"/>
    <s v="RANCH 4"/>
    <x v="630"/>
    <x v="5"/>
    <x v="3"/>
    <s v="Invoice"/>
    <s v="100002210"/>
    <x v="69"/>
    <x v="62"/>
    <x v="22"/>
    <x v="2"/>
    <n v="15.015000000000001"/>
  </r>
  <r>
    <s v="DPOPPELL"/>
    <s v="04"/>
    <s v="MENDOZAHEC"/>
    <s v="FARKAS"/>
    <x v="630"/>
    <x v="5"/>
    <x v="3"/>
    <s v="Invoice"/>
    <s v="100002216"/>
    <x v="69"/>
    <x v="62"/>
    <x v="22"/>
    <x v="2"/>
    <n v="3.5074999999999998"/>
  </r>
  <r>
    <s v="DPOPPELL"/>
    <s v="04"/>
    <s v="SYDNEYFA"/>
    <s v="SYDNEY-WASHER"/>
    <x v="630"/>
    <x v="5"/>
    <x v="3"/>
    <s v="Invoice"/>
    <s v="100002217"/>
    <x v="69"/>
    <x v="62"/>
    <x v="22"/>
    <x v="2"/>
    <n v="5.0025000000000004"/>
  </r>
  <r>
    <s v="DPOPPELL"/>
    <s v="04"/>
    <s v="GUTIERREZA"/>
    <s v="JOE KING RD"/>
    <x v="630"/>
    <x v="5"/>
    <x v="3"/>
    <s v="Invoice"/>
    <s v="100002218"/>
    <x v="43"/>
    <x v="38"/>
    <x v="22"/>
    <x v="2"/>
    <n v="3.0125000000000002"/>
  </r>
  <r>
    <s v="DPOPPELL"/>
    <s v="04"/>
    <s v="MERCEDCH"/>
    <s v="HWY62"/>
    <x v="630"/>
    <x v="5"/>
    <x v="3"/>
    <s v="Invoice"/>
    <s v="100002219"/>
    <x v="43"/>
    <x v="38"/>
    <x v="22"/>
    <x v="2"/>
    <n v="15.035"/>
  </r>
  <r>
    <s v="DPOPPELL"/>
    <s v="04"/>
    <s v="CHARLIEG-LLC"/>
    <s v="DAIRY"/>
    <x v="630"/>
    <x v="5"/>
    <x v="3"/>
    <s v="Invoice"/>
    <s v="100002223"/>
    <x v="233"/>
    <x v="209"/>
    <x v="22"/>
    <x v="2"/>
    <n v="4.01"/>
  </r>
  <r>
    <s v="DPOPPELL"/>
    <s v="04"/>
    <s v="CHARLIEG-LLC"/>
    <s v="DAIRY"/>
    <x v="630"/>
    <x v="5"/>
    <x v="3"/>
    <s v="Invoice"/>
    <s v="100002224"/>
    <x v="233"/>
    <x v="209"/>
    <x v="22"/>
    <x v="2"/>
    <n v="3.4975000000000001"/>
  </r>
  <r>
    <s v="DPOPPELL"/>
    <s v="04"/>
    <s v="SYDNEYFA"/>
    <s v="FORBES/NORTH"/>
    <x v="630"/>
    <x v="5"/>
    <x v="3"/>
    <s v="Invoice"/>
    <s v="100002225"/>
    <x v="69"/>
    <x v="62"/>
    <x v="22"/>
    <x v="2"/>
    <n v="5.0149999999999997"/>
  </r>
  <r>
    <s v="DPOPPELL"/>
    <s v="04"/>
    <s v="MERCEDCH"/>
    <s v="HWY62"/>
    <x v="630"/>
    <x v="5"/>
    <x v="3"/>
    <s v="Invoice"/>
    <s v="100002226"/>
    <x v="43"/>
    <x v="38"/>
    <x v="22"/>
    <x v="2"/>
    <n v="15.03"/>
  </r>
  <r>
    <s v="DPOPPELL"/>
    <s v="04"/>
    <s v="MERCEDCH"/>
    <s v="HWY62"/>
    <x v="640"/>
    <x v="5"/>
    <x v="3"/>
    <s v="Invoice"/>
    <s v="100002230"/>
    <x v="43"/>
    <x v="38"/>
    <x v="22"/>
    <x v="2"/>
    <n v="10.035"/>
  </r>
  <r>
    <s v="DPOPPELL"/>
    <s v="04"/>
    <s v="SOUTHERNHILL"/>
    <s v="SCHOFIELD"/>
    <x v="640"/>
    <x v="5"/>
    <x v="3"/>
    <s v="Invoice"/>
    <s v="100002231"/>
    <x v="43"/>
    <x v="38"/>
    <x v="22"/>
    <x v="2"/>
    <n v="5.0250000000000004"/>
  </r>
  <r>
    <s v="DPOPPELL"/>
    <s v="04"/>
    <s v="GARCIAFARMS"/>
    <s v="MAIN"/>
    <x v="640"/>
    <x v="5"/>
    <x v="3"/>
    <s v="Invoice"/>
    <s v="100002232"/>
    <x v="542"/>
    <x v="19"/>
    <x v="19"/>
    <x v="0"/>
    <n v="20"/>
  </r>
  <r>
    <s v="DPOPPELL"/>
    <s v="04"/>
    <s v="TWINFARMS"/>
    <s v="DAD WELDON RD"/>
    <x v="640"/>
    <x v="5"/>
    <x v="3"/>
    <s v="Invoice"/>
    <s v="100002233"/>
    <x v="43"/>
    <x v="38"/>
    <x v="22"/>
    <x v="2"/>
    <n v="1"/>
  </r>
  <r>
    <s v="DPOPPELL"/>
    <s v="04"/>
    <s v="JGRANCH"/>
    <s v="WISCON RD."/>
    <x v="640"/>
    <x v="5"/>
    <x v="3"/>
    <s v="Invoice"/>
    <s v="100002234"/>
    <x v="28"/>
    <x v="23"/>
    <x v="22"/>
    <x v="2"/>
    <n v="2.4975000000000001"/>
  </r>
  <r>
    <s v="DPOPPELL"/>
    <s v="04"/>
    <s v="GAONA, ESPER"/>
    <s v="WILLIAMSRD"/>
    <x v="640"/>
    <x v="5"/>
    <x v="3"/>
    <s v="Invoice"/>
    <s v="100002236"/>
    <x v="43"/>
    <x v="38"/>
    <x v="22"/>
    <x v="2"/>
    <n v="3.0175000000000001"/>
  </r>
  <r>
    <s v="DPOPPELL"/>
    <s v="04"/>
    <s v="BERRYBLISS"/>
    <s v="TURKEY CREEK/SO"/>
    <x v="640"/>
    <x v="5"/>
    <x v="3"/>
    <s v="Invoice"/>
    <s v="100002237"/>
    <x v="43"/>
    <x v="38"/>
    <x v="22"/>
    <x v="2"/>
    <n v="2.5274999999999999"/>
  </r>
  <r>
    <s v="DPOPPELL"/>
    <s v="04"/>
    <s v="GERALDWI"/>
    <s v="MCINTOSH ROAD"/>
    <x v="640"/>
    <x v="5"/>
    <x v="3"/>
    <s v="Invoice"/>
    <s v="100002240"/>
    <x v="69"/>
    <x v="62"/>
    <x v="22"/>
    <x v="2"/>
    <n v="5.0250000000000004"/>
  </r>
  <r>
    <s v="DPOPPELL"/>
    <s v="04"/>
    <s v="MIDWAYF"/>
    <s v="ALS - SOUTH"/>
    <x v="640"/>
    <x v="5"/>
    <x v="3"/>
    <s v="Invoice"/>
    <s v="100002241"/>
    <x v="233"/>
    <x v="209"/>
    <x v="22"/>
    <x v="2"/>
    <n v="2.4775"/>
  </r>
  <r>
    <s v="DPOPPELL"/>
    <s v="04"/>
    <s v="GUTIERREZA"/>
    <s v="JOE KING RD"/>
    <x v="640"/>
    <x v="5"/>
    <x v="3"/>
    <s v="Invoice"/>
    <s v="100002242"/>
    <x v="43"/>
    <x v="38"/>
    <x v="22"/>
    <x v="2"/>
    <n v="2.0225"/>
  </r>
  <r>
    <s v="DPOPPELL"/>
    <s v="04"/>
    <s v="ALONSOFARMS"/>
    <s v="WIMAUMA"/>
    <x v="640"/>
    <x v="5"/>
    <x v="3"/>
    <s v="Invoice"/>
    <s v="100002243"/>
    <x v="50"/>
    <x v="43"/>
    <x v="22"/>
    <x v="2"/>
    <n v="5.0274999999999999"/>
  </r>
  <r>
    <s v="DPOPPELL"/>
    <s v="04"/>
    <s v="GARCIAFARMS"/>
    <s v="MAIN"/>
    <x v="641"/>
    <x v="5"/>
    <x v="3"/>
    <s v="Invoice"/>
    <s v="100002244"/>
    <x v="43"/>
    <x v="38"/>
    <x v="22"/>
    <x v="2"/>
    <n v="5"/>
  </r>
  <r>
    <s v="DPOPPELL"/>
    <s v="04"/>
    <s v="GUTIERREZA"/>
    <s v="DUETTE"/>
    <x v="641"/>
    <x v="5"/>
    <x v="3"/>
    <s v="Invoice"/>
    <s v="100002247"/>
    <x v="43"/>
    <x v="38"/>
    <x v="22"/>
    <x v="2"/>
    <n v="12.54"/>
  </r>
  <r>
    <s v="DPOPPELL"/>
    <s v="04"/>
    <s v="THREESTA"/>
    <s v="WALDEN-SHEFFIEL"/>
    <x v="641"/>
    <x v="5"/>
    <x v="3"/>
    <s v="Invoice"/>
    <s v="100002248"/>
    <x v="233"/>
    <x v="209"/>
    <x v="22"/>
    <x v="2"/>
    <n v="10"/>
  </r>
  <r>
    <s v="DPOPPELL"/>
    <s v="04"/>
    <s v="ALVAREZJ"/>
    <s v="SYDNEY RD"/>
    <x v="641"/>
    <x v="5"/>
    <x v="3"/>
    <s v="Invoice"/>
    <s v="100002249"/>
    <x v="43"/>
    <x v="38"/>
    <x v="22"/>
    <x v="2"/>
    <n v="2.0049999999999999"/>
  </r>
  <r>
    <s v="DPOPPELL"/>
    <s v="04"/>
    <s v="GAONA, ESPER"/>
    <s v="KEENE"/>
    <x v="642"/>
    <x v="5"/>
    <x v="3"/>
    <s v="Invoice"/>
    <s v="100002256"/>
    <x v="43"/>
    <x v="38"/>
    <x v="22"/>
    <x v="2"/>
    <n v="2.0175000000000001"/>
  </r>
  <r>
    <s v="DPOPPELL"/>
    <s v="04"/>
    <s v="SWEETLIFE"/>
    <s v="KNIGHTS GRIFFIN"/>
    <x v="642"/>
    <x v="5"/>
    <x v="3"/>
    <s v="Invoice"/>
    <s v="100002257"/>
    <x v="233"/>
    <x v="209"/>
    <x v="22"/>
    <x v="2"/>
    <n v="20.012499999999999"/>
  </r>
  <r>
    <s v="DPOPPELL"/>
    <s v="04"/>
    <s v="CHAVEZJOR"/>
    <s v="JOSE' CHAV- COD"/>
    <x v="642"/>
    <x v="5"/>
    <x v="3"/>
    <s v="Invoice"/>
    <s v="100002258"/>
    <x v="53"/>
    <x v="46"/>
    <x v="22"/>
    <x v="2"/>
    <n v="0.3"/>
  </r>
  <r>
    <s v="DPOPPELL"/>
    <s v="04"/>
    <s v="STRAWBERRYR"/>
    <s v="RANCH 2"/>
    <x v="642"/>
    <x v="5"/>
    <x v="3"/>
    <s v="Invoice"/>
    <s v="100002259"/>
    <x v="233"/>
    <x v="209"/>
    <x v="22"/>
    <x v="2"/>
    <n v="15.012499999999999"/>
  </r>
  <r>
    <s v="DPOPPELL"/>
    <s v="04"/>
    <s v="SYDNEYFA"/>
    <s v="FORBES ROAD"/>
    <x v="642"/>
    <x v="5"/>
    <x v="3"/>
    <s v="Invoice"/>
    <s v="100002260"/>
    <x v="233"/>
    <x v="209"/>
    <x v="22"/>
    <x v="2"/>
    <n v="5.0075000000000003"/>
  </r>
  <r>
    <s v="DPOPPELL"/>
    <s v="04"/>
    <s v="IFASGULF"/>
    <s v="BALM-STRAWBERRY"/>
    <x v="642"/>
    <x v="5"/>
    <x v="3"/>
    <s v="Invoice"/>
    <s v="100002262"/>
    <x v="28"/>
    <x v="23"/>
    <x v="22"/>
    <x v="2"/>
    <n v="7.4974999999999996"/>
  </r>
  <r>
    <s v="DPOPPELL"/>
    <s v="04"/>
    <s v="CHARLIEG-LLC"/>
    <s v="LAMPP ROAD"/>
    <x v="631"/>
    <x v="5"/>
    <x v="3"/>
    <s v="Invoice"/>
    <s v="100002272"/>
    <x v="233"/>
    <x v="209"/>
    <x v="22"/>
    <x v="2"/>
    <n v="6.0049999999999999"/>
  </r>
  <r>
    <s v="DPOPPELL"/>
    <s v="04"/>
    <s v="THREESTA"/>
    <s v="WALDEN-SHEFFIEL"/>
    <x v="631"/>
    <x v="5"/>
    <x v="3"/>
    <s v="Invoice"/>
    <s v="100002273"/>
    <x v="233"/>
    <x v="209"/>
    <x v="22"/>
    <x v="2"/>
    <n v="4.99"/>
  </r>
  <r>
    <s v="DPOPPELL"/>
    <s v="04"/>
    <s v="MIDWAYF"/>
    <s v="FUTCH"/>
    <x v="632"/>
    <x v="5"/>
    <x v="3"/>
    <s v="Invoice"/>
    <s v="100002282"/>
    <x v="233"/>
    <x v="209"/>
    <x v="22"/>
    <x v="2"/>
    <n v="6.9974999999999996"/>
  </r>
  <r>
    <s v="DPOPPELL"/>
    <s v="04"/>
    <s v="CHARLIEG-LLC"/>
    <s v="ALBRITTON"/>
    <x v="632"/>
    <x v="5"/>
    <x v="3"/>
    <s v="Invoice"/>
    <s v="100002283"/>
    <x v="233"/>
    <x v="209"/>
    <x v="22"/>
    <x v="2"/>
    <n v="2.4925000000000002"/>
  </r>
  <r>
    <s v="DPOPPELL"/>
    <s v="04"/>
    <s v="SYDNEYFA"/>
    <s v="SYDNEY-WASHER"/>
    <x v="632"/>
    <x v="5"/>
    <x v="3"/>
    <s v="Invoice"/>
    <s v="100002284"/>
    <x v="233"/>
    <x v="209"/>
    <x v="22"/>
    <x v="2"/>
    <n v="4.9974999999999996"/>
  </r>
  <r>
    <s v="DPOPPELL"/>
    <s v="04"/>
    <s v="SYDNEYFA"/>
    <s v="FORBES/NORTH"/>
    <x v="632"/>
    <x v="5"/>
    <x v="3"/>
    <s v="Invoice"/>
    <s v="100002285"/>
    <x v="233"/>
    <x v="209"/>
    <x v="22"/>
    <x v="2"/>
    <n v="5"/>
  </r>
  <r>
    <s v="DPOPPELL"/>
    <s v="04"/>
    <s v="SRISAIAY"/>
    <s v="PASTURE"/>
    <x v="632"/>
    <x v="5"/>
    <x v="3"/>
    <s v="Invoice"/>
    <s v="100002286"/>
    <x v="43"/>
    <x v="38"/>
    <x v="22"/>
    <x v="2"/>
    <n v="5.0125000000000002"/>
  </r>
  <r>
    <s v="DPOPPELL"/>
    <s v="04"/>
    <s v="MIKELOTT"/>
    <s v="HILLSBOROUGH"/>
    <x v="632"/>
    <x v="5"/>
    <x v="3"/>
    <s v="Invoice"/>
    <s v="100002289"/>
    <x v="43"/>
    <x v="38"/>
    <x v="22"/>
    <x v="2"/>
    <n v="5.0175000000000001"/>
  </r>
  <r>
    <s v="DPOPPELL"/>
    <s v="04"/>
    <s v="ALVAREZJ"/>
    <s v="ROGERS"/>
    <x v="632"/>
    <x v="5"/>
    <x v="3"/>
    <s v="Invoice"/>
    <s v="100002290"/>
    <x v="68"/>
    <x v="61"/>
    <x v="22"/>
    <x v="2"/>
    <n v="1.9950000000000001"/>
  </r>
  <r>
    <s v="DPOPPELL"/>
    <s v="04"/>
    <s v="PARKESDA"/>
    <s v="BLACKBERRIES"/>
    <x v="632"/>
    <x v="5"/>
    <x v="3"/>
    <s v="Invoice"/>
    <s v="100002295"/>
    <x v="65"/>
    <x v="58"/>
    <x v="22"/>
    <x v="2"/>
    <n v="1.2549999999999999"/>
  </r>
  <r>
    <s v="DPOPPELL"/>
    <s v="04"/>
    <s v="FLORIDAAG"/>
    <s v="DOVER"/>
    <x v="632"/>
    <x v="5"/>
    <x v="3"/>
    <s v="Invoice"/>
    <s v="100002296"/>
    <x v="326"/>
    <x v="289"/>
    <x v="22"/>
    <x v="2"/>
    <n v="4.0149999999999997"/>
  </r>
  <r>
    <s v="HOUSE"/>
    <s v="05"/>
    <s v="CPSBOYNTON"/>
    <s v="BOYNTON BCH"/>
    <x v="624"/>
    <x v="5"/>
    <x v="3"/>
    <s v="Invoice"/>
    <s v="100002187"/>
    <x v="101"/>
    <x v="21"/>
    <x v="21"/>
    <x v="0"/>
    <n v="180"/>
  </r>
  <r>
    <s v="HOUSE"/>
    <s v="05"/>
    <s v="SOUTHERN"/>
    <s v="SOUTHERN AG"/>
    <x v="629"/>
    <x v="5"/>
    <x v="3"/>
    <s v="Invoice"/>
    <s v="100002205"/>
    <x v="211"/>
    <x v="187"/>
    <x v="17"/>
    <x v="0"/>
    <n v="60"/>
  </r>
  <r>
    <s v="BRIDGE"/>
    <s v="06"/>
    <s v="TRIANGLE"/>
    <s v="HOLLANDALE"/>
    <x v="637"/>
    <x v="5"/>
    <x v="3"/>
    <s v="Invoice"/>
    <s v="100002100"/>
    <x v="238"/>
    <x v="214"/>
    <x v="67"/>
    <x v="0"/>
    <n v="720"/>
  </r>
  <r>
    <s v="BRIDGE"/>
    <s v="06"/>
    <s v="TRIANGLE"/>
    <s v="HOLLANDALE"/>
    <x v="637"/>
    <x v="5"/>
    <x v="3"/>
    <s v="Invoice"/>
    <s v="100002100"/>
    <x v="288"/>
    <x v="214"/>
    <x v="67"/>
    <x v="0"/>
    <n v="1500"/>
  </r>
  <r>
    <s v="BRIDGE"/>
    <s v="06"/>
    <s v="DELSTAR"/>
    <s v="ERICSCOTT"/>
    <x v="638"/>
    <x v="5"/>
    <x v="3"/>
    <s v="Invoice"/>
    <s v="100002148"/>
    <x v="257"/>
    <x v="371"/>
    <x v="3"/>
    <x v="0"/>
    <n v="500"/>
  </r>
  <r>
    <s v="CHEAD"/>
    <s v="07"/>
    <s v="UFPSUNIT"/>
    <s v="CITRA FARM"/>
    <x v="643"/>
    <x v="5"/>
    <x v="3"/>
    <s v="Invoice"/>
    <s v="100001978"/>
    <x v="73"/>
    <x v="66"/>
    <x v="22"/>
    <x v="2"/>
    <n v="1.2649999999999999"/>
  </r>
  <r>
    <s v=""/>
    <s v="07"/>
    <s v="BARNESFE"/>
    <s v="HASTINGS"/>
    <x v="643"/>
    <x v="5"/>
    <x v="3"/>
    <s v="Invoice"/>
    <s v="100001979"/>
    <x v="206"/>
    <x v="139"/>
    <x v="53"/>
    <x v="0"/>
    <n v="500"/>
  </r>
  <r>
    <s v="CHEAD"/>
    <s v="07"/>
    <s v="UFPSUNIT"/>
    <s v="CITRA FARM"/>
    <x v="643"/>
    <x v="5"/>
    <x v="3"/>
    <s v="Invoice"/>
    <s v="100001980"/>
    <x v="242"/>
    <x v="19"/>
    <x v="19"/>
    <x v="0"/>
    <n v="500"/>
  </r>
  <r>
    <s v=""/>
    <s v="07"/>
    <s v="MILLERBL"/>
    <s v="PALATKA"/>
    <x v="633"/>
    <x v="5"/>
    <x v="3"/>
    <s v="Invoice"/>
    <s v="100002000"/>
    <x v="208"/>
    <x v="184"/>
    <x v="22"/>
    <x v="2"/>
    <n v="15.0275"/>
  </r>
  <r>
    <s v=""/>
    <s v="07"/>
    <s v="CPSHASTI"/>
    <s v="HASTINGS"/>
    <x v="634"/>
    <x v="5"/>
    <x v="3"/>
    <s v="Invoice"/>
    <s v="100002013"/>
    <x v="206"/>
    <x v="139"/>
    <x v="53"/>
    <x v="0"/>
    <n v="1000"/>
  </r>
  <r>
    <s v=""/>
    <s v="07"/>
    <s v="CPSHASTI"/>
    <s v="HASTINGS"/>
    <x v="634"/>
    <x v="5"/>
    <x v="3"/>
    <s v="Invoice"/>
    <s v="100002013"/>
    <x v="158"/>
    <x v="139"/>
    <x v="53"/>
    <x v="0"/>
    <n v="360"/>
  </r>
  <r>
    <s v=""/>
    <s v="07"/>
    <s v="BARNESFE"/>
    <s v="HASTINGS"/>
    <x v="634"/>
    <x v="5"/>
    <x v="3"/>
    <s v="Invoice"/>
    <s v="100002014"/>
    <x v="543"/>
    <x v="333"/>
    <x v="65"/>
    <x v="0"/>
    <n v="120"/>
  </r>
  <r>
    <s v=""/>
    <s v="07"/>
    <s v="BARNESFE"/>
    <s v="HASTINGS"/>
    <x v="634"/>
    <x v="5"/>
    <x v="3"/>
    <s v="Invoice"/>
    <s v="100002015"/>
    <x v="206"/>
    <x v="139"/>
    <x v="53"/>
    <x v="0"/>
    <n v="250"/>
  </r>
  <r>
    <s v=""/>
    <s v="07"/>
    <s v="BARNESFE"/>
    <s v="HASTINGS"/>
    <x v="634"/>
    <x v="5"/>
    <x v="3"/>
    <s v="Invoice"/>
    <s v="100002018"/>
    <x v="544"/>
    <x v="480"/>
    <x v="22"/>
    <x v="2"/>
    <n v="1.25"/>
  </r>
  <r>
    <s v=""/>
    <s v="07"/>
    <s v="CPSHASTI"/>
    <s v="HASTINGS"/>
    <x v="635"/>
    <x v="5"/>
    <x v="3"/>
    <s v="Invoice"/>
    <s v="100002046"/>
    <x v="41"/>
    <x v="36"/>
    <x v="26"/>
    <x v="0"/>
    <n v="250"/>
  </r>
  <r>
    <s v="CHEAD"/>
    <s v="07"/>
    <s v="MAYO"/>
    <s v="WILLISTON"/>
    <x v="635"/>
    <x v="5"/>
    <x v="3"/>
    <s v="Invoice"/>
    <s v="100002047"/>
    <x v="34"/>
    <x v="29"/>
    <x v="26"/>
    <x v="0"/>
    <n v="360"/>
  </r>
  <r>
    <s v=""/>
    <s v="07"/>
    <s v="BARNESFE"/>
    <s v="HASTINGS"/>
    <x v="635"/>
    <x v="5"/>
    <x v="3"/>
    <s v="Invoice"/>
    <s v="100002048"/>
    <x v="206"/>
    <x v="139"/>
    <x v="53"/>
    <x v="0"/>
    <n v="250"/>
  </r>
  <r>
    <s v=""/>
    <s v="07"/>
    <s v="BARNESFE"/>
    <s v="HASTINGS"/>
    <x v="635"/>
    <x v="5"/>
    <x v="3"/>
    <s v="Invoice"/>
    <s v="100002048"/>
    <x v="158"/>
    <x v="139"/>
    <x v="53"/>
    <x v="0"/>
    <n v="960"/>
  </r>
  <r>
    <s v=""/>
    <s v="07"/>
    <s v="PIERSONSUPPLY"/>
    <s v="MAIN"/>
    <x v="635"/>
    <x v="5"/>
    <x v="3"/>
    <s v="Invoice"/>
    <s v="100002049"/>
    <x v="239"/>
    <x v="215"/>
    <x v="68"/>
    <x v="0"/>
    <n v="540"/>
  </r>
  <r>
    <s v="CHEAD"/>
    <s v="07"/>
    <s v="UFPSUNIT"/>
    <s v="CITRA FARM"/>
    <x v="626"/>
    <x v="5"/>
    <x v="3"/>
    <s v="Invoice"/>
    <s v="100002102"/>
    <x v="241"/>
    <x v="216"/>
    <x v="22"/>
    <x v="2"/>
    <n v="1.27"/>
  </r>
  <r>
    <s v="CHEAD"/>
    <s v="07"/>
    <s v="UFPSUNIT"/>
    <s v="CITRA FARM"/>
    <x v="626"/>
    <x v="5"/>
    <x v="3"/>
    <s v="Invoice"/>
    <s v="100002103"/>
    <x v="28"/>
    <x v="23"/>
    <x v="22"/>
    <x v="2"/>
    <n v="1.2649999999999999"/>
  </r>
  <r>
    <s v="CHEAD"/>
    <s v="07"/>
    <s v="TRIANGLE"/>
    <s v="TRIANGLE/BRAN"/>
    <x v="626"/>
    <x v="5"/>
    <x v="3"/>
    <s v="Invoice"/>
    <s v="100002113"/>
    <x v="34"/>
    <x v="29"/>
    <x v="26"/>
    <x v="0"/>
    <n v="180"/>
  </r>
  <r>
    <s v=""/>
    <s v="07"/>
    <s v="BARNESFE"/>
    <s v="HASTINGS"/>
    <x v="628"/>
    <x v="5"/>
    <x v="3"/>
    <s v="Invoice"/>
    <s v="100002152"/>
    <x v="158"/>
    <x v="139"/>
    <x v="53"/>
    <x v="0"/>
    <n v="960"/>
  </r>
  <r>
    <s v="CHEAD"/>
    <s v="07"/>
    <s v="UFPSUNIT"/>
    <s v="CITRA FARM"/>
    <x v="628"/>
    <x v="5"/>
    <x v="3"/>
    <s v="Invoice"/>
    <s v="100002153"/>
    <x v="545"/>
    <x v="481"/>
    <x v="22"/>
    <x v="2"/>
    <n v="1.25"/>
  </r>
  <r>
    <s v=""/>
    <s v="07"/>
    <s v="CPSHASTI"/>
    <s v="HASTINGS"/>
    <x v="629"/>
    <x v="5"/>
    <x v="3"/>
    <s v="Invoice"/>
    <s v="100002198"/>
    <x v="206"/>
    <x v="139"/>
    <x v="53"/>
    <x v="0"/>
    <n v="750"/>
  </r>
  <r>
    <s v="DPOPPELL1"/>
    <s v="08"/>
    <s v="TRIANGLE"/>
    <s v="TRIANGLE/PC"/>
    <x v="643"/>
    <x v="5"/>
    <x v="3"/>
    <s v="Invoice"/>
    <s v="100001986"/>
    <x v="40"/>
    <x v="35"/>
    <x v="29"/>
    <x v="0"/>
    <n v="180"/>
  </r>
  <r>
    <s v="DPOPPELL1"/>
    <s v="08"/>
    <s v="TRIANGLE"/>
    <s v="TRIANGLE/PC"/>
    <x v="643"/>
    <x v="5"/>
    <x v="3"/>
    <s v="Invoice"/>
    <s v="100001986"/>
    <x v="5"/>
    <x v="72"/>
    <x v="4"/>
    <x v="0"/>
    <n v="360"/>
  </r>
  <r>
    <s v="DPOPPELL"/>
    <s v="08"/>
    <s v="MIDWAYF"/>
    <s v="ALS - NORTH"/>
    <x v="634"/>
    <x v="5"/>
    <x v="3"/>
    <s v="Invoice"/>
    <s v="100002020"/>
    <x v="67"/>
    <x v="60"/>
    <x v="22"/>
    <x v="2"/>
    <n v="12.035"/>
  </r>
  <r>
    <s v="DPOPPELL1"/>
    <s v="08"/>
    <s v="CPSMULB"/>
    <s v="UAP/MULBERRY"/>
    <x v="625"/>
    <x v="5"/>
    <x v="3"/>
    <s v="Invoice"/>
    <s v="100002033"/>
    <x v="102"/>
    <x v="71"/>
    <x v="100"/>
    <x v="0"/>
    <n v="750"/>
  </r>
  <r>
    <s v="DPOPPELL1"/>
    <s v="08"/>
    <s v="MAYO"/>
    <s v="PLANTCITY"/>
    <x v="636"/>
    <x v="5"/>
    <x v="3"/>
    <s v="Invoice"/>
    <s v="100002111"/>
    <x v="394"/>
    <x v="343"/>
    <x v="22"/>
    <x v="2"/>
    <n v="11.5"/>
  </r>
  <r>
    <s v="DPOPPELL1"/>
    <s v="08"/>
    <s v="TRIANGLE"/>
    <s v="TRIANGLE/PC"/>
    <x v="626"/>
    <x v="5"/>
    <x v="3"/>
    <s v="Invoice"/>
    <s v="100002112"/>
    <x v="34"/>
    <x v="29"/>
    <x v="26"/>
    <x v="0"/>
    <n v="360"/>
  </r>
  <r>
    <s v="DPOPPELL1"/>
    <s v="08"/>
    <s v="MAYO"/>
    <s v="PLANTCITY"/>
    <x v="627"/>
    <x v="5"/>
    <x v="3"/>
    <s v="Invoice"/>
    <s v="100002132"/>
    <x v="398"/>
    <x v="345"/>
    <x v="22"/>
    <x v="2"/>
    <n v="12.0025"/>
  </r>
  <r>
    <s v="DPOPPELL1"/>
    <s v="08"/>
    <s v="CPSMULB"/>
    <s v="UAP/MULBERRY"/>
    <x v="638"/>
    <x v="5"/>
    <x v="3"/>
    <s v="Invoice"/>
    <s v="100002144"/>
    <x v="102"/>
    <x v="71"/>
    <x v="100"/>
    <x v="0"/>
    <n v="750"/>
  </r>
  <r>
    <s v="DPOPPELL1"/>
    <s v="08"/>
    <s v="MAYO"/>
    <s v="PLANTCITY"/>
    <x v="628"/>
    <x v="5"/>
    <x v="3"/>
    <s v="Invoice"/>
    <s v="100002164"/>
    <x v="398"/>
    <x v="345"/>
    <x v="22"/>
    <x v="2"/>
    <n v="12.02"/>
  </r>
  <r>
    <s v="DPOPPELL1"/>
    <s v="08"/>
    <s v="MAYO"/>
    <s v="PLANTCITY"/>
    <x v="639"/>
    <x v="5"/>
    <x v="3"/>
    <s v="Invoice"/>
    <s v="100002171"/>
    <x v="210"/>
    <x v="186"/>
    <x v="22"/>
    <x v="2"/>
    <n v="12.0075"/>
  </r>
  <r>
    <s v="DPOPPELL1"/>
    <s v="08"/>
    <s v="MAYO"/>
    <s v="PLANTCITY"/>
    <x v="630"/>
    <x v="5"/>
    <x v="3"/>
    <s v="Invoice"/>
    <s v="100002215"/>
    <x v="210"/>
    <x v="186"/>
    <x v="22"/>
    <x v="2"/>
    <n v="11.955"/>
  </r>
  <r>
    <s v="DPOPPELL1"/>
    <s v="08"/>
    <s v="MAYO"/>
    <s v="PLANTCITY"/>
    <x v="641"/>
    <x v="5"/>
    <x v="3"/>
    <s v="Invoice"/>
    <s v="100002252"/>
    <x v="45"/>
    <x v="37"/>
    <x v="30"/>
    <x v="0"/>
    <n v="250"/>
  </r>
  <r>
    <s v="DPOPPELL1"/>
    <s v="08"/>
    <s v="MAYO"/>
    <s v="PLANTCITY"/>
    <x v="631"/>
    <x v="5"/>
    <x v="3"/>
    <s v="Invoice"/>
    <s v="100002274"/>
    <x v="77"/>
    <x v="37"/>
    <x v="30"/>
    <x v="0"/>
    <n v="30"/>
  </r>
  <r>
    <s v="DPOPPELL1"/>
    <s v="08"/>
    <s v="MAYO"/>
    <s v="PLANTCITY"/>
    <x v="632"/>
    <x v="5"/>
    <x v="3"/>
    <s v="Invoice"/>
    <s v="100002281"/>
    <x v="210"/>
    <x v="186"/>
    <x v="22"/>
    <x v="2"/>
    <n v="5.0049999999999999"/>
  </r>
  <r>
    <s v="DPOPPELL1"/>
    <s v="08"/>
    <s v="TRIANGLE"/>
    <s v="TRIANGLE/PC"/>
    <x v="632"/>
    <x v="5"/>
    <x v="3"/>
    <s v="Invoice"/>
    <s v="100002291"/>
    <x v="77"/>
    <x v="37"/>
    <x v="30"/>
    <x v="0"/>
    <n v="150"/>
  </r>
  <r>
    <s v="DPOPPELL1"/>
    <s v="08"/>
    <s v="TRIANGLE"/>
    <s v="TRIANGLE/PC"/>
    <x v="632"/>
    <x v="5"/>
    <x v="3"/>
    <s v="Invoice"/>
    <s v="100002291"/>
    <x v="96"/>
    <x v="90"/>
    <x v="39"/>
    <x v="0"/>
    <n v="180"/>
  </r>
  <r>
    <s v="GEORGIA"/>
    <s v="09"/>
    <s v="AGRIBUSI"/>
    <s v="INNVICTISINDIAN"/>
    <x v="643"/>
    <x v="5"/>
    <x v="3"/>
    <s v="Invoice"/>
    <s v="100001983"/>
    <x v="159"/>
    <x v="117"/>
    <x v="48"/>
    <x v="0"/>
    <n v="3600"/>
  </r>
  <r>
    <s v="GEORGIA"/>
    <s v="09"/>
    <s v="AGRIBUSI"/>
    <s v="NUTRIEN-CAMILA"/>
    <x v="643"/>
    <x v="5"/>
    <x v="3"/>
    <s v="Invoice"/>
    <s v="100001988"/>
    <x v="404"/>
    <x v="188"/>
    <x v="20"/>
    <x v="1"/>
    <n v="2500"/>
  </r>
  <r>
    <s v="GEORGIA"/>
    <s v="09"/>
    <s v="AGRIBUSI"/>
    <s v="SIMPLOT/PERU"/>
    <x v="635"/>
    <x v="5"/>
    <x v="3"/>
    <s v="Invoice"/>
    <s v="100002054"/>
    <x v="159"/>
    <x v="117"/>
    <x v="48"/>
    <x v="0"/>
    <n v="3600"/>
  </r>
  <r>
    <s v=""/>
    <s v="09"/>
    <s v="CAROLINATU"/>
    <s v="NORTHRIDGE"/>
    <x v="635"/>
    <x v="5"/>
    <x v="3"/>
    <s v="Invoice"/>
    <s v="100002058"/>
    <x v="217"/>
    <x v="192"/>
    <x v="56"/>
    <x v="0"/>
    <n v="250"/>
  </r>
  <r>
    <s v="GEORGIA"/>
    <s v="09"/>
    <s v="CAROLINATU"/>
    <s v="JEFFERSONLAND"/>
    <x v="635"/>
    <x v="5"/>
    <x v="3"/>
    <s v="Invoice"/>
    <s v="100002059"/>
    <x v="12"/>
    <x v="76"/>
    <x v="11"/>
    <x v="0"/>
    <n v="20"/>
  </r>
  <r>
    <s v="GEORGIA"/>
    <s v="09"/>
    <s v="CAROLINATU"/>
    <s v="JEFFERSONLAND"/>
    <x v="635"/>
    <x v="5"/>
    <x v="3"/>
    <s v="Invoice"/>
    <s v="100002059"/>
    <x v="249"/>
    <x v="222"/>
    <x v="70"/>
    <x v="0"/>
    <n v="15"/>
  </r>
  <r>
    <s v="GEORGIA"/>
    <s v="09"/>
    <s v="CAROLINATU"/>
    <s v="JEFFERSONLAND"/>
    <x v="635"/>
    <x v="5"/>
    <x v="3"/>
    <s v="Invoice"/>
    <s v="100002059"/>
    <x v="163"/>
    <x v="227"/>
    <x v="56"/>
    <x v="0"/>
    <n v="15"/>
  </r>
  <r>
    <s v=""/>
    <s v="09"/>
    <s v="NUTRATURF"/>
    <s v="CRUMP ST, NC"/>
    <x v="637"/>
    <x v="5"/>
    <x v="3"/>
    <s v="Invoice"/>
    <s v="100002092"/>
    <x v="257"/>
    <x v="371"/>
    <x v="3"/>
    <x v="0"/>
    <n v="250"/>
  </r>
  <r>
    <s v=""/>
    <s v="09"/>
    <s v="NUTRATURF"/>
    <s v="CRUMP ST, NC"/>
    <x v="637"/>
    <x v="5"/>
    <x v="3"/>
    <s v="Invoice"/>
    <s v="100002092"/>
    <x v="418"/>
    <x v="371"/>
    <x v="3"/>
    <x v="0"/>
    <n v="55"/>
  </r>
  <r>
    <s v=""/>
    <s v="09"/>
    <s v="NUTRATURF"/>
    <s v="CRUMP ST, NC"/>
    <x v="637"/>
    <x v="5"/>
    <x v="3"/>
    <s v="Invoice"/>
    <s v="100002092"/>
    <x v="247"/>
    <x v="76"/>
    <x v="11"/>
    <x v="0"/>
    <n v="500"/>
  </r>
  <r>
    <s v=""/>
    <s v="09"/>
    <s v="NUTRATURF"/>
    <s v="CRUMP ST, NC"/>
    <x v="637"/>
    <x v="5"/>
    <x v="3"/>
    <s v="Invoice"/>
    <s v="100002092"/>
    <x v="83"/>
    <x v="69"/>
    <x v="17"/>
    <x v="0"/>
    <n v="500"/>
  </r>
  <r>
    <s v=""/>
    <s v="09"/>
    <s v="NUTRATURF"/>
    <s v="CRUMP ST, NC"/>
    <x v="637"/>
    <x v="5"/>
    <x v="3"/>
    <s v="Invoice"/>
    <s v="100002092"/>
    <x v="254"/>
    <x v="75"/>
    <x v="26"/>
    <x v="0"/>
    <n v="250"/>
  </r>
  <r>
    <s v=""/>
    <s v="09"/>
    <s v="NUTRATURF"/>
    <s v="CRUMP ST, NC"/>
    <x v="637"/>
    <x v="5"/>
    <x v="3"/>
    <s v="Invoice"/>
    <s v="100002092"/>
    <x v="86"/>
    <x v="78"/>
    <x v="36"/>
    <x v="0"/>
    <n v="500"/>
  </r>
  <r>
    <s v=""/>
    <s v="09"/>
    <s v="NUTRATURF"/>
    <s v="CRUMP ST, NC"/>
    <x v="637"/>
    <x v="5"/>
    <x v="3"/>
    <s v="Invoice"/>
    <s v="100002092"/>
    <x v="419"/>
    <x v="88"/>
    <x v="8"/>
    <x v="0"/>
    <n v="55"/>
  </r>
  <r>
    <s v=""/>
    <s v="09"/>
    <s v="NUTRATURF"/>
    <s v="CRUMP ST, NC"/>
    <x v="637"/>
    <x v="5"/>
    <x v="3"/>
    <s v="Invoice"/>
    <s v="100002092"/>
    <x v="186"/>
    <x v="225"/>
    <x v="13"/>
    <x v="0"/>
    <n v="55"/>
  </r>
  <r>
    <s v=""/>
    <s v="09"/>
    <s v="NUTRATURF"/>
    <s v="CRUMP ST, NC"/>
    <x v="637"/>
    <x v="5"/>
    <x v="3"/>
    <s v="Invoice"/>
    <s v="100002092"/>
    <x v="106"/>
    <x v="74"/>
    <x v="13"/>
    <x v="0"/>
    <n v="250"/>
  </r>
  <r>
    <s v=""/>
    <s v="09"/>
    <s v="NUTRATURF"/>
    <s v="CRUMP ST, NC"/>
    <x v="637"/>
    <x v="5"/>
    <x v="3"/>
    <s v="Invoice"/>
    <s v="100002092"/>
    <x v="140"/>
    <x v="72"/>
    <x v="4"/>
    <x v="0"/>
    <n v="250"/>
  </r>
  <r>
    <s v=""/>
    <s v="09"/>
    <s v="NUTRATURF"/>
    <s v="CRUMP ST, NC"/>
    <x v="637"/>
    <x v="5"/>
    <x v="3"/>
    <s v="Invoice"/>
    <s v="100002092"/>
    <x v="80"/>
    <x v="73"/>
    <x v="4"/>
    <x v="0"/>
    <n v="110"/>
  </r>
  <r>
    <s v=""/>
    <s v="09"/>
    <s v="NUTRATURF"/>
    <s v="CRUMP ST, NC"/>
    <x v="637"/>
    <x v="5"/>
    <x v="3"/>
    <s v="Invoice"/>
    <s v="100002092"/>
    <x v="416"/>
    <x v="147"/>
    <x v="57"/>
    <x v="0"/>
    <n v="250"/>
  </r>
  <r>
    <s v=""/>
    <s v="09"/>
    <s v="NUTRATURF"/>
    <s v="CRUMP ST, NC"/>
    <x v="637"/>
    <x v="5"/>
    <x v="3"/>
    <s v="Invoice"/>
    <s v="100002092"/>
    <x v="417"/>
    <x v="147"/>
    <x v="57"/>
    <x v="0"/>
    <n v="55"/>
  </r>
  <r>
    <s v=""/>
    <s v="09"/>
    <s v="NUTRATURF"/>
    <s v="CRUMP ST, NC"/>
    <x v="637"/>
    <x v="5"/>
    <x v="3"/>
    <s v="Invoice"/>
    <s v="100002092"/>
    <x v="78"/>
    <x v="71"/>
    <x v="100"/>
    <x v="0"/>
    <n v="165"/>
  </r>
  <r>
    <s v=""/>
    <s v="09"/>
    <s v="NUTRATURF"/>
    <s v="CRUMP ST, NC"/>
    <x v="637"/>
    <x v="5"/>
    <x v="3"/>
    <s v="Invoice"/>
    <s v="100002092"/>
    <x v="1"/>
    <x v="110"/>
    <x v="1"/>
    <x v="0"/>
    <n v="165"/>
  </r>
  <r>
    <s v=""/>
    <s v="09"/>
    <s v="NUTRATURF"/>
    <s v="CRUMP ST, NC"/>
    <x v="637"/>
    <x v="5"/>
    <x v="3"/>
    <s v="Invoice"/>
    <s v="100002092"/>
    <x v="177"/>
    <x v="158"/>
    <x v="1"/>
    <x v="0"/>
    <n v="250"/>
  </r>
  <r>
    <s v=""/>
    <s v="09"/>
    <s v="NUTRATURF"/>
    <s v="CRUMP ST, NC"/>
    <x v="637"/>
    <x v="5"/>
    <x v="3"/>
    <s v="Invoice"/>
    <s v="100002092"/>
    <x v="251"/>
    <x v="28"/>
    <x v="2"/>
    <x v="0"/>
    <n v="110"/>
  </r>
  <r>
    <s v=""/>
    <s v="09"/>
    <s v="AGRIBUSI"/>
    <s v="CDI"/>
    <x v="637"/>
    <x v="5"/>
    <x v="3"/>
    <s v="Invoice"/>
    <s v="100002093"/>
    <x v="89"/>
    <x v="81"/>
    <x v="20"/>
    <x v="1"/>
    <n v="2500"/>
  </r>
  <r>
    <s v=""/>
    <s v="09"/>
    <s v="NUTRATURF"/>
    <s v="CRUMP ST, NC"/>
    <x v="637"/>
    <x v="5"/>
    <x v="3"/>
    <s v="Invoice"/>
    <s v="100002097"/>
    <x v="546"/>
    <x v="75"/>
    <x v="26"/>
    <x v="0"/>
    <n v="60"/>
  </r>
  <r>
    <s v=""/>
    <s v="09"/>
    <s v="NUTRATURF"/>
    <s v="CRUMP ST, NC"/>
    <x v="637"/>
    <x v="5"/>
    <x v="3"/>
    <s v="Invoice"/>
    <s v="100002097"/>
    <x v="547"/>
    <x v="74"/>
    <x v="13"/>
    <x v="0"/>
    <n v="60"/>
  </r>
  <r>
    <s v=""/>
    <s v="09"/>
    <s v="AGRIBUSI"/>
    <s v="AGB/ROOSEVELT"/>
    <x v="637"/>
    <x v="5"/>
    <x v="3"/>
    <s v="Invoice"/>
    <s v="100002098"/>
    <x v="212"/>
    <x v="188"/>
    <x v="20"/>
    <x v="1"/>
    <n v="3600"/>
  </r>
  <r>
    <s v=""/>
    <s v="09"/>
    <s v="AGRIBUSI"/>
    <s v="AGB/ROOSEVELT"/>
    <x v="637"/>
    <x v="5"/>
    <x v="3"/>
    <s v="Invoice"/>
    <s v="100002099"/>
    <x v="212"/>
    <x v="188"/>
    <x v="20"/>
    <x v="1"/>
    <n v="3600"/>
  </r>
  <r>
    <s v="GEORGIA"/>
    <s v="09"/>
    <s v="AGRIBUSI"/>
    <s v="INTREPID/TUNICA"/>
    <x v="626"/>
    <x v="5"/>
    <x v="3"/>
    <s v="Invoice"/>
    <s v="100002116"/>
    <x v="159"/>
    <x v="117"/>
    <x v="48"/>
    <x v="0"/>
    <n v="3600"/>
  </r>
  <r>
    <s v=""/>
    <s v="09"/>
    <s v="AGRIBUSI"/>
    <s v="INVICTUSBASTROP"/>
    <x v="638"/>
    <x v="5"/>
    <x v="3"/>
    <s v="Invoice"/>
    <s v="100002147"/>
    <x v="159"/>
    <x v="117"/>
    <x v="48"/>
    <x v="0"/>
    <n v="3600"/>
  </r>
  <r>
    <s v=""/>
    <s v="09"/>
    <s v="AGRIBUSI"/>
    <s v="AGB/ROOSEVELT"/>
    <x v="628"/>
    <x v="5"/>
    <x v="3"/>
    <s v="Invoice"/>
    <s v="100002161"/>
    <x v="89"/>
    <x v="81"/>
    <x v="20"/>
    <x v="1"/>
    <n v="2500"/>
  </r>
  <r>
    <s v="GEORGIA"/>
    <s v="09"/>
    <s v="AGRIBUSI"/>
    <s v="INTREPID/TUNICA"/>
    <x v="624"/>
    <x v="5"/>
    <x v="3"/>
    <s v="Invoice"/>
    <s v="100002188"/>
    <x v="129"/>
    <x v="117"/>
    <x v="48"/>
    <x v="0"/>
    <n v="3710"/>
  </r>
  <r>
    <s v=""/>
    <s v="09"/>
    <s v="AGRIBUSI"/>
    <s v="INVICTUSBASTROP"/>
    <x v="624"/>
    <x v="5"/>
    <x v="3"/>
    <s v="Invoice"/>
    <s v="100002189"/>
    <x v="129"/>
    <x v="117"/>
    <x v="48"/>
    <x v="0"/>
    <n v="3710"/>
  </r>
  <r>
    <s v=""/>
    <s v="09"/>
    <s v="AGRIBUSI"/>
    <s v="AGB/ROOSEVELT"/>
    <x v="624"/>
    <x v="5"/>
    <x v="3"/>
    <s v="Invoice"/>
    <s v="100002190"/>
    <x v="214"/>
    <x v="189"/>
    <x v="20"/>
    <x v="1"/>
    <n v="3600"/>
  </r>
  <r>
    <s v=""/>
    <s v="09"/>
    <s v="AGRIBUSI"/>
    <s v="CPS-MOULTRIE GA"/>
    <x v="624"/>
    <x v="5"/>
    <x v="3"/>
    <s v="Invoice"/>
    <s v="100002191"/>
    <x v="214"/>
    <x v="189"/>
    <x v="20"/>
    <x v="1"/>
    <n v="1800"/>
  </r>
  <r>
    <s v="GEORGIA"/>
    <s v="09"/>
    <s v="AGRIBUSI"/>
    <s v="SGSLEACHVILLE"/>
    <x v="630"/>
    <x v="5"/>
    <x v="3"/>
    <s v="Invoice"/>
    <s v="100002211"/>
    <x v="129"/>
    <x v="117"/>
    <x v="48"/>
    <x v="0"/>
    <n v="3710"/>
  </r>
  <r>
    <s v=""/>
    <s v="09"/>
    <s v="AGRIBUSI"/>
    <s v="AGB/ROOSEVELT"/>
    <x v="630"/>
    <x v="5"/>
    <x v="3"/>
    <s v="Invoice"/>
    <s v="100002212"/>
    <x v="89"/>
    <x v="81"/>
    <x v="20"/>
    <x v="1"/>
    <n v="4000"/>
  </r>
  <r>
    <s v=""/>
    <s v="09"/>
    <s v="AGRIBUSI"/>
    <s v="INVICTUSBASTROP"/>
    <x v="641"/>
    <x v="5"/>
    <x v="3"/>
    <s v="Invoice"/>
    <s v="100002250"/>
    <x v="129"/>
    <x v="117"/>
    <x v="48"/>
    <x v="0"/>
    <n v="3710"/>
  </r>
  <r>
    <s v="GEORGIA"/>
    <s v="09"/>
    <s v="CAROLINATU"/>
    <s v="HOPEVALLEY"/>
    <x v="641"/>
    <x v="5"/>
    <x v="3"/>
    <s v="Invoice"/>
    <s v="100002253"/>
    <x v="217"/>
    <x v="192"/>
    <x v="56"/>
    <x v="0"/>
    <n v="250"/>
  </r>
  <r>
    <s v=""/>
    <s v="09"/>
    <s v="AGRIBUSI"/>
    <s v="MEHERRIN/CHARLE"/>
    <x v="642"/>
    <x v="5"/>
    <x v="3"/>
    <s v="Invoice"/>
    <s v="100002261"/>
    <x v="215"/>
    <x v="190"/>
    <x v="20"/>
    <x v="1"/>
    <n v="2500"/>
  </r>
  <r>
    <s v=""/>
    <s v="09"/>
    <s v="AGRIBUSI"/>
    <s v="MEHERRIN/CHARLE"/>
    <x v="642"/>
    <x v="5"/>
    <x v="3"/>
    <s v="Invoice"/>
    <s v="100002261"/>
    <x v="246"/>
    <x v="195"/>
    <x v="20"/>
    <x v="1"/>
    <n v="17500"/>
  </r>
  <r>
    <s v="GEORGIA"/>
    <s v="09"/>
    <s v="AGRIBUSI"/>
    <s v="INTREPID/TUNICA"/>
    <x v="631"/>
    <x v="5"/>
    <x v="3"/>
    <s v="Invoice"/>
    <s v="100002269"/>
    <x v="129"/>
    <x v="117"/>
    <x v="48"/>
    <x v="0"/>
    <n v="3710"/>
  </r>
  <r>
    <s v="GEORGIA"/>
    <s v="09"/>
    <s v="TRIANGLE"/>
    <s v="DONALSONVILLE"/>
    <x v="632"/>
    <x v="5"/>
    <x v="3"/>
    <s v="Invoice"/>
    <s v="100002277"/>
    <x v="258"/>
    <x v="221"/>
    <x v="54"/>
    <x v="0"/>
    <n v="4000"/>
  </r>
  <r>
    <s v="RPOUND"/>
    <s v="10"/>
    <s v="THEMILL"/>
    <s v="MAIN"/>
    <x v="627"/>
    <x v="5"/>
    <x v="3"/>
    <s v="Invoice"/>
    <s v="100002129A"/>
    <x v="4"/>
    <x v="371"/>
    <x v="3"/>
    <x v="0"/>
    <n v="360"/>
  </r>
  <r>
    <s v="RPOUND"/>
    <s v="10"/>
    <s v="THEMILL"/>
    <s v="MAIN"/>
    <x v="630"/>
    <x v="5"/>
    <x v="3"/>
    <s v="Invoice"/>
    <s v="100002221"/>
    <x v="257"/>
    <x v="371"/>
    <x v="3"/>
    <x v="0"/>
    <n v="2500"/>
  </r>
  <r>
    <s v="RPOUND"/>
    <s v="10"/>
    <s v="THEMILL"/>
    <s v="MAIN"/>
    <x v="630"/>
    <x v="5"/>
    <x v="3"/>
    <s v="Invoice"/>
    <s v="100002221"/>
    <x v="4"/>
    <x v="371"/>
    <x v="3"/>
    <x v="0"/>
    <n v="180"/>
  </r>
  <r>
    <s v="TRES"/>
    <s v="11"/>
    <s v="SOUTHINTEGRITY"/>
    <s v="ZACKSFLYINGSER"/>
    <x v="633"/>
    <x v="5"/>
    <x v="3"/>
    <s v="Invoice"/>
    <s v="100002006"/>
    <x v="428"/>
    <x v="364"/>
    <x v="85"/>
    <x v="0"/>
    <n v="250"/>
  </r>
  <r>
    <s v="TRES"/>
    <s v="11"/>
    <s v="SOUTHINTEGRITY"/>
    <s v="ZACKSFLYINGSER"/>
    <x v="633"/>
    <x v="5"/>
    <x v="3"/>
    <s v="Invoice"/>
    <s v="100002006"/>
    <x v="548"/>
    <x v="482"/>
    <x v="59"/>
    <x v="0"/>
    <n v="500"/>
  </r>
  <r>
    <s v="TRES"/>
    <s v="11"/>
    <s v="SOUTHINTEGRITY"/>
    <s v="ZACKSFLYINGSER"/>
    <x v="633"/>
    <x v="5"/>
    <x v="3"/>
    <s v="Invoice"/>
    <s v="100002006"/>
    <x v="166"/>
    <x v="29"/>
    <x v="26"/>
    <x v="0"/>
    <n v="750"/>
  </r>
  <r>
    <s v="TRES"/>
    <s v="11"/>
    <s v="SOUTHINTEGRITY"/>
    <s v="ZACKSFLYINGSER"/>
    <x v="633"/>
    <x v="5"/>
    <x v="3"/>
    <s v="Invoice"/>
    <s v="100002006"/>
    <x v="87"/>
    <x v="88"/>
    <x v="8"/>
    <x v="0"/>
    <n v="500"/>
  </r>
  <r>
    <s v="CSWAFFORD"/>
    <s v="12"/>
    <s v="GOLFVENTURES"/>
    <s v="EAGLESLAKE"/>
    <x v="633"/>
    <x v="5"/>
    <x v="3"/>
    <s v="Invoice"/>
    <s v="100001996"/>
    <x v="298"/>
    <x v="299"/>
    <x v="45"/>
    <x v="0"/>
    <n v="55"/>
  </r>
  <r>
    <s v="CSWAFFORD"/>
    <s v="12"/>
    <s v="JRMINC"/>
    <s v="CHEMICALDYNAMIC"/>
    <x v="634"/>
    <x v="5"/>
    <x v="3"/>
    <s v="Invoice"/>
    <s v="100002021"/>
    <x v="424"/>
    <x v="362"/>
    <x v="47"/>
    <x v="0"/>
    <n v="180"/>
  </r>
  <r>
    <s v="CSWAFFORD"/>
    <s v="12"/>
    <s v="JRMINC"/>
    <s v="CHEMICALDYNAMIC"/>
    <x v="634"/>
    <x v="5"/>
    <x v="3"/>
    <s v="Invoice"/>
    <s v="100002021"/>
    <x v="452"/>
    <x v="388"/>
    <x v="112"/>
    <x v="0"/>
    <n v="180"/>
  </r>
  <r>
    <s v="CSWAFFORD"/>
    <s v="12"/>
    <s v="JRMINC"/>
    <s v="CHEMICALDYNAMIC"/>
    <x v="634"/>
    <x v="5"/>
    <x v="3"/>
    <s v="Invoice"/>
    <s v="100002021"/>
    <x v="456"/>
    <x v="392"/>
    <x v="10"/>
    <x v="0"/>
    <n v="120"/>
  </r>
  <r>
    <s v="CSWAFFORD"/>
    <s v="12"/>
    <s v="GOLFVENTURES"/>
    <s v="GASPARILLAINN"/>
    <x v="625"/>
    <x v="5"/>
    <x v="3"/>
    <s v="Invoice"/>
    <s v="100002036"/>
    <x v="363"/>
    <x v="320"/>
    <x v="63"/>
    <x v="0"/>
    <n v="250"/>
  </r>
  <r>
    <s v="CSWAFFORD"/>
    <s v="12"/>
    <s v="GOLFVENTURES"/>
    <s v="GASPARILLAINN"/>
    <x v="625"/>
    <x v="5"/>
    <x v="3"/>
    <s v="Invoice"/>
    <s v="100002036"/>
    <x v="74"/>
    <x v="396"/>
    <x v="7"/>
    <x v="0"/>
    <n v="250"/>
  </r>
  <r>
    <s v="CSWAFFORD"/>
    <s v="12"/>
    <s v="JRMINC"/>
    <s v="LAKEWOODRANCH"/>
    <x v="625"/>
    <x v="5"/>
    <x v="3"/>
    <s v="Invoice"/>
    <s v="100002037"/>
    <x v="112"/>
    <x v="100"/>
    <x v="42"/>
    <x v="0"/>
    <n v="250"/>
  </r>
  <r>
    <s v="CSWAFFORD"/>
    <s v="12"/>
    <s v="GOLFVENTURES"/>
    <s v="MAIN"/>
    <x v="623"/>
    <x v="5"/>
    <x v="3"/>
    <s v="Invoice"/>
    <s v="100002063"/>
    <x v="438"/>
    <x v="373"/>
    <x v="108"/>
    <x v="0"/>
    <n v="90"/>
  </r>
  <r>
    <s v="CSWAFFORD"/>
    <s v="12"/>
    <s v="GOLFVENTURES"/>
    <s v="MAIN"/>
    <x v="623"/>
    <x v="5"/>
    <x v="3"/>
    <s v="Invoice"/>
    <s v="100002063"/>
    <x v="370"/>
    <x v="320"/>
    <x v="63"/>
    <x v="0"/>
    <n v="90"/>
  </r>
  <r>
    <s v="CSWAFFORD"/>
    <s v="12"/>
    <s v="GOLFVENTURES"/>
    <s v="UPROOTED"/>
    <x v="623"/>
    <x v="5"/>
    <x v="3"/>
    <s v="Invoice"/>
    <s v="100002065"/>
    <x v="353"/>
    <x v="313"/>
    <x v="49"/>
    <x v="0"/>
    <n v="250"/>
  </r>
  <r>
    <s v="CSWAFFORD"/>
    <s v="12"/>
    <s v="GOLFVENTURES"/>
    <s v="MAIN"/>
    <x v="636"/>
    <x v="5"/>
    <x v="3"/>
    <s v="Invoice"/>
    <s v="100002079"/>
    <x v="499"/>
    <x v="375"/>
    <x v="82"/>
    <x v="0"/>
    <n v="75"/>
  </r>
  <r>
    <s v="CSWAFFORD"/>
    <s v="12"/>
    <s v="GOLFVENTURES"/>
    <s v="MAIN"/>
    <x v="636"/>
    <x v="5"/>
    <x v="3"/>
    <s v="Invoice"/>
    <s v="100002079"/>
    <x v="365"/>
    <x v="298"/>
    <x v="53"/>
    <x v="0"/>
    <n v="60"/>
  </r>
  <r>
    <s v="CSWAFFORD"/>
    <s v="12"/>
    <s v="GOLFVENTURES"/>
    <s v="MAIN"/>
    <x v="636"/>
    <x v="5"/>
    <x v="3"/>
    <s v="Invoice"/>
    <s v="100002079"/>
    <x v="424"/>
    <x v="362"/>
    <x v="47"/>
    <x v="0"/>
    <n v="45"/>
  </r>
  <r>
    <s v="CSWAFFORD"/>
    <s v="12"/>
    <s v="GOLFVENTURES"/>
    <s v="MAIN"/>
    <x v="636"/>
    <x v="5"/>
    <x v="3"/>
    <s v="Invoice"/>
    <s v="100002080"/>
    <x v="364"/>
    <x v="321"/>
    <x v="96"/>
    <x v="0"/>
    <n v="180"/>
  </r>
  <r>
    <s v="CSWAFFORD"/>
    <s v="12"/>
    <s v="GOLFVENTURES"/>
    <s v="MAIN"/>
    <x v="626"/>
    <x v="5"/>
    <x v="3"/>
    <s v="Invoice"/>
    <s v="100002107"/>
    <x v="457"/>
    <x v="314"/>
    <x v="95"/>
    <x v="0"/>
    <n v="5"/>
  </r>
  <r>
    <s v="CSWAFFORD"/>
    <s v="12"/>
    <s v="GOLFVENTURES"/>
    <s v="NEWSPRINGLAKE"/>
    <x v="626"/>
    <x v="5"/>
    <x v="3"/>
    <s v="Invoice"/>
    <s v="100002108"/>
    <x v="363"/>
    <x v="320"/>
    <x v="63"/>
    <x v="0"/>
    <n v="250"/>
  </r>
  <r>
    <s v="CSWAFFORD"/>
    <s v="12"/>
    <s v="GOLFVENTURES"/>
    <s v="NEWSPRINGLAKE"/>
    <x v="626"/>
    <x v="5"/>
    <x v="3"/>
    <s v="Invoice"/>
    <s v="100002108"/>
    <x v="335"/>
    <x v="297"/>
    <x v="91"/>
    <x v="0"/>
    <n v="250"/>
  </r>
  <r>
    <s v="CSWAFFORD"/>
    <s v="12"/>
    <s v="JRMINC"/>
    <s v="CHEMICALDYNAMIC"/>
    <x v="628"/>
    <x v="5"/>
    <x v="3"/>
    <s v="Invoice"/>
    <s v="100002154"/>
    <x v="517"/>
    <x v="424"/>
    <x v="67"/>
    <x v="0"/>
    <n v="30"/>
  </r>
  <r>
    <s v="CSWAFFORD"/>
    <s v="12"/>
    <s v="JRMINC"/>
    <s v="FEDEXFREIGHTTER"/>
    <x v="629"/>
    <x v="5"/>
    <x v="3"/>
    <s v="Invoice"/>
    <s v="100002207"/>
    <x v="514"/>
    <x v="451"/>
    <x v="122"/>
    <x v="0"/>
    <n v="45"/>
  </r>
  <r>
    <s v="CSWAFFORD"/>
    <s v="12"/>
    <s v="JRMINC"/>
    <s v="FEDEXFREIGHTTER"/>
    <x v="629"/>
    <x v="5"/>
    <x v="3"/>
    <s v="Invoice"/>
    <s v="100002207"/>
    <x v="460"/>
    <x v="402"/>
    <x v="115"/>
    <x v="0"/>
    <n v="90"/>
  </r>
  <r>
    <s v="CSWAFFORD"/>
    <s v="12"/>
    <s v="GOLFVENTURES"/>
    <s v="MAIN"/>
    <x v="630"/>
    <x v="5"/>
    <x v="3"/>
    <s v="Invoice"/>
    <s v="100002213"/>
    <x v="385"/>
    <x v="321"/>
    <x v="96"/>
    <x v="0"/>
    <n v="55"/>
  </r>
  <r>
    <s v="CSWAFFORD"/>
    <s v="12"/>
    <s v="JRMINC"/>
    <s v="MAILING"/>
    <x v="630"/>
    <x v="5"/>
    <x v="3"/>
    <s v="Invoice"/>
    <s v="100002220"/>
    <x v="454"/>
    <x v="390"/>
    <x v="113"/>
    <x v="0"/>
    <n v="90"/>
  </r>
  <r>
    <s v="CSWAFFORD"/>
    <s v="12"/>
    <s v="JRMINC"/>
    <s v="MAILING"/>
    <x v="630"/>
    <x v="5"/>
    <x v="3"/>
    <s v="Invoice"/>
    <s v="100002220"/>
    <x v="448"/>
    <x v="384"/>
    <x v="110"/>
    <x v="0"/>
    <n v="90"/>
  </r>
  <r>
    <s v="CSWAFFORD"/>
    <s v="12"/>
    <s v="JRMINC"/>
    <s v="MAILING"/>
    <x v="630"/>
    <x v="5"/>
    <x v="3"/>
    <s v="Invoice"/>
    <s v="100002220"/>
    <x v="209"/>
    <x v="400"/>
    <x v="63"/>
    <x v="0"/>
    <n v="180"/>
  </r>
  <r>
    <s v="CSWAFFORD"/>
    <s v="12"/>
    <s v="JRMINC"/>
    <s v="MAILING"/>
    <x v="630"/>
    <x v="5"/>
    <x v="3"/>
    <s v="Invoice"/>
    <s v="100002220"/>
    <x v="424"/>
    <x v="362"/>
    <x v="47"/>
    <x v="0"/>
    <n v="180"/>
  </r>
  <r>
    <s v="CSWAFFORD"/>
    <s v="12"/>
    <s v="JRMINC"/>
    <s v="MAILING"/>
    <x v="630"/>
    <x v="5"/>
    <x v="3"/>
    <s v="Invoice"/>
    <s v="100002220"/>
    <x v="461"/>
    <x v="403"/>
    <x v="95"/>
    <x v="0"/>
    <n v="180"/>
  </r>
  <r>
    <s v="CSWAFFORD"/>
    <s v="12"/>
    <s v="JRMINC"/>
    <s v="MAILING"/>
    <x v="630"/>
    <x v="5"/>
    <x v="3"/>
    <s v="Invoice"/>
    <s v="100002220"/>
    <x v="514"/>
    <x v="451"/>
    <x v="122"/>
    <x v="0"/>
    <n v="45"/>
  </r>
  <r>
    <s v="CSWAFFORD"/>
    <s v="12"/>
    <s v="JRMINC"/>
    <s v="MAILING"/>
    <x v="630"/>
    <x v="5"/>
    <x v="3"/>
    <s v="Invoice"/>
    <s v="100002220"/>
    <x v="452"/>
    <x v="388"/>
    <x v="112"/>
    <x v="0"/>
    <n v="180"/>
  </r>
  <r>
    <s v="CSWAFFORD"/>
    <s v="12"/>
    <s v="JRMINC"/>
    <s v="MAILING"/>
    <x v="630"/>
    <x v="5"/>
    <x v="3"/>
    <s v="Invoice"/>
    <s v="100002220"/>
    <x v="483"/>
    <x v="424"/>
    <x v="67"/>
    <x v="0"/>
    <n v="180"/>
  </r>
  <r>
    <s v="CSWAFFORD"/>
    <s v="12"/>
    <s v="JRMINC"/>
    <s v="MAILING"/>
    <x v="630"/>
    <x v="5"/>
    <x v="3"/>
    <s v="Invoice"/>
    <s v="100002220"/>
    <x v="460"/>
    <x v="402"/>
    <x v="115"/>
    <x v="0"/>
    <n v="180"/>
  </r>
  <r>
    <s v="CSWAFFORD"/>
    <s v="12"/>
    <s v="JRMINC"/>
    <s v="MAILING"/>
    <x v="630"/>
    <x v="5"/>
    <x v="3"/>
    <s v="Invoice"/>
    <s v="100002220"/>
    <x v="455"/>
    <x v="391"/>
    <x v="56"/>
    <x v="0"/>
    <n v="180"/>
  </r>
  <r>
    <s v="CSWAFFORD"/>
    <s v="12"/>
    <s v="JRMINC"/>
    <s v="MAILING"/>
    <x v="630"/>
    <x v="5"/>
    <x v="3"/>
    <s v="Invoice"/>
    <s v="100002220"/>
    <x v="456"/>
    <x v="392"/>
    <x v="10"/>
    <x v="0"/>
    <n v="180"/>
  </r>
  <r>
    <s v="CSWAFFORD"/>
    <s v="12"/>
    <s v="JRMINC"/>
    <s v="STOREITALL"/>
    <x v="640"/>
    <x v="5"/>
    <x v="3"/>
    <s v="Invoice"/>
    <s v="100002235"/>
    <x v="461"/>
    <x v="403"/>
    <x v="95"/>
    <x v="0"/>
    <n v="180"/>
  </r>
  <r>
    <s v="CSWAFFORD"/>
    <s v="12"/>
    <s v="JRMINC"/>
    <s v="STOREITALL"/>
    <x v="640"/>
    <x v="5"/>
    <x v="3"/>
    <s v="Invoice"/>
    <s v="100002235"/>
    <x v="452"/>
    <x v="388"/>
    <x v="112"/>
    <x v="0"/>
    <n v="180"/>
  </r>
  <r>
    <s v="CSWAFFORD"/>
    <s v="12"/>
    <s v="JRMINC"/>
    <s v="STOREITALL"/>
    <x v="640"/>
    <x v="5"/>
    <x v="3"/>
    <s v="Invoice"/>
    <s v="100002235"/>
    <x v="460"/>
    <x v="402"/>
    <x v="115"/>
    <x v="0"/>
    <n v="180"/>
  </r>
  <r>
    <s v="CSWAFFORD"/>
    <s v="12"/>
    <s v="JRMINC"/>
    <s v="STOREITALL"/>
    <x v="640"/>
    <x v="5"/>
    <x v="3"/>
    <s v="Invoice"/>
    <s v="100002235"/>
    <x v="163"/>
    <x v="401"/>
    <x v="56"/>
    <x v="0"/>
    <n v="180"/>
  </r>
  <r>
    <s v="CSWAFFORD"/>
    <s v="12"/>
    <s v="JRMINC"/>
    <s v="STOREITALL"/>
    <x v="640"/>
    <x v="5"/>
    <x v="3"/>
    <s v="Invoice"/>
    <s v="100002235"/>
    <x v="455"/>
    <x v="391"/>
    <x v="56"/>
    <x v="0"/>
    <n v="90"/>
  </r>
  <r>
    <s v="CSWAFFORD"/>
    <s v="12"/>
    <s v="JRMINC"/>
    <s v="STOREITALL"/>
    <x v="640"/>
    <x v="5"/>
    <x v="3"/>
    <s v="Invoice"/>
    <s v="100002235"/>
    <x v="456"/>
    <x v="392"/>
    <x v="10"/>
    <x v="0"/>
    <n v="90"/>
  </r>
  <r>
    <s v="CSWAFFORD"/>
    <s v="12"/>
    <s v="GOLFVENTURES"/>
    <s v="MAIN"/>
    <x v="640"/>
    <x v="5"/>
    <x v="3"/>
    <s v="Invoice"/>
    <s v="100002238"/>
    <x v="333"/>
    <x v="282"/>
    <x v="87"/>
    <x v="0"/>
    <n v="400"/>
  </r>
  <r>
    <s v="CSWAFFORD"/>
    <s v="12"/>
    <s v="GOLFVENTURES"/>
    <s v="MAIN"/>
    <x v="640"/>
    <x v="5"/>
    <x v="3"/>
    <s v="Invoice"/>
    <s v="100002239"/>
    <x v="302"/>
    <x v="265"/>
    <x v="79"/>
    <x v="0"/>
    <n v="550"/>
  </r>
  <r>
    <s v="CSWAFFORD"/>
    <s v="12"/>
    <s v="GOLFVENTURES"/>
    <s v="MAIN"/>
    <x v="631"/>
    <x v="5"/>
    <x v="3"/>
    <s v="Invoice"/>
    <s v="100002271"/>
    <x v="439"/>
    <x v="297"/>
    <x v="91"/>
    <x v="0"/>
    <n v="90"/>
  </r>
  <r>
    <s v="CSWAFFORD"/>
    <s v="12"/>
    <s v="GOLFVENTURES"/>
    <s v="MAIN"/>
    <x v="631"/>
    <x v="5"/>
    <x v="3"/>
    <s v="Invoice"/>
    <s v="100002271"/>
    <x v="485"/>
    <x v="281"/>
    <x v="42"/>
    <x v="0"/>
    <n v="90"/>
  </r>
  <r>
    <s v="HAP"/>
    <s v="01"/>
    <s v="GREENWAY"/>
    <s v="JACARANDA G C"/>
    <x v="644"/>
    <x v="6"/>
    <x v="3"/>
    <s v="Invoice"/>
    <s v="100002332"/>
    <x v="88"/>
    <x v="2"/>
    <x v="2"/>
    <x v="0"/>
    <n v="55"/>
  </r>
  <r>
    <s v="HAP"/>
    <s v="01"/>
    <s v="GREENWAY"/>
    <s v="JACARANDA G C"/>
    <x v="644"/>
    <x v="6"/>
    <x v="3"/>
    <s v="Invoice"/>
    <s v="100002332"/>
    <x v="6"/>
    <x v="5"/>
    <x v="5"/>
    <x v="0"/>
    <n v="30"/>
  </r>
  <r>
    <s v="HAP"/>
    <s v="01"/>
    <s v="GREENWAY"/>
    <s v="CORALCREEK"/>
    <x v="645"/>
    <x v="6"/>
    <x v="3"/>
    <s v="Invoice"/>
    <s v="100002367"/>
    <x v="88"/>
    <x v="2"/>
    <x v="2"/>
    <x v="0"/>
    <n v="55"/>
  </r>
  <r>
    <s v="HAP"/>
    <s v="01"/>
    <s v="GREENWAY"/>
    <s v="CORALCREEK"/>
    <x v="645"/>
    <x v="6"/>
    <x v="3"/>
    <s v="Invoice"/>
    <s v="100002367"/>
    <x v="390"/>
    <x v="16"/>
    <x v="16"/>
    <x v="0"/>
    <n v="55"/>
  </r>
  <r>
    <s v="HAP"/>
    <s v="01"/>
    <s v="GREENWAY"/>
    <s v="CORALCREEK"/>
    <x v="645"/>
    <x v="6"/>
    <x v="3"/>
    <s v="Invoice"/>
    <s v="100002367"/>
    <x v="84"/>
    <x v="11"/>
    <x v="11"/>
    <x v="0"/>
    <n v="55"/>
  </r>
  <r>
    <s v="HAP"/>
    <s v="01"/>
    <s v="GREENWAY"/>
    <s v="WAREHOUSE"/>
    <x v="646"/>
    <x v="6"/>
    <x v="3"/>
    <s v="Invoice"/>
    <s v="100002447"/>
    <x v="3"/>
    <x v="379"/>
    <x v="2"/>
    <x v="0"/>
    <n v="120"/>
  </r>
  <r>
    <s v="HAP"/>
    <s v="01"/>
    <s v="GREENWAY"/>
    <s v="WAREHOUSE"/>
    <x v="646"/>
    <x v="6"/>
    <x v="3"/>
    <s v="Invoice"/>
    <s v="100002447"/>
    <x v="5"/>
    <x v="4"/>
    <x v="4"/>
    <x v="0"/>
    <n v="120"/>
  </r>
  <r>
    <s v="HAP"/>
    <s v="01"/>
    <s v="GREENWAY"/>
    <s v="WAREHOUSE"/>
    <x v="646"/>
    <x v="6"/>
    <x v="3"/>
    <s v="Invoice"/>
    <s v="100002447"/>
    <x v="6"/>
    <x v="5"/>
    <x v="5"/>
    <x v="0"/>
    <n v="120"/>
  </r>
  <r>
    <s v="HAP"/>
    <s v="01"/>
    <s v="GREENWAY"/>
    <s v="WAREHOUSE"/>
    <x v="646"/>
    <x v="6"/>
    <x v="3"/>
    <s v="Invoice"/>
    <s v="100002447"/>
    <x v="2"/>
    <x v="0"/>
    <x v="0"/>
    <x v="0"/>
    <n v="120"/>
  </r>
  <r>
    <s v="HAP"/>
    <s v="01"/>
    <s v="GREENWAY"/>
    <s v="WAREHOUSE"/>
    <x v="646"/>
    <x v="6"/>
    <x v="3"/>
    <s v="Invoice"/>
    <s v="100002447"/>
    <x v="21"/>
    <x v="16"/>
    <x v="16"/>
    <x v="0"/>
    <n v="120"/>
  </r>
  <r>
    <s v="HAP"/>
    <s v="01"/>
    <s v="GREENWAY"/>
    <s v="MIZNER C. CLUB"/>
    <x v="646"/>
    <x v="6"/>
    <x v="3"/>
    <s v="Invoice"/>
    <s v="100002448"/>
    <x v="3"/>
    <x v="379"/>
    <x v="2"/>
    <x v="0"/>
    <n v="50"/>
  </r>
  <r>
    <s v="HAP"/>
    <s v="01"/>
    <s v="GREENWAY"/>
    <s v="MIZNER C. CLUB"/>
    <x v="646"/>
    <x v="6"/>
    <x v="3"/>
    <s v="Invoice"/>
    <s v="100002448"/>
    <x v="5"/>
    <x v="4"/>
    <x v="4"/>
    <x v="0"/>
    <n v="100"/>
  </r>
  <r>
    <s v="HAP"/>
    <s v="01"/>
    <s v="GREENWAY"/>
    <s v="MIZNER C. CLUB"/>
    <x v="646"/>
    <x v="6"/>
    <x v="3"/>
    <s v="Invoice"/>
    <s v="100002448"/>
    <x v="6"/>
    <x v="5"/>
    <x v="5"/>
    <x v="0"/>
    <n v="50"/>
  </r>
  <r>
    <s v="HAP"/>
    <s v="01"/>
    <s v="GREENWAY"/>
    <s v="MIZNER C. CLUB"/>
    <x v="646"/>
    <x v="6"/>
    <x v="3"/>
    <s v="Invoice"/>
    <s v="100002448"/>
    <x v="2"/>
    <x v="0"/>
    <x v="0"/>
    <x v="0"/>
    <n v="100"/>
  </r>
  <r>
    <s v="HAP"/>
    <s v="01"/>
    <s v="GREENWAY"/>
    <s v="AVILAGOLFCLUB"/>
    <x v="647"/>
    <x v="6"/>
    <x v="3"/>
    <s v="Invoice"/>
    <s v="100002497"/>
    <x v="88"/>
    <x v="2"/>
    <x v="2"/>
    <x v="0"/>
    <n v="55"/>
  </r>
  <r>
    <s v="HAP"/>
    <s v="01"/>
    <s v="GREENWAY"/>
    <s v="AVILAGOLFCLUB"/>
    <x v="647"/>
    <x v="6"/>
    <x v="3"/>
    <s v="Invoice"/>
    <s v="100002497"/>
    <x v="0"/>
    <x v="0"/>
    <x v="0"/>
    <x v="0"/>
    <n v="55"/>
  </r>
  <r>
    <s v="HAP"/>
    <s v="01"/>
    <s v="GREENWAY"/>
    <s v="BANYAN CREEK"/>
    <x v="648"/>
    <x v="6"/>
    <x v="3"/>
    <s v="Invoice"/>
    <s v="100002500"/>
    <x v="88"/>
    <x v="2"/>
    <x v="2"/>
    <x v="0"/>
    <n v="55"/>
  </r>
  <r>
    <s v="HAP"/>
    <s v="01"/>
    <s v="GREENWAY"/>
    <s v="BANYAN CREEK"/>
    <x v="648"/>
    <x v="6"/>
    <x v="3"/>
    <s v="Invoice"/>
    <s v="100002500"/>
    <x v="0"/>
    <x v="0"/>
    <x v="0"/>
    <x v="0"/>
    <n v="55"/>
  </r>
  <r>
    <s v="HAP"/>
    <s v="01"/>
    <s v="GREENWAY"/>
    <s v="BANYAN CREEK"/>
    <x v="648"/>
    <x v="6"/>
    <x v="3"/>
    <s v="Invoice"/>
    <s v="100002500"/>
    <x v="188"/>
    <x v="17"/>
    <x v="17"/>
    <x v="0"/>
    <n v="55"/>
  </r>
  <r>
    <s v="HAP"/>
    <s v="01"/>
    <s v="GREENWAY"/>
    <s v="WAREHOUSE"/>
    <x v="648"/>
    <x v="6"/>
    <x v="3"/>
    <s v="Invoice"/>
    <s v="100002501"/>
    <x v="8"/>
    <x v="7"/>
    <x v="7"/>
    <x v="0"/>
    <n v="120"/>
  </r>
  <r>
    <s v="HAP"/>
    <s v="01"/>
    <s v="GREENWAY"/>
    <s v="WAREHOUSE"/>
    <x v="648"/>
    <x v="6"/>
    <x v="3"/>
    <s v="Invoice"/>
    <s v="100002501"/>
    <x v="2"/>
    <x v="0"/>
    <x v="0"/>
    <x v="0"/>
    <n v="240"/>
  </r>
  <r>
    <s v="HAP"/>
    <s v="01"/>
    <s v="GREENWAY"/>
    <s v="WAREHOUSE"/>
    <x v="648"/>
    <x v="6"/>
    <x v="3"/>
    <s v="Invoice"/>
    <s v="100002501"/>
    <x v="12"/>
    <x v="11"/>
    <x v="11"/>
    <x v="0"/>
    <n v="120"/>
  </r>
  <r>
    <s v="DAVID"/>
    <s v="02"/>
    <s v="EVOQUAWATER"/>
    <s v="COUNTYOFCOLLIER"/>
    <x v="649"/>
    <x v="6"/>
    <x v="3"/>
    <s v="Invoice"/>
    <s v="100002308"/>
    <x v="295"/>
    <x v="231"/>
    <x v="54"/>
    <x v="0"/>
    <n v="150"/>
  </r>
  <r>
    <s v="DAVID"/>
    <s v="02"/>
    <s v="EVOQUAWATER"/>
    <s v="MAIN"/>
    <x v="644"/>
    <x v="6"/>
    <x v="3"/>
    <s v="Invoice"/>
    <s v="100002321"/>
    <x v="160"/>
    <x v="231"/>
    <x v="54"/>
    <x v="0"/>
    <n v="360"/>
  </r>
  <r>
    <s v="DAVID"/>
    <s v="02"/>
    <s v="FLORIDAGAR"/>
    <s v="GARDENSUPPLIES"/>
    <x v="644"/>
    <x v="6"/>
    <x v="3"/>
    <s v="Invoice"/>
    <s v="100002324"/>
    <x v="392"/>
    <x v="341"/>
    <x v="101"/>
    <x v="0"/>
    <n v="75"/>
  </r>
  <r>
    <s v="DAVID"/>
    <s v="02"/>
    <s v="FLORIDAGAR"/>
    <s v="GARDENSUPPLIES"/>
    <x v="644"/>
    <x v="6"/>
    <x v="3"/>
    <s v="Invoice"/>
    <s v="100002324"/>
    <x v="120"/>
    <x v="365"/>
    <x v="45"/>
    <x v="0"/>
    <n v="75"/>
  </r>
  <r>
    <s v="DAVID"/>
    <s v="02"/>
    <s v="RUSSTECH"/>
    <s v="CORTEC"/>
    <x v="644"/>
    <x v="6"/>
    <x v="3"/>
    <s v="Invoice"/>
    <s v="100002327"/>
    <x v="507"/>
    <x v="444"/>
    <x v="20"/>
    <x v="1"/>
    <n v="45000"/>
  </r>
  <r>
    <s v="DAVID"/>
    <s v="02"/>
    <s v="GEOPONICSCORP"/>
    <s v="NAPLES UNIT-105"/>
    <x v="644"/>
    <x v="6"/>
    <x v="3"/>
    <s v="Invoice"/>
    <s v="100002329"/>
    <x v="31"/>
    <x v="26"/>
    <x v="24"/>
    <x v="0"/>
    <n v="60"/>
  </r>
  <r>
    <s v="DAVID"/>
    <s v="02"/>
    <s v="PETROCAN"/>
    <s v="TROPICOIL"/>
    <x v="650"/>
    <x v="6"/>
    <x v="3"/>
    <s v="Invoice"/>
    <s v="100002343"/>
    <x v="526"/>
    <x v="462"/>
    <x v="99"/>
    <x v="0"/>
    <n v="7064"/>
  </r>
  <r>
    <s v="DAVID"/>
    <s v="02"/>
    <s v="PETROCAN"/>
    <s v="TROPICOIL"/>
    <x v="651"/>
    <x v="6"/>
    <x v="3"/>
    <s v="Invoice"/>
    <s v="100002406"/>
    <x v="526"/>
    <x v="462"/>
    <x v="99"/>
    <x v="0"/>
    <n v="7053"/>
  </r>
  <r>
    <s v="DAVID"/>
    <s v="02"/>
    <s v="TRUE"/>
    <s v="GRIFFIN"/>
    <x v="651"/>
    <x v="6"/>
    <x v="3"/>
    <s v="Invoice"/>
    <s v="100002410"/>
    <x v="29"/>
    <x v="24"/>
    <x v="20"/>
    <x v="1"/>
    <n v="45500"/>
  </r>
  <r>
    <s v="DAVID"/>
    <s v="02"/>
    <s v="SOUTHERN"/>
    <s v="SOUTHERN AG"/>
    <x v="652"/>
    <x v="6"/>
    <x v="3"/>
    <s v="Invoice"/>
    <s v="100002425"/>
    <x v="549"/>
    <x v="483"/>
    <x v="20"/>
    <x v="1"/>
    <n v="4730"/>
  </r>
  <r>
    <s v="DAVID"/>
    <s v="02"/>
    <s v="RUSSTECH"/>
    <s v="CORTEC"/>
    <x v="646"/>
    <x v="6"/>
    <x v="3"/>
    <s v="Invoice"/>
    <s v="100002442"/>
    <x v="507"/>
    <x v="444"/>
    <x v="20"/>
    <x v="1"/>
    <n v="44960"/>
  </r>
  <r>
    <s v="DAVID"/>
    <s v="02"/>
    <s v="BIOGRO"/>
    <s v="MAIN"/>
    <x v="653"/>
    <x v="6"/>
    <x v="3"/>
    <s v="Invoice"/>
    <s v="100002453"/>
    <x v="32"/>
    <x v="484"/>
    <x v="25"/>
    <x v="0"/>
    <n v="485"/>
  </r>
  <r>
    <s v="DAVID"/>
    <s v="02"/>
    <s v="PETROCAN"/>
    <s v="UAP-FT. PIERCE"/>
    <x v="654"/>
    <x v="6"/>
    <x v="3"/>
    <s v="Invoice"/>
    <s v="100002468"/>
    <x v="526"/>
    <x v="462"/>
    <x v="99"/>
    <x v="0"/>
    <n v="6997"/>
  </r>
  <r>
    <s v="DAVID"/>
    <s v="02"/>
    <s v="CPSFTPIE"/>
    <s v="FT. PIERCE"/>
    <x v="654"/>
    <x v="6"/>
    <x v="3"/>
    <s v="Invoice"/>
    <s v="100002469"/>
    <x v="267"/>
    <x v="235"/>
    <x v="75"/>
    <x v="0"/>
    <n v="70"/>
  </r>
  <r>
    <s v="DAVID"/>
    <s v="02"/>
    <s v="CPSWACHU"/>
    <s v="WAUCHULA"/>
    <x v="647"/>
    <x v="6"/>
    <x v="3"/>
    <s v="Invoice"/>
    <s v="100002488"/>
    <x v="266"/>
    <x v="234"/>
    <x v="74"/>
    <x v="0"/>
    <n v="1750"/>
  </r>
  <r>
    <s v="DAVID"/>
    <s v="02"/>
    <s v="PETROCAN"/>
    <s v="TROPICOIL"/>
    <x v="647"/>
    <x v="6"/>
    <x v="3"/>
    <s v="Invoice"/>
    <s v="100002489"/>
    <x v="526"/>
    <x v="462"/>
    <x v="99"/>
    <x v="0"/>
    <n v="6949"/>
  </r>
  <r>
    <s v="DAVID"/>
    <s v="02"/>
    <s v="TRUE"/>
    <s v="GRIFFIN"/>
    <x v="648"/>
    <x v="6"/>
    <x v="3"/>
    <s v="Invoice"/>
    <s v="100002504"/>
    <x v="29"/>
    <x v="24"/>
    <x v="20"/>
    <x v="1"/>
    <n v="46000"/>
  </r>
  <r>
    <s v="DAVID"/>
    <s v="02"/>
    <s v="CPSMULB"/>
    <s v="UAP/MULBERRY"/>
    <x v="648"/>
    <x v="6"/>
    <x v="3"/>
    <s v="Invoice"/>
    <s v="100002511"/>
    <x v="32"/>
    <x v="438"/>
    <x v="25"/>
    <x v="0"/>
    <n v="3640"/>
  </r>
  <r>
    <s v="DAVID"/>
    <s v="02"/>
    <s v="CPSWACHU"/>
    <s v="WAUCHULA"/>
    <x v="655"/>
    <x v="6"/>
    <x v="3"/>
    <s v="Invoice"/>
    <s v="100002530A"/>
    <x v="266"/>
    <x v="234"/>
    <x v="74"/>
    <x v="0"/>
    <n v="250"/>
  </r>
  <r>
    <s v="DAVID"/>
    <s v="02"/>
    <s v="CPSWACHU"/>
    <s v="WAUCHULA"/>
    <x v="655"/>
    <x v="6"/>
    <x v="3"/>
    <s v="Invoice"/>
    <s v="100002530A"/>
    <x v="265"/>
    <x v="234"/>
    <x v="74"/>
    <x v="0"/>
    <n v="120"/>
  </r>
  <r>
    <s v="DAVID"/>
    <s v="02"/>
    <s v="RUSSTECH"/>
    <s v="DIAMONDR"/>
    <x v="656"/>
    <x v="6"/>
    <x v="3"/>
    <s v="Invoice"/>
    <s v="100002539"/>
    <x v="507"/>
    <x v="444"/>
    <x v="20"/>
    <x v="1"/>
    <n v="44620"/>
  </r>
  <r>
    <s v="DAVID"/>
    <s v="02"/>
    <s v="JRMINC"/>
    <s v="MAILING"/>
    <x v="656"/>
    <x v="6"/>
    <x v="3"/>
    <s v="Invoice"/>
    <s v="100002545"/>
    <x v="484"/>
    <x v="479"/>
    <x v="46"/>
    <x v="0"/>
    <n v="360"/>
  </r>
  <r>
    <s v="DAVID"/>
    <s v="02"/>
    <s v="TRUE"/>
    <s v="GRIFFIN"/>
    <x v="657"/>
    <x v="6"/>
    <x v="3"/>
    <s v="Invoice"/>
    <s v="100002562"/>
    <x v="29"/>
    <x v="24"/>
    <x v="20"/>
    <x v="1"/>
    <n v="45280"/>
  </r>
  <r>
    <s v="DAVID"/>
    <s v="02"/>
    <s v="PETROCAN"/>
    <s v="TROPICOIL"/>
    <x v="658"/>
    <x v="6"/>
    <x v="3"/>
    <s v="Invoice"/>
    <s v="100002578"/>
    <x v="526"/>
    <x v="462"/>
    <x v="99"/>
    <x v="0"/>
    <n v="6938"/>
  </r>
  <r>
    <s v="JUSTIN"/>
    <s v="03"/>
    <s v="TRIANGLE"/>
    <s v="TRIANGLE/LAKEPL"/>
    <x v="649"/>
    <x v="6"/>
    <x v="3"/>
    <s v="Invoice"/>
    <s v="100002303"/>
    <x v="100"/>
    <x v="94"/>
    <x v="41"/>
    <x v="0"/>
    <n v="1000"/>
  </r>
  <r>
    <s v="JUSTIN"/>
    <s v="03"/>
    <s v="CPSWAVER"/>
    <s v="WAVERLY"/>
    <x v="649"/>
    <x v="6"/>
    <x v="3"/>
    <s v="Invoice"/>
    <s v="100002305"/>
    <x v="35"/>
    <x v="30"/>
    <x v="27"/>
    <x v="0"/>
    <n v="180"/>
  </r>
  <r>
    <s v="JUSTIN"/>
    <s v="03"/>
    <s v="CPSPARRI"/>
    <s v="PARRISH"/>
    <x v="649"/>
    <x v="6"/>
    <x v="3"/>
    <s v="Invoice"/>
    <s v="100002307"/>
    <x v="34"/>
    <x v="29"/>
    <x v="26"/>
    <x v="0"/>
    <n v="180"/>
  </r>
  <r>
    <s v="JUSTIN"/>
    <s v="03"/>
    <s v="CPSPARRI"/>
    <s v="PARRISH"/>
    <x v="649"/>
    <x v="6"/>
    <x v="3"/>
    <s v="Invoice"/>
    <s v="100002307"/>
    <x v="40"/>
    <x v="35"/>
    <x v="29"/>
    <x v="0"/>
    <n v="170"/>
  </r>
  <r>
    <s v="JUSTIN"/>
    <s v="03"/>
    <s v="G&amp;DFARMS"/>
    <s v="MIDDLE"/>
    <x v="644"/>
    <x v="6"/>
    <x v="3"/>
    <s v="Invoice"/>
    <s v="100002320"/>
    <x v="344"/>
    <x v="305"/>
    <x v="25"/>
    <x v="0"/>
    <n v="180"/>
  </r>
  <r>
    <s v="JUSTIN"/>
    <s v="03"/>
    <s v="CPSWACHU"/>
    <s v="WAUCHULA"/>
    <x v="644"/>
    <x v="6"/>
    <x v="3"/>
    <s v="Invoice"/>
    <s v="100002322"/>
    <x v="34"/>
    <x v="29"/>
    <x v="26"/>
    <x v="0"/>
    <n v="540"/>
  </r>
  <r>
    <s v="JUSTIN"/>
    <s v="03"/>
    <s v="FLORIDAF"/>
    <s v="FLORIDA FERTILI"/>
    <x v="644"/>
    <x v="6"/>
    <x v="3"/>
    <s v="Invoice"/>
    <s v="100002323"/>
    <x v="218"/>
    <x v="193"/>
    <x v="8"/>
    <x v="0"/>
    <n v="120"/>
  </r>
  <r>
    <s v="JUSTIN"/>
    <s v="03"/>
    <s v="FLORIDAF"/>
    <s v="FLORIDA FERTILI"/>
    <x v="644"/>
    <x v="6"/>
    <x v="3"/>
    <s v="Invoice"/>
    <s v="100002323"/>
    <x v="106"/>
    <x v="74"/>
    <x v="13"/>
    <x v="0"/>
    <n v="120"/>
  </r>
  <r>
    <s v="JUSTIN"/>
    <s v="03"/>
    <s v="CPSWACHU"/>
    <s v="WAUCHULA"/>
    <x v="650"/>
    <x v="6"/>
    <x v="3"/>
    <s v="Invoice"/>
    <s v="100002334"/>
    <x v="5"/>
    <x v="72"/>
    <x v="4"/>
    <x v="0"/>
    <n v="180"/>
  </r>
  <r>
    <s v="JUSTIN"/>
    <s v="03"/>
    <s v="GRIFFINF"/>
    <s v="FROSTPROOF"/>
    <x v="650"/>
    <x v="6"/>
    <x v="3"/>
    <s v="Invoice"/>
    <s v="100002335"/>
    <x v="36"/>
    <x v="31"/>
    <x v="4"/>
    <x v="0"/>
    <n v="360"/>
  </r>
  <r>
    <s v="JUSTIN"/>
    <s v="03"/>
    <s v="CPSIMMOK"/>
    <s v="IMMOKALEE"/>
    <x v="650"/>
    <x v="6"/>
    <x v="3"/>
    <s v="Invoice"/>
    <s v="100002338"/>
    <x v="34"/>
    <x v="29"/>
    <x v="26"/>
    <x v="0"/>
    <n v="180"/>
  </r>
  <r>
    <s v="JUSTIN"/>
    <s v="03"/>
    <s v="CPSIMMOK"/>
    <s v="IMMOKALEE"/>
    <x v="650"/>
    <x v="6"/>
    <x v="3"/>
    <s v="Invoice"/>
    <s v="100002338"/>
    <x v="166"/>
    <x v="29"/>
    <x v="26"/>
    <x v="0"/>
    <n v="250"/>
  </r>
  <r>
    <s v=""/>
    <s v="03"/>
    <s v="CPSMULB"/>
    <s v="UAP/MULBERRY"/>
    <x v="650"/>
    <x v="6"/>
    <x v="3"/>
    <s v="Invoice"/>
    <s v="100002349"/>
    <x v="100"/>
    <x v="94"/>
    <x v="41"/>
    <x v="0"/>
    <n v="250"/>
  </r>
  <r>
    <s v="JUSTIN"/>
    <s v="03"/>
    <s v="CPSPARRI"/>
    <s v="PARRISH"/>
    <x v="645"/>
    <x v="6"/>
    <x v="3"/>
    <s v="Invoice"/>
    <s v="100002357"/>
    <x v="34"/>
    <x v="29"/>
    <x v="26"/>
    <x v="0"/>
    <n v="180"/>
  </r>
  <r>
    <s v="JUSTIN"/>
    <s v="03"/>
    <s v="CPSOKEE"/>
    <s v="OKEE-LIQ PLANT"/>
    <x v="645"/>
    <x v="6"/>
    <x v="3"/>
    <s v="Invoice"/>
    <s v="100002360"/>
    <x v="134"/>
    <x v="94"/>
    <x v="41"/>
    <x v="0"/>
    <n v="1000"/>
  </r>
  <r>
    <s v="JUSTIN"/>
    <s v="03"/>
    <s v="TRIANGLE"/>
    <s v="TRIANGLE/LAKEPL"/>
    <x v="659"/>
    <x v="6"/>
    <x v="3"/>
    <s v="Invoice"/>
    <s v="100002371"/>
    <x v="100"/>
    <x v="94"/>
    <x v="41"/>
    <x v="0"/>
    <n v="750"/>
  </r>
  <r>
    <s v="JUSTIN"/>
    <s v="03"/>
    <s v="TRIANGLE"/>
    <s v="TRIANGLE/LAKEPL"/>
    <x v="659"/>
    <x v="6"/>
    <x v="3"/>
    <s v="Invoice"/>
    <s v="100002371"/>
    <x v="324"/>
    <x v="286"/>
    <x v="13"/>
    <x v="0"/>
    <n v="750"/>
  </r>
  <r>
    <s v="JUSTIN"/>
    <s v="03"/>
    <s v="CPSWACHU"/>
    <s v="WAUCHULA"/>
    <x v="659"/>
    <x v="6"/>
    <x v="3"/>
    <s v="Invoice"/>
    <s v="100002372"/>
    <x v="34"/>
    <x v="29"/>
    <x v="26"/>
    <x v="0"/>
    <n v="360"/>
  </r>
  <r>
    <s v="JUSTIN"/>
    <s v="03"/>
    <s v="CPSWACHU"/>
    <s v="WAUCHULA"/>
    <x v="659"/>
    <x v="6"/>
    <x v="3"/>
    <s v="Invoice"/>
    <s v="100002376"/>
    <x v="34"/>
    <x v="29"/>
    <x v="26"/>
    <x v="0"/>
    <n v="360"/>
  </r>
  <r>
    <s v="JUSTIN"/>
    <s v="03"/>
    <s v="SIMPLOT"/>
    <s v="IMMOKALEE"/>
    <x v="660"/>
    <x v="6"/>
    <x v="3"/>
    <s v="Invoice"/>
    <s v="100002379"/>
    <x v="34"/>
    <x v="29"/>
    <x v="26"/>
    <x v="0"/>
    <n v="360"/>
  </r>
  <r>
    <s v="JUSTIN"/>
    <s v="03"/>
    <s v="CPSWAVER"/>
    <s v="WAVERLY"/>
    <x v="661"/>
    <x v="6"/>
    <x v="3"/>
    <s v="Invoice"/>
    <s v="100002392"/>
    <x v="35"/>
    <x v="30"/>
    <x v="27"/>
    <x v="0"/>
    <n v="360"/>
  </r>
  <r>
    <s v="JUSTIN"/>
    <s v="03"/>
    <s v="CPSWAVER"/>
    <s v="WAVERLY"/>
    <x v="661"/>
    <x v="6"/>
    <x v="3"/>
    <s v="Invoice"/>
    <s v="100002392"/>
    <x v="191"/>
    <x v="169"/>
    <x v="61"/>
    <x v="0"/>
    <n v="180"/>
  </r>
  <r>
    <s v="JUSTIN"/>
    <s v="03"/>
    <s v="TRIANGLE"/>
    <s v="TRIANGLE/LAKEPL"/>
    <x v="661"/>
    <x v="6"/>
    <x v="3"/>
    <s v="Invoice"/>
    <s v="100002393"/>
    <x v="196"/>
    <x v="172"/>
    <x v="61"/>
    <x v="0"/>
    <n v="250"/>
  </r>
  <r>
    <s v="JUSTIN"/>
    <s v="03"/>
    <s v="COASTALAGSUPPLY"/>
    <s v="MULBERRY"/>
    <x v="661"/>
    <x v="6"/>
    <x v="3"/>
    <s v="Invoice"/>
    <s v="100002394"/>
    <x v="34"/>
    <x v="29"/>
    <x v="26"/>
    <x v="0"/>
    <n v="360"/>
  </r>
  <r>
    <s v="JUSTIN"/>
    <s v="03"/>
    <s v="TRIANGLE"/>
    <s v="TRIANGLE/LAKEPL"/>
    <x v="661"/>
    <x v="6"/>
    <x v="3"/>
    <s v="Invoice"/>
    <s v="100002396"/>
    <x v="36"/>
    <x v="31"/>
    <x v="4"/>
    <x v="0"/>
    <n v="180"/>
  </r>
  <r>
    <s v="JUSTIN"/>
    <s v="03"/>
    <s v="CPSOKEE"/>
    <s v="OKEE-LIQ PLANT"/>
    <x v="651"/>
    <x v="6"/>
    <x v="3"/>
    <s v="Invoice"/>
    <s v="100002405"/>
    <x v="134"/>
    <x v="94"/>
    <x v="41"/>
    <x v="0"/>
    <n v="2953"/>
  </r>
  <r>
    <s v="JUSTIN"/>
    <s v="03"/>
    <s v="CPSFTPIE"/>
    <s v="FT. PIERCE"/>
    <x v="652"/>
    <x v="6"/>
    <x v="3"/>
    <s v="Invoice"/>
    <s v="100002418"/>
    <x v="34"/>
    <x v="29"/>
    <x v="26"/>
    <x v="0"/>
    <n v="180"/>
  </r>
  <r>
    <s v="JUSTIN"/>
    <s v="03"/>
    <s v="TRIANGLE"/>
    <s v="TRIANGLE/LAKEPL"/>
    <x v="652"/>
    <x v="6"/>
    <x v="3"/>
    <s v="Invoice"/>
    <s v="100002419"/>
    <x v="35"/>
    <x v="30"/>
    <x v="27"/>
    <x v="0"/>
    <n v="115"/>
  </r>
  <r>
    <s v="JUSTIN"/>
    <s v="03"/>
    <s v="GRIFFINF"/>
    <s v="FROSTPROOF"/>
    <x v="652"/>
    <x v="6"/>
    <x v="3"/>
    <s v="Invoice"/>
    <s v="100002426"/>
    <x v="36"/>
    <x v="31"/>
    <x v="4"/>
    <x v="0"/>
    <n v="720"/>
  </r>
  <r>
    <s v="JUSTIN"/>
    <s v="03"/>
    <s v="CPSPARRI"/>
    <s v="PARRISH"/>
    <x v="652"/>
    <x v="6"/>
    <x v="3"/>
    <s v="Invoice"/>
    <s v="100002427"/>
    <x v="34"/>
    <x v="29"/>
    <x v="26"/>
    <x v="0"/>
    <n v="180"/>
  </r>
  <r>
    <s v="JUSTIN"/>
    <s v="03"/>
    <s v="GRIFFINF"/>
    <s v="FROSTPROOF"/>
    <x v="653"/>
    <x v="6"/>
    <x v="3"/>
    <s v="Invoice"/>
    <s v="100002458"/>
    <x v="36"/>
    <x v="31"/>
    <x v="4"/>
    <x v="0"/>
    <n v="1440"/>
  </r>
  <r>
    <s v="JUSTIN"/>
    <s v="03"/>
    <s v="COUNCILO"/>
    <s v="COUNCIL-OXFORD"/>
    <x v="653"/>
    <x v="6"/>
    <x v="3"/>
    <s v="Invoice"/>
    <s v="100002459"/>
    <x v="136"/>
    <x v="111"/>
    <x v="46"/>
    <x v="0"/>
    <n v="180"/>
  </r>
  <r>
    <s v="JUSTIN"/>
    <s v="03"/>
    <s v="COUNCILO"/>
    <s v="COUNCIL-OXFORD"/>
    <x v="653"/>
    <x v="6"/>
    <x v="3"/>
    <s v="Invoice"/>
    <s v="100002459"/>
    <x v="34"/>
    <x v="29"/>
    <x v="26"/>
    <x v="0"/>
    <n v="180"/>
  </r>
  <r>
    <s v="JUSTIN"/>
    <s v="03"/>
    <s v="COUNCILO"/>
    <s v="COUNCIL-OXFORD"/>
    <x v="653"/>
    <x v="6"/>
    <x v="3"/>
    <s v="Invoice"/>
    <s v="100002459"/>
    <x v="40"/>
    <x v="35"/>
    <x v="29"/>
    <x v="0"/>
    <n v="180"/>
  </r>
  <r>
    <s v="JUSTIN"/>
    <s v="03"/>
    <s v="TRIANGLE"/>
    <s v="TRIANGLE/LAKEPL"/>
    <x v="654"/>
    <x v="6"/>
    <x v="3"/>
    <s v="Invoice"/>
    <s v="100002461"/>
    <x v="35"/>
    <x v="30"/>
    <x v="27"/>
    <x v="0"/>
    <n v="55"/>
  </r>
  <r>
    <s v="JUSTIN"/>
    <s v="03"/>
    <s v="COASTALAGSUPPLY"/>
    <s v="MULBERRY"/>
    <x v="654"/>
    <x v="6"/>
    <x v="3"/>
    <s v="Invoice"/>
    <s v="100002462"/>
    <x v="34"/>
    <x v="29"/>
    <x v="26"/>
    <x v="0"/>
    <n v="360"/>
  </r>
  <r>
    <s v="JUSTIN"/>
    <s v="03"/>
    <s v="GRIFFINF"/>
    <s v="FROSTPROOF"/>
    <x v="662"/>
    <x v="6"/>
    <x v="3"/>
    <s v="Invoice"/>
    <s v="100002475"/>
    <x v="106"/>
    <x v="74"/>
    <x v="13"/>
    <x v="0"/>
    <n v="360"/>
  </r>
  <r>
    <s v="JUSTIN"/>
    <s v="03"/>
    <s v="SIMPLOT"/>
    <s v="IMMOKALEE"/>
    <x v="647"/>
    <x v="6"/>
    <x v="3"/>
    <s v="Invoice"/>
    <s v="100002487"/>
    <x v="34"/>
    <x v="29"/>
    <x v="26"/>
    <x v="0"/>
    <n v="360"/>
  </r>
  <r>
    <s v="JUSTIN"/>
    <s v="03"/>
    <s v="CPSWACHU"/>
    <s v="WAUCHULA"/>
    <x v="663"/>
    <x v="6"/>
    <x v="3"/>
    <s v="Invoice"/>
    <s v="100002518"/>
    <x v="196"/>
    <x v="172"/>
    <x v="61"/>
    <x v="0"/>
    <n v="180"/>
  </r>
  <r>
    <s v="JUSTIN"/>
    <s v="03"/>
    <s v="CPSPARRI"/>
    <s v="PARRISH"/>
    <x v="663"/>
    <x v="6"/>
    <x v="3"/>
    <s v="Invoice"/>
    <s v="100002522"/>
    <x v="34"/>
    <x v="29"/>
    <x v="26"/>
    <x v="0"/>
    <n v="180"/>
  </r>
  <r>
    <s v=""/>
    <s v="03"/>
    <s v="CPSMULB"/>
    <s v="UAP/MULBERRY"/>
    <x v="655"/>
    <x v="6"/>
    <x v="3"/>
    <s v="Invoice"/>
    <s v="100002525"/>
    <x v="32"/>
    <x v="438"/>
    <x v="25"/>
    <x v="0"/>
    <n v="720"/>
  </r>
  <r>
    <s v="JUSTIN"/>
    <s v="03"/>
    <s v="CPSIMMOK"/>
    <s v="IMMOKALEE"/>
    <x v="655"/>
    <x v="6"/>
    <x v="3"/>
    <s v="Invoice"/>
    <s v="100002527"/>
    <x v="96"/>
    <x v="90"/>
    <x v="39"/>
    <x v="0"/>
    <n v="120"/>
  </r>
  <r>
    <s v="JUSTIN"/>
    <s v="03"/>
    <s v="CPSWACHU"/>
    <s v="WAUCHULA"/>
    <x v="655"/>
    <x v="6"/>
    <x v="3"/>
    <s v="Invoice"/>
    <s v="100002528"/>
    <x v="179"/>
    <x v="162"/>
    <x v="60"/>
    <x v="0"/>
    <n v="180"/>
  </r>
  <r>
    <s v="JUSTIN"/>
    <s v="03"/>
    <s v="CPSWACHU"/>
    <s v="WAUCHULA"/>
    <x v="655"/>
    <x v="6"/>
    <x v="3"/>
    <s v="Invoice"/>
    <s v="100002528"/>
    <x v="36"/>
    <x v="31"/>
    <x v="4"/>
    <x v="0"/>
    <n v="180"/>
  </r>
  <r>
    <s v="JUSTIN"/>
    <s v="03"/>
    <s v="CPSOKEE"/>
    <s v="OKEE-LIQ PLANT"/>
    <x v="664"/>
    <x v="6"/>
    <x v="3"/>
    <s v="Invoice"/>
    <s v="100002548"/>
    <x v="134"/>
    <x v="94"/>
    <x v="41"/>
    <x v="0"/>
    <n v="2943"/>
  </r>
  <r>
    <s v="JUSTIN"/>
    <s v="03"/>
    <s v="CPSWAVER"/>
    <s v="WAVERLY"/>
    <x v="657"/>
    <x v="6"/>
    <x v="3"/>
    <s v="Invoice"/>
    <s v="100002556"/>
    <x v="550"/>
    <x v="172"/>
    <x v="61"/>
    <x v="0"/>
    <n v="750"/>
  </r>
  <r>
    <s v="JUSTIN"/>
    <s v="03"/>
    <s v="CPSWAVER"/>
    <s v="WAVERLY"/>
    <x v="657"/>
    <x v="6"/>
    <x v="3"/>
    <s v="Invoice"/>
    <s v="100002556"/>
    <x v="551"/>
    <x v="128"/>
    <x v="29"/>
    <x v="0"/>
    <n v="750"/>
  </r>
  <r>
    <s v="JUSTIN"/>
    <s v="03"/>
    <s v="TRIANGLE"/>
    <s v="TRIANGLE/LAKEPL"/>
    <x v="657"/>
    <x v="6"/>
    <x v="3"/>
    <s v="Invoice"/>
    <s v="100002560"/>
    <x v="324"/>
    <x v="286"/>
    <x v="13"/>
    <x v="0"/>
    <n v="750"/>
  </r>
  <r>
    <s v="DPOPPELL"/>
    <s v="04"/>
    <s v="M&amp;GFARMS"/>
    <s v="HAREFAMILYLN"/>
    <x v="649"/>
    <x v="6"/>
    <x v="3"/>
    <s v="Invoice"/>
    <s v="100002306"/>
    <x v="102"/>
    <x v="71"/>
    <x v="100"/>
    <x v="0"/>
    <n v="500"/>
  </r>
  <r>
    <s v="DPOPPELL"/>
    <s v="04"/>
    <s v="STRAWBERRYR"/>
    <s v="RANCH 1"/>
    <x v="649"/>
    <x v="6"/>
    <x v="3"/>
    <s v="Invoice"/>
    <s v="100002309"/>
    <x v="233"/>
    <x v="209"/>
    <x v="22"/>
    <x v="2"/>
    <n v="15.0025"/>
  </r>
  <r>
    <s v="DPOPPELL"/>
    <s v="04"/>
    <s v="FAVORITE"/>
    <s v="MCINTOSH ROAD"/>
    <x v="649"/>
    <x v="6"/>
    <x v="3"/>
    <s v="Invoice"/>
    <s v="100002311"/>
    <x v="43"/>
    <x v="38"/>
    <x v="22"/>
    <x v="2"/>
    <n v="10.022500000000001"/>
  </r>
  <r>
    <s v="DPOPPELL"/>
    <s v="04"/>
    <s v="MIDWAYF"/>
    <s v="HAGGERTY ROAD"/>
    <x v="649"/>
    <x v="6"/>
    <x v="3"/>
    <s v="Invoice"/>
    <s v="100002312"/>
    <x v="233"/>
    <x v="209"/>
    <x v="22"/>
    <x v="2"/>
    <n v="4.4950000000000001"/>
  </r>
  <r>
    <s v="DPOPPELL"/>
    <s v="04"/>
    <s v="FCFARMS"/>
    <s v="PEEPLES"/>
    <x v="649"/>
    <x v="6"/>
    <x v="3"/>
    <s v="Invoice"/>
    <s v="100002313"/>
    <x v="43"/>
    <x v="38"/>
    <x v="22"/>
    <x v="2"/>
    <n v="4.0049999999999999"/>
  </r>
  <r>
    <s v="DPOPPELL"/>
    <s v="04"/>
    <s v="ROQUEFARMS"/>
    <s v="SWEETWATER"/>
    <x v="665"/>
    <x v="6"/>
    <x v="3"/>
    <s v="Invoice"/>
    <s v="100002315"/>
    <x v="110"/>
    <x v="97"/>
    <x v="16"/>
    <x v="0"/>
    <n v="250"/>
  </r>
  <r>
    <s v="DPOPPELL"/>
    <s v="04"/>
    <s v="ROQUEFARMS"/>
    <s v="SWEETWATER"/>
    <x v="665"/>
    <x v="6"/>
    <x v="3"/>
    <s v="Invoice"/>
    <s v="100002315"/>
    <x v="109"/>
    <x v="80"/>
    <x v="2"/>
    <x v="0"/>
    <n v="250"/>
  </r>
  <r>
    <s v="DPOPPELL"/>
    <s v="04"/>
    <s v="ROQUEFARMS"/>
    <s v="RINGDAHL"/>
    <x v="665"/>
    <x v="6"/>
    <x v="3"/>
    <s v="Invoice"/>
    <s v="100002316"/>
    <x v="43"/>
    <x v="38"/>
    <x v="22"/>
    <x v="2"/>
    <n v="15.035"/>
  </r>
  <r>
    <s v="DPOPPELL"/>
    <s v="04"/>
    <s v="WISHFARMS"/>
    <s v="FRONTAGE"/>
    <x v="644"/>
    <x v="6"/>
    <x v="3"/>
    <s v="Invoice"/>
    <s v="100002326"/>
    <x v="45"/>
    <x v="37"/>
    <x v="30"/>
    <x v="0"/>
    <n v="250"/>
  </r>
  <r>
    <s v="DPOPPELL"/>
    <s v="04"/>
    <s v="BONIFACIO"/>
    <s v="PANDORA"/>
    <x v="650"/>
    <x v="6"/>
    <x v="3"/>
    <s v="Invoice"/>
    <s v="100002328"/>
    <x v="43"/>
    <x v="38"/>
    <x v="22"/>
    <x v="2"/>
    <n v="5"/>
  </r>
  <r>
    <s v="DPOPPELL"/>
    <s v="04"/>
    <s v="CHARLIEG-LLC"/>
    <s v="DAIRY"/>
    <x v="644"/>
    <x v="6"/>
    <x v="3"/>
    <s v="Invoice"/>
    <s v="100002330"/>
    <x v="233"/>
    <x v="209"/>
    <x v="22"/>
    <x v="2"/>
    <n v="4.0049999999999999"/>
  </r>
  <r>
    <s v="DPOPPELL"/>
    <s v="04"/>
    <s v="SOUTHERNHILL"/>
    <s v="SCHOFIELD"/>
    <x v="644"/>
    <x v="6"/>
    <x v="3"/>
    <s v="Invoice"/>
    <s v="100002331"/>
    <x v="43"/>
    <x v="38"/>
    <x v="22"/>
    <x v="2"/>
    <n v="3.7650000000000001"/>
  </r>
  <r>
    <s v="DPOPPELL"/>
    <s v="04"/>
    <s v="JOEPENA"/>
    <s v="JIMREDMAN"/>
    <x v="644"/>
    <x v="6"/>
    <x v="3"/>
    <s v="Invoice"/>
    <s v="100002333"/>
    <x v="55"/>
    <x v="48"/>
    <x v="22"/>
    <x v="2"/>
    <n v="1"/>
  </r>
  <r>
    <s v="DPOPPELL"/>
    <s v="04"/>
    <s v="STRAWBERRYR"/>
    <s v="RANCH 4"/>
    <x v="644"/>
    <x v="6"/>
    <x v="3"/>
    <s v="Invoice"/>
    <s v="100002341"/>
    <x v="233"/>
    <x v="209"/>
    <x v="22"/>
    <x v="2"/>
    <n v="14.9975"/>
  </r>
  <r>
    <s v="DPOPPELL"/>
    <s v="04"/>
    <s v="THREESTA"/>
    <s v="WALDEN-SHEFFIEL"/>
    <x v="650"/>
    <x v="6"/>
    <x v="3"/>
    <s v="Invoice"/>
    <s v="100002344"/>
    <x v="233"/>
    <x v="209"/>
    <x v="22"/>
    <x v="2"/>
    <n v="15"/>
  </r>
  <r>
    <s v="DPOPPELL"/>
    <s v="04"/>
    <s v="MIDWAYF"/>
    <s v="ALS - SOUTH"/>
    <x v="650"/>
    <x v="6"/>
    <x v="3"/>
    <s v="Invoice"/>
    <s v="100002345"/>
    <x v="233"/>
    <x v="209"/>
    <x v="22"/>
    <x v="2"/>
    <n v="2.9975000000000001"/>
  </r>
  <r>
    <s v="DPOPPELL"/>
    <s v="04"/>
    <s v="SYDNEYFA"/>
    <s v="FORBES ROAD"/>
    <x v="650"/>
    <x v="6"/>
    <x v="3"/>
    <s v="Invoice"/>
    <s v="100002350"/>
    <x v="233"/>
    <x v="209"/>
    <x v="22"/>
    <x v="2"/>
    <n v="5.0025000000000004"/>
  </r>
  <r>
    <s v="DPOPPELL"/>
    <s v="04"/>
    <s v="GUTIERREZA"/>
    <s v="WASHINGTON"/>
    <x v="650"/>
    <x v="6"/>
    <x v="3"/>
    <s v="Invoice"/>
    <s v="100002351"/>
    <x v="43"/>
    <x v="38"/>
    <x v="22"/>
    <x v="2"/>
    <n v="4.0125000000000002"/>
  </r>
  <r>
    <s v="DPOPPELL"/>
    <s v="04"/>
    <s v="JOEPENA"/>
    <s v="HWY 92"/>
    <x v="650"/>
    <x v="6"/>
    <x v="3"/>
    <s v="Invoice"/>
    <s v="100002352"/>
    <x v="53"/>
    <x v="46"/>
    <x v="22"/>
    <x v="2"/>
    <n v="1"/>
  </r>
  <r>
    <s v="DPOPPELL"/>
    <s v="04"/>
    <s v="JOSEHERN"/>
    <s v="KEYSVILLE N"/>
    <x v="645"/>
    <x v="6"/>
    <x v="3"/>
    <s v="Invoice"/>
    <s v="100002354"/>
    <x v="43"/>
    <x v="38"/>
    <x v="22"/>
    <x v="2"/>
    <n v="4.0225"/>
  </r>
  <r>
    <s v="DPOPPELL"/>
    <s v="04"/>
    <s v="VENTURAFARMS"/>
    <s v="GALLAGHER"/>
    <x v="645"/>
    <x v="6"/>
    <x v="3"/>
    <s v="Invoice"/>
    <s v="100002356"/>
    <x v="63"/>
    <x v="56"/>
    <x v="22"/>
    <x v="2"/>
    <n v="1"/>
  </r>
  <r>
    <s v="DPOPPELL"/>
    <s v="04"/>
    <s v="MERCEDCH"/>
    <s v="HWY62"/>
    <x v="645"/>
    <x v="6"/>
    <x v="3"/>
    <s v="Invoice"/>
    <s v="100002361"/>
    <x v="43"/>
    <x v="38"/>
    <x v="22"/>
    <x v="2"/>
    <n v="15.01"/>
  </r>
  <r>
    <s v="DPOPPELL"/>
    <s v="04"/>
    <s v="SYDNEYFA"/>
    <s v="FORBES/NORTH"/>
    <x v="645"/>
    <x v="6"/>
    <x v="3"/>
    <s v="Invoice"/>
    <s v="100002362"/>
    <x v="233"/>
    <x v="209"/>
    <x v="22"/>
    <x v="2"/>
    <n v="5.0149999999999997"/>
  </r>
  <r>
    <s v="DPOPPELL"/>
    <s v="04"/>
    <s v="SYDNEYFA"/>
    <s v="SYDNEY-WASHER"/>
    <x v="645"/>
    <x v="6"/>
    <x v="3"/>
    <s v="Invoice"/>
    <s v="100002363"/>
    <x v="233"/>
    <x v="209"/>
    <x v="22"/>
    <x v="2"/>
    <n v="5.0149999999999997"/>
  </r>
  <r>
    <s v="DPOPPELL"/>
    <s v="04"/>
    <s v="STRAWBERRYR"/>
    <s v="RANCH 1"/>
    <x v="645"/>
    <x v="6"/>
    <x v="3"/>
    <s v="Invoice"/>
    <s v="100002366"/>
    <x v="45"/>
    <x v="37"/>
    <x v="30"/>
    <x v="0"/>
    <n v="500"/>
  </r>
  <r>
    <s v="DPOPPELL"/>
    <s v="04"/>
    <s v="ALONSOFARMS"/>
    <s v="SUMNER"/>
    <x v="659"/>
    <x v="6"/>
    <x v="3"/>
    <s v="Invoice"/>
    <s v="100002369"/>
    <x v="43"/>
    <x v="38"/>
    <x v="22"/>
    <x v="2"/>
    <n v="3"/>
  </r>
  <r>
    <s v="DPOPPELL"/>
    <s v="04"/>
    <s v="GUTIERREZA"/>
    <s v="DUETTE"/>
    <x v="659"/>
    <x v="6"/>
    <x v="3"/>
    <s v="Invoice"/>
    <s v="100002370"/>
    <x v="43"/>
    <x v="38"/>
    <x v="22"/>
    <x v="2"/>
    <n v="12.52"/>
  </r>
  <r>
    <s v="DPOPPELL"/>
    <s v="04"/>
    <s v="GUTIERREZA"/>
    <s v="DUETTE"/>
    <x v="659"/>
    <x v="6"/>
    <x v="3"/>
    <s v="Invoice"/>
    <s v="100002374"/>
    <x v="45"/>
    <x v="37"/>
    <x v="30"/>
    <x v="0"/>
    <n v="250"/>
  </r>
  <r>
    <s v="DPOPPELL"/>
    <s v="04"/>
    <s v="GUTIERREZA"/>
    <s v="DUETTE"/>
    <x v="659"/>
    <x v="6"/>
    <x v="3"/>
    <s v="Invoice"/>
    <s v="100002374"/>
    <x v="110"/>
    <x v="97"/>
    <x v="16"/>
    <x v="0"/>
    <n v="250"/>
  </r>
  <r>
    <s v="DPOPPELL"/>
    <s v="04"/>
    <s v="GUTIERREZA"/>
    <s v="DUETTE"/>
    <x v="659"/>
    <x v="6"/>
    <x v="3"/>
    <s v="Invoice"/>
    <s v="100002374"/>
    <x v="109"/>
    <x v="80"/>
    <x v="2"/>
    <x v="0"/>
    <n v="250"/>
  </r>
  <r>
    <s v="DPOPPELL"/>
    <s v="04"/>
    <s v="BONIFACIO"/>
    <s v="NORTHWILDERRD"/>
    <x v="659"/>
    <x v="6"/>
    <x v="3"/>
    <s v="Invoice"/>
    <s v="100002377"/>
    <x v="43"/>
    <x v="38"/>
    <x v="22"/>
    <x v="2"/>
    <n v="3.75"/>
  </r>
  <r>
    <s v="DPOPPELL"/>
    <s v="04"/>
    <s v="M&amp;GFARMS"/>
    <s v="HWY 640"/>
    <x v="660"/>
    <x v="6"/>
    <x v="3"/>
    <s v="Invoice"/>
    <s v="100002381"/>
    <x v="58"/>
    <x v="51"/>
    <x v="22"/>
    <x v="2"/>
    <n v="15.022500000000001"/>
  </r>
  <r>
    <s v="DPOPPELL"/>
    <s v="04"/>
    <s v="SYDNEYFA"/>
    <s v="FORBES ROAD"/>
    <x v="660"/>
    <x v="6"/>
    <x v="3"/>
    <s v="Invoice"/>
    <s v="100002382"/>
    <x v="233"/>
    <x v="209"/>
    <x v="22"/>
    <x v="2"/>
    <n v="4.9800000000000004"/>
  </r>
  <r>
    <s v="DPOPPELL"/>
    <s v="04"/>
    <s v="BERRYBLISS"/>
    <s v="TRAPNELL"/>
    <x v="660"/>
    <x v="6"/>
    <x v="3"/>
    <s v="Invoice"/>
    <s v="100002383"/>
    <x v="43"/>
    <x v="38"/>
    <x v="22"/>
    <x v="2"/>
    <n v="2.5125000000000002"/>
  </r>
  <r>
    <s v="DPOPPELL"/>
    <s v="04"/>
    <s v="SPIVEYFA"/>
    <s v="HOPEWELL"/>
    <x v="660"/>
    <x v="6"/>
    <x v="3"/>
    <s v="Invoice"/>
    <s v="100002386"/>
    <x v="56"/>
    <x v="49"/>
    <x v="22"/>
    <x v="2"/>
    <n v="3.5125000000000002"/>
  </r>
  <r>
    <s v=""/>
    <s v="04"/>
    <s v="VENTURAFARMS"/>
    <s v="MAIN"/>
    <x v="660"/>
    <x v="6"/>
    <x v="3"/>
    <s v="Invoice"/>
    <s v="100002387"/>
    <x v="271"/>
    <x v="123"/>
    <x v="0"/>
    <x v="0"/>
    <n v="5"/>
  </r>
  <r>
    <s v=""/>
    <s v="04"/>
    <s v="VENTURAFARMS"/>
    <s v="MAIN"/>
    <x v="660"/>
    <x v="6"/>
    <x v="3"/>
    <s v="Invoice"/>
    <s v="100002387"/>
    <x v="240"/>
    <x v="71"/>
    <x v="100"/>
    <x v="0"/>
    <n v="5"/>
  </r>
  <r>
    <s v="DPOPPELL"/>
    <s v="04"/>
    <s v="CHAVEZJOR"/>
    <s v="JOSE' CHAV- COD"/>
    <x v="660"/>
    <x v="6"/>
    <x v="3"/>
    <s v="Invoice"/>
    <s v="100002388"/>
    <x v="53"/>
    <x v="46"/>
    <x v="22"/>
    <x v="2"/>
    <n v="0.3"/>
  </r>
  <r>
    <s v="DPOPPELL"/>
    <s v="04"/>
    <s v="THREESTA"/>
    <s v="WALDEN-SHEFFIEL"/>
    <x v="660"/>
    <x v="6"/>
    <x v="3"/>
    <s v="Invoice"/>
    <s v="100002389"/>
    <x v="552"/>
    <x v="485"/>
    <x v="22"/>
    <x v="2"/>
    <n v="12.53"/>
  </r>
  <r>
    <s v="DPOPPELL"/>
    <s v="04"/>
    <s v="STRAWBERRYR"/>
    <s v="RANCH 1"/>
    <x v="660"/>
    <x v="6"/>
    <x v="3"/>
    <s v="Invoice"/>
    <s v="100002390"/>
    <x v="233"/>
    <x v="209"/>
    <x v="22"/>
    <x v="2"/>
    <n v="15.0075"/>
  </r>
  <r>
    <s v="DPOPPELL"/>
    <s v="04"/>
    <s v="GWFARMS"/>
    <s v="JAUDONNORTH"/>
    <x v="661"/>
    <x v="6"/>
    <x v="3"/>
    <s v="Invoice"/>
    <s v="100002391"/>
    <x v="58"/>
    <x v="51"/>
    <x v="22"/>
    <x v="2"/>
    <n v="1.2749999999999999"/>
  </r>
  <r>
    <s v="DPOPPELL"/>
    <s v="04"/>
    <s v="CHARLIEG-LLC"/>
    <s v="LAMPP ROAD"/>
    <x v="661"/>
    <x v="6"/>
    <x v="3"/>
    <s v="Invoice"/>
    <s v="100002395"/>
    <x v="233"/>
    <x v="209"/>
    <x v="22"/>
    <x v="2"/>
    <n v="2.4874999999999998"/>
  </r>
  <r>
    <s v="DPOPPELL"/>
    <s v="04"/>
    <s v="GAONA, ESPER"/>
    <s v="MCGEERD"/>
    <x v="661"/>
    <x v="6"/>
    <x v="3"/>
    <s v="Invoice"/>
    <s v="100002397"/>
    <x v="69"/>
    <x v="62"/>
    <x v="22"/>
    <x v="2"/>
    <n v="6"/>
  </r>
  <r>
    <s v="DPOPPELL"/>
    <s v="04"/>
    <s v="SWEETLIFE"/>
    <s v="KNIGHTS GRIFFIN"/>
    <x v="661"/>
    <x v="6"/>
    <x v="3"/>
    <s v="Invoice"/>
    <s v="100002399"/>
    <x v="233"/>
    <x v="209"/>
    <x v="22"/>
    <x v="2"/>
    <n v="15.005000000000001"/>
  </r>
  <r>
    <s v="DPOPPELL"/>
    <s v="04"/>
    <s v="MIDWAYF"/>
    <s v="FUTCH"/>
    <x v="661"/>
    <x v="6"/>
    <x v="3"/>
    <s v="Invoice"/>
    <s v="100002403"/>
    <x v="233"/>
    <x v="209"/>
    <x v="22"/>
    <x v="2"/>
    <n v="6.9924999999999997"/>
  </r>
  <r>
    <s v="DPOPPELL"/>
    <s v="04"/>
    <s v="STRAWBERRYR"/>
    <s v="RANCH 4"/>
    <x v="651"/>
    <x v="6"/>
    <x v="3"/>
    <s v="Invoice"/>
    <s v="100002409"/>
    <x v="154"/>
    <x v="136"/>
    <x v="22"/>
    <x v="2"/>
    <n v="15.01"/>
  </r>
  <r>
    <s v="DPOPPELL"/>
    <s v="04"/>
    <s v="CHARLIEG-LLC"/>
    <s v="DAIRY"/>
    <x v="651"/>
    <x v="6"/>
    <x v="3"/>
    <s v="Invoice"/>
    <s v="100002411"/>
    <x v="233"/>
    <x v="209"/>
    <x v="22"/>
    <x v="2"/>
    <n v="9"/>
  </r>
  <r>
    <s v="DPOPPELL"/>
    <s v="04"/>
    <s v="GUTIERREZA"/>
    <s v="JOE KING RD"/>
    <x v="651"/>
    <x v="6"/>
    <x v="3"/>
    <s v="Invoice"/>
    <s v="100002412"/>
    <x v="43"/>
    <x v="38"/>
    <x v="22"/>
    <x v="2"/>
    <n v="3.75"/>
  </r>
  <r>
    <s v="DPOPPELL"/>
    <s v="04"/>
    <s v="SRISAIAY"/>
    <s v="PASTURE"/>
    <x v="651"/>
    <x v="6"/>
    <x v="3"/>
    <s v="Invoice"/>
    <s v="100002413"/>
    <x v="27"/>
    <x v="22"/>
    <x v="22"/>
    <x v="2"/>
    <n v="1.25"/>
  </r>
  <r>
    <s v="DPOPPELL"/>
    <s v="04"/>
    <s v="SANCHEZFARM"/>
    <s v="SOUTH FORBES"/>
    <x v="651"/>
    <x v="6"/>
    <x v="3"/>
    <s v="Invoice"/>
    <s v="100002414"/>
    <x v="43"/>
    <x v="38"/>
    <x v="22"/>
    <x v="2"/>
    <n v="2"/>
  </r>
  <r>
    <s v="DPOPPELL"/>
    <s v="04"/>
    <s v="SANCHEZFARM"/>
    <s v="574"/>
    <x v="651"/>
    <x v="6"/>
    <x v="3"/>
    <s v="Invoice"/>
    <s v="100002416"/>
    <x v="67"/>
    <x v="60"/>
    <x v="22"/>
    <x v="2"/>
    <n v="7.02"/>
  </r>
  <r>
    <s v="DPOPPELL"/>
    <s v="04"/>
    <s v="MERCEDCH"/>
    <s v="HWY62"/>
    <x v="652"/>
    <x v="6"/>
    <x v="3"/>
    <s v="Invoice"/>
    <s v="100002421"/>
    <x v="43"/>
    <x v="38"/>
    <x v="22"/>
    <x v="2"/>
    <n v="15.012499999999999"/>
  </r>
  <r>
    <s v="DPOPPELL"/>
    <s v="04"/>
    <s v="SWEETLIFE"/>
    <s v="SAMALLEN-SOUTH"/>
    <x v="652"/>
    <x v="6"/>
    <x v="3"/>
    <s v="Invoice"/>
    <s v="100002422"/>
    <x v="233"/>
    <x v="209"/>
    <x v="22"/>
    <x v="2"/>
    <n v="2.4900000000000002"/>
  </r>
  <r>
    <s v="DPOPPELL"/>
    <s v="04"/>
    <s v="SYDNEYFA"/>
    <s v="FORBES ROAD"/>
    <x v="652"/>
    <x v="6"/>
    <x v="3"/>
    <s v="Invoice"/>
    <s v="100002423"/>
    <x v="233"/>
    <x v="209"/>
    <x v="22"/>
    <x v="2"/>
    <n v="4.9924999999999997"/>
  </r>
  <r>
    <s v="DPOPPELL"/>
    <s v="04"/>
    <s v="FLORIDAAG"/>
    <s v="KINGSWAY"/>
    <x v="652"/>
    <x v="6"/>
    <x v="3"/>
    <s v="Invoice"/>
    <s v="100002424"/>
    <x v="326"/>
    <x v="289"/>
    <x v="22"/>
    <x v="2"/>
    <n v="2.0024999999999999"/>
  </r>
  <r>
    <s v="DPOPPELL"/>
    <s v="04"/>
    <s v="ELIASCEDILLO"/>
    <s v="LITHIA"/>
    <x v="652"/>
    <x v="6"/>
    <x v="3"/>
    <s v="Invoice"/>
    <s v="100002428"/>
    <x v="43"/>
    <x v="38"/>
    <x v="22"/>
    <x v="2"/>
    <n v="1.25"/>
  </r>
  <r>
    <s v="DPOPPELL"/>
    <s v="04"/>
    <s v="LEE GILLM"/>
    <s v="THONOTOSASSA"/>
    <x v="652"/>
    <x v="6"/>
    <x v="3"/>
    <s v="Invoice"/>
    <s v="100002429"/>
    <x v="43"/>
    <x v="38"/>
    <x v="22"/>
    <x v="2"/>
    <n v="1.26"/>
  </r>
  <r>
    <s v="DPOPPELL"/>
    <s v="04"/>
    <s v="MIKELOTT"/>
    <s v="HILLSBOROUGH/E"/>
    <x v="652"/>
    <x v="6"/>
    <x v="3"/>
    <s v="Invoice"/>
    <s v="100002430"/>
    <x v="552"/>
    <x v="485"/>
    <x v="22"/>
    <x v="2"/>
    <n v="5.0049999999999999"/>
  </r>
  <r>
    <s v=""/>
    <s v="04"/>
    <s v="RICEPAUL"/>
    <s v="MAILING"/>
    <x v="652"/>
    <x v="6"/>
    <x v="3"/>
    <s v="Invoice"/>
    <s v="100002431"/>
    <x v="426"/>
    <x v="208"/>
    <x v="66"/>
    <x v="0"/>
    <n v="30"/>
  </r>
  <r>
    <s v="DPOPPELL"/>
    <s v="04"/>
    <s v="ROQUEFARMS"/>
    <s v="MEEKHORIZON"/>
    <x v="652"/>
    <x v="6"/>
    <x v="3"/>
    <s v="Invoice"/>
    <s v="100002432"/>
    <x v="43"/>
    <x v="38"/>
    <x v="22"/>
    <x v="2"/>
    <n v="12.5"/>
  </r>
  <r>
    <s v="DPOPPELL"/>
    <s v="04"/>
    <s v="STRAWBERRYR"/>
    <s v="RANCH 2"/>
    <x v="652"/>
    <x v="6"/>
    <x v="3"/>
    <s v="Invoice"/>
    <s v="100002436"/>
    <x v="154"/>
    <x v="136"/>
    <x v="22"/>
    <x v="2"/>
    <n v="15.0175"/>
  </r>
  <r>
    <s v="DPOPPELL"/>
    <s v="04"/>
    <s v="THREESTA"/>
    <s v="WALDEN-SHEFFIEL"/>
    <x v="646"/>
    <x v="6"/>
    <x v="3"/>
    <s v="Invoice"/>
    <s v="100002437"/>
    <x v="552"/>
    <x v="485"/>
    <x v="22"/>
    <x v="2"/>
    <n v="15.0175"/>
  </r>
  <r>
    <s v="DPOPPELL"/>
    <s v="04"/>
    <s v="MIDWAYF"/>
    <s v="HAGGERTY ROAD"/>
    <x v="646"/>
    <x v="6"/>
    <x v="3"/>
    <s v="Invoice"/>
    <s v="100002438"/>
    <x v="233"/>
    <x v="209"/>
    <x v="22"/>
    <x v="2"/>
    <n v="3.9950000000000001"/>
  </r>
  <r>
    <s v="DPOPPELL"/>
    <s v="04"/>
    <s v="ALVAREZJ"/>
    <s v="ROGERS"/>
    <x v="646"/>
    <x v="6"/>
    <x v="3"/>
    <s v="Invoice"/>
    <s v="100002439"/>
    <x v="68"/>
    <x v="61"/>
    <x v="22"/>
    <x v="2"/>
    <n v="2.0074999999999998"/>
  </r>
  <r>
    <s v="DPOPPELL"/>
    <s v="04"/>
    <s v="SOUTHERNHILL"/>
    <s v="SCHOFIELD"/>
    <x v="646"/>
    <x v="6"/>
    <x v="3"/>
    <s v="Invoice"/>
    <s v="100002440"/>
    <x v="43"/>
    <x v="38"/>
    <x v="22"/>
    <x v="2"/>
    <n v="5.0175000000000001"/>
  </r>
  <r>
    <s v="DPOPPELL"/>
    <s v="04"/>
    <s v="VENTURAFARMS"/>
    <s v="GALLAGHER"/>
    <x v="646"/>
    <x v="6"/>
    <x v="3"/>
    <s v="Invoice"/>
    <s v="100002441"/>
    <x v="63"/>
    <x v="56"/>
    <x v="22"/>
    <x v="2"/>
    <n v="1"/>
  </r>
  <r>
    <s v="DPOPPELL"/>
    <s v="04"/>
    <s v="STRAWBERRYR"/>
    <s v="RANCH 4"/>
    <x v="646"/>
    <x v="6"/>
    <x v="3"/>
    <s v="Invoice"/>
    <s v="100002444"/>
    <x v="154"/>
    <x v="136"/>
    <x v="22"/>
    <x v="2"/>
    <n v="15.015000000000001"/>
  </r>
  <r>
    <s v="DPOPPELL"/>
    <s v="04"/>
    <s v="SWEETLIFE"/>
    <s v="KNIGHTS GRIFFIN"/>
    <x v="646"/>
    <x v="6"/>
    <x v="3"/>
    <s v="Invoice"/>
    <s v="100002445"/>
    <x v="233"/>
    <x v="209"/>
    <x v="22"/>
    <x v="2"/>
    <n v="12.505000000000001"/>
  </r>
  <r>
    <s v="DPOPPELL"/>
    <s v="04"/>
    <s v="MIKELOTT"/>
    <s v="HILLSBOROUGH"/>
    <x v="646"/>
    <x v="6"/>
    <x v="3"/>
    <s v="Invoice"/>
    <s v="100002449"/>
    <x v="552"/>
    <x v="485"/>
    <x v="22"/>
    <x v="2"/>
    <n v="5.0250000000000004"/>
  </r>
  <r>
    <s v="DPOPPELL"/>
    <s v="04"/>
    <s v="SYDNEYFA"/>
    <s v="SYDNEY-WASHER"/>
    <x v="646"/>
    <x v="6"/>
    <x v="3"/>
    <s v="Invoice"/>
    <s v="100002450"/>
    <x v="233"/>
    <x v="209"/>
    <x v="22"/>
    <x v="2"/>
    <n v="4.99"/>
  </r>
  <r>
    <s v="DPOPPELL"/>
    <s v="04"/>
    <s v="SRISAIAY"/>
    <s v="PASTURE"/>
    <x v="653"/>
    <x v="6"/>
    <x v="3"/>
    <s v="Invoice"/>
    <s v="100002451"/>
    <x v="27"/>
    <x v="22"/>
    <x v="22"/>
    <x v="2"/>
    <n v="1.25"/>
  </r>
  <r>
    <s v="DPOPPELL"/>
    <s v="04"/>
    <s v="JOSEHERN"/>
    <s v="KEYSVILLE N"/>
    <x v="653"/>
    <x v="6"/>
    <x v="3"/>
    <s v="Invoice"/>
    <s v="100002452"/>
    <x v="43"/>
    <x v="38"/>
    <x v="22"/>
    <x v="2"/>
    <n v="5"/>
  </r>
  <r>
    <s v="DPOPPELL"/>
    <s v="04"/>
    <s v="ALONSOFARMS"/>
    <s v="SCARPO"/>
    <x v="653"/>
    <x v="6"/>
    <x v="3"/>
    <s v="Invoice"/>
    <s v="100002456"/>
    <x v="43"/>
    <x v="38"/>
    <x v="22"/>
    <x v="2"/>
    <n v="2.52"/>
  </r>
  <r>
    <s v="DPOPPELL"/>
    <s v="04"/>
    <s v="EWSIMMON"/>
    <s v="MUDLAKE ROAD"/>
    <x v="653"/>
    <x v="6"/>
    <x v="3"/>
    <s v="Invoice"/>
    <s v="100002457"/>
    <x v="553"/>
    <x v="486"/>
    <x v="22"/>
    <x v="2"/>
    <n v="1.25"/>
  </r>
  <r>
    <s v="DPOPPELL"/>
    <s v="04"/>
    <s v="ROQUEFARMS"/>
    <s v="RINGDAHL"/>
    <x v="653"/>
    <x v="6"/>
    <x v="3"/>
    <s v="Invoice"/>
    <s v="100002460"/>
    <x v="43"/>
    <x v="38"/>
    <x v="22"/>
    <x v="2"/>
    <n v="13.75"/>
  </r>
  <r>
    <s v="DPOPPELL"/>
    <s v="04"/>
    <s v="THREESTA"/>
    <s v="WALDEN-SHEFFIEL"/>
    <x v="654"/>
    <x v="6"/>
    <x v="3"/>
    <s v="Invoice"/>
    <s v="100002464"/>
    <x v="552"/>
    <x v="485"/>
    <x v="22"/>
    <x v="2"/>
    <n v="7.5"/>
  </r>
  <r>
    <s v="DPOPPELL"/>
    <s v="04"/>
    <s v="FAVORITE"/>
    <s v="MCINTOSH ROAD"/>
    <x v="654"/>
    <x v="6"/>
    <x v="3"/>
    <s v="Invoice"/>
    <s v="100002467"/>
    <x v="43"/>
    <x v="38"/>
    <x v="22"/>
    <x v="2"/>
    <n v="9.99"/>
  </r>
  <r>
    <s v="DPOPPELL"/>
    <s v="04"/>
    <s v="LARRYENN"/>
    <s v="TRAPNELL ROAD"/>
    <x v="654"/>
    <x v="6"/>
    <x v="3"/>
    <s v="Invoice"/>
    <s v="100002470"/>
    <x v="43"/>
    <x v="38"/>
    <x v="22"/>
    <x v="2"/>
    <n v="4.51"/>
  </r>
  <r>
    <s v=""/>
    <s v="04"/>
    <s v="FILEMONMARTINEZ"/>
    <s v="MAILING"/>
    <x v="654"/>
    <x v="6"/>
    <x v="3"/>
    <s v="Invoice"/>
    <s v="100002472"/>
    <x v="63"/>
    <x v="56"/>
    <x v="22"/>
    <x v="2"/>
    <n v="2"/>
  </r>
  <r>
    <s v="DPOPPELL"/>
    <s v="04"/>
    <s v="GUTIERREZA"/>
    <s v="DUETTE"/>
    <x v="654"/>
    <x v="6"/>
    <x v="3"/>
    <s v="Invoice"/>
    <s v="100002473"/>
    <x v="43"/>
    <x v="38"/>
    <x v="22"/>
    <x v="2"/>
    <n v="15.077500000000001"/>
  </r>
  <r>
    <s v="DPOPPELL"/>
    <s v="04"/>
    <s v="CHAVEZJOR"/>
    <s v="JOSE' CHAV- COD"/>
    <x v="662"/>
    <x v="6"/>
    <x v="3"/>
    <s v="Invoice"/>
    <s v="100002476"/>
    <x v="53"/>
    <x v="46"/>
    <x v="22"/>
    <x v="2"/>
    <n v="0.15"/>
  </r>
  <r>
    <s v="DPOPPELL"/>
    <s v="04"/>
    <s v="SYDNEYFA"/>
    <s v="FORBES ROAD"/>
    <x v="662"/>
    <x v="6"/>
    <x v="3"/>
    <s v="Invoice"/>
    <s v="100002477"/>
    <x v="552"/>
    <x v="485"/>
    <x v="22"/>
    <x v="2"/>
    <n v="7.51"/>
  </r>
  <r>
    <s v="DPOPPELL"/>
    <s v="04"/>
    <s v="SYDNEYFA"/>
    <s v="FORBES/NORTH"/>
    <x v="662"/>
    <x v="6"/>
    <x v="3"/>
    <s v="Invoice"/>
    <s v="100002478"/>
    <x v="552"/>
    <x v="485"/>
    <x v="22"/>
    <x v="2"/>
    <n v="7.5175000000000001"/>
  </r>
  <r>
    <s v="DPOPPELL"/>
    <s v="04"/>
    <s v="M&amp;GFARMS"/>
    <s v="HWY 640"/>
    <x v="662"/>
    <x v="6"/>
    <x v="3"/>
    <s v="Invoice"/>
    <s v="100002479"/>
    <x v="58"/>
    <x v="51"/>
    <x v="22"/>
    <x v="2"/>
    <n v="10.01"/>
  </r>
  <r>
    <s v="DPOPPELL"/>
    <s v="04"/>
    <s v="M&amp;GFARMS"/>
    <s v="SWEATTLP"/>
    <x v="662"/>
    <x v="6"/>
    <x v="3"/>
    <s v="Invoice"/>
    <s v="100002480"/>
    <x v="150"/>
    <x v="130"/>
    <x v="22"/>
    <x v="2"/>
    <n v="6.0125000000000002"/>
  </r>
  <r>
    <s v="DPOPPELL"/>
    <s v="04"/>
    <s v="JOEPENA"/>
    <s v="HWY 92"/>
    <x v="662"/>
    <x v="6"/>
    <x v="3"/>
    <s v="Invoice"/>
    <s v="100002481"/>
    <x v="53"/>
    <x v="46"/>
    <x v="22"/>
    <x v="2"/>
    <n v="1"/>
  </r>
  <r>
    <s v="DPOPPELL"/>
    <s v="04"/>
    <s v="MIDWAYF"/>
    <s v="ALS - SOUTH"/>
    <x v="662"/>
    <x v="6"/>
    <x v="3"/>
    <s v="Invoice"/>
    <s v="100002482"/>
    <x v="233"/>
    <x v="209"/>
    <x v="22"/>
    <x v="2"/>
    <n v="2.0024999999999999"/>
  </r>
  <r>
    <s v="DPOPPELL"/>
    <s v="04"/>
    <s v="CHARLIEG-LLC"/>
    <s v="DAIRY"/>
    <x v="662"/>
    <x v="6"/>
    <x v="3"/>
    <s v="Invoice"/>
    <s v="100002483"/>
    <x v="233"/>
    <x v="209"/>
    <x v="22"/>
    <x v="2"/>
    <n v="3.48"/>
  </r>
  <r>
    <s v="DPOPPELL"/>
    <s v="04"/>
    <s v="M&amp;GFARMS"/>
    <s v="HAREFAMILYLN"/>
    <x v="662"/>
    <x v="6"/>
    <x v="3"/>
    <s v="Invoice"/>
    <s v="100002484"/>
    <x v="58"/>
    <x v="51"/>
    <x v="22"/>
    <x v="2"/>
    <n v="5.0175000000000001"/>
  </r>
  <r>
    <s v="DPOPPELL"/>
    <s v="04"/>
    <s v="FERRISFA"/>
    <s v="BLUEBERRIES"/>
    <x v="647"/>
    <x v="6"/>
    <x v="3"/>
    <s v="Invoice"/>
    <s v="100002485"/>
    <x v="3"/>
    <x v="80"/>
    <x v="2"/>
    <x v="0"/>
    <n v="25"/>
  </r>
  <r>
    <s v="DPOPPELL"/>
    <s v="04"/>
    <s v="FERRISFA"/>
    <s v="BLUEBERRIES"/>
    <x v="647"/>
    <x v="6"/>
    <x v="3"/>
    <s v="Invoice"/>
    <s v="100002485"/>
    <x v="240"/>
    <x v="71"/>
    <x v="100"/>
    <x v="0"/>
    <n v="25"/>
  </r>
  <r>
    <s v="DPOPPELL"/>
    <s v="04"/>
    <s v="FERRISFA"/>
    <s v="BLUEBERRIES"/>
    <x v="647"/>
    <x v="6"/>
    <x v="3"/>
    <s v="Invoice"/>
    <s v="100002490"/>
    <x v="62"/>
    <x v="55"/>
    <x v="22"/>
    <x v="2"/>
    <n v="15.07"/>
  </r>
  <r>
    <s v="DPOPPELL"/>
    <s v="04"/>
    <s v="SYDNEYFA"/>
    <s v="SYDNEY-WASHER"/>
    <x v="647"/>
    <x v="6"/>
    <x v="3"/>
    <s v="Invoice"/>
    <s v="100002491"/>
    <x v="552"/>
    <x v="485"/>
    <x v="22"/>
    <x v="2"/>
    <n v="7.5270000000000001"/>
  </r>
  <r>
    <s v="DPOPPELL"/>
    <s v="04"/>
    <s v="ALVAREZJ"/>
    <s v="SYDNEY RD"/>
    <x v="647"/>
    <x v="6"/>
    <x v="3"/>
    <s v="Invoice"/>
    <s v="100002494"/>
    <x v="68"/>
    <x v="61"/>
    <x v="22"/>
    <x v="2"/>
    <n v="2.02"/>
  </r>
  <r>
    <s v="DPOPPELL"/>
    <s v="04"/>
    <s v="GUTIERREZA"/>
    <s v="WASHINGTON"/>
    <x v="647"/>
    <x v="6"/>
    <x v="3"/>
    <s v="Invoice"/>
    <s v="100002495"/>
    <x v="43"/>
    <x v="38"/>
    <x v="22"/>
    <x v="2"/>
    <n v="7.77"/>
  </r>
  <r>
    <s v="DPOPPELL"/>
    <s v="04"/>
    <s v="CHAVEZJOR"/>
    <s v="JOSE' CHAV- COD"/>
    <x v="647"/>
    <x v="6"/>
    <x v="3"/>
    <s v="Invoice"/>
    <s v="100002499"/>
    <x v="53"/>
    <x v="46"/>
    <x v="22"/>
    <x v="2"/>
    <n v="0.15"/>
  </r>
  <r>
    <s v="DPOPPELL"/>
    <s v="04"/>
    <s v="ROQUEFARMS"/>
    <s v="RINGDAHL"/>
    <x v="648"/>
    <x v="6"/>
    <x v="3"/>
    <s v="Invoice"/>
    <s v="100002502"/>
    <x v="110"/>
    <x v="97"/>
    <x v="16"/>
    <x v="0"/>
    <n v="250"/>
  </r>
  <r>
    <s v="DPOPPELL"/>
    <s v="04"/>
    <s v="THREESTA"/>
    <s v="BILLY GREEN"/>
    <x v="648"/>
    <x v="6"/>
    <x v="3"/>
    <s v="Invoice"/>
    <s v="100002503"/>
    <x v="102"/>
    <x v="71"/>
    <x v="100"/>
    <x v="0"/>
    <n v="250"/>
  </r>
  <r>
    <s v="DPOPPELL"/>
    <s v="04"/>
    <s v="THREESTA"/>
    <s v="WALDEN-SHEFFIEL"/>
    <x v="648"/>
    <x v="6"/>
    <x v="3"/>
    <s v="Invoice"/>
    <s v="100002505"/>
    <x v="534"/>
    <x v="470"/>
    <x v="22"/>
    <x v="2"/>
    <n v="10.005000000000001"/>
  </r>
  <r>
    <s v="DPOPPELL"/>
    <s v="04"/>
    <s v="BONIFACIO"/>
    <s v="CORONET"/>
    <x v="648"/>
    <x v="6"/>
    <x v="3"/>
    <s v="Invoice"/>
    <s v="100002507"/>
    <x v="43"/>
    <x v="38"/>
    <x v="22"/>
    <x v="2"/>
    <n v="6.25"/>
  </r>
  <r>
    <s v="DPOPPELL"/>
    <s v="04"/>
    <s v="FLORIDAAG"/>
    <s v="KINGSWAY"/>
    <x v="648"/>
    <x v="6"/>
    <x v="3"/>
    <s v="Invoice"/>
    <s v="100002508"/>
    <x v="326"/>
    <x v="289"/>
    <x v="22"/>
    <x v="2"/>
    <n v="2.25"/>
  </r>
  <r>
    <s v="DPOPPELL"/>
    <s v="04"/>
    <s v="CHARLIEG-LLC"/>
    <s v="LAMPP ROAD"/>
    <x v="648"/>
    <x v="6"/>
    <x v="3"/>
    <s v="Invoice"/>
    <s v="100002509"/>
    <x v="233"/>
    <x v="209"/>
    <x v="22"/>
    <x v="2"/>
    <n v="1.7524999999999999"/>
  </r>
  <r>
    <s v="DPOPPELL"/>
    <s v="04"/>
    <s v="STRAWBERRYR"/>
    <s v="RANCH 4"/>
    <x v="648"/>
    <x v="6"/>
    <x v="3"/>
    <s v="Invoice"/>
    <s v="100002512"/>
    <x v="534"/>
    <x v="470"/>
    <x v="22"/>
    <x v="2"/>
    <n v="15.012"/>
  </r>
  <r>
    <s v="DPOPPELL"/>
    <s v="04"/>
    <s v="GUILLERMOV"/>
    <s v="MAIN"/>
    <x v="648"/>
    <x v="6"/>
    <x v="3"/>
    <s v="Invoice"/>
    <s v="100002513"/>
    <x v="42"/>
    <x v="37"/>
    <x v="30"/>
    <x v="0"/>
    <n v="5"/>
  </r>
  <r>
    <s v="DPOPPELL"/>
    <s v="04"/>
    <s v="BERRYBLISS"/>
    <s v="JAUDONSOUTH"/>
    <x v="648"/>
    <x v="6"/>
    <x v="3"/>
    <s v="Invoice"/>
    <s v="100002514"/>
    <x v="43"/>
    <x v="38"/>
    <x v="22"/>
    <x v="2"/>
    <n v="1.25"/>
  </r>
  <r>
    <s v="DPOPPELL"/>
    <s v="04"/>
    <s v="STRAWBERRYR"/>
    <s v="RANCH 2"/>
    <x v="648"/>
    <x v="6"/>
    <x v="3"/>
    <s v="Invoice"/>
    <s v="100002515"/>
    <x v="534"/>
    <x v="470"/>
    <x v="22"/>
    <x v="2"/>
    <n v="14.994999999999999"/>
  </r>
  <r>
    <s v="DPOPPELL"/>
    <s v="04"/>
    <s v="MIDWAYF"/>
    <s v="FUTCH"/>
    <x v="663"/>
    <x v="6"/>
    <x v="3"/>
    <s v="Invoice"/>
    <s v="100002519"/>
    <x v="233"/>
    <x v="209"/>
    <x v="22"/>
    <x v="2"/>
    <n v="5"/>
  </r>
  <r>
    <s v="DPOPPELL"/>
    <s v="04"/>
    <s v="SWEETLIFE"/>
    <s v="KNIGHTS GRIFFIN"/>
    <x v="663"/>
    <x v="6"/>
    <x v="3"/>
    <s v="Invoice"/>
    <s v="100002520"/>
    <x v="275"/>
    <x v="242"/>
    <x v="22"/>
    <x v="2"/>
    <n v="15.022"/>
  </r>
  <r>
    <s v="DPOPPELL"/>
    <s v="04"/>
    <s v="FLORIDAAG"/>
    <s v="DOVER"/>
    <x v="663"/>
    <x v="6"/>
    <x v="3"/>
    <s v="Invoice"/>
    <s v="100002521"/>
    <x v="554"/>
    <x v="487"/>
    <x v="22"/>
    <x v="2"/>
    <n v="0.05"/>
  </r>
  <r>
    <s v="DPOPPELL"/>
    <s v="04"/>
    <s v="FAVORITE"/>
    <s v="MCINTOSH ROAD"/>
    <x v="663"/>
    <x v="6"/>
    <x v="3"/>
    <s v="Invoice"/>
    <s v="100002524"/>
    <x v="186"/>
    <x v="225"/>
    <x v="13"/>
    <x v="0"/>
    <n v="55"/>
  </r>
  <r>
    <s v="DPOPPELL"/>
    <s v="04"/>
    <s v="STEVEMAT"/>
    <s v="HOPEWELL RD N.S"/>
    <x v="655"/>
    <x v="6"/>
    <x v="3"/>
    <s v="Invoice"/>
    <s v="100002529"/>
    <x v="140"/>
    <x v="72"/>
    <x v="4"/>
    <x v="0"/>
    <n v="250"/>
  </r>
  <r>
    <s v="DPOPPELL"/>
    <s v="04"/>
    <s v="SYDNEYFA"/>
    <s v="FORBES ROAD"/>
    <x v="655"/>
    <x v="6"/>
    <x v="3"/>
    <s v="Invoice"/>
    <s v="100002532"/>
    <x v="534"/>
    <x v="470"/>
    <x v="22"/>
    <x v="2"/>
    <n v="7.5175000000000001"/>
  </r>
  <r>
    <s v=""/>
    <s v="04"/>
    <s v="GAONA, ESPER"/>
    <s v="MAILING"/>
    <x v="655"/>
    <x v="6"/>
    <x v="3"/>
    <s v="Invoice"/>
    <s v="100002533"/>
    <x v="69"/>
    <x v="62"/>
    <x v="22"/>
    <x v="2"/>
    <n v="5.5225"/>
  </r>
  <r>
    <s v="DPOPPELL"/>
    <s v="04"/>
    <s v="CHAVEZJOR"/>
    <s v="JOSE' CHAV- COD"/>
    <x v="655"/>
    <x v="6"/>
    <x v="3"/>
    <s v="Invoice"/>
    <s v="100002534"/>
    <x v="53"/>
    <x v="46"/>
    <x v="22"/>
    <x v="2"/>
    <n v="0.3"/>
  </r>
  <r>
    <s v="DPOPPELL"/>
    <s v="04"/>
    <s v="CHARLIEG-LLC"/>
    <s v="DAIRY"/>
    <x v="655"/>
    <x v="6"/>
    <x v="3"/>
    <s v="Invoice"/>
    <s v="100002535"/>
    <x v="233"/>
    <x v="209"/>
    <x v="22"/>
    <x v="2"/>
    <n v="1.0049999999999999"/>
  </r>
  <r>
    <s v="DPOPPELL"/>
    <s v="04"/>
    <s v="THREESTA"/>
    <s v="WALDEN-SHEFFIEL"/>
    <x v="656"/>
    <x v="6"/>
    <x v="3"/>
    <s v="Invoice"/>
    <s v="100002542"/>
    <x v="534"/>
    <x v="470"/>
    <x v="22"/>
    <x v="2"/>
    <n v="10.01"/>
  </r>
  <r>
    <s v="DPOPPELL"/>
    <s v="04"/>
    <s v="MERCEDCH"/>
    <s v="HWY62"/>
    <x v="656"/>
    <x v="6"/>
    <x v="3"/>
    <s v="Invoice"/>
    <s v="100002543"/>
    <x v="43"/>
    <x v="38"/>
    <x v="22"/>
    <x v="2"/>
    <n v="15.0175"/>
  </r>
  <r>
    <s v="DPOPPELL"/>
    <s v="04"/>
    <s v="CHARLIEG-LLC"/>
    <s v="ALBRITTON"/>
    <x v="656"/>
    <x v="6"/>
    <x v="3"/>
    <s v="Invoice"/>
    <s v="100002546"/>
    <x v="275"/>
    <x v="242"/>
    <x v="22"/>
    <x v="2"/>
    <n v="2.0150000000000001"/>
  </r>
  <r>
    <s v="DPOPPELL"/>
    <s v="04"/>
    <s v="GUTIERREZA"/>
    <s v="DUETTE"/>
    <x v="664"/>
    <x v="6"/>
    <x v="3"/>
    <s v="Invoice"/>
    <s v="100002549"/>
    <x v="43"/>
    <x v="38"/>
    <x v="22"/>
    <x v="2"/>
    <n v="15.04"/>
  </r>
  <r>
    <s v="DPOPPELL"/>
    <s v="04"/>
    <s v="STRAWBERRYR"/>
    <s v="RANCH 1"/>
    <x v="664"/>
    <x v="6"/>
    <x v="3"/>
    <s v="Invoice"/>
    <s v="100002550"/>
    <x v="534"/>
    <x v="470"/>
    <x v="22"/>
    <x v="2"/>
    <n v="15.012499999999999"/>
  </r>
  <r>
    <s v="DPOPPELL"/>
    <s v="04"/>
    <s v="SOUTHERNHILL"/>
    <s v="SCHOFIELD"/>
    <x v="664"/>
    <x v="6"/>
    <x v="3"/>
    <s v="Invoice"/>
    <s v="100002551"/>
    <x v="43"/>
    <x v="38"/>
    <x v="22"/>
    <x v="2"/>
    <n v="3.7475000000000001"/>
  </r>
  <r>
    <s v="DPOPPELL"/>
    <s v="04"/>
    <s v="STRAWBERRYR"/>
    <s v="RANCH 3"/>
    <x v="664"/>
    <x v="6"/>
    <x v="3"/>
    <s v="Invoice"/>
    <s v="100002554"/>
    <x v="534"/>
    <x v="470"/>
    <x v="22"/>
    <x v="2"/>
    <n v="15.025"/>
  </r>
  <r>
    <s v="DPOPPELL"/>
    <s v="04"/>
    <s v="MERCEDCH"/>
    <s v="HWY62"/>
    <x v="657"/>
    <x v="6"/>
    <x v="3"/>
    <s v="Invoice"/>
    <s v="100002556A"/>
    <x v="43"/>
    <x v="38"/>
    <x v="22"/>
    <x v="2"/>
    <n v="15.015000000000001"/>
  </r>
  <r>
    <s v="DPOPPELL"/>
    <s v="04"/>
    <s v="JOEPENA"/>
    <s v="HWY 92"/>
    <x v="657"/>
    <x v="6"/>
    <x v="3"/>
    <s v="Invoice"/>
    <s v="100002567"/>
    <x v="40"/>
    <x v="35"/>
    <x v="29"/>
    <x v="0"/>
    <n v="5"/>
  </r>
  <r>
    <s v="DPOPPELL"/>
    <s v="04"/>
    <s v="CHARLIEG-LLC"/>
    <s v="LAMPP ROAD"/>
    <x v="657"/>
    <x v="6"/>
    <x v="3"/>
    <s v="Invoice"/>
    <s v="100002568"/>
    <x v="275"/>
    <x v="242"/>
    <x v="22"/>
    <x v="2"/>
    <n v="6.0225"/>
  </r>
  <r>
    <s v="DPOPPELL"/>
    <s v="04"/>
    <s v="SPIVEYFA"/>
    <s v="HOPEWELL"/>
    <x v="657"/>
    <x v="6"/>
    <x v="3"/>
    <s v="Invoice"/>
    <s v="100002569"/>
    <x v="56"/>
    <x v="49"/>
    <x v="22"/>
    <x v="2"/>
    <n v="4.01"/>
  </r>
  <r>
    <s v="DPOPPELL"/>
    <s v="04"/>
    <s v="SWEETLIFE"/>
    <s v="KNIGHTS GRIFFIN"/>
    <x v="658"/>
    <x v="6"/>
    <x v="3"/>
    <s v="Invoice"/>
    <s v="100002575"/>
    <x v="275"/>
    <x v="242"/>
    <x v="22"/>
    <x v="2"/>
    <n v="15.02"/>
  </r>
  <r>
    <s v="DPOPPELL"/>
    <s v="04"/>
    <s v="TWINFARMS"/>
    <s v="DAD WELDON RD"/>
    <x v="658"/>
    <x v="6"/>
    <x v="3"/>
    <s v="Invoice"/>
    <s v="100002576"/>
    <x v="43"/>
    <x v="38"/>
    <x v="22"/>
    <x v="2"/>
    <n v="1"/>
  </r>
  <r>
    <s v="DPOPPELL"/>
    <s v="04"/>
    <s v="MIKELOTT"/>
    <s v="HILLSBOROUGH"/>
    <x v="658"/>
    <x v="6"/>
    <x v="3"/>
    <s v="Invoice"/>
    <s v="100002577"/>
    <x v="552"/>
    <x v="485"/>
    <x v="22"/>
    <x v="2"/>
    <n v="5"/>
  </r>
  <r>
    <s v="DPOPPELL"/>
    <s v="04"/>
    <s v="SYDNEYFA"/>
    <s v="FORBES ROAD"/>
    <x v="658"/>
    <x v="6"/>
    <x v="3"/>
    <s v="Invoice"/>
    <s v="100002579"/>
    <x v="534"/>
    <x v="470"/>
    <x v="22"/>
    <x v="2"/>
    <n v="10"/>
  </r>
  <r>
    <s v="DPOPPELL"/>
    <s v="04"/>
    <s v="SYDNEYFA"/>
    <s v="FORBES ROAD"/>
    <x v="658"/>
    <x v="6"/>
    <x v="3"/>
    <s v="Invoice"/>
    <s v="100002580"/>
    <x v="534"/>
    <x v="470"/>
    <x v="22"/>
    <x v="2"/>
    <n v="5"/>
  </r>
  <r>
    <s v="DPOPPELL"/>
    <s v="04"/>
    <s v="THREESTA"/>
    <s v="WALDEN-SHEFFIEL"/>
    <x v="658"/>
    <x v="6"/>
    <x v="3"/>
    <s v="Invoice"/>
    <s v="100002582"/>
    <x v="534"/>
    <x v="470"/>
    <x v="22"/>
    <x v="2"/>
    <n v="10.01"/>
  </r>
  <r>
    <s v="DPOPPELL"/>
    <s v="04"/>
    <s v="MIDWAYF"/>
    <s v="ALS - SOUTH"/>
    <x v="658"/>
    <x v="6"/>
    <x v="3"/>
    <s v="Invoice"/>
    <s v="100002583"/>
    <x v="275"/>
    <x v="242"/>
    <x v="22"/>
    <x v="2"/>
    <n v="2.5049999999999999"/>
  </r>
  <r>
    <s v="DPOPPELL"/>
    <s v="04"/>
    <s v="IFASGULF"/>
    <s v="BALM-STRAWBERRY"/>
    <x v="658"/>
    <x v="6"/>
    <x v="3"/>
    <s v="Invoice"/>
    <s v="100002584"/>
    <x v="28"/>
    <x v="23"/>
    <x v="22"/>
    <x v="2"/>
    <n v="7.5025000000000004"/>
  </r>
  <r>
    <s v="HOUSE"/>
    <s v="05"/>
    <s v="CPSBOYNTON"/>
    <s v="BOYNTON BCH"/>
    <x v="650"/>
    <x v="6"/>
    <x v="3"/>
    <s v="Invoice"/>
    <s v="100002337"/>
    <x v="5"/>
    <x v="72"/>
    <x v="4"/>
    <x v="0"/>
    <n v="360"/>
  </r>
  <r>
    <s v="HOUSE"/>
    <s v="05"/>
    <s v="SOUTHERN"/>
    <s v="SOUTHERN AG"/>
    <x v="650"/>
    <x v="6"/>
    <x v="3"/>
    <s v="Invoice"/>
    <s v="100002347"/>
    <x v="70"/>
    <x v="63"/>
    <x v="33"/>
    <x v="0"/>
    <n v="750"/>
  </r>
  <r>
    <s v="HOUSE"/>
    <s v="05"/>
    <s v="SOUTHERN"/>
    <s v="SOUTHERN AG"/>
    <x v="650"/>
    <x v="6"/>
    <x v="3"/>
    <s v="Invoice"/>
    <s v="100002348"/>
    <x v="48"/>
    <x v="33"/>
    <x v="28"/>
    <x v="0"/>
    <n v="180"/>
  </r>
  <r>
    <s v="HOUSE"/>
    <s v="05"/>
    <s v="CPSHOMES"/>
    <s v="HOMESTEAD"/>
    <x v="651"/>
    <x v="6"/>
    <x v="3"/>
    <s v="Invoice"/>
    <s v="100002404"/>
    <x v="48"/>
    <x v="33"/>
    <x v="28"/>
    <x v="0"/>
    <n v="180"/>
  </r>
  <r>
    <s v="HOUSE"/>
    <s v="05"/>
    <s v="SOUTHERN"/>
    <s v="SOUTHERN AG"/>
    <x v="656"/>
    <x v="6"/>
    <x v="3"/>
    <s v="Invoice"/>
    <s v="100002547"/>
    <x v="555"/>
    <x v="488"/>
    <x v="116"/>
    <x v="0"/>
    <n v="60"/>
  </r>
  <r>
    <s v="BRIDGE"/>
    <s v="06"/>
    <s v="DELSTAR"/>
    <s v="SHARPE"/>
    <x v="664"/>
    <x v="6"/>
    <x v="3"/>
    <s v="Invoice"/>
    <s v="100002553"/>
    <x v="168"/>
    <x v="88"/>
    <x v="8"/>
    <x v="0"/>
    <n v="50"/>
  </r>
  <r>
    <s v="CHEAD"/>
    <s v="07"/>
    <s v="TRIANGLE"/>
    <s v="SYCAMORE"/>
    <x v="649"/>
    <x v="6"/>
    <x v="3"/>
    <s v="Invoice"/>
    <s v="100002300"/>
    <x v="218"/>
    <x v="193"/>
    <x v="8"/>
    <x v="0"/>
    <n v="360"/>
  </r>
  <r>
    <s v="CHEAD"/>
    <s v="07"/>
    <s v="TRIANGLE"/>
    <s v="SYCAMORE"/>
    <x v="649"/>
    <x v="6"/>
    <x v="3"/>
    <s v="Invoice"/>
    <s v="100002302"/>
    <x v="238"/>
    <x v="214"/>
    <x v="67"/>
    <x v="0"/>
    <n v="540"/>
  </r>
  <r>
    <s v=""/>
    <s v="07"/>
    <s v="BARNESFE"/>
    <s v="HASTINGS"/>
    <x v="665"/>
    <x v="6"/>
    <x v="3"/>
    <s v="Invoice"/>
    <s v="100002314"/>
    <x v="158"/>
    <x v="139"/>
    <x v="53"/>
    <x v="0"/>
    <n v="480"/>
  </r>
  <r>
    <s v=""/>
    <s v="07"/>
    <s v="BARNESFE"/>
    <s v="HASTINGS"/>
    <x v="665"/>
    <x v="6"/>
    <x v="3"/>
    <s v="Invoice"/>
    <s v="100002314"/>
    <x v="206"/>
    <x v="139"/>
    <x v="53"/>
    <x v="0"/>
    <n v="750"/>
  </r>
  <r>
    <s v=""/>
    <s v="07"/>
    <s v="CPSHASTI"/>
    <s v="HASTINGS"/>
    <x v="644"/>
    <x v="6"/>
    <x v="3"/>
    <s v="Invoice"/>
    <s v="100002317"/>
    <x v="96"/>
    <x v="90"/>
    <x v="39"/>
    <x v="0"/>
    <n v="70"/>
  </r>
  <r>
    <s v=""/>
    <s v="07"/>
    <s v="MILLERBL"/>
    <s v="PALATKA"/>
    <x v="644"/>
    <x v="6"/>
    <x v="3"/>
    <s v="Invoice"/>
    <s v="100002342"/>
    <x v="208"/>
    <x v="184"/>
    <x v="22"/>
    <x v="2"/>
    <n v="15.05"/>
  </r>
  <r>
    <s v=""/>
    <s v="07"/>
    <s v="CPSHASTI"/>
    <s v="HASTINGS"/>
    <x v="645"/>
    <x v="6"/>
    <x v="3"/>
    <s v="Invoice"/>
    <s v="100002355"/>
    <x v="96"/>
    <x v="90"/>
    <x v="39"/>
    <x v="0"/>
    <n v="110"/>
  </r>
  <r>
    <s v=""/>
    <s v="07"/>
    <s v="MAYO"/>
    <s v="WILLISTON"/>
    <x v="646"/>
    <x v="6"/>
    <x v="3"/>
    <s v="Invoice"/>
    <s v="100002433"/>
    <x v="34"/>
    <x v="29"/>
    <x v="26"/>
    <x v="0"/>
    <n v="180"/>
  </r>
  <r>
    <s v="TYLERPIKE"/>
    <s v="07"/>
    <s v="CPSTRENTON"/>
    <s v="MAIN"/>
    <x v="646"/>
    <x v="6"/>
    <x v="3"/>
    <s v="Invoice"/>
    <s v="100002434"/>
    <x v="34"/>
    <x v="29"/>
    <x v="26"/>
    <x v="0"/>
    <n v="180"/>
  </r>
  <r>
    <s v=""/>
    <s v="07"/>
    <s v="BARNESFE"/>
    <s v="HASTINGS"/>
    <x v="646"/>
    <x v="6"/>
    <x v="3"/>
    <s v="Invoice"/>
    <s v="100002435"/>
    <x v="158"/>
    <x v="489"/>
    <x v="53"/>
    <x v="0"/>
    <n v="480"/>
  </r>
  <r>
    <s v="TYLERPIKE"/>
    <s v="07"/>
    <s v="SOUTHAGSOLUTION"/>
    <s v="JERRYMILLS"/>
    <x v="647"/>
    <x v="6"/>
    <x v="3"/>
    <s v="Invoice"/>
    <s v="100002486"/>
    <x v="506"/>
    <x v="441"/>
    <x v="121"/>
    <x v="0"/>
    <n v="250"/>
  </r>
  <r>
    <s v=""/>
    <s v="07"/>
    <s v="BIG HOUSE FARMS"/>
    <s v="MAYO"/>
    <x v="647"/>
    <x v="6"/>
    <x v="3"/>
    <s v="Invoice"/>
    <s v="100002492"/>
    <x v="243"/>
    <x v="217"/>
    <x v="22"/>
    <x v="2"/>
    <n v="5.0125000000000002"/>
  </r>
  <r>
    <s v="TYLERPIKE"/>
    <s v="07"/>
    <s v="CPSTRENTON"/>
    <s v="MAIN"/>
    <x v="663"/>
    <x v="6"/>
    <x v="3"/>
    <s v="Invoice"/>
    <s v="100002516"/>
    <x v="34"/>
    <x v="29"/>
    <x v="26"/>
    <x v="0"/>
    <n v="180"/>
  </r>
  <r>
    <s v=""/>
    <s v="07"/>
    <s v="BARNESFE"/>
    <s v="HASTINGS"/>
    <x v="656"/>
    <x v="6"/>
    <x v="3"/>
    <s v="Invoice"/>
    <s v="100002517A"/>
    <x v="556"/>
    <x v="490"/>
    <x v="36"/>
    <x v="0"/>
    <n v="250"/>
  </r>
  <r>
    <s v=""/>
    <s v="07"/>
    <s v="BARNESFE"/>
    <s v="HASTINGS"/>
    <x v="656"/>
    <x v="6"/>
    <x v="3"/>
    <s v="Invoice"/>
    <s v="100002517A"/>
    <x v="158"/>
    <x v="139"/>
    <x v="53"/>
    <x v="0"/>
    <n v="480"/>
  </r>
  <r>
    <s v=""/>
    <s v="07"/>
    <s v="MAYO"/>
    <s v="WILLISTON"/>
    <x v="657"/>
    <x v="6"/>
    <x v="3"/>
    <s v="Invoice"/>
    <s v="100002563"/>
    <x v="77"/>
    <x v="37"/>
    <x v="30"/>
    <x v="0"/>
    <n v="30"/>
  </r>
  <r>
    <s v=""/>
    <s v="07"/>
    <s v="BARNESFE"/>
    <s v="HASTINGS"/>
    <x v="658"/>
    <x v="6"/>
    <x v="3"/>
    <s v="Invoice"/>
    <s v="100002574"/>
    <x v="556"/>
    <x v="490"/>
    <x v="36"/>
    <x v="0"/>
    <n v="500"/>
  </r>
  <r>
    <s v=""/>
    <s v="07"/>
    <s v="BARNESFE"/>
    <s v="HASTINGS"/>
    <x v="658"/>
    <x v="6"/>
    <x v="3"/>
    <s v="Invoice"/>
    <s v="100002574"/>
    <x v="158"/>
    <x v="139"/>
    <x v="53"/>
    <x v="0"/>
    <n v="240"/>
  </r>
  <r>
    <s v="DPOPPELL1"/>
    <s v="08"/>
    <s v="MAYO"/>
    <s v="PLANTCITY"/>
    <x v="649"/>
    <x v="6"/>
    <x v="3"/>
    <s v="Invoice"/>
    <s v="100002310"/>
    <x v="398"/>
    <x v="345"/>
    <x v="22"/>
    <x v="2"/>
    <n v="11.994999999999999"/>
  </r>
  <r>
    <s v="DPOPPELL1"/>
    <s v="08"/>
    <s v="MAYO"/>
    <s v="PLANTCITY"/>
    <x v="645"/>
    <x v="6"/>
    <x v="3"/>
    <s v="Invoice"/>
    <s v="100002364"/>
    <x v="398"/>
    <x v="345"/>
    <x v="22"/>
    <x v="2"/>
    <n v="12.02"/>
  </r>
  <r>
    <s v="DPOPPELL1"/>
    <s v="08"/>
    <s v="COASTALAGSUPPLY"/>
    <s v="MULBERRY"/>
    <x v="659"/>
    <x v="6"/>
    <x v="3"/>
    <s v="Invoice"/>
    <s v="100002368"/>
    <x v="141"/>
    <x v="124"/>
    <x v="24"/>
    <x v="0"/>
    <n v="250"/>
  </r>
  <r>
    <s v="DPOPPELL1"/>
    <s v="08"/>
    <s v="MAYO"/>
    <s v="PLANTCITY"/>
    <x v="646"/>
    <x v="6"/>
    <x v="3"/>
    <s v="Invoice"/>
    <s v="100002443"/>
    <x v="398"/>
    <x v="345"/>
    <x v="22"/>
    <x v="2"/>
    <n v="6.01"/>
  </r>
  <r>
    <s v="DPOPPELL1"/>
    <s v="08"/>
    <s v="MAYO"/>
    <s v="PLANTCITY"/>
    <x v="653"/>
    <x v="6"/>
    <x v="3"/>
    <s v="Invoice"/>
    <s v="100002454"/>
    <x v="210"/>
    <x v="186"/>
    <x v="22"/>
    <x v="2"/>
    <n v="5.9950000000000001"/>
  </r>
  <r>
    <s v="DPOPPELL1"/>
    <s v="08"/>
    <s v="MAYO"/>
    <s v="PLANTCITY"/>
    <x v="648"/>
    <x v="6"/>
    <x v="3"/>
    <s v="Invoice"/>
    <s v="100002506"/>
    <x v="398"/>
    <x v="345"/>
    <x v="22"/>
    <x v="2"/>
    <n v="12"/>
  </r>
  <r>
    <s v="DPOPPELL1"/>
    <s v="08"/>
    <s v="TRIANGLE"/>
    <s v="TRIANGLE/PC"/>
    <x v="655"/>
    <x v="6"/>
    <x v="3"/>
    <s v="Invoice"/>
    <s v="100002531"/>
    <x v="74"/>
    <x v="67"/>
    <x v="7"/>
    <x v="0"/>
    <n v="250"/>
  </r>
  <r>
    <s v="DPOPPELL1"/>
    <s v="08"/>
    <s v="PURLEYNK"/>
    <s v="MAIN"/>
    <x v="655"/>
    <x v="6"/>
    <x v="3"/>
    <s v="Invoice"/>
    <s v="100002536"/>
    <x v="53"/>
    <x v="46"/>
    <x v="22"/>
    <x v="2"/>
    <n v="0.15"/>
  </r>
  <r>
    <s v="DPOPPELL1"/>
    <s v="08"/>
    <s v="CPSMULB"/>
    <s v="UAP/MULBERRY"/>
    <x v="657"/>
    <x v="6"/>
    <x v="3"/>
    <s v="Invoice"/>
    <s v="100002558A"/>
    <x v="102"/>
    <x v="71"/>
    <x v="100"/>
    <x v="0"/>
    <n v="750"/>
  </r>
  <r>
    <s v="DPOPPELL1"/>
    <s v="08"/>
    <s v="MAYO"/>
    <s v="PLANTCITY"/>
    <x v="658"/>
    <x v="6"/>
    <x v="3"/>
    <s v="Invoice"/>
    <s v="100002573"/>
    <x v="210"/>
    <x v="186"/>
    <x v="22"/>
    <x v="2"/>
    <n v="6.0125000000000002"/>
  </r>
  <r>
    <s v="GEORGIA"/>
    <s v="09"/>
    <s v="AGRIBUSI"/>
    <s v="INTREPID/TUNICA"/>
    <x v="645"/>
    <x v="6"/>
    <x v="3"/>
    <s v="Invoice"/>
    <s v="100002287"/>
    <x v="129"/>
    <x v="117"/>
    <x v="48"/>
    <x v="0"/>
    <n v="3710"/>
  </r>
  <r>
    <s v="GEORGIA"/>
    <s v="09"/>
    <s v="TRIANGLE"/>
    <s v="SYCAMORE"/>
    <x v="649"/>
    <x v="6"/>
    <x v="3"/>
    <s v="Invoice"/>
    <s v="100002301"/>
    <x v="248"/>
    <x v="221"/>
    <x v="54"/>
    <x v="0"/>
    <n v="2160"/>
  </r>
  <r>
    <s v=""/>
    <s v="09"/>
    <s v="AGRIBUSI"/>
    <s v="SIMPLOTWYNNE"/>
    <x v="644"/>
    <x v="6"/>
    <x v="3"/>
    <s v="Invoice"/>
    <s v="100002325"/>
    <x v="129"/>
    <x v="117"/>
    <x v="48"/>
    <x v="0"/>
    <n v="3710"/>
  </r>
  <r>
    <s v=""/>
    <s v="09"/>
    <s v="AGRIBUSI"/>
    <s v="INVICTUSBASTROP"/>
    <x v="650"/>
    <x v="6"/>
    <x v="3"/>
    <s v="Invoice"/>
    <s v="100002346"/>
    <x v="129"/>
    <x v="117"/>
    <x v="48"/>
    <x v="0"/>
    <n v="3710"/>
  </r>
  <r>
    <s v="GEORGIA"/>
    <s v="09"/>
    <s v="TRIANGLE"/>
    <s v="DONALSONVILLE"/>
    <x v="645"/>
    <x v="6"/>
    <x v="3"/>
    <s v="Invoice"/>
    <s v="100002353"/>
    <x v="248"/>
    <x v="221"/>
    <x v="54"/>
    <x v="0"/>
    <n v="3960"/>
  </r>
  <r>
    <s v="GEORGIA"/>
    <s v="09"/>
    <s v="AGRIBUSI"/>
    <s v="IRWINVILLE"/>
    <x v="660"/>
    <x v="6"/>
    <x v="3"/>
    <s v="Invoice"/>
    <s v="100002384"/>
    <x v="107"/>
    <x v="98"/>
    <x v="36"/>
    <x v="0"/>
    <n v="360"/>
  </r>
  <r>
    <s v="GEORGIA"/>
    <s v="09"/>
    <s v="TRIANGLE"/>
    <s v="SYCAMORE"/>
    <x v="660"/>
    <x v="6"/>
    <x v="3"/>
    <s v="Invoice"/>
    <s v="100002385"/>
    <x v="248"/>
    <x v="221"/>
    <x v="54"/>
    <x v="0"/>
    <n v="3960"/>
  </r>
  <r>
    <s v=""/>
    <s v="09"/>
    <s v="CAROLINATU"/>
    <s v="GREENSBOR,C.C."/>
    <x v="661"/>
    <x v="6"/>
    <x v="3"/>
    <s v="Invoice"/>
    <s v="100002398"/>
    <x v="84"/>
    <x v="76"/>
    <x v="11"/>
    <x v="0"/>
    <n v="55"/>
  </r>
  <r>
    <s v="GEORGIA"/>
    <s v="09"/>
    <s v="AGRIBUSI"/>
    <s v="GREENPOINTCORDE"/>
    <x v="646"/>
    <x v="6"/>
    <x v="3"/>
    <s v="Invoice"/>
    <s v="100002446"/>
    <x v="290"/>
    <x v="255"/>
    <x v="20"/>
    <x v="1"/>
    <n v="7200"/>
  </r>
  <r>
    <s v=""/>
    <s v="09"/>
    <s v="CPSCAROLINAS"/>
    <s v="UAP/ORANGEBURG"/>
    <x v="654"/>
    <x v="6"/>
    <x v="3"/>
    <s v="Invoice"/>
    <s v="100002466"/>
    <x v="101"/>
    <x v="21"/>
    <x v="21"/>
    <x v="0"/>
    <n v="360"/>
  </r>
  <r>
    <s v=""/>
    <s v="09"/>
    <s v="AGRIBUSI"/>
    <s v="MEHERRIN/CHARLE"/>
    <x v="654"/>
    <x v="6"/>
    <x v="3"/>
    <s v="Invoice"/>
    <s v="100002471"/>
    <x v="246"/>
    <x v="195"/>
    <x v="20"/>
    <x v="1"/>
    <n v="7500"/>
  </r>
  <r>
    <s v=""/>
    <s v="09"/>
    <s v="AGRIBUSI"/>
    <s v="MEHERRIN/CHARLE"/>
    <x v="654"/>
    <x v="6"/>
    <x v="3"/>
    <s v="Invoice"/>
    <s v="100002471"/>
    <x v="220"/>
    <x v="195"/>
    <x v="20"/>
    <x v="1"/>
    <n v="1800"/>
  </r>
  <r>
    <s v="GEORGIA"/>
    <s v="09"/>
    <s v="CAROLINATU"/>
    <s v="KNOLLWOODGC"/>
    <x v="647"/>
    <x v="6"/>
    <x v="3"/>
    <s v="Invoice"/>
    <s v="100002498"/>
    <x v="12"/>
    <x v="76"/>
    <x v="11"/>
    <x v="0"/>
    <n v="180"/>
  </r>
  <r>
    <s v="GEORGIA"/>
    <s v="09"/>
    <s v="AGRIBUSI"/>
    <s v="NUTRIENTIFTON"/>
    <x v="663"/>
    <x v="6"/>
    <x v="3"/>
    <s v="Invoice"/>
    <s v="100002523"/>
    <x v="215"/>
    <x v="190"/>
    <x v="20"/>
    <x v="1"/>
    <n v="5000"/>
  </r>
  <r>
    <s v=""/>
    <s v="09"/>
    <s v="AGRIBUSI"/>
    <s v="MEHERRIN/COOLIG"/>
    <x v="655"/>
    <x v="6"/>
    <x v="3"/>
    <s v="Invoice"/>
    <s v="100002538"/>
    <x v="290"/>
    <x v="255"/>
    <x v="20"/>
    <x v="1"/>
    <n v="1800"/>
  </r>
  <r>
    <s v="GEORGIA"/>
    <s v="09"/>
    <s v="CAROLINATU"/>
    <s v="SOUTHERNPINES"/>
    <x v="664"/>
    <x v="6"/>
    <x v="3"/>
    <s v="Invoice"/>
    <s v="100002552"/>
    <x v="422"/>
    <x v="192"/>
    <x v="56"/>
    <x v="0"/>
    <n v="10"/>
  </r>
  <r>
    <s v="GEORGIA"/>
    <s v="09"/>
    <s v="CAROLINATU"/>
    <s v="SOUTHERNPINES"/>
    <x v="664"/>
    <x v="6"/>
    <x v="3"/>
    <s v="Invoice"/>
    <s v="100002552"/>
    <x v="421"/>
    <x v="360"/>
    <x v="105"/>
    <x v="0"/>
    <n v="10"/>
  </r>
  <r>
    <s v="GEORGIA"/>
    <s v="09"/>
    <s v="CAROLINATU"/>
    <s v="SOUTHERNPINES"/>
    <x v="664"/>
    <x v="6"/>
    <x v="3"/>
    <s v="Invoice"/>
    <s v="100002552"/>
    <x v="249"/>
    <x v="222"/>
    <x v="70"/>
    <x v="0"/>
    <n v="20"/>
  </r>
  <r>
    <s v="GEORGIA"/>
    <s v="09"/>
    <s v="CAROLINATU"/>
    <s v="SOUTHERNPINES"/>
    <x v="664"/>
    <x v="6"/>
    <x v="3"/>
    <s v="Invoice"/>
    <s v="100002552"/>
    <x v="12"/>
    <x v="76"/>
    <x v="11"/>
    <x v="0"/>
    <n v="20"/>
  </r>
  <r>
    <s v="TRES"/>
    <s v="11"/>
    <s v="SOUTHINTEGRITY"/>
    <s v="THIRDST"/>
    <x v="651"/>
    <x v="6"/>
    <x v="3"/>
    <s v="Invoice"/>
    <s v="100002415"/>
    <x v="107"/>
    <x v="98"/>
    <x v="36"/>
    <x v="0"/>
    <n v="25"/>
  </r>
  <r>
    <s v="TRES"/>
    <s v="11"/>
    <s v="SOUTHINTEGRITY"/>
    <s v="THIRDST"/>
    <x v="651"/>
    <x v="6"/>
    <x v="3"/>
    <s v="Invoice"/>
    <s v="100002415"/>
    <x v="175"/>
    <x v="156"/>
    <x v="9"/>
    <x v="0"/>
    <n v="25"/>
  </r>
  <r>
    <s v="TRES"/>
    <s v="11"/>
    <s v="SOUTHINTEGRITY"/>
    <s v="THIRDST"/>
    <x v="651"/>
    <x v="6"/>
    <x v="3"/>
    <s v="Invoice"/>
    <s v="100002415"/>
    <x v="34"/>
    <x v="29"/>
    <x v="26"/>
    <x v="0"/>
    <n v="55"/>
  </r>
  <r>
    <s v="TRES"/>
    <s v="11"/>
    <s v="SOUTHINTEGRITY"/>
    <s v="THIRDST"/>
    <x v="651"/>
    <x v="6"/>
    <x v="3"/>
    <s v="Invoice"/>
    <s v="100002415"/>
    <x v="166"/>
    <x v="29"/>
    <x v="26"/>
    <x v="0"/>
    <n v="250"/>
  </r>
  <r>
    <s v="CSWAFFORD"/>
    <s v="12"/>
    <s v="GOLFVENTURES"/>
    <s v="CHSEAGLERIDGE"/>
    <x v="649"/>
    <x v="6"/>
    <x v="3"/>
    <s v="Invoice"/>
    <s v="100002304"/>
    <x v="319"/>
    <x v="281"/>
    <x v="42"/>
    <x v="0"/>
    <n v="275"/>
  </r>
  <r>
    <s v="CSWAFFORD"/>
    <s v="12"/>
    <s v="GOLFVENTURES"/>
    <s v="NAPLESHERITAGE"/>
    <x v="644"/>
    <x v="6"/>
    <x v="3"/>
    <s v="Invoice"/>
    <s v="100002318"/>
    <x v="366"/>
    <x v="336"/>
    <x v="22"/>
    <x v="2"/>
    <n v="1.26"/>
  </r>
  <r>
    <s v="CSWAFFORD"/>
    <s v="12"/>
    <s v="GOLFVENTURES"/>
    <s v="HOBESOUND"/>
    <x v="650"/>
    <x v="6"/>
    <x v="3"/>
    <s v="Invoice"/>
    <s v="100002336"/>
    <x v="373"/>
    <x v="375"/>
    <x v="82"/>
    <x v="0"/>
    <n v="250"/>
  </r>
  <r>
    <s v="CSWAFFORD"/>
    <s v="12"/>
    <s v="GOLFVENTURES"/>
    <s v="HOBESOUND"/>
    <x v="650"/>
    <x v="6"/>
    <x v="3"/>
    <s v="Invoice"/>
    <s v="100002336"/>
    <x v="120"/>
    <x v="299"/>
    <x v="45"/>
    <x v="0"/>
    <n v="250"/>
  </r>
  <r>
    <s v="CSWAFFORD"/>
    <s v="12"/>
    <s v="GOLFVENTURES"/>
    <s v="HOBESOUND"/>
    <x v="650"/>
    <x v="6"/>
    <x v="3"/>
    <s v="Invoice"/>
    <s v="100002336"/>
    <x v="317"/>
    <x v="267"/>
    <x v="80"/>
    <x v="0"/>
    <n v="250"/>
  </r>
  <r>
    <s v="CSWAFFORD"/>
    <s v="12"/>
    <s v="GOLFVENTURES"/>
    <s v="MAIN"/>
    <x v="645"/>
    <x v="6"/>
    <x v="3"/>
    <s v="Invoice"/>
    <s v="100002339A"/>
    <x v="368"/>
    <x v="325"/>
    <x v="36"/>
    <x v="0"/>
    <n v="55"/>
  </r>
  <r>
    <s v="CSWAFFORD"/>
    <s v="12"/>
    <s v="GOLFVENTURES"/>
    <s v="MAIN"/>
    <x v="645"/>
    <x v="6"/>
    <x v="3"/>
    <s v="Invoice"/>
    <s v="100002340A"/>
    <x v="367"/>
    <x v="324"/>
    <x v="22"/>
    <x v="2"/>
    <n v="0.27500000000000002"/>
  </r>
  <r>
    <s v="CSWAFFORD"/>
    <s v="12"/>
    <s v="GOLFVENTURES"/>
    <s v="MAIN"/>
    <x v="645"/>
    <x v="6"/>
    <x v="3"/>
    <s v="Invoice"/>
    <s v="100002358"/>
    <x v="557"/>
    <x v="491"/>
    <x v="129"/>
    <x v="0"/>
    <n v="5"/>
  </r>
  <r>
    <s v="CSWAFFORD"/>
    <s v="12"/>
    <s v="GOLFVENTURES"/>
    <s v="MAIN"/>
    <x v="645"/>
    <x v="6"/>
    <x v="3"/>
    <s v="Invoice"/>
    <s v="100002359"/>
    <x v="457"/>
    <x v="314"/>
    <x v="95"/>
    <x v="0"/>
    <n v="60"/>
  </r>
  <r>
    <s v="CSWAFFORD"/>
    <s v="12"/>
    <s v="GOLFVENTURES"/>
    <s v="MAIN"/>
    <x v="645"/>
    <x v="6"/>
    <x v="3"/>
    <s v="Invoice"/>
    <s v="100002359"/>
    <x v="370"/>
    <x v="320"/>
    <x v="63"/>
    <x v="0"/>
    <n v="60"/>
  </r>
  <r>
    <s v="CSWAFFORD"/>
    <s v="12"/>
    <s v="GOLFVENTURES"/>
    <s v="MAIN"/>
    <x v="645"/>
    <x v="6"/>
    <x v="3"/>
    <s v="Invoice"/>
    <s v="100002359"/>
    <x v="364"/>
    <x v="321"/>
    <x v="96"/>
    <x v="0"/>
    <n v="60"/>
  </r>
  <r>
    <s v="CSWAFFORD"/>
    <s v="12"/>
    <s v="GOLFVENTURES"/>
    <s v="HIDEAWAY"/>
    <x v="660"/>
    <x v="6"/>
    <x v="3"/>
    <s v="Invoice"/>
    <s v="100002378"/>
    <x v="317"/>
    <x v="267"/>
    <x v="80"/>
    <x v="0"/>
    <n v="250"/>
  </r>
  <r>
    <s v="CSWAFFORD"/>
    <s v="12"/>
    <s v="GOLFVENTURES"/>
    <s v="HIDEAWAY"/>
    <x v="660"/>
    <x v="6"/>
    <x v="3"/>
    <s v="Invoice"/>
    <s v="100002378"/>
    <x v="337"/>
    <x v="298"/>
    <x v="53"/>
    <x v="0"/>
    <n v="250"/>
  </r>
  <r>
    <s v="CSWAFFORD"/>
    <s v="12"/>
    <s v="GOLFVENTURES"/>
    <s v="OLDCORKSCREWGC"/>
    <x v="660"/>
    <x v="6"/>
    <x v="3"/>
    <s v="Invoice"/>
    <s v="100002380"/>
    <x v="385"/>
    <x v="321"/>
    <x v="96"/>
    <x v="0"/>
    <n v="55"/>
  </r>
  <r>
    <s v="CSWAFFORD"/>
    <s v="12"/>
    <s v="GOLFVENTURES"/>
    <s v="MAIN"/>
    <x v="651"/>
    <x v="6"/>
    <x v="3"/>
    <s v="Invoice"/>
    <s v="100002407"/>
    <x v="457"/>
    <x v="314"/>
    <x v="95"/>
    <x v="0"/>
    <n v="60"/>
  </r>
  <r>
    <s v="CSWAFFORD"/>
    <s v="12"/>
    <s v="GOLFVENTURES"/>
    <s v="MAIN"/>
    <x v="651"/>
    <x v="6"/>
    <x v="3"/>
    <s v="Invoice"/>
    <s v="100002407"/>
    <x v="3"/>
    <x v="411"/>
    <x v="2"/>
    <x v="0"/>
    <n v="60"/>
  </r>
  <r>
    <s v="CSWAFFORD"/>
    <s v="12"/>
    <s v="GOLFVENTURES"/>
    <s v="MAIN"/>
    <x v="651"/>
    <x v="6"/>
    <x v="3"/>
    <s v="Invoice"/>
    <s v="100002407"/>
    <x v="364"/>
    <x v="321"/>
    <x v="96"/>
    <x v="0"/>
    <n v="60"/>
  </r>
  <r>
    <s v="CSWAFFORD"/>
    <s v="12"/>
    <s v="GOLFVENTURES"/>
    <s v="MAIN"/>
    <x v="651"/>
    <x v="6"/>
    <x v="3"/>
    <s v="Invoice"/>
    <s v="100002408"/>
    <x v="424"/>
    <x v="362"/>
    <x v="47"/>
    <x v="0"/>
    <n v="60"/>
  </r>
  <r>
    <s v="CSWAFFORD"/>
    <s v="12"/>
    <s v="GOLFVENTURES"/>
    <s v="MAIN"/>
    <x v="651"/>
    <x v="6"/>
    <x v="3"/>
    <s v="Invoice"/>
    <s v="100002408"/>
    <x v="370"/>
    <x v="320"/>
    <x v="63"/>
    <x v="0"/>
    <n v="60"/>
  </r>
  <r>
    <s v="CSWAFFORD"/>
    <s v="12"/>
    <s v="GOLFVENTURES"/>
    <s v="MAIN"/>
    <x v="651"/>
    <x v="6"/>
    <x v="3"/>
    <s v="Invoice"/>
    <s v="100002408"/>
    <x v="438"/>
    <x v="373"/>
    <x v="108"/>
    <x v="0"/>
    <n v="60"/>
  </r>
  <r>
    <s v="CSWAFFORD"/>
    <s v="12"/>
    <s v="NUTRATURF"/>
    <s v="CRUMP ST, NC"/>
    <x v="652"/>
    <x v="6"/>
    <x v="3"/>
    <s v="Invoice"/>
    <s v="100002420"/>
    <x v="140"/>
    <x v="72"/>
    <x v="4"/>
    <x v="0"/>
    <n v="250"/>
  </r>
  <r>
    <s v="CSWAFFORD"/>
    <s v="12"/>
    <s v="NUTRATURF"/>
    <s v="CRUMP ST, NC"/>
    <x v="652"/>
    <x v="6"/>
    <x v="3"/>
    <s v="Invoice"/>
    <s v="100002420"/>
    <x v="253"/>
    <x v="74"/>
    <x v="13"/>
    <x v="0"/>
    <n v="250"/>
  </r>
  <r>
    <s v="CSWAFFORD"/>
    <s v="12"/>
    <s v="NUTRATURF"/>
    <s v="CRUMP ST, NC"/>
    <x v="652"/>
    <x v="6"/>
    <x v="3"/>
    <s v="Invoice"/>
    <s v="100002420"/>
    <x v="254"/>
    <x v="75"/>
    <x v="26"/>
    <x v="0"/>
    <n v="250"/>
  </r>
  <r>
    <s v="CSWAFFORD"/>
    <s v="12"/>
    <s v="NUTRATURF"/>
    <s v="CRUMP ST, NC"/>
    <x v="652"/>
    <x v="6"/>
    <x v="3"/>
    <s v="Invoice"/>
    <s v="100002420"/>
    <x v="86"/>
    <x v="78"/>
    <x v="36"/>
    <x v="0"/>
    <n v="250"/>
  </r>
  <r>
    <s v="CSWAFFORD"/>
    <s v="12"/>
    <s v="NUTRATURF"/>
    <s v="CRUMP ST, NC"/>
    <x v="652"/>
    <x v="6"/>
    <x v="3"/>
    <s v="Invoice"/>
    <s v="100002420"/>
    <x v="257"/>
    <x v="371"/>
    <x v="3"/>
    <x v="0"/>
    <n v="250"/>
  </r>
  <r>
    <s v="CSWAFFORD"/>
    <s v="12"/>
    <s v="NUTRATURF"/>
    <s v="CRUMP ST, NC"/>
    <x v="652"/>
    <x v="6"/>
    <x v="3"/>
    <s v="Invoice"/>
    <s v="100002420"/>
    <x v="186"/>
    <x v="225"/>
    <x v="13"/>
    <x v="0"/>
    <n v="55"/>
  </r>
  <r>
    <s v="CSWAFFORD"/>
    <s v="12"/>
    <s v="NUTRATURF"/>
    <s v="CRUMP ST, NC"/>
    <x v="652"/>
    <x v="6"/>
    <x v="3"/>
    <s v="Invoice"/>
    <s v="100002420"/>
    <x v="83"/>
    <x v="69"/>
    <x v="17"/>
    <x v="0"/>
    <n v="250"/>
  </r>
  <r>
    <s v="CSWAFFORD"/>
    <s v="12"/>
    <s v="JRMINC"/>
    <s v="CHEMICALDYNAMIC"/>
    <x v="654"/>
    <x v="6"/>
    <x v="3"/>
    <s v="Invoice"/>
    <s v="100002463"/>
    <x v="482"/>
    <x v="423"/>
    <x v="69"/>
    <x v="0"/>
    <n v="60"/>
  </r>
  <r>
    <s v="CSWAFFORD"/>
    <s v="12"/>
    <s v="JRMINC"/>
    <s v="CHEMICALDYNAMIC"/>
    <x v="654"/>
    <x v="6"/>
    <x v="3"/>
    <s v="Invoice"/>
    <s v="100002463"/>
    <x v="500"/>
    <x v="436"/>
    <x v="80"/>
    <x v="0"/>
    <n v="60"/>
  </r>
  <r>
    <s v="CSWAFFORD"/>
    <s v="12"/>
    <s v="GOLFVENTURES"/>
    <s v="DEERINGBAY"/>
    <x v="647"/>
    <x v="6"/>
    <x v="3"/>
    <s v="Invoice"/>
    <s v="100002496"/>
    <x v="319"/>
    <x v="281"/>
    <x v="42"/>
    <x v="0"/>
    <n v="275"/>
  </r>
  <r>
    <s v="CSWAFFORD"/>
    <s v="12"/>
    <s v="GOLFVENTURES"/>
    <s v="MAIN"/>
    <x v="648"/>
    <x v="6"/>
    <x v="3"/>
    <s v="Invoice"/>
    <s v="100002510"/>
    <x v="448"/>
    <x v="384"/>
    <x v="110"/>
    <x v="0"/>
    <n v="5"/>
  </r>
  <r>
    <s v="CSWAFFORD"/>
    <s v="12"/>
    <s v="GOLFVENTURES"/>
    <s v="LELYRESORT"/>
    <x v="655"/>
    <x v="6"/>
    <x v="3"/>
    <s v="Invoice"/>
    <s v="100002526"/>
    <x v="440"/>
    <x v="321"/>
    <x v="96"/>
    <x v="0"/>
    <n v="275"/>
  </r>
  <r>
    <s v="CSWAFFORD"/>
    <s v="12"/>
    <s v="GOLFVENTURES"/>
    <s v="MAIN"/>
    <x v="656"/>
    <x v="6"/>
    <x v="3"/>
    <s v="Invoice"/>
    <s v="100002540"/>
    <x v="424"/>
    <x v="362"/>
    <x v="47"/>
    <x v="0"/>
    <n v="60"/>
  </r>
  <r>
    <s v="CSWAFFORD"/>
    <s v="12"/>
    <s v="GOLFVENTURES"/>
    <s v="MAIN"/>
    <x v="656"/>
    <x v="6"/>
    <x v="3"/>
    <s v="Invoice"/>
    <s v="100002540"/>
    <x v="439"/>
    <x v="297"/>
    <x v="91"/>
    <x v="0"/>
    <n v="60"/>
  </r>
  <r>
    <s v="CSWAFFORD"/>
    <s v="12"/>
    <s v="GOLFVENTURES"/>
    <s v="MAIN"/>
    <x v="656"/>
    <x v="6"/>
    <x v="3"/>
    <s v="Invoice"/>
    <s v="100002540"/>
    <x v="370"/>
    <x v="320"/>
    <x v="63"/>
    <x v="0"/>
    <n v="60"/>
  </r>
  <r>
    <s v="CSWAFFORD"/>
    <s v="12"/>
    <s v="GOLFVENTURES"/>
    <s v="MAIN"/>
    <x v="656"/>
    <x v="6"/>
    <x v="3"/>
    <s v="Invoice"/>
    <s v="100002541"/>
    <x v="499"/>
    <x v="375"/>
    <x v="82"/>
    <x v="0"/>
    <n v="30"/>
  </r>
  <r>
    <s v="CSWAFFORD"/>
    <s v="12"/>
    <s v="GOLFVENTURES"/>
    <s v="MAIN"/>
    <x v="656"/>
    <x v="6"/>
    <x v="3"/>
    <s v="Invoice"/>
    <s v="100002544"/>
    <x v="317"/>
    <x v="267"/>
    <x v="80"/>
    <x v="0"/>
    <n v="1300"/>
  </r>
  <r>
    <s v="CSWAFFORD"/>
    <s v="12"/>
    <s v="GOLFVENTURES"/>
    <s v="MAIN"/>
    <x v="656"/>
    <x v="6"/>
    <x v="3"/>
    <s v="Invoice"/>
    <s v="100002544"/>
    <x v="440"/>
    <x v="321"/>
    <x v="96"/>
    <x v="0"/>
    <n v="1750"/>
  </r>
  <r>
    <s v="CSWAFFORD"/>
    <s v="12"/>
    <s v="GOLFVENTURES"/>
    <s v="THEYACHT&amp;CC"/>
    <x v="657"/>
    <x v="6"/>
    <x v="3"/>
    <s v="Invoice"/>
    <s v="100002555"/>
    <x v="424"/>
    <x v="362"/>
    <x v="47"/>
    <x v="0"/>
    <n v="10"/>
  </r>
  <r>
    <s v="CSWAFFORD"/>
    <s v="12"/>
    <s v="GOLFVENTURES"/>
    <s v="THEYACHT&amp;CC"/>
    <x v="657"/>
    <x v="6"/>
    <x v="3"/>
    <s v="Invoice"/>
    <s v="100002555"/>
    <x v="120"/>
    <x v="299"/>
    <x v="45"/>
    <x v="0"/>
    <n v="250"/>
  </r>
  <r>
    <s v="CSWAFFORD"/>
    <s v="12"/>
    <s v="GOLFVENTURES"/>
    <s v="THEYACHT&amp;CC"/>
    <x v="657"/>
    <x v="6"/>
    <x v="3"/>
    <s v="Invoice"/>
    <s v="100002555"/>
    <x v="320"/>
    <x v="282"/>
    <x v="87"/>
    <x v="0"/>
    <n v="250"/>
  </r>
  <r>
    <s v="CSWAFFORD"/>
    <s v="12"/>
    <s v="GOLFVENTURES"/>
    <s v="THEYACHT&amp;CC"/>
    <x v="657"/>
    <x v="6"/>
    <x v="3"/>
    <s v="Invoice"/>
    <s v="100002555"/>
    <x v="315"/>
    <x v="279"/>
    <x v="86"/>
    <x v="0"/>
    <n v="250"/>
  </r>
  <r>
    <s v="CSWAFFORD"/>
    <s v="12"/>
    <s v="GOLFVENTURES"/>
    <s v="COUNTRYBOY"/>
    <x v="657"/>
    <x v="6"/>
    <x v="3"/>
    <s v="Invoice"/>
    <s v="100002557"/>
    <x v="319"/>
    <x v="281"/>
    <x v="42"/>
    <x v="0"/>
    <n v="250"/>
  </r>
  <r>
    <s v="CSWAFFORD"/>
    <s v="12"/>
    <s v="GOLFVENTURES"/>
    <s v="COUNTRYBOY"/>
    <x v="657"/>
    <x v="6"/>
    <x v="3"/>
    <s v="Invoice"/>
    <s v="100002557"/>
    <x v="315"/>
    <x v="279"/>
    <x v="86"/>
    <x v="0"/>
    <n v="250"/>
  </r>
  <r>
    <s v="CSWAFFORD"/>
    <s v="12"/>
    <s v="GOLFVENTURES"/>
    <s v="MAIN"/>
    <x v="657"/>
    <x v="6"/>
    <x v="3"/>
    <s v="Invoice"/>
    <s v="100002561"/>
    <x v="485"/>
    <x v="281"/>
    <x v="42"/>
    <x v="0"/>
    <n v="400"/>
  </r>
  <r>
    <s v="CSWAFFORD"/>
    <s v="12"/>
    <s v="GOLFVENTURES"/>
    <s v="MAIN"/>
    <x v="658"/>
    <x v="6"/>
    <x v="3"/>
    <s v="Invoice"/>
    <s v="100002581"/>
    <x v="249"/>
    <x v="294"/>
    <x v="70"/>
    <x v="0"/>
    <n v="90"/>
  </r>
  <r>
    <s v="CSWAFFORD"/>
    <s v="12"/>
    <s v="GOLFVENTURES"/>
    <s v="MAIN"/>
    <x v="658"/>
    <x v="6"/>
    <x v="3"/>
    <s v="Invoice"/>
    <s v="100002581"/>
    <x v="438"/>
    <x v="373"/>
    <x v="108"/>
    <x v="0"/>
    <n v="90"/>
  </r>
  <r>
    <s v=""/>
    <s v="09"/>
    <s v="AGRIBUSI"/>
    <s v="MEHERRIN/CHARLE"/>
    <x v="654"/>
    <x v="6"/>
    <x v="3"/>
    <s v="Invoice"/>
    <s v="100002585"/>
    <x v="246"/>
    <x v="195"/>
    <x v="20"/>
    <x v="1"/>
    <n v="2500"/>
  </r>
  <r>
    <s v="HAP"/>
    <s v="01"/>
    <s v="GREENWAY"/>
    <s v="HOUSTONOAKS"/>
    <x v="666"/>
    <x v="7"/>
    <x v="3"/>
    <s v="Invoice"/>
    <s v="100002607"/>
    <x v="3"/>
    <x v="379"/>
    <x v="2"/>
    <x v="0"/>
    <n v="40"/>
  </r>
  <r>
    <s v="HAP"/>
    <s v="01"/>
    <s v="GREENWAY"/>
    <s v="HOUSTONOAKS"/>
    <x v="666"/>
    <x v="7"/>
    <x v="3"/>
    <s v="Invoice"/>
    <s v="100002607"/>
    <x v="5"/>
    <x v="4"/>
    <x v="4"/>
    <x v="0"/>
    <n v="40"/>
  </r>
  <r>
    <s v="HAP"/>
    <s v="01"/>
    <s v="GREENWAY"/>
    <s v="HOUSTONOAKS"/>
    <x v="666"/>
    <x v="7"/>
    <x v="3"/>
    <s v="Invoice"/>
    <s v="100002607"/>
    <x v="4"/>
    <x v="3"/>
    <x v="3"/>
    <x v="0"/>
    <n v="40"/>
  </r>
  <r>
    <s v="HAP"/>
    <s v="01"/>
    <s v="GREENWAY"/>
    <s v="HOUSTONOAKS"/>
    <x v="666"/>
    <x v="7"/>
    <x v="3"/>
    <s v="Invoice"/>
    <s v="100002607"/>
    <x v="6"/>
    <x v="5"/>
    <x v="5"/>
    <x v="0"/>
    <n v="40"/>
  </r>
  <r>
    <s v="HAP"/>
    <s v="01"/>
    <s v="GREENWAY"/>
    <s v="HOUSTONOAKS"/>
    <x v="666"/>
    <x v="7"/>
    <x v="3"/>
    <s v="Invoice"/>
    <s v="100002607"/>
    <x v="2"/>
    <x v="0"/>
    <x v="0"/>
    <x v="0"/>
    <n v="40"/>
  </r>
  <r>
    <s v="HAP"/>
    <s v="01"/>
    <s v="GREENWAY"/>
    <s v="WAREHOUSE"/>
    <x v="667"/>
    <x v="7"/>
    <x v="3"/>
    <s v="Invoice"/>
    <s v="100002661"/>
    <x v="10"/>
    <x v="9"/>
    <x v="9"/>
    <x v="0"/>
    <n v="60"/>
  </r>
  <r>
    <s v="HAP"/>
    <s v="01"/>
    <s v="GREENWAY"/>
    <s v="WAREHOUSE"/>
    <x v="667"/>
    <x v="7"/>
    <x v="3"/>
    <s v="Invoice"/>
    <s v="100002661"/>
    <x v="3"/>
    <x v="379"/>
    <x v="2"/>
    <x v="0"/>
    <n v="120"/>
  </r>
  <r>
    <s v="HAP"/>
    <s v="01"/>
    <s v="GREENWAY"/>
    <s v="WAREHOUSE"/>
    <x v="667"/>
    <x v="7"/>
    <x v="3"/>
    <s v="Invoice"/>
    <s v="100002661"/>
    <x v="6"/>
    <x v="5"/>
    <x v="5"/>
    <x v="0"/>
    <n v="120"/>
  </r>
  <r>
    <s v="HAP"/>
    <s v="01"/>
    <s v="GREENWAY"/>
    <s v="WAREHOUSE"/>
    <x v="667"/>
    <x v="7"/>
    <x v="3"/>
    <s v="Invoice"/>
    <s v="100002661"/>
    <x v="7"/>
    <x v="6"/>
    <x v="6"/>
    <x v="0"/>
    <n v="60"/>
  </r>
  <r>
    <s v="HAP"/>
    <s v="01"/>
    <s v="GREENWAY"/>
    <s v="WAREHOUSE"/>
    <x v="667"/>
    <x v="7"/>
    <x v="3"/>
    <s v="Invoice"/>
    <s v="100002661"/>
    <x v="22"/>
    <x v="17"/>
    <x v="17"/>
    <x v="0"/>
    <n v="120"/>
  </r>
  <r>
    <s v="HAP"/>
    <s v="01"/>
    <s v="ALMARCH"/>
    <s v="THONOTOSASSA"/>
    <x v="668"/>
    <x v="7"/>
    <x v="3"/>
    <s v="Invoice"/>
    <s v="100002665"/>
    <x v="93"/>
    <x v="84"/>
    <x v="37"/>
    <x v="0"/>
    <n v="55"/>
  </r>
  <r>
    <s v="HAP"/>
    <s v="01"/>
    <s v="ALMARCH"/>
    <s v="THONOTOSASSA"/>
    <x v="668"/>
    <x v="7"/>
    <x v="3"/>
    <s v="Invoice"/>
    <s v="100002665"/>
    <x v="22"/>
    <x v="83"/>
    <x v="17"/>
    <x v="0"/>
    <n v="55"/>
  </r>
  <r>
    <s v="HAP"/>
    <s v="01"/>
    <s v="GREENWAY"/>
    <s v="WAREHOUSE"/>
    <x v="669"/>
    <x v="7"/>
    <x v="3"/>
    <s v="Invoice"/>
    <s v="100002741"/>
    <x v="5"/>
    <x v="4"/>
    <x v="4"/>
    <x v="0"/>
    <n v="120"/>
  </r>
  <r>
    <s v="HAP"/>
    <s v="01"/>
    <s v="GREENWAY"/>
    <s v="WAREHOUSE"/>
    <x v="669"/>
    <x v="7"/>
    <x v="3"/>
    <s v="Invoice"/>
    <s v="100002741"/>
    <x v="4"/>
    <x v="3"/>
    <x v="3"/>
    <x v="0"/>
    <n v="60"/>
  </r>
  <r>
    <s v="HAP"/>
    <s v="01"/>
    <s v="GREENWAY"/>
    <s v="WAREHOUSE"/>
    <x v="669"/>
    <x v="7"/>
    <x v="3"/>
    <s v="Invoice"/>
    <s v="100002741"/>
    <x v="11"/>
    <x v="10"/>
    <x v="10"/>
    <x v="0"/>
    <n v="60"/>
  </r>
  <r>
    <s v="HAP"/>
    <s v="01"/>
    <s v="GREENWAY"/>
    <s v="WAREHOUSE"/>
    <x v="669"/>
    <x v="7"/>
    <x v="3"/>
    <s v="Invoice"/>
    <s v="100002741"/>
    <x v="91"/>
    <x v="14"/>
    <x v="14"/>
    <x v="0"/>
    <n v="30"/>
  </r>
  <r>
    <s v="HAP"/>
    <s v="01"/>
    <s v="GREENWAY"/>
    <s v="WAREHOUSE"/>
    <x v="669"/>
    <x v="7"/>
    <x v="3"/>
    <s v="Invoice"/>
    <s v="100002741"/>
    <x v="2"/>
    <x v="0"/>
    <x v="0"/>
    <x v="0"/>
    <n v="120"/>
  </r>
  <r>
    <s v="HAP"/>
    <s v="01"/>
    <s v="GREENWAY"/>
    <s v="WAREHOUSE"/>
    <x v="669"/>
    <x v="7"/>
    <x v="3"/>
    <s v="Invoice"/>
    <s v="100002741"/>
    <x v="21"/>
    <x v="16"/>
    <x v="16"/>
    <x v="0"/>
    <n v="60"/>
  </r>
  <r>
    <s v="DAVID"/>
    <s v="02"/>
    <s v="SUNNILAND"/>
    <s v="LONGWOOD"/>
    <x v="670"/>
    <x v="7"/>
    <x v="3"/>
    <s v="Invoice"/>
    <s v="100002609"/>
    <x v="124"/>
    <x v="112"/>
    <x v="20"/>
    <x v="1"/>
    <n v="20780"/>
  </r>
  <r>
    <s v="DAVID"/>
    <s v="02"/>
    <s v="EVOQUAWATER"/>
    <s v="STOR-N-MORE"/>
    <x v="671"/>
    <x v="7"/>
    <x v="3"/>
    <s v="Invoice"/>
    <s v="100002625"/>
    <x v="160"/>
    <x v="231"/>
    <x v="54"/>
    <x v="0"/>
    <n v="360"/>
  </r>
  <r>
    <s v="DAVID"/>
    <s v="02"/>
    <s v="PETROCAN"/>
    <s v="UAP-WAUCHULA"/>
    <x v="672"/>
    <x v="7"/>
    <x v="3"/>
    <s v="Invoice"/>
    <s v="100002670"/>
    <x v="526"/>
    <x v="462"/>
    <x v="99"/>
    <x v="0"/>
    <n v="6949"/>
  </r>
  <r>
    <s v="DAVID"/>
    <s v="02"/>
    <s v="PETROCAN"/>
    <s v="TROPICOIL"/>
    <x v="673"/>
    <x v="7"/>
    <x v="3"/>
    <s v="Invoice"/>
    <s v="100002682"/>
    <x v="526"/>
    <x v="462"/>
    <x v="99"/>
    <x v="0"/>
    <n v="6963"/>
  </r>
  <r>
    <s v="DAVID"/>
    <s v="02"/>
    <s v="FLORIDAGAR"/>
    <s v="GARDENSUPPLIES"/>
    <x v="674"/>
    <x v="7"/>
    <x v="3"/>
    <s v="Invoice"/>
    <s v="100002692"/>
    <x v="304"/>
    <x v="268"/>
    <x v="73"/>
    <x v="0"/>
    <n v="250"/>
  </r>
  <r>
    <s v="DAVID"/>
    <s v="02"/>
    <s v="PETROCAN"/>
    <s v="TROPICOIL"/>
    <x v="675"/>
    <x v="7"/>
    <x v="3"/>
    <s v="Invoice"/>
    <s v="100002704"/>
    <x v="526"/>
    <x v="462"/>
    <x v="99"/>
    <x v="0"/>
    <n v="6969"/>
  </r>
  <r>
    <s v="DAVID"/>
    <s v="02"/>
    <s v="FLORIDAF"/>
    <s v="FLORIDA FERTILI"/>
    <x v="676"/>
    <x v="7"/>
    <x v="3"/>
    <s v="Invoice"/>
    <s v="100002709"/>
    <x v="29"/>
    <x v="24"/>
    <x v="20"/>
    <x v="1"/>
    <n v="16437.5"/>
  </r>
  <r>
    <s v="DAVID"/>
    <s v="02"/>
    <s v="CPSTRENTON"/>
    <s v="MAIN"/>
    <x v="676"/>
    <x v="7"/>
    <x v="3"/>
    <s v="Invoice"/>
    <s v="100002711"/>
    <x v="266"/>
    <x v="234"/>
    <x v="74"/>
    <x v="0"/>
    <n v="500"/>
  </r>
  <r>
    <s v="DAVID"/>
    <s v="02"/>
    <s v="RUSSTECH"/>
    <s v="CORTEC"/>
    <x v="676"/>
    <x v="7"/>
    <x v="3"/>
    <s v="Invoice"/>
    <s v="100002718"/>
    <x v="507"/>
    <x v="444"/>
    <x v="20"/>
    <x v="1"/>
    <n v="45571"/>
  </r>
  <r>
    <s v="DAVID"/>
    <s v="02"/>
    <s v="EVOQUAWATER"/>
    <s v="MAIN"/>
    <x v="677"/>
    <x v="7"/>
    <x v="3"/>
    <s v="Invoice"/>
    <s v="100002725"/>
    <x v="160"/>
    <x v="231"/>
    <x v="54"/>
    <x v="0"/>
    <n v="360"/>
  </r>
  <r>
    <s v="DAVID"/>
    <s v="02"/>
    <s v="PETROCAN"/>
    <s v="TROPICOIL"/>
    <x v="678"/>
    <x v="7"/>
    <x v="3"/>
    <s v="Invoice"/>
    <s v="100002745A"/>
    <x v="526"/>
    <x v="462"/>
    <x v="99"/>
    <x v="0"/>
    <n v="7000"/>
  </r>
  <r>
    <s v="DAVID"/>
    <s v="02"/>
    <s v="SOILCEA"/>
    <s v="MAIN"/>
    <x v="679"/>
    <x v="7"/>
    <x v="3"/>
    <s v="Invoice"/>
    <s v="100002764"/>
    <x v="196"/>
    <x v="172"/>
    <x v="61"/>
    <x v="0"/>
    <n v="2.5"/>
  </r>
  <r>
    <s v="DAVID"/>
    <s v="02"/>
    <s v="PETROCAN"/>
    <s v="TROPICOIL"/>
    <x v="680"/>
    <x v="7"/>
    <x v="3"/>
    <s v="Invoice"/>
    <s v="100002779"/>
    <x v="526"/>
    <x v="462"/>
    <x v="99"/>
    <x v="0"/>
    <n v="7073"/>
  </r>
  <r>
    <s v="DAVID"/>
    <s v="02"/>
    <s v="SOUTHERN"/>
    <s v="SOUTHERN AG"/>
    <x v="680"/>
    <x v="7"/>
    <x v="3"/>
    <s v="Invoice"/>
    <s v="100002782"/>
    <x v="26"/>
    <x v="21"/>
    <x v="21"/>
    <x v="0"/>
    <n v="1644"/>
  </r>
  <r>
    <s v="JUSTIN"/>
    <s v="03"/>
    <s v="CPSWAVER"/>
    <s v="WAVERLY"/>
    <x v="666"/>
    <x v="7"/>
    <x v="3"/>
    <s v="Invoice"/>
    <s v="100002597"/>
    <x v="410"/>
    <x v="35"/>
    <x v="29"/>
    <x v="0"/>
    <n v="750"/>
  </r>
  <r>
    <s v="JUSTIN"/>
    <s v="03"/>
    <s v="CPSWACHU"/>
    <s v="WAUCHULA"/>
    <x v="671"/>
    <x v="7"/>
    <x v="3"/>
    <s v="Invoice"/>
    <s v="100002618"/>
    <x v="191"/>
    <x v="169"/>
    <x v="61"/>
    <x v="0"/>
    <n v="180"/>
  </r>
  <r>
    <s v="JUSTIN"/>
    <s v="03"/>
    <s v="CPSWACHU"/>
    <s v="WAUCHULA"/>
    <x v="671"/>
    <x v="7"/>
    <x v="3"/>
    <s v="Invoice"/>
    <s v="100002619"/>
    <x v="96"/>
    <x v="90"/>
    <x v="39"/>
    <x v="0"/>
    <n v="120"/>
  </r>
  <r>
    <s v="JUSTIN"/>
    <s v="03"/>
    <s v="CPSPARRI"/>
    <s v="PARRISH"/>
    <x v="671"/>
    <x v="7"/>
    <x v="3"/>
    <s v="Invoice"/>
    <s v="100002620"/>
    <x v="40"/>
    <x v="35"/>
    <x v="29"/>
    <x v="0"/>
    <n v="180"/>
  </r>
  <r>
    <s v="JUSTIN"/>
    <s v="03"/>
    <s v="CPSFTPIE"/>
    <s v="FT. PIERCE"/>
    <x v="681"/>
    <x v="7"/>
    <x v="3"/>
    <s v="Invoice"/>
    <s v="100002630"/>
    <x v="36"/>
    <x v="31"/>
    <x v="4"/>
    <x v="0"/>
    <n v="180"/>
  </r>
  <r>
    <s v="JUSTIN"/>
    <s v="03"/>
    <s v="CPSPARRI"/>
    <s v="PARRISH"/>
    <x v="682"/>
    <x v="7"/>
    <x v="3"/>
    <s v="Invoice"/>
    <s v="100002642"/>
    <x v="40"/>
    <x v="35"/>
    <x v="29"/>
    <x v="0"/>
    <n v="180"/>
  </r>
  <r>
    <s v="JUSTIN"/>
    <s v="03"/>
    <s v="SOILCEA"/>
    <s v="KINGSWAYRD"/>
    <x v="667"/>
    <x v="7"/>
    <x v="3"/>
    <s v="Invoice"/>
    <s v="100002654"/>
    <x v="244"/>
    <x v="218"/>
    <x v="22"/>
    <x v="2"/>
    <n v="1.25"/>
  </r>
  <r>
    <s v=""/>
    <s v="03"/>
    <s v="CPSMULB"/>
    <s v="UAP/MULBERRY"/>
    <x v="667"/>
    <x v="7"/>
    <x v="3"/>
    <s v="Invoice"/>
    <s v="100002655A"/>
    <x v="100"/>
    <x v="94"/>
    <x v="41"/>
    <x v="0"/>
    <n v="250"/>
  </r>
  <r>
    <s v="JUSTIN"/>
    <s v="03"/>
    <s v="CPSWACHU"/>
    <s v="WAUCHULA"/>
    <x v="668"/>
    <x v="7"/>
    <x v="3"/>
    <s v="Invoice"/>
    <s v="100002664"/>
    <x v="34"/>
    <x v="29"/>
    <x v="26"/>
    <x v="0"/>
    <n v="180"/>
  </r>
  <r>
    <s v="JUSTIN"/>
    <s v="03"/>
    <s v="CPSWACHU"/>
    <s v="WAUCHULA"/>
    <x v="668"/>
    <x v="7"/>
    <x v="3"/>
    <s v="Invoice"/>
    <s v="100002664"/>
    <x v="36"/>
    <x v="31"/>
    <x v="4"/>
    <x v="0"/>
    <n v="180"/>
  </r>
  <r>
    <s v="JUSTIN"/>
    <s v="03"/>
    <s v="COASTALAGSUPPLY"/>
    <s v="MULBERRY"/>
    <x v="673"/>
    <x v="7"/>
    <x v="3"/>
    <s v="Invoice"/>
    <s v="100002672"/>
    <x v="209"/>
    <x v="185"/>
    <x v="63"/>
    <x v="0"/>
    <n v="180"/>
  </r>
  <r>
    <s v="JUSTIN"/>
    <s v="03"/>
    <s v="CPSWACHU"/>
    <s v="WAUCHULA"/>
    <x v="673"/>
    <x v="7"/>
    <x v="3"/>
    <s v="Invoice"/>
    <s v="100002674"/>
    <x v="34"/>
    <x v="29"/>
    <x v="26"/>
    <x v="0"/>
    <n v="180"/>
  </r>
  <r>
    <s v="JUSTIN"/>
    <s v="03"/>
    <s v="GRIFFINF"/>
    <s v="FROSTPROOF"/>
    <x v="673"/>
    <x v="7"/>
    <x v="3"/>
    <s v="Invoice"/>
    <s v="100002676"/>
    <x v="558"/>
    <x v="492"/>
    <x v="14"/>
    <x v="0"/>
    <n v="900"/>
  </r>
  <r>
    <s v="JUSTIN"/>
    <s v="03"/>
    <s v="CPSWACHU"/>
    <s v="WAUCHULA"/>
    <x v="673"/>
    <x v="7"/>
    <x v="3"/>
    <s v="Invoice"/>
    <s v="100002678"/>
    <x v="5"/>
    <x v="72"/>
    <x v="4"/>
    <x v="0"/>
    <n v="120"/>
  </r>
  <r>
    <s v="JUSTIN"/>
    <s v="03"/>
    <s v="GRIFFINF"/>
    <s v="FROSTPROOF"/>
    <x v="674"/>
    <x v="7"/>
    <x v="3"/>
    <s v="Invoice"/>
    <s v="100002687"/>
    <x v="558"/>
    <x v="492"/>
    <x v="14"/>
    <x v="0"/>
    <n v="1080"/>
  </r>
  <r>
    <s v="JUSTIN"/>
    <s v="03"/>
    <s v="GRIFFINF"/>
    <s v="FROSTPROOF"/>
    <x v="674"/>
    <x v="7"/>
    <x v="3"/>
    <s v="Invoice"/>
    <s v="100002694"/>
    <x v="558"/>
    <x v="492"/>
    <x v="14"/>
    <x v="0"/>
    <n v="1800"/>
  </r>
  <r>
    <s v="JUSTIN"/>
    <s v="03"/>
    <s v="FLORIDAF"/>
    <s v="FLORIDA FERTILI"/>
    <x v="676"/>
    <x v="7"/>
    <x v="3"/>
    <s v="Invoice"/>
    <s v="100002710"/>
    <x v="135"/>
    <x v="121"/>
    <x v="51"/>
    <x v="0"/>
    <n v="1000"/>
  </r>
  <r>
    <s v="JUSTIN"/>
    <s v="03"/>
    <s v="GRIFFINF"/>
    <s v="FROSTPROOF"/>
    <x v="676"/>
    <x v="7"/>
    <x v="3"/>
    <s v="Invoice"/>
    <s v="100002714A"/>
    <x v="558"/>
    <x v="492"/>
    <x v="14"/>
    <x v="0"/>
    <n v="1260"/>
  </r>
  <r>
    <s v="JUSTIN"/>
    <s v="03"/>
    <s v="GRIFFINF"/>
    <s v="FROSTPROOF"/>
    <x v="676"/>
    <x v="7"/>
    <x v="3"/>
    <s v="Invoice"/>
    <s v="100002716"/>
    <x v="558"/>
    <x v="492"/>
    <x v="14"/>
    <x v="0"/>
    <n v="445"/>
  </r>
  <r>
    <s v="JUSTIN"/>
    <s v="03"/>
    <s v="CPSPARRI"/>
    <s v="PARRISH"/>
    <x v="677"/>
    <x v="7"/>
    <x v="3"/>
    <s v="Invoice"/>
    <s v="100002722"/>
    <x v="40"/>
    <x v="35"/>
    <x v="29"/>
    <x v="0"/>
    <n v="180"/>
  </r>
  <r>
    <s v="JUSTIN"/>
    <s v="03"/>
    <s v="TRIANGLE"/>
    <s v="TRIANGLE/LAKEPL"/>
    <x v="683"/>
    <x v="7"/>
    <x v="3"/>
    <s v="Invoice"/>
    <s v="100002735"/>
    <x v="136"/>
    <x v="111"/>
    <x v="46"/>
    <x v="0"/>
    <n v="720"/>
  </r>
  <r>
    <s v="JUSTIN"/>
    <s v="03"/>
    <s v="COASTALAGSUPPLY"/>
    <s v="MULBERRY"/>
    <x v="683"/>
    <x v="7"/>
    <x v="3"/>
    <s v="Invoice"/>
    <s v="100002738"/>
    <x v="35"/>
    <x v="30"/>
    <x v="27"/>
    <x v="0"/>
    <n v="360"/>
  </r>
  <r>
    <s v="JUSTIN"/>
    <s v="03"/>
    <s v="CPSFTPIE"/>
    <s v="FT. PIERCE"/>
    <x v="669"/>
    <x v="7"/>
    <x v="3"/>
    <s v="Invoice"/>
    <s v="100002739"/>
    <x v="559"/>
    <x v="162"/>
    <x v="60"/>
    <x v="0"/>
    <n v="250"/>
  </r>
  <r>
    <s v="JUSTIN"/>
    <s v="03"/>
    <s v="CPSWAVER"/>
    <s v="WAVERLY"/>
    <x v="669"/>
    <x v="7"/>
    <x v="3"/>
    <s v="Invoice"/>
    <s v="100002740"/>
    <x v="36"/>
    <x v="31"/>
    <x v="4"/>
    <x v="0"/>
    <n v="180"/>
  </r>
  <r>
    <s v="JUSTIN"/>
    <s v="03"/>
    <s v="CPSWAVER"/>
    <s v="WAVERLY"/>
    <x v="669"/>
    <x v="7"/>
    <x v="3"/>
    <s v="Invoice"/>
    <s v="100002740"/>
    <x v="40"/>
    <x v="35"/>
    <x v="29"/>
    <x v="0"/>
    <n v="180"/>
  </r>
  <r>
    <s v="JUSTIN"/>
    <s v="03"/>
    <s v="CPSWAVER"/>
    <s v="WAVERLY"/>
    <x v="669"/>
    <x v="7"/>
    <x v="3"/>
    <s v="Invoice"/>
    <s v="100002740"/>
    <x v="410"/>
    <x v="35"/>
    <x v="29"/>
    <x v="0"/>
    <n v="500"/>
  </r>
  <r>
    <s v="JUSTIN"/>
    <s v="03"/>
    <s v="CPSWACHU"/>
    <s v="WAUCHULA"/>
    <x v="669"/>
    <x v="7"/>
    <x v="3"/>
    <s v="Invoice"/>
    <s v="100002742"/>
    <x v="179"/>
    <x v="162"/>
    <x v="60"/>
    <x v="0"/>
    <n v="70"/>
  </r>
  <r>
    <s v="JUSTIN"/>
    <s v="03"/>
    <s v="CPSWAVER"/>
    <s v="WAVERLY"/>
    <x v="678"/>
    <x v="7"/>
    <x v="3"/>
    <s v="Invoice"/>
    <s v="100002747"/>
    <x v="179"/>
    <x v="162"/>
    <x v="60"/>
    <x v="0"/>
    <n v="180"/>
  </r>
  <r>
    <s v="JUSTIN"/>
    <s v="03"/>
    <s v="CPSWAVER"/>
    <s v="WAVERLY"/>
    <x v="678"/>
    <x v="7"/>
    <x v="3"/>
    <s v="Invoice"/>
    <s v="100002748"/>
    <x v="410"/>
    <x v="35"/>
    <x v="29"/>
    <x v="0"/>
    <n v="250"/>
  </r>
  <r>
    <s v="JUSTIN"/>
    <s v="03"/>
    <s v="CPSWACHU"/>
    <s v="WAUCHULA"/>
    <x v="679"/>
    <x v="7"/>
    <x v="3"/>
    <s v="Invoice"/>
    <s v="100002757"/>
    <x v="179"/>
    <x v="162"/>
    <x v="60"/>
    <x v="0"/>
    <n v="120"/>
  </r>
  <r>
    <s v="JUSTIN"/>
    <s v="03"/>
    <s v="CPSWACHU"/>
    <s v="WAUCHULA"/>
    <x v="679"/>
    <x v="7"/>
    <x v="3"/>
    <s v="Invoice"/>
    <s v="100002757"/>
    <x v="36"/>
    <x v="31"/>
    <x v="4"/>
    <x v="0"/>
    <n v="180"/>
  </r>
  <r>
    <s v="JUSTIN"/>
    <s v="03"/>
    <s v="TRIANGLE"/>
    <s v="TRIANGLE/LAKEPL"/>
    <x v="679"/>
    <x v="7"/>
    <x v="3"/>
    <s v="Invoice"/>
    <s v="100002758"/>
    <x v="550"/>
    <x v="172"/>
    <x v="61"/>
    <x v="0"/>
    <n v="750"/>
  </r>
  <r>
    <s v="JUSTIN"/>
    <s v="03"/>
    <s v="TRIANGLE"/>
    <s v="TRIANGLE/LAKEPL"/>
    <x v="679"/>
    <x v="7"/>
    <x v="3"/>
    <s v="Invoice"/>
    <s v="100002759"/>
    <x v="197"/>
    <x v="31"/>
    <x v="4"/>
    <x v="0"/>
    <n v="500"/>
  </r>
  <r>
    <s v="JUSTIN"/>
    <s v="03"/>
    <s v="TRIANGLE"/>
    <s v="TRIANGLE/LAKEPL"/>
    <x v="679"/>
    <x v="7"/>
    <x v="3"/>
    <s v="Invoice"/>
    <s v="100002760"/>
    <x v="136"/>
    <x v="111"/>
    <x v="46"/>
    <x v="0"/>
    <n v="720"/>
  </r>
  <r>
    <s v="JUSTIN"/>
    <s v="03"/>
    <s v="TRIANGLE"/>
    <s v="TRIANGLE/LAKEPL"/>
    <x v="679"/>
    <x v="7"/>
    <x v="3"/>
    <s v="Invoice"/>
    <s v="100002761"/>
    <x v="36"/>
    <x v="31"/>
    <x v="4"/>
    <x v="0"/>
    <n v="180"/>
  </r>
  <r>
    <s v="JUSTIN"/>
    <s v="03"/>
    <s v="COASTALAGSUPPLY"/>
    <s v="MULBERRY"/>
    <x v="679"/>
    <x v="7"/>
    <x v="3"/>
    <s v="Invoice"/>
    <s v="100002763"/>
    <x v="75"/>
    <x v="68"/>
    <x v="22"/>
    <x v="2"/>
    <n v="1.25"/>
  </r>
  <r>
    <s v="JUSTIN"/>
    <s v="03"/>
    <s v="CPSOKEE"/>
    <s v="OKEE-LIQ PLANT"/>
    <x v="684"/>
    <x v="7"/>
    <x v="3"/>
    <s v="Invoice"/>
    <s v="100002769"/>
    <x v="134"/>
    <x v="94"/>
    <x v="41"/>
    <x v="0"/>
    <n v="2483"/>
  </r>
  <r>
    <s v="JUSTIN"/>
    <s v="03"/>
    <s v="CPSFTPIE"/>
    <s v="FT. PIERCE"/>
    <x v="680"/>
    <x v="7"/>
    <x v="3"/>
    <s v="Invoice"/>
    <s v="100002777"/>
    <x v="197"/>
    <x v="31"/>
    <x v="4"/>
    <x v="0"/>
    <n v="750"/>
  </r>
  <r>
    <s v="JUSTIN"/>
    <s v="03"/>
    <s v="CPSWACHU"/>
    <s v="WAUCHULA"/>
    <x v="680"/>
    <x v="7"/>
    <x v="3"/>
    <s v="Invoice"/>
    <s v="100002778"/>
    <x v="36"/>
    <x v="31"/>
    <x v="4"/>
    <x v="0"/>
    <n v="180"/>
  </r>
  <r>
    <s v="DPOPPELL"/>
    <s v="04"/>
    <s v="MIDWAYF"/>
    <s v="FUTCH"/>
    <x v="685"/>
    <x v="7"/>
    <x v="3"/>
    <s v="Invoice"/>
    <s v="100002588"/>
    <x v="275"/>
    <x v="242"/>
    <x v="22"/>
    <x v="2"/>
    <n v="10.515000000000001"/>
  </r>
  <r>
    <s v="DPOPPELL"/>
    <s v="04"/>
    <s v="GUTIERREZA"/>
    <s v="WASHINGTON"/>
    <x v="685"/>
    <x v="7"/>
    <x v="3"/>
    <s v="Invoice"/>
    <s v="100002589"/>
    <x v="43"/>
    <x v="38"/>
    <x v="22"/>
    <x v="2"/>
    <n v="4.0075000000000003"/>
  </r>
  <r>
    <s v="DPOPPELL"/>
    <s v="04"/>
    <s v="CHARLIEG-LLC"/>
    <s v="DAIRY"/>
    <x v="685"/>
    <x v="7"/>
    <x v="3"/>
    <s v="Invoice"/>
    <s v="100002592"/>
    <x v="275"/>
    <x v="242"/>
    <x v="22"/>
    <x v="2"/>
    <n v="3.5024999999999999"/>
  </r>
  <r>
    <s v="DPOPPELL"/>
    <s v="04"/>
    <s v="FLORIDAAG"/>
    <s v="KINGSWAY"/>
    <x v="685"/>
    <x v="7"/>
    <x v="3"/>
    <s v="Invoice"/>
    <s v="100002593"/>
    <x v="326"/>
    <x v="289"/>
    <x v="22"/>
    <x v="2"/>
    <n v="2.2625000000000002"/>
  </r>
  <r>
    <s v=""/>
    <s v="04"/>
    <s v="FILEMONMARTINEZ"/>
    <s v="MAILING"/>
    <x v="685"/>
    <x v="7"/>
    <x v="3"/>
    <s v="Invoice"/>
    <s v="100002595"/>
    <x v="63"/>
    <x v="56"/>
    <x v="22"/>
    <x v="2"/>
    <n v="2"/>
  </r>
  <r>
    <s v="DPOPPELL"/>
    <s v="04"/>
    <s v="ROQUEFARMS"/>
    <s v="RINGDAHL"/>
    <x v="685"/>
    <x v="7"/>
    <x v="3"/>
    <s v="Invoice"/>
    <s v="100002598"/>
    <x v="43"/>
    <x v="38"/>
    <x v="22"/>
    <x v="2"/>
    <n v="3.75"/>
  </r>
  <r>
    <s v="DPOPPELL"/>
    <s v="04"/>
    <s v="M&amp;GFARMS"/>
    <s v="HAREFAMILYLN"/>
    <x v="685"/>
    <x v="7"/>
    <x v="3"/>
    <s v="Invoice"/>
    <s v="100002599A"/>
    <x v="150"/>
    <x v="130"/>
    <x v="22"/>
    <x v="2"/>
    <n v="15.022500000000001"/>
  </r>
  <r>
    <s v="DPOPPELL"/>
    <s v="04"/>
    <s v="FAVORITE"/>
    <s v="MCINTOSH ROAD"/>
    <x v="666"/>
    <x v="7"/>
    <x v="3"/>
    <s v="Invoice"/>
    <s v="100002603"/>
    <x v="73"/>
    <x v="66"/>
    <x v="22"/>
    <x v="2"/>
    <n v="10"/>
  </r>
  <r>
    <s v="DPOPPELL"/>
    <s v="04"/>
    <s v="JOEPENA"/>
    <s v="HWY 92"/>
    <x v="666"/>
    <x v="7"/>
    <x v="3"/>
    <s v="Invoice"/>
    <s v="100002604"/>
    <x v="53"/>
    <x v="46"/>
    <x v="22"/>
    <x v="2"/>
    <n v="1"/>
  </r>
  <r>
    <s v="DPOPPELL"/>
    <s v="04"/>
    <s v="SYDNEYFA"/>
    <s v="FORBES ROAD"/>
    <x v="670"/>
    <x v="7"/>
    <x v="3"/>
    <s v="Invoice"/>
    <s v="100002610"/>
    <x v="534"/>
    <x v="470"/>
    <x v="22"/>
    <x v="2"/>
    <n v="10"/>
  </r>
  <r>
    <s v="DPOPPELL"/>
    <s v="04"/>
    <s v="SYDNEYFA"/>
    <s v="FORBES/NORTH"/>
    <x v="670"/>
    <x v="7"/>
    <x v="3"/>
    <s v="Invoice"/>
    <s v="100002611"/>
    <x v="534"/>
    <x v="470"/>
    <x v="22"/>
    <x v="2"/>
    <n v="5"/>
  </r>
  <r>
    <s v="DPOPPELL"/>
    <s v="04"/>
    <s v="SWEETLIFE"/>
    <s v="KNIGHTS GRIFFIN"/>
    <x v="670"/>
    <x v="7"/>
    <x v="3"/>
    <s v="Invoice"/>
    <s v="100002612"/>
    <x v="275"/>
    <x v="242"/>
    <x v="22"/>
    <x v="2"/>
    <n v="15"/>
  </r>
  <r>
    <s v="DPOPPELL"/>
    <s v="04"/>
    <s v="FAVORITE"/>
    <s v="MCINTOSH ROAD"/>
    <x v="670"/>
    <x v="7"/>
    <x v="3"/>
    <s v="Invoice"/>
    <s v="100002613"/>
    <x v="518"/>
    <x v="455"/>
    <x v="26"/>
    <x v="0"/>
    <n v="60"/>
  </r>
  <r>
    <s v="DPOPPELL"/>
    <s v="04"/>
    <s v="THREESTA"/>
    <s v="WALDEN-SHEFFIEL"/>
    <x v="670"/>
    <x v="7"/>
    <x v="3"/>
    <s v="Invoice"/>
    <s v="100002615"/>
    <x v="534"/>
    <x v="470"/>
    <x v="22"/>
    <x v="2"/>
    <n v="10"/>
  </r>
  <r>
    <s v="DPOPPELL"/>
    <s v="04"/>
    <s v="MIKELOTT"/>
    <s v="HILLSBOROUGH/E"/>
    <x v="670"/>
    <x v="7"/>
    <x v="3"/>
    <s v="Invoice"/>
    <s v="100002616"/>
    <x v="552"/>
    <x v="485"/>
    <x v="22"/>
    <x v="2"/>
    <n v="5"/>
  </r>
  <r>
    <s v="DPOPPELL"/>
    <s v="04"/>
    <s v="STRAWBERRYR"/>
    <s v="RANCH 1"/>
    <x v="670"/>
    <x v="7"/>
    <x v="3"/>
    <s v="Invoice"/>
    <s v="100002617"/>
    <x v="433"/>
    <x v="366"/>
    <x v="22"/>
    <x v="2"/>
    <n v="15.025"/>
  </r>
  <r>
    <s v=""/>
    <s v="04"/>
    <s v="LEANING-P"/>
    <s v="BLOUNT RD"/>
    <x v="671"/>
    <x v="7"/>
    <x v="3"/>
    <s v="Invoice"/>
    <s v="100002621"/>
    <x v="85"/>
    <x v="213"/>
    <x v="35"/>
    <x v="0"/>
    <n v="2.5"/>
  </r>
  <r>
    <s v="DPOPPELL"/>
    <s v="04"/>
    <s v="PALMAJOSE"/>
    <s v="JAUDON RD"/>
    <x v="671"/>
    <x v="7"/>
    <x v="3"/>
    <s v="Invoice"/>
    <s v="100002622"/>
    <x v="77"/>
    <x v="37"/>
    <x v="30"/>
    <x v="0"/>
    <n v="30"/>
  </r>
  <r>
    <s v="DPOPPELL"/>
    <s v="04"/>
    <s v="PALMAJOSE"/>
    <s v="JAUDON RD"/>
    <x v="671"/>
    <x v="7"/>
    <x v="3"/>
    <s v="Invoice"/>
    <s v="100002622"/>
    <x v="106"/>
    <x v="74"/>
    <x v="13"/>
    <x v="0"/>
    <n v="5"/>
  </r>
  <r>
    <s v="DPOPPELL"/>
    <s v="04"/>
    <s v="STRAWBERRYR"/>
    <s v="RANCH 4"/>
    <x v="671"/>
    <x v="7"/>
    <x v="3"/>
    <s v="Invoice"/>
    <s v="100002623"/>
    <x v="433"/>
    <x v="366"/>
    <x v="22"/>
    <x v="2"/>
    <n v="15.005000000000001"/>
  </r>
  <r>
    <s v="DPOPPELL"/>
    <s v="04"/>
    <s v="GUTIERREZA"/>
    <s v="DUETTE"/>
    <x v="671"/>
    <x v="7"/>
    <x v="3"/>
    <s v="Invoice"/>
    <s v="100002624"/>
    <x v="552"/>
    <x v="485"/>
    <x v="22"/>
    <x v="2"/>
    <n v="15.012499999999999"/>
  </r>
  <r>
    <s v=""/>
    <s v="04"/>
    <s v="LEANING-P"/>
    <s v="BLOUNT RD"/>
    <x v="671"/>
    <x v="7"/>
    <x v="3"/>
    <s v="Invoice"/>
    <s v="100002626"/>
    <x v="268"/>
    <x v="236"/>
    <x v="22"/>
    <x v="2"/>
    <n v="1"/>
  </r>
  <r>
    <s v="DPOPPELL"/>
    <s v="04"/>
    <s v="MIDWAYF"/>
    <s v="HAGGERTY ROAD"/>
    <x v="671"/>
    <x v="7"/>
    <x v="3"/>
    <s v="Invoice"/>
    <s v="100002627"/>
    <x v="275"/>
    <x v="242"/>
    <x v="22"/>
    <x v="2"/>
    <n v="3.2650000000000001"/>
  </r>
  <r>
    <s v="DPOPPELL"/>
    <s v="04"/>
    <s v="BERRYBLISS"/>
    <s v="TURKEY CREEK/SO"/>
    <x v="671"/>
    <x v="7"/>
    <x v="3"/>
    <s v="Invoice"/>
    <s v="100002628"/>
    <x v="43"/>
    <x v="38"/>
    <x v="22"/>
    <x v="2"/>
    <n v="2.5049999999999999"/>
  </r>
  <r>
    <s v="DPOPPELL"/>
    <s v="04"/>
    <s v="PALMAJOSE"/>
    <s v="WALDENSHEFFIELD"/>
    <x v="681"/>
    <x v="7"/>
    <x v="3"/>
    <s v="Invoice"/>
    <s v="100002637"/>
    <x v="63"/>
    <x v="56"/>
    <x v="22"/>
    <x v="2"/>
    <n v="1.25"/>
  </r>
  <r>
    <s v="DPOPPELL"/>
    <s v="04"/>
    <s v="VENTURAFARMS"/>
    <s v="GALLAGHER"/>
    <x v="681"/>
    <x v="7"/>
    <x v="3"/>
    <s v="Invoice"/>
    <s v="100002640"/>
    <x v="63"/>
    <x v="56"/>
    <x v="22"/>
    <x v="2"/>
    <n v="1"/>
  </r>
  <r>
    <s v="DPOPPELL"/>
    <s v="04"/>
    <s v="CHARLIEG-LLC"/>
    <s v="DAIRY"/>
    <x v="682"/>
    <x v="7"/>
    <x v="3"/>
    <s v="Invoice"/>
    <s v="100002644"/>
    <x v="275"/>
    <x v="242"/>
    <x v="22"/>
    <x v="2"/>
    <n v="9.0225000000000009"/>
  </r>
  <r>
    <s v="DPOPPELL"/>
    <s v="04"/>
    <s v="SYDNEYFA"/>
    <s v="FORBES ROAD"/>
    <x v="682"/>
    <x v="7"/>
    <x v="3"/>
    <s v="Invoice"/>
    <s v="100002648"/>
    <x v="534"/>
    <x v="470"/>
    <x v="22"/>
    <x v="2"/>
    <n v="12.51"/>
  </r>
  <r>
    <s v="DPOPPELL"/>
    <s v="04"/>
    <s v="GAONA, ESPER"/>
    <s v="WILLIAMSRD"/>
    <x v="682"/>
    <x v="7"/>
    <x v="3"/>
    <s v="Invoice"/>
    <s v="100002649"/>
    <x v="69"/>
    <x v="62"/>
    <x v="22"/>
    <x v="2"/>
    <n v="2.5125000000000002"/>
  </r>
  <r>
    <s v="DPOPPELL"/>
    <s v="04"/>
    <s v="GUTIERREZA"/>
    <s v="WASHINGTON"/>
    <x v="667"/>
    <x v="7"/>
    <x v="3"/>
    <s v="Invoice"/>
    <s v="100002656"/>
    <x v="43"/>
    <x v="38"/>
    <x v="22"/>
    <x v="2"/>
    <n v="4.0075000000000003"/>
  </r>
  <r>
    <s v="DPOPPELL"/>
    <s v="04"/>
    <s v="MIDWAYF"/>
    <s v="ALS - SOUTH"/>
    <x v="667"/>
    <x v="7"/>
    <x v="3"/>
    <s v="Invoice"/>
    <s v="100002657"/>
    <x v="275"/>
    <x v="242"/>
    <x v="22"/>
    <x v="2"/>
    <n v="5.7649999999999997"/>
  </r>
  <r>
    <s v="DPOPPELL"/>
    <s v="04"/>
    <s v="GWFARMS"/>
    <s v="JAUDONNORTH"/>
    <x v="667"/>
    <x v="7"/>
    <x v="3"/>
    <s v="Invoice"/>
    <s v="100002659"/>
    <x v="58"/>
    <x v="51"/>
    <x v="22"/>
    <x v="2"/>
    <n v="1.2649999999999999"/>
  </r>
  <r>
    <s v="DPOPPELL"/>
    <s v="04"/>
    <s v="THREESTA"/>
    <s v="WALDEN-SHEFFIEL"/>
    <x v="667"/>
    <x v="7"/>
    <x v="3"/>
    <s v="Invoice"/>
    <s v="100002662"/>
    <x v="534"/>
    <x v="470"/>
    <x v="22"/>
    <x v="2"/>
    <n v="13.0525"/>
  </r>
  <r>
    <s v="DPOPPELL"/>
    <s v="04"/>
    <s v="FLORIDAAG"/>
    <s v="KINGSWAY"/>
    <x v="667"/>
    <x v="7"/>
    <x v="3"/>
    <s v="Invoice"/>
    <s v="100002663"/>
    <x v="326"/>
    <x v="289"/>
    <x v="22"/>
    <x v="2"/>
    <n v="2.2625000000000002"/>
  </r>
  <r>
    <s v="DPOPPELL"/>
    <s v="04"/>
    <s v="STRAWBERRYR"/>
    <s v="RANCH 1"/>
    <x v="672"/>
    <x v="7"/>
    <x v="3"/>
    <s v="Invoice"/>
    <s v="100002666"/>
    <x v="275"/>
    <x v="242"/>
    <x v="22"/>
    <x v="2"/>
    <n v="15.0025"/>
  </r>
  <r>
    <s v="DPOPPELL"/>
    <s v="04"/>
    <s v="LARRYENN"/>
    <s v="TRAPNELL/WEST"/>
    <x v="672"/>
    <x v="7"/>
    <x v="3"/>
    <s v="Invoice"/>
    <s v="100002667"/>
    <x v="43"/>
    <x v="38"/>
    <x v="22"/>
    <x v="2"/>
    <n v="2.5175000000000001"/>
  </r>
  <r>
    <s v="DPOPPELL"/>
    <s v="04"/>
    <s v="STRAWBERRYR"/>
    <s v="RANCH 3"/>
    <x v="672"/>
    <x v="7"/>
    <x v="3"/>
    <s v="Invoice"/>
    <s v="100002668"/>
    <x v="275"/>
    <x v="242"/>
    <x v="22"/>
    <x v="2"/>
    <n v="15.0425"/>
  </r>
  <r>
    <s v="DPOPPELL"/>
    <s v="04"/>
    <s v="CHAVEZJOR"/>
    <s v="JOSE' CHAV- COD"/>
    <x v="673"/>
    <x v="7"/>
    <x v="3"/>
    <s v="Invoice"/>
    <s v="100002683"/>
    <x v="53"/>
    <x v="46"/>
    <x v="22"/>
    <x v="2"/>
    <n v="0.3"/>
  </r>
  <r>
    <s v="DPOPPELL"/>
    <s v="04"/>
    <s v="MIDWAYF"/>
    <s v="FUTCH"/>
    <x v="673"/>
    <x v="7"/>
    <x v="3"/>
    <s v="Invoice"/>
    <s v="100002684"/>
    <x v="275"/>
    <x v="242"/>
    <x v="22"/>
    <x v="2"/>
    <n v="7.0175000000000001"/>
  </r>
  <r>
    <s v="DPOPPELL"/>
    <s v="04"/>
    <s v="SWEETLIFE"/>
    <s v="KNIGHTS GRIFFIN"/>
    <x v="674"/>
    <x v="7"/>
    <x v="3"/>
    <s v="Invoice"/>
    <s v="100002688"/>
    <x v="275"/>
    <x v="242"/>
    <x v="22"/>
    <x v="2"/>
    <n v="12.5175"/>
  </r>
  <r>
    <s v="DPOPPELL"/>
    <s v="04"/>
    <s v="BONIFACIO"/>
    <s v="BONIFACIO"/>
    <x v="674"/>
    <x v="7"/>
    <x v="3"/>
    <s v="Invoice"/>
    <s v="100002689"/>
    <x v="43"/>
    <x v="38"/>
    <x v="22"/>
    <x v="2"/>
    <n v="2.5"/>
  </r>
  <r>
    <s v="DPOPPELL"/>
    <s v="04"/>
    <s v="JOSEHERN"/>
    <s v="DURANT"/>
    <x v="674"/>
    <x v="7"/>
    <x v="3"/>
    <s v="Invoice"/>
    <s v="100002690"/>
    <x v="58"/>
    <x v="51"/>
    <x v="22"/>
    <x v="2"/>
    <n v="3.03"/>
  </r>
  <r>
    <s v="DPOPPELL"/>
    <s v="04"/>
    <s v="JOEPENA"/>
    <s v="JIMREDMAN"/>
    <x v="674"/>
    <x v="7"/>
    <x v="3"/>
    <s v="Invoice"/>
    <s v="100002691"/>
    <x v="55"/>
    <x v="48"/>
    <x v="22"/>
    <x v="2"/>
    <n v="0.75"/>
  </r>
  <r>
    <s v="DPOPPELL"/>
    <s v="04"/>
    <s v="MIDWAYF"/>
    <s v="HAGGERTY ROAD"/>
    <x v="686"/>
    <x v="7"/>
    <x v="3"/>
    <s v="Invoice"/>
    <s v="100002697"/>
    <x v="275"/>
    <x v="242"/>
    <x v="22"/>
    <x v="2"/>
    <n v="2.5225"/>
  </r>
  <r>
    <s v="DPOPPELL"/>
    <s v="04"/>
    <s v="SYDNEYFA"/>
    <s v="FORBES/NORTH"/>
    <x v="686"/>
    <x v="7"/>
    <x v="3"/>
    <s v="Invoice"/>
    <s v="100002698"/>
    <x v="534"/>
    <x v="470"/>
    <x v="22"/>
    <x v="2"/>
    <n v="5.01"/>
  </r>
  <r>
    <s v="DPOPPELL"/>
    <s v="04"/>
    <s v="SWEETLIFE"/>
    <s v="SAMALLEN-SOUTH"/>
    <x v="686"/>
    <x v="7"/>
    <x v="3"/>
    <s v="Invoice"/>
    <s v="100002699"/>
    <x v="275"/>
    <x v="242"/>
    <x v="22"/>
    <x v="2"/>
    <n v="2.5"/>
  </r>
  <r>
    <s v="DPOPPELL"/>
    <s v="04"/>
    <s v="CHARLIEG-LLC"/>
    <s v="DAIRY"/>
    <x v="686"/>
    <x v="7"/>
    <x v="3"/>
    <s v="Invoice"/>
    <s v="100002701"/>
    <x v="275"/>
    <x v="242"/>
    <x v="22"/>
    <x v="2"/>
    <n v="4.5149999999999997"/>
  </r>
  <r>
    <s v="DPOPPELL"/>
    <s v="04"/>
    <s v="IFASGULF"/>
    <s v="BALM-STRAWBERRY"/>
    <x v="675"/>
    <x v="7"/>
    <x v="3"/>
    <s v="Invoice"/>
    <s v="100002705"/>
    <x v="28"/>
    <x v="23"/>
    <x v="22"/>
    <x v="2"/>
    <n v="7.4974999999999996"/>
  </r>
  <r>
    <s v="DPOPPELL"/>
    <s v="04"/>
    <s v="GUTIERREZA"/>
    <s v="WASHINGTON"/>
    <x v="676"/>
    <x v="7"/>
    <x v="3"/>
    <s v="Invoice"/>
    <s v="100002715"/>
    <x v="43"/>
    <x v="38"/>
    <x v="22"/>
    <x v="2"/>
    <n v="4.01"/>
  </r>
  <r>
    <s v=""/>
    <s v="04"/>
    <s v="FILEMONMARTINEZ"/>
    <s v="MAILING"/>
    <x v="676"/>
    <x v="7"/>
    <x v="3"/>
    <s v="Invoice"/>
    <s v="100002719"/>
    <x v="63"/>
    <x v="56"/>
    <x v="22"/>
    <x v="2"/>
    <n v="2"/>
  </r>
  <r>
    <s v="DPOPPELL"/>
    <s v="04"/>
    <s v="FLORIDAAG"/>
    <s v="KINGSWAY"/>
    <x v="676"/>
    <x v="7"/>
    <x v="3"/>
    <s v="Invoice"/>
    <s v="100002720"/>
    <x v="326"/>
    <x v="289"/>
    <x v="22"/>
    <x v="2"/>
    <n v="2.27"/>
  </r>
  <r>
    <s v=""/>
    <s v="04"/>
    <s v="FILEMONMARTINEZ"/>
    <s v="MAILING"/>
    <x v="677"/>
    <x v="7"/>
    <x v="3"/>
    <s v="Invoice"/>
    <s v="100002730"/>
    <x v="42"/>
    <x v="37"/>
    <x v="30"/>
    <x v="0"/>
    <n v="7.5"/>
  </r>
  <r>
    <s v=""/>
    <s v="04"/>
    <s v="FILEMONMARTINEZ"/>
    <s v="MAILING"/>
    <x v="677"/>
    <x v="7"/>
    <x v="3"/>
    <s v="Invoice"/>
    <s v="100002730"/>
    <x v="34"/>
    <x v="29"/>
    <x v="26"/>
    <x v="0"/>
    <n v="5"/>
  </r>
  <r>
    <s v="DPOPPELL"/>
    <s v="04"/>
    <s v="GUTIERREZDAN"/>
    <s v="TANNER RD."/>
    <x v="683"/>
    <x v="7"/>
    <x v="3"/>
    <s v="Invoice"/>
    <s v="100002732"/>
    <x v="58"/>
    <x v="51"/>
    <x v="22"/>
    <x v="2"/>
    <n v="2.5024999999999999"/>
  </r>
  <r>
    <s v="DPOPPELL"/>
    <s v="04"/>
    <s v="CHANFARM"/>
    <s v="HIGHWAY 39 N"/>
    <x v="683"/>
    <x v="7"/>
    <x v="3"/>
    <s v="Invoice"/>
    <s v="100002737"/>
    <x v="51"/>
    <x v="44"/>
    <x v="22"/>
    <x v="2"/>
    <n v="2.5325000000000002"/>
  </r>
  <r>
    <s v="DPOPPELL"/>
    <s v="04"/>
    <s v="GUTIERREZA"/>
    <s v="WASHINGTON"/>
    <x v="678"/>
    <x v="7"/>
    <x v="3"/>
    <s v="Invoice"/>
    <s v="100002749"/>
    <x v="73"/>
    <x v="66"/>
    <x v="22"/>
    <x v="2"/>
    <n v="3.0449999999999999"/>
  </r>
  <r>
    <s v=""/>
    <s v="04"/>
    <s v="LITTLECA"/>
    <s v="MAILIING"/>
    <x v="679"/>
    <x v="7"/>
    <x v="3"/>
    <s v="Invoice"/>
    <s v="100002762"/>
    <x v="5"/>
    <x v="72"/>
    <x v="4"/>
    <x v="0"/>
    <n v="2.5"/>
  </r>
  <r>
    <s v="DPOPPELL"/>
    <s v="04"/>
    <s v="PARKESDA"/>
    <s v="BLACKBERRIES"/>
    <x v="679"/>
    <x v="7"/>
    <x v="3"/>
    <s v="Invoice"/>
    <s v="100002768"/>
    <x v="69"/>
    <x v="62"/>
    <x v="22"/>
    <x v="2"/>
    <n v="1.27"/>
  </r>
  <r>
    <s v="DPOPPELL"/>
    <s v="04"/>
    <s v="TONYPALAFOX"/>
    <s v="MAILING"/>
    <x v="680"/>
    <x v="7"/>
    <x v="3"/>
    <s v="Invoice"/>
    <s v="100002783"/>
    <x v="5"/>
    <x v="72"/>
    <x v="4"/>
    <x v="0"/>
    <n v="2.5"/>
  </r>
  <r>
    <s v="DPOPPELL"/>
    <s v="04"/>
    <s v="YANCEYROYCE"/>
    <s v="MAILING"/>
    <x v="680"/>
    <x v="7"/>
    <x v="3"/>
    <s v="Invoice"/>
    <s v="100002786"/>
    <x v="9"/>
    <x v="106"/>
    <x v="8"/>
    <x v="0"/>
    <n v="20"/>
  </r>
  <r>
    <s v="HOUSE"/>
    <s v="05"/>
    <s v="SOUTHERN"/>
    <s v="SOUTHERN AG"/>
    <x v="666"/>
    <x v="7"/>
    <x v="3"/>
    <s v="Invoice"/>
    <s v="100002601"/>
    <x v="191"/>
    <x v="169"/>
    <x v="61"/>
    <x v="0"/>
    <n v="5"/>
  </r>
  <r>
    <s v="HOUSE"/>
    <s v="05"/>
    <s v="CPSBOYNTON"/>
    <s v="BOYNTON BCH"/>
    <x v="681"/>
    <x v="7"/>
    <x v="3"/>
    <s v="Invoice"/>
    <s v="100002635"/>
    <x v="5"/>
    <x v="72"/>
    <x v="4"/>
    <x v="0"/>
    <n v="360"/>
  </r>
  <r>
    <s v="HOUSE"/>
    <s v="05"/>
    <s v="SOUTHEASTTURF"/>
    <s v="SANCARLOSCC"/>
    <x v="686"/>
    <x v="7"/>
    <x v="3"/>
    <s v="Invoice"/>
    <s v="100002695"/>
    <x v="177"/>
    <x v="158"/>
    <x v="1"/>
    <x v="0"/>
    <n v="250"/>
  </r>
  <r>
    <s v="HOUSE"/>
    <s v="05"/>
    <s v="SOUTHEASTTURF"/>
    <s v="CCOFWINTERHAVEN"/>
    <x v="679"/>
    <x v="7"/>
    <x v="3"/>
    <s v="Invoice"/>
    <s v="100002754"/>
    <x v="310"/>
    <x v="145"/>
    <x v="56"/>
    <x v="0"/>
    <n v="250"/>
  </r>
  <r>
    <s v="HOUSE"/>
    <s v="05"/>
    <s v="SOUTHERN"/>
    <s v="SOUTHERN AG"/>
    <x v="680"/>
    <x v="7"/>
    <x v="3"/>
    <s v="Invoice"/>
    <s v="100002781"/>
    <x v="33"/>
    <x v="28"/>
    <x v="2"/>
    <x v="0"/>
    <n v="180"/>
  </r>
  <r>
    <s v="HOUSE"/>
    <s v="05"/>
    <s v="SOUTHERN"/>
    <s v="SOUTHERN AG"/>
    <x v="680"/>
    <x v="7"/>
    <x v="3"/>
    <s v="Invoice"/>
    <s v="100002781"/>
    <x v="237"/>
    <x v="75"/>
    <x v="26"/>
    <x v="0"/>
    <n v="180"/>
  </r>
  <r>
    <s v="TYLERPIKE"/>
    <s v="07"/>
    <s v="MAYO"/>
    <s v="WILLISTON"/>
    <x v="685"/>
    <x v="7"/>
    <x v="3"/>
    <s v="Invoice"/>
    <s v="100002590"/>
    <x v="34"/>
    <x v="29"/>
    <x v="26"/>
    <x v="0"/>
    <n v="180"/>
  </r>
  <r>
    <s v="TYLERPIKE"/>
    <s v="07"/>
    <s v="BIG HOUSE FARMS"/>
    <s v="CIRCLEDR"/>
    <x v="685"/>
    <x v="7"/>
    <x v="3"/>
    <s v="Invoice"/>
    <s v="100002594"/>
    <x v="109"/>
    <x v="80"/>
    <x v="2"/>
    <x v="0"/>
    <n v="250"/>
  </r>
  <r>
    <s v=""/>
    <s v="07"/>
    <s v="BIG HOUSE FARMS"/>
    <s v="MAYO"/>
    <x v="666"/>
    <x v="7"/>
    <x v="3"/>
    <s v="Invoice"/>
    <s v="100002608"/>
    <x v="560"/>
    <x v="493"/>
    <x v="22"/>
    <x v="2"/>
    <n v="3.97"/>
  </r>
  <r>
    <s v="BRIDGE"/>
    <s v="07"/>
    <s v="TRIANGLE"/>
    <s v="83FARMS"/>
    <x v="667"/>
    <x v="7"/>
    <x v="3"/>
    <s v="Invoice"/>
    <s v="100002651"/>
    <x v="561"/>
    <x v="494"/>
    <x v="67"/>
    <x v="0"/>
    <n v="180"/>
  </r>
  <r>
    <s v="BRIDGE"/>
    <s v="07"/>
    <s v="TRIANGLE"/>
    <s v="83FARMS"/>
    <x v="667"/>
    <x v="7"/>
    <x v="3"/>
    <s v="Invoice"/>
    <s v="100002651"/>
    <x v="87"/>
    <x v="88"/>
    <x v="8"/>
    <x v="0"/>
    <n v="2000"/>
  </r>
  <r>
    <s v=""/>
    <s v="07"/>
    <s v="UFPSUNIT"/>
    <s v="CITRA FARM"/>
    <x v="667"/>
    <x v="7"/>
    <x v="3"/>
    <s v="Invoice"/>
    <s v="100002652"/>
    <x v="562"/>
    <x v="495"/>
    <x v="22"/>
    <x v="2"/>
    <n v="1.25"/>
  </r>
  <r>
    <s v=""/>
    <s v="07"/>
    <s v="UFPSUNIT"/>
    <s v="CITRA FARM"/>
    <x v="667"/>
    <x v="7"/>
    <x v="3"/>
    <s v="Invoice"/>
    <s v="100002653"/>
    <x v="545"/>
    <x v="481"/>
    <x v="22"/>
    <x v="2"/>
    <n v="2.5"/>
  </r>
  <r>
    <s v=""/>
    <s v="07"/>
    <s v="UFPSUNIT"/>
    <s v="CITRA FARM"/>
    <x v="676"/>
    <x v="7"/>
    <x v="3"/>
    <s v="Invoice"/>
    <s v="100002712"/>
    <x v="73"/>
    <x v="66"/>
    <x v="22"/>
    <x v="2"/>
    <n v="2.5049999999999999"/>
  </r>
  <r>
    <s v="TYLERPIKE"/>
    <s v="07"/>
    <s v="TRIANGLE"/>
    <s v="83FARMS"/>
    <x v="676"/>
    <x v="7"/>
    <x v="3"/>
    <s v="Invoice"/>
    <s v="100002713"/>
    <x v="561"/>
    <x v="494"/>
    <x v="67"/>
    <x v="0"/>
    <n v="540"/>
  </r>
  <r>
    <s v="TYLERPIKE"/>
    <s v="07"/>
    <s v="TRIANGLE"/>
    <s v="TRIANGLE/BRAN"/>
    <x v="683"/>
    <x v="7"/>
    <x v="3"/>
    <s v="Invoice"/>
    <s v="100002734"/>
    <x v="36"/>
    <x v="31"/>
    <x v="4"/>
    <x v="0"/>
    <n v="180"/>
  </r>
  <r>
    <s v=""/>
    <s v="07"/>
    <s v="BIG HOUSE FARMS"/>
    <s v="MAYO"/>
    <x v="669"/>
    <x v="7"/>
    <x v="3"/>
    <s v="Invoice"/>
    <s v="100002743"/>
    <x v="312"/>
    <x v="275"/>
    <x v="22"/>
    <x v="2"/>
    <n v="4.5225"/>
  </r>
  <r>
    <s v=""/>
    <s v="07"/>
    <s v="BARNESFE"/>
    <s v="HASTINGS"/>
    <x v="684"/>
    <x v="7"/>
    <x v="3"/>
    <s v="Invoice"/>
    <s v="100002770"/>
    <x v="556"/>
    <x v="490"/>
    <x v="36"/>
    <x v="0"/>
    <n v="250"/>
  </r>
  <r>
    <s v=""/>
    <s v="07"/>
    <s v="CPSHASTI"/>
    <s v="HASTINGS"/>
    <x v="684"/>
    <x v="7"/>
    <x v="3"/>
    <s v="Invoice"/>
    <s v="100002771"/>
    <x v="96"/>
    <x v="90"/>
    <x v="39"/>
    <x v="0"/>
    <n v="180"/>
  </r>
  <r>
    <s v=""/>
    <s v="07"/>
    <s v="BIG HOUSE FARMS"/>
    <s v="MAYO"/>
    <x v="680"/>
    <x v="7"/>
    <x v="3"/>
    <s v="Invoice"/>
    <s v="100002774"/>
    <x v="446"/>
    <x v="382"/>
    <x v="59"/>
    <x v="0"/>
    <n v="45"/>
  </r>
  <r>
    <s v=""/>
    <s v="07"/>
    <s v="BIG HOUSE FARMS"/>
    <s v="MAYO"/>
    <x v="680"/>
    <x v="7"/>
    <x v="3"/>
    <s v="Invoice"/>
    <s v="100002774"/>
    <x v="109"/>
    <x v="80"/>
    <x v="2"/>
    <x v="0"/>
    <n v="500"/>
  </r>
  <r>
    <s v="TYLERPIKE"/>
    <s v="07"/>
    <s v="TRIANGLE"/>
    <s v="83FARMS"/>
    <x v="680"/>
    <x v="7"/>
    <x v="3"/>
    <s v="Invoice"/>
    <s v="100002775"/>
    <x v="561"/>
    <x v="494"/>
    <x v="67"/>
    <x v="0"/>
    <n v="720"/>
  </r>
  <r>
    <s v="DPOPPELL1"/>
    <s v="08"/>
    <s v="MAYO"/>
    <s v="PLANTCITY"/>
    <x v="685"/>
    <x v="7"/>
    <x v="3"/>
    <s v="Invoice"/>
    <s v="100002591"/>
    <x v="210"/>
    <x v="186"/>
    <x v="22"/>
    <x v="2"/>
    <n v="11.9825"/>
  </r>
  <r>
    <s v="DPOPPELL1"/>
    <s v="08"/>
    <s v="MAYO"/>
    <s v="PLANTCITY"/>
    <x v="667"/>
    <x v="7"/>
    <x v="3"/>
    <s v="Invoice"/>
    <s v="100002650"/>
    <x v="77"/>
    <x v="37"/>
    <x v="30"/>
    <x v="0"/>
    <n v="30"/>
  </r>
  <r>
    <s v="DPOPPELL1"/>
    <s v="08"/>
    <s v="COASTALAGSUPPLY"/>
    <s v="MULBERRY"/>
    <x v="673"/>
    <x v="7"/>
    <x v="3"/>
    <s v="Invoice"/>
    <s v="100002671"/>
    <x v="58"/>
    <x v="51"/>
    <x v="22"/>
    <x v="2"/>
    <n v="2.5150000000000001"/>
  </r>
  <r>
    <s v="DPOPPELL1"/>
    <s v="08"/>
    <s v="MAYO"/>
    <s v="PLANTCITY"/>
    <x v="686"/>
    <x v="7"/>
    <x v="3"/>
    <s v="Invoice"/>
    <s v="100002700"/>
    <x v="398"/>
    <x v="345"/>
    <x v="22"/>
    <x v="2"/>
    <n v="2.5"/>
  </r>
  <r>
    <s v="DPOPPELL1"/>
    <s v="08"/>
    <s v="PURLEYNK"/>
    <s v="MAIN"/>
    <x v="677"/>
    <x v="7"/>
    <x v="3"/>
    <s v="Invoice"/>
    <s v="100002729"/>
    <x v="53"/>
    <x v="46"/>
    <x v="22"/>
    <x v="2"/>
    <n v="0.15"/>
  </r>
  <r>
    <s v="DPOPPELL1"/>
    <s v="08"/>
    <s v="MAYO"/>
    <s v="PLANTCITY"/>
    <x v="680"/>
    <x v="7"/>
    <x v="3"/>
    <s v="Invoice"/>
    <s v="100002780"/>
    <x v="563"/>
    <x v="496"/>
    <x v="22"/>
    <x v="2"/>
    <n v="11.502000000000001"/>
  </r>
  <r>
    <s v="DPOPPELL1"/>
    <s v="08"/>
    <s v="MAYO"/>
    <s v="PLANTCITY"/>
    <x v="680"/>
    <x v="7"/>
    <x v="3"/>
    <s v="Invoice"/>
    <s v="100002784"/>
    <x v="45"/>
    <x v="37"/>
    <x v="30"/>
    <x v="0"/>
    <n v="250"/>
  </r>
  <r>
    <s v=""/>
    <s v="09"/>
    <s v="AGRIBUSI"/>
    <s v="AGB/ROOSEVELT"/>
    <x v="670"/>
    <x v="7"/>
    <x v="3"/>
    <s v="Invoice"/>
    <s v="100002614"/>
    <x v="214"/>
    <x v="189"/>
    <x v="20"/>
    <x v="1"/>
    <n v="1800"/>
  </r>
  <r>
    <s v="GEORGIA"/>
    <s v="09"/>
    <s v="CAROLINATU"/>
    <s v="THISTLEGC"/>
    <x v="682"/>
    <x v="7"/>
    <x v="3"/>
    <s v="Invoice"/>
    <s v="100002646"/>
    <x v="249"/>
    <x v="222"/>
    <x v="70"/>
    <x v="0"/>
    <n v="20"/>
  </r>
  <r>
    <s v="GEORGIA"/>
    <s v="09"/>
    <s v="AGRIBUSI"/>
    <s v="MADISONCOOP"/>
    <x v="682"/>
    <x v="7"/>
    <x v="3"/>
    <s v="Invoice"/>
    <s v="100002647"/>
    <x v="278"/>
    <x v="165"/>
    <x v="27"/>
    <x v="0"/>
    <n v="360"/>
  </r>
  <r>
    <s v=""/>
    <s v="09"/>
    <s v="CAROLINATU"/>
    <s v="NORTHRIDGE"/>
    <x v="672"/>
    <x v="7"/>
    <x v="3"/>
    <s v="Invoice"/>
    <s v="100002669"/>
    <x v="217"/>
    <x v="192"/>
    <x v="56"/>
    <x v="0"/>
    <n v="500"/>
  </r>
  <r>
    <s v="GEORGIA"/>
    <s v="09"/>
    <s v="CAROLINATU"/>
    <s v="PRIMLANDRESORT"/>
    <x v="686"/>
    <x v="7"/>
    <x v="3"/>
    <s v="Invoice"/>
    <s v="100002702"/>
    <x v="163"/>
    <x v="227"/>
    <x v="56"/>
    <x v="0"/>
    <n v="20"/>
  </r>
  <r>
    <s v=""/>
    <s v="09"/>
    <s v="AGRIBUSI"/>
    <s v="ATMORE TRUCKERS"/>
    <x v="675"/>
    <x v="7"/>
    <x v="3"/>
    <s v="Invoice"/>
    <s v="100002708"/>
    <x v="292"/>
    <x v="257"/>
    <x v="46"/>
    <x v="0"/>
    <n v="3780"/>
  </r>
  <r>
    <s v="CSWAFFORD"/>
    <s v="09"/>
    <s v="GREENRES"/>
    <s v="GRANITE ST-NC"/>
    <x v="676"/>
    <x v="7"/>
    <x v="3"/>
    <s v="Invoice"/>
    <s v="100002717"/>
    <x v="3"/>
    <x v="80"/>
    <x v="2"/>
    <x v="0"/>
    <n v="360"/>
  </r>
  <r>
    <s v="GEORGIA"/>
    <s v="09"/>
    <s v="TRIANGLE"/>
    <s v="DONALSONVILLE"/>
    <x v="677"/>
    <x v="7"/>
    <x v="3"/>
    <s v="Invoice"/>
    <s v="100002726"/>
    <x v="258"/>
    <x v="221"/>
    <x v="54"/>
    <x v="0"/>
    <n v="4000"/>
  </r>
  <r>
    <s v="GEORGIA"/>
    <s v="09"/>
    <s v="CAROLINATU"/>
    <s v="HOPEVALLEY"/>
    <x v="677"/>
    <x v="7"/>
    <x v="3"/>
    <s v="Invoice"/>
    <s v="100002727"/>
    <x v="217"/>
    <x v="192"/>
    <x v="56"/>
    <x v="0"/>
    <n v="250"/>
  </r>
  <r>
    <s v=""/>
    <s v="09"/>
    <s v="AGRIBUSI"/>
    <s v="MEHERRIN/ESTILL"/>
    <x v="677"/>
    <x v="7"/>
    <x v="3"/>
    <s v="Invoice"/>
    <s v="100002728"/>
    <x v="221"/>
    <x v="194"/>
    <x v="20"/>
    <x v="1"/>
    <n v="2500"/>
  </r>
  <r>
    <s v="GEORGIA"/>
    <s v="09"/>
    <s v="TRIANGLE"/>
    <s v="SYCAMORE"/>
    <x v="683"/>
    <x v="7"/>
    <x v="3"/>
    <s v="Invoice"/>
    <s v="100002731"/>
    <x v="258"/>
    <x v="221"/>
    <x v="54"/>
    <x v="0"/>
    <n v="4000"/>
  </r>
  <r>
    <s v="GEORGIA"/>
    <s v="09"/>
    <s v="TRIANGLE"/>
    <s v="STATESBORO/GA"/>
    <x v="669"/>
    <x v="7"/>
    <x v="3"/>
    <s v="Invoice"/>
    <s v="100002744"/>
    <x v="258"/>
    <x v="221"/>
    <x v="54"/>
    <x v="0"/>
    <n v="4000"/>
  </r>
  <r>
    <s v="GEORGIA"/>
    <s v="09"/>
    <s v="TRIANGLE"/>
    <s v="LEESBURG,GA"/>
    <x v="678"/>
    <x v="7"/>
    <x v="3"/>
    <s v="Invoice"/>
    <s v="100002746"/>
    <x v="179"/>
    <x v="220"/>
    <x v="60"/>
    <x v="0"/>
    <n v="1440"/>
  </r>
  <r>
    <s v="TRES"/>
    <s v="11"/>
    <s v="HEFTYSEEDCO"/>
    <s v="MAIN"/>
    <x v="685"/>
    <x v="7"/>
    <x v="3"/>
    <s v="Invoice"/>
    <s v="100002596A"/>
    <x v="288"/>
    <x v="214"/>
    <x v="67"/>
    <x v="0"/>
    <n v="1250"/>
  </r>
  <r>
    <s v="CSWAFFORD"/>
    <s v="12"/>
    <s v="GOLFVENTURES"/>
    <s v="MAIN"/>
    <x v="666"/>
    <x v="7"/>
    <x v="3"/>
    <s v="Invoice"/>
    <s v="100002606"/>
    <x v="8"/>
    <x v="396"/>
    <x v="7"/>
    <x v="0"/>
    <n v="60"/>
  </r>
  <r>
    <s v="CSWAFFORD"/>
    <s v="12"/>
    <s v="GOLFVENTURES"/>
    <s v="MAIN"/>
    <x v="666"/>
    <x v="7"/>
    <x v="3"/>
    <s v="Invoice"/>
    <s v="100002606"/>
    <x v="439"/>
    <x v="297"/>
    <x v="91"/>
    <x v="0"/>
    <n v="60"/>
  </r>
  <r>
    <s v="CSWAFFORD"/>
    <s v="12"/>
    <s v="GOLFVENTURES"/>
    <s v="MAIN"/>
    <x v="666"/>
    <x v="7"/>
    <x v="3"/>
    <s v="Invoice"/>
    <s v="100002606"/>
    <x v="209"/>
    <x v="452"/>
    <x v="63"/>
    <x v="0"/>
    <n v="60"/>
  </r>
  <r>
    <s v="CSWAFFORD"/>
    <s v="12"/>
    <s v="GOLFVENTURES"/>
    <s v="CAPUTOPEST"/>
    <x v="681"/>
    <x v="7"/>
    <x v="3"/>
    <s v="Invoice"/>
    <s v="100002634"/>
    <x v="385"/>
    <x v="321"/>
    <x v="96"/>
    <x v="0"/>
    <n v="55"/>
  </r>
  <r>
    <s v="CSWAFFORD"/>
    <s v="12"/>
    <s v="GOLFVENTURES"/>
    <s v="CAPUTOPEST"/>
    <x v="681"/>
    <x v="7"/>
    <x v="3"/>
    <s v="Invoice"/>
    <s v="100002634"/>
    <x v="564"/>
    <x v="334"/>
    <x v="80"/>
    <x v="0"/>
    <n v="55"/>
  </r>
  <r>
    <s v="CSWAFFORD"/>
    <s v="12"/>
    <s v="GOLFVENTURES"/>
    <s v="SUNTREECC"/>
    <x v="681"/>
    <x v="7"/>
    <x v="3"/>
    <s v="Invoice"/>
    <s v="100002636"/>
    <x v="298"/>
    <x v="299"/>
    <x v="45"/>
    <x v="0"/>
    <n v="55"/>
  </r>
  <r>
    <s v="CSWAFFORD"/>
    <s v="12"/>
    <s v="GOLFVENTURES"/>
    <s v="MAIN"/>
    <x v="681"/>
    <x v="7"/>
    <x v="3"/>
    <s v="Invoice"/>
    <s v="100002638"/>
    <x v="163"/>
    <x v="442"/>
    <x v="56"/>
    <x v="0"/>
    <n v="60"/>
  </r>
  <r>
    <s v="CSWAFFORD"/>
    <s v="12"/>
    <s v="GOLFVENTURES"/>
    <s v="MAIN"/>
    <x v="681"/>
    <x v="7"/>
    <x v="3"/>
    <s v="Invoice"/>
    <s v="100002638"/>
    <x v="438"/>
    <x v="373"/>
    <x v="108"/>
    <x v="0"/>
    <n v="60"/>
  </r>
  <r>
    <s v="CSWAFFORD"/>
    <s v="12"/>
    <s v="GOLFVENTURES"/>
    <s v="MAIN"/>
    <x v="681"/>
    <x v="7"/>
    <x v="3"/>
    <s v="Invoice"/>
    <s v="100002638"/>
    <x v="169"/>
    <x v="497"/>
    <x v="0"/>
    <x v="0"/>
    <n v="60"/>
  </r>
  <r>
    <s v="CSWAFFORD"/>
    <s v="12"/>
    <s v="GOLFVENTURES"/>
    <s v="MAIN"/>
    <x v="681"/>
    <x v="7"/>
    <x v="3"/>
    <s v="Invoice"/>
    <s v="100002639"/>
    <x v="447"/>
    <x v="383"/>
    <x v="56"/>
    <x v="0"/>
    <n v="20"/>
  </r>
  <r>
    <s v="CSWAFFORD"/>
    <s v="12"/>
    <s v="GOLFVENTURES"/>
    <s v="MAIN"/>
    <x v="667"/>
    <x v="7"/>
    <x v="3"/>
    <s v="Invoice"/>
    <s v="100002658"/>
    <x v="448"/>
    <x v="384"/>
    <x v="110"/>
    <x v="0"/>
    <n v="20"/>
  </r>
  <r>
    <s v="CSWAFFORD"/>
    <s v="12"/>
    <s v="GOLFVENTURES"/>
    <s v="MAIN"/>
    <x v="667"/>
    <x v="7"/>
    <x v="3"/>
    <s v="Invoice"/>
    <s v="100002660"/>
    <x v="298"/>
    <x v="299"/>
    <x v="45"/>
    <x v="0"/>
    <n v="55"/>
  </r>
  <r>
    <s v="CSWAFFORD"/>
    <s v="12"/>
    <s v="GOLFVENTURES"/>
    <s v="CHSEAGLERIDGE"/>
    <x v="673"/>
    <x v="7"/>
    <x v="3"/>
    <s v="Invoice"/>
    <s v="100002673"/>
    <x v="565"/>
    <x v="498"/>
    <x v="22"/>
    <x v="2"/>
    <n v="1.5455000000000001"/>
  </r>
  <r>
    <s v="CSWAFFORD"/>
    <s v="12"/>
    <s v="GOLFVENTURES"/>
    <s v="CHSEAGLERIDGE"/>
    <x v="673"/>
    <x v="7"/>
    <x v="3"/>
    <s v="Invoice"/>
    <s v="100002675"/>
    <x v="146"/>
    <x v="295"/>
    <x v="43"/>
    <x v="0"/>
    <n v="275"/>
  </r>
  <r>
    <s v="CSWAFFORD"/>
    <s v="12"/>
    <s v="GOLFVENTURES"/>
    <s v="MAIN"/>
    <x v="673"/>
    <x v="7"/>
    <x v="3"/>
    <s v="Invoice"/>
    <s v="100002679"/>
    <x v="455"/>
    <x v="499"/>
    <x v="56"/>
    <x v="0"/>
    <n v="15"/>
  </r>
  <r>
    <s v="CSWAFFORD"/>
    <s v="12"/>
    <s v="GOLFVENTURES"/>
    <s v="MAIN"/>
    <x v="673"/>
    <x v="7"/>
    <x v="3"/>
    <s v="Invoice"/>
    <s v="100002680"/>
    <x v="249"/>
    <x v="294"/>
    <x v="70"/>
    <x v="0"/>
    <n v="60"/>
  </r>
  <r>
    <s v="CSWAFFORD"/>
    <s v="12"/>
    <s v="GOLFVENTURES"/>
    <s v="MAIN"/>
    <x v="673"/>
    <x v="7"/>
    <x v="3"/>
    <s v="Invoice"/>
    <s v="100002680"/>
    <x v="146"/>
    <x v="295"/>
    <x v="43"/>
    <x v="0"/>
    <n v="60"/>
  </r>
  <r>
    <s v="CSWAFFORD"/>
    <s v="12"/>
    <s v="GOLFVENTURES"/>
    <s v="MAIN"/>
    <x v="673"/>
    <x v="7"/>
    <x v="3"/>
    <s v="Invoice"/>
    <s v="100002680"/>
    <x v="365"/>
    <x v="298"/>
    <x v="53"/>
    <x v="0"/>
    <n v="60"/>
  </r>
  <r>
    <s v="CSWAFFORD"/>
    <s v="12"/>
    <s v="GOLFVENTURES"/>
    <s v="MAIN"/>
    <x v="673"/>
    <x v="7"/>
    <x v="3"/>
    <s v="Invoice"/>
    <s v="100002681"/>
    <x v="499"/>
    <x v="375"/>
    <x v="82"/>
    <x v="0"/>
    <n v="90"/>
  </r>
  <r>
    <s v="CSWAFFORD"/>
    <s v="12"/>
    <s v="GOLFVENTURES"/>
    <s v="MAIN"/>
    <x v="673"/>
    <x v="7"/>
    <x v="3"/>
    <s v="Invoice"/>
    <s v="100002681"/>
    <x v="364"/>
    <x v="321"/>
    <x v="96"/>
    <x v="0"/>
    <n v="90"/>
  </r>
  <r>
    <s v="CSWAFFORD"/>
    <s v="12"/>
    <s v="GOLFVENTURES"/>
    <s v="ATLANTICFIELDS"/>
    <x v="674"/>
    <x v="7"/>
    <x v="3"/>
    <s v="Invoice"/>
    <s v="100002686"/>
    <x v="120"/>
    <x v="299"/>
    <x v="45"/>
    <x v="0"/>
    <n v="250"/>
  </r>
  <r>
    <s v="CSWAFFORD"/>
    <s v="12"/>
    <s v="GOLFVENTURES"/>
    <s v="MAIN"/>
    <x v="675"/>
    <x v="7"/>
    <x v="3"/>
    <s v="Invoice"/>
    <s v="100002703"/>
    <x v="249"/>
    <x v="294"/>
    <x v="70"/>
    <x v="0"/>
    <n v="40"/>
  </r>
  <r>
    <s v="CSWAFFORD"/>
    <s v="12"/>
    <s v="GOLFVENTURES"/>
    <s v="ARROWHEAD"/>
    <x v="675"/>
    <x v="7"/>
    <x v="3"/>
    <s v="Invoice"/>
    <s v="100002707"/>
    <x v="366"/>
    <x v="336"/>
    <x v="22"/>
    <x v="2"/>
    <n v="5.0250000000000004"/>
  </r>
  <r>
    <s v="CSWAFFORD"/>
    <s v="12"/>
    <s v="GOLFVENTURES"/>
    <s v="COUNTRYBOY"/>
    <x v="677"/>
    <x v="7"/>
    <x v="3"/>
    <s v="Invoice"/>
    <s v="100002721"/>
    <x v="315"/>
    <x v="279"/>
    <x v="86"/>
    <x v="0"/>
    <n v="250"/>
  </r>
  <r>
    <s v="CSWAFFORD"/>
    <s v="12"/>
    <s v="JRMINC"/>
    <s v="MAILING"/>
    <x v="676"/>
    <x v="7"/>
    <x v="3"/>
    <s v="Invoice"/>
    <s v="100002723"/>
    <x v="448"/>
    <x v="384"/>
    <x v="110"/>
    <x v="0"/>
    <n v="120"/>
  </r>
  <r>
    <s v="CSWAFFORD"/>
    <s v="12"/>
    <s v="JRMINC"/>
    <s v="FEDEXFREIGHTTER"/>
    <x v="676"/>
    <x v="7"/>
    <x v="3"/>
    <s v="Invoice"/>
    <s v="100002724"/>
    <x v="448"/>
    <x v="384"/>
    <x v="110"/>
    <x v="0"/>
    <n v="30"/>
  </r>
  <r>
    <s v="CSWAFFORD"/>
    <s v="12"/>
    <s v="GOLFVENTURES"/>
    <s v="MAIN"/>
    <x v="683"/>
    <x v="7"/>
    <x v="3"/>
    <s v="Invoice"/>
    <s v="100002733"/>
    <x v="3"/>
    <x v="411"/>
    <x v="2"/>
    <x v="0"/>
    <n v="90"/>
  </r>
  <r>
    <s v="CSWAFFORD"/>
    <s v="12"/>
    <s v="GOLFVENTURES"/>
    <s v="MAIN"/>
    <x v="683"/>
    <x v="7"/>
    <x v="3"/>
    <s v="Invoice"/>
    <s v="100002733"/>
    <x v="439"/>
    <x v="297"/>
    <x v="91"/>
    <x v="0"/>
    <n v="90"/>
  </r>
  <r>
    <s v="CSWAFFORD"/>
    <s v="12"/>
    <s v="GOLFVENTURES"/>
    <s v="DEERINGBAY"/>
    <x v="678"/>
    <x v="7"/>
    <x v="3"/>
    <s v="Invoice"/>
    <s v="100002752"/>
    <x v="120"/>
    <x v="299"/>
    <x v="45"/>
    <x v="0"/>
    <n v="250"/>
  </r>
  <r>
    <s v="CSWAFFORD"/>
    <s v="12"/>
    <s v="GOLFVENTURES"/>
    <s v="COUNTRYBOY"/>
    <x v="679"/>
    <x v="7"/>
    <x v="3"/>
    <s v="Invoice"/>
    <s v="100002753"/>
    <x v="319"/>
    <x v="281"/>
    <x v="42"/>
    <x v="0"/>
    <n v="250"/>
  </r>
  <r>
    <s v="CSWAFFORD"/>
    <s v="12"/>
    <s v="GOLFVENTURES"/>
    <s v="CITYOFLAKEWALES"/>
    <x v="679"/>
    <x v="7"/>
    <x v="3"/>
    <s v="Invoice"/>
    <s v="100002755"/>
    <x v="319"/>
    <x v="281"/>
    <x v="42"/>
    <x v="0"/>
    <n v="250"/>
  </r>
  <r>
    <s v="CSWAFFORD"/>
    <s v="12"/>
    <s v="GOLFVENTURES"/>
    <s v="CRYSTALLAKECLUB"/>
    <x v="679"/>
    <x v="7"/>
    <x v="3"/>
    <s v="Invoice"/>
    <s v="100002756"/>
    <x v="440"/>
    <x v="321"/>
    <x v="96"/>
    <x v="0"/>
    <n v="250"/>
  </r>
  <r>
    <s v="CSWAFFORD"/>
    <s v="12"/>
    <s v="GOLFVENTURES"/>
    <s v="MAIN"/>
    <x v="679"/>
    <x v="7"/>
    <x v="3"/>
    <s v="Invoice"/>
    <s v="100002765"/>
    <x v="442"/>
    <x v="378"/>
    <x v="109"/>
    <x v="0"/>
    <n v="200"/>
  </r>
  <r>
    <s v="CSWAFFORD"/>
    <s v="12"/>
    <s v="GOLFVENTURES"/>
    <s v="MAIN"/>
    <x v="679"/>
    <x v="7"/>
    <x v="3"/>
    <s v="Invoice"/>
    <s v="100002766"/>
    <x v="83"/>
    <x v="69"/>
    <x v="17"/>
    <x v="0"/>
    <n v="1750"/>
  </r>
  <r>
    <s v="CSWAFFORD"/>
    <s v="12"/>
    <s v="GOLFVENTURES"/>
    <s v="MAIN"/>
    <x v="679"/>
    <x v="7"/>
    <x v="3"/>
    <s v="Invoice"/>
    <s v="100002767"/>
    <x v="320"/>
    <x v="282"/>
    <x v="87"/>
    <x v="0"/>
    <n v="1300"/>
  </r>
  <r>
    <s v="CSWAFFORD"/>
    <s v="12"/>
    <s v="NUTRATURF"/>
    <s v="CRUMP ST, NC"/>
    <x v="684"/>
    <x v="7"/>
    <x v="3"/>
    <s v="Invoice"/>
    <s v="100002772"/>
    <x v="255"/>
    <x v="399"/>
    <x v="35"/>
    <x v="0"/>
    <n v="500"/>
  </r>
  <r>
    <s v="CSWAFFORD"/>
    <s v="12"/>
    <s v="NUTRATURF"/>
    <s v="CRUMP ST, NC"/>
    <x v="684"/>
    <x v="7"/>
    <x v="3"/>
    <s v="Invoice"/>
    <s v="100002772"/>
    <x v="79"/>
    <x v="72"/>
    <x v="4"/>
    <x v="0"/>
    <n v="165"/>
  </r>
  <r>
    <s v="CSWAFFORD"/>
    <s v="12"/>
    <s v="NUTRATURF"/>
    <s v="CRUMP ST, NC"/>
    <x v="684"/>
    <x v="7"/>
    <x v="3"/>
    <s v="Invoice"/>
    <s v="100002772"/>
    <x v="80"/>
    <x v="73"/>
    <x v="4"/>
    <x v="0"/>
    <n v="55"/>
  </r>
  <r>
    <s v="CSWAFFORD"/>
    <s v="12"/>
    <s v="NUTRATURF"/>
    <s v="CRUMP ST, NC"/>
    <x v="684"/>
    <x v="7"/>
    <x v="3"/>
    <s v="Invoice"/>
    <s v="100002772"/>
    <x v="566"/>
    <x v="111"/>
    <x v="46"/>
    <x v="0"/>
    <n v="110"/>
  </r>
  <r>
    <s v="CSWAFFORD"/>
    <s v="12"/>
    <s v="NUTRATURF"/>
    <s v="CRUMP ST, NC"/>
    <x v="684"/>
    <x v="7"/>
    <x v="3"/>
    <s v="Invoice"/>
    <s v="100002772"/>
    <x v="252"/>
    <x v="224"/>
    <x v="71"/>
    <x v="0"/>
    <n v="110"/>
  </r>
  <r>
    <s v="CSWAFFORD"/>
    <s v="12"/>
    <s v="NUTRATURF"/>
    <s v="CRUMP ST, NC"/>
    <x v="684"/>
    <x v="7"/>
    <x v="3"/>
    <s v="Invoice"/>
    <s v="100002772"/>
    <x v="86"/>
    <x v="78"/>
    <x v="36"/>
    <x v="0"/>
    <n v="500"/>
  </r>
  <r>
    <s v="CSWAFFORD"/>
    <s v="12"/>
    <s v="NUTRATURF"/>
    <s v="CRUMP ST, NC"/>
    <x v="684"/>
    <x v="7"/>
    <x v="3"/>
    <s v="Invoice"/>
    <s v="100002772"/>
    <x v="418"/>
    <x v="371"/>
    <x v="3"/>
    <x v="0"/>
    <n v="165"/>
  </r>
  <r>
    <s v="CSWAFFORD"/>
    <s v="12"/>
    <s v="NUTRATURF"/>
    <s v="CRUMP ST, NC"/>
    <x v="684"/>
    <x v="7"/>
    <x v="3"/>
    <s v="Invoice"/>
    <s v="100002772"/>
    <x v="102"/>
    <x v="71"/>
    <x v="100"/>
    <x v="0"/>
    <n v="250"/>
  </r>
  <r>
    <s v="CSWAFFORD"/>
    <s v="12"/>
    <s v="NUTRATURF"/>
    <s v="CRUMP ST, NC"/>
    <x v="684"/>
    <x v="7"/>
    <x v="3"/>
    <s v="Invoice"/>
    <s v="100002772"/>
    <x v="83"/>
    <x v="69"/>
    <x v="17"/>
    <x v="0"/>
    <n v="500"/>
  </r>
  <r>
    <s v="CSWAFFORD"/>
    <s v="12"/>
    <s v="NUTRATURF"/>
    <s v="CRUMP ST, NC"/>
    <x v="684"/>
    <x v="7"/>
    <x v="3"/>
    <s v="Invoice"/>
    <s v="100002772"/>
    <x v="247"/>
    <x v="76"/>
    <x v="11"/>
    <x v="0"/>
    <n v="250"/>
  </r>
  <r>
    <s v="CSWAFFORD"/>
    <s v="12"/>
    <s v="GOLFVENTURES"/>
    <s v="VIKINGSLLC"/>
    <x v="680"/>
    <x v="7"/>
    <x v="3"/>
    <s v="Invoice"/>
    <s v="100002776"/>
    <x v="298"/>
    <x v="299"/>
    <x v="45"/>
    <x v="0"/>
    <n v="55"/>
  </r>
  <r>
    <s v="HAP"/>
    <s v="01"/>
    <s v="ALMARCH"/>
    <s v="THONOTOSASSA"/>
    <x v="687"/>
    <x v="8"/>
    <x v="3"/>
    <s v="Invoice"/>
    <s v="100002891"/>
    <x v="92"/>
    <x v="82"/>
    <x v="35"/>
    <x v="0"/>
    <n v="55"/>
  </r>
  <r>
    <s v="HAP"/>
    <s v="01"/>
    <s v="ALMARCH"/>
    <s v="THONOTOSASSA"/>
    <x v="687"/>
    <x v="8"/>
    <x v="3"/>
    <s v="Invoice"/>
    <s v="100002891"/>
    <x v="93"/>
    <x v="84"/>
    <x v="37"/>
    <x v="0"/>
    <n v="55"/>
  </r>
  <r>
    <s v="HAP"/>
    <s v="01"/>
    <s v="GREENWAY"/>
    <s v="WAREHOUSE"/>
    <x v="688"/>
    <x v="8"/>
    <x v="3"/>
    <s v="Invoice"/>
    <s v="100002864"/>
    <x v="3"/>
    <x v="379"/>
    <x v="2"/>
    <x v="0"/>
    <n v="120"/>
  </r>
  <r>
    <s v="HAP"/>
    <s v="01"/>
    <s v="GREENWAY"/>
    <s v="JACARANDA G C"/>
    <x v="689"/>
    <x v="8"/>
    <x v="3"/>
    <s v="Invoice"/>
    <s v="100002818"/>
    <x v="88"/>
    <x v="2"/>
    <x v="2"/>
    <x v="0"/>
    <n v="55"/>
  </r>
  <r>
    <s v="HAP"/>
    <s v="01"/>
    <s v="GREENWAY"/>
    <s v="DANIELHILLIARD"/>
    <x v="690"/>
    <x v="8"/>
    <x v="3"/>
    <s v="Invoice"/>
    <s v="100002836"/>
    <x v="418"/>
    <x v="3"/>
    <x v="3"/>
    <x v="0"/>
    <n v="55"/>
  </r>
  <r>
    <s v="HAP"/>
    <s v="01"/>
    <s v="GREENWAY"/>
    <s v="WAREHOUSE"/>
    <x v="688"/>
    <x v="8"/>
    <x v="3"/>
    <s v="Invoice"/>
    <s v="100002864"/>
    <x v="90"/>
    <x v="13"/>
    <x v="13"/>
    <x v="0"/>
    <n v="120"/>
  </r>
  <r>
    <s v="HAP"/>
    <s v="01"/>
    <s v="GREENWAY"/>
    <s v="WAREHOUSE"/>
    <x v="688"/>
    <x v="8"/>
    <x v="3"/>
    <s v="Invoice"/>
    <s v="100002864"/>
    <x v="6"/>
    <x v="5"/>
    <x v="5"/>
    <x v="0"/>
    <n v="120"/>
  </r>
  <r>
    <s v="HAP"/>
    <s v="01"/>
    <s v="GREENWAY"/>
    <s v="WAREHOUSE"/>
    <x v="688"/>
    <x v="8"/>
    <x v="3"/>
    <s v="Invoice"/>
    <s v="100002864"/>
    <x v="2"/>
    <x v="0"/>
    <x v="0"/>
    <x v="0"/>
    <n v="120"/>
  </r>
  <r>
    <s v="HAP"/>
    <s v="01"/>
    <s v="GREENWAY"/>
    <s v="WAREHOUSE"/>
    <x v="688"/>
    <x v="8"/>
    <x v="3"/>
    <s v="Invoice"/>
    <s v="100002864"/>
    <x v="21"/>
    <x v="16"/>
    <x v="16"/>
    <x v="0"/>
    <n v="60"/>
  </r>
  <r>
    <s v="HAP"/>
    <s v="01"/>
    <s v="GREENWAY"/>
    <s v="WAREHOUSE"/>
    <x v="688"/>
    <x v="8"/>
    <x v="3"/>
    <s v="Invoice"/>
    <s v="100002864"/>
    <x v="7"/>
    <x v="6"/>
    <x v="6"/>
    <x v="0"/>
    <n v="60"/>
  </r>
  <r>
    <s v="HAP"/>
    <s v="01"/>
    <s v="ALMARCH"/>
    <s v="THONOTOSASSA"/>
    <x v="687"/>
    <x v="8"/>
    <x v="3"/>
    <s v="Invoice"/>
    <s v="100002891"/>
    <x v="22"/>
    <x v="83"/>
    <x v="17"/>
    <x v="0"/>
    <n v="55"/>
  </r>
  <r>
    <s v="DAVID"/>
    <s v="02"/>
    <s v="RUSSTECH"/>
    <s v="BELL CHEMICAL"/>
    <x v="691"/>
    <x v="8"/>
    <x v="3"/>
    <s v="Invoice"/>
    <s v="100002795"/>
    <x v="507"/>
    <x v="444"/>
    <x v="20"/>
    <x v="1"/>
    <n v="40720"/>
  </r>
  <r>
    <s v="DAVID"/>
    <s v="02"/>
    <s v="SUNNILAND"/>
    <s v="LONGWOOD"/>
    <x v="692"/>
    <x v="8"/>
    <x v="3"/>
    <s v="Invoice"/>
    <s v="100002892"/>
    <x v="124"/>
    <x v="112"/>
    <x v="20"/>
    <x v="1"/>
    <n v="23060"/>
  </r>
  <r>
    <s v="DAVID"/>
    <s v="02"/>
    <s v="EVOQUAWATER"/>
    <s v="BUFORDGA"/>
    <x v="693"/>
    <x v="8"/>
    <x v="3"/>
    <s v="Invoice"/>
    <s v="100002901"/>
    <x v="160"/>
    <x v="231"/>
    <x v="54"/>
    <x v="0"/>
    <n v="360"/>
  </r>
  <r>
    <s v="DAVID"/>
    <s v="02"/>
    <s v="EVOQUAWATER"/>
    <s v="COUNTYOFCOLLIER"/>
    <x v="694"/>
    <x v="8"/>
    <x v="3"/>
    <s v="Invoice"/>
    <s v="100002862"/>
    <x v="295"/>
    <x v="231"/>
    <x v="54"/>
    <x v="0"/>
    <n v="150"/>
  </r>
  <r>
    <s v="DAVID"/>
    <s v="02"/>
    <s v="OHARAPEST"/>
    <s v="MAILIING"/>
    <x v="695"/>
    <x v="8"/>
    <x v="3"/>
    <s v="Invoice"/>
    <s v="100002831"/>
    <x v="97"/>
    <x v="91"/>
    <x v="8"/>
    <x v="0"/>
    <n v="250"/>
  </r>
  <r>
    <s v="DAVID"/>
    <s v="02"/>
    <s v="SOILCEA"/>
    <s v="MAIN"/>
    <x v="696"/>
    <x v="8"/>
    <x v="3"/>
    <s v="Invoice"/>
    <s v="100002890"/>
    <x v="5"/>
    <x v="72"/>
    <x v="4"/>
    <x v="0"/>
    <n v="2.5"/>
  </r>
  <r>
    <s v="DAVID"/>
    <s v="02"/>
    <s v="SOILCEA"/>
    <s v="MAIN"/>
    <x v="696"/>
    <x v="8"/>
    <x v="3"/>
    <s v="Invoice"/>
    <s v="100002890"/>
    <x v="106"/>
    <x v="74"/>
    <x v="13"/>
    <x v="0"/>
    <n v="2.5"/>
  </r>
  <r>
    <s v="DAVID"/>
    <s v="02"/>
    <s v="SOUTHERN"/>
    <s v="SOUTHERN AG"/>
    <x v="689"/>
    <x v="8"/>
    <x v="3"/>
    <s v="Invoice"/>
    <s v="100002814"/>
    <x v="26"/>
    <x v="21"/>
    <x v="21"/>
    <x v="0"/>
    <n v="3288"/>
  </r>
  <r>
    <s v="DAVID"/>
    <s v="02"/>
    <s v="PETROCAN"/>
    <s v="UAP-FT. PIERCE"/>
    <x v="689"/>
    <x v="8"/>
    <x v="3"/>
    <s v="Invoice"/>
    <s v="100002812A"/>
    <x v="526"/>
    <x v="462"/>
    <x v="99"/>
    <x v="0"/>
    <n v="7110"/>
  </r>
  <r>
    <s v="DAVID"/>
    <s v="02"/>
    <s v="PETROCAN"/>
    <s v="TROPICOIL"/>
    <x v="697"/>
    <x v="8"/>
    <x v="3"/>
    <s v="Invoice"/>
    <s v="100002820"/>
    <x v="526"/>
    <x v="462"/>
    <x v="99"/>
    <x v="0"/>
    <n v="7073"/>
  </r>
  <r>
    <s v="DAVID"/>
    <s v="02"/>
    <s v="PETROCAN"/>
    <s v="TROPICOIL"/>
    <x v="698"/>
    <x v="8"/>
    <x v="3"/>
    <s v="Invoice"/>
    <s v="100002875"/>
    <x v="526"/>
    <x v="462"/>
    <x v="99"/>
    <x v="0"/>
    <n v="6014"/>
  </r>
  <r>
    <s v="DAVID"/>
    <s v="02"/>
    <s v="UNIVAR"/>
    <s v="ORLANDO"/>
    <x v="699"/>
    <x v="8"/>
    <x v="3"/>
    <s v="Invoice"/>
    <s v="100002842"/>
    <x v="96"/>
    <x v="90"/>
    <x v="39"/>
    <x v="0"/>
    <n v="5"/>
  </r>
  <r>
    <s v="DAVID"/>
    <s v="02"/>
    <s v="CPSFTPIE"/>
    <s v="FT. PIERCE"/>
    <x v="689"/>
    <x v="8"/>
    <x v="3"/>
    <s v="Invoice"/>
    <s v="100002817"/>
    <x v="267"/>
    <x v="235"/>
    <x v="75"/>
    <x v="0"/>
    <n v="70"/>
  </r>
  <r>
    <s v="DAVID"/>
    <s v="02"/>
    <s v="OHARAPEST"/>
    <s v="MAILIING"/>
    <x v="695"/>
    <x v="8"/>
    <x v="3"/>
    <s v="Invoice"/>
    <s v="100002831"/>
    <x v="247"/>
    <x v="76"/>
    <x v="11"/>
    <x v="0"/>
    <n v="250"/>
  </r>
  <r>
    <s v="JUSTIN"/>
    <s v="03"/>
    <s v="CAMPBELLGROVES"/>
    <s v="MAIN"/>
    <x v="699"/>
    <x v="8"/>
    <x v="3"/>
    <s v="Invoice"/>
    <s v="100002838"/>
    <x v="85"/>
    <x v="399"/>
    <x v="35"/>
    <x v="0"/>
    <n v="10"/>
  </r>
  <r>
    <s v="JUSTIN"/>
    <s v="03"/>
    <s v="STORYGROVE"/>
    <s v="HWY 27-W/SIDE"/>
    <x v="699"/>
    <x v="8"/>
    <x v="3"/>
    <s v="Invoice"/>
    <s v="100002840"/>
    <x v="85"/>
    <x v="399"/>
    <x v="35"/>
    <x v="0"/>
    <n v="20"/>
  </r>
  <r>
    <s v="JUSTIN"/>
    <s v="03"/>
    <s v="STORYGROVE"/>
    <s v="HWY 27-W/SIDE"/>
    <x v="692"/>
    <x v="8"/>
    <x v="3"/>
    <s v="Invoice"/>
    <s v="100002897"/>
    <x v="85"/>
    <x v="399"/>
    <x v="35"/>
    <x v="0"/>
    <n v="5"/>
  </r>
  <r>
    <s v="JUSTIN"/>
    <s v="03"/>
    <s v="STORYGROVE"/>
    <s v="HWY 27-W/SIDE"/>
    <x v="692"/>
    <x v="8"/>
    <x v="3"/>
    <s v="Invoice"/>
    <s v="100002897"/>
    <x v="85"/>
    <x v="399"/>
    <x v="35"/>
    <x v="0"/>
    <n v="5"/>
  </r>
  <r>
    <s v="JUSTIN"/>
    <s v="03"/>
    <s v="COASTALAGSUPPLY"/>
    <s v="IMMOK/ALACHUA"/>
    <x v="700"/>
    <x v="8"/>
    <x v="3"/>
    <s v="Invoice"/>
    <s v="100002848"/>
    <x v="378"/>
    <x v="332"/>
    <x v="3"/>
    <x v="0"/>
    <n v="360"/>
  </r>
  <r>
    <s v="JUSTIN"/>
    <s v="03"/>
    <s v="CPSWAVER"/>
    <s v="WAVERLY"/>
    <x v="688"/>
    <x v="8"/>
    <x v="3"/>
    <s v="Invoice"/>
    <s v="100002865"/>
    <x v="136"/>
    <x v="111"/>
    <x v="46"/>
    <x v="0"/>
    <n v="180"/>
  </r>
  <r>
    <s v="JUSTIN"/>
    <s v="03"/>
    <s v="TRIANGLE"/>
    <s v="TRIANGLE/LAKEPL"/>
    <x v="701"/>
    <x v="8"/>
    <x v="3"/>
    <s v="Invoice"/>
    <s v="100002805"/>
    <x v="136"/>
    <x v="111"/>
    <x v="46"/>
    <x v="0"/>
    <n v="720"/>
  </r>
  <r>
    <s v="JUSTIN"/>
    <s v="03"/>
    <s v="CPSWAVER"/>
    <s v="WAVERLY"/>
    <x v="701"/>
    <x v="8"/>
    <x v="3"/>
    <s v="Invoice"/>
    <s v="100002806"/>
    <x v="35"/>
    <x v="30"/>
    <x v="27"/>
    <x v="0"/>
    <n v="180"/>
  </r>
  <r>
    <s v="JUSTIN"/>
    <s v="03"/>
    <s v="TRIANGLE"/>
    <s v="TRIANGLE/LAKEPL"/>
    <x v="691"/>
    <x v="8"/>
    <x v="3"/>
    <s v="Invoice"/>
    <s v="100002797"/>
    <x v="100"/>
    <x v="94"/>
    <x v="41"/>
    <x v="0"/>
    <n v="500"/>
  </r>
  <r>
    <s v="JUSTIN"/>
    <s v="03"/>
    <s v="TRIANGLE"/>
    <s v="TRIANGLE/LAKEPL"/>
    <x v="688"/>
    <x v="8"/>
    <x v="3"/>
    <s v="Invoice"/>
    <s v="100002867"/>
    <x v="100"/>
    <x v="94"/>
    <x v="41"/>
    <x v="0"/>
    <n v="2750"/>
  </r>
  <r>
    <s v="JUSTIN"/>
    <s v="03"/>
    <s v="TRIANGLE"/>
    <s v="TRIANGLE/LAKEPL"/>
    <x v="698"/>
    <x v="8"/>
    <x v="3"/>
    <s v="Invoice"/>
    <s v="100002872"/>
    <x v="100"/>
    <x v="94"/>
    <x v="41"/>
    <x v="0"/>
    <n v="250"/>
  </r>
  <r>
    <s v="JUSTIN"/>
    <s v="03"/>
    <s v="CPSWAVER"/>
    <s v="WAVERLY"/>
    <x v="702"/>
    <x v="8"/>
    <x v="3"/>
    <s v="Invoice"/>
    <s v="100002824"/>
    <x v="550"/>
    <x v="172"/>
    <x v="61"/>
    <x v="0"/>
    <n v="250"/>
  </r>
  <r>
    <s v="JUSTIN"/>
    <s v="03"/>
    <s v="TRIANGLE"/>
    <s v="TRIANGLE/LAKEPL"/>
    <x v="700"/>
    <x v="8"/>
    <x v="3"/>
    <s v="Invoice"/>
    <s v="100002844"/>
    <x v="550"/>
    <x v="172"/>
    <x v="61"/>
    <x v="0"/>
    <n v="500"/>
  </r>
  <r>
    <s v="JUSTIN"/>
    <s v="03"/>
    <s v="TRIANGLE"/>
    <s v="TRIANGLE/LAKEPL"/>
    <x v="687"/>
    <x v="8"/>
    <x v="3"/>
    <s v="Invoice"/>
    <s v="100002884"/>
    <x v="550"/>
    <x v="172"/>
    <x v="61"/>
    <x v="0"/>
    <n v="500"/>
  </r>
  <r>
    <s v="JUSTIN"/>
    <s v="03"/>
    <s v="CPSWACHU"/>
    <s v="WAUCHULA"/>
    <x v="703"/>
    <x v="8"/>
    <x v="3"/>
    <s v="Invoice"/>
    <s v="100002853"/>
    <x v="191"/>
    <x v="169"/>
    <x v="61"/>
    <x v="0"/>
    <n v="180"/>
  </r>
  <r>
    <s v="JUSTIN"/>
    <s v="03"/>
    <s v="CPSWAVER"/>
    <s v="WAVERLY"/>
    <x v="702"/>
    <x v="8"/>
    <x v="3"/>
    <s v="Invoice"/>
    <s v="100002824"/>
    <x v="551"/>
    <x v="128"/>
    <x v="29"/>
    <x v="0"/>
    <n v="250"/>
  </r>
  <r>
    <s v="JUSTIN"/>
    <s v="03"/>
    <s v="CPSWAVER"/>
    <s v="WAVERLY"/>
    <x v="702"/>
    <x v="8"/>
    <x v="3"/>
    <s v="Invoice"/>
    <s v="100002823"/>
    <x v="179"/>
    <x v="162"/>
    <x v="60"/>
    <x v="0"/>
    <n v="180"/>
  </r>
  <r>
    <s v="JUSTIN"/>
    <s v="03"/>
    <s v="CPSFTPIE"/>
    <s v="FT. PIERCE"/>
    <x v="688"/>
    <x v="8"/>
    <x v="3"/>
    <s v="Invoice"/>
    <s v="100002863"/>
    <x v="559"/>
    <x v="162"/>
    <x v="60"/>
    <x v="0"/>
    <n v="250"/>
  </r>
  <r>
    <s v="JUSTIN"/>
    <s v="03"/>
    <s v="CPSFTPIE"/>
    <s v="FT. PIERCE"/>
    <x v="687"/>
    <x v="8"/>
    <x v="3"/>
    <s v="Invoice"/>
    <s v="100002881"/>
    <x v="559"/>
    <x v="162"/>
    <x v="60"/>
    <x v="0"/>
    <n v="250"/>
  </r>
  <r>
    <s v="JUSTIN"/>
    <s v="03"/>
    <s v="TRIANGLE"/>
    <s v="TRIANGLE/LAKEPL"/>
    <x v="691"/>
    <x v="8"/>
    <x v="3"/>
    <s v="Invoice"/>
    <s v="100002796"/>
    <x v="324"/>
    <x v="286"/>
    <x v="13"/>
    <x v="0"/>
    <n v="750"/>
  </r>
  <r>
    <s v="JUSTIN"/>
    <s v="03"/>
    <s v="GRIFFINF"/>
    <s v="FROSTPROOF"/>
    <x v="692"/>
    <x v="8"/>
    <x v="3"/>
    <s v="Invoice"/>
    <s v="100002895"/>
    <x v="96"/>
    <x v="90"/>
    <x v="39"/>
    <x v="0"/>
    <n v="180"/>
  </r>
  <r>
    <s v="JUSTIN"/>
    <s v="03"/>
    <s v="CPSWACHU"/>
    <s v="WAUCHULA"/>
    <x v="699"/>
    <x v="8"/>
    <x v="3"/>
    <s v="Invoice"/>
    <s v="100002837"/>
    <x v="36"/>
    <x v="31"/>
    <x v="4"/>
    <x v="0"/>
    <n v="180"/>
  </r>
  <r>
    <s v="JUSTIN"/>
    <s v="03"/>
    <s v="CPSWAVER"/>
    <s v="WAVERLY"/>
    <x v="704"/>
    <x v="8"/>
    <x v="3"/>
    <s v="Invoice"/>
    <s v="100002810"/>
    <x v="36"/>
    <x v="31"/>
    <x v="4"/>
    <x v="0"/>
    <n v="180"/>
  </r>
  <r>
    <s v="JUSTIN"/>
    <s v="03"/>
    <s v="GRIFFINF"/>
    <s v="FROSTPROOF"/>
    <x v="687"/>
    <x v="8"/>
    <x v="3"/>
    <s v="Invoice"/>
    <s v="100002879"/>
    <x v="36"/>
    <x v="31"/>
    <x v="4"/>
    <x v="0"/>
    <n v="1620"/>
  </r>
  <r>
    <s v="JUSTIN"/>
    <s v="03"/>
    <s v="GRIFFINF"/>
    <s v="FROSTPROOF"/>
    <x v="692"/>
    <x v="8"/>
    <x v="3"/>
    <s v="Invoice"/>
    <s v="100002894"/>
    <x v="36"/>
    <x v="31"/>
    <x v="4"/>
    <x v="0"/>
    <n v="2880"/>
  </r>
  <r>
    <s v="JUSTIN"/>
    <s v="03"/>
    <s v="TRIANGLE"/>
    <s v="TRIANGLE/LAKEPL"/>
    <x v="700"/>
    <x v="8"/>
    <x v="3"/>
    <s v="Invoice"/>
    <s v="100002844"/>
    <x v="36"/>
    <x v="31"/>
    <x v="4"/>
    <x v="0"/>
    <n v="180"/>
  </r>
  <r>
    <s v="JUSTIN"/>
    <s v="03"/>
    <s v="CPSFTPIE"/>
    <s v="FT. PIERCE"/>
    <x v="687"/>
    <x v="8"/>
    <x v="3"/>
    <s v="Invoice"/>
    <s v="100002882"/>
    <x v="197"/>
    <x v="31"/>
    <x v="4"/>
    <x v="0"/>
    <n v="750"/>
  </r>
  <r>
    <s v="DPOPPELL"/>
    <s v="04"/>
    <s v="PALMAJOSE"/>
    <s v="WALDENSHEFFIELD"/>
    <x v="688"/>
    <x v="8"/>
    <x v="3"/>
    <s v="Invoice"/>
    <s v="100002868"/>
    <x v="77"/>
    <x v="37"/>
    <x v="30"/>
    <x v="0"/>
    <n v="30"/>
  </r>
  <r>
    <s v="DPOPPELL"/>
    <s v="04"/>
    <s v="TONYPALAFOX"/>
    <s v="MAILING"/>
    <x v="699"/>
    <x v="8"/>
    <x v="3"/>
    <s v="Invoice"/>
    <s v="100002841"/>
    <x v="48"/>
    <x v="33"/>
    <x v="28"/>
    <x v="0"/>
    <n v="2.5"/>
  </r>
  <r>
    <s v="DPOPPELL"/>
    <s v="04"/>
    <s v="PALMAJOSE"/>
    <s v="GAVIN"/>
    <x v="691"/>
    <x v="8"/>
    <x v="3"/>
    <s v="Invoice"/>
    <s v="100002800"/>
    <x v="5"/>
    <x v="72"/>
    <x v="4"/>
    <x v="0"/>
    <n v="5"/>
  </r>
  <r>
    <s v="DPOPPELL"/>
    <s v="04"/>
    <s v="TONYPALAFOX"/>
    <s v="MAILING"/>
    <x v="705"/>
    <x v="8"/>
    <x v="3"/>
    <s v="Invoice"/>
    <s v="100002871"/>
    <x v="400"/>
    <x v="78"/>
    <x v="36"/>
    <x v="0"/>
    <n v="2.5"/>
  </r>
  <r>
    <s v="DPOPPELL"/>
    <s v="04"/>
    <s v="TONYPALAFOX"/>
    <s v="MAILING"/>
    <x v="705"/>
    <x v="8"/>
    <x v="3"/>
    <s v="Invoice"/>
    <s v="100002871"/>
    <x v="156"/>
    <x v="138"/>
    <x v="53"/>
    <x v="0"/>
    <n v="2.5"/>
  </r>
  <r>
    <s v="DPOPPELL"/>
    <s v="04"/>
    <s v="FLORIDAAG"/>
    <s v="KINGSWAY"/>
    <x v="691"/>
    <x v="8"/>
    <x v="3"/>
    <s v="Invoice"/>
    <s v="100002791"/>
    <x v="326"/>
    <x v="289"/>
    <x v="22"/>
    <x v="2"/>
    <n v="2.2675000000000001"/>
  </r>
  <r>
    <s v="DPOPPELL"/>
    <s v="04"/>
    <s v="FLORIDAAG"/>
    <s v="KINGSWAY"/>
    <x v="697"/>
    <x v="8"/>
    <x v="3"/>
    <s v="Invoice"/>
    <s v="100002819"/>
    <x v="326"/>
    <x v="289"/>
    <x v="22"/>
    <x v="2"/>
    <n v="2.25"/>
  </r>
  <r>
    <s v="DPOPPELL"/>
    <s v="04"/>
    <s v="FLORIDAAG"/>
    <s v="KINGSWAY"/>
    <x v="703"/>
    <x v="8"/>
    <x v="3"/>
    <s v="Invoice"/>
    <s v="100002851"/>
    <x v="326"/>
    <x v="289"/>
    <x v="22"/>
    <x v="2"/>
    <n v="2.2549999999999999"/>
  </r>
  <r>
    <s v="DPOPPELL"/>
    <s v="04"/>
    <s v="IFASGULF"/>
    <s v="BALM-STRAWBERRY"/>
    <x v="704"/>
    <x v="8"/>
    <x v="3"/>
    <s v="Invoice"/>
    <s v="100002811"/>
    <x v="28"/>
    <x v="23"/>
    <x v="22"/>
    <x v="2"/>
    <n v="7.49"/>
  </r>
  <r>
    <s v="DPOPPELL"/>
    <s v="04"/>
    <s v="GWFARMS"/>
    <s v="SYDNEY"/>
    <x v="706"/>
    <x v="8"/>
    <x v="3"/>
    <s v="Invoice"/>
    <s v="100002803"/>
    <x v="567"/>
    <x v="500"/>
    <x v="22"/>
    <x v="2"/>
    <n v="1.2524999999999999"/>
  </r>
  <r>
    <s v="DPOPPELL"/>
    <s v="04"/>
    <s v="FERRISFA"/>
    <s v="BLUEBERRY-NEW"/>
    <x v="694"/>
    <x v="8"/>
    <x v="3"/>
    <s v="Invoice"/>
    <s v="100002861"/>
    <x v="62"/>
    <x v="55"/>
    <x v="22"/>
    <x v="2"/>
    <n v="10.0025"/>
  </r>
  <r>
    <s v="DPOPPELL"/>
    <s v="04"/>
    <s v="CHANFARM"/>
    <s v="HIGHWAY 39 N"/>
    <x v="690"/>
    <x v="8"/>
    <x v="3"/>
    <s v="Invoice"/>
    <s v="100002833"/>
    <x v="51"/>
    <x v="44"/>
    <x v="22"/>
    <x v="2"/>
    <n v="2.5"/>
  </r>
  <r>
    <s v="DPOPPELL"/>
    <s v="04"/>
    <s v="GUILLERMOV"/>
    <s v="MAIN"/>
    <x v="693"/>
    <x v="8"/>
    <x v="3"/>
    <s v="Invoice"/>
    <s v="100002900"/>
    <x v="53"/>
    <x v="46"/>
    <x v="22"/>
    <x v="2"/>
    <n v="0.15"/>
  </r>
  <r>
    <s v="DPOPPELL"/>
    <s v="04"/>
    <s v="SOTERO"/>
    <s v="SOTERO"/>
    <x v="692"/>
    <x v="8"/>
    <x v="3"/>
    <s v="Invoice"/>
    <s v="100002893"/>
    <x v="53"/>
    <x v="46"/>
    <x v="22"/>
    <x v="2"/>
    <n v="0.3"/>
  </r>
  <r>
    <s v="DPOPPELL"/>
    <s v="04"/>
    <s v="SOUTHERNHILL"/>
    <s v="SCHOFIELD"/>
    <x v="701"/>
    <x v="8"/>
    <x v="3"/>
    <s v="Invoice"/>
    <s v="100002807"/>
    <x v="43"/>
    <x v="38"/>
    <x v="22"/>
    <x v="2"/>
    <n v="3.7524999999999999"/>
  </r>
  <r>
    <s v="DPOPPELL"/>
    <s v="04"/>
    <s v="PALMAJOSE"/>
    <s v="GAVIN"/>
    <x v="691"/>
    <x v="8"/>
    <x v="3"/>
    <s v="Invoice"/>
    <s v="100002799"/>
    <x v="63"/>
    <x v="56"/>
    <x v="22"/>
    <x v="2"/>
    <n v="1"/>
  </r>
  <r>
    <s v="DPOPPELL"/>
    <s v="04"/>
    <s v="PALMAJOSE"/>
    <s v="WALDENSHEFFIELD"/>
    <x v="688"/>
    <x v="8"/>
    <x v="3"/>
    <s v="Invoice"/>
    <s v="100002869"/>
    <x v="63"/>
    <x v="56"/>
    <x v="22"/>
    <x v="2"/>
    <n v="1.5"/>
  </r>
  <r>
    <s v="DPOPPELL"/>
    <s v="04"/>
    <s v="PALMAJOSE"/>
    <s v="WALDENSHEFFIELD"/>
    <x v="688"/>
    <x v="8"/>
    <x v="3"/>
    <s v="Invoice"/>
    <s v="100002868"/>
    <x v="432"/>
    <x v="71"/>
    <x v="100"/>
    <x v="0"/>
    <n v="30"/>
  </r>
  <r>
    <s v="HOUSE"/>
    <s v="05"/>
    <s v="SOUTHEASTTURF"/>
    <s v="TARA GOLD &amp; CC"/>
    <x v="694"/>
    <x v="8"/>
    <x v="3"/>
    <s v="Invoice"/>
    <s v="100002860"/>
    <x v="387"/>
    <x v="340"/>
    <x v="72"/>
    <x v="0"/>
    <n v="250"/>
  </r>
  <r>
    <s v="HOUSE"/>
    <s v="05"/>
    <s v="CPSHOMES"/>
    <s v="HOMESTEAD"/>
    <x v="703"/>
    <x v="8"/>
    <x v="3"/>
    <s v="Invoice"/>
    <s v="100002852"/>
    <x v="156"/>
    <x v="138"/>
    <x v="53"/>
    <x v="0"/>
    <n v="360"/>
  </r>
  <r>
    <s v="HOUSE"/>
    <s v="05"/>
    <s v="CPSHOMES"/>
    <s v="HOMESTEAD"/>
    <x v="703"/>
    <x v="8"/>
    <x v="3"/>
    <s v="Invoice"/>
    <s v="100002852"/>
    <x v="427"/>
    <x v="128"/>
    <x v="29"/>
    <x v="0"/>
    <n v="120"/>
  </r>
  <r>
    <s v="HOUSE"/>
    <s v="05"/>
    <s v="SOUTHERN"/>
    <s v="SOUTHERN AG"/>
    <x v="687"/>
    <x v="8"/>
    <x v="3"/>
    <s v="Invoice"/>
    <s v="100002885"/>
    <x v="101"/>
    <x v="21"/>
    <x v="21"/>
    <x v="0"/>
    <n v="180"/>
  </r>
  <r>
    <s v="HOUSE"/>
    <s v="05"/>
    <s v="SOUTHERN"/>
    <s v="SOUTHERN AG"/>
    <x v="706"/>
    <x v="8"/>
    <x v="3"/>
    <s v="Invoice"/>
    <s v="100002802"/>
    <x v="122"/>
    <x v="63"/>
    <x v="33"/>
    <x v="0"/>
    <n v="180"/>
  </r>
  <r>
    <s v="HOUSE"/>
    <s v="05"/>
    <s v="UNIVAR"/>
    <s v="STOCKTON"/>
    <x v="705"/>
    <x v="8"/>
    <x v="3"/>
    <s v="Invoice"/>
    <s v="100002870"/>
    <x v="96"/>
    <x v="90"/>
    <x v="39"/>
    <x v="0"/>
    <n v="5"/>
  </r>
  <r>
    <s v="BRIDGE"/>
    <s v="06"/>
    <s v="DELSTAR"/>
    <s v="SHARPE"/>
    <x v="689"/>
    <x v="8"/>
    <x v="3"/>
    <s v="Invoice"/>
    <s v="100002816"/>
    <x v="87"/>
    <x v="88"/>
    <x v="8"/>
    <x v="0"/>
    <n v="250"/>
  </r>
  <r>
    <s v="BRIDGE"/>
    <s v="06"/>
    <s v="SIMPLOT"/>
    <s v="CLARKESDALE"/>
    <x v="702"/>
    <x v="8"/>
    <x v="3"/>
    <s v="Invoice"/>
    <s v="100002827"/>
    <x v="36"/>
    <x v="501"/>
    <x v="4"/>
    <x v="0"/>
    <n v="180"/>
  </r>
  <r>
    <s v="TYLERPIKE"/>
    <s v="07"/>
    <s v="TRIANGLE"/>
    <s v="83FARMS"/>
    <x v="690"/>
    <x v="8"/>
    <x v="3"/>
    <s v="Invoice"/>
    <s v="100002832"/>
    <x v="561"/>
    <x v="494"/>
    <x v="67"/>
    <x v="0"/>
    <n v="540"/>
  </r>
  <r>
    <s v="TYLERPIKE"/>
    <s v="07"/>
    <s v="TRIANGLE"/>
    <s v="83FARMS"/>
    <x v="698"/>
    <x v="8"/>
    <x v="3"/>
    <s v="Invoice"/>
    <s v="100002874"/>
    <x v="561"/>
    <x v="494"/>
    <x v="67"/>
    <x v="0"/>
    <n v="360"/>
  </r>
  <r>
    <s v=""/>
    <s v="07"/>
    <s v="MILLERBL"/>
    <s v="PALATKA"/>
    <x v="700"/>
    <x v="8"/>
    <x v="3"/>
    <s v="Invoice"/>
    <s v="100002849"/>
    <x v="208"/>
    <x v="184"/>
    <x v="22"/>
    <x v="2"/>
    <n v="15.065"/>
  </r>
  <r>
    <s v=""/>
    <s v="07"/>
    <s v="UFPSUNIT"/>
    <s v="CITRA FARM"/>
    <x v="703"/>
    <x v="8"/>
    <x v="3"/>
    <s v="Invoice"/>
    <s v="100002850"/>
    <x v="73"/>
    <x v="66"/>
    <x v="22"/>
    <x v="2"/>
    <n v="2.5"/>
  </r>
  <r>
    <s v=""/>
    <s v="07"/>
    <s v="BARNESFE"/>
    <s v="HASTINGS"/>
    <x v="696"/>
    <x v="8"/>
    <x v="3"/>
    <s v="Invoice"/>
    <s v="100002888"/>
    <x v="207"/>
    <x v="183"/>
    <x v="22"/>
    <x v="2"/>
    <n v="1.2649999999999999"/>
  </r>
  <r>
    <s v="DPOPPELL1"/>
    <s v="08"/>
    <s v="TRIANGLE"/>
    <s v="TRIANGLE/PC"/>
    <x v="688"/>
    <x v="8"/>
    <x v="3"/>
    <s v="Invoice"/>
    <s v="100002866"/>
    <x v="35"/>
    <x v="30"/>
    <x v="27"/>
    <x v="0"/>
    <n v="60"/>
  </r>
  <r>
    <s v="DPOPPELL1"/>
    <s v="08"/>
    <s v="PURLEYNK"/>
    <s v="MAIN"/>
    <x v="701"/>
    <x v="8"/>
    <x v="3"/>
    <s v="Invoice"/>
    <s v="100002809"/>
    <x v="53"/>
    <x v="46"/>
    <x v="22"/>
    <x v="2"/>
    <n v="0.15"/>
  </r>
  <r>
    <s v=""/>
    <s v="09"/>
    <s v="AGRIBUSI"/>
    <s v="CPS-DOERUN,GA"/>
    <x v="691"/>
    <x v="8"/>
    <x v="3"/>
    <s v="Invoice"/>
    <s v="100002790"/>
    <x v="250"/>
    <x v="223"/>
    <x v="23"/>
    <x v="0"/>
    <n v="2340"/>
  </r>
  <r>
    <s v="GEORGIA"/>
    <s v="09"/>
    <s v="AGRIBUSI"/>
    <s v="UAP/GA AG CHEM"/>
    <x v="703"/>
    <x v="8"/>
    <x v="3"/>
    <s v="Invoice"/>
    <s v="100002855"/>
    <x v="250"/>
    <x v="223"/>
    <x v="23"/>
    <x v="0"/>
    <n v="540"/>
  </r>
  <r>
    <s v="GEORGIA"/>
    <s v="09"/>
    <s v="CAROLINATU"/>
    <s v="VILLAGEOFSUGAR"/>
    <x v="693"/>
    <x v="8"/>
    <x v="3"/>
    <s v="Invoice"/>
    <s v="100002904"/>
    <x v="259"/>
    <x v="226"/>
    <x v="106"/>
    <x v="0"/>
    <n v="5"/>
  </r>
  <r>
    <s v="GEORGIA"/>
    <s v="09"/>
    <s v="CAROLINATU"/>
    <s v="HOUNDSEAR"/>
    <x v="695"/>
    <x v="8"/>
    <x v="3"/>
    <s v="Invoice"/>
    <s v="100002830"/>
    <x v="163"/>
    <x v="227"/>
    <x v="56"/>
    <x v="0"/>
    <n v="55"/>
  </r>
  <r>
    <s v=""/>
    <s v="09"/>
    <s v="CPSCAROLINAS"/>
    <s v="UAP/HENDERSONV"/>
    <x v="694"/>
    <x v="8"/>
    <x v="3"/>
    <s v="Invoice"/>
    <s v="100002859"/>
    <x v="5"/>
    <x v="72"/>
    <x v="4"/>
    <x v="0"/>
    <n v="180"/>
  </r>
  <r>
    <s v="GEORGIA"/>
    <s v="09"/>
    <s v="CAROLINATU"/>
    <s v="VILLAGEOFSUGAR"/>
    <x v="693"/>
    <x v="8"/>
    <x v="3"/>
    <s v="Invoice"/>
    <s v="100002904"/>
    <x v="249"/>
    <x v="222"/>
    <x v="70"/>
    <x v="0"/>
    <n v="10"/>
  </r>
  <r>
    <s v="GEORGIA"/>
    <s v="09"/>
    <s v="CAROLINATU"/>
    <s v="WARRIORGOLFCLUB"/>
    <x v="693"/>
    <x v="8"/>
    <x v="3"/>
    <s v="Invoice"/>
    <s v="100002905"/>
    <x v="249"/>
    <x v="222"/>
    <x v="70"/>
    <x v="0"/>
    <n v="55"/>
  </r>
  <r>
    <s v="GEORGIA"/>
    <s v="09"/>
    <s v="TRIANGLE"/>
    <s v="DONALSONVILLE"/>
    <x v="689"/>
    <x v="8"/>
    <x v="3"/>
    <s v="Invoice"/>
    <s v="100002815"/>
    <x v="258"/>
    <x v="221"/>
    <x v="54"/>
    <x v="0"/>
    <n v="4000"/>
  </r>
  <r>
    <s v="GEORGIA"/>
    <s v="09"/>
    <s v="TRIANGLE"/>
    <s v="SYCAMORE"/>
    <x v="698"/>
    <x v="8"/>
    <x v="3"/>
    <s v="Invoice"/>
    <s v="100002876"/>
    <x v="258"/>
    <x v="221"/>
    <x v="54"/>
    <x v="0"/>
    <n v="4000"/>
  </r>
  <r>
    <s v="GEORGIA"/>
    <s v="09"/>
    <s v="SOUTHAG"/>
    <s v="HENDERSONVILLE"/>
    <x v="693"/>
    <x v="8"/>
    <x v="3"/>
    <s v="Invoice"/>
    <s v="100002902"/>
    <x v="7"/>
    <x v="243"/>
    <x v="6"/>
    <x v="0"/>
    <n v="180"/>
  </r>
  <r>
    <s v="CSWAFFORD"/>
    <s v="12"/>
    <s v="GOLFVENTURES"/>
    <s v="MAIN"/>
    <x v="691"/>
    <x v="8"/>
    <x v="3"/>
    <s v="Invoice"/>
    <s v="100002794"/>
    <x v="424"/>
    <x v="362"/>
    <x v="47"/>
    <x v="0"/>
    <n v="60"/>
  </r>
  <r>
    <s v="CSWAFFORD"/>
    <s v="12"/>
    <s v="GOLFVENTURES"/>
    <s v="MAIN"/>
    <x v="690"/>
    <x v="8"/>
    <x v="3"/>
    <s v="Invoice"/>
    <s v="100002834"/>
    <x v="499"/>
    <x v="375"/>
    <x v="82"/>
    <x v="0"/>
    <n v="60"/>
  </r>
  <r>
    <s v="CSWAFFORD"/>
    <s v="12"/>
    <s v="GOLFVENTURES"/>
    <s v="MAIN"/>
    <x v="691"/>
    <x v="8"/>
    <x v="3"/>
    <s v="Invoice"/>
    <s v="100002793"/>
    <x v="442"/>
    <x v="378"/>
    <x v="109"/>
    <x v="0"/>
    <n v="50"/>
  </r>
  <r>
    <s v="CSWAFFORD"/>
    <s v="12"/>
    <s v="GOLFVENTURES"/>
    <s v="THEYACHT&amp;CC"/>
    <x v="687"/>
    <x v="8"/>
    <x v="3"/>
    <s v="Invoice"/>
    <s v="100002880"/>
    <x v="568"/>
    <x v="502"/>
    <x v="75"/>
    <x v="0"/>
    <n v="150"/>
  </r>
  <r>
    <s v="CSWAFFORD"/>
    <s v="12"/>
    <s v="GREENRES"/>
    <s v="PIEDMONTINDUSTR"/>
    <x v="701"/>
    <x v="8"/>
    <x v="3"/>
    <s v="Invoice"/>
    <s v="100002808"/>
    <x v="109"/>
    <x v="80"/>
    <x v="2"/>
    <x v="0"/>
    <n v="275"/>
  </r>
  <r>
    <s v="CSWAFFORD"/>
    <s v="12"/>
    <s v="GOLFVENTURES"/>
    <s v="ORANGETREE"/>
    <x v="701"/>
    <x v="8"/>
    <x v="3"/>
    <s v="Invoice"/>
    <s v="100002804"/>
    <x v="16"/>
    <x v="411"/>
    <x v="2"/>
    <x v="0"/>
    <n v="60"/>
  </r>
  <r>
    <s v="CSWAFFORD"/>
    <s v="12"/>
    <s v="GOLFVENTURES"/>
    <s v="VIKINGSLLC"/>
    <x v="698"/>
    <x v="8"/>
    <x v="3"/>
    <s v="Invoice"/>
    <s v="100002873"/>
    <x v="120"/>
    <x v="299"/>
    <x v="45"/>
    <x v="0"/>
    <n v="250"/>
  </r>
  <r>
    <s v="CSWAFFORD"/>
    <s v="12"/>
    <s v="GOLFVENTURES"/>
    <s v="ATLANTICFIELDS"/>
    <x v="687"/>
    <x v="8"/>
    <x v="3"/>
    <s v="Invoice"/>
    <s v="100002883"/>
    <x v="120"/>
    <x v="299"/>
    <x v="45"/>
    <x v="0"/>
    <n v="250"/>
  </r>
  <r>
    <s v="CSWAFFORD"/>
    <s v="12"/>
    <s v="JRMINC"/>
    <s v="THEOAKSCLUB"/>
    <x v="696"/>
    <x v="8"/>
    <x v="3"/>
    <s v="Invoice"/>
    <s v="100002887"/>
    <x v="120"/>
    <x v="109"/>
    <x v="45"/>
    <x v="0"/>
    <n v="250"/>
  </r>
  <r>
    <s v="CSWAFFORD"/>
    <s v="12"/>
    <s v="JRMINC"/>
    <s v="MAILING"/>
    <x v="691"/>
    <x v="8"/>
    <x v="3"/>
    <s v="Invoice"/>
    <s v="100002792"/>
    <x v="379"/>
    <x v="109"/>
    <x v="45"/>
    <x v="0"/>
    <n v="30"/>
  </r>
  <r>
    <s v="CSWAFFORD"/>
    <s v="12"/>
    <s v="GOLFVENTURES"/>
    <s v="PROGREENLAWN"/>
    <x v="702"/>
    <x v="8"/>
    <x v="3"/>
    <s v="Invoice"/>
    <s v="100002826"/>
    <x v="459"/>
    <x v="265"/>
    <x v="79"/>
    <x v="0"/>
    <n v="50"/>
  </r>
  <r>
    <s v="CSWAFFORD"/>
    <s v="12"/>
    <s v="GOLFVENTURES"/>
    <s v="PROGREENLAWN"/>
    <x v="693"/>
    <x v="8"/>
    <x v="3"/>
    <s v="Invoice"/>
    <s v="100002898A"/>
    <x v="459"/>
    <x v="265"/>
    <x v="79"/>
    <x v="0"/>
    <n v="180"/>
  </r>
  <r>
    <s v="CSWAFFORD"/>
    <s v="12"/>
    <s v="GOLFVENTURES"/>
    <s v="CITYOFLAKEWALES"/>
    <x v="702"/>
    <x v="8"/>
    <x v="3"/>
    <s v="Invoice"/>
    <s v="100002822"/>
    <x v="331"/>
    <x v="294"/>
    <x v="70"/>
    <x v="0"/>
    <n v="250"/>
  </r>
  <r>
    <s v="CSWAFFORD"/>
    <s v="12"/>
    <s v="GOLFVENTURES"/>
    <s v="COUNTRYBOY"/>
    <x v="692"/>
    <x v="8"/>
    <x v="3"/>
    <s v="Invoice"/>
    <s v="100002896"/>
    <x v="353"/>
    <x v="313"/>
    <x v="49"/>
    <x v="0"/>
    <n v="250"/>
  </r>
  <r>
    <s v="CSWAFFORD"/>
    <s v="12"/>
    <s v="GOLFVENTURES"/>
    <s v="MAIN"/>
    <x v="698"/>
    <x v="8"/>
    <x v="3"/>
    <s v="Invoice"/>
    <s v="100002877"/>
    <x v="485"/>
    <x v="281"/>
    <x v="42"/>
    <x v="0"/>
    <n v="400"/>
  </r>
  <r>
    <s v="CSWAFFORD"/>
    <s v="12"/>
    <s v="GOLFVENTURES"/>
    <s v="CAPUTOPEST"/>
    <x v="693"/>
    <x v="8"/>
    <x v="3"/>
    <s v="Invoice"/>
    <s v="100002899"/>
    <x v="569"/>
    <x v="283"/>
    <x v="88"/>
    <x v="0"/>
    <n v="110"/>
  </r>
  <r>
    <s v="CSWAFFORD"/>
    <s v="12"/>
    <s v="GOLFVENTURES"/>
    <s v="MAIN"/>
    <x v="691"/>
    <x v="8"/>
    <x v="3"/>
    <s v="Invoice"/>
    <s v="100002794"/>
    <x v="370"/>
    <x v="320"/>
    <x v="63"/>
    <x v="0"/>
    <n v="60"/>
  </r>
  <r>
    <s v="CSWAFFORD"/>
    <s v="12"/>
    <s v="GOLFVENTURES"/>
    <s v="ORANGETREE"/>
    <x v="701"/>
    <x v="8"/>
    <x v="3"/>
    <s v="Invoice"/>
    <s v="100002804"/>
    <x v="384"/>
    <x v="320"/>
    <x v="63"/>
    <x v="0"/>
    <n v="30"/>
  </r>
  <r>
    <s v="CSWAFFORD"/>
    <s v="12"/>
    <s v="GOLFVENTURES"/>
    <s v="MAIN"/>
    <x v="690"/>
    <x v="8"/>
    <x v="3"/>
    <s v="Invoice"/>
    <s v="100002834"/>
    <x v="364"/>
    <x v="321"/>
    <x v="96"/>
    <x v="0"/>
    <n v="60"/>
  </r>
  <r>
    <s v="CSWAFFORD"/>
    <s v="12"/>
    <s v="GOLFVENTURES"/>
    <s v="CAPUTOPEST"/>
    <x v="702"/>
    <x v="8"/>
    <x v="3"/>
    <s v="Invoice"/>
    <s v="100002825"/>
    <x v="385"/>
    <x v="321"/>
    <x v="96"/>
    <x v="0"/>
    <n v="110"/>
  </r>
  <r>
    <s v="CSWAFFORD"/>
    <s v="12"/>
    <s v="GOLFVENTURES"/>
    <s v="OLDCORKSCREWGC"/>
    <x v="699"/>
    <x v="8"/>
    <x v="3"/>
    <s v="Invoice"/>
    <s v="100002839"/>
    <x v="385"/>
    <x v="321"/>
    <x v="96"/>
    <x v="0"/>
    <n v="55"/>
  </r>
  <r>
    <s v="CSWAFFORD"/>
    <s v="12"/>
    <s v="GOLFVENTURES"/>
    <s v="MAIN"/>
    <x v="691"/>
    <x v="8"/>
    <x v="3"/>
    <s v="Invoice"/>
    <s v="100002794"/>
    <x v="438"/>
    <x v="373"/>
    <x v="108"/>
    <x v="0"/>
    <n v="60"/>
  </r>
  <r>
    <s v="CSWAFFORD"/>
    <s v="12"/>
    <s v="GOLFVENTURES"/>
    <s v="PROGREENLAWN"/>
    <x v="702"/>
    <x v="8"/>
    <x v="3"/>
    <s v="Invoice"/>
    <s v="100002826"/>
    <x v="443"/>
    <x v="334"/>
    <x v="80"/>
    <x v="0"/>
    <n v="180"/>
  </r>
  <r>
    <s v="CSWAFFORD"/>
    <s v="12"/>
    <s v="GOLFVENTURES"/>
    <s v="PROGREENLAWN"/>
    <x v="693"/>
    <x v="8"/>
    <x v="3"/>
    <s v="Invoice"/>
    <s v="100002898A"/>
    <x v="443"/>
    <x v="334"/>
    <x v="80"/>
    <x v="0"/>
    <n v="720"/>
  </r>
  <r>
    <s v="CSWAFFORD"/>
    <s v="12"/>
    <s v="JRMINC"/>
    <s v="RIVERHILLS"/>
    <x v="706"/>
    <x v="8"/>
    <x v="3"/>
    <s v="Invoice"/>
    <s v="100002801"/>
    <x v="452"/>
    <x v="388"/>
    <x v="112"/>
    <x v="0"/>
    <n v="20"/>
  </r>
  <r>
    <s v="CSWAFFORD"/>
    <s v="12"/>
    <s v="JRMINC"/>
    <s v="RIVERHILLS"/>
    <x v="706"/>
    <x v="8"/>
    <x v="3"/>
    <s v="Invoice"/>
    <s v="100002801"/>
    <x v="460"/>
    <x v="402"/>
    <x v="115"/>
    <x v="0"/>
    <n v="30"/>
  </r>
  <r>
    <s v="CSWAFFORD"/>
    <s v="12"/>
    <s v="JRMINC"/>
    <s v="RIVERHILLS"/>
    <x v="706"/>
    <x v="8"/>
    <x v="3"/>
    <s v="Invoice"/>
    <s v="100002801"/>
    <x v="453"/>
    <x v="389"/>
    <x v="5"/>
    <x v="0"/>
    <n v="10"/>
  </r>
  <r>
    <s v="CSWAFFORD"/>
    <s v="12"/>
    <s v="JRMINC"/>
    <s v="RIVERHILLS"/>
    <x v="706"/>
    <x v="8"/>
    <x v="3"/>
    <s v="Invoice"/>
    <s v="100002801"/>
    <x v="454"/>
    <x v="390"/>
    <x v="113"/>
    <x v="0"/>
    <n v="10"/>
  </r>
  <r>
    <s v="CSWAFFORD"/>
    <s v="12"/>
    <s v="GOLFVENTURES"/>
    <s v="THEYACHT&amp;CC"/>
    <x v="687"/>
    <x v="8"/>
    <x v="3"/>
    <s v="Invoice"/>
    <s v="100002886"/>
    <x v="366"/>
    <x v="336"/>
    <x v="22"/>
    <x v="2"/>
    <n v="3.02"/>
  </r>
  <r>
    <s v="CSWAFFORD"/>
    <s v="12"/>
    <s v="GOLFVENTURES"/>
    <s v="MAIN"/>
    <x v="690"/>
    <x v="8"/>
    <x v="3"/>
    <s v="Invoice"/>
    <s v="100002834"/>
    <x v="169"/>
    <x v="503"/>
    <x v="0"/>
    <x v="0"/>
    <n v="60"/>
  </r>
  <r>
    <s v="CSWAFFORD"/>
    <s v="12"/>
    <s v="JRMINC"/>
    <s v="RIVERHILLS"/>
    <x v="706"/>
    <x v="8"/>
    <x v="3"/>
    <s v="Invoice"/>
    <s v="100002801"/>
    <x v="456"/>
    <x v="392"/>
    <x v="10"/>
    <x v="0"/>
    <n v="20"/>
  </r>
  <r>
    <s v="CSWAFFORD"/>
    <s v="12"/>
    <s v="JRMINC"/>
    <s v="RIVERHILLS"/>
    <x v="706"/>
    <x v="8"/>
    <x v="3"/>
    <s v="Invoice"/>
    <s v="100002801"/>
    <x v="209"/>
    <x v="400"/>
    <x v="63"/>
    <x v="0"/>
    <n v="30"/>
  </r>
  <r>
    <s v="CSWAFFORD"/>
    <s v="12"/>
    <s v="GOLFVENTURES"/>
    <s v="COUNTRYBOY"/>
    <x v="702"/>
    <x v="8"/>
    <x v="3"/>
    <s v="Invoice"/>
    <s v="100002821"/>
    <x v="315"/>
    <x v="279"/>
    <x v="86"/>
    <x v="0"/>
    <n v="250"/>
  </r>
  <r>
    <s v="HAP"/>
    <s v="01"/>
    <s v="GREENWAY"/>
    <s v="BANYAN CREEK"/>
    <x v="707"/>
    <x v="9"/>
    <x v="3"/>
    <s v="Invoice"/>
    <s v="100002927"/>
    <x v="1"/>
    <x v="1"/>
    <x v="1"/>
    <x v="0"/>
    <n v="220"/>
  </r>
  <r>
    <s v="HAP"/>
    <s v="01"/>
    <s v="GREENWAY"/>
    <s v="AVILAGOLFCLUB"/>
    <x v="707"/>
    <x v="9"/>
    <x v="3"/>
    <s v="Invoice"/>
    <s v="100002928"/>
    <x v="21"/>
    <x v="16"/>
    <x v="16"/>
    <x v="0"/>
    <n v="10"/>
  </r>
  <r>
    <s v="HAP"/>
    <s v="01"/>
    <s v="GREENWAY"/>
    <s v="AVILAGOLFCLUB"/>
    <x v="707"/>
    <x v="9"/>
    <x v="3"/>
    <s v="Invoice"/>
    <s v="100002928"/>
    <x v="222"/>
    <x v="196"/>
    <x v="65"/>
    <x v="0"/>
    <n v="10"/>
  </r>
  <r>
    <s v="HAP"/>
    <s v="01"/>
    <s v="GREENWAY"/>
    <s v="JACARANDA G C"/>
    <x v="708"/>
    <x v="9"/>
    <x v="3"/>
    <s v="Invoice"/>
    <s v="100002959"/>
    <x v="6"/>
    <x v="5"/>
    <x v="5"/>
    <x v="0"/>
    <n v="30"/>
  </r>
  <r>
    <s v="HAP"/>
    <s v="01"/>
    <s v="GREENWAY"/>
    <s v="JACARANDA G C"/>
    <x v="708"/>
    <x v="9"/>
    <x v="3"/>
    <s v="Invoice"/>
    <s v="100002959"/>
    <x v="188"/>
    <x v="17"/>
    <x v="17"/>
    <x v="0"/>
    <n v="55"/>
  </r>
  <r>
    <s v="HAP"/>
    <s v="01"/>
    <s v="GREENWAY"/>
    <s v="JACARANDA G C"/>
    <x v="708"/>
    <x v="9"/>
    <x v="3"/>
    <s v="Invoice"/>
    <s v="100002959"/>
    <x v="0"/>
    <x v="0"/>
    <x v="0"/>
    <x v="0"/>
    <n v="55"/>
  </r>
  <r>
    <s v="HAP"/>
    <s v="01"/>
    <s v="GREENWAY"/>
    <s v="HAWKS NEST"/>
    <x v="709"/>
    <x v="9"/>
    <x v="3"/>
    <s v="Invoice"/>
    <s v="100002965"/>
    <x v="6"/>
    <x v="5"/>
    <x v="5"/>
    <x v="0"/>
    <n v="20"/>
  </r>
  <r>
    <s v="HAP"/>
    <s v="01"/>
    <s v="GREENWAY"/>
    <s v="HAWKS NEST"/>
    <x v="709"/>
    <x v="9"/>
    <x v="3"/>
    <s v="Invoice"/>
    <s v="100002965"/>
    <x v="22"/>
    <x v="17"/>
    <x v="17"/>
    <x v="0"/>
    <n v="20"/>
  </r>
  <r>
    <s v="HAP"/>
    <s v="01"/>
    <s v="GREENWAY"/>
    <s v="HAWKS NEST"/>
    <x v="709"/>
    <x v="9"/>
    <x v="3"/>
    <s v="Invoice"/>
    <s v="100002965"/>
    <x v="90"/>
    <x v="13"/>
    <x v="13"/>
    <x v="0"/>
    <n v="5"/>
  </r>
  <r>
    <s v="HAP"/>
    <s v="01"/>
    <s v="GREENWAY"/>
    <s v="HAWKS NEST"/>
    <x v="709"/>
    <x v="9"/>
    <x v="3"/>
    <s v="Invoice"/>
    <s v="100002965"/>
    <x v="5"/>
    <x v="4"/>
    <x v="4"/>
    <x v="0"/>
    <n v="15"/>
  </r>
  <r>
    <s v="HAP"/>
    <s v="01"/>
    <s v="GREENWAY"/>
    <s v="HAWKS NEST"/>
    <x v="709"/>
    <x v="9"/>
    <x v="3"/>
    <s v="Invoice"/>
    <s v="100002965"/>
    <x v="8"/>
    <x v="7"/>
    <x v="7"/>
    <x v="0"/>
    <n v="5"/>
  </r>
  <r>
    <s v="HAP"/>
    <s v="01"/>
    <s v="GREENWAY"/>
    <s v="HAWKS NEST"/>
    <x v="709"/>
    <x v="9"/>
    <x v="3"/>
    <s v="Invoice"/>
    <s v="100002965"/>
    <x v="2"/>
    <x v="0"/>
    <x v="0"/>
    <x v="0"/>
    <n v="20"/>
  </r>
  <r>
    <s v="HAP"/>
    <s v="01"/>
    <s v="GREENWAY"/>
    <s v="HAWKS NEST"/>
    <x v="709"/>
    <x v="9"/>
    <x v="3"/>
    <s v="Invoice"/>
    <s v="100002965"/>
    <x v="3"/>
    <x v="379"/>
    <x v="2"/>
    <x v="0"/>
    <n v="20"/>
  </r>
  <r>
    <s v="HAP"/>
    <s v="01"/>
    <s v="GREENWAY"/>
    <s v="MIZNER C. CLUB"/>
    <x v="709"/>
    <x v="9"/>
    <x v="3"/>
    <s v="Invoice"/>
    <s v="100002966"/>
    <x v="6"/>
    <x v="5"/>
    <x v="5"/>
    <x v="0"/>
    <n v="50"/>
  </r>
  <r>
    <s v="HAP"/>
    <s v="01"/>
    <s v="GREENWAY"/>
    <s v="MIZNER C. CLUB"/>
    <x v="709"/>
    <x v="9"/>
    <x v="3"/>
    <s v="Invoice"/>
    <s v="100002966"/>
    <x v="5"/>
    <x v="4"/>
    <x v="4"/>
    <x v="0"/>
    <n v="100"/>
  </r>
  <r>
    <s v="HAP"/>
    <s v="01"/>
    <s v="GREENWAY"/>
    <s v="MIZNER C. CLUB"/>
    <x v="709"/>
    <x v="9"/>
    <x v="3"/>
    <s v="Invoice"/>
    <s v="100002966"/>
    <x v="2"/>
    <x v="0"/>
    <x v="0"/>
    <x v="0"/>
    <n v="100"/>
  </r>
  <r>
    <s v="HAP"/>
    <s v="01"/>
    <s v="GREENWAY"/>
    <s v="MIZNER C. CLUB"/>
    <x v="709"/>
    <x v="9"/>
    <x v="3"/>
    <s v="Invoice"/>
    <s v="100002966"/>
    <x v="3"/>
    <x v="379"/>
    <x v="2"/>
    <x v="0"/>
    <n v="50"/>
  </r>
  <r>
    <s v="HAP"/>
    <s v="01"/>
    <s v="GREENWAY"/>
    <s v="HOUSTONOAKS"/>
    <x v="710"/>
    <x v="9"/>
    <x v="3"/>
    <s v="Invoice"/>
    <s v="100003010"/>
    <x v="4"/>
    <x v="3"/>
    <x v="3"/>
    <x v="0"/>
    <n v="40"/>
  </r>
  <r>
    <s v="HAP"/>
    <s v="01"/>
    <s v="GREENWAY"/>
    <s v="HOUSTONOAKS"/>
    <x v="710"/>
    <x v="9"/>
    <x v="3"/>
    <s v="Invoice"/>
    <s v="100003010"/>
    <x v="6"/>
    <x v="5"/>
    <x v="5"/>
    <x v="0"/>
    <n v="40"/>
  </r>
  <r>
    <s v="HAP"/>
    <s v="01"/>
    <s v="GREENWAY"/>
    <s v="HOUSTONOAKS"/>
    <x v="710"/>
    <x v="9"/>
    <x v="3"/>
    <s v="Invoice"/>
    <s v="100003010"/>
    <x v="5"/>
    <x v="4"/>
    <x v="4"/>
    <x v="0"/>
    <n v="40"/>
  </r>
  <r>
    <s v="HAP"/>
    <s v="01"/>
    <s v="GREENWAY"/>
    <s v="HOUSTONOAKS"/>
    <x v="710"/>
    <x v="9"/>
    <x v="3"/>
    <s v="Invoice"/>
    <s v="100003010"/>
    <x v="2"/>
    <x v="0"/>
    <x v="0"/>
    <x v="0"/>
    <n v="40"/>
  </r>
  <r>
    <s v="HAP"/>
    <s v="01"/>
    <s v="GREENWAY"/>
    <s v="HOUSTONOAKS"/>
    <x v="710"/>
    <x v="9"/>
    <x v="3"/>
    <s v="Invoice"/>
    <s v="100003010"/>
    <x v="3"/>
    <x v="379"/>
    <x v="2"/>
    <x v="0"/>
    <n v="40"/>
  </r>
  <r>
    <s v="HAP"/>
    <s v="01"/>
    <s v="GREENWAY"/>
    <s v="WAREHOUSE"/>
    <x v="710"/>
    <x v="9"/>
    <x v="3"/>
    <s v="Invoice"/>
    <s v="100003011"/>
    <x v="6"/>
    <x v="5"/>
    <x v="5"/>
    <x v="0"/>
    <n v="120"/>
  </r>
  <r>
    <s v="HAP"/>
    <s v="01"/>
    <s v="GREENWAY"/>
    <s v="WAREHOUSE"/>
    <x v="710"/>
    <x v="9"/>
    <x v="3"/>
    <s v="Invoice"/>
    <s v="100003011"/>
    <x v="12"/>
    <x v="11"/>
    <x v="11"/>
    <x v="0"/>
    <n v="120"/>
  </r>
  <r>
    <s v="HAP"/>
    <s v="01"/>
    <s v="GREENWAY"/>
    <s v="WAREHOUSE"/>
    <x v="710"/>
    <x v="9"/>
    <x v="3"/>
    <s v="Invoice"/>
    <s v="100003011"/>
    <x v="5"/>
    <x v="4"/>
    <x v="4"/>
    <x v="0"/>
    <n v="120"/>
  </r>
  <r>
    <s v="DAVID"/>
    <s v="02"/>
    <s v="EVOQUAWATER"/>
    <s v="MAIN"/>
    <x v="711"/>
    <x v="9"/>
    <x v="3"/>
    <s v="Invoice"/>
    <s v="100002911"/>
    <x v="160"/>
    <x v="231"/>
    <x v="54"/>
    <x v="0"/>
    <n v="360"/>
  </r>
  <r>
    <s v="DAVID"/>
    <s v="02"/>
    <s v="RUSSTECH"/>
    <s v="UAS"/>
    <x v="712"/>
    <x v="9"/>
    <x v="3"/>
    <s v="Invoice"/>
    <s v="100002914"/>
    <x v="507"/>
    <x v="504"/>
    <x v="20"/>
    <x v="1"/>
    <n v="49080"/>
  </r>
  <r>
    <s v="DAVID"/>
    <s v="02"/>
    <s v="THEANDERSON"/>
    <s v="LK PLACID"/>
    <x v="707"/>
    <x v="9"/>
    <x v="3"/>
    <s v="Invoice"/>
    <s v="100002923"/>
    <x v="124"/>
    <x v="112"/>
    <x v="20"/>
    <x v="1"/>
    <n v="46780"/>
  </r>
  <r>
    <s v="DAVID"/>
    <s v="02"/>
    <s v="PETROCAN"/>
    <s v="TROPICOIL"/>
    <x v="713"/>
    <x v="9"/>
    <x v="3"/>
    <s v="Invoice"/>
    <s v="100002931"/>
    <x v="526"/>
    <x v="462"/>
    <x v="99"/>
    <x v="0"/>
    <n v="6969"/>
  </r>
  <r>
    <s v="DAVID"/>
    <s v="02"/>
    <s v="EVOQUAWATER"/>
    <s v="STOR-N-MORE"/>
    <x v="714"/>
    <x v="9"/>
    <x v="3"/>
    <s v="Invoice"/>
    <s v="100002938"/>
    <x v="160"/>
    <x v="231"/>
    <x v="54"/>
    <x v="0"/>
    <n v="360"/>
  </r>
  <r>
    <s v="DAVID"/>
    <s v="02"/>
    <s v="PETROCAN"/>
    <s v="TROPICOIL"/>
    <x v="714"/>
    <x v="9"/>
    <x v="3"/>
    <s v="Invoice"/>
    <s v="100002939"/>
    <x v="526"/>
    <x v="462"/>
    <x v="99"/>
    <x v="0"/>
    <n v="7014"/>
  </r>
  <r>
    <s v="DAVID"/>
    <s v="02"/>
    <s v="EVOQUAWATER"/>
    <s v="MAIN"/>
    <x v="715"/>
    <x v="9"/>
    <x v="3"/>
    <s v="Invoice"/>
    <s v="100002942"/>
    <x v="160"/>
    <x v="231"/>
    <x v="54"/>
    <x v="0"/>
    <n v="360"/>
  </r>
  <r>
    <s v="DAVID"/>
    <s v="02"/>
    <s v="PETROCAN"/>
    <s v="UAP-WAUCHULA"/>
    <x v="715"/>
    <x v="9"/>
    <x v="3"/>
    <s v="Invoice"/>
    <s v="100002947"/>
    <x v="526"/>
    <x v="462"/>
    <x v="99"/>
    <x v="0"/>
    <n v="7011"/>
  </r>
  <r>
    <s v="DAVID"/>
    <s v="02"/>
    <s v="CPSWACHU"/>
    <s v="WAUCHULA"/>
    <x v="715"/>
    <x v="9"/>
    <x v="3"/>
    <s v="Invoice"/>
    <s v="100002948A"/>
    <x v="267"/>
    <x v="235"/>
    <x v="75"/>
    <x v="0"/>
    <n v="70"/>
  </r>
  <r>
    <s v="DAVID"/>
    <s v="02"/>
    <s v="GEOPONICSCORP"/>
    <s v="NAPLES UNIT-105"/>
    <x v="708"/>
    <x v="9"/>
    <x v="3"/>
    <s v="Invoice"/>
    <s v="100002958"/>
    <x v="141"/>
    <x v="26"/>
    <x v="24"/>
    <x v="0"/>
    <n v="270"/>
  </r>
  <r>
    <s v="DAVID"/>
    <s v="02"/>
    <s v="BIOGENECO"/>
    <s v="MAIN"/>
    <x v="716"/>
    <x v="9"/>
    <x v="3"/>
    <s v="Invoice"/>
    <s v="100002972"/>
    <x v="168"/>
    <x v="88"/>
    <x v="8"/>
    <x v="0"/>
    <n v="60"/>
  </r>
  <r>
    <s v="DAVID"/>
    <s v="02"/>
    <s v="BIOGENECO"/>
    <s v="MAIN"/>
    <x v="717"/>
    <x v="9"/>
    <x v="3"/>
    <s v="Invoice"/>
    <s v="100002985"/>
    <x v="528"/>
    <x v="464"/>
    <x v="94"/>
    <x v="0"/>
    <n v="550"/>
  </r>
  <r>
    <s v="DAVID"/>
    <s v="02"/>
    <s v="PATHWAY"/>
    <s v="TEVER"/>
    <x v="718"/>
    <x v="9"/>
    <x v="3"/>
    <s v="Invoice"/>
    <s v="100003025"/>
    <x v="48"/>
    <x v="33"/>
    <x v="28"/>
    <x v="0"/>
    <n v="25"/>
  </r>
  <r>
    <s v="JUSTIN"/>
    <s v="03"/>
    <s v="CPSWACHU"/>
    <s v="WAUCHULA"/>
    <x v="711"/>
    <x v="9"/>
    <x v="3"/>
    <s v="Invoice"/>
    <s v="100002909"/>
    <x v="179"/>
    <x v="162"/>
    <x v="60"/>
    <x v="0"/>
    <n v="180"/>
  </r>
  <r>
    <s v="JUSTIN"/>
    <s v="03"/>
    <s v="TRIANGLE"/>
    <s v="TRIANGLE/LAKEPL"/>
    <x v="712"/>
    <x v="9"/>
    <x v="3"/>
    <s v="Invoice"/>
    <s v="100002913"/>
    <x v="324"/>
    <x v="286"/>
    <x v="13"/>
    <x v="0"/>
    <n v="750"/>
  </r>
  <r>
    <s v="JUSTIN"/>
    <s v="03"/>
    <s v="CPSWAVER"/>
    <s v="WAVERLY"/>
    <x v="712"/>
    <x v="9"/>
    <x v="3"/>
    <s v="Invoice"/>
    <s v="100002916"/>
    <x v="410"/>
    <x v="35"/>
    <x v="29"/>
    <x v="0"/>
    <n v="250"/>
  </r>
  <r>
    <s v="JUSTIN"/>
    <s v="03"/>
    <s v="CPSWACHU"/>
    <s v="WAUCHULA"/>
    <x v="707"/>
    <x v="9"/>
    <x v="3"/>
    <s v="Invoice"/>
    <s v="100002917"/>
    <x v="36"/>
    <x v="31"/>
    <x v="4"/>
    <x v="0"/>
    <n v="180"/>
  </r>
  <r>
    <s v="JUSTIN"/>
    <s v="03"/>
    <s v="CPSOKEE"/>
    <s v="OKEE-LIQ PLANT"/>
    <x v="713"/>
    <x v="9"/>
    <x v="3"/>
    <s v="Invoice"/>
    <s v="100002932"/>
    <x v="134"/>
    <x v="94"/>
    <x v="41"/>
    <x v="0"/>
    <n v="2031"/>
  </r>
  <r>
    <s v="JUSTIN"/>
    <s v="03"/>
    <s v="COASTALAGSUPPLY"/>
    <s v="MULBERRY"/>
    <x v="714"/>
    <x v="9"/>
    <x v="3"/>
    <s v="Invoice"/>
    <s v="100002937"/>
    <x v="378"/>
    <x v="332"/>
    <x v="3"/>
    <x v="0"/>
    <n v="180"/>
  </r>
  <r>
    <s v="JUSTIN"/>
    <s v="03"/>
    <s v="COASTALAGSUPPLY"/>
    <s v="MULBERRY"/>
    <x v="714"/>
    <x v="9"/>
    <x v="3"/>
    <s v="Invoice"/>
    <s v="100002937"/>
    <x v="35"/>
    <x v="30"/>
    <x v="27"/>
    <x v="0"/>
    <n v="180"/>
  </r>
  <r>
    <s v="JUSTIN"/>
    <s v="03"/>
    <s v="TRIANGLE"/>
    <s v="TRIANGLE/LAKEPL"/>
    <x v="715"/>
    <x v="9"/>
    <x v="3"/>
    <s v="Invoice"/>
    <s v="100002944"/>
    <x v="550"/>
    <x v="172"/>
    <x v="61"/>
    <x v="0"/>
    <n v="250"/>
  </r>
  <r>
    <s v="JUSTIN"/>
    <s v="03"/>
    <s v="TRIANGLE"/>
    <s v="TRIANGLE/LAKEPL"/>
    <x v="715"/>
    <x v="9"/>
    <x v="3"/>
    <s v="Invoice"/>
    <s v="100002944"/>
    <x v="196"/>
    <x v="172"/>
    <x v="61"/>
    <x v="0"/>
    <n v="120"/>
  </r>
  <r>
    <s v="JUSTIN"/>
    <s v="03"/>
    <s v="CPSWAVER"/>
    <s v="WAVERLY"/>
    <x v="715"/>
    <x v="9"/>
    <x v="3"/>
    <s v="Invoice"/>
    <s v="100002945"/>
    <x v="35"/>
    <x v="30"/>
    <x v="27"/>
    <x v="0"/>
    <n v="180"/>
  </r>
  <r>
    <s v="JUSTIN"/>
    <s v="03"/>
    <s v="CPSWAVER"/>
    <s v="WAVERLY"/>
    <x v="708"/>
    <x v="9"/>
    <x v="3"/>
    <s v="Invoice"/>
    <s v="100002961"/>
    <x v="36"/>
    <x v="31"/>
    <x v="4"/>
    <x v="0"/>
    <n v="180"/>
  </r>
  <r>
    <s v="JUSTIN"/>
    <s v="03"/>
    <s v="CPSPARRI"/>
    <s v="PARRISH"/>
    <x v="709"/>
    <x v="9"/>
    <x v="3"/>
    <s v="Invoice"/>
    <s v="100002964"/>
    <x v="96"/>
    <x v="90"/>
    <x v="39"/>
    <x v="0"/>
    <n v="120"/>
  </r>
  <r>
    <s v="JUSTIN"/>
    <s v="03"/>
    <s v="CPSPARRI"/>
    <s v="PARRISH"/>
    <x v="709"/>
    <x v="9"/>
    <x v="3"/>
    <s v="Invoice"/>
    <s v="100002964"/>
    <x v="35"/>
    <x v="30"/>
    <x v="27"/>
    <x v="0"/>
    <n v="100"/>
  </r>
  <r>
    <s v="JUSTIN"/>
    <s v="03"/>
    <s v="CPSFTPIE"/>
    <s v="FT. PIERCE"/>
    <x v="716"/>
    <x v="9"/>
    <x v="3"/>
    <s v="Invoice"/>
    <s v="100002971"/>
    <x v="197"/>
    <x v="31"/>
    <x v="4"/>
    <x v="0"/>
    <n v="500"/>
  </r>
  <r>
    <s v="JUSTIN"/>
    <s v="03"/>
    <s v="TRIANGLE"/>
    <s v="TRIANGLE/LAKEPL"/>
    <x v="719"/>
    <x v="9"/>
    <x v="3"/>
    <s v="Invoice"/>
    <s v="100002986"/>
    <x v="100"/>
    <x v="94"/>
    <x v="41"/>
    <x v="0"/>
    <n v="500"/>
  </r>
  <r>
    <s v="JUSTIN"/>
    <s v="03"/>
    <s v="CPSWAVER"/>
    <s v="WAVERLY"/>
    <x v="720"/>
    <x v="9"/>
    <x v="3"/>
    <s v="Invoice"/>
    <s v="100002993"/>
    <x v="197"/>
    <x v="31"/>
    <x v="4"/>
    <x v="0"/>
    <n v="500"/>
  </r>
  <r>
    <s v="JUSTIN"/>
    <s v="03"/>
    <s v="COASTALAGSUPPLY"/>
    <s v="MULBERRY"/>
    <x v="721"/>
    <x v="9"/>
    <x v="3"/>
    <s v="Invoice"/>
    <s v="100003003"/>
    <x v="35"/>
    <x v="30"/>
    <x v="27"/>
    <x v="0"/>
    <n v="360"/>
  </r>
  <r>
    <s v="JUSTIN"/>
    <s v="03"/>
    <s v="CPSWAVER"/>
    <s v="WAVERLY"/>
    <x v="721"/>
    <x v="9"/>
    <x v="3"/>
    <s v="Invoice"/>
    <s v="100003004"/>
    <x v="36"/>
    <x v="31"/>
    <x v="4"/>
    <x v="0"/>
    <n v="360"/>
  </r>
  <r>
    <s v="JUSTIN"/>
    <s v="03"/>
    <s v="CPSWAVER"/>
    <s v="WAVERLY"/>
    <x v="721"/>
    <x v="9"/>
    <x v="3"/>
    <s v="Invoice"/>
    <s v="100003005"/>
    <x v="179"/>
    <x v="162"/>
    <x v="60"/>
    <x v="0"/>
    <n v="180"/>
  </r>
  <r>
    <s v="JUSTIN"/>
    <s v="03"/>
    <s v="SOILCEA"/>
    <s v="KINGSWAYRD"/>
    <x v="722"/>
    <x v="9"/>
    <x v="3"/>
    <s v="Invoice"/>
    <s v="100003021"/>
    <x v="244"/>
    <x v="218"/>
    <x v="22"/>
    <x v="2"/>
    <n v="1.27"/>
  </r>
  <r>
    <s v="DPOPPELL"/>
    <s v="04"/>
    <s v="FLORIDAAG"/>
    <s v="KINGSWAY"/>
    <x v="716"/>
    <x v="9"/>
    <x v="3"/>
    <s v="Invoice"/>
    <s v="100002974"/>
    <x v="326"/>
    <x v="289"/>
    <x v="22"/>
    <x v="2"/>
    <n v="2.2625000000000002"/>
  </r>
  <r>
    <s v="DPOPPELL"/>
    <s v="04"/>
    <s v="BUTTSKARL"/>
    <s v="MAIN"/>
    <x v="717"/>
    <x v="9"/>
    <x v="3"/>
    <s v="Invoice"/>
    <s v="100002978"/>
    <x v="114"/>
    <x v="101"/>
    <x v="22"/>
    <x v="2"/>
    <n v="2.5024999999999999"/>
  </r>
  <r>
    <s v="DPOPPELL"/>
    <s v="04"/>
    <s v="CHANFARM"/>
    <s v="STANLEY ROAD"/>
    <x v="723"/>
    <x v="9"/>
    <x v="3"/>
    <s v="Invoice"/>
    <s v="100002989"/>
    <x v="51"/>
    <x v="44"/>
    <x v="22"/>
    <x v="2"/>
    <n v="2.4975000000000001"/>
  </r>
  <r>
    <s v="DPOPPELL"/>
    <s v="04"/>
    <s v="GARCIAFARMS"/>
    <s v="MAIN"/>
    <x v="720"/>
    <x v="9"/>
    <x v="3"/>
    <s v="Invoice"/>
    <s v="100002995"/>
    <x v="542"/>
    <x v="19"/>
    <x v="19"/>
    <x v="0"/>
    <n v="20"/>
  </r>
  <r>
    <s v="DPOPPELL"/>
    <s v="04"/>
    <s v="PARKESDA"/>
    <s v="BLACKBERRIES"/>
    <x v="721"/>
    <x v="9"/>
    <x v="3"/>
    <s v="Invoice"/>
    <s v="100003007"/>
    <x v="69"/>
    <x v="62"/>
    <x v="22"/>
    <x v="2"/>
    <n v="1.25"/>
  </r>
  <r>
    <s v="DPOPPELL"/>
    <s v="04"/>
    <s v="CHANFARM"/>
    <s v="HIGHWAY 39 N"/>
    <x v="722"/>
    <x v="9"/>
    <x v="3"/>
    <s v="Invoice"/>
    <s v="100003020"/>
    <x v="51"/>
    <x v="44"/>
    <x v="22"/>
    <x v="2"/>
    <n v="2.52"/>
  </r>
  <r>
    <s v="DPOPPELL"/>
    <s v="04"/>
    <s v="GUILLERMOV"/>
    <s v="MAIN"/>
    <x v="724"/>
    <x v="9"/>
    <x v="3"/>
    <s v="Invoice"/>
    <s v="100003024"/>
    <x v="53"/>
    <x v="46"/>
    <x v="22"/>
    <x v="2"/>
    <n v="0.15"/>
  </r>
  <r>
    <s v="HOUSE"/>
    <s v="05"/>
    <s v="NATURALEARTH"/>
    <s v="OVIEDO"/>
    <x v="715"/>
    <x v="9"/>
    <x v="3"/>
    <s v="Invoice"/>
    <s v="100002943"/>
    <x v="8"/>
    <x v="67"/>
    <x v="7"/>
    <x v="0"/>
    <n v="30"/>
  </r>
  <r>
    <s v="HOUSE"/>
    <s v="05"/>
    <s v="SOUTHERN"/>
    <s v="SOUTHERN AG"/>
    <x v="725"/>
    <x v="9"/>
    <x v="3"/>
    <s v="Invoice"/>
    <s v="100002950"/>
    <x v="101"/>
    <x v="21"/>
    <x v="21"/>
    <x v="0"/>
    <n v="180"/>
  </r>
  <r>
    <s v="HOUSE"/>
    <s v="05"/>
    <s v="CPSHOMES"/>
    <s v="HOMESTEAD"/>
    <x v="721"/>
    <x v="9"/>
    <x v="3"/>
    <s v="Invoice"/>
    <s v="100003006"/>
    <x v="156"/>
    <x v="138"/>
    <x v="53"/>
    <x v="0"/>
    <n v="360"/>
  </r>
  <r>
    <s v="TYLERPIKE"/>
    <s v="07"/>
    <s v="TRIANGLE"/>
    <s v="83FARMS"/>
    <x v="713"/>
    <x v="9"/>
    <x v="3"/>
    <s v="Invoice"/>
    <s v="100002930"/>
    <x v="87"/>
    <x v="88"/>
    <x v="8"/>
    <x v="0"/>
    <n v="500"/>
  </r>
  <r>
    <s v=""/>
    <s v="07"/>
    <s v="MILLERBL"/>
    <s v="PALATKA"/>
    <x v="714"/>
    <x v="9"/>
    <x v="3"/>
    <s v="Invoice"/>
    <s v="100002941"/>
    <x v="208"/>
    <x v="184"/>
    <x v="22"/>
    <x v="2"/>
    <n v="15.01"/>
  </r>
  <r>
    <s v=""/>
    <s v="07"/>
    <s v="BIG HOUSE FARMS"/>
    <s v="MAYO"/>
    <x v="725"/>
    <x v="9"/>
    <x v="3"/>
    <s v="Invoice"/>
    <s v="100002952"/>
    <x v="312"/>
    <x v="275"/>
    <x v="22"/>
    <x v="2"/>
    <n v="4"/>
  </r>
  <r>
    <s v=""/>
    <s v="07"/>
    <s v="UFPSUNIT"/>
    <s v="CITRA FARM"/>
    <x v="720"/>
    <x v="9"/>
    <x v="3"/>
    <s v="Invoice"/>
    <s v="100002991"/>
    <x v="73"/>
    <x v="66"/>
    <x v="22"/>
    <x v="2"/>
    <n v="2.5074999999999998"/>
  </r>
  <r>
    <s v=""/>
    <s v="07"/>
    <s v="UFPSUNIT"/>
    <s v="CITRA FARM"/>
    <x v="720"/>
    <x v="9"/>
    <x v="3"/>
    <s v="Invoice"/>
    <s v="100002994"/>
    <x v="449"/>
    <x v="385"/>
    <x v="111"/>
    <x v="0"/>
    <n v="25"/>
  </r>
  <r>
    <s v="TYLERPIKE"/>
    <s v="07"/>
    <s v="TRIANGLE"/>
    <s v="83FARMS"/>
    <x v="722"/>
    <x v="9"/>
    <x v="3"/>
    <s v="Invoice"/>
    <s v="100003019"/>
    <x v="561"/>
    <x v="494"/>
    <x v="67"/>
    <x v="0"/>
    <n v="360"/>
  </r>
  <r>
    <s v="DPOPPELL1"/>
    <s v="08"/>
    <s v="MAYO"/>
    <s v="PLANTCITY"/>
    <x v="708"/>
    <x v="9"/>
    <x v="3"/>
    <s v="Invoice"/>
    <s v="100002957"/>
    <x v="42"/>
    <x v="37"/>
    <x v="30"/>
    <x v="0"/>
    <n v="10"/>
  </r>
  <r>
    <s v="DPOPPELL1"/>
    <s v="08"/>
    <s v="PURLEYNK"/>
    <s v="MAIN"/>
    <x v="708"/>
    <x v="9"/>
    <x v="3"/>
    <s v="Invoice"/>
    <s v="100002960"/>
    <x v="53"/>
    <x v="46"/>
    <x v="22"/>
    <x v="2"/>
    <n v="0.15"/>
  </r>
  <r>
    <s v="DPOPPELL1"/>
    <s v="08"/>
    <s v="MAYO"/>
    <s v="PLANTCITY"/>
    <x v="721"/>
    <x v="9"/>
    <x v="3"/>
    <s v="Invoice"/>
    <s v="100003008"/>
    <x v="45"/>
    <x v="37"/>
    <x v="30"/>
    <x v="0"/>
    <n v="250"/>
  </r>
  <r>
    <s v="DPOPPELL1"/>
    <s v="08"/>
    <s v="MAYO"/>
    <s v="PLANTCITY"/>
    <x v="726"/>
    <x v="9"/>
    <x v="3"/>
    <s v="Invoice"/>
    <s v="100003014"/>
    <x v="125"/>
    <x v="113"/>
    <x v="22"/>
    <x v="2"/>
    <n v="5"/>
  </r>
  <r>
    <s v="GEORGIA"/>
    <s v="09"/>
    <s v="TRIANGLE"/>
    <s v="DONALSONVILLE"/>
    <x v="707"/>
    <x v="9"/>
    <x v="3"/>
    <s v="Invoice"/>
    <s v="100002924"/>
    <x v="258"/>
    <x v="221"/>
    <x v="54"/>
    <x v="0"/>
    <n v="4000"/>
  </r>
  <r>
    <s v="GEORGIA"/>
    <s v="09"/>
    <s v="TRIANGLE"/>
    <s v="STATESBORO/GA"/>
    <x v="727"/>
    <x v="9"/>
    <x v="3"/>
    <s v="Invoice"/>
    <s v="100002935"/>
    <x v="258"/>
    <x v="221"/>
    <x v="54"/>
    <x v="0"/>
    <n v="4000"/>
  </r>
  <r>
    <s v="CSWAFFORD"/>
    <s v="09"/>
    <s v="GREENRES"/>
    <s v="OCEAN HWY-NC"/>
    <x v="725"/>
    <x v="9"/>
    <x v="3"/>
    <s v="Invoice"/>
    <s v="100002953"/>
    <x v="3"/>
    <x v="80"/>
    <x v="2"/>
    <x v="0"/>
    <n v="180"/>
  </r>
  <r>
    <s v="GEORGIA"/>
    <s v="09"/>
    <s v="TRIANGLE"/>
    <s v="SYCAMORE"/>
    <x v="725"/>
    <x v="9"/>
    <x v="3"/>
    <s v="Invoice"/>
    <s v="100002954"/>
    <x v="248"/>
    <x v="221"/>
    <x v="54"/>
    <x v="0"/>
    <n v="3960"/>
  </r>
  <r>
    <s v="GEORGIA"/>
    <s v="09"/>
    <s v="TRIANGLE"/>
    <s v="SYCAMORE"/>
    <x v="719"/>
    <x v="9"/>
    <x v="3"/>
    <s v="Invoice"/>
    <s v="100002976"/>
    <x v="258"/>
    <x v="221"/>
    <x v="54"/>
    <x v="0"/>
    <n v="4000"/>
  </r>
  <r>
    <s v="GEORGIA"/>
    <s v="09"/>
    <s v="TRIANGLE"/>
    <s v="DONALSONVILLE"/>
    <x v="722"/>
    <x v="9"/>
    <x v="3"/>
    <s v="Invoice"/>
    <s v="100003022"/>
    <x v="258"/>
    <x v="221"/>
    <x v="54"/>
    <x v="0"/>
    <n v="4000"/>
  </r>
  <r>
    <s v="GEORGIA"/>
    <s v="09"/>
    <s v="TRIANGLE"/>
    <s v="SYCAMORE"/>
    <x v="724"/>
    <x v="9"/>
    <x v="3"/>
    <s v="Invoice"/>
    <s v="100003023"/>
    <x v="248"/>
    <x v="221"/>
    <x v="54"/>
    <x v="0"/>
    <n v="3960"/>
  </r>
  <r>
    <s v="GEORGIA"/>
    <s v="09"/>
    <s v="TRIANGLE"/>
    <s v="SYCAMORE"/>
    <x v="718"/>
    <x v="9"/>
    <x v="3"/>
    <s v="Invoice"/>
    <s v="100003027"/>
    <x v="248"/>
    <x v="221"/>
    <x v="54"/>
    <x v="0"/>
    <n v="3960"/>
  </r>
  <r>
    <s v="CSWAFFORD"/>
    <s v="12"/>
    <s v="GOLFVENTURES"/>
    <s v="SPANISHWELLS"/>
    <x v="711"/>
    <x v="9"/>
    <x v="3"/>
    <s v="Invoice"/>
    <s v="100002907"/>
    <x v="385"/>
    <x v="321"/>
    <x v="96"/>
    <x v="0"/>
    <n v="55"/>
  </r>
  <r>
    <s v="CSWAFFORD"/>
    <s v="12"/>
    <s v="GOLFVENTURES"/>
    <s v="LELYRESORT"/>
    <x v="711"/>
    <x v="9"/>
    <x v="3"/>
    <s v="Invoice"/>
    <s v="100002908"/>
    <x v="440"/>
    <x v="321"/>
    <x v="96"/>
    <x v="0"/>
    <n v="275"/>
  </r>
  <r>
    <s v="CSWAFFORD"/>
    <s v="12"/>
    <s v="GOLFVENTURES"/>
    <s v="MAIN"/>
    <x v="711"/>
    <x v="9"/>
    <x v="3"/>
    <s v="Invoice"/>
    <s v="100002910"/>
    <x v="365"/>
    <x v="298"/>
    <x v="53"/>
    <x v="0"/>
    <n v="60"/>
  </r>
  <r>
    <s v="CSWAFFORD"/>
    <s v="12"/>
    <s v="GOLFVENTURES"/>
    <s v="MAIN"/>
    <x v="711"/>
    <x v="9"/>
    <x v="3"/>
    <s v="Invoice"/>
    <s v="100002910"/>
    <x v="424"/>
    <x v="362"/>
    <x v="47"/>
    <x v="0"/>
    <n v="60"/>
  </r>
  <r>
    <s v="CSWAFFORD"/>
    <s v="12"/>
    <s v="GOLFVENTURES"/>
    <s v="MAIN"/>
    <x v="711"/>
    <x v="9"/>
    <x v="3"/>
    <s v="Invoice"/>
    <s v="100002910"/>
    <x v="439"/>
    <x v="297"/>
    <x v="91"/>
    <x v="0"/>
    <n v="60"/>
  </r>
  <r>
    <s v="CSWAFFORD"/>
    <s v="12"/>
    <s v="GOLFVENTURES"/>
    <s v="CYPRESSWOODS"/>
    <x v="707"/>
    <x v="9"/>
    <x v="3"/>
    <s v="Invoice"/>
    <s v="100002918"/>
    <x v="570"/>
    <x v="297"/>
    <x v="91"/>
    <x v="0"/>
    <n v="55"/>
  </r>
  <r>
    <s v="CSWAFFORD"/>
    <s v="12"/>
    <s v="JRMINC"/>
    <s v="RIVERSTRAND"/>
    <x v="707"/>
    <x v="9"/>
    <x v="3"/>
    <s v="Invoice"/>
    <s v="100002920"/>
    <x v="571"/>
    <x v="421"/>
    <x v="117"/>
    <x v="0"/>
    <n v="55"/>
  </r>
  <r>
    <s v="CSWAFFORD"/>
    <s v="12"/>
    <s v="JRMINC"/>
    <s v="CHEMICALDYNAMIC"/>
    <x v="707"/>
    <x v="9"/>
    <x v="3"/>
    <s v="Invoice"/>
    <s v="100002925"/>
    <x v="481"/>
    <x v="421"/>
    <x v="117"/>
    <x v="0"/>
    <n v="90"/>
  </r>
  <r>
    <s v="CSWAFFORD"/>
    <s v="12"/>
    <s v="JRMINC"/>
    <s v="CHEMICALDYNAMIC"/>
    <x v="707"/>
    <x v="9"/>
    <x v="3"/>
    <s v="Invoice"/>
    <s v="100002925"/>
    <x v="209"/>
    <x v="400"/>
    <x v="63"/>
    <x v="0"/>
    <n v="90"/>
  </r>
  <r>
    <s v="CSWAFFORD"/>
    <s v="12"/>
    <s v="JRMINC"/>
    <s v="CHEMICALDYNAMIC"/>
    <x v="707"/>
    <x v="9"/>
    <x v="3"/>
    <s v="Invoice"/>
    <s v="100002925"/>
    <x v="483"/>
    <x v="424"/>
    <x v="67"/>
    <x v="0"/>
    <n v="90"/>
  </r>
  <r>
    <s v="CSWAFFORD"/>
    <s v="12"/>
    <s v="JRMINC"/>
    <s v="CHEMICALDYNAMIC"/>
    <x v="707"/>
    <x v="9"/>
    <x v="3"/>
    <s v="Invoice"/>
    <s v="100002925"/>
    <x v="460"/>
    <x v="402"/>
    <x v="115"/>
    <x v="0"/>
    <n v="90"/>
  </r>
  <r>
    <s v="CSWAFFORD"/>
    <s v="12"/>
    <s v="JRMINC"/>
    <s v="MAILING"/>
    <x v="707"/>
    <x v="9"/>
    <x v="3"/>
    <s v="Invoice"/>
    <s v="100002929"/>
    <x v="482"/>
    <x v="423"/>
    <x v="69"/>
    <x v="0"/>
    <n v="90"/>
  </r>
  <r>
    <s v="CSWAFFORD"/>
    <s v="12"/>
    <s v="JRMINC"/>
    <s v="MAILING"/>
    <x v="707"/>
    <x v="9"/>
    <x v="3"/>
    <s v="Invoice"/>
    <s v="100002929"/>
    <x v="424"/>
    <x v="362"/>
    <x v="47"/>
    <x v="0"/>
    <n v="90"/>
  </r>
  <r>
    <s v="CSWAFFORD"/>
    <s v="12"/>
    <s v="JRMINC"/>
    <s v="MAILING"/>
    <x v="707"/>
    <x v="9"/>
    <x v="3"/>
    <s v="Invoice"/>
    <s v="100002929"/>
    <x v="461"/>
    <x v="403"/>
    <x v="95"/>
    <x v="0"/>
    <n v="180"/>
  </r>
  <r>
    <s v="CSWAFFORD"/>
    <s v="12"/>
    <s v="JRMINC"/>
    <s v="MAILING"/>
    <x v="707"/>
    <x v="9"/>
    <x v="3"/>
    <s v="Invoice"/>
    <s v="100002929"/>
    <x v="452"/>
    <x v="388"/>
    <x v="112"/>
    <x v="0"/>
    <n v="180"/>
  </r>
  <r>
    <s v="CSWAFFORD"/>
    <s v="12"/>
    <s v="JRMINC"/>
    <s v="MAILING"/>
    <x v="707"/>
    <x v="9"/>
    <x v="3"/>
    <s v="Invoice"/>
    <s v="100002929"/>
    <x v="483"/>
    <x v="424"/>
    <x v="67"/>
    <x v="0"/>
    <n v="180"/>
  </r>
  <r>
    <s v="CSWAFFORD"/>
    <s v="12"/>
    <s v="JRMINC"/>
    <s v="MAILING"/>
    <x v="707"/>
    <x v="9"/>
    <x v="3"/>
    <s v="Invoice"/>
    <s v="100002929"/>
    <x v="455"/>
    <x v="391"/>
    <x v="56"/>
    <x v="0"/>
    <n v="90"/>
  </r>
  <r>
    <s v="CSWAFFORD"/>
    <s v="12"/>
    <s v="GOLFVENTURES"/>
    <s v="DOWNTOEARTH"/>
    <x v="714"/>
    <x v="9"/>
    <x v="3"/>
    <s v="Invoice"/>
    <s v="100002936"/>
    <x v="303"/>
    <x v="267"/>
    <x v="80"/>
    <x v="0"/>
    <n v="50"/>
  </r>
  <r>
    <s v="CSWAFFORD"/>
    <s v="12"/>
    <s v="JRMINC"/>
    <s v="R&amp;LTERMINAL"/>
    <x v="714"/>
    <x v="9"/>
    <x v="3"/>
    <s v="Invoice"/>
    <s v="100002940"/>
    <x v="572"/>
    <x v="505"/>
    <x v="130"/>
    <x v="0"/>
    <n v="60"/>
  </r>
  <r>
    <s v="CSWAFFORD"/>
    <s v="12"/>
    <s v="JRMINC"/>
    <s v="R&amp;LTERMINAL"/>
    <x v="714"/>
    <x v="9"/>
    <x v="3"/>
    <s v="Invoice"/>
    <s v="100002940"/>
    <x v="461"/>
    <x v="403"/>
    <x v="95"/>
    <x v="0"/>
    <n v="60"/>
  </r>
  <r>
    <s v="CSWAFFORD"/>
    <s v="12"/>
    <s v="JRMINC"/>
    <s v="R&amp;LTERMINAL"/>
    <x v="714"/>
    <x v="9"/>
    <x v="3"/>
    <s v="Invoice"/>
    <s v="100002940"/>
    <x v="514"/>
    <x v="451"/>
    <x v="122"/>
    <x v="0"/>
    <n v="60"/>
  </r>
  <r>
    <s v="CSWAFFORD"/>
    <s v="12"/>
    <s v="GOLFVENTURES"/>
    <s v="CENTFLPEST"/>
    <x v="715"/>
    <x v="9"/>
    <x v="3"/>
    <s v="Invoice"/>
    <s v="100002946"/>
    <x v="437"/>
    <x v="372"/>
    <x v="22"/>
    <x v="2"/>
    <n v="1.3049999999999999"/>
  </r>
  <r>
    <s v="CSWAFFORD"/>
    <s v="12"/>
    <s v="GOLFVENTURES"/>
    <s v="DTEMOUNTDORA"/>
    <x v="725"/>
    <x v="9"/>
    <x v="3"/>
    <s v="Invoice"/>
    <s v="100002949"/>
    <x v="317"/>
    <x v="267"/>
    <x v="80"/>
    <x v="0"/>
    <n v="260"/>
  </r>
  <r>
    <s v="CSWAFFORD"/>
    <s v="12"/>
    <s v="GOLFVENTURES"/>
    <s v="MAIN"/>
    <x v="725"/>
    <x v="9"/>
    <x v="3"/>
    <s v="Invoice"/>
    <s v="100002951"/>
    <x v="438"/>
    <x v="373"/>
    <x v="108"/>
    <x v="0"/>
    <n v="90"/>
  </r>
  <r>
    <s v="CSWAFFORD"/>
    <s v="12"/>
    <s v="GOLFVENTURES"/>
    <s v="MAIN"/>
    <x v="725"/>
    <x v="9"/>
    <x v="3"/>
    <s v="Invoice"/>
    <s v="100002951"/>
    <x v="3"/>
    <x v="411"/>
    <x v="2"/>
    <x v="0"/>
    <n v="90"/>
  </r>
  <r>
    <s v="CSWAFFORD"/>
    <s v="12"/>
    <s v="GOLFVENTURES"/>
    <s v="ATLANTICFIELDS"/>
    <x v="708"/>
    <x v="9"/>
    <x v="3"/>
    <s v="Invoice"/>
    <s v="100002962"/>
    <x v="354"/>
    <x v="314"/>
    <x v="95"/>
    <x v="0"/>
    <n v="250"/>
  </r>
  <r>
    <s v="CSWAFFORD"/>
    <s v="12"/>
    <s v="GOLFVENTURES"/>
    <s v="PROGREENLAWN"/>
    <x v="708"/>
    <x v="9"/>
    <x v="3"/>
    <s v="Invoice"/>
    <s v="100002963"/>
    <x v="443"/>
    <x v="334"/>
    <x v="80"/>
    <x v="0"/>
    <n v="720"/>
  </r>
  <r>
    <s v="CSWAFFORD"/>
    <s v="12"/>
    <s v="GOLFVENTURES"/>
    <s v="BOCAROYALE"/>
    <x v="716"/>
    <x v="9"/>
    <x v="3"/>
    <s v="Invoice"/>
    <s v="100002968"/>
    <x v="317"/>
    <x v="267"/>
    <x v="80"/>
    <x v="0"/>
    <n v="250"/>
  </r>
  <r>
    <s v="CSWAFFORD"/>
    <s v="12"/>
    <s v="GOLFVENTURES"/>
    <s v="BOCAROYALE"/>
    <x v="716"/>
    <x v="9"/>
    <x v="3"/>
    <s v="Invoice"/>
    <s v="100002968"/>
    <x v="363"/>
    <x v="320"/>
    <x v="63"/>
    <x v="0"/>
    <n v="250"/>
  </r>
  <r>
    <s v="CSWAFFORD"/>
    <s v="12"/>
    <s v="GOLFVENTURES"/>
    <s v="BOCAROYALE"/>
    <x v="716"/>
    <x v="9"/>
    <x v="3"/>
    <s v="Invoice"/>
    <s v="100002969"/>
    <x v="366"/>
    <x v="336"/>
    <x v="22"/>
    <x v="2"/>
    <n v="1.27"/>
  </r>
  <r>
    <s v="CSWAFFORD"/>
    <s v="12"/>
    <s v="GOLFVENTURES"/>
    <s v="MAIN"/>
    <x v="716"/>
    <x v="9"/>
    <x v="3"/>
    <s v="Invoice"/>
    <s v="100002970"/>
    <x v="303"/>
    <x v="267"/>
    <x v="80"/>
    <x v="0"/>
    <n v="60"/>
  </r>
  <r>
    <s v="CSWAFFORD"/>
    <s v="12"/>
    <s v="GOLFVENTURES"/>
    <s v="MAIN"/>
    <x v="716"/>
    <x v="9"/>
    <x v="3"/>
    <s v="Invoice"/>
    <s v="100002970"/>
    <x v="443"/>
    <x v="334"/>
    <x v="80"/>
    <x v="0"/>
    <n v="60"/>
  </r>
  <r>
    <s v="CSWAFFORD"/>
    <s v="12"/>
    <s v="GOLFVENTURES"/>
    <s v="MAIN"/>
    <x v="716"/>
    <x v="9"/>
    <x v="3"/>
    <s v="Invoice"/>
    <s v="100002970"/>
    <x v="455"/>
    <x v="499"/>
    <x v="56"/>
    <x v="0"/>
    <n v="60"/>
  </r>
  <r>
    <s v="CSWAFFORD"/>
    <s v="12"/>
    <s v="GOLFVENTURES"/>
    <s v="MAIN"/>
    <x v="723"/>
    <x v="9"/>
    <x v="3"/>
    <s v="Invoice"/>
    <s v="100002987"/>
    <x v="573"/>
    <x v="506"/>
    <x v="131"/>
    <x v="0"/>
    <n v="40"/>
  </r>
  <r>
    <s v="CSWAFFORD"/>
    <s v="12"/>
    <s v="GOLFVENTURES"/>
    <s v="MAIN"/>
    <x v="723"/>
    <x v="9"/>
    <x v="3"/>
    <s v="Invoice"/>
    <s v="100002988"/>
    <x v="442"/>
    <x v="378"/>
    <x v="109"/>
    <x v="0"/>
    <n v="60"/>
  </r>
  <r>
    <s v="CSWAFFORD"/>
    <s v="12"/>
    <s v="GOLFVENTURES"/>
    <s v="MAIN"/>
    <x v="723"/>
    <x v="9"/>
    <x v="3"/>
    <s v="Invoice"/>
    <s v="100002988"/>
    <x v="447"/>
    <x v="383"/>
    <x v="56"/>
    <x v="0"/>
    <n v="60"/>
  </r>
  <r>
    <s v="CSWAFFORD"/>
    <s v="12"/>
    <s v="GOLFVENTURES"/>
    <s v="MAIN"/>
    <x v="723"/>
    <x v="9"/>
    <x v="3"/>
    <s v="Invoice"/>
    <s v="100002988"/>
    <x v="485"/>
    <x v="281"/>
    <x v="42"/>
    <x v="0"/>
    <n v="60"/>
  </r>
  <r>
    <s v="CSWAFFORD"/>
    <s v="12"/>
    <s v="JRMINC"/>
    <s v="ESPLANADESTMARY"/>
    <x v="723"/>
    <x v="9"/>
    <x v="3"/>
    <s v="Invoice"/>
    <s v="100002990"/>
    <x v="424"/>
    <x v="362"/>
    <x v="47"/>
    <x v="0"/>
    <n v="180"/>
  </r>
  <r>
    <s v="CSWAFFORD"/>
    <s v="12"/>
    <s v="JRMINC"/>
    <s v="ESPLANADESTMARY"/>
    <x v="723"/>
    <x v="9"/>
    <x v="3"/>
    <s v="Invoice"/>
    <s v="100002990"/>
    <x v="452"/>
    <x v="388"/>
    <x v="112"/>
    <x v="0"/>
    <n v="360"/>
  </r>
  <r>
    <s v="CSWAFFORD"/>
    <s v="12"/>
    <s v="GOLFVENTURES"/>
    <s v="PROGREENLAWN"/>
    <x v="720"/>
    <x v="9"/>
    <x v="3"/>
    <s v="Invoice"/>
    <s v="100002992"/>
    <x v="443"/>
    <x v="334"/>
    <x v="80"/>
    <x v="0"/>
    <n v="720"/>
  </r>
  <r>
    <s v="CSWAFFORD"/>
    <s v="12"/>
    <s v="GOLFVENTURES"/>
    <s v="COUNTRYBOY"/>
    <x v="720"/>
    <x v="9"/>
    <x v="3"/>
    <s v="Invoice"/>
    <s v="100003001"/>
    <x v="353"/>
    <x v="313"/>
    <x v="49"/>
    <x v="0"/>
    <n v="250"/>
  </r>
  <r>
    <s v="CSWAFFORD"/>
    <s v="12"/>
    <s v="GOLFVENTURES"/>
    <s v="S&amp;O"/>
    <x v="720"/>
    <x v="9"/>
    <x v="3"/>
    <s v="Invoice"/>
    <s v="100003002"/>
    <x v="83"/>
    <x v="69"/>
    <x v="17"/>
    <x v="0"/>
    <n v="1250"/>
  </r>
  <r>
    <s v="CSWAFFORD"/>
    <s v="12"/>
    <s v="GOLFVENTURES"/>
    <s v="S&amp;O"/>
    <x v="720"/>
    <x v="9"/>
    <x v="3"/>
    <s v="Invoice"/>
    <s v="100003002"/>
    <x v="320"/>
    <x v="282"/>
    <x v="87"/>
    <x v="0"/>
    <n v="1000"/>
  </r>
  <r>
    <s v="CSWAFFORD"/>
    <s v="12"/>
    <s v="GOLFVENTURES"/>
    <s v="EAGLESLAKE"/>
    <x v="726"/>
    <x v="9"/>
    <x v="3"/>
    <s v="Invoice"/>
    <s v="100003012"/>
    <x v="338"/>
    <x v="419"/>
    <x v="8"/>
    <x v="0"/>
    <n v="250"/>
  </r>
  <r>
    <s v="CSWAFFORD"/>
    <s v="12"/>
    <s v="GOLFVENTURES"/>
    <s v="MISTYCREEKCC"/>
    <x v="726"/>
    <x v="9"/>
    <x v="3"/>
    <s v="Invoice"/>
    <s v="100003013"/>
    <x v="317"/>
    <x v="267"/>
    <x v="80"/>
    <x v="0"/>
    <n v="275"/>
  </r>
  <r>
    <s v="CSWAFFORD"/>
    <s v="12"/>
    <s v="GOLFVENTURES"/>
    <s v="MISTYCREEKCC"/>
    <x v="726"/>
    <x v="9"/>
    <x v="3"/>
    <s v="Invoice"/>
    <s v="100003013"/>
    <x v="338"/>
    <x v="419"/>
    <x v="8"/>
    <x v="0"/>
    <n v="275"/>
  </r>
  <r>
    <s v="CSWAFFORD"/>
    <s v="12"/>
    <s v="GOLFVENTURES"/>
    <s v="MAIN"/>
    <x v="728"/>
    <x v="9"/>
    <x v="3"/>
    <s v="Invoice"/>
    <s v="100003018"/>
    <x v="474"/>
    <x v="418"/>
    <x v="116"/>
    <x v="0"/>
    <n v="400"/>
  </r>
  <r>
    <s v="CSWAFFORD"/>
    <s v="12"/>
    <s v="GOLFVENTURES"/>
    <s v="MAIN"/>
    <x v="718"/>
    <x v="9"/>
    <x v="3"/>
    <s v="Invoice"/>
    <s v="100003026"/>
    <x v="574"/>
    <x v="502"/>
    <x v="75"/>
    <x v="0"/>
    <n v="10"/>
  </r>
  <r>
    <s v="CSWAFFORD"/>
    <s v="12"/>
    <s v="GOLFVENTURES"/>
    <s v="MAIN"/>
    <x v="718"/>
    <x v="9"/>
    <x v="3"/>
    <s v="Invoice"/>
    <s v="100003026"/>
    <x v="575"/>
    <x v="507"/>
    <x v="132"/>
    <x v="0"/>
    <n v="10"/>
  </r>
  <r>
    <s v="HAP"/>
    <s v="01"/>
    <s v="GREENWAY"/>
    <s v="WAREHOUSE"/>
    <x v="729"/>
    <x v="10"/>
    <x v="3"/>
    <s v="Invoice"/>
    <s v="100003035"/>
    <x v="4"/>
    <x v="3"/>
    <x v="3"/>
    <x v="0"/>
    <n v="60"/>
  </r>
  <r>
    <s v="HAP"/>
    <s v="01"/>
    <s v="GREENWAY"/>
    <s v="WAREHOUSE"/>
    <x v="729"/>
    <x v="10"/>
    <x v="3"/>
    <s v="Invoice"/>
    <s v="100003035"/>
    <x v="22"/>
    <x v="17"/>
    <x v="17"/>
    <x v="0"/>
    <n v="60"/>
  </r>
  <r>
    <s v="HAP"/>
    <s v="01"/>
    <s v="GREENWAY"/>
    <s v="WAREHOUSE"/>
    <x v="729"/>
    <x v="10"/>
    <x v="3"/>
    <s v="Invoice"/>
    <s v="100003035"/>
    <x v="2"/>
    <x v="0"/>
    <x v="0"/>
    <x v="0"/>
    <n v="120"/>
  </r>
  <r>
    <s v="HAP"/>
    <s v="01"/>
    <s v="GREENWAY"/>
    <s v="WAREHOUSE"/>
    <x v="729"/>
    <x v="10"/>
    <x v="3"/>
    <s v="Invoice"/>
    <s v="100003035"/>
    <x v="3"/>
    <x v="379"/>
    <x v="2"/>
    <x v="0"/>
    <n v="120"/>
  </r>
  <r>
    <s v="HAP"/>
    <s v="01"/>
    <s v="GREENWAY"/>
    <s v="JACARANDA G C"/>
    <x v="730"/>
    <x v="10"/>
    <x v="3"/>
    <s v="Invoice"/>
    <s v="100003066"/>
    <x v="6"/>
    <x v="5"/>
    <x v="5"/>
    <x v="0"/>
    <n v="30"/>
  </r>
  <r>
    <s v="HAP"/>
    <s v="01"/>
    <s v="GREENWAY"/>
    <s v="JACARANDA G C"/>
    <x v="730"/>
    <x v="10"/>
    <x v="3"/>
    <s v="Invoice"/>
    <s v="100003066"/>
    <x v="79"/>
    <x v="4"/>
    <x v="4"/>
    <x v="0"/>
    <n v="55"/>
  </r>
  <r>
    <s v="HAP"/>
    <s v="01"/>
    <s v="ALMARCH"/>
    <s v="THONOTOSASSA"/>
    <x v="731"/>
    <x v="10"/>
    <x v="3"/>
    <s v="Invoice"/>
    <s v="100003098"/>
    <x v="92"/>
    <x v="82"/>
    <x v="35"/>
    <x v="0"/>
    <n v="55"/>
  </r>
  <r>
    <s v="HAP"/>
    <s v="01"/>
    <s v="ALMARCH"/>
    <s v="THONOTOSASSA"/>
    <x v="731"/>
    <x v="10"/>
    <x v="3"/>
    <s v="Invoice"/>
    <s v="100003098"/>
    <x v="22"/>
    <x v="83"/>
    <x v="17"/>
    <x v="0"/>
    <n v="55"/>
  </r>
  <r>
    <s v="HAP"/>
    <s v="01"/>
    <s v="ALMARCH"/>
    <s v="THONOTOSASSA"/>
    <x v="731"/>
    <x v="10"/>
    <x v="3"/>
    <s v="Invoice"/>
    <s v="100003098"/>
    <x v="93"/>
    <x v="84"/>
    <x v="37"/>
    <x v="0"/>
    <n v="55"/>
  </r>
  <r>
    <s v="HAP"/>
    <s v="01"/>
    <s v="GREENWAY"/>
    <s v="WAREHOUSE"/>
    <x v="732"/>
    <x v="10"/>
    <x v="3"/>
    <s v="Invoice"/>
    <s v="100003114A"/>
    <x v="6"/>
    <x v="5"/>
    <x v="5"/>
    <x v="0"/>
    <n v="120"/>
  </r>
  <r>
    <s v="HAP"/>
    <s v="01"/>
    <s v="GREENWAY"/>
    <s v="WAREHOUSE"/>
    <x v="732"/>
    <x v="10"/>
    <x v="3"/>
    <s v="Invoice"/>
    <s v="100003114A"/>
    <x v="22"/>
    <x v="17"/>
    <x v="17"/>
    <x v="0"/>
    <n v="120"/>
  </r>
  <r>
    <s v="HAP"/>
    <s v="01"/>
    <s v="GREENWAY"/>
    <s v="WAREHOUSE"/>
    <x v="732"/>
    <x v="10"/>
    <x v="3"/>
    <s v="Invoice"/>
    <s v="100003114A"/>
    <x v="8"/>
    <x v="7"/>
    <x v="7"/>
    <x v="0"/>
    <n v="60"/>
  </r>
  <r>
    <s v="HAP"/>
    <s v="01"/>
    <s v="GREENWAY"/>
    <s v="WAREHOUSE"/>
    <x v="732"/>
    <x v="10"/>
    <x v="3"/>
    <s v="Invoice"/>
    <s v="100003114A"/>
    <x v="2"/>
    <x v="0"/>
    <x v="0"/>
    <x v="0"/>
    <n v="120"/>
  </r>
  <r>
    <s v="HAP"/>
    <s v="01"/>
    <s v="GREENWAY"/>
    <s v="JACARANDA G C"/>
    <x v="733"/>
    <x v="10"/>
    <x v="3"/>
    <s v="Invoice"/>
    <s v="100003144"/>
    <x v="188"/>
    <x v="17"/>
    <x v="17"/>
    <x v="0"/>
    <n v="55"/>
  </r>
  <r>
    <s v="HAP"/>
    <s v="01"/>
    <s v="GREENWAY"/>
    <s v="JACARANDA G C"/>
    <x v="733"/>
    <x v="10"/>
    <x v="3"/>
    <s v="Invoice"/>
    <s v="100003144"/>
    <x v="0"/>
    <x v="0"/>
    <x v="0"/>
    <x v="0"/>
    <n v="55"/>
  </r>
  <r>
    <s v="HAP"/>
    <s v="01"/>
    <s v="GREENWAY"/>
    <s v="JACARANDA G C"/>
    <x v="733"/>
    <x v="10"/>
    <x v="3"/>
    <s v="Invoice"/>
    <s v="100003144"/>
    <x v="88"/>
    <x v="2"/>
    <x v="2"/>
    <x v="0"/>
    <n v="55"/>
  </r>
  <r>
    <s v="DAVID"/>
    <s v="02"/>
    <s v="EVOQUAWATER"/>
    <s v="MAIN"/>
    <x v="730"/>
    <x v="10"/>
    <x v="3"/>
    <s v="Invoice"/>
    <s v="100003064"/>
    <x v="160"/>
    <x v="231"/>
    <x v="54"/>
    <x v="0"/>
    <n v="360"/>
  </r>
  <r>
    <s v="DAVID"/>
    <s v="02"/>
    <s v="BIOGENECO"/>
    <s v="MAIN"/>
    <x v="730"/>
    <x v="10"/>
    <x v="3"/>
    <s v="Invoice"/>
    <s v="100003065"/>
    <x v="528"/>
    <x v="464"/>
    <x v="94"/>
    <x v="0"/>
    <n v="550"/>
  </r>
  <r>
    <s v="DAVID"/>
    <s v="02"/>
    <s v="FLORIDAGAR"/>
    <s v="HIALEAH"/>
    <x v="734"/>
    <x v="10"/>
    <x v="3"/>
    <s v="Invoice"/>
    <s v="100003087"/>
    <x v="576"/>
    <x v="341"/>
    <x v="101"/>
    <x v="0"/>
    <n v="55"/>
  </r>
  <r>
    <s v="DAVID"/>
    <s v="02"/>
    <s v="FLORIDAGAR"/>
    <s v="HIALEAH"/>
    <x v="734"/>
    <x v="10"/>
    <x v="3"/>
    <s v="Invoice"/>
    <s v="100003087"/>
    <x v="577"/>
    <x v="476"/>
    <x v="123"/>
    <x v="0"/>
    <n v="55"/>
  </r>
  <r>
    <s v="DAVID"/>
    <s v="02"/>
    <s v="CPSFTPIE"/>
    <s v="FT. PIERCE"/>
    <x v="735"/>
    <x v="10"/>
    <x v="3"/>
    <s v="Invoice"/>
    <s v="100003106"/>
    <x v="267"/>
    <x v="235"/>
    <x v="75"/>
    <x v="0"/>
    <n v="70"/>
  </r>
  <r>
    <s v="DAVID"/>
    <s v="02"/>
    <s v="FLORIDAF"/>
    <s v="FLORIDA FERTILI"/>
    <x v="736"/>
    <x v="10"/>
    <x v="3"/>
    <s v="Invoice"/>
    <s v="100003109"/>
    <x v="135"/>
    <x v="121"/>
    <x v="51"/>
    <x v="0"/>
    <n v="1000"/>
  </r>
  <r>
    <s v="DAVID"/>
    <s v="02"/>
    <s v="FLORIDAF"/>
    <s v="FLORIDA FERTILI"/>
    <x v="736"/>
    <x v="10"/>
    <x v="3"/>
    <s v="Invoice"/>
    <s v="100003109"/>
    <x v="29"/>
    <x v="24"/>
    <x v="20"/>
    <x v="1"/>
    <n v="13150"/>
  </r>
  <r>
    <s v="DAVID"/>
    <s v="02"/>
    <s v="EVOQUAWATER"/>
    <s v="XYLEM128S"/>
    <x v="737"/>
    <x v="10"/>
    <x v="3"/>
    <s v="Invoice"/>
    <s v="100003120"/>
    <x v="160"/>
    <x v="231"/>
    <x v="54"/>
    <x v="0"/>
    <n v="360"/>
  </r>
  <r>
    <s v="DAVID"/>
    <s v="02"/>
    <s v="SHININGLIGHT"/>
    <s v="FARMLOCATION"/>
    <x v="733"/>
    <x v="10"/>
    <x v="3"/>
    <s v="Invoice"/>
    <s v="100003143"/>
    <x v="122"/>
    <x v="63"/>
    <x v="33"/>
    <x v="0"/>
    <n v="40"/>
  </r>
  <r>
    <s v="DAVID"/>
    <s v="02"/>
    <s v="INNOVATIVE"/>
    <s v="MIAMI"/>
    <x v="738"/>
    <x v="10"/>
    <x v="3"/>
    <s v="Invoice"/>
    <s v="100003154"/>
    <x v="578"/>
    <x v="508"/>
    <x v="133"/>
    <x v="0"/>
    <n v="220"/>
  </r>
  <r>
    <s v="DAVID"/>
    <s v="02"/>
    <s v="INNOVATIVE"/>
    <s v="MIAMI"/>
    <x v="738"/>
    <x v="10"/>
    <x v="3"/>
    <s v="Invoice"/>
    <s v="100003154"/>
    <x v="579"/>
    <x v="508"/>
    <x v="133"/>
    <x v="0"/>
    <n v="3250"/>
  </r>
  <r>
    <s v="JUSTIN"/>
    <s v="03"/>
    <s v="CPSWACHU"/>
    <s v="WAUCHULA"/>
    <x v="739"/>
    <x v="10"/>
    <x v="3"/>
    <s v="Invoice"/>
    <s v="100003031"/>
    <x v="36"/>
    <x v="31"/>
    <x v="4"/>
    <x v="0"/>
    <n v="180"/>
  </r>
  <r>
    <s v="JUSTIN"/>
    <s v="03"/>
    <s v="GRIFFINF"/>
    <s v="FROSTPROOF"/>
    <x v="739"/>
    <x v="10"/>
    <x v="3"/>
    <s v="Invoice"/>
    <s v="100003032"/>
    <x v="36"/>
    <x v="31"/>
    <x v="4"/>
    <x v="0"/>
    <n v="720"/>
  </r>
  <r>
    <s v="JUSTIN"/>
    <s v="03"/>
    <s v="SIMPLOT"/>
    <s v="IMMOKALEE"/>
    <x v="740"/>
    <x v="10"/>
    <x v="3"/>
    <s v="Invoice"/>
    <s v="100003038A"/>
    <x v="175"/>
    <x v="156"/>
    <x v="9"/>
    <x v="0"/>
    <n v="180"/>
  </r>
  <r>
    <s v="JUSTIN"/>
    <s v="03"/>
    <s v="COASTALAGSUPPLY"/>
    <s v="MAILING"/>
    <x v="741"/>
    <x v="10"/>
    <x v="3"/>
    <s v="Invoice"/>
    <s v="100003047"/>
    <x v="551"/>
    <x v="128"/>
    <x v="29"/>
    <x v="0"/>
    <n v="250"/>
  </r>
  <r>
    <s v="JUSTIN"/>
    <s v="03"/>
    <s v="COASTALAGSUPPLY"/>
    <s v="MAILING"/>
    <x v="741"/>
    <x v="10"/>
    <x v="3"/>
    <s v="Invoice"/>
    <s v="100003047"/>
    <x v="550"/>
    <x v="172"/>
    <x v="61"/>
    <x v="0"/>
    <n v="250"/>
  </r>
  <r>
    <s v="JUSTIN"/>
    <s v="03"/>
    <s v="CPSPARRI"/>
    <s v="PARRISH"/>
    <x v="741"/>
    <x v="10"/>
    <x v="3"/>
    <s v="Invoice"/>
    <s v="100003050"/>
    <x v="35"/>
    <x v="30"/>
    <x v="27"/>
    <x v="0"/>
    <n v="105"/>
  </r>
  <r>
    <s v="JUSTIN"/>
    <s v="03"/>
    <s v="CPSOKEE"/>
    <s v="OKEE-LIQ PLANT"/>
    <x v="730"/>
    <x v="10"/>
    <x v="3"/>
    <s v="Invoice"/>
    <s v="100003061"/>
    <x v="134"/>
    <x v="94"/>
    <x v="41"/>
    <x v="0"/>
    <n v="3018"/>
  </r>
  <r>
    <s v="JUSTIN"/>
    <s v="03"/>
    <s v="CPSWACHU"/>
    <s v="WAUCHULA"/>
    <x v="730"/>
    <x v="10"/>
    <x v="3"/>
    <s v="Invoice"/>
    <s v="100003063"/>
    <x v="36"/>
    <x v="31"/>
    <x v="4"/>
    <x v="0"/>
    <n v="180"/>
  </r>
  <r>
    <s v="JUSTIN"/>
    <s v="03"/>
    <s v="CPSPARRI"/>
    <s v="PARRISH"/>
    <x v="742"/>
    <x v="10"/>
    <x v="3"/>
    <s v="Invoice"/>
    <s v="100003070"/>
    <x v="35"/>
    <x v="30"/>
    <x v="27"/>
    <x v="0"/>
    <n v="410"/>
  </r>
  <r>
    <s v="JUSTIN"/>
    <s v="03"/>
    <s v="CPSWAVER"/>
    <s v="WAVERLY"/>
    <x v="742"/>
    <x v="10"/>
    <x v="3"/>
    <s v="Invoice"/>
    <s v="100003072"/>
    <x v="36"/>
    <x v="31"/>
    <x v="4"/>
    <x v="0"/>
    <n v="180"/>
  </r>
  <r>
    <s v="JUSTIN"/>
    <s v="03"/>
    <s v="CPSFTPIE"/>
    <s v="FT. PIERCE"/>
    <x v="743"/>
    <x v="10"/>
    <x v="3"/>
    <s v="Invoice"/>
    <s v="100003080"/>
    <x v="36"/>
    <x v="31"/>
    <x v="4"/>
    <x v="0"/>
    <n v="120"/>
  </r>
  <r>
    <s v="JUSTIN"/>
    <s v="03"/>
    <s v="STORYGROVE"/>
    <s v="HWY 27-W/SIDE"/>
    <x v="731"/>
    <x v="10"/>
    <x v="3"/>
    <s v="Invoice"/>
    <s v="100003092A"/>
    <x v="85"/>
    <x v="399"/>
    <x v="35"/>
    <x v="0"/>
    <n v="60"/>
  </r>
  <r>
    <s v="JUSTIN"/>
    <s v="03"/>
    <s v="COASTALAGSUPPLY"/>
    <s v="MAILING"/>
    <x v="731"/>
    <x v="10"/>
    <x v="3"/>
    <s v="Invoice"/>
    <s v="100003095"/>
    <x v="551"/>
    <x v="128"/>
    <x v="29"/>
    <x v="0"/>
    <n v="1000"/>
  </r>
  <r>
    <s v="JUSTIN"/>
    <s v="03"/>
    <s v="COASTALAGSUPPLY"/>
    <s v="MAILING"/>
    <x v="731"/>
    <x v="10"/>
    <x v="3"/>
    <s v="Invoice"/>
    <s v="100003095"/>
    <x v="550"/>
    <x v="172"/>
    <x v="61"/>
    <x v="0"/>
    <n v="1000"/>
  </r>
  <r>
    <s v="JUSTIN"/>
    <s v="03"/>
    <s v="CAMPBELLGROVES"/>
    <s v="MAIN"/>
    <x v="731"/>
    <x v="10"/>
    <x v="3"/>
    <s v="Invoice"/>
    <s v="100003102"/>
    <x v="85"/>
    <x v="399"/>
    <x v="35"/>
    <x v="0"/>
    <n v="10"/>
  </r>
  <r>
    <s v="JUSTIN"/>
    <s v="03"/>
    <s v="GRIFFINF"/>
    <s v="FROSTPROOF"/>
    <x v="732"/>
    <x v="10"/>
    <x v="3"/>
    <s v="Invoice"/>
    <s v="100003113"/>
    <x v="558"/>
    <x v="492"/>
    <x v="14"/>
    <x v="0"/>
    <n v="400"/>
  </r>
  <r>
    <s v="JUSTIN"/>
    <s v="03"/>
    <s v="TRIANGLE"/>
    <s v="TRIANGLE/LAKEPL"/>
    <x v="732"/>
    <x v="10"/>
    <x v="3"/>
    <s v="Invoice"/>
    <s v="100003116"/>
    <x v="136"/>
    <x v="111"/>
    <x v="46"/>
    <x v="0"/>
    <n v="360"/>
  </r>
  <r>
    <s v="JUSTIN"/>
    <s v="03"/>
    <s v="TRIANGLE"/>
    <s v="TRIANGLE/LAKEPL"/>
    <x v="732"/>
    <x v="10"/>
    <x v="3"/>
    <s v="Invoice"/>
    <s v="100003117"/>
    <x v="324"/>
    <x v="286"/>
    <x v="13"/>
    <x v="0"/>
    <n v="750"/>
  </r>
  <r>
    <s v="JUSTIN"/>
    <s v="03"/>
    <s v="CPSWAVER"/>
    <s v="WAVERLY"/>
    <x v="732"/>
    <x v="10"/>
    <x v="3"/>
    <s v="Invoice"/>
    <s v="100003118"/>
    <x v="36"/>
    <x v="31"/>
    <x v="4"/>
    <x v="0"/>
    <n v="360"/>
  </r>
  <r>
    <s v="JUSTIN"/>
    <s v="03"/>
    <s v="CPSFTPIE"/>
    <s v="FT. PIERCE"/>
    <x v="744"/>
    <x v="10"/>
    <x v="3"/>
    <s v="Invoice"/>
    <s v="100003127"/>
    <x v="5"/>
    <x v="72"/>
    <x v="4"/>
    <x v="0"/>
    <n v="180"/>
  </r>
  <r>
    <s v="JUSTIN"/>
    <s v="03"/>
    <s v="GRIFFINF"/>
    <s v="FROSTPROOF"/>
    <x v="744"/>
    <x v="10"/>
    <x v="3"/>
    <s v="Invoice"/>
    <s v="100003128"/>
    <x v="558"/>
    <x v="492"/>
    <x v="14"/>
    <x v="0"/>
    <n v="360"/>
  </r>
  <r>
    <s v="JUSTIN"/>
    <s v="03"/>
    <s v="TRIANGLE"/>
    <s v="TRIANGLE/LAKEPL"/>
    <x v="744"/>
    <x v="10"/>
    <x v="3"/>
    <s v="Invoice"/>
    <s v="100003131"/>
    <x v="136"/>
    <x v="111"/>
    <x v="46"/>
    <x v="0"/>
    <n v="720"/>
  </r>
  <r>
    <s v="JUSTIN"/>
    <s v="03"/>
    <s v="TRIANGLE"/>
    <s v="TRIANGLE/LAKEPL"/>
    <x v="744"/>
    <x v="10"/>
    <x v="3"/>
    <s v="Invoice"/>
    <s v="100003132"/>
    <x v="550"/>
    <x v="172"/>
    <x v="61"/>
    <x v="0"/>
    <n v="500"/>
  </r>
  <r>
    <s v="JUSTIN"/>
    <s v="03"/>
    <s v="CPSWACHU"/>
    <s v="WAUCHULA"/>
    <x v="733"/>
    <x v="10"/>
    <x v="3"/>
    <s v="Invoice"/>
    <s v="100003138"/>
    <x v="36"/>
    <x v="31"/>
    <x v="4"/>
    <x v="0"/>
    <n v="180"/>
  </r>
  <r>
    <s v="JUSTIN"/>
    <s v="03"/>
    <s v="CPSWACHU"/>
    <s v="WAUCHULA"/>
    <x v="733"/>
    <x v="10"/>
    <x v="3"/>
    <s v="Invoice"/>
    <s v="100003139"/>
    <x v="96"/>
    <x v="90"/>
    <x v="39"/>
    <x v="0"/>
    <n v="180"/>
  </r>
  <r>
    <s v="JUSTIN"/>
    <s v="03"/>
    <s v="CPSWAVER"/>
    <s v="WAVERLY"/>
    <x v="733"/>
    <x v="10"/>
    <x v="3"/>
    <s v="Invoice"/>
    <s v="100003140"/>
    <x v="36"/>
    <x v="31"/>
    <x v="4"/>
    <x v="0"/>
    <n v="360"/>
  </r>
  <r>
    <s v="JUSTIN"/>
    <s v="03"/>
    <s v="CPSWACHU"/>
    <s v="WAUCHULA"/>
    <x v="745"/>
    <x v="10"/>
    <x v="3"/>
    <s v="Invoice"/>
    <s v="100003148"/>
    <x v="191"/>
    <x v="169"/>
    <x v="61"/>
    <x v="0"/>
    <n v="180"/>
  </r>
  <r>
    <s v="JUSTIN"/>
    <s v="03"/>
    <s v="CPSWAVER"/>
    <s v="WAVERLY"/>
    <x v="738"/>
    <x v="10"/>
    <x v="3"/>
    <s v="Invoice"/>
    <s v="100003151"/>
    <x v="35"/>
    <x v="30"/>
    <x v="27"/>
    <x v="0"/>
    <n v="360"/>
  </r>
  <r>
    <s v="JUSTIN"/>
    <s v="03"/>
    <s v="TRIANGLE"/>
    <s v="TRIANGLE/LAKEPL"/>
    <x v="738"/>
    <x v="10"/>
    <x v="3"/>
    <s v="Invoice"/>
    <s v="100003155"/>
    <x v="324"/>
    <x v="286"/>
    <x v="13"/>
    <x v="0"/>
    <n v="1000"/>
  </r>
  <r>
    <s v="JUSTIN"/>
    <s v="03"/>
    <s v="COASTALAGSUPPLY"/>
    <s v="MULBERRY"/>
    <x v="738"/>
    <x v="10"/>
    <x v="3"/>
    <s v="Invoice"/>
    <s v="100003157"/>
    <x v="378"/>
    <x v="332"/>
    <x v="3"/>
    <x v="0"/>
    <n v="540"/>
  </r>
  <r>
    <s v="DPOPPELL"/>
    <s v="04"/>
    <s v="SOUTHERNHILL"/>
    <s v="SCHOFIELD"/>
    <x v="729"/>
    <x v="10"/>
    <x v="3"/>
    <s v="Invoice"/>
    <s v="100003034"/>
    <x v="325"/>
    <x v="288"/>
    <x v="22"/>
    <x v="2"/>
    <n v="1.5"/>
  </r>
  <r>
    <s v="DPOPPELL"/>
    <s v="04"/>
    <s v="IFASGULF"/>
    <s v="BALM-STRAWBERRY"/>
    <x v="740"/>
    <x v="10"/>
    <x v="3"/>
    <s v="Invoice"/>
    <s v="100003045"/>
    <x v="28"/>
    <x v="23"/>
    <x v="22"/>
    <x v="2"/>
    <n v="7.48"/>
  </r>
  <r>
    <s v="DPOPPELL"/>
    <s v="04"/>
    <s v="FERRISFA"/>
    <s v="BLUEBERRY-NEW"/>
    <x v="734"/>
    <x v="10"/>
    <x v="3"/>
    <s v="Invoice"/>
    <s v="100003085"/>
    <x v="62"/>
    <x v="55"/>
    <x v="22"/>
    <x v="2"/>
    <n v="10"/>
  </r>
  <r>
    <s v="DPOPPELL"/>
    <s v="04"/>
    <s v="FLORIDAAG"/>
    <s v="DOVER"/>
    <x v="731"/>
    <x v="10"/>
    <x v="3"/>
    <s v="Invoice"/>
    <s v="100003094"/>
    <x v="580"/>
    <x v="509"/>
    <x v="22"/>
    <x v="2"/>
    <n v="0.15"/>
  </r>
  <r>
    <s v="DPOPPELL"/>
    <s v="04"/>
    <s v="TONYPALAFOX"/>
    <s v="MAILING"/>
    <x v="735"/>
    <x v="10"/>
    <x v="3"/>
    <s v="Invoice"/>
    <s v="100003111"/>
    <x v="136"/>
    <x v="111"/>
    <x v="46"/>
    <x v="0"/>
    <n v="2.5"/>
  </r>
  <r>
    <s v="DPOPPELL"/>
    <s v="04"/>
    <s v="TONYPALAFOX"/>
    <s v="MAILING"/>
    <x v="735"/>
    <x v="10"/>
    <x v="3"/>
    <s v="Invoice"/>
    <s v="100003111"/>
    <x v="34"/>
    <x v="29"/>
    <x v="26"/>
    <x v="0"/>
    <n v="2.5"/>
  </r>
  <r>
    <s v="DPOPPELL"/>
    <s v="04"/>
    <s v="DURGAFARMS"/>
    <s v="MAIN"/>
    <x v="737"/>
    <x v="10"/>
    <x v="3"/>
    <s v="Invoice"/>
    <s v="100003122"/>
    <x v="309"/>
    <x v="273"/>
    <x v="20"/>
    <x v="1"/>
    <n v="800"/>
  </r>
  <r>
    <s v="DPOPPELL"/>
    <s v="04"/>
    <s v="SOUTHERNHILL"/>
    <s v="SCHOFIELD"/>
    <x v="737"/>
    <x v="10"/>
    <x v="3"/>
    <s v="Invoice"/>
    <s v="100003125"/>
    <x v="43"/>
    <x v="38"/>
    <x v="22"/>
    <x v="2"/>
    <n v="3.7650000000000001"/>
  </r>
  <r>
    <s v="DPOPPELL"/>
    <s v="04"/>
    <s v="FLORIDAAG"/>
    <s v="KINGSWAY"/>
    <x v="744"/>
    <x v="10"/>
    <x v="3"/>
    <s v="Invoice"/>
    <s v="100003129"/>
    <x v="581"/>
    <x v="510"/>
    <x v="22"/>
    <x v="2"/>
    <n v="1.272"/>
  </r>
  <r>
    <s v="DPOPPELL"/>
    <s v="04"/>
    <s v="TONYPALAFOX"/>
    <s v="MAILING"/>
    <x v="744"/>
    <x v="10"/>
    <x v="3"/>
    <s v="Invoice"/>
    <s v="100003130"/>
    <x v="582"/>
    <x v="511"/>
    <x v="9"/>
    <x v="0"/>
    <n v="10"/>
  </r>
  <r>
    <s v="DPOPPELL"/>
    <s v="04"/>
    <s v="FLORIDAAG"/>
    <s v="KINGSWAY"/>
    <x v="733"/>
    <x v="10"/>
    <x v="3"/>
    <s v="Invoice"/>
    <s v="100003142"/>
    <x v="326"/>
    <x v="289"/>
    <x v="22"/>
    <x v="2"/>
    <n v="2.2524999999999999"/>
  </r>
  <r>
    <s v="DPOPPELL"/>
    <s v="04"/>
    <s v="TONYPALAFOX"/>
    <s v="MAILING"/>
    <x v="738"/>
    <x v="10"/>
    <x v="3"/>
    <s v="Invoice"/>
    <s v="100003161"/>
    <x v="301"/>
    <x v="264"/>
    <x v="56"/>
    <x v="0"/>
    <n v="2.5"/>
  </r>
  <r>
    <s v=""/>
    <s v="04"/>
    <s v="LITTLECA"/>
    <s v="MAILIING"/>
    <x v="738"/>
    <x v="10"/>
    <x v="3"/>
    <s v="Invoice"/>
    <s v="100003167"/>
    <x v="5"/>
    <x v="72"/>
    <x v="4"/>
    <x v="0"/>
    <n v="2.5"/>
  </r>
  <r>
    <s v="HOUSE"/>
    <s v="05"/>
    <s v="SOUTHERN"/>
    <s v="SOUTHERN AG"/>
    <x v="741"/>
    <x v="10"/>
    <x v="3"/>
    <s v="Invoice"/>
    <s v="100003048A"/>
    <x v="7"/>
    <x v="243"/>
    <x v="6"/>
    <x v="0"/>
    <n v="30"/>
  </r>
  <r>
    <s v="HOUSE"/>
    <s v="05"/>
    <s v="SOUTHERN"/>
    <s v="SOUTHERN AG"/>
    <x v="741"/>
    <x v="10"/>
    <x v="3"/>
    <s v="Invoice"/>
    <s v="100003048A"/>
    <x v="33"/>
    <x v="28"/>
    <x v="2"/>
    <x v="0"/>
    <n v="180"/>
  </r>
  <r>
    <s v="HOUSE"/>
    <s v="05"/>
    <s v="SOUTHERN"/>
    <s v="SOUTHERN AG"/>
    <x v="741"/>
    <x v="10"/>
    <x v="3"/>
    <s v="Invoice"/>
    <s v="100003048A"/>
    <x v="48"/>
    <x v="33"/>
    <x v="28"/>
    <x v="0"/>
    <n v="180"/>
  </r>
  <r>
    <s v="HOUSE"/>
    <s v="05"/>
    <s v="CPSHOMES"/>
    <s v="HOMESTEAD"/>
    <x v="741"/>
    <x v="10"/>
    <x v="3"/>
    <s v="Invoice"/>
    <s v="100003051"/>
    <x v="156"/>
    <x v="138"/>
    <x v="53"/>
    <x v="0"/>
    <n v="360"/>
  </r>
  <r>
    <s v="HOUSE"/>
    <s v="05"/>
    <s v="CPSHOMES"/>
    <s v="HOMESTEAD"/>
    <x v="743"/>
    <x v="10"/>
    <x v="3"/>
    <s v="Invoice"/>
    <s v="100003078"/>
    <x v="48"/>
    <x v="33"/>
    <x v="28"/>
    <x v="0"/>
    <n v="180"/>
  </r>
  <r>
    <s v="HOUSE"/>
    <s v="05"/>
    <s v="CPSBOYNTON"/>
    <s v="BOYNTON BCH"/>
    <x v="734"/>
    <x v="10"/>
    <x v="3"/>
    <s v="Invoice"/>
    <s v="100003086"/>
    <x v="121"/>
    <x v="110"/>
    <x v="1"/>
    <x v="0"/>
    <n v="180"/>
  </r>
  <r>
    <s v="HOUSE"/>
    <s v="05"/>
    <s v="SOUTHERN"/>
    <s v="SOUTHERN AG"/>
    <x v="746"/>
    <x v="10"/>
    <x v="3"/>
    <s v="Invoice"/>
    <s v="100003101"/>
    <x v="22"/>
    <x v="69"/>
    <x v="17"/>
    <x v="0"/>
    <n v="60"/>
  </r>
  <r>
    <s v="HOUSE"/>
    <s v="05"/>
    <s v="DYEADDICTROPE"/>
    <s v="PRIMARY"/>
    <x v="746"/>
    <x v="10"/>
    <x v="3"/>
    <s v="Invoice"/>
    <s v="100003103"/>
    <x v="96"/>
    <x v="90"/>
    <x v="39"/>
    <x v="0"/>
    <n v="25"/>
  </r>
  <r>
    <s v="HOUSE"/>
    <s v="05"/>
    <s v="SOUTHERN"/>
    <s v="SOUTHERN AG"/>
    <x v="736"/>
    <x v="10"/>
    <x v="3"/>
    <s v="Invoice"/>
    <s v="100003110"/>
    <x v="122"/>
    <x v="63"/>
    <x v="33"/>
    <x v="0"/>
    <n v="60"/>
  </r>
  <r>
    <s v=""/>
    <s v="07"/>
    <s v="MILLERBL"/>
    <s v="PALATKA"/>
    <x v="740"/>
    <x v="10"/>
    <x v="3"/>
    <s v="Invoice"/>
    <s v="100003042"/>
    <x v="208"/>
    <x v="184"/>
    <x v="22"/>
    <x v="2"/>
    <n v="15.05"/>
  </r>
  <r>
    <s v="TYLERPIKE"/>
    <s v="07"/>
    <s v="BIG HOUSE FARMS"/>
    <s v="MAYO"/>
    <x v="741"/>
    <x v="10"/>
    <x v="3"/>
    <s v="Invoice"/>
    <s v="100003049"/>
    <x v="312"/>
    <x v="275"/>
    <x v="22"/>
    <x v="2"/>
    <n v="4.5049999999999999"/>
  </r>
  <r>
    <s v="TYLERPIKE"/>
    <s v="07"/>
    <s v="TRIANGLE"/>
    <s v="83FARMS"/>
    <x v="734"/>
    <x v="10"/>
    <x v="3"/>
    <s v="Invoice"/>
    <s v="100003083"/>
    <x v="561"/>
    <x v="494"/>
    <x v="67"/>
    <x v="0"/>
    <n v="180"/>
  </r>
  <r>
    <s v=""/>
    <s v="07"/>
    <s v="MILLERBL"/>
    <s v="PALATKA"/>
    <x v="737"/>
    <x v="10"/>
    <x v="3"/>
    <s v="Invoice"/>
    <s v="100003119"/>
    <x v="112"/>
    <x v="100"/>
    <x v="42"/>
    <x v="0"/>
    <n v="1000"/>
  </r>
  <r>
    <s v=""/>
    <s v="07"/>
    <s v="MILLERBL"/>
    <s v="PALATKA"/>
    <x v="745"/>
    <x v="10"/>
    <x v="3"/>
    <s v="Invoice"/>
    <s v="100003147"/>
    <x v="112"/>
    <x v="100"/>
    <x v="42"/>
    <x v="0"/>
    <n v="500"/>
  </r>
  <r>
    <s v=""/>
    <s v="07"/>
    <s v="MILLERBL"/>
    <s v="PALATKA"/>
    <x v="745"/>
    <x v="10"/>
    <x v="3"/>
    <s v="Invoice"/>
    <s v="100003149"/>
    <x v="208"/>
    <x v="184"/>
    <x v="22"/>
    <x v="2"/>
    <n v="15.04"/>
  </r>
  <r>
    <s v=""/>
    <s v="07"/>
    <s v="SIMPLOT"/>
    <s v="ALACHUA"/>
    <x v="738"/>
    <x v="10"/>
    <x v="3"/>
    <s v="Invoice"/>
    <s v="100003158"/>
    <x v="196"/>
    <x v="172"/>
    <x v="61"/>
    <x v="0"/>
    <n v="180"/>
  </r>
  <r>
    <s v=""/>
    <s v="07"/>
    <s v="BARNESFE"/>
    <s v="HASTINGS"/>
    <x v="738"/>
    <x v="10"/>
    <x v="3"/>
    <s v="Invoice"/>
    <s v="100003159"/>
    <x v="397"/>
    <x v="344"/>
    <x v="102"/>
    <x v="0"/>
    <n v="360"/>
  </r>
  <r>
    <s v=""/>
    <s v="07"/>
    <s v="BARNESFE"/>
    <s v="HASTINGS"/>
    <x v="738"/>
    <x v="10"/>
    <x v="3"/>
    <s v="Invoice"/>
    <s v="100003160"/>
    <x v="101"/>
    <x v="21"/>
    <x v="21"/>
    <x v="0"/>
    <n v="180"/>
  </r>
  <r>
    <s v="DPOPPELL1"/>
    <s v="08"/>
    <s v="PURLEYNK"/>
    <s v="MAIN"/>
    <x v="740"/>
    <x v="10"/>
    <x v="3"/>
    <s v="Invoice"/>
    <s v="100003044"/>
    <x v="53"/>
    <x v="46"/>
    <x v="22"/>
    <x v="2"/>
    <n v="0.15"/>
  </r>
  <r>
    <s v="DPOPPELL1"/>
    <s v="08"/>
    <s v="MAYO"/>
    <s v="PLANTCITY"/>
    <x v="730"/>
    <x v="10"/>
    <x v="3"/>
    <s v="Invoice"/>
    <s v="100003062"/>
    <x v="563"/>
    <x v="496"/>
    <x v="22"/>
    <x v="2"/>
    <n v="5.5"/>
  </r>
  <r>
    <s v="DPOPPELL1"/>
    <s v="08"/>
    <s v="COASTALAGSUPPLY"/>
    <s v="MAILING"/>
    <x v="742"/>
    <x v="10"/>
    <x v="3"/>
    <s v="Invoice"/>
    <s v="100003071"/>
    <x v="75"/>
    <x v="68"/>
    <x v="22"/>
    <x v="2"/>
    <n v="1.25"/>
  </r>
  <r>
    <s v="DPOPPELL1"/>
    <s v="08"/>
    <s v="MAYO"/>
    <s v="PLANTCITY"/>
    <x v="742"/>
    <x v="10"/>
    <x v="3"/>
    <s v="Invoice"/>
    <s v="100003074"/>
    <x v="125"/>
    <x v="113"/>
    <x v="22"/>
    <x v="2"/>
    <n v="3.76"/>
  </r>
  <r>
    <s v="GEORGIA"/>
    <s v="09"/>
    <s v="CPSCAROLINAS"/>
    <s v="UAP/HENDERSONV"/>
    <x v="741"/>
    <x v="10"/>
    <x v="3"/>
    <s v="Invoice"/>
    <s v="100003060"/>
    <x v="5"/>
    <x v="72"/>
    <x v="4"/>
    <x v="0"/>
    <n v="180"/>
  </r>
  <r>
    <s v="GEORGIA"/>
    <s v="09"/>
    <s v="CAROLINATU"/>
    <s v="HOPEVALLEY"/>
    <x v="742"/>
    <x v="10"/>
    <x v="3"/>
    <s v="Invoice"/>
    <s v="100003075"/>
    <x v="217"/>
    <x v="192"/>
    <x v="56"/>
    <x v="0"/>
    <n v="250"/>
  </r>
  <r>
    <s v="GEORGIA"/>
    <s v="09"/>
    <s v="CAROLINATU"/>
    <s v="SALISBURY"/>
    <x v="734"/>
    <x v="10"/>
    <x v="3"/>
    <s v="Invoice"/>
    <s v="100003088"/>
    <x v="249"/>
    <x v="222"/>
    <x v="70"/>
    <x v="0"/>
    <n v="10"/>
  </r>
  <r>
    <s v="GEORGIA"/>
    <s v="09"/>
    <s v="CAROLINATU"/>
    <s v="SALISBURY"/>
    <x v="734"/>
    <x v="10"/>
    <x v="3"/>
    <s v="Invoice"/>
    <s v="100003088"/>
    <x v="259"/>
    <x v="226"/>
    <x v="106"/>
    <x v="0"/>
    <n v="15"/>
  </r>
  <r>
    <s v="CSWAFFORD"/>
    <s v="09"/>
    <s v="GREENRES"/>
    <s v="OCEAN HWY-NC"/>
    <x v="746"/>
    <x v="10"/>
    <x v="3"/>
    <s v="Invoice"/>
    <s v="100003104"/>
    <x v="211"/>
    <x v="187"/>
    <x v="17"/>
    <x v="0"/>
    <n v="90"/>
  </r>
  <r>
    <s v="CSWAFFORD"/>
    <s v="09"/>
    <s v="GREENRES"/>
    <s v="OCEAN HWY-NC"/>
    <x v="746"/>
    <x v="10"/>
    <x v="3"/>
    <s v="Invoice"/>
    <s v="100003104"/>
    <x v="109"/>
    <x v="80"/>
    <x v="2"/>
    <x v="0"/>
    <n v="275"/>
  </r>
  <r>
    <s v="CSWAFFORD"/>
    <s v="09"/>
    <s v="GREENRES"/>
    <s v="OCEAN HWY-NC"/>
    <x v="746"/>
    <x v="10"/>
    <x v="3"/>
    <s v="Invoice"/>
    <s v="100003104"/>
    <x v="3"/>
    <x v="80"/>
    <x v="2"/>
    <x v="0"/>
    <n v="360"/>
  </r>
  <r>
    <s v="GEORGIA"/>
    <s v="09"/>
    <s v="CAROLINATU"/>
    <s v="PRIMLANDRESORT"/>
    <x v="733"/>
    <x v="10"/>
    <x v="3"/>
    <s v="Invoice"/>
    <s v="100003145"/>
    <x v="163"/>
    <x v="227"/>
    <x v="56"/>
    <x v="0"/>
    <n v="15"/>
  </r>
  <r>
    <s v="CSWAFFORD"/>
    <s v="12"/>
    <s v="GOLFVENTURES"/>
    <s v="PALMMAGNOLIA"/>
    <x v="729"/>
    <x v="10"/>
    <x v="3"/>
    <s v="Invoice"/>
    <s v="100003033A"/>
    <x v="373"/>
    <x v="375"/>
    <x v="82"/>
    <x v="0"/>
    <n v="250"/>
  </r>
  <r>
    <s v="CSWAFFORD"/>
    <s v="12"/>
    <s v="GOLFVENTURES"/>
    <s v="RIVERSTRAND"/>
    <x v="740"/>
    <x v="10"/>
    <x v="3"/>
    <s v="Invoice"/>
    <s v="100003037"/>
    <x v="338"/>
    <x v="419"/>
    <x v="8"/>
    <x v="0"/>
    <n v="250"/>
  </r>
  <r>
    <s v="CSWAFFORD"/>
    <s v="12"/>
    <s v="GOLFVENTURES"/>
    <s v="MAIN"/>
    <x v="740"/>
    <x v="10"/>
    <x v="3"/>
    <s v="Invoice"/>
    <s v="100003039"/>
    <x v="583"/>
    <x v="267"/>
    <x v="80"/>
    <x v="0"/>
    <n v="55"/>
  </r>
  <r>
    <s v="CSWAFFORD"/>
    <s v="12"/>
    <s v="GOLFVENTURES"/>
    <s v="MAIN"/>
    <x v="740"/>
    <x v="10"/>
    <x v="3"/>
    <s v="Invoice"/>
    <s v="100003040"/>
    <x v="385"/>
    <x v="321"/>
    <x v="96"/>
    <x v="0"/>
    <n v="55"/>
  </r>
  <r>
    <s v="CSWAFFORD"/>
    <s v="12"/>
    <s v="GOLFVENTURES"/>
    <s v="MAIN"/>
    <x v="740"/>
    <x v="10"/>
    <x v="3"/>
    <s v="Invoice"/>
    <s v="100003041"/>
    <x v="303"/>
    <x v="267"/>
    <x v="80"/>
    <x v="0"/>
    <n v="90"/>
  </r>
  <r>
    <s v="CSWAFFORD"/>
    <s v="12"/>
    <s v="GOLFVENTURES"/>
    <s v="MAIN"/>
    <x v="740"/>
    <x v="10"/>
    <x v="3"/>
    <s v="Invoice"/>
    <s v="100003041"/>
    <x v="370"/>
    <x v="320"/>
    <x v="63"/>
    <x v="0"/>
    <n v="90"/>
  </r>
  <r>
    <s v="CSWAFFORD"/>
    <s v="12"/>
    <s v="NUTRATURF"/>
    <s v="CRUMP ST, NC"/>
    <x v="740"/>
    <x v="10"/>
    <x v="3"/>
    <s v="Invoice"/>
    <s v="100003043"/>
    <x v="257"/>
    <x v="371"/>
    <x v="3"/>
    <x v="0"/>
    <n v="250"/>
  </r>
  <r>
    <s v="CSWAFFORD"/>
    <s v="12"/>
    <s v="NUTRATURF"/>
    <s v="CRUMP ST, NC"/>
    <x v="740"/>
    <x v="10"/>
    <x v="3"/>
    <s v="Invoice"/>
    <s v="100003043"/>
    <x v="84"/>
    <x v="76"/>
    <x v="11"/>
    <x v="0"/>
    <n v="55"/>
  </r>
  <r>
    <s v="CSWAFFORD"/>
    <s v="12"/>
    <s v="NUTRATURF"/>
    <s v="CRUMP ST, NC"/>
    <x v="740"/>
    <x v="10"/>
    <x v="3"/>
    <s v="Invoice"/>
    <s v="100003043"/>
    <x v="83"/>
    <x v="69"/>
    <x v="17"/>
    <x v="0"/>
    <n v="250"/>
  </r>
  <r>
    <s v="CSWAFFORD"/>
    <s v="12"/>
    <s v="NUTRATURF"/>
    <s v="CRUMP ST, NC"/>
    <x v="740"/>
    <x v="10"/>
    <x v="3"/>
    <s v="Invoice"/>
    <s v="100003043"/>
    <x v="82"/>
    <x v="75"/>
    <x v="26"/>
    <x v="0"/>
    <n v="55"/>
  </r>
  <r>
    <s v="CSWAFFORD"/>
    <s v="12"/>
    <s v="NUTRATURF"/>
    <s v="CRUMP ST, NC"/>
    <x v="740"/>
    <x v="10"/>
    <x v="3"/>
    <s v="Invoice"/>
    <s v="100003043"/>
    <x v="81"/>
    <x v="74"/>
    <x v="13"/>
    <x v="0"/>
    <n v="55"/>
  </r>
  <r>
    <s v="CSWAFFORD"/>
    <s v="12"/>
    <s v="NUTRATURF"/>
    <s v="CRUMP ST, NC"/>
    <x v="740"/>
    <x v="10"/>
    <x v="3"/>
    <s v="Invoice"/>
    <s v="100003043"/>
    <x v="79"/>
    <x v="72"/>
    <x v="4"/>
    <x v="0"/>
    <n v="165"/>
  </r>
  <r>
    <s v="CSWAFFORD"/>
    <s v="12"/>
    <s v="NUTRATURF"/>
    <s v="CRUMP ST, NC"/>
    <x v="740"/>
    <x v="10"/>
    <x v="3"/>
    <s v="Invoice"/>
    <s v="100003043"/>
    <x v="251"/>
    <x v="28"/>
    <x v="2"/>
    <x v="0"/>
    <n v="55"/>
  </r>
  <r>
    <s v="CSWAFFORD"/>
    <s v="12"/>
    <s v="NUTRATURF"/>
    <s v="CRUMP ST, NC"/>
    <x v="740"/>
    <x v="10"/>
    <x v="3"/>
    <s v="Invoice"/>
    <s v="100003043"/>
    <x v="187"/>
    <x v="174"/>
    <x v="14"/>
    <x v="0"/>
    <n v="55"/>
  </r>
  <r>
    <s v="CSWAFFORD"/>
    <s v="12"/>
    <s v="GOLFVENTURES"/>
    <s v="HOBESOUND"/>
    <x v="741"/>
    <x v="10"/>
    <x v="3"/>
    <s v="Invoice"/>
    <s v="100003046"/>
    <x v="373"/>
    <x v="375"/>
    <x v="82"/>
    <x v="0"/>
    <n v="250"/>
  </r>
  <r>
    <s v="CSWAFFORD"/>
    <s v="12"/>
    <s v="GOLFVENTURES"/>
    <s v="HOBESOUND"/>
    <x v="741"/>
    <x v="10"/>
    <x v="3"/>
    <s v="Invoice"/>
    <s v="100003046"/>
    <x v="120"/>
    <x v="299"/>
    <x v="45"/>
    <x v="0"/>
    <n v="250"/>
  </r>
  <r>
    <s v="CSWAFFORD"/>
    <s v="12"/>
    <s v="GOLFVENTURES"/>
    <s v="MAIN"/>
    <x v="742"/>
    <x v="10"/>
    <x v="3"/>
    <s v="Invoice"/>
    <s v="100003067"/>
    <x v="457"/>
    <x v="512"/>
    <x v="95"/>
    <x v="0"/>
    <n v="60"/>
  </r>
  <r>
    <s v="CSWAFFORD"/>
    <s v="12"/>
    <s v="GOLFVENTURES"/>
    <s v="MAIN"/>
    <x v="742"/>
    <x v="10"/>
    <x v="3"/>
    <s v="Invoice"/>
    <s v="100003067"/>
    <x v="333"/>
    <x v="282"/>
    <x v="87"/>
    <x v="0"/>
    <n v="60"/>
  </r>
  <r>
    <s v="CSWAFFORD"/>
    <s v="12"/>
    <s v="GOLFVENTURES"/>
    <s v="MAIN"/>
    <x v="742"/>
    <x v="10"/>
    <x v="3"/>
    <s v="Invoice"/>
    <s v="100003067"/>
    <x v="364"/>
    <x v="321"/>
    <x v="96"/>
    <x v="0"/>
    <n v="60"/>
  </r>
  <r>
    <s v="CSWAFFORD"/>
    <s v="12"/>
    <s v="GOLFVENTURES"/>
    <s v="MAIN"/>
    <x v="742"/>
    <x v="10"/>
    <x v="3"/>
    <s v="Invoice"/>
    <s v="100003068"/>
    <x v="424"/>
    <x v="362"/>
    <x v="47"/>
    <x v="0"/>
    <n v="60"/>
  </r>
  <r>
    <s v="CSWAFFORD"/>
    <s v="12"/>
    <s v="GOLFVENTURES"/>
    <s v="MAIN"/>
    <x v="742"/>
    <x v="10"/>
    <x v="3"/>
    <s v="Invoice"/>
    <s v="100003068"/>
    <x v="439"/>
    <x v="297"/>
    <x v="91"/>
    <x v="0"/>
    <n v="60"/>
  </r>
  <r>
    <s v="CSWAFFORD"/>
    <s v="12"/>
    <s v="GOLFVENTURES"/>
    <s v="MAIN"/>
    <x v="742"/>
    <x v="10"/>
    <x v="3"/>
    <s v="Invoice"/>
    <s v="100003068"/>
    <x v="169"/>
    <x v="497"/>
    <x v="0"/>
    <x v="0"/>
    <n v="60"/>
  </r>
  <r>
    <s v="CSWAFFORD"/>
    <s v="12"/>
    <s v="GOLFVENTURES"/>
    <s v="MAIN"/>
    <x v="742"/>
    <x v="10"/>
    <x v="3"/>
    <s v="Invoice"/>
    <s v="100003069"/>
    <x v="584"/>
    <x v="378"/>
    <x v="109"/>
    <x v="0"/>
    <n v="55"/>
  </r>
  <r>
    <s v="CSWAFFORD"/>
    <s v="12"/>
    <s v="GOLFVENTURES"/>
    <s v="MAIN"/>
    <x v="743"/>
    <x v="10"/>
    <x v="3"/>
    <s v="Invoice"/>
    <s v="100003079"/>
    <x v="209"/>
    <x v="513"/>
    <x v="63"/>
    <x v="0"/>
    <n v="60"/>
  </r>
  <r>
    <s v="CSWAFFORD"/>
    <s v="12"/>
    <s v="GOLFVENTURES"/>
    <s v="MAIN"/>
    <x v="743"/>
    <x v="10"/>
    <x v="3"/>
    <s v="Invoice"/>
    <s v="100003079"/>
    <x v="12"/>
    <x v="514"/>
    <x v="11"/>
    <x v="0"/>
    <n v="60"/>
  </r>
  <r>
    <s v="CSWAFFORD"/>
    <s v="12"/>
    <s v="GOLFVENTURES"/>
    <s v="MAIN"/>
    <x v="743"/>
    <x v="10"/>
    <x v="3"/>
    <s v="Invoice"/>
    <s v="100003079"/>
    <x v="336"/>
    <x v="292"/>
    <x v="36"/>
    <x v="0"/>
    <n v="60"/>
  </r>
  <r>
    <s v="CSWAFFORD"/>
    <s v="12"/>
    <s v="GOLFVENTURES"/>
    <s v="CAPUTOPEST"/>
    <x v="743"/>
    <x v="10"/>
    <x v="3"/>
    <s v="Invoice"/>
    <s v="100003081"/>
    <x v="585"/>
    <x v="18"/>
    <x v="18"/>
    <x v="0"/>
    <n v="110"/>
  </r>
  <r>
    <s v="CSWAFFORD"/>
    <s v="12"/>
    <s v="GOLFVENTURES"/>
    <s v="THEYACHT&amp;CC"/>
    <x v="743"/>
    <x v="10"/>
    <x v="3"/>
    <s v="Invoice"/>
    <s v="100003082"/>
    <x v="320"/>
    <x v="282"/>
    <x v="87"/>
    <x v="0"/>
    <n v="250"/>
  </r>
  <r>
    <s v="CSWAFFORD"/>
    <s v="12"/>
    <s v="GOLFVENTURES"/>
    <s v="THEYACHT&amp;CC"/>
    <x v="743"/>
    <x v="10"/>
    <x v="3"/>
    <s v="Invoice"/>
    <s v="100003082"/>
    <x v="112"/>
    <x v="100"/>
    <x v="42"/>
    <x v="0"/>
    <n v="250"/>
  </r>
  <r>
    <s v="CSWAFFORD"/>
    <s v="12"/>
    <s v="GOLFVENTURES"/>
    <s v="MAIN"/>
    <x v="747"/>
    <x v="10"/>
    <x v="3"/>
    <s v="Invoice"/>
    <s v="100003089"/>
    <x v="303"/>
    <x v="267"/>
    <x v="80"/>
    <x v="0"/>
    <n v="90"/>
  </r>
  <r>
    <s v="CSWAFFORD"/>
    <s v="12"/>
    <s v="GOLFVENTURES"/>
    <s v="MAIN"/>
    <x v="747"/>
    <x v="10"/>
    <x v="3"/>
    <s v="Invoice"/>
    <s v="100003089"/>
    <x v="371"/>
    <x v="283"/>
    <x v="88"/>
    <x v="0"/>
    <n v="90"/>
  </r>
  <r>
    <s v="CSWAFFORD"/>
    <s v="12"/>
    <s v="GOLFVENTURES"/>
    <s v="COUNTRYBOY"/>
    <x v="731"/>
    <x v="10"/>
    <x v="3"/>
    <s v="Invoice"/>
    <s v="100003091"/>
    <x v="353"/>
    <x v="313"/>
    <x v="49"/>
    <x v="0"/>
    <n v="250"/>
  </r>
  <r>
    <s v="CSWAFFORD"/>
    <s v="12"/>
    <s v="GOLFVENTURES"/>
    <s v="NAPLESHERITAGE"/>
    <x v="746"/>
    <x v="10"/>
    <x v="3"/>
    <s v="Invoice"/>
    <s v="100003099"/>
    <x v="372"/>
    <x v="515"/>
    <x v="43"/>
    <x v="0"/>
    <n v="250"/>
  </r>
  <r>
    <s v="CSWAFFORD"/>
    <s v="12"/>
    <s v="GOLFVENTURES"/>
    <s v="BRADENTONCC"/>
    <x v="746"/>
    <x v="10"/>
    <x v="3"/>
    <s v="Invoice"/>
    <s v="100003100"/>
    <x v="330"/>
    <x v="292"/>
    <x v="36"/>
    <x v="0"/>
    <n v="250"/>
  </r>
  <r>
    <s v="CSWAFFORD"/>
    <s v="12"/>
    <s v="GOLFVENTURES"/>
    <s v="BRADENTONCC"/>
    <x v="746"/>
    <x v="10"/>
    <x v="3"/>
    <s v="Invoice"/>
    <s v="100003100"/>
    <x v="320"/>
    <x v="282"/>
    <x v="87"/>
    <x v="0"/>
    <n v="250"/>
  </r>
  <r>
    <s v="CSWAFFORD"/>
    <s v="12"/>
    <s v="GOLFVENTURES"/>
    <s v="ANGELPARKGC"/>
    <x v="736"/>
    <x v="10"/>
    <x v="3"/>
    <s v="Invoice"/>
    <s v="100003112"/>
    <x v="568"/>
    <x v="502"/>
    <x v="75"/>
    <x v="0"/>
    <n v="275"/>
  </r>
  <r>
    <s v="CSWAFFORD"/>
    <s v="12"/>
    <s v="GOLFVENTURES"/>
    <s v="ANGELPARKGC"/>
    <x v="736"/>
    <x v="10"/>
    <x v="3"/>
    <s v="Invoice"/>
    <s v="100003112"/>
    <x v="338"/>
    <x v="419"/>
    <x v="8"/>
    <x v="0"/>
    <n v="275"/>
  </r>
  <r>
    <s v="CSWAFFORD"/>
    <s v="12"/>
    <s v="GOLFVENTURES"/>
    <s v="PINETREEGC"/>
    <x v="732"/>
    <x v="10"/>
    <x v="3"/>
    <s v="Invoice"/>
    <s v="100003115"/>
    <x v="319"/>
    <x v="281"/>
    <x v="42"/>
    <x v="0"/>
    <n v="275"/>
  </r>
  <r>
    <s v="CSWAFFORD"/>
    <s v="12"/>
    <s v="GOLFVENTURES"/>
    <s v="MAIN"/>
    <x v="737"/>
    <x v="10"/>
    <x v="3"/>
    <s v="Invoice"/>
    <s v="100003123"/>
    <x v="575"/>
    <x v="507"/>
    <x v="132"/>
    <x v="0"/>
    <n v="10"/>
  </r>
  <r>
    <s v="CSWAFFORD"/>
    <s v="12"/>
    <s v="GOLFVENTURES"/>
    <s v="MAIN"/>
    <x v="737"/>
    <x v="10"/>
    <x v="3"/>
    <s v="Invoice"/>
    <s v="100003124"/>
    <x v="586"/>
    <x v="507"/>
    <x v="132"/>
    <x v="0"/>
    <n v="30"/>
  </r>
  <r>
    <s v="CSWAFFORD"/>
    <s v="12"/>
    <s v="GOLFVENTURES"/>
    <s v="ATLANTICFIELDS"/>
    <x v="744"/>
    <x v="10"/>
    <x v="3"/>
    <s v="Invoice"/>
    <s v="100003126"/>
    <x v="354"/>
    <x v="314"/>
    <x v="95"/>
    <x v="0"/>
    <n v="250"/>
  </r>
  <r>
    <s v="CSWAFFORD"/>
    <s v="12"/>
    <s v="GOLFVENTURES"/>
    <s v="ATLANTICFIELDS"/>
    <x v="744"/>
    <x v="10"/>
    <x v="3"/>
    <s v="Invoice"/>
    <s v="100003126"/>
    <x v="120"/>
    <x v="299"/>
    <x v="45"/>
    <x v="0"/>
    <n v="250"/>
  </r>
  <r>
    <s v="CSWAFFORD"/>
    <s v="12"/>
    <s v="JRMINC"/>
    <s v="CHEMICALDYNAMIC"/>
    <x v="744"/>
    <x v="10"/>
    <x v="3"/>
    <s v="Invoice"/>
    <s v="100003133"/>
    <x v="454"/>
    <x v="390"/>
    <x v="113"/>
    <x v="0"/>
    <n v="90"/>
  </r>
  <r>
    <s v="CSWAFFORD"/>
    <s v="12"/>
    <s v="JRMINC"/>
    <s v="CHEMICALDYNAMIC"/>
    <x v="744"/>
    <x v="10"/>
    <x v="3"/>
    <s v="Invoice"/>
    <s v="100003133"/>
    <x v="453"/>
    <x v="389"/>
    <x v="5"/>
    <x v="0"/>
    <n v="90"/>
  </r>
  <r>
    <s v="CSWAFFORD"/>
    <s v="12"/>
    <s v="JRMINC"/>
    <s v="CHEMICALDYNAMIC"/>
    <x v="744"/>
    <x v="10"/>
    <x v="3"/>
    <s v="Invoice"/>
    <s v="100003133"/>
    <x v="209"/>
    <x v="400"/>
    <x v="63"/>
    <x v="0"/>
    <n v="90"/>
  </r>
  <r>
    <s v="CSWAFFORD"/>
    <s v="12"/>
    <s v="JRMINC"/>
    <s v="CHEMICALDYNAMIC"/>
    <x v="744"/>
    <x v="10"/>
    <x v="3"/>
    <s v="Invoice"/>
    <s v="100003133"/>
    <x v="424"/>
    <x v="362"/>
    <x v="47"/>
    <x v="0"/>
    <n v="180"/>
  </r>
  <r>
    <s v="CSWAFFORD"/>
    <s v="12"/>
    <s v="JRMINC"/>
    <s v="CHEMICALDYNAMIC"/>
    <x v="744"/>
    <x v="10"/>
    <x v="3"/>
    <s v="Invoice"/>
    <s v="100003133"/>
    <x v="460"/>
    <x v="402"/>
    <x v="115"/>
    <x v="0"/>
    <n v="90"/>
  </r>
  <r>
    <s v="CSWAFFORD"/>
    <s v="12"/>
    <s v="JRMINC"/>
    <s v="CHEMICALDYNAMIC"/>
    <x v="744"/>
    <x v="10"/>
    <x v="3"/>
    <s v="Invoice"/>
    <s v="100003133"/>
    <x v="456"/>
    <x v="392"/>
    <x v="10"/>
    <x v="0"/>
    <n v="90"/>
  </r>
  <r>
    <s v="CSWAFFORD"/>
    <s v="12"/>
    <s v="GOLFVENTURES"/>
    <s v="MAIN"/>
    <x v="748"/>
    <x v="10"/>
    <x v="3"/>
    <s v="Invoice"/>
    <s v="100003134"/>
    <x v="439"/>
    <x v="297"/>
    <x v="91"/>
    <x v="0"/>
    <n v="90"/>
  </r>
  <r>
    <s v="CSWAFFORD"/>
    <s v="12"/>
    <s v="GOLFVENTURES"/>
    <s v="MAIN"/>
    <x v="748"/>
    <x v="10"/>
    <x v="3"/>
    <s v="Invoice"/>
    <s v="100003134"/>
    <x v="3"/>
    <x v="411"/>
    <x v="2"/>
    <x v="0"/>
    <n v="90"/>
  </r>
  <r>
    <s v="CSWAFFORD"/>
    <s v="12"/>
    <s v="GOLFVENTURES"/>
    <s v="HIDEAWAY"/>
    <x v="733"/>
    <x v="10"/>
    <x v="3"/>
    <s v="Invoice"/>
    <s v="100003136"/>
    <x v="317"/>
    <x v="267"/>
    <x v="80"/>
    <x v="0"/>
    <n v="250"/>
  </r>
  <r>
    <s v="CSWAFFORD"/>
    <s v="12"/>
    <s v="JRMINC"/>
    <s v="RIVERSTRAND"/>
    <x v="733"/>
    <x v="10"/>
    <x v="3"/>
    <s v="Invoice"/>
    <s v="100003137"/>
    <x v="587"/>
    <x v="421"/>
    <x v="117"/>
    <x v="0"/>
    <n v="250"/>
  </r>
  <r>
    <s v="CSWAFFORD"/>
    <s v="12"/>
    <s v="GOLFVENTURES"/>
    <s v="HIDEAWAY"/>
    <x v="733"/>
    <x v="10"/>
    <x v="3"/>
    <s v="Invoice"/>
    <s v="100003141"/>
    <x v="366"/>
    <x v="336"/>
    <x v="22"/>
    <x v="2"/>
    <n v="1.2675000000000001"/>
  </r>
  <r>
    <s v="CSWAFFORD"/>
    <s v="12"/>
    <s v="GOLFVENTURES"/>
    <s v="MAIN"/>
    <x v="733"/>
    <x v="10"/>
    <x v="3"/>
    <s v="Invoice"/>
    <s v="100003146"/>
    <x v="474"/>
    <x v="418"/>
    <x v="116"/>
    <x v="0"/>
    <n v="30"/>
  </r>
  <r>
    <s v="CSWAFFORD"/>
    <s v="12"/>
    <s v="GOLFVENTURES"/>
    <s v="SUNTREECC"/>
    <x v="738"/>
    <x v="10"/>
    <x v="3"/>
    <s v="Invoice"/>
    <s v="100003152"/>
    <x v="298"/>
    <x v="299"/>
    <x v="45"/>
    <x v="0"/>
    <n v="55"/>
  </r>
  <r>
    <s v="CSWAFFORD"/>
    <s v="12"/>
    <s v="GOLFVENTURES"/>
    <s v="MAIN"/>
    <x v="749"/>
    <x v="10"/>
    <x v="3"/>
    <s v="Invoice"/>
    <s v="100003166A"/>
    <x v="442"/>
    <x v="378"/>
    <x v="109"/>
    <x v="0"/>
    <n v="250"/>
  </r>
  <r>
    <s v="HAP"/>
    <s v="01"/>
    <s v="GREENWAY"/>
    <s v="AVILAGOLFCLUB"/>
    <x v="750"/>
    <x v="11"/>
    <x v="3"/>
    <s v="Invoice"/>
    <s v="100003222"/>
    <x v="6"/>
    <x v="5"/>
    <x v="5"/>
    <x v="0"/>
    <n v="10"/>
  </r>
  <r>
    <s v="HAP"/>
    <s v="01"/>
    <s v="GREENWAY"/>
    <s v="AVILAGOLFCLUB"/>
    <x v="750"/>
    <x v="11"/>
    <x v="3"/>
    <s v="Invoice"/>
    <s v="100003222"/>
    <x v="222"/>
    <x v="196"/>
    <x v="65"/>
    <x v="0"/>
    <n v="10"/>
  </r>
  <r>
    <s v="HAP"/>
    <s v="01"/>
    <s v="GREENWAY"/>
    <s v="AVILAGOLFCLUB"/>
    <x v="750"/>
    <x v="11"/>
    <x v="3"/>
    <s v="Invoice"/>
    <s v="100003222"/>
    <x v="5"/>
    <x v="4"/>
    <x v="4"/>
    <x v="0"/>
    <n v="10"/>
  </r>
  <r>
    <s v="HAP"/>
    <s v="01"/>
    <s v="GREENWAY"/>
    <s v="AVILAGOLFCLUB"/>
    <x v="750"/>
    <x v="11"/>
    <x v="3"/>
    <s v="Invoice"/>
    <s v="100003222"/>
    <x v="21"/>
    <x v="16"/>
    <x v="16"/>
    <x v="0"/>
    <n v="10"/>
  </r>
  <r>
    <s v="HAP"/>
    <s v="01"/>
    <s v="GREENWAY"/>
    <s v="WAREHOUSE"/>
    <x v="751"/>
    <x v="11"/>
    <x v="3"/>
    <s v="Invoice"/>
    <s v="100003226"/>
    <x v="6"/>
    <x v="5"/>
    <x v="5"/>
    <x v="0"/>
    <n v="120"/>
  </r>
  <r>
    <s v="HAP"/>
    <s v="01"/>
    <s v="GREENWAY"/>
    <s v="WAREHOUSE"/>
    <x v="751"/>
    <x v="11"/>
    <x v="3"/>
    <s v="Invoice"/>
    <s v="100003226"/>
    <x v="21"/>
    <x v="16"/>
    <x v="16"/>
    <x v="0"/>
    <n v="120"/>
  </r>
  <r>
    <s v="HAP"/>
    <s v="01"/>
    <s v="GREENWAY"/>
    <s v="WAREHOUSE"/>
    <x v="751"/>
    <x v="11"/>
    <x v="3"/>
    <s v="Invoice"/>
    <s v="100003226"/>
    <x v="2"/>
    <x v="0"/>
    <x v="0"/>
    <x v="0"/>
    <n v="120"/>
  </r>
  <r>
    <s v="HAP"/>
    <s v="01"/>
    <s v="GREENWAY"/>
    <s v="WAREHOUSE"/>
    <x v="751"/>
    <x v="11"/>
    <x v="3"/>
    <s v="Invoice"/>
    <s v="100003226"/>
    <x v="3"/>
    <x v="379"/>
    <x v="2"/>
    <x v="0"/>
    <n v="120"/>
  </r>
  <r>
    <s v="HAP"/>
    <s v="01"/>
    <s v="GREENWAY"/>
    <s v="WAREHOUSE"/>
    <x v="751"/>
    <x v="11"/>
    <x v="3"/>
    <s v="Invoice"/>
    <s v="100003226"/>
    <x v="5"/>
    <x v="4"/>
    <x v="4"/>
    <x v="0"/>
    <n v="60"/>
  </r>
  <r>
    <s v="HAP"/>
    <s v="01"/>
    <s v="GREENWAY"/>
    <s v="WAREHOUSE"/>
    <x v="751"/>
    <x v="11"/>
    <x v="3"/>
    <s v="Invoice"/>
    <s v="100003226"/>
    <x v="222"/>
    <x v="196"/>
    <x v="65"/>
    <x v="0"/>
    <n v="60"/>
  </r>
  <r>
    <s v="HAP"/>
    <s v="01"/>
    <s v="GREENWAY"/>
    <s v="MIZNER C. CLUB"/>
    <x v="752"/>
    <x v="11"/>
    <x v="3"/>
    <s v="Invoice"/>
    <s v="100003248"/>
    <x v="2"/>
    <x v="0"/>
    <x v="0"/>
    <x v="0"/>
    <n v="100"/>
  </r>
  <r>
    <s v="HAP"/>
    <s v="01"/>
    <s v="GREENWAY"/>
    <s v="MIZNER C. CLUB"/>
    <x v="752"/>
    <x v="11"/>
    <x v="3"/>
    <s v="Invoice"/>
    <s v="100003248"/>
    <x v="5"/>
    <x v="4"/>
    <x v="4"/>
    <x v="0"/>
    <n v="100"/>
  </r>
  <r>
    <s v="HAP"/>
    <s v="01"/>
    <s v="GREENWAY"/>
    <s v="MIZNER C. CLUB"/>
    <x v="752"/>
    <x v="11"/>
    <x v="3"/>
    <s v="Invoice"/>
    <s v="100003248"/>
    <x v="6"/>
    <x v="5"/>
    <x v="5"/>
    <x v="0"/>
    <n v="50"/>
  </r>
  <r>
    <s v="HAP"/>
    <s v="01"/>
    <s v="GREENWAY"/>
    <s v="MIZNER C. CLUB"/>
    <x v="752"/>
    <x v="11"/>
    <x v="3"/>
    <s v="Invoice"/>
    <s v="100003248"/>
    <x v="3"/>
    <x v="379"/>
    <x v="2"/>
    <x v="0"/>
    <n v="50"/>
  </r>
  <r>
    <s v="HAP"/>
    <s v="01"/>
    <s v="GREENWAY"/>
    <s v="AVILAGOLFCLUB"/>
    <x v="753"/>
    <x v="11"/>
    <x v="3"/>
    <s v="Invoice"/>
    <s v="100003279"/>
    <x v="88"/>
    <x v="2"/>
    <x v="2"/>
    <x v="0"/>
    <n v="55"/>
  </r>
  <r>
    <s v="HAP"/>
    <s v="01"/>
    <s v="GREENWAY"/>
    <s v="AVILAGOLFCLUB"/>
    <x v="753"/>
    <x v="11"/>
    <x v="3"/>
    <s v="Invoice"/>
    <s v="100003279"/>
    <x v="0"/>
    <x v="0"/>
    <x v="0"/>
    <x v="0"/>
    <n v="55"/>
  </r>
  <r>
    <s v="DAVID"/>
    <s v="02"/>
    <s v="EVOQUAWATER"/>
    <s v="COUNTYOFCOLLIER"/>
    <x v="754"/>
    <x v="11"/>
    <x v="3"/>
    <s v="Invoice"/>
    <s v="100003189"/>
    <x v="295"/>
    <x v="231"/>
    <x v="54"/>
    <x v="0"/>
    <n v="150"/>
  </r>
  <r>
    <s v="DAVID"/>
    <s v="02"/>
    <s v="TARGETSPECIALTY"/>
    <s v="TAMPA"/>
    <x v="754"/>
    <x v="11"/>
    <x v="3"/>
    <s v="Invoice"/>
    <s v="100003196"/>
    <x v="283"/>
    <x v="19"/>
    <x v="19"/>
    <x v="0"/>
    <n v="55"/>
  </r>
  <r>
    <s v="DAVID"/>
    <s v="02"/>
    <s v="EVOQUAWATER"/>
    <s v="STOR-N-MORE"/>
    <x v="755"/>
    <x v="11"/>
    <x v="3"/>
    <s v="Invoice"/>
    <s v="100003199"/>
    <x v="160"/>
    <x v="231"/>
    <x v="54"/>
    <x v="0"/>
    <n v="360"/>
  </r>
  <r>
    <s v="DAVID"/>
    <s v="02"/>
    <s v="SUNNILAND"/>
    <s v="LONGWOOD"/>
    <x v="756"/>
    <x v="11"/>
    <x v="3"/>
    <s v="Invoice"/>
    <s v="100003205A"/>
    <x v="124"/>
    <x v="112"/>
    <x v="20"/>
    <x v="1"/>
    <n v="21580"/>
  </r>
  <r>
    <s v="DAVID"/>
    <s v="02"/>
    <s v="EVOQUAWATER"/>
    <s v="MAIN"/>
    <x v="757"/>
    <x v="11"/>
    <x v="3"/>
    <s v="Invoice"/>
    <s v="100003214"/>
    <x v="160"/>
    <x v="231"/>
    <x v="54"/>
    <x v="0"/>
    <n v="360"/>
  </r>
  <r>
    <s v="DAVID"/>
    <s v="02"/>
    <s v="THEANDERSON"/>
    <s v="LK PLACID"/>
    <x v="758"/>
    <x v="11"/>
    <x v="3"/>
    <s v="Invoice"/>
    <s v="100003216"/>
    <x v="124"/>
    <x v="112"/>
    <x v="20"/>
    <x v="1"/>
    <n v="44500"/>
  </r>
  <r>
    <s v="DAVID"/>
    <s v="02"/>
    <s v="RUSSTECH"/>
    <s v="CORTEC"/>
    <x v="751"/>
    <x v="11"/>
    <x v="3"/>
    <s v="Invoice"/>
    <s v="100003223"/>
    <x v="507"/>
    <x v="444"/>
    <x v="20"/>
    <x v="1"/>
    <n v="46020"/>
  </r>
  <r>
    <s v="DAVID"/>
    <s v="02"/>
    <s v="EVOQUAWATER"/>
    <s v="COUNTYOFCOLLIER"/>
    <x v="751"/>
    <x v="11"/>
    <x v="3"/>
    <s v="Invoice"/>
    <s v="100003230"/>
    <x v="295"/>
    <x v="231"/>
    <x v="54"/>
    <x v="0"/>
    <n v="150"/>
  </r>
  <r>
    <s v="DAVID"/>
    <s v="02"/>
    <s v="PETROCAN"/>
    <s v="UAP-WAUCHULA"/>
    <x v="759"/>
    <x v="11"/>
    <x v="3"/>
    <s v="Invoice"/>
    <s v="100003253"/>
    <x v="526"/>
    <x v="462"/>
    <x v="99"/>
    <x v="0"/>
    <n v="6957"/>
  </r>
  <r>
    <s v="DAVID"/>
    <s v="02"/>
    <s v="CPSWACHU"/>
    <s v="WAUCHULA"/>
    <x v="759"/>
    <x v="11"/>
    <x v="3"/>
    <s v="Invoice"/>
    <s v="100003254"/>
    <x v="267"/>
    <x v="235"/>
    <x v="75"/>
    <x v="0"/>
    <n v="70"/>
  </r>
  <r>
    <s v="DAVID"/>
    <s v="02"/>
    <s v="EVOQUAWATER"/>
    <s v="MAIN"/>
    <x v="753"/>
    <x v="11"/>
    <x v="3"/>
    <s v="Invoice"/>
    <s v="100003282"/>
    <x v="160"/>
    <x v="231"/>
    <x v="54"/>
    <x v="0"/>
    <n v="360"/>
  </r>
  <r>
    <s v="DAVID"/>
    <s v="02"/>
    <s v="SOUTHERN"/>
    <s v="SOUTHERN AG"/>
    <x v="760"/>
    <x v="11"/>
    <x v="3"/>
    <s v="Invoice"/>
    <s v="100003296"/>
    <x v="26"/>
    <x v="21"/>
    <x v="21"/>
    <x v="0"/>
    <n v="274"/>
  </r>
  <r>
    <s v="DAVID"/>
    <s v="02"/>
    <s v="SOUTHERN"/>
    <s v="SOUTHERN AG"/>
    <x v="760"/>
    <x v="11"/>
    <x v="3"/>
    <s v="Invoice"/>
    <s v="100003297"/>
    <x v="26"/>
    <x v="21"/>
    <x v="21"/>
    <x v="0"/>
    <n v="2740"/>
  </r>
  <r>
    <s v="JUSTIN"/>
    <s v="03"/>
    <s v="TRIANGLE"/>
    <s v="TRIANGLE/LAKEPL"/>
    <x v="761"/>
    <x v="11"/>
    <x v="3"/>
    <s v="Invoice"/>
    <s v="100003173"/>
    <x v="136"/>
    <x v="111"/>
    <x v="46"/>
    <x v="0"/>
    <n v="180"/>
  </r>
  <r>
    <s v="JUSTIN"/>
    <s v="03"/>
    <s v="TRIANGLE"/>
    <s v="TRIANGLE/LAKEPL"/>
    <x v="762"/>
    <x v="11"/>
    <x v="3"/>
    <s v="Invoice"/>
    <s v="100003182"/>
    <x v="136"/>
    <x v="111"/>
    <x v="46"/>
    <x v="0"/>
    <n v="540"/>
  </r>
  <r>
    <s v="JUSTIN"/>
    <s v="03"/>
    <s v="CPSWAVER"/>
    <s v="WAVERLY"/>
    <x v="763"/>
    <x v="11"/>
    <x v="3"/>
    <s v="Invoice"/>
    <s v="100003183"/>
    <x v="148"/>
    <x v="128"/>
    <x v="29"/>
    <x v="0"/>
    <n v="180"/>
  </r>
  <r>
    <s v="JUSTIN"/>
    <s v="03"/>
    <s v="CPSWAVER"/>
    <s v="WAVERLY"/>
    <x v="763"/>
    <x v="11"/>
    <x v="3"/>
    <s v="Invoice"/>
    <s v="100003184"/>
    <x v="5"/>
    <x v="72"/>
    <x v="4"/>
    <x v="0"/>
    <n v="360"/>
  </r>
  <r>
    <s v="JUSTIN"/>
    <s v="03"/>
    <s v="CPSWAVER"/>
    <s v="WAVERLY"/>
    <x v="763"/>
    <x v="11"/>
    <x v="3"/>
    <s v="Invoice"/>
    <s v="100003184"/>
    <x v="35"/>
    <x v="30"/>
    <x v="27"/>
    <x v="0"/>
    <n v="180"/>
  </r>
  <r>
    <s v="JUSTIN"/>
    <s v="03"/>
    <s v="CPSWACHU"/>
    <s v="WAUCHULA"/>
    <x v="754"/>
    <x v="11"/>
    <x v="3"/>
    <s v="Invoice"/>
    <s v="100003191"/>
    <x v="191"/>
    <x v="169"/>
    <x v="61"/>
    <x v="0"/>
    <n v="180"/>
  </r>
  <r>
    <s v="JUSTIN"/>
    <s v="03"/>
    <s v="SIMPLOT"/>
    <s v="IMMOKALEE"/>
    <x v="754"/>
    <x v="11"/>
    <x v="3"/>
    <s v="Invoice"/>
    <s v="100003193"/>
    <x v="175"/>
    <x v="156"/>
    <x v="9"/>
    <x v="0"/>
    <n v="180"/>
  </r>
  <r>
    <s v="JUSTIN"/>
    <s v="03"/>
    <s v="SIMPLOT"/>
    <s v="IMMOKALEE"/>
    <x v="754"/>
    <x v="11"/>
    <x v="3"/>
    <s v="Invoice"/>
    <s v="100003193"/>
    <x v="34"/>
    <x v="29"/>
    <x v="26"/>
    <x v="0"/>
    <n v="180"/>
  </r>
  <r>
    <s v="JUSTIN"/>
    <s v="03"/>
    <s v="CPSWAVER"/>
    <s v="WAVERLY"/>
    <x v="755"/>
    <x v="11"/>
    <x v="3"/>
    <s v="Invoice"/>
    <s v="100003198"/>
    <x v="196"/>
    <x v="172"/>
    <x v="61"/>
    <x v="0"/>
    <n v="180"/>
  </r>
  <r>
    <s v="JUSTIN"/>
    <s v="03"/>
    <s v="CPSWAVER"/>
    <s v="WAVERLY"/>
    <x v="755"/>
    <x v="11"/>
    <x v="3"/>
    <s v="Invoice"/>
    <s v="100003198"/>
    <x v="35"/>
    <x v="30"/>
    <x v="27"/>
    <x v="0"/>
    <n v="540"/>
  </r>
  <r>
    <s v="JUSTIN"/>
    <s v="03"/>
    <s v="COASTALAGSUPPLY"/>
    <s v="IMMOK/ALACHUA"/>
    <x v="756"/>
    <x v="11"/>
    <x v="3"/>
    <s v="Invoice"/>
    <s v="100003203"/>
    <x v="35"/>
    <x v="30"/>
    <x v="27"/>
    <x v="0"/>
    <n v="360"/>
  </r>
  <r>
    <s v=""/>
    <s v="03"/>
    <s v="CPSMULB"/>
    <s v="UAP/MULBERRY"/>
    <x v="756"/>
    <x v="11"/>
    <x v="3"/>
    <s v="Invoice"/>
    <s v="100003204"/>
    <x v="100"/>
    <x v="94"/>
    <x v="41"/>
    <x v="0"/>
    <n v="250"/>
  </r>
  <r>
    <s v="JUSTIN"/>
    <s v="03"/>
    <s v="CPSWACHU"/>
    <s v="WAUCHULA"/>
    <x v="756"/>
    <x v="11"/>
    <x v="3"/>
    <s v="Invoice"/>
    <s v="100003206"/>
    <x v="36"/>
    <x v="31"/>
    <x v="4"/>
    <x v="0"/>
    <n v="180"/>
  </r>
  <r>
    <s v="JUSTIN"/>
    <s v="03"/>
    <s v="COASTALAGSUPPLY"/>
    <s v="MULBERRY"/>
    <x v="756"/>
    <x v="11"/>
    <x v="3"/>
    <s v="Invoice"/>
    <s v="100003207"/>
    <x v="550"/>
    <x v="172"/>
    <x v="61"/>
    <x v="0"/>
    <n v="250"/>
  </r>
  <r>
    <s v="JUSTIN"/>
    <s v="03"/>
    <s v="COASTALAGSUPPLY"/>
    <s v="MULBERRY"/>
    <x v="756"/>
    <x v="11"/>
    <x v="3"/>
    <s v="Invoice"/>
    <s v="100003207"/>
    <x v="551"/>
    <x v="128"/>
    <x v="29"/>
    <x v="0"/>
    <n v="250"/>
  </r>
  <r>
    <s v="JUSTIN"/>
    <s v="03"/>
    <s v="CPSWAVER"/>
    <s v="WAVERLY"/>
    <x v="751"/>
    <x v="11"/>
    <x v="3"/>
    <s v="Invoice"/>
    <s v="100003227"/>
    <x v="191"/>
    <x v="169"/>
    <x v="61"/>
    <x v="0"/>
    <n v="180"/>
  </r>
  <r>
    <s v="JUSTIN"/>
    <s v="03"/>
    <s v="CPSWAVER"/>
    <s v="WAVERLY"/>
    <x v="751"/>
    <x v="11"/>
    <x v="3"/>
    <s v="Invoice"/>
    <s v="100003228"/>
    <x v="197"/>
    <x v="31"/>
    <x v="4"/>
    <x v="0"/>
    <n v="250"/>
  </r>
  <r>
    <s v="JUSTIN"/>
    <s v="03"/>
    <s v="CPSWACHU"/>
    <s v="WAUCHULA"/>
    <x v="751"/>
    <x v="11"/>
    <x v="3"/>
    <s v="Invoice"/>
    <s v="100003231"/>
    <x v="191"/>
    <x v="169"/>
    <x v="61"/>
    <x v="0"/>
    <n v="180"/>
  </r>
  <r>
    <s v="JUSTIN"/>
    <s v="03"/>
    <s v="COUNCILO"/>
    <s v="COUNCIL-OXFORD"/>
    <x v="751"/>
    <x v="11"/>
    <x v="3"/>
    <s v="Invoice"/>
    <s v="100003232"/>
    <x v="34"/>
    <x v="29"/>
    <x v="26"/>
    <x v="0"/>
    <n v="360"/>
  </r>
  <r>
    <s v="JUSTIN"/>
    <s v="03"/>
    <s v="COUNCILO"/>
    <s v="COUNCIL-OXFORD"/>
    <x v="751"/>
    <x v="11"/>
    <x v="3"/>
    <s v="Invoice"/>
    <s v="100003232"/>
    <x v="40"/>
    <x v="35"/>
    <x v="29"/>
    <x v="0"/>
    <n v="180"/>
  </r>
  <r>
    <s v="JUSTIN"/>
    <s v="03"/>
    <s v="COUNCILO"/>
    <s v="COUNCIL-OXFORD"/>
    <x v="751"/>
    <x v="11"/>
    <x v="3"/>
    <s v="Invoice"/>
    <s v="100003232"/>
    <x v="48"/>
    <x v="33"/>
    <x v="28"/>
    <x v="0"/>
    <n v="30"/>
  </r>
  <r>
    <s v="JUSTIN"/>
    <s v="03"/>
    <s v="SIMPLOT"/>
    <s v="IMMOKALEE"/>
    <x v="764"/>
    <x v="11"/>
    <x v="3"/>
    <s v="Invoice"/>
    <s v="100003234"/>
    <x v="34"/>
    <x v="29"/>
    <x v="26"/>
    <x v="0"/>
    <n v="540"/>
  </r>
  <r>
    <s v="JUSTIN"/>
    <s v="03"/>
    <s v="SIMPLOT"/>
    <s v="IMMOKALEE"/>
    <x v="764"/>
    <x v="11"/>
    <x v="3"/>
    <s v="Invoice"/>
    <s v="100003234"/>
    <x v="175"/>
    <x v="156"/>
    <x v="9"/>
    <x v="0"/>
    <n v="360"/>
  </r>
  <r>
    <s v="JUSTIN"/>
    <s v="03"/>
    <s v="COASTALAGSUPPLY"/>
    <s v="MULBERRY"/>
    <x v="765"/>
    <x v="11"/>
    <x v="3"/>
    <s v="Invoice"/>
    <s v="100003241"/>
    <x v="35"/>
    <x v="30"/>
    <x v="27"/>
    <x v="0"/>
    <n v="360"/>
  </r>
  <r>
    <s v="JUSTIN"/>
    <s v="03"/>
    <s v="COASTALAGSUPPLY"/>
    <s v="MULBERRY"/>
    <x v="765"/>
    <x v="11"/>
    <x v="3"/>
    <s v="Invoice"/>
    <s v="100003241"/>
    <x v="38"/>
    <x v="30"/>
    <x v="27"/>
    <x v="0"/>
    <n v="750"/>
  </r>
  <r>
    <s v="JUSTIN"/>
    <s v="03"/>
    <s v="CPSOKEE"/>
    <s v="OKEE-LIQ PLANT"/>
    <x v="759"/>
    <x v="11"/>
    <x v="3"/>
    <s v="Invoice"/>
    <s v="100003249"/>
    <x v="134"/>
    <x v="94"/>
    <x v="41"/>
    <x v="0"/>
    <n v="2979.46"/>
  </r>
  <r>
    <s v="JUSTIN"/>
    <s v="03"/>
    <s v="CPSWACHU"/>
    <s v="WAUCHULA"/>
    <x v="766"/>
    <x v="11"/>
    <x v="3"/>
    <s v="Invoice"/>
    <s v="100003256"/>
    <x v="191"/>
    <x v="169"/>
    <x v="61"/>
    <x v="0"/>
    <n v="180"/>
  </r>
  <r>
    <s v="JUSTIN"/>
    <s v="03"/>
    <s v="G&amp;DFARMS"/>
    <s v="MIDDLE"/>
    <x v="767"/>
    <x v="11"/>
    <x v="3"/>
    <s v="Invoice"/>
    <s v="100003284"/>
    <x v="588"/>
    <x v="516"/>
    <x v="22"/>
    <x v="2"/>
    <n v="15.005000000000001"/>
  </r>
  <r>
    <s v="JUSTIN"/>
    <s v="03"/>
    <s v="CPSPARRI"/>
    <s v="PARRISH"/>
    <x v="760"/>
    <x v="11"/>
    <x v="3"/>
    <s v="Invoice"/>
    <s v="100003295"/>
    <x v="34"/>
    <x v="29"/>
    <x v="26"/>
    <x v="0"/>
    <n v="180"/>
  </r>
  <r>
    <s v="JUSTIN"/>
    <s v="03"/>
    <s v="CPSPARRI"/>
    <s v="PARRISH"/>
    <x v="760"/>
    <x v="11"/>
    <x v="3"/>
    <s v="Invoice"/>
    <s v="100003295"/>
    <x v="5"/>
    <x v="72"/>
    <x v="4"/>
    <x v="0"/>
    <n v="60"/>
  </r>
  <r>
    <s v="JUSTIN"/>
    <s v="03"/>
    <s v="CPSPARRI"/>
    <s v="PARRISH"/>
    <x v="760"/>
    <x v="11"/>
    <x v="3"/>
    <s v="Invoice"/>
    <s v="100003295"/>
    <x v="136"/>
    <x v="111"/>
    <x v="46"/>
    <x v="0"/>
    <n v="60"/>
  </r>
  <r>
    <s v=""/>
    <s v="04"/>
    <s v="BROWNIVANHOE"/>
    <s v="MAIN"/>
    <x v="761"/>
    <x v="11"/>
    <x v="3"/>
    <s v="Invoice"/>
    <s v="100003177"/>
    <x v="8"/>
    <x v="67"/>
    <x v="7"/>
    <x v="0"/>
    <n v="5"/>
  </r>
  <r>
    <s v="DPOPPELL"/>
    <s v="04"/>
    <s v="IFASGULF"/>
    <s v="BALM-STRAWBERRY"/>
    <x v="762"/>
    <x v="11"/>
    <x v="3"/>
    <s v="Invoice"/>
    <s v="100003178"/>
    <x v="28"/>
    <x v="23"/>
    <x v="22"/>
    <x v="2"/>
    <n v="7.46"/>
  </r>
  <r>
    <s v="DPOPPELL"/>
    <s v="04"/>
    <s v="SOUTHERNHILL"/>
    <s v="SCHOFIELD"/>
    <x v="762"/>
    <x v="11"/>
    <x v="3"/>
    <s v="Invoice"/>
    <s v="100003179"/>
    <x v="43"/>
    <x v="38"/>
    <x v="22"/>
    <x v="2"/>
    <n v="2.2675000000000001"/>
  </r>
  <r>
    <s v="DPOPPELL"/>
    <s v="04"/>
    <s v="SOUTHERNHILL"/>
    <s v="SCHOFIELD"/>
    <x v="762"/>
    <x v="11"/>
    <x v="3"/>
    <s v="Invoice"/>
    <s v="100003180"/>
    <x v="325"/>
    <x v="288"/>
    <x v="22"/>
    <x v="2"/>
    <n v="1.5024999999999999"/>
  </r>
  <r>
    <s v="DPOPPELL"/>
    <s v="04"/>
    <s v="CHAVEZJOR"/>
    <s v="JOSE' CHAV- COD"/>
    <x v="762"/>
    <x v="11"/>
    <x v="3"/>
    <s v="Invoice"/>
    <s v="100003181"/>
    <x v="53"/>
    <x v="46"/>
    <x v="22"/>
    <x v="2"/>
    <n v="0.15"/>
  </r>
  <r>
    <s v="DPOPPELL"/>
    <s v="04"/>
    <s v="MIDWAYF"/>
    <s v="KNIGHTSGRIFFIN"/>
    <x v="763"/>
    <x v="11"/>
    <x v="3"/>
    <s v="Invoice"/>
    <s v="100003188"/>
    <x v="505"/>
    <x v="440"/>
    <x v="120"/>
    <x v="0"/>
    <n v="3000"/>
  </r>
  <r>
    <s v="DPOPPELL"/>
    <s v="04"/>
    <s v="MIDWAYF"/>
    <s v="KNIGHTSGRIFFIN"/>
    <x v="755"/>
    <x v="11"/>
    <x v="3"/>
    <s v="Invoice"/>
    <s v="100003200"/>
    <x v="505"/>
    <x v="440"/>
    <x v="120"/>
    <x v="0"/>
    <n v="3000"/>
  </r>
  <r>
    <s v="DPOPPELL"/>
    <s v="04"/>
    <s v="SOTERO"/>
    <s v="SOTERO"/>
    <x v="755"/>
    <x v="11"/>
    <x v="3"/>
    <s v="Invoice"/>
    <s v="100003201"/>
    <x v="53"/>
    <x v="46"/>
    <x v="22"/>
    <x v="2"/>
    <n v="0.3"/>
  </r>
  <r>
    <s v="DPOPPELL"/>
    <s v="04"/>
    <s v="JOEPENA"/>
    <s v="JIMREDMAN"/>
    <x v="755"/>
    <x v="11"/>
    <x v="3"/>
    <s v="Invoice"/>
    <s v="100003202"/>
    <x v="55"/>
    <x v="48"/>
    <x v="22"/>
    <x v="2"/>
    <n v="1.05"/>
  </r>
  <r>
    <s v="DPOPPELL"/>
    <s v="04"/>
    <s v="MERCEDCH"/>
    <s v="PUMP7"/>
    <x v="757"/>
    <x v="11"/>
    <x v="3"/>
    <s v="Invoice"/>
    <s v="100003210"/>
    <x v="43"/>
    <x v="38"/>
    <x v="22"/>
    <x v="2"/>
    <n v="15.0175"/>
  </r>
  <r>
    <s v="DPOPPELL"/>
    <s v="04"/>
    <s v="FLORIDAAG"/>
    <s v="DOVER"/>
    <x v="757"/>
    <x v="11"/>
    <x v="3"/>
    <s v="Invoice"/>
    <s v="100003212"/>
    <x v="589"/>
    <x v="517"/>
    <x v="22"/>
    <x v="2"/>
    <n v="1.0325"/>
  </r>
  <r>
    <s v="DPOPPELL"/>
    <s v="04"/>
    <s v="FRANKLIN"/>
    <s v="MCGEE RD. NORTH"/>
    <x v="758"/>
    <x v="11"/>
    <x v="3"/>
    <s v="Invoice"/>
    <s v="100003217"/>
    <x v="45"/>
    <x v="37"/>
    <x v="30"/>
    <x v="0"/>
    <n v="500"/>
  </r>
  <r>
    <s v="DPOPPELL"/>
    <s v="04"/>
    <s v="CHAVEZJOR"/>
    <s v="JOSE' CHAV- COD"/>
    <x v="758"/>
    <x v="11"/>
    <x v="3"/>
    <s v="Invoice"/>
    <s v="100003218"/>
    <x v="53"/>
    <x v="46"/>
    <x v="22"/>
    <x v="2"/>
    <n v="0.15"/>
  </r>
  <r>
    <s v="DPOPPELL"/>
    <s v="04"/>
    <s v="SOUTHERNHILL"/>
    <s v="SCHOFIELD"/>
    <x v="768"/>
    <x v="11"/>
    <x v="3"/>
    <s v="Invoice"/>
    <s v="100003220"/>
    <x v="43"/>
    <x v="38"/>
    <x v="22"/>
    <x v="2"/>
    <n v="3.5024999999999999"/>
  </r>
  <r>
    <s v="DPOPPELL"/>
    <s v="04"/>
    <s v="MERCEDCH"/>
    <s v="HWY62"/>
    <x v="750"/>
    <x v="11"/>
    <x v="3"/>
    <s v="Invoice"/>
    <s v="100003221"/>
    <x v="102"/>
    <x v="71"/>
    <x v="100"/>
    <x v="0"/>
    <n v="250"/>
  </r>
  <r>
    <s v="DPOPPELL"/>
    <s v="04"/>
    <s v="FLORIDAAG"/>
    <s v="KINGSWAY"/>
    <x v="764"/>
    <x v="11"/>
    <x v="3"/>
    <s v="Invoice"/>
    <s v="100003235"/>
    <x v="326"/>
    <x v="289"/>
    <x v="22"/>
    <x v="2"/>
    <n v="2.2650000000000001"/>
  </r>
  <r>
    <s v="DPOPPELL"/>
    <s v="04"/>
    <s v="ALONSOFARMS"/>
    <s v="SUMNER"/>
    <x v="764"/>
    <x v="11"/>
    <x v="3"/>
    <s v="Invoice"/>
    <s v="100003236"/>
    <x v="43"/>
    <x v="38"/>
    <x v="22"/>
    <x v="2"/>
    <n v="6.5075000000000003"/>
  </r>
  <r>
    <s v="DPOPPELL"/>
    <s v="04"/>
    <s v="CHAVEZJOR"/>
    <s v="JOSE' CHAV- COD"/>
    <x v="764"/>
    <x v="11"/>
    <x v="3"/>
    <s v="Invoice"/>
    <s v="100003237"/>
    <x v="53"/>
    <x v="46"/>
    <x v="22"/>
    <x v="2"/>
    <n v="0.15"/>
  </r>
  <r>
    <s v="DPOPPELL"/>
    <s v="04"/>
    <s v="FRANKLIN"/>
    <s v="MCGEE RD. NORTH"/>
    <x v="764"/>
    <x v="11"/>
    <x v="3"/>
    <s v="Invoice"/>
    <s v="100003238"/>
    <x v="46"/>
    <x v="40"/>
    <x v="22"/>
    <x v="2"/>
    <n v="3.75"/>
  </r>
  <r>
    <s v="DPOPPELL"/>
    <s v="04"/>
    <s v="VENTURAFARMS"/>
    <s v="GALLAGHER"/>
    <x v="764"/>
    <x v="11"/>
    <x v="3"/>
    <s v="Invoice"/>
    <s v="100003239"/>
    <x v="46"/>
    <x v="40"/>
    <x v="22"/>
    <x v="2"/>
    <n v="0.15"/>
  </r>
  <r>
    <s v="DPOPPELL"/>
    <s v="04"/>
    <s v="M&amp;GFARMS"/>
    <s v="ALLENRD"/>
    <x v="765"/>
    <x v="11"/>
    <x v="3"/>
    <s v="Invoice"/>
    <s v="100003242"/>
    <x v="58"/>
    <x v="51"/>
    <x v="22"/>
    <x v="2"/>
    <n v="15.032500000000001"/>
  </r>
  <r>
    <s v="DPOPPELL"/>
    <s v="04"/>
    <s v="CHAVEZJOR"/>
    <s v="JOSE' CHAV- COD"/>
    <x v="752"/>
    <x v="11"/>
    <x v="3"/>
    <s v="Invoice"/>
    <s v="100003244"/>
    <x v="53"/>
    <x v="46"/>
    <x v="22"/>
    <x v="2"/>
    <n v="0.3"/>
  </r>
  <r>
    <s v="DPOPPELL"/>
    <s v="04"/>
    <s v="M&amp;GFARMS"/>
    <s v="ONA"/>
    <x v="752"/>
    <x v="11"/>
    <x v="3"/>
    <s v="Invoice"/>
    <s v="100003245"/>
    <x v="58"/>
    <x v="51"/>
    <x v="22"/>
    <x v="2"/>
    <n v="15.04"/>
  </r>
  <r>
    <s v="DPOPPELL"/>
    <s v="04"/>
    <s v="BERRYBLISS"/>
    <s v="JAUDONSOUTH"/>
    <x v="752"/>
    <x v="11"/>
    <x v="3"/>
    <s v="Invoice"/>
    <s v="100003247"/>
    <x v="43"/>
    <x v="38"/>
    <x v="22"/>
    <x v="2"/>
    <n v="1.26"/>
  </r>
  <r>
    <s v="DPOPPELL"/>
    <s v="04"/>
    <s v="ROCKINGSFARMS"/>
    <s v="MCINTOSH"/>
    <x v="766"/>
    <x v="11"/>
    <x v="3"/>
    <s v="Invoice"/>
    <s v="100003261"/>
    <x v="505"/>
    <x v="440"/>
    <x v="120"/>
    <x v="0"/>
    <n v="3000"/>
  </r>
  <r>
    <s v="DPOPPELL"/>
    <s v="04"/>
    <s v="VELASCONAZARIO"/>
    <s v="MAIN"/>
    <x v="769"/>
    <x v="11"/>
    <x v="3"/>
    <s v="Invoice"/>
    <s v="100003265"/>
    <x v="43"/>
    <x v="38"/>
    <x v="22"/>
    <x v="2"/>
    <n v="0.5"/>
  </r>
  <r>
    <s v="DPOPPELL"/>
    <s v="04"/>
    <s v="ROQUEFARMS"/>
    <s v="SWEETWATER"/>
    <x v="769"/>
    <x v="11"/>
    <x v="3"/>
    <s v="Invoice"/>
    <s v="100003268"/>
    <x v="46"/>
    <x v="40"/>
    <x v="22"/>
    <x v="2"/>
    <n v="4.2750000000000004"/>
  </r>
  <r>
    <s v="DPOPPELL"/>
    <s v="04"/>
    <s v="FRANKLIN"/>
    <s v="FRANKLIN FARM"/>
    <x v="769"/>
    <x v="11"/>
    <x v="3"/>
    <s v="Invoice"/>
    <s v="100003269"/>
    <x v="46"/>
    <x v="40"/>
    <x v="22"/>
    <x v="2"/>
    <n v="1.8825000000000001"/>
  </r>
  <r>
    <s v="DPOPPELL"/>
    <s v="04"/>
    <s v="FERRISFA"/>
    <s v="STRABERRIES"/>
    <x v="753"/>
    <x v="11"/>
    <x v="3"/>
    <s v="Invoice"/>
    <s v="100003274"/>
    <x v="72"/>
    <x v="65"/>
    <x v="22"/>
    <x v="2"/>
    <n v="15.0175"/>
  </r>
  <r>
    <s v="DPOPPELL"/>
    <s v="04"/>
    <s v="WISHFARMS"/>
    <s v="FRONTAGE"/>
    <x v="753"/>
    <x v="11"/>
    <x v="3"/>
    <s v="Invoice"/>
    <s v="100003275"/>
    <x v="45"/>
    <x v="37"/>
    <x v="30"/>
    <x v="0"/>
    <n v="250"/>
  </r>
  <r>
    <s v="DPOPPELL"/>
    <s v="04"/>
    <s v="SOTERO"/>
    <s v="SOTERO"/>
    <x v="753"/>
    <x v="11"/>
    <x v="3"/>
    <s v="Invoice"/>
    <s v="100003277"/>
    <x v="53"/>
    <x v="46"/>
    <x v="22"/>
    <x v="2"/>
    <n v="0.3"/>
  </r>
  <r>
    <s v="DPOPPELL"/>
    <s v="04"/>
    <s v="CHANFARM"/>
    <s v="HIGHWAY 39 N"/>
    <x v="753"/>
    <x v="11"/>
    <x v="3"/>
    <s v="Invoice"/>
    <s v="100003280"/>
    <x v="51"/>
    <x v="44"/>
    <x v="22"/>
    <x v="2"/>
    <n v="5.0225"/>
  </r>
  <r>
    <s v="DPOPPELL"/>
    <s v="04"/>
    <s v="JOEPENA"/>
    <s v="JIMREDMAN"/>
    <x v="753"/>
    <x v="11"/>
    <x v="3"/>
    <s v="Invoice"/>
    <s v="100003281"/>
    <x v="55"/>
    <x v="48"/>
    <x v="22"/>
    <x v="2"/>
    <n v="1"/>
  </r>
  <r>
    <s v="DPOPPELL"/>
    <s v="04"/>
    <s v="MIDWAYF"/>
    <s v="KNIGHTSGRIFFIN"/>
    <x v="767"/>
    <x v="11"/>
    <x v="3"/>
    <s v="Invoice"/>
    <s v="100003283"/>
    <x v="505"/>
    <x v="440"/>
    <x v="120"/>
    <x v="0"/>
    <n v="3000"/>
  </r>
  <r>
    <s v="DPOPPELL"/>
    <s v="04"/>
    <s v="IFASGULF"/>
    <s v="BALM-STRAWBERRY"/>
    <x v="767"/>
    <x v="11"/>
    <x v="3"/>
    <s v="Invoice"/>
    <s v="100003285"/>
    <x v="590"/>
    <x v="90"/>
    <x v="39"/>
    <x v="0"/>
    <n v="30"/>
  </r>
  <r>
    <s v="DPOPPELL"/>
    <s v="04"/>
    <s v="IFASGULF"/>
    <s v="BALM-STRAWBERRY"/>
    <x v="767"/>
    <x v="11"/>
    <x v="3"/>
    <s v="Invoice"/>
    <s v="100003288"/>
    <x v="28"/>
    <x v="23"/>
    <x v="22"/>
    <x v="2"/>
    <n v="7.4974999999999996"/>
  </r>
  <r>
    <s v="DPOPPELL"/>
    <s v="04"/>
    <s v="JOHNPOPP"/>
    <s v="CAMERON"/>
    <x v="767"/>
    <x v="11"/>
    <x v="3"/>
    <s v="Invoice"/>
    <s v="100003289"/>
    <x v="505"/>
    <x v="440"/>
    <x v="120"/>
    <x v="0"/>
    <n v="3000"/>
  </r>
  <r>
    <s v="DPOPPELL"/>
    <s v="04"/>
    <s v="JOHNPOPP"/>
    <s v="CAMERON"/>
    <x v="760"/>
    <x v="11"/>
    <x v="3"/>
    <s v="Invoice"/>
    <s v="100003290"/>
    <x v="505"/>
    <x v="440"/>
    <x v="120"/>
    <x v="0"/>
    <n v="3000"/>
  </r>
  <r>
    <s v="DPOPPELL"/>
    <s v="04"/>
    <s v="FLORIDAAG"/>
    <s v="KINGSWAY"/>
    <x v="760"/>
    <x v="11"/>
    <x v="3"/>
    <s v="Invoice"/>
    <s v="100003294"/>
    <x v="326"/>
    <x v="289"/>
    <x v="22"/>
    <x v="2"/>
    <n v="2.2650000000000001"/>
  </r>
  <r>
    <s v="HOUSE"/>
    <s v="05"/>
    <s v="NATUREFARMS"/>
    <s v="US 1"/>
    <x v="754"/>
    <x v="11"/>
    <x v="3"/>
    <s v="Invoice"/>
    <s v="100003192"/>
    <x v="122"/>
    <x v="63"/>
    <x v="33"/>
    <x v="0"/>
    <n v="10"/>
  </r>
  <r>
    <s v="HOUSE"/>
    <s v="05"/>
    <s v="CPSHOMES"/>
    <s v="HOMESTEAD"/>
    <x v="758"/>
    <x v="11"/>
    <x v="3"/>
    <s v="Invoice"/>
    <s v="100003219"/>
    <x v="427"/>
    <x v="128"/>
    <x v="29"/>
    <x v="0"/>
    <n v="120"/>
  </r>
  <r>
    <s v="HOUSE"/>
    <s v="05"/>
    <s v="SOUTHERN"/>
    <s v="SOUTHERN AG"/>
    <x v="765"/>
    <x v="11"/>
    <x v="3"/>
    <s v="Invoice"/>
    <s v="100003240"/>
    <x v="33"/>
    <x v="28"/>
    <x v="2"/>
    <x v="0"/>
    <n v="180"/>
  </r>
  <r>
    <s v="HOUSE"/>
    <s v="05"/>
    <s v="SOUTHERN"/>
    <s v="SOUTHERN AG"/>
    <x v="765"/>
    <x v="11"/>
    <x v="3"/>
    <s v="Invoice"/>
    <s v="100003240"/>
    <x v="122"/>
    <x v="63"/>
    <x v="33"/>
    <x v="0"/>
    <n v="60"/>
  </r>
  <r>
    <s v="HOUSE"/>
    <s v="05"/>
    <s v="SOUTHERN"/>
    <s v="SOUTHERN AG"/>
    <x v="765"/>
    <x v="11"/>
    <x v="3"/>
    <s v="Invoice"/>
    <s v="100003240"/>
    <x v="133"/>
    <x v="109"/>
    <x v="45"/>
    <x v="0"/>
    <n v="60"/>
  </r>
  <r>
    <s v="HOUSE"/>
    <s v="05"/>
    <s v="SOUTHEASTTURF"/>
    <s v="SHELLPOINT"/>
    <x v="766"/>
    <x v="11"/>
    <x v="3"/>
    <s v="Invoice"/>
    <s v="100003260"/>
    <x v="298"/>
    <x v="109"/>
    <x v="45"/>
    <x v="0"/>
    <n v="55"/>
  </r>
  <r>
    <s v="TYLERPIKE"/>
    <s v="07"/>
    <s v="BIG HOUSE FARMS"/>
    <s v="MAYO"/>
    <x v="761"/>
    <x v="11"/>
    <x v="3"/>
    <s v="Invoice"/>
    <s v="100003174"/>
    <x v="312"/>
    <x v="275"/>
    <x v="22"/>
    <x v="2"/>
    <n v="4.5075000000000003"/>
  </r>
  <r>
    <s v=""/>
    <s v="07"/>
    <s v="UFPSUNIT"/>
    <s v="CITRA FARM"/>
    <x v="757"/>
    <x v="11"/>
    <x v="3"/>
    <s v="Invoice"/>
    <s v="100003208"/>
    <x v="73"/>
    <x v="66"/>
    <x v="22"/>
    <x v="2"/>
    <n v="2.4849999999999999"/>
  </r>
  <r>
    <s v=""/>
    <s v="07"/>
    <s v="UFPSUNIT"/>
    <s v="CITRA FARM"/>
    <x v="757"/>
    <x v="11"/>
    <x v="3"/>
    <s v="Invoice"/>
    <s v="100003209"/>
    <x v="167"/>
    <x v="36"/>
    <x v="26"/>
    <x v="0"/>
    <n v="2.5"/>
  </r>
  <r>
    <s v="TYLERPIKE"/>
    <s v="07"/>
    <s v="BIG HOUSE FARMS"/>
    <s v="CIRCLEDR"/>
    <x v="759"/>
    <x v="11"/>
    <x v="3"/>
    <s v="Invoice"/>
    <s v="100003250"/>
    <x v="312"/>
    <x v="275"/>
    <x v="22"/>
    <x v="2"/>
    <n v="4.5149999999999997"/>
  </r>
  <r>
    <s v=""/>
    <s v="07"/>
    <s v="PIERSONSUPPLY"/>
    <s v="MAIN"/>
    <x v="753"/>
    <x v="11"/>
    <x v="3"/>
    <s v="Invoice"/>
    <s v="100003270"/>
    <x v="239"/>
    <x v="215"/>
    <x v="68"/>
    <x v="0"/>
    <n v="180"/>
  </r>
  <r>
    <s v=""/>
    <s v="07"/>
    <s v="PIERSONSUPPLY"/>
    <s v="MAIN"/>
    <x v="753"/>
    <x v="11"/>
    <x v="3"/>
    <s v="Invoice"/>
    <s v="100003270"/>
    <x v="138"/>
    <x v="94"/>
    <x v="41"/>
    <x v="0"/>
    <n v="25"/>
  </r>
  <r>
    <s v="DPOPPELL1"/>
    <s v="08"/>
    <s v="CPSMULB"/>
    <s v="UAP/MULBERRY"/>
    <x v="757"/>
    <x v="11"/>
    <x v="3"/>
    <s v="Invoice"/>
    <s v="100003213"/>
    <x v="102"/>
    <x v="71"/>
    <x v="100"/>
    <x v="0"/>
    <n v="1500"/>
  </r>
  <r>
    <s v="DPOPPELL1"/>
    <s v="08"/>
    <s v="CPSMULB"/>
    <s v="UAP/MULBERRY"/>
    <x v="758"/>
    <x v="11"/>
    <x v="3"/>
    <s v="Invoice"/>
    <s v="100003215"/>
    <x v="102"/>
    <x v="71"/>
    <x v="100"/>
    <x v="0"/>
    <n v="1500"/>
  </r>
  <r>
    <s v="DPOPPELL1"/>
    <s v="08"/>
    <s v="MAYO"/>
    <s v="PLANTCITY"/>
    <x v="760"/>
    <x v="11"/>
    <x v="3"/>
    <s v="Invoice"/>
    <s v="100003299"/>
    <x v="125"/>
    <x v="113"/>
    <x v="22"/>
    <x v="2"/>
    <n v="4.7474999999999996"/>
  </r>
  <r>
    <s v="GEORGIA"/>
    <s v="09"/>
    <s v="CAROLINATU"/>
    <s v="VILLAGEOFSUGAR"/>
    <x v="761"/>
    <x v="11"/>
    <x v="3"/>
    <s v="Invoice"/>
    <s v="100003176"/>
    <x v="249"/>
    <x v="222"/>
    <x v="70"/>
    <x v="0"/>
    <n v="10"/>
  </r>
  <r>
    <s v="GEORGIA"/>
    <s v="09"/>
    <s v="CAROLINATU"/>
    <s v="VILLAGEOFSUGAR"/>
    <x v="761"/>
    <x v="11"/>
    <x v="3"/>
    <s v="Invoice"/>
    <s v="100003176"/>
    <x v="259"/>
    <x v="226"/>
    <x v="106"/>
    <x v="0"/>
    <n v="5"/>
  </r>
  <r>
    <s v="GEORGIA"/>
    <s v="09"/>
    <s v="CPSSOUTH"/>
    <s v="PACKINGHOUSE"/>
    <x v="763"/>
    <x v="11"/>
    <x v="3"/>
    <s v="Invoice"/>
    <s v="100003185"/>
    <x v="34"/>
    <x v="29"/>
    <x v="26"/>
    <x v="0"/>
    <n v="50"/>
  </r>
  <r>
    <s v="CSWAFFORD"/>
    <s v="12"/>
    <s v="GOLFVENTURES"/>
    <s v="MAIN"/>
    <x v="761"/>
    <x v="11"/>
    <x v="3"/>
    <s v="Invoice"/>
    <s v="100003175"/>
    <x v="575"/>
    <x v="507"/>
    <x v="132"/>
    <x v="0"/>
    <n v="5"/>
  </r>
  <r>
    <s v="CSWAFFORD"/>
    <s v="12"/>
    <s v="GOLFVENTURES"/>
    <s v="MAIN"/>
    <x v="763"/>
    <x v="11"/>
    <x v="3"/>
    <s v="Invoice"/>
    <s v="100003186"/>
    <x v="16"/>
    <x v="411"/>
    <x v="2"/>
    <x v="0"/>
    <n v="60"/>
  </r>
  <r>
    <s v="CSWAFFORD"/>
    <s v="12"/>
    <s v="NUTRATURF"/>
    <s v="CRUMP ST, NC"/>
    <x v="763"/>
    <x v="11"/>
    <x v="3"/>
    <s v="Invoice"/>
    <s v="100003187"/>
    <x v="83"/>
    <x v="69"/>
    <x v="17"/>
    <x v="0"/>
    <n v="250"/>
  </r>
  <r>
    <s v="CSWAFFORD"/>
    <s v="12"/>
    <s v="NUTRATURF"/>
    <s v="CRUMP ST, NC"/>
    <x v="763"/>
    <x v="11"/>
    <x v="3"/>
    <s v="Invoice"/>
    <s v="100003187"/>
    <x v="187"/>
    <x v="174"/>
    <x v="14"/>
    <x v="0"/>
    <n v="55"/>
  </r>
  <r>
    <s v="CSWAFFORD"/>
    <s v="12"/>
    <s v="GOLFVENTURES"/>
    <s v="NAPLESHERITAGE"/>
    <x v="754"/>
    <x v="11"/>
    <x v="3"/>
    <s v="Invoice"/>
    <s v="100003190"/>
    <x v="366"/>
    <x v="336"/>
    <x v="22"/>
    <x v="2"/>
    <n v="1.28"/>
  </r>
  <r>
    <s v="CSWAFFORD"/>
    <s v="12"/>
    <s v="GOLFVENTURES"/>
    <s v="GLENEAGLES"/>
    <x v="754"/>
    <x v="11"/>
    <x v="3"/>
    <s v="Invoice"/>
    <s v="100003194"/>
    <x v="591"/>
    <x v="502"/>
    <x v="75"/>
    <x v="0"/>
    <n v="500"/>
  </r>
  <r>
    <s v="CSWAFFORD"/>
    <s v="12"/>
    <s v="GOLFVENTURES"/>
    <s v="MAIN"/>
    <x v="754"/>
    <x v="11"/>
    <x v="3"/>
    <s v="Invoice"/>
    <s v="100003195"/>
    <x v="9"/>
    <x v="419"/>
    <x v="8"/>
    <x v="0"/>
    <n v="60"/>
  </r>
  <r>
    <s v="CSWAFFORD"/>
    <s v="12"/>
    <s v="GOLFVENTURES"/>
    <s v="MAIN"/>
    <x v="754"/>
    <x v="11"/>
    <x v="3"/>
    <s v="Invoice"/>
    <s v="100003195"/>
    <x v="370"/>
    <x v="320"/>
    <x v="63"/>
    <x v="0"/>
    <n v="60"/>
  </r>
  <r>
    <s v="CSWAFFORD"/>
    <s v="12"/>
    <s v="GOLFVENTURES"/>
    <s v="MAIN"/>
    <x v="754"/>
    <x v="11"/>
    <x v="3"/>
    <s v="Invoice"/>
    <s v="100003195"/>
    <x v="249"/>
    <x v="294"/>
    <x v="70"/>
    <x v="0"/>
    <n v="60"/>
  </r>
  <r>
    <s v="CSWAFFORD"/>
    <s v="12"/>
    <s v="GOLFVENTURES"/>
    <s v="MAIN"/>
    <x v="754"/>
    <x v="11"/>
    <x v="3"/>
    <s v="Invoice"/>
    <s v="100003195"/>
    <x v="438"/>
    <x v="373"/>
    <x v="108"/>
    <x v="0"/>
    <n v="90"/>
  </r>
  <r>
    <s v="CSWAFFORD"/>
    <s v="12"/>
    <s v="GOLFVENTURES"/>
    <s v="MAIN"/>
    <x v="754"/>
    <x v="11"/>
    <x v="3"/>
    <s v="Invoice"/>
    <s v="100003195"/>
    <x v="424"/>
    <x v="362"/>
    <x v="47"/>
    <x v="0"/>
    <n v="90"/>
  </r>
  <r>
    <s v="CSWAFFORD"/>
    <s v="12"/>
    <s v="GOLFVENTURES"/>
    <s v="VIKINGSLLC"/>
    <x v="755"/>
    <x v="11"/>
    <x v="3"/>
    <s v="Invoice"/>
    <s v="100003197"/>
    <x v="331"/>
    <x v="294"/>
    <x v="70"/>
    <x v="0"/>
    <n v="250"/>
  </r>
  <r>
    <s v="CSWAFFORD"/>
    <s v="12"/>
    <s v="GOLFVENTURES"/>
    <s v="MAIN"/>
    <x v="757"/>
    <x v="11"/>
    <x v="3"/>
    <s v="Invoice"/>
    <s v="100003211"/>
    <x v="575"/>
    <x v="507"/>
    <x v="132"/>
    <x v="0"/>
    <n v="10"/>
  </r>
  <r>
    <s v="CSWAFFORD"/>
    <s v="12"/>
    <s v="GOLFVENTURES"/>
    <s v="THEYACHT&amp;CC"/>
    <x v="751"/>
    <x v="11"/>
    <x v="3"/>
    <s v="Invoice"/>
    <s v="100003224"/>
    <x v="120"/>
    <x v="299"/>
    <x v="45"/>
    <x v="0"/>
    <n v="250"/>
  </r>
  <r>
    <s v="CSWAFFORD"/>
    <s v="12"/>
    <s v="GOLFVENTURES"/>
    <s v="THEYACHT&amp;CC"/>
    <x v="751"/>
    <x v="11"/>
    <x v="3"/>
    <s v="Invoice"/>
    <s v="100003224"/>
    <x v="320"/>
    <x v="282"/>
    <x v="87"/>
    <x v="0"/>
    <n v="250"/>
  </r>
  <r>
    <s v="CSWAFFORD"/>
    <s v="12"/>
    <s v="GOLFVENTURES"/>
    <s v="GCI"/>
    <x v="751"/>
    <x v="11"/>
    <x v="3"/>
    <s v="Invoice"/>
    <s v="100003225"/>
    <x v="363"/>
    <x v="320"/>
    <x v="63"/>
    <x v="0"/>
    <n v="250"/>
  </r>
  <r>
    <s v="CSWAFFORD"/>
    <s v="12"/>
    <s v="GOLFVENTURES"/>
    <s v="ARROWHEAD"/>
    <x v="751"/>
    <x v="11"/>
    <x v="3"/>
    <s v="Invoice"/>
    <s v="100003229"/>
    <x v="440"/>
    <x v="321"/>
    <x v="96"/>
    <x v="0"/>
    <n v="250"/>
  </r>
  <r>
    <s v="CSWAFFORD"/>
    <s v="12"/>
    <s v="NUTRATURF"/>
    <s v="CRUMP ST, NC"/>
    <x v="751"/>
    <x v="11"/>
    <x v="3"/>
    <s v="Invoice"/>
    <s v="100003233"/>
    <x v="187"/>
    <x v="174"/>
    <x v="14"/>
    <x v="0"/>
    <n v="55"/>
  </r>
  <r>
    <s v="CSWAFFORD"/>
    <s v="12"/>
    <s v="GOLFVENTURES"/>
    <s v="MAIN"/>
    <x v="752"/>
    <x v="11"/>
    <x v="3"/>
    <s v="Invoice"/>
    <s v="100003246"/>
    <x v="482"/>
    <x v="423"/>
    <x v="69"/>
    <x v="0"/>
    <n v="60"/>
  </r>
  <r>
    <s v="CSWAFFORD"/>
    <s v="12"/>
    <s v="GOLFVENTURES"/>
    <s v="MAIN"/>
    <x v="752"/>
    <x v="11"/>
    <x v="3"/>
    <s v="Invoice"/>
    <s v="100003246"/>
    <x v="365"/>
    <x v="298"/>
    <x v="53"/>
    <x v="0"/>
    <n v="60"/>
  </r>
  <r>
    <s v="CSWAFFORD"/>
    <s v="12"/>
    <s v="GOLFVENTURES"/>
    <s v="MAIN"/>
    <x v="752"/>
    <x v="11"/>
    <x v="3"/>
    <s v="Invoice"/>
    <s v="100003246"/>
    <x v="485"/>
    <x v="281"/>
    <x v="42"/>
    <x v="0"/>
    <n v="60"/>
  </r>
  <r>
    <s v="CSWAFFORD"/>
    <s v="12"/>
    <s v="GOLFVENTURES"/>
    <s v="MAIN"/>
    <x v="752"/>
    <x v="11"/>
    <x v="3"/>
    <s v="Invoice"/>
    <s v="100003246"/>
    <x v="9"/>
    <x v="419"/>
    <x v="8"/>
    <x v="0"/>
    <n v="60"/>
  </r>
  <r>
    <s v="CSWAFFORD"/>
    <s v="12"/>
    <s v="GOLFVENTURES"/>
    <s v="MAIN"/>
    <x v="752"/>
    <x v="11"/>
    <x v="3"/>
    <s v="Invoice"/>
    <s v="100003246"/>
    <x v="438"/>
    <x v="373"/>
    <x v="108"/>
    <x v="0"/>
    <n v="60"/>
  </r>
  <r>
    <s v="CSWAFFORD"/>
    <s v="12"/>
    <s v="GOLFVENTURES"/>
    <s v="MAIN"/>
    <x v="752"/>
    <x v="11"/>
    <x v="3"/>
    <s v="Invoice"/>
    <s v="100003246"/>
    <x v="370"/>
    <x v="320"/>
    <x v="63"/>
    <x v="0"/>
    <n v="60"/>
  </r>
  <r>
    <s v="CSWAFFORD"/>
    <s v="12"/>
    <s v="GOLFVENTURES"/>
    <s v="MAIN"/>
    <x v="759"/>
    <x v="11"/>
    <x v="3"/>
    <s v="Invoice"/>
    <s v="100003252"/>
    <x v="405"/>
    <x v="313"/>
    <x v="49"/>
    <x v="0"/>
    <n v="10"/>
  </r>
  <r>
    <s v="CSWAFFORD"/>
    <s v="12"/>
    <s v="GOLFVENTURES"/>
    <s v="ARROWHEAD"/>
    <x v="766"/>
    <x v="11"/>
    <x v="3"/>
    <s v="Invoice"/>
    <s v="100003255"/>
    <x v="424"/>
    <x v="362"/>
    <x v="47"/>
    <x v="0"/>
    <n v="5"/>
  </r>
  <r>
    <s v="CSWAFFORD"/>
    <s v="12"/>
    <s v="GOLFVENTURES"/>
    <s v="EAGLESLAKE"/>
    <x v="766"/>
    <x v="11"/>
    <x v="3"/>
    <s v="Invoice"/>
    <s v="100003257"/>
    <x v="298"/>
    <x v="299"/>
    <x v="45"/>
    <x v="0"/>
    <n v="55"/>
  </r>
  <r>
    <s v="CSWAFFORD"/>
    <s v="12"/>
    <s v="GOLFVENTURES"/>
    <s v="CYPRESSASSOC"/>
    <x v="766"/>
    <x v="11"/>
    <x v="3"/>
    <s v="Invoice"/>
    <s v="100003258"/>
    <x v="366"/>
    <x v="336"/>
    <x v="22"/>
    <x v="2"/>
    <n v="1.25"/>
  </r>
  <r>
    <s v="CSWAFFORD"/>
    <s v="12"/>
    <s v="GOLFVENTURES"/>
    <s v="HIGHPOINT"/>
    <x v="766"/>
    <x v="11"/>
    <x v="3"/>
    <s v="Invoice"/>
    <s v="100003259"/>
    <x v="366"/>
    <x v="336"/>
    <x v="22"/>
    <x v="2"/>
    <n v="1.25"/>
  </r>
  <r>
    <s v="CSWAFFORD"/>
    <s v="12"/>
    <s v="JRMINC"/>
    <s v="JIMMYABERNATHY"/>
    <x v="766"/>
    <x v="11"/>
    <x v="3"/>
    <s v="Invoice"/>
    <s v="100003262"/>
    <x v="500"/>
    <x v="436"/>
    <x v="80"/>
    <x v="0"/>
    <n v="50"/>
  </r>
  <r>
    <s v="CSWAFFORD"/>
    <s v="12"/>
    <s v="JRMINC"/>
    <s v="MAILING"/>
    <x v="766"/>
    <x v="11"/>
    <x v="3"/>
    <s v="Invoice"/>
    <s v="100003263"/>
    <x v="455"/>
    <x v="391"/>
    <x v="56"/>
    <x v="0"/>
    <n v="180"/>
  </r>
  <r>
    <s v="CSWAFFORD"/>
    <s v="12"/>
    <s v="GOLFVENTURES"/>
    <s v="ARROWHEAD"/>
    <x v="766"/>
    <x v="11"/>
    <x v="3"/>
    <s v="Invoice"/>
    <s v="100003264"/>
    <x v="366"/>
    <x v="336"/>
    <x v="22"/>
    <x v="2"/>
    <n v="5.0049999999999999"/>
  </r>
  <r>
    <s v="CSWAFFORD"/>
    <s v="12"/>
    <s v="GOLFVENTURES"/>
    <s v="S&amp;O"/>
    <x v="769"/>
    <x v="11"/>
    <x v="3"/>
    <s v="Invoice"/>
    <s v="100003266"/>
    <x v="83"/>
    <x v="69"/>
    <x v="17"/>
    <x v="0"/>
    <n v="1850"/>
  </r>
  <r>
    <s v="CSWAFFORD"/>
    <s v="12"/>
    <s v="GOLFVENTURES"/>
    <s v="WILLOWLAKES"/>
    <x v="753"/>
    <x v="11"/>
    <x v="3"/>
    <s v="Invoice"/>
    <s v="100003271"/>
    <x v="592"/>
    <x v="325"/>
    <x v="36"/>
    <x v="0"/>
    <n v="55"/>
  </r>
  <r>
    <s v="CSWAFFORD"/>
    <s v="12"/>
    <s v="GOLFVENTURES"/>
    <s v="WILLOWLAKES"/>
    <x v="753"/>
    <x v="11"/>
    <x v="3"/>
    <s v="Invoice"/>
    <s v="100003271"/>
    <x v="439"/>
    <x v="297"/>
    <x v="91"/>
    <x v="0"/>
    <n v="20"/>
  </r>
  <r>
    <s v="CSWAFFORD"/>
    <s v="12"/>
    <s v="GOLFVENTURES"/>
    <s v="WILLOWLAKES"/>
    <x v="753"/>
    <x v="11"/>
    <x v="3"/>
    <s v="Invoice"/>
    <s v="100003272"/>
    <x v="367"/>
    <x v="324"/>
    <x v="22"/>
    <x v="2"/>
    <n v="0.27500000000000002"/>
  </r>
  <r>
    <s v="CSWAFFORD"/>
    <s v="12"/>
    <s v="GOLFVENTURES"/>
    <s v="MAIN"/>
    <x v="753"/>
    <x v="11"/>
    <x v="3"/>
    <s v="Invoice"/>
    <s v="100003276"/>
    <x v="371"/>
    <x v="283"/>
    <x v="88"/>
    <x v="0"/>
    <n v="60"/>
  </r>
  <r>
    <s v="CSWAFFORD"/>
    <s v="12"/>
    <s v="GOLFVENTURES"/>
    <s v="MAIN"/>
    <x v="753"/>
    <x v="11"/>
    <x v="3"/>
    <s v="Invoice"/>
    <s v="100003276"/>
    <x v="303"/>
    <x v="267"/>
    <x v="80"/>
    <x v="0"/>
    <n v="60"/>
  </r>
  <r>
    <s v="CSWAFFORD"/>
    <s v="12"/>
    <s v="GOLFVENTURES"/>
    <s v="MAIN"/>
    <x v="753"/>
    <x v="11"/>
    <x v="3"/>
    <s v="Invoice"/>
    <s v="100003276"/>
    <x v="405"/>
    <x v="313"/>
    <x v="49"/>
    <x v="0"/>
    <n v="60"/>
  </r>
  <r>
    <s v="CSWAFFORD"/>
    <s v="12"/>
    <s v="GOLFVENTURES"/>
    <s v="MAIN"/>
    <x v="767"/>
    <x v="11"/>
    <x v="3"/>
    <s v="Invoice"/>
    <s v="100003287"/>
    <x v="424"/>
    <x v="362"/>
    <x v="47"/>
    <x v="0"/>
    <n v="60"/>
  </r>
  <r>
    <s v="CSWAFFORD"/>
    <s v="12"/>
    <s v="GOLFVENTURES"/>
    <s v="MAIN"/>
    <x v="767"/>
    <x v="11"/>
    <x v="3"/>
    <s v="Invoice"/>
    <s v="100003287"/>
    <x v="3"/>
    <x v="411"/>
    <x v="2"/>
    <x v="0"/>
    <n v="60"/>
  </r>
  <r>
    <s v="CSWAFFORD"/>
    <s v="12"/>
    <s v="GOLFVENTURES"/>
    <s v="MAIN"/>
    <x v="767"/>
    <x v="11"/>
    <x v="3"/>
    <s v="Invoice"/>
    <s v="100003287"/>
    <x v="249"/>
    <x v="294"/>
    <x v="70"/>
    <x v="0"/>
    <n v="60"/>
  </r>
  <r>
    <s v="CSWAFFORD"/>
    <s v="12"/>
    <s v="GOLFVENTURES"/>
    <s v="MAIN"/>
    <x v="760"/>
    <x v="11"/>
    <x v="3"/>
    <s v="Invoice"/>
    <s v="100003293"/>
    <x v="575"/>
    <x v="507"/>
    <x v="132"/>
    <x v="0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1993F-9DE8-4A04-93A6-E46AF7879A9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N846" firstHeaderRow="1" firstDataRow="2" firstDataCol="1" rowPageCount="4" colPageCount="1"/>
  <pivotFields count="14">
    <pivotField showAll="0"/>
    <pivotField showAll="0"/>
    <pivotField showAll="0"/>
    <pivotField showAll="0"/>
    <pivotField axis="axisPage" numFmtId="14" showAll="0">
      <items count="771">
        <item x="8"/>
        <item x="0"/>
        <item x="1"/>
        <item x="2"/>
        <item x="18"/>
        <item x="3"/>
        <item x="9"/>
        <item x="15"/>
        <item x="10"/>
        <item x="4"/>
        <item x="19"/>
        <item x="5"/>
        <item x="16"/>
        <item x="6"/>
        <item x="11"/>
        <item x="12"/>
        <item x="13"/>
        <item x="20"/>
        <item x="14"/>
        <item x="17"/>
        <item x="21"/>
        <item x="7"/>
        <item x="28"/>
        <item x="22"/>
        <item x="23"/>
        <item x="29"/>
        <item x="35"/>
        <item x="36"/>
        <item x="30"/>
        <item x="24"/>
        <item x="39"/>
        <item x="25"/>
        <item x="37"/>
        <item x="31"/>
        <item x="32"/>
        <item x="38"/>
        <item x="26"/>
        <item x="33"/>
        <item x="40"/>
        <item x="41"/>
        <item x="27"/>
        <item x="42"/>
        <item x="43"/>
        <item x="34"/>
        <item x="50"/>
        <item x="60"/>
        <item x="62"/>
        <item x="61"/>
        <item x="44"/>
        <item x="56"/>
        <item x="51"/>
        <item x="52"/>
        <item x="57"/>
        <item x="58"/>
        <item x="53"/>
        <item x="54"/>
        <item x="55"/>
        <item x="45"/>
        <item x="63"/>
        <item x="46"/>
        <item x="47"/>
        <item x="64"/>
        <item x="48"/>
        <item x="65"/>
        <item x="49"/>
        <item x="59"/>
        <item x="77"/>
        <item x="70"/>
        <item x="86"/>
        <item x="78"/>
        <item x="79"/>
        <item x="80"/>
        <item x="81"/>
        <item x="71"/>
        <item x="66"/>
        <item x="72"/>
        <item x="82"/>
        <item x="73"/>
        <item x="74"/>
        <item x="83"/>
        <item x="87"/>
        <item x="67"/>
        <item x="75"/>
        <item x="84"/>
        <item x="85"/>
        <item x="68"/>
        <item x="69"/>
        <item x="76"/>
        <item x="106"/>
        <item x="95"/>
        <item x="88"/>
        <item x="107"/>
        <item x="101"/>
        <item x="89"/>
        <item x="102"/>
        <item x="90"/>
        <item x="97"/>
        <item x="96"/>
        <item x="103"/>
        <item x="91"/>
        <item x="98"/>
        <item x="104"/>
        <item x="105"/>
        <item x="92"/>
        <item x="99"/>
        <item x="93"/>
        <item x="94"/>
        <item x="109"/>
        <item x="108"/>
        <item x="100"/>
        <item x="110"/>
        <item x="123"/>
        <item x="124"/>
        <item x="131"/>
        <item x="111"/>
        <item x="114"/>
        <item x="115"/>
        <item x="125"/>
        <item x="116"/>
        <item x="117"/>
        <item x="118"/>
        <item x="112"/>
        <item x="119"/>
        <item x="126"/>
        <item x="132"/>
        <item x="120"/>
        <item x="121"/>
        <item x="113"/>
        <item x="127"/>
        <item x="122"/>
        <item x="128"/>
        <item x="133"/>
        <item x="129"/>
        <item x="130"/>
        <item x="144"/>
        <item x="145"/>
        <item x="146"/>
        <item x="137"/>
        <item x="147"/>
        <item x="138"/>
        <item x="139"/>
        <item x="140"/>
        <item x="151"/>
        <item x="134"/>
        <item x="135"/>
        <item x="148"/>
        <item x="136"/>
        <item x="149"/>
        <item x="152"/>
        <item x="141"/>
        <item x="142"/>
        <item x="153"/>
        <item x="143"/>
        <item x="150"/>
        <item x="154"/>
        <item x="161"/>
        <item x="170"/>
        <item x="173"/>
        <item x="162"/>
        <item x="174"/>
        <item x="163"/>
        <item x="164"/>
        <item x="171"/>
        <item x="155"/>
        <item x="165"/>
        <item x="175"/>
        <item x="156"/>
        <item x="157"/>
        <item x="172"/>
        <item x="166"/>
        <item x="158"/>
        <item x="159"/>
        <item x="167"/>
        <item x="160"/>
        <item x="168"/>
        <item x="169"/>
        <item x="181"/>
        <item x="176"/>
        <item x="182"/>
        <item x="196"/>
        <item x="190"/>
        <item x="191"/>
        <item x="177"/>
        <item x="195"/>
        <item x="178"/>
        <item x="192"/>
        <item x="183"/>
        <item x="184"/>
        <item x="197"/>
        <item x="185"/>
        <item x="186"/>
        <item x="179"/>
        <item x="187"/>
        <item x="193"/>
        <item x="188"/>
        <item x="189"/>
        <item x="180"/>
        <item x="194"/>
        <item x="198"/>
        <item x="213"/>
        <item x="205"/>
        <item x="206"/>
        <item x="207"/>
        <item x="199"/>
        <item x="217"/>
        <item x="208"/>
        <item x="200"/>
        <item x="201"/>
        <item x="202"/>
        <item x="214"/>
        <item x="209"/>
        <item x="210"/>
        <item x="215"/>
        <item x="203"/>
        <item x="204"/>
        <item x="211"/>
        <item x="216"/>
        <item x="212"/>
        <item x="218"/>
        <item x="219"/>
        <item x="223"/>
        <item x="224"/>
        <item x="230"/>
        <item x="220"/>
        <item x="231"/>
        <item x="225"/>
        <item x="238"/>
        <item x="232"/>
        <item x="239"/>
        <item x="226"/>
        <item x="233"/>
        <item x="227"/>
        <item x="236"/>
        <item x="221"/>
        <item x="228"/>
        <item x="237"/>
        <item x="234"/>
        <item x="222"/>
        <item x="235"/>
        <item x="229"/>
        <item x="253"/>
        <item x="240"/>
        <item x="243"/>
        <item x="254"/>
        <item x="244"/>
        <item x="255"/>
        <item x="245"/>
        <item x="246"/>
        <item x="258"/>
        <item x="247"/>
        <item x="248"/>
        <item x="241"/>
        <item x="242"/>
        <item x="249"/>
        <item x="256"/>
        <item x="250"/>
        <item x="251"/>
        <item x="259"/>
        <item x="257"/>
        <item x="252"/>
        <item x="260"/>
        <item x="274"/>
        <item x="261"/>
        <item x="262"/>
        <item x="278"/>
        <item x="275"/>
        <item x="263"/>
        <item x="264"/>
        <item x="270"/>
        <item x="265"/>
        <item x="266"/>
        <item x="279"/>
        <item x="280"/>
        <item x="267"/>
        <item x="271"/>
        <item x="281"/>
        <item x="272"/>
        <item x="276"/>
        <item x="268"/>
        <item x="269"/>
        <item x="282"/>
        <item x="277"/>
        <item x="273"/>
        <item x="297"/>
        <item x="298"/>
        <item x="291"/>
        <item x="300"/>
        <item x="299"/>
        <item x="283"/>
        <item x="284"/>
        <item x="292"/>
        <item x="285"/>
        <item x="301"/>
        <item x="293"/>
        <item x="286"/>
        <item x="302"/>
        <item x="287"/>
        <item x="295"/>
        <item x="288"/>
        <item x="296"/>
        <item x="303"/>
        <item x="294"/>
        <item x="289"/>
        <item x="290"/>
        <item x="304"/>
        <item x="305"/>
        <item x="306"/>
        <item x="311"/>
        <item x="310"/>
        <item x="307"/>
        <item x="317"/>
        <item x="312"/>
        <item x="313"/>
        <item x="321"/>
        <item x="314"/>
        <item x="322"/>
        <item x="318"/>
        <item x="319"/>
        <item x="308"/>
        <item x="320"/>
        <item x="309"/>
        <item x="315"/>
        <item x="323"/>
        <item x="316"/>
        <item x="324"/>
        <item x="331"/>
        <item x="343"/>
        <item x="332"/>
        <item x="325"/>
        <item x="344"/>
        <item x="333"/>
        <item x="345"/>
        <item x="326"/>
        <item x="334"/>
        <item x="337"/>
        <item x="338"/>
        <item x="335"/>
        <item x="327"/>
        <item x="328"/>
        <item x="346"/>
        <item x="336"/>
        <item x="329"/>
        <item x="339"/>
        <item x="340"/>
        <item x="341"/>
        <item x="347"/>
        <item x="330"/>
        <item x="342"/>
        <item x="359"/>
        <item x="348"/>
        <item x="360"/>
        <item x="349"/>
        <item x="368"/>
        <item x="369"/>
        <item x="350"/>
        <item x="351"/>
        <item x="361"/>
        <item x="352"/>
        <item x="362"/>
        <item x="363"/>
        <item x="364"/>
        <item x="365"/>
        <item x="353"/>
        <item x="356"/>
        <item x="354"/>
        <item x="357"/>
        <item x="366"/>
        <item x="358"/>
        <item x="367"/>
        <item x="355"/>
        <item x="376"/>
        <item x="377"/>
        <item x="382"/>
        <item x="370"/>
        <item x="371"/>
        <item x="383"/>
        <item x="388"/>
        <item x="389"/>
        <item x="384"/>
        <item x="378"/>
        <item x="379"/>
        <item x="385"/>
        <item x="390"/>
        <item x="372"/>
        <item x="386"/>
        <item x="373"/>
        <item x="387"/>
        <item x="380"/>
        <item x="374"/>
        <item x="381"/>
        <item x="375"/>
        <item x="391"/>
        <item x="406"/>
        <item x="392"/>
        <item x="402"/>
        <item x="393"/>
        <item x="407"/>
        <item x="403"/>
        <item x="408"/>
        <item x="409"/>
        <item x="404"/>
        <item x="394"/>
        <item x="395"/>
        <item x="396"/>
        <item x="397"/>
        <item x="413"/>
        <item x="405"/>
        <item x="398"/>
        <item x="410"/>
        <item x="399"/>
        <item x="400"/>
        <item x="411"/>
        <item x="401"/>
        <item x="412"/>
        <item x="425"/>
        <item x="414"/>
        <item x="415"/>
        <item x="419"/>
        <item x="426"/>
        <item x="427"/>
        <item x="420"/>
        <item x="416"/>
        <item x="423"/>
        <item x="424"/>
        <item x="428"/>
        <item x="417"/>
        <item x="421"/>
        <item x="429"/>
        <item x="430"/>
        <item x="433"/>
        <item x="434"/>
        <item x="435"/>
        <item x="431"/>
        <item x="422"/>
        <item x="432"/>
        <item x="418"/>
        <item x="436"/>
        <item x="437"/>
        <item x="441"/>
        <item x="448"/>
        <item x="449"/>
        <item x="442"/>
        <item x="450"/>
        <item x="451"/>
        <item x="443"/>
        <item x="438"/>
        <item x="452"/>
        <item x="453"/>
        <item x="455"/>
        <item x="444"/>
        <item x="439"/>
        <item x="454"/>
        <item x="445"/>
        <item x="446"/>
        <item x="440"/>
        <item x="447"/>
        <item x="459"/>
        <item x="470"/>
        <item x="471"/>
        <item x="464"/>
        <item x="472"/>
        <item x="456"/>
        <item x="474"/>
        <item x="460"/>
        <item x="457"/>
        <item x="475"/>
        <item x="465"/>
        <item x="461"/>
        <item x="476"/>
        <item x="473"/>
        <item x="477"/>
        <item x="466"/>
        <item x="462"/>
        <item x="467"/>
        <item x="468"/>
        <item x="463"/>
        <item x="469"/>
        <item x="458"/>
        <item x="489"/>
        <item x="478"/>
        <item x="497"/>
        <item x="494"/>
        <item x="479"/>
        <item x="490"/>
        <item x="480"/>
        <item x="491"/>
        <item x="481"/>
        <item x="484"/>
        <item x="485"/>
        <item x="486"/>
        <item x="498"/>
        <item x="495"/>
        <item x="492"/>
        <item x="499"/>
        <item x="496"/>
        <item x="487"/>
        <item x="482"/>
        <item x="488"/>
        <item x="493"/>
        <item x="483"/>
        <item x="500"/>
        <item x="501"/>
        <item x="505"/>
        <item x="514"/>
        <item x="509"/>
        <item x="502"/>
        <item x="510"/>
        <item x="511"/>
        <item x="503"/>
        <item x="506"/>
        <item x="515"/>
        <item x="507"/>
        <item x="512"/>
        <item x="516"/>
        <item x="508"/>
        <item x="517"/>
        <item x="504"/>
        <item x="513"/>
        <item x="518"/>
        <item x="531"/>
        <item x="519"/>
        <item x="520"/>
        <item x="525"/>
        <item x="532"/>
        <item x="526"/>
        <item x="533"/>
        <item x="534"/>
        <item x="521"/>
        <item x="535"/>
        <item x="522"/>
        <item x="536"/>
        <item x="523"/>
        <item x="537"/>
        <item x="528"/>
        <item x="529"/>
        <item x="524"/>
        <item x="538"/>
        <item x="530"/>
        <item x="527"/>
        <item x="539"/>
        <item x="552"/>
        <item x="544"/>
        <item x="540"/>
        <item x="555"/>
        <item x="541"/>
        <item x="556"/>
        <item x="545"/>
        <item x="546"/>
        <item x="547"/>
        <item x="548"/>
        <item x="549"/>
        <item x="542"/>
        <item x="543"/>
        <item x="550"/>
        <item x="551"/>
        <item x="557"/>
        <item x="558"/>
        <item x="553"/>
        <item x="554"/>
        <item x="563"/>
        <item x="576"/>
        <item x="559"/>
        <item x="577"/>
        <item x="564"/>
        <item x="578"/>
        <item x="560"/>
        <item x="565"/>
        <item x="579"/>
        <item x="561"/>
        <item x="580"/>
        <item x="568"/>
        <item x="569"/>
        <item x="566"/>
        <item x="570"/>
        <item x="567"/>
        <item x="571"/>
        <item x="572"/>
        <item x="562"/>
        <item x="573"/>
        <item x="574"/>
        <item x="575"/>
        <item x="587"/>
        <item x="588"/>
        <item x="594"/>
        <item x="601"/>
        <item x="581"/>
        <item x="595"/>
        <item x="596"/>
        <item x="582"/>
        <item x="589"/>
        <item x="590"/>
        <item x="597"/>
        <item x="583"/>
        <item x="584"/>
        <item x="591"/>
        <item x="602"/>
        <item x="598"/>
        <item x="592"/>
        <item x="599"/>
        <item x="585"/>
        <item x="586"/>
        <item x="600"/>
        <item x="593"/>
        <item x="615"/>
        <item x="606"/>
        <item x="607"/>
        <item x="616"/>
        <item x="617"/>
        <item x="603"/>
        <item x="608"/>
        <item x="609"/>
        <item x="610"/>
        <item x="618"/>
        <item x="611"/>
        <item x="612"/>
        <item x="619"/>
        <item x="620"/>
        <item x="604"/>
        <item x="621"/>
        <item x="605"/>
        <item x="613"/>
        <item x="622"/>
        <item x="614"/>
        <item x="643"/>
        <item x="633"/>
        <item x="634"/>
        <item x="625"/>
        <item x="635"/>
        <item x="623"/>
        <item x="636"/>
        <item x="637"/>
        <item x="626"/>
        <item x="627"/>
        <item x="638"/>
        <item x="628"/>
        <item x="639"/>
        <item x="624"/>
        <item x="629"/>
        <item x="630"/>
        <item x="640"/>
        <item x="641"/>
        <item x="642"/>
        <item x="631"/>
        <item x="632"/>
        <item x="649"/>
        <item x="665"/>
        <item x="644"/>
        <item x="650"/>
        <item x="645"/>
        <item x="659"/>
        <item x="660"/>
        <item x="661"/>
        <item x="651"/>
        <item x="652"/>
        <item x="646"/>
        <item x="653"/>
        <item x="654"/>
        <item x="662"/>
        <item x="647"/>
        <item x="648"/>
        <item x="663"/>
        <item x="655"/>
        <item x="656"/>
        <item x="664"/>
        <item x="657"/>
        <item x="658"/>
        <item x="685"/>
        <item x="666"/>
        <item x="670"/>
        <item x="671"/>
        <item x="681"/>
        <item x="682"/>
        <item x="667"/>
        <item x="668"/>
        <item x="672"/>
        <item x="673"/>
        <item x="674"/>
        <item x="686"/>
        <item x="675"/>
        <item x="676"/>
        <item x="677"/>
        <item x="683"/>
        <item x="669"/>
        <item x="678"/>
        <item x="679"/>
        <item x="684"/>
        <item x="680"/>
        <item x="691"/>
        <item x="706"/>
        <item x="701"/>
        <item x="704"/>
        <item x="689"/>
        <item x="697"/>
        <item x="702"/>
        <item x="695"/>
        <item x="690"/>
        <item x="699"/>
        <item x="700"/>
        <item x="703"/>
        <item x="694"/>
        <item x="688"/>
        <item x="705"/>
        <item x="698"/>
        <item x="687"/>
        <item x="696"/>
        <item x="692"/>
        <item x="693"/>
        <item x="711"/>
        <item x="712"/>
        <item x="707"/>
        <item x="713"/>
        <item x="727"/>
        <item x="714"/>
        <item x="715"/>
        <item x="725"/>
        <item x="708"/>
        <item x="709"/>
        <item x="716"/>
        <item x="719"/>
        <item x="717"/>
        <item x="723"/>
        <item x="720"/>
        <item x="721"/>
        <item x="710"/>
        <item x="726"/>
        <item x="728"/>
        <item x="722"/>
        <item x="724"/>
        <item x="718"/>
        <item x="739"/>
        <item x="729"/>
        <item x="740"/>
        <item x="741"/>
        <item x="730"/>
        <item x="742"/>
        <item x="743"/>
        <item x="734"/>
        <item x="747"/>
        <item x="731"/>
        <item x="746"/>
        <item x="735"/>
        <item x="736"/>
        <item x="732"/>
        <item x="737"/>
        <item x="744"/>
        <item x="748"/>
        <item x="733"/>
        <item x="745"/>
        <item x="738"/>
        <item x="749"/>
        <item x="761"/>
        <item x="762"/>
        <item x="763"/>
        <item x="754"/>
        <item x="755"/>
        <item x="756"/>
        <item x="757"/>
        <item x="758"/>
        <item x="768"/>
        <item x="750"/>
        <item x="751"/>
        <item x="764"/>
        <item x="765"/>
        <item x="752"/>
        <item x="759"/>
        <item x="766"/>
        <item x="769"/>
        <item x="753"/>
        <item x="767"/>
        <item x="760"/>
        <item t="default"/>
      </items>
    </pivotField>
    <pivotField axis="axisCol" showAll="0">
      <items count="13">
        <item x="3"/>
        <item x="4"/>
        <item x="5"/>
        <item x="6"/>
        <item x="7"/>
        <item x="8"/>
        <item x="9"/>
        <item x="10"/>
        <item x="11"/>
        <item x="0"/>
        <item x="1"/>
        <item x="2"/>
        <item t="default"/>
      </items>
    </pivotField>
    <pivotField axis="axisPage" multipleItemSelectionAllowed="1" showAll="0">
      <items count="5">
        <item h="1" x="0"/>
        <item x="1"/>
        <item x="2"/>
        <item x="3"/>
        <item t="default"/>
      </items>
    </pivotField>
    <pivotField showAll="0"/>
    <pivotField showAll="0"/>
    <pivotField axis="axisRow" multipleItemSelectionAllowed="1" showAll="0" sortType="ascending">
      <items count="594">
        <item x="311"/>
        <item x="344"/>
        <item x="291"/>
        <item x="293"/>
        <item x="250"/>
        <item x="472"/>
        <item x="278"/>
        <item x="183"/>
        <item x="184"/>
        <item x="246"/>
        <item x="220"/>
        <item x="404"/>
        <item x="212"/>
        <item x="221"/>
        <item x="219"/>
        <item x="213"/>
        <item x="214"/>
        <item x="403"/>
        <item x="215"/>
        <item x="290"/>
        <item x="216"/>
        <item x="292"/>
        <item x="13"/>
        <item x="92"/>
        <item x="93"/>
        <item x="307"/>
        <item x="98"/>
        <item x="528"/>
        <item x="529"/>
        <item x="530"/>
        <item x="531"/>
        <item x="259"/>
        <item x="31"/>
        <item x="141"/>
        <item x="282"/>
        <item x="424"/>
        <item x="499"/>
        <item x="373"/>
        <item x="479"/>
        <item x="482"/>
        <item x="523"/>
        <item x="573"/>
        <item x="500"/>
        <item x="442"/>
        <item x="584"/>
        <item x="448"/>
        <item x="127"/>
        <item x="507"/>
        <item x="95"/>
        <item x="124"/>
        <item x="190"/>
        <item x="128"/>
        <item x="94"/>
        <item x="409"/>
        <item x="304"/>
        <item x="539"/>
        <item x="577"/>
        <item x="313"/>
        <item x="314"/>
        <item x="392"/>
        <item x="576"/>
        <item x="591"/>
        <item x="574"/>
        <item x="568"/>
        <item x="575"/>
        <item x="586"/>
        <item x="557"/>
        <item x="163"/>
        <item x="310"/>
        <item x="350"/>
        <item x="33"/>
        <item x="490"/>
        <item x="251"/>
        <item x="323"/>
        <item x="361"/>
        <item x="211"/>
        <item x="505"/>
        <item x="24"/>
        <item x="223"/>
        <item x="542"/>
        <item x="242"/>
        <item x="283"/>
        <item x="121"/>
        <item x="177"/>
        <item x="399"/>
        <item x="1"/>
        <item x="446"/>
        <item x="469"/>
        <item x="61"/>
        <item x="471"/>
        <item x="42"/>
        <item x="45"/>
        <item x="77"/>
        <item x="561"/>
        <item x="592"/>
        <item x="415"/>
        <item x="30"/>
        <item x="130"/>
        <item x="506"/>
        <item x="232"/>
        <item x="426"/>
        <item x="8"/>
        <item x="74"/>
        <item x="486"/>
        <item x="85"/>
        <item x="255"/>
        <item x="256"/>
        <item x="555"/>
        <item x="556"/>
        <item x="348"/>
        <item x="327"/>
        <item x="159"/>
        <item x="129"/>
        <item x="277"/>
        <item x="276"/>
        <item x="10"/>
        <item x="160"/>
        <item x="295"/>
        <item x="306"/>
        <item x="318"/>
        <item x="112"/>
        <item x="430"/>
        <item x="113"/>
        <item x="110"/>
        <item x="105"/>
        <item x="164"/>
        <item x="416"/>
        <item x="417"/>
        <item x="281"/>
        <item x="261"/>
        <item x="316"/>
        <item x="457"/>
        <item x="354"/>
        <item x="378"/>
        <item x="428"/>
        <item x="451"/>
        <item x="3"/>
        <item x="109"/>
        <item x="16"/>
        <item x="88"/>
        <item x="518"/>
        <item x="422"/>
        <item x="217"/>
        <item x="133"/>
        <item x="120"/>
        <item x="379"/>
        <item x="298"/>
        <item x="48"/>
        <item x="170"/>
        <item x="37"/>
        <item x="388"/>
        <item x="579"/>
        <item x="578"/>
        <item x="119"/>
        <item x="181"/>
        <item x="538"/>
        <item x="459"/>
        <item x="302"/>
        <item x="336"/>
        <item x="330"/>
        <item x="516"/>
        <item x="368"/>
        <item x="322"/>
        <item x="9"/>
        <item x="338"/>
        <item x="305"/>
        <item x="297"/>
        <item x="239"/>
        <item x="421"/>
        <item x="198"/>
        <item x="369"/>
        <item x="503"/>
        <item x="458"/>
        <item x="230"/>
        <item x="97"/>
        <item x="168"/>
        <item x="87"/>
        <item x="419"/>
        <item x="5"/>
        <item x="140"/>
        <item x="79"/>
        <item x="436"/>
        <item x="464"/>
        <item x="80"/>
        <item x="218"/>
        <item x="279"/>
        <item x="136"/>
        <item x="123"/>
        <item x="296"/>
        <item x="566"/>
        <item x="252"/>
        <item x="106"/>
        <item x="253"/>
        <item x="547"/>
        <item x="81"/>
        <item x="334"/>
        <item x="303"/>
        <item x="317"/>
        <item x="583"/>
        <item x="237"/>
        <item x="254"/>
        <item x="546"/>
        <item x="82"/>
        <item x="195"/>
        <item x="431"/>
        <item x="35"/>
        <item x="445"/>
        <item x="38"/>
        <item x="165"/>
        <item x="455"/>
        <item x="333"/>
        <item x="320"/>
        <item x="400"/>
        <item x="86"/>
        <item x="362"/>
        <item x="107"/>
        <item x="429"/>
        <item x="249"/>
        <item x="331"/>
        <item x="406"/>
        <item x="405"/>
        <item x="353"/>
        <item x="498"/>
        <item x="439"/>
        <item x="335"/>
        <item x="570"/>
        <item x="476"/>
        <item x="485"/>
        <item x="319"/>
        <item x="383"/>
        <item x="478"/>
        <item x="4"/>
        <item x="329"/>
        <item x="257"/>
        <item x="418"/>
        <item x="371"/>
        <item x="321"/>
        <item x="569"/>
        <item x="370"/>
        <item x="363"/>
        <item x="384"/>
        <item x="357"/>
        <item x="332"/>
        <item x="161"/>
        <item x="301"/>
        <item x="447"/>
        <item x="504"/>
        <item x="548"/>
        <item x="527"/>
        <item x="387"/>
        <item x="294"/>
        <item x="156"/>
        <item x="157"/>
        <item x="137"/>
        <item x="158"/>
        <item x="206"/>
        <item x="465"/>
        <item x="222"/>
        <item x="543"/>
        <item x="389"/>
        <item x="355"/>
        <item x="341"/>
        <item x="134"/>
        <item x="340"/>
        <item x="138"/>
        <item x="100"/>
        <item x="135"/>
        <item x="541"/>
        <item x="411"/>
        <item x="537"/>
        <item x="196"/>
        <item x="550"/>
        <item x="146"/>
        <item x="372"/>
        <item x="116"/>
        <item x="285"/>
        <item x="397"/>
        <item x="191"/>
        <item x="192"/>
        <item x="11"/>
        <item x="17"/>
        <item x="148"/>
        <item x="551"/>
        <item x="427"/>
        <item x="186"/>
        <item x="91"/>
        <item x="18"/>
        <item x="187"/>
        <item x="558"/>
        <item x="501"/>
        <item x="179"/>
        <item x="559"/>
        <item x="549"/>
        <item x="364"/>
        <item x="440"/>
        <item x="385"/>
        <item x="365"/>
        <item x="337"/>
        <item x="477"/>
        <item x="339"/>
        <item x="525"/>
        <item x="352"/>
        <item x="502"/>
        <item x="438"/>
        <item x="515"/>
        <item x="443"/>
        <item x="380"/>
        <item x="564"/>
        <item x="349"/>
        <item x="514"/>
        <item x="452"/>
        <item x="460"/>
        <item x="483"/>
        <item x="517"/>
        <item x="461"/>
        <item x="462"/>
        <item x="481"/>
        <item x="587"/>
        <item x="571"/>
        <item x="453"/>
        <item x="454"/>
        <item x="497"/>
        <item x="484"/>
        <item x="356"/>
        <item x="580"/>
        <item x="408"/>
        <item x="489"/>
        <item x="54"/>
        <item x="208"/>
        <item x="563"/>
        <item x="562"/>
        <item x="407"/>
        <item x="437"/>
        <item x="325"/>
        <item x="512"/>
        <item x="513"/>
        <item x="46"/>
        <item x="441"/>
        <item x="545"/>
        <item x="243"/>
        <item x="382"/>
        <item x="111"/>
        <item x="450"/>
        <item x="423"/>
        <item x="117"/>
        <item x="118"/>
        <item x="126"/>
        <item x="394"/>
        <item x="182"/>
        <item x="524"/>
        <item x="367"/>
        <item x="511"/>
        <item x="536"/>
        <item x="205"/>
        <item x="377"/>
        <item x="115"/>
        <item x="152"/>
        <item x="174"/>
        <item x="173"/>
        <item x="535"/>
        <item x="172"/>
        <item x="229"/>
        <item x="401"/>
        <item x="49"/>
        <item x="328"/>
        <item x="532"/>
        <item x="326"/>
        <item x="473"/>
        <item x="64"/>
        <item x="554"/>
        <item x="589"/>
        <item x="193"/>
        <item x="27"/>
        <item x="103"/>
        <item x="52"/>
        <item x="581"/>
        <item x="553"/>
        <item x="434"/>
        <item x="275"/>
        <item x="244"/>
        <item x="519"/>
        <item x="521"/>
        <item x="413"/>
        <item x="201"/>
        <item x="534"/>
        <item x="386"/>
        <item x="145"/>
        <item x="149"/>
        <item x="204"/>
        <item x="262"/>
        <item x="60"/>
        <item x="234"/>
        <item x="347"/>
        <item x="67"/>
        <item x="104"/>
        <item x="509"/>
        <item x="493"/>
        <item x="491"/>
        <item x="50"/>
        <item x="375"/>
        <item x="402"/>
        <item x="28"/>
        <item x="494"/>
        <item x="492"/>
        <item x="151"/>
        <item x="171"/>
        <item x="199"/>
        <item x="231"/>
        <item x="228"/>
        <item x="73"/>
        <item x="552"/>
        <item x="533"/>
        <item x="147"/>
        <item x="55"/>
        <item x="153"/>
        <item x="312"/>
        <item x="560"/>
        <item x="273"/>
        <item x="433"/>
        <item x="44"/>
        <item x="47"/>
        <item x="393"/>
        <item x="412"/>
        <item x="155"/>
        <item x="270"/>
        <item x="210"/>
        <item x="71"/>
        <item x="99"/>
        <item x="200"/>
        <item x="567"/>
        <item x="58"/>
        <item x="56"/>
        <item x="487"/>
        <item x="59"/>
        <item x="435"/>
        <item x="72"/>
        <item x="444"/>
        <item x="510"/>
        <item x="154"/>
        <item x="65"/>
        <item x="286"/>
        <item x="269"/>
        <item x="588"/>
        <item x="308"/>
        <item x="69"/>
        <item x="235"/>
        <item x="180"/>
        <item x="226"/>
        <item x="425"/>
        <item x="68"/>
        <item x="488"/>
        <item x="114"/>
        <item x="268"/>
        <item x="263"/>
        <item x="496"/>
        <item x="62"/>
        <item x="57"/>
        <item x="381"/>
        <item x="360"/>
        <item x="245"/>
        <item x="274"/>
        <item x="544"/>
        <item x="241"/>
        <item x="236"/>
        <item x="207"/>
        <item x="414"/>
        <item x="51"/>
        <item x="125"/>
        <item x="76"/>
        <item x="495"/>
        <item x="272"/>
        <item x="284"/>
        <item x="150"/>
        <item x="366"/>
        <item x="53"/>
        <item x="233"/>
        <item x="227"/>
        <item x="398"/>
        <item x="43"/>
        <item x="63"/>
        <item x="287"/>
        <item x="289"/>
        <item x="202"/>
        <item x="75"/>
        <item x="224"/>
        <item x="189"/>
        <item x="565"/>
        <item x="582"/>
        <item x="132"/>
        <item x="101"/>
        <item x="26"/>
        <item x="300"/>
        <item x="324"/>
        <item x="374"/>
        <item x="359"/>
        <item x="225"/>
        <item x="343"/>
        <item x="89"/>
        <item x="25"/>
        <item x="508"/>
        <item x="29"/>
        <item x="280"/>
        <item x="122"/>
        <item x="70"/>
        <item x="526"/>
        <item x="143"/>
        <item x="144"/>
        <item x="271"/>
        <item x="142"/>
        <item x="139"/>
        <item x="108"/>
        <item x="346"/>
        <item x="66"/>
        <item x="260"/>
        <item x="96"/>
        <item x="590"/>
        <item x="520"/>
        <item x="238"/>
        <item x="288"/>
        <item x="32"/>
        <item x="540"/>
        <item x="178"/>
        <item x="342"/>
        <item x="463"/>
        <item x="522"/>
        <item x="175"/>
        <item x="264"/>
        <item x="466"/>
        <item x="194"/>
        <item x="34"/>
        <item x="166"/>
        <item x="467"/>
        <item x="345"/>
        <item x="36"/>
        <item x="197"/>
        <item x="40"/>
        <item x="410"/>
        <item x="203"/>
        <item x="468"/>
        <item x="449"/>
        <item x="167"/>
        <item x="41"/>
        <item x="240"/>
        <item x="102"/>
        <item x="432"/>
        <item x="78"/>
        <item x="267"/>
        <item x="162"/>
        <item x="376"/>
        <item x="470"/>
        <item x="309"/>
        <item x="248"/>
        <item x="258"/>
        <item x="90"/>
        <item x="14"/>
        <item x="185"/>
        <item x="6"/>
        <item x="2"/>
        <item x="20"/>
        <item x="0"/>
        <item x="21"/>
        <item x="390"/>
        <item x="131"/>
        <item x="19"/>
        <item x="266"/>
        <item x="265"/>
        <item x="572"/>
        <item x="299"/>
        <item x="7"/>
        <item x="15"/>
        <item x="358"/>
        <item x="23"/>
        <item x="585"/>
        <item x="39"/>
        <item x="22"/>
        <item x="83"/>
        <item x="391"/>
        <item x="188"/>
        <item x="351"/>
        <item x="176"/>
        <item x="396"/>
        <item x="395"/>
        <item x="169"/>
        <item x="456"/>
        <item x="474"/>
        <item x="475"/>
        <item x="12"/>
        <item x="247"/>
        <item x="84"/>
        <item x="209"/>
        <item x="420"/>
        <item x="480"/>
        <item x="3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519">
        <item x="321"/>
        <item x="325"/>
        <item x="298"/>
        <item x="311"/>
        <item x="338"/>
        <item x="326"/>
        <item x="301"/>
        <item x="396"/>
        <item x="461"/>
        <item x="13"/>
        <item x="336"/>
        <item x="322"/>
        <item x="274"/>
        <item x="302"/>
        <item x="79"/>
        <item x="258"/>
        <item x="223"/>
        <item x="165"/>
        <item x="195"/>
        <item x="188"/>
        <item x="194"/>
        <item x="189"/>
        <item x="349"/>
        <item x="190"/>
        <item x="120"/>
        <item x="330"/>
        <item x="200"/>
        <item x="81"/>
        <item x="293"/>
        <item x="299"/>
        <item x="82"/>
        <item x="12"/>
        <item x="305"/>
        <item x="312"/>
        <item x="474"/>
        <item x="464"/>
        <item x="465"/>
        <item x="222"/>
        <item x="303"/>
        <item x="226"/>
        <item x="255"/>
        <item x="376"/>
        <item x="373"/>
        <item x="295"/>
        <item x="443"/>
        <item x="387"/>
        <item x="515"/>
        <item x="313"/>
        <item x="167"/>
        <item x="327"/>
        <item x="362"/>
        <item x="423"/>
        <item x="436"/>
        <item x="506"/>
        <item x="378"/>
        <item x="375"/>
        <item x="384"/>
        <item x="94"/>
        <item x="121"/>
        <item x="115"/>
        <item x="414"/>
        <item x="444"/>
        <item x="21"/>
        <item x="405"/>
        <item x="26"/>
        <item x="116"/>
        <item x="88"/>
        <item x="71"/>
        <item x="80"/>
        <item x="99"/>
        <item x="145"/>
        <item x="28"/>
        <item x="285"/>
        <item x="316"/>
        <item x="509"/>
        <item x="352"/>
        <item x="428"/>
        <item x="47"/>
        <item x="184"/>
        <item x="496"/>
        <item x="440"/>
        <item x="19"/>
        <item x="158"/>
        <item x="495"/>
        <item x="359"/>
        <item x="25"/>
        <item x="54"/>
        <item x="292"/>
        <item x="350"/>
        <item x="372"/>
        <item x="203"/>
        <item x="288"/>
        <item x="449"/>
        <item x="450"/>
        <item x="40"/>
        <item x="481"/>
        <item x="377"/>
        <item x="217"/>
        <item x="386"/>
        <item x="67"/>
        <item x="284"/>
        <item x="404"/>
        <item x="104"/>
        <item x="107"/>
        <item x="114"/>
        <item x="343"/>
        <item x="164"/>
        <item x="460"/>
        <item x="324"/>
        <item x="448"/>
        <item x="472"/>
        <item x="181"/>
        <item x="331"/>
        <item x="102"/>
        <item x="134"/>
        <item x="155"/>
        <item x="152"/>
        <item x="154"/>
        <item x="471"/>
        <item x="206"/>
        <item x="347"/>
        <item x="42"/>
        <item x="291"/>
        <item x="468"/>
        <item x="289"/>
        <item x="416"/>
        <item x="57"/>
        <item x="487"/>
        <item x="517"/>
        <item x="170"/>
        <item x="22"/>
        <item x="95"/>
        <item x="45"/>
        <item x="510"/>
        <item x="486"/>
        <item x="367"/>
        <item x="242"/>
        <item x="357"/>
        <item x="178"/>
        <item x="218"/>
        <item x="456"/>
        <item x="458"/>
        <item x="126"/>
        <item x="129"/>
        <item x="180"/>
        <item x="470"/>
        <item x="339"/>
        <item x="232"/>
        <item x="399"/>
        <item x="53"/>
        <item x="210"/>
        <item x="446"/>
        <item x="308"/>
        <item x="60"/>
        <item x="96"/>
        <item x="431"/>
        <item x="429"/>
        <item x="23"/>
        <item x="432"/>
        <item x="430"/>
        <item x="43"/>
        <item x="329"/>
        <item x="348"/>
        <item x="132"/>
        <item x="151"/>
        <item x="176"/>
        <item x="207"/>
        <item x="488"/>
        <item x="469"/>
        <item x="127"/>
        <item x="48"/>
        <item x="493"/>
        <item x="205"/>
        <item x="66"/>
        <item x="485"/>
        <item x="135"/>
        <item x="275"/>
        <item x="240"/>
        <item x="366"/>
        <item x="490"/>
        <item x="39"/>
        <item x="41"/>
        <item x="342"/>
        <item x="356"/>
        <item x="137"/>
        <item x="238"/>
        <item x="186"/>
        <item x="64"/>
        <item x="93"/>
        <item x="177"/>
        <item x="500"/>
        <item x="51"/>
        <item x="49"/>
        <item x="426"/>
        <item x="52"/>
        <item x="368"/>
        <item x="65"/>
        <item x="380"/>
        <item x="447"/>
        <item x="136"/>
        <item x="58"/>
        <item x="249"/>
        <item x="237"/>
        <item x="309"/>
        <item x="516"/>
        <item x="272"/>
        <item x="62"/>
        <item x="211"/>
        <item x="163"/>
        <item x="202"/>
        <item x="363"/>
        <item x="61"/>
        <item x="427"/>
        <item x="101"/>
        <item x="236"/>
        <item x="233"/>
        <item x="434"/>
        <item x="55"/>
        <item x="50"/>
        <item x="335"/>
        <item x="319"/>
        <item x="219"/>
        <item x="241"/>
        <item x="480"/>
        <item x="216"/>
        <item x="212"/>
        <item x="183"/>
        <item x="290"/>
        <item x="141"/>
        <item x="358"/>
        <item x="44"/>
        <item x="113"/>
        <item x="70"/>
        <item x="433"/>
        <item x="239"/>
        <item x="248"/>
        <item x="130"/>
        <item x="323"/>
        <item x="46"/>
        <item x="209"/>
        <item x="204"/>
        <item x="345"/>
        <item x="38"/>
        <item x="56"/>
        <item x="250"/>
        <item x="254"/>
        <item x="270"/>
        <item x="179"/>
        <item x="68"/>
        <item x="199"/>
        <item x="100"/>
        <item x="97"/>
        <item x="147"/>
        <item x="229"/>
        <item x="247"/>
        <item x="332"/>
        <item x="371"/>
        <item x="364"/>
        <item x="187"/>
        <item x="455"/>
        <item x="192"/>
        <item x="109"/>
        <item x="441"/>
        <item x="208"/>
        <item x="108"/>
        <item x="475"/>
        <item x="253"/>
        <item x="269"/>
        <item x="91"/>
        <item x="409"/>
        <item x="287"/>
        <item x="72"/>
        <item x="131"/>
        <item x="369"/>
        <item x="73"/>
        <item x="193"/>
        <item x="215"/>
        <item x="224"/>
        <item x="111"/>
        <item x="74"/>
        <item x="75"/>
        <item x="171"/>
        <item x="30"/>
        <item x="148"/>
        <item x="175"/>
        <item x="395"/>
        <item x="261"/>
        <item x="499"/>
        <item x="98"/>
        <item x="463"/>
        <item x="482"/>
        <item x="138"/>
        <item x="340"/>
        <item x="122"/>
        <item x="173"/>
        <item x="153"/>
        <item x="139"/>
        <item x="489"/>
        <item x="333"/>
        <item x="355"/>
        <item x="103"/>
        <item x="344"/>
        <item x="172"/>
        <item x="169"/>
        <item x="225"/>
        <item x="128"/>
        <item x="174"/>
        <item x="492"/>
        <item x="346"/>
        <item x="478"/>
        <item x="473"/>
        <item x="437"/>
        <item x="162"/>
        <item x="33"/>
        <item x="457"/>
        <item x="214"/>
        <item x="262"/>
        <item x="243"/>
        <item x="18"/>
        <item x="34"/>
        <item x="69"/>
        <item x="157"/>
        <item x="150"/>
        <item x="418"/>
        <item x="76"/>
        <item x="185"/>
        <item x="264"/>
        <item x="87"/>
        <item x="266"/>
        <item x="294"/>
        <item x="6"/>
        <item x="379"/>
        <item x="2"/>
        <item x="507"/>
        <item x="502"/>
        <item x="491"/>
        <item x="230"/>
        <item x="118"/>
        <item x="89"/>
        <item x="334"/>
        <item x="297"/>
        <item x="281"/>
        <item x="83"/>
        <item x="1"/>
        <item x="259"/>
        <item x="146"/>
        <item x="260"/>
        <item x="439"/>
        <item x="503"/>
        <item x="497"/>
        <item x="442"/>
        <item x="411"/>
        <item x="452"/>
        <item x="419"/>
        <item x="197"/>
        <item x="383"/>
        <item x="310"/>
        <item x="3"/>
        <item x="119"/>
        <item x="314"/>
        <item x="512"/>
        <item x="280"/>
        <item x="283"/>
        <item x="160"/>
        <item x="251"/>
        <item x="401"/>
        <item x="451"/>
        <item x="388"/>
        <item x="402"/>
        <item x="420"/>
        <item x="391"/>
        <item x="392"/>
        <item x="424"/>
        <item x="393"/>
        <item x="417"/>
        <item x="403"/>
        <item x="435"/>
        <item x="394"/>
        <item x="421"/>
        <item x="453"/>
        <item x="389"/>
        <item x="390"/>
        <item x="479"/>
        <item x="425"/>
        <item x="400"/>
        <item x="213"/>
        <item x="276"/>
        <item x="84"/>
        <item x="227"/>
        <item x="318"/>
        <item x="140"/>
        <item x="337"/>
        <item x="397"/>
        <item x="191"/>
        <item x="406"/>
        <item x="407"/>
        <item x="498"/>
        <item x="166"/>
        <item x="198"/>
        <item x="7"/>
        <item x="9"/>
        <item x="10"/>
        <item x="14"/>
        <item x="267"/>
        <item x="16"/>
        <item x="15"/>
        <item x="511"/>
        <item x="144"/>
        <item x="415"/>
        <item x="317"/>
        <item x="412"/>
        <item x="410"/>
        <item x="514"/>
        <item x="374"/>
        <item x="513"/>
        <item x="398"/>
        <item x="4"/>
        <item x="413"/>
        <item x="320"/>
        <item x="263"/>
        <item x="286"/>
        <item x="328"/>
        <item x="279"/>
        <item x="466"/>
        <item x="467"/>
        <item x="231"/>
        <item x="142"/>
        <item x="483"/>
        <item x="63"/>
        <item x="462"/>
        <item x="24"/>
        <item x="508"/>
        <item x="149"/>
        <item x="59"/>
        <item x="125"/>
        <item x="123"/>
        <item x="90"/>
        <item x="228"/>
        <item x="304"/>
        <item x="20"/>
        <item x="445"/>
        <item x="196"/>
        <item x="17"/>
        <item x="370"/>
        <item x="8"/>
        <item x="360"/>
        <item x="85"/>
        <item x="133"/>
        <item x="105"/>
        <item x="159"/>
        <item x="422"/>
        <item x="351"/>
        <item x="484"/>
        <item x="477"/>
        <item x="353"/>
        <item x="454"/>
        <item x="438"/>
        <item x="86"/>
        <item x="306"/>
        <item x="27"/>
        <item x="246"/>
        <item x="307"/>
        <item x="268"/>
        <item x="476"/>
        <item x="296"/>
        <item x="182"/>
        <item x="277"/>
        <item x="278"/>
        <item x="265"/>
        <item x="156"/>
        <item x="29"/>
        <item x="31"/>
        <item x="381"/>
        <item x="315"/>
        <item x="35"/>
        <item x="385"/>
        <item x="501"/>
        <item x="36"/>
        <item x="112"/>
        <item x="201"/>
        <item x="168"/>
        <item x="504"/>
        <item x="282"/>
        <item x="252"/>
        <item x="354"/>
        <item x="257"/>
        <item x="244"/>
        <item x="117"/>
        <item x="408"/>
        <item x="273"/>
        <item x="235"/>
        <item x="221"/>
        <item x="143"/>
        <item x="161"/>
        <item x="300"/>
        <item x="11"/>
        <item x="245"/>
        <item x="256"/>
        <item x="5"/>
        <item x="124"/>
        <item x="110"/>
        <item x="382"/>
        <item x="494"/>
        <item x="106"/>
        <item x="77"/>
        <item x="32"/>
        <item x="361"/>
        <item x="78"/>
        <item x="0"/>
        <item x="234"/>
        <item x="37"/>
        <item x="271"/>
        <item x="341"/>
        <item x="365"/>
        <item x="92"/>
        <item x="220"/>
        <item x="459"/>
        <item x="50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35">
        <item x="99"/>
        <item x="83"/>
        <item x="127"/>
        <item x="75"/>
        <item x="129"/>
        <item x="101"/>
        <item x="113"/>
        <item x="92"/>
        <item x="82"/>
        <item x="40"/>
        <item x="132"/>
        <item x="90"/>
        <item x="98"/>
        <item x="85"/>
        <item x="31"/>
        <item x="15"/>
        <item x="12"/>
        <item x="74"/>
        <item x="33"/>
        <item x="38"/>
        <item x="93"/>
        <item x="3"/>
        <item x="21"/>
        <item x="5"/>
        <item x="66"/>
        <item x="23"/>
        <item x="114"/>
        <item x="81"/>
        <item x="123"/>
        <item x="50"/>
        <item x="110"/>
        <item x="73"/>
        <item x="94"/>
        <item x="55"/>
        <item x="72"/>
        <item x="79"/>
        <item x="64"/>
        <item x="116"/>
        <item x="120"/>
        <item x="119"/>
        <item x="109"/>
        <item x="54"/>
        <item x="84"/>
        <item x="124"/>
        <item x="35"/>
        <item x="121"/>
        <item x="103"/>
        <item x="69"/>
        <item x="80"/>
        <item x="59"/>
        <item x="58"/>
        <item x="49"/>
        <item x="88"/>
        <item x="108"/>
        <item x="16"/>
        <item x="18"/>
        <item x="76"/>
        <item x="39"/>
        <item x="117"/>
        <item x="63"/>
        <item x="131"/>
        <item x="86"/>
        <item x="53"/>
        <item x="47"/>
        <item x="77"/>
        <item x="130"/>
        <item x="95"/>
        <item x="111"/>
        <item x="24"/>
        <item x="118"/>
        <item x="11"/>
        <item x="17"/>
        <item x="70"/>
        <item x="46"/>
        <item x="105"/>
        <item x="91"/>
        <item x="26"/>
        <item x="102"/>
        <item x="122"/>
        <item x="36"/>
        <item x="112"/>
        <item x="6"/>
        <item x="67"/>
        <item x="68"/>
        <item x="97"/>
        <item x="8"/>
        <item x="87"/>
        <item x="115"/>
        <item x="56"/>
        <item x="42"/>
        <item x="65"/>
        <item x="27"/>
        <item x="10"/>
        <item x="106"/>
        <item x="13"/>
        <item x="48"/>
        <item x="29"/>
        <item x="62"/>
        <item x="71"/>
        <item x="107"/>
        <item x="96"/>
        <item x="45"/>
        <item x="125"/>
        <item x="4"/>
        <item x="44"/>
        <item x="9"/>
        <item x="7"/>
        <item x="57"/>
        <item x="100"/>
        <item x="1"/>
        <item x="0"/>
        <item x="104"/>
        <item x="19"/>
        <item x="34"/>
        <item x="128"/>
        <item x="78"/>
        <item x="89"/>
        <item x="37"/>
        <item x="43"/>
        <item x="2"/>
        <item x="61"/>
        <item x="51"/>
        <item x="52"/>
        <item x="30"/>
        <item x="41"/>
        <item x="32"/>
        <item x="126"/>
        <item x="14"/>
        <item x="28"/>
        <item x="60"/>
        <item x="133"/>
        <item x="25"/>
        <item x="20"/>
        <item x="22"/>
        <item t="default"/>
      </items>
    </pivotField>
    <pivotField axis="axisPage" multipleItemSelectionAllowed="1" showAll="0">
      <items count="4">
        <item x="0"/>
        <item h="1" x="1"/>
        <item h="1" x="2"/>
        <item t="default"/>
      </items>
    </pivotField>
    <pivotField dataField="1" showAll="0"/>
  </pivotFields>
  <rowFields count="2">
    <field x="10"/>
    <field x="9"/>
  </rowFields>
  <rowItems count="838">
    <i>
      <x v="487"/>
    </i>
    <i r="1">
      <x v="111"/>
    </i>
    <i r="1">
      <x v="112"/>
    </i>
    <i>
      <x v="491"/>
    </i>
    <i r="1">
      <x v="551"/>
    </i>
    <i r="1">
      <x v="552"/>
    </i>
    <i>
      <x v="429"/>
    </i>
    <i r="1">
      <x v="504"/>
    </i>
    <i>
      <x v="57"/>
    </i>
    <i r="1">
      <x v="261"/>
    </i>
    <i r="1">
      <x v="263"/>
    </i>
    <i r="1">
      <x v="264"/>
    </i>
    <i r="1">
      <x v="265"/>
    </i>
    <i r="1">
      <x v="262"/>
    </i>
    <i>
      <x v="470"/>
    </i>
    <i r="1">
      <x v="531"/>
    </i>
    <i r="1">
      <x v="528"/>
    </i>
    <i r="1">
      <x v="530"/>
    </i>
    <i r="1">
      <x v="529"/>
    </i>
    <i>
      <x v="471"/>
    </i>
    <i r="1">
      <x v="532"/>
    </i>
    <i r="1">
      <x v="534"/>
    </i>
    <i r="1">
      <x v="533"/>
    </i>
    <i>
      <x v="67"/>
    </i>
    <i r="1">
      <x v="544"/>
    </i>
    <i r="1">
      <x v="542"/>
    </i>
    <i r="1">
      <x v="545"/>
    </i>
    <i r="1">
      <x v="543"/>
    </i>
    <i>
      <x v="271"/>
    </i>
    <i r="1">
      <x v="180"/>
    </i>
    <i r="1">
      <x v="179"/>
    </i>
    <i r="1">
      <x v="178"/>
    </i>
    <i>
      <x v="62"/>
    </i>
    <i r="1">
      <x v="489"/>
    </i>
    <i r="1">
      <x v="490"/>
    </i>
    <i>
      <x v="296"/>
    </i>
    <i r="1">
      <x v="255"/>
    </i>
    <i r="1">
      <x v="254"/>
    </i>
    <i>
      <x v="24"/>
    </i>
    <i r="1">
      <x v="488"/>
    </i>
    <i>
      <x v="68"/>
    </i>
    <i r="1">
      <x v="139"/>
    </i>
    <i r="1">
      <x v="135"/>
    </i>
    <i r="1">
      <x v="138"/>
    </i>
    <i r="1">
      <x v="136"/>
    </i>
    <i r="1">
      <x v="137"/>
    </i>
    <i>
      <x v="80"/>
    </i>
    <i r="1">
      <x v="76"/>
    </i>
    <i>
      <x v="99"/>
    </i>
    <i r="1">
      <x v="101"/>
    </i>
    <i r="1">
      <x v="102"/>
    </i>
    <i>
      <x v="320"/>
    </i>
    <i r="1">
      <x v="576"/>
    </i>
    <i r="1">
      <x v="577"/>
    </i>
    <i r="1">
      <x v="574"/>
    </i>
    <i r="1">
      <x v="575"/>
    </i>
    <i>
      <x v="425"/>
    </i>
    <i r="1">
      <x v="117"/>
    </i>
    <i r="1">
      <x v="116"/>
    </i>
    <i>
      <x v="282"/>
    </i>
    <i r="1">
      <x v="206"/>
    </i>
    <i r="1">
      <x v="207"/>
    </i>
    <i r="1">
      <x v="205"/>
    </i>
    <i>
      <x v="66"/>
    </i>
    <i r="1">
      <x v="177"/>
    </i>
    <i r="1">
      <x v="175"/>
    </i>
    <i r="1">
      <x v="176"/>
    </i>
    <i>
      <x v="510"/>
    </i>
    <i r="1">
      <x v="90"/>
    </i>
    <i r="1">
      <x v="92"/>
    </i>
    <i r="1">
      <x v="91"/>
    </i>
    <i>
      <x v="303"/>
    </i>
    <i r="1">
      <x v="278"/>
    </i>
    <i r="1">
      <x v="277"/>
    </i>
    <i>
      <x v="278"/>
    </i>
    <i r="1">
      <x v="188"/>
    </i>
    <i r="1">
      <x v="189"/>
    </i>
    <i r="1">
      <x v="187"/>
    </i>
    <i r="1">
      <x v="186"/>
    </i>
    <i>
      <x v="474"/>
    </i>
    <i r="1">
      <x v="537"/>
    </i>
    <i r="1">
      <x v="538"/>
    </i>
    <i r="1">
      <x v="536"/>
    </i>
    <i r="1">
      <x v="535"/>
    </i>
    <i>
      <x v="436"/>
    </i>
    <i r="1">
      <x v="515"/>
    </i>
    <i r="1">
      <x v="514"/>
    </i>
    <i>
      <x v="81"/>
    </i>
    <i r="1">
      <x v="78"/>
    </i>
    <i r="1">
      <x v="79"/>
    </i>
    <i r="1">
      <x v="81"/>
    </i>
    <i r="1">
      <x v="80"/>
    </i>
    <i r="1">
      <x v="77"/>
    </i>
    <i>
      <x v="420"/>
    </i>
    <i r="1">
      <x v="492"/>
    </i>
    <i>
      <x v="403"/>
    </i>
    <i r="1">
      <x v="198"/>
    </i>
    <i r="1">
      <x v="195"/>
    </i>
    <i r="1">
      <x v="196"/>
    </i>
    <i r="1">
      <x v="197"/>
    </i>
    <i>
      <x v="16"/>
    </i>
    <i r="1">
      <x v="4"/>
    </i>
    <i>
      <x v="485"/>
    </i>
    <i r="1">
      <x v="21"/>
    </i>
    <i>
      <x v="302"/>
    </i>
    <i r="1">
      <x v="271"/>
    </i>
    <i r="1">
      <x v="270"/>
    </i>
    <i>
      <x v="508"/>
    </i>
    <i r="1">
      <x v="558"/>
    </i>
    <i r="1">
      <x v="559"/>
    </i>
    <i r="1">
      <x v="557"/>
    </i>
    <i>
      <x v="251"/>
    </i>
    <i r="1">
      <x v="124"/>
    </i>
    <i r="1">
      <x v="123"/>
    </i>
    <i>
      <x v="482"/>
    </i>
    <i r="1">
      <x v="210"/>
    </i>
    <i r="1">
      <x v="211"/>
    </i>
    <i>
      <x v="313"/>
    </i>
    <i r="1">
      <x v="149"/>
    </i>
    <i r="1">
      <x v="150"/>
    </i>
    <i r="1">
      <x v="147"/>
    </i>
    <i r="1">
      <x v="148"/>
    </i>
    <i>
      <x v="341"/>
    </i>
    <i r="1">
      <x v="230"/>
    </i>
    <i r="1">
      <x v="229"/>
    </i>
    <i r="1">
      <x v="226"/>
    </i>
    <i r="1">
      <x v="227"/>
    </i>
    <i r="1">
      <x v="228"/>
    </i>
    <i>
      <x v="339"/>
    </i>
    <i r="1">
      <x v="307"/>
    </i>
    <i r="1">
      <x v="305"/>
    </i>
    <i r="1">
      <x v="306"/>
    </i>
    <i>
      <x v="291"/>
    </i>
    <i r="1">
      <x v="251"/>
    </i>
    <i r="1">
      <x v="252"/>
    </i>
    <i>
      <x v="256"/>
    </i>
    <i r="1">
      <x v="232"/>
    </i>
    <i r="1">
      <x v="234"/>
    </i>
    <i r="1">
      <x v="231"/>
    </i>
    <i r="1">
      <x v="233"/>
    </i>
    <i>
      <x v="456"/>
    </i>
    <i r="1">
      <x v="519"/>
    </i>
    <i>
      <x v="315"/>
    </i>
    <i r="1">
      <x v="517"/>
    </i>
    <i r="1">
      <x v="518"/>
    </i>
    <i>
      <x v="87"/>
    </i>
    <i r="1">
      <x v="160"/>
    </i>
    <i r="1">
      <x v="158"/>
    </i>
    <i r="1">
      <x v="159"/>
    </i>
    <i>
      <x v="275"/>
    </i>
    <i r="1">
      <x v="185"/>
    </i>
    <i r="1">
      <x v="184"/>
    </i>
    <i>
      <x v="58"/>
    </i>
    <i r="1">
      <x v="266"/>
    </i>
    <i>
      <x v="324"/>
    </i>
    <i r="1">
      <x v="588"/>
    </i>
    <i r="1">
      <x v="586"/>
    </i>
    <i r="1">
      <x v="587"/>
    </i>
    <i>
      <x v="29"/>
    </i>
    <i r="1">
      <x v="143"/>
    </i>
    <i r="1">
      <x v="145"/>
    </i>
    <i r="1">
      <x v="146"/>
    </i>
    <i r="1">
      <x v="144"/>
    </i>
    <i>
      <x v="515"/>
    </i>
    <i r="1">
      <x v="290"/>
    </i>
    <i>
      <x/>
    </i>
    <i r="1">
      <x v="295"/>
    </i>
    <i r="1">
      <x v="293"/>
    </i>
    <i r="1">
      <x v="294"/>
    </i>
    <i>
      <x v="498"/>
    </i>
    <i r="1">
      <x v="556"/>
    </i>
    <i>
      <x v="47"/>
    </i>
    <i r="1">
      <x v="222"/>
    </i>
    <i r="1">
      <x v="220"/>
    </i>
    <i r="1">
      <x v="221"/>
    </i>
    <i>
      <x v="307"/>
    </i>
    <i r="1">
      <x v="288"/>
    </i>
    <i>
      <x v="477"/>
    </i>
    <i r="1">
      <x v="540"/>
    </i>
    <i r="1">
      <x v="541"/>
    </i>
    <i>
      <x v="418"/>
    </i>
    <i r="1">
      <x v="240"/>
    </i>
    <i r="1">
      <x v="238"/>
    </i>
    <i r="1">
      <x v="239"/>
    </i>
    <i>
      <x v="362"/>
    </i>
    <i r="1">
      <x v="237"/>
    </i>
    <i r="1">
      <x v="235"/>
    </i>
    <i r="1">
      <x v="236"/>
    </i>
    <i>
      <x v="416"/>
    </i>
    <i r="1">
      <x v="180"/>
    </i>
    <i r="1">
      <x v="178"/>
    </i>
    <i>
      <x v="250"/>
    </i>
    <i r="1">
      <x v="119"/>
    </i>
    <i r="1">
      <x v="121"/>
    </i>
    <i r="1">
      <x v="122"/>
    </i>
    <i r="1">
      <x v="120"/>
    </i>
    <i>
      <x v="332"/>
    </i>
    <i r="1">
      <x v="138"/>
    </i>
    <i r="1">
      <x v="139"/>
    </i>
    <i r="1">
      <x v="136"/>
    </i>
    <i>
      <x v="305"/>
    </i>
    <i r="1">
      <x v="283"/>
    </i>
    <i r="1">
      <x v="281"/>
    </i>
    <i r="1">
      <x v="282"/>
    </i>
    <i>
      <x v="422"/>
    </i>
    <i r="1">
      <x v="591"/>
    </i>
    <i r="1">
      <x v="592"/>
    </i>
    <i>
      <x v="2"/>
    </i>
    <i r="1">
      <x v="298"/>
    </i>
    <i r="1">
      <x v="296"/>
    </i>
    <i r="1">
      <x v="297"/>
    </i>
    <i>
      <x v="509"/>
    </i>
    <i r="1">
      <x v="565"/>
    </i>
    <i r="1">
      <x v="564"/>
    </i>
    <i>
      <x v="35"/>
    </i>
    <i r="1">
      <x v="27"/>
    </i>
    <i>
      <x v="454"/>
    </i>
    <i r="1">
      <x v="519"/>
    </i>
    <i>
      <x v="260"/>
    </i>
    <i r="1">
      <x v="141"/>
    </i>
    <i r="1">
      <x v="142"/>
    </i>
    <i>
      <x v="336"/>
    </i>
    <i r="1">
      <x v="519"/>
    </i>
    <i>
      <x v="507"/>
    </i>
    <i r="1">
      <x v="214"/>
    </i>
    <i r="1">
      <x v="212"/>
    </i>
    <i r="1">
      <x v="213"/>
    </i>
    <i>
      <x v="431"/>
    </i>
    <i r="1">
      <x v="152"/>
    </i>
    <i r="1">
      <x v="151"/>
    </i>
    <i>
      <x v="280"/>
    </i>
    <i r="1">
      <x v="201"/>
    </i>
    <i r="1">
      <x v="202"/>
    </i>
    <i r="1">
      <x v="200"/>
    </i>
    <i r="1">
      <x v="199"/>
    </i>
    <i>
      <x v="279"/>
    </i>
    <i r="1">
      <x v="193"/>
    </i>
    <i r="1">
      <x v="194"/>
    </i>
    <i r="1">
      <x v="192"/>
    </i>
    <i r="1">
      <x v="191"/>
    </i>
    <i>
      <x v="4"/>
    </i>
    <i r="1">
      <x v="170"/>
    </i>
    <i>
      <x v="442"/>
    </i>
    <i r="1">
      <x v="577"/>
    </i>
    <i r="1">
      <x v="574"/>
    </i>
    <i>
      <x v="288"/>
    </i>
    <i r="1">
      <x v="216"/>
    </i>
    <i r="1">
      <x v="215"/>
    </i>
    <i>
      <x v="450"/>
    </i>
    <i r="1">
      <x v="519"/>
    </i>
    <i>
      <x v="499"/>
    </i>
    <i r="1">
      <x v="33"/>
    </i>
    <i r="1">
      <x v="32"/>
    </i>
    <i>
      <x v="451"/>
    </i>
    <i r="1">
      <x v="519"/>
    </i>
    <i>
      <x v="469"/>
    </i>
    <i r="1">
      <x v="527"/>
    </i>
    <i r="1">
      <x v="525"/>
    </i>
    <i r="1">
      <x v="526"/>
    </i>
    <i>
      <x v="428"/>
    </i>
    <i r="1">
      <x v="502"/>
    </i>
    <i r="1">
      <x v="503"/>
    </i>
    <i>
      <x v="502"/>
    </i>
    <i r="1">
      <x v="93"/>
    </i>
    <i>
      <x v="329"/>
    </i>
    <i r="1">
      <x v="219"/>
    </i>
    <i r="1">
      <x v="218"/>
    </i>
    <i r="1">
      <x v="217"/>
    </i>
    <i>
      <x v="43"/>
    </i>
    <i r="1">
      <x v="275"/>
    </i>
    <i r="1">
      <x v="272"/>
    </i>
    <i r="1">
      <x v="273"/>
    </i>
    <i>
      <x v="497"/>
    </i>
    <i r="1">
      <x v="2"/>
    </i>
    <i>
      <x v="340"/>
    </i>
    <i r="1">
      <x v="225"/>
    </i>
    <i r="1">
      <x v="224"/>
    </i>
    <i r="1">
      <x v="223"/>
    </i>
    <i>
      <x v="490"/>
    </i>
    <i r="1">
      <x v="546"/>
    </i>
    <i>
      <x v="468"/>
    </i>
    <i r="1">
      <x v="156"/>
    </i>
    <i r="1">
      <x v="157"/>
    </i>
    <i>
      <x v="71"/>
    </i>
    <i r="1">
      <x v="71"/>
    </i>
    <i r="1">
      <x v="72"/>
    </i>
    <i r="1">
      <x v="70"/>
    </i>
    <i>
      <x v="433"/>
    </i>
    <i r="1">
      <x v="510"/>
    </i>
    <i r="1">
      <x v="512"/>
    </i>
    <i r="1">
      <x v="511"/>
    </i>
    <i>
      <x v="50"/>
    </i>
    <i r="1">
      <x v="35"/>
    </i>
    <i>
      <x v="435"/>
    </i>
    <i r="1">
      <x v="507"/>
    </i>
    <i r="1">
      <x v="509"/>
    </i>
    <i r="1">
      <x v="508"/>
    </i>
    <i>
      <x v="261"/>
    </i>
    <i r="1">
      <x v="145"/>
    </i>
    <i r="1">
      <x v="146"/>
    </i>
    <i r="1">
      <x v="143"/>
    </i>
    <i r="1">
      <x v="144"/>
    </i>
    <i>
      <x v="353"/>
    </i>
    <i r="1">
      <x v="163"/>
    </i>
    <i r="1">
      <x v="164"/>
    </i>
    <i>
      <x v="331"/>
    </i>
    <i r="1">
      <x v="136"/>
    </i>
    <i>
      <x v="82"/>
    </i>
    <i r="1">
      <x v="83"/>
    </i>
    <i>
      <x v="506"/>
    </i>
    <i r="1">
      <x v="233"/>
    </i>
    <i>
      <x v="367"/>
    </i>
    <i r="1">
      <x v="310"/>
    </i>
    <i>
      <x v="426"/>
    </i>
    <i r="1">
      <x v="116"/>
    </i>
    <i>
      <x v="424"/>
    </i>
    <i r="1">
      <x v="30"/>
    </i>
    <i>
      <x v="505"/>
    </i>
    <i r="1">
      <x v="232"/>
    </i>
    <i r="1">
      <x v="234"/>
    </i>
    <i r="1">
      <x v="233"/>
    </i>
    <i r="1">
      <x v="231"/>
    </i>
    <i>
      <x v="312"/>
    </i>
    <i r="1">
      <x v="291"/>
    </i>
    <i r="1">
      <x v="290"/>
    </i>
    <i>
      <x v="495"/>
    </i>
    <i r="1">
      <x v="588"/>
    </i>
    <i r="1">
      <x v="586"/>
    </i>
    <i>
      <x v="255"/>
    </i>
    <i r="1">
      <x v="133"/>
    </i>
    <i>
      <x v="404"/>
    </i>
    <i r="1">
      <x v="561"/>
    </i>
    <i r="1">
      <x v="560"/>
    </i>
    <i>
      <x v="285"/>
    </i>
    <i r="1">
      <x v="171"/>
    </i>
    <i r="1">
      <x v="172"/>
    </i>
    <i>
      <x v="343"/>
    </i>
    <i r="1">
      <x v="84"/>
    </i>
    <i r="1">
      <x v="85"/>
    </i>
    <i>
      <x v="72"/>
    </i>
    <i r="1">
      <x v="74"/>
    </i>
    <i r="1">
      <x v="73"/>
    </i>
    <i>
      <x v="462"/>
    </i>
    <i r="1">
      <x v="54"/>
    </i>
    <i>
      <x v="262"/>
    </i>
    <i r="1">
      <x v="98"/>
    </i>
    <i>
      <x v="407"/>
    </i>
    <i r="1">
      <x v="547"/>
    </i>
    <i>
      <x v="55"/>
    </i>
    <i r="1">
      <x v="38"/>
    </i>
    <i r="1">
      <x v="36"/>
    </i>
    <i r="1">
      <x v="37"/>
    </i>
    <i>
      <x v="351"/>
    </i>
    <i r="1">
      <x v="138"/>
    </i>
    <i r="1">
      <x v="137"/>
    </i>
    <i r="1">
      <x v="136"/>
    </i>
    <i>
      <x v="325"/>
    </i>
    <i r="1">
      <x v="590"/>
    </i>
    <i r="1">
      <x v="589"/>
    </i>
    <i>
      <x v="500"/>
    </i>
    <i r="1">
      <x v="85"/>
    </i>
    <i r="1">
      <x v="82"/>
    </i>
    <i>
      <x v="448"/>
    </i>
    <i r="1">
      <x v="519"/>
    </i>
    <i>
      <x v="268"/>
    </i>
    <i r="1">
      <x v="173"/>
    </i>
    <i r="1">
      <x v="174"/>
    </i>
    <i>
      <x v="254"/>
    </i>
    <i r="1">
      <x v="128"/>
    </i>
    <i>
      <x v="70"/>
    </i>
    <i r="1">
      <x v="69"/>
    </i>
    <i r="1">
      <x v="67"/>
    </i>
    <i r="1">
      <x v="68"/>
    </i>
    <i>
      <x v="1"/>
    </i>
    <i r="1">
      <x v="94"/>
    </i>
    <i r="1">
      <x v="161"/>
    </i>
    <i r="1">
      <x v="159"/>
    </i>
    <i>
      <x v="357"/>
    </i>
    <i r="1">
      <x v="234"/>
    </i>
    <i r="1">
      <x v="231"/>
    </i>
    <i>
      <x v="276"/>
    </i>
    <i r="1">
      <x v="167"/>
    </i>
    <i>
      <x v="301"/>
    </i>
    <i r="1">
      <x v="276"/>
    </i>
    <i>
      <x v="486"/>
    </i>
    <i r="1">
      <x v="113"/>
    </i>
    <i r="1">
      <x v="114"/>
    </i>
    <i>
      <x v="399"/>
    </i>
    <i r="1">
      <x v="103"/>
    </i>
    <i r="1">
      <x v="101"/>
    </i>
    <i>
      <x v="42"/>
    </i>
    <i r="1">
      <x v="304"/>
    </i>
    <i r="1">
      <x v="303"/>
    </i>
    <i>
      <x v="321"/>
    </i>
    <i r="1">
      <x v="579"/>
    </i>
    <i r="1">
      <x v="581"/>
    </i>
    <i r="1">
      <x v="580"/>
    </i>
    <i>
      <x v="54"/>
    </i>
    <i r="1">
      <x v="44"/>
    </i>
    <i r="1">
      <x v="43"/>
    </i>
    <i>
      <x v="370"/>
    </i>
    <i r="1">
      <x v="209"/>
    </i>
    <i>
      <x v="299"/>
    </i>
    <i r="1">
      <x v="268"/>
    </i>
    <i>
      <x v="371"/>
    </i>
    <i r="1">
      <x v="583"/>
    </i>
    <i>
      <x v="317"/>
    </i>
    <i r="1">
      <x v="568"/>
    </i>
    <i>
      <x v="375"/>
    </i>
    <i r="1">
      <x v="315"/>
    </i>
    <i r="1">
      <x v="314"/>
    </i>
    <i>
      <x v="368"/>
    </i>
    <i r="1">
      <x v="311"/>
    </i>
    <i>
      <x v="372"/>
    </i>
    <i r="1">
      <x v="313"/>
    </i>
    <i r="1">
      <x v="312"/>
    </i>
    <i>
      <x v="9"/>
    </i>
    <i r="1">
      <x v="555"/>
    </i>
    <i r="1">
      <x v="554"/>
    </i>
    <i r="1">
      <x v="553"/>
    </i>
    <i>
      <x v="361"/>
    </i>
    <i r="1">
      <x v="130"/>
    </i>
    <i>
      <x v="453"/>
    </i>
    <i r="1">
      <x v="520"/>
    </i>
    <i>
      <x v="5"/>
    </i>
    <i r="1">
      <x v="170"/>
    </i>
    <i>
      <x v="179"/>
    </i>
    <i r="1">
      <x v="108"/>
    </i>
    <i>
      <x v="49"/>
    </i>
    <i r="1">
      <x v="37"/>
    </i>
    <i>
      <x v="308"/>
    </i>
    <i r="1">
      <x v="266"/>
    </i>
    <i>
      <x v="423"/>
    </i>
    <i r="1">
      <x v="29"/>
    </i>
    <i>
      <x v="252"/>
    </i>
    <i r="1">
      <x v="127"/>
    </i>
    <i r="1">
      <x v="125"/>
    </i>
    <i r="1">
      <x v="126"/>
    </i>
    <i>
      <x v="334"/>
    </i>
    <i r="1">
      <x v="62"/>
    </i>
    <i r="1">
      <x v="63"/>
    </i>
    <i r="1">
      <x v="61"/>
    </i>
    <i>
      <x v="330"/>
    </i>
    <i r="1">
      <x v="569"/>
    </i>
    <i r="1">
      <x v="568"/>
    </i>
    <i>
      <x v="37"/>
    </i>
    <i r="1">
      <x v="217"/>
    </i>
    <i>
      <x v="359"/>
    </i>
    <i r="1">
      <x v="131"/>
    </i>
    <i r="1">
      <x v="132"/>
    </i>
    <i>
      <x v="460"/>
    </i>
    <i r="1">
      <x v="519"/>
    </i>
    <i>
      <x v="15"/>
    </i>
    <i r="1">
      <x v="3"/>
    </i>
    <i>
      <x v="30"/>
    </i>
    <i r="1">
      <x v="23"/>
    </i>
    <i>
      <x v="33"/>
    </i>
    <i r="1">
      <x v="301"/>
    </i>
    <i r="1">
      <x v="302"/>
    </i>
    <i>
      <x v="283"/>
    </i>
    <i r="1">
      <x v="208"/>
    </i>
    <i>
      <x v="342"/>
    </i>
    <i r="1">
      <x v="574"/>
    </i>
    <i>
      <x v="281"/>
    </i>
    <i r="1">
      <x v="204"/>
    </i>
    <i r="1">
      <x v="203"/>
    </i>
    <i>
      <x v="494"/>
    </i>
    <i r="1">
      <x v="163"/>
    </i>
    <i r="1">
      <x v="164"/>
    </i>
    <i>
      <x v="274"/>
    </i>
    <i r="1">
      <x v="183"/>
    </i>
    <i>
      <x v="7"/>
    </i>
    <i r="1">
      <x v="101"/>
    </i>
    <i r="1">
      <x v="102"/>
    </i>
    <i>
      <x v="323"/>
    </i>
    <i r="1">
      <x v="585"/>
    </i>
    <i r="1">
      <x v="584"/>
    </i>
    <i>
      <x v="388"/>
    </i>
    <i r="1">
      <x v="67"/>
    </i>
    <i>
      <x v="387"/>
    </i>
    <i r="1">
      <x v="24"/>
    </i>
    <i>
      <x v="203"/>
    </i>
    <i r="1">
      <x v="109"/>
    </i>
    <i>
      <x v="253"/>
    </i>
    <i r="1">
      <x v="129"/>
    </i>
    <i>
      <x v="434"/>
    </i>
    <i r="1">
      <x v="505"/>
    </i>
    <i>
      <x v="264"/>
    </i>
    <i r="1">
      <x v="153"/>
    </i>
    <i r="1">
      <x v="154"/>
    </i>
    <i>
      <x v="472"/>
    </i>
    <i r="1">
      <x v="533"/>
    </i>
    <i>
      <x v="300"/>
    </i>
    <i r="1">
      <x v="272"/>
    </i>
    <i r="1">
      <x v="275"/>
    </i>
    <i r="1">
      <x v="274"/>
    </i>
    <i r="1">
      <x v="273"/>
    </i>
    <i>
      <x v="64"/>
    </i>
    <i r="1">
      <x v="34"/>
    </i>
    <i r="1">
      <x v="33"/>
    </i>
    <i r="1">
      <x v="32"/>
    </i>
    <i>
      <x v="148"/>
    </i>
    <i r="1">
      <x v="104"/>
    </i>
    <i r="1">
      <x v="105"/>
    </i>
    <i>
      <x v="395"/>
    </i>
    <i r="1">
      <x v="256"/>
    </i>
    <i>
      <x v="266"/>
    </i>
    <i r="1">
      <x v="115"/>
    </i>
    <i>
      <x v="384"/>
    </i>
    <i r="1">
      <x v="589"/>
    </i>
    <i>
      <x v="512"/>
    </i>
    <i r="1">
      <x v="60"/>
    </i>
    <i r="1">
      <x v="59"/>
    </i>
    <i>
      <x v="258"/>
    </i>
    <i r="1">
      <x v="75"/>
    </i>
    <i>
      <x v="401"/>
    </i>
    <i r="1">
      <x v="284"/>
    </i>
    <i r="1">
      <x v="280"/>
    </i>
    <i r="1">
      <x v="279"/>
    </i>
    <i>
      <x v="378"/>
    </i>
    <i r="1">
      <x v="318"/>
    </i>
    <i r="1">
      <x v="317"/>
    </i>
    <i r="1">
      <x v="316"/>
    </i>
    <i>
      <x v="465"/>
    </i>
    <i r="1">
      <x v="521"/>
    </i>
    <i>
      <x v="295"/>
    </i>
    <i r="1">
      <x v="253"/>
    </i>
    <i>
      <x v="51"/>
    </i>
    <i r="1">
      <x v="40"/>
    </i>
    <i r="1">
      <x v="39"/>
    </i>
    <i>
      <x v="381"/>
    </i>
    <i r="1">
      <x v="320"/>
    </i>
    <i>
      <x v="36"/>
    </i>
    <i r="1">
      <x v="28"/>
    </i>
    <i>
      <x v="365"/>
    </i>
    <i r="1">
      <x v="67"/>
    </i>
    <i>
      <x v="393"/>
    </i>
    <i r="1">
      <x v="20"/>
    </i>
    <i>
      <x v="17"/>
    </i>
    <i r="1">
      <x v="6"/>
    </i>
    <i>
      <x v="269"/>
    </i>
    <i r="1">
      <x v="178"/>
    </i>
    <i>
      <x v="455"/>
    </i>
    <i r="1">
      <x v="519"/>
    </i>
    <i>
      <x v="257"/>
    </i>
    <i r="1">
      <x v="134"/>
    </i>
    <i>
      <x v="246"/>
    </i>
    <i r="1">
      <x v="118"/>
    </i>
    <i>
      <x v="309"/>
    </i>
    <i r="1">
      <x v="267"/>
    </i>
    <i>
      <x v="290"/>
    </i>
    <i r="1">
      <x v="247"/>
    </i>
    <i>
      <x v="292"/>
    </i>
    <i r="1">
      <x v="249"/>
    </i>
    <i>
      <x v="386"/>
    </i>
    <i r="1">
      <x v="105"/>
    </i>
    <i>
      <x v="304"/>
    </i>
    <i r="1">
      <x v="284"/>
    </i>
    <i>
      <x v="452"/>
    </i>
    <i r="1">
      <x v="519"/>
    </i>
    <i>
      <x v="297"/>
    </i>
    <i r="1">
      <x v="254"/>
    </i>
    <i>
      <x v="400"/>
    </i>
    <i r="1">
      <x v="115"/>
    </i>
    <i>
      <x v="318"/>
    </i>
    <i r="1">
      <x v="572"/>
    </i>
    <i r="1">
      <x v="570"/>
    </i>
    <i>
      <x v="100"/>
    </i>
    <i r="1">
      <x v="162"/>
    </i>
    <i>
      <x v="466"/>
    </i>
    <i r="1">
      <x v="57"/>
    </i>
    <i>
      <x v="382"/>
    </i>
    <i r="1">
      <x v="322"/>
    </i>
    <i>
      <x v="446"/>
    </i>
    <i r="1">
      <x v="519"/>
    </i>
    <i>
      <x v="48"/>
    </i>
    <i r="1">
      <x v="519"/>
    </i>
    <i>
      <x v="441"/>
    </i>
    <i r="1">
      <x v="260"/>
    </i>
    <i r="1">
      <x v="257"/>
    </i>
    <i>
      <x v="504"/>
    </i>
    <i r="1">
      <x v="106"/>
    </i>
    <i r="1">
      <x v="105"/>
    </i>
    <i>
      <x v="56"/>
    </i>
    <i r="1">
      <x v="45"/>
    </i>
    <i>
      <x v="11"/>
    </i>
    <i r="1">
      <x v="67"/>
    </i>
    <i r="1">
      <x v="68"/>
    </i>
    <i>
      <x v="350"/>
    </i>
    <i r="1">
      <x v="67"/>
    </i>
    <i r="1">
      <x v="68"/>
    </i>
    <i>
      <x v="277"/>
    </i>
    <i r="1">
      <x v="190"/>
    </i>
    <i>
      <x v="385"/>
    </i>
    <i r="1">
      <x v="106"/>
    </i>
    <i r="1">
      <x v="104"/>
    </i>
    <i>
      <x v="380"/>
    </i>
    <i r="1">
      <x v="319"/>
    </i>
    <i>
      <x v="298"/>
    </i>
    <i r="1">
      <x v="257"/>
    </i>
    <i r="1">
      <x v="258"/>
    </i>
    <i r="1">
      <x v="259"/>
    </i>
    <i>
      <x v="432"/>
    </i>
    <i r="1">
      <x v="92"/>
    </i>
    <i r="1">
      <x v="90"/>
    </i>
    <i r="1">
      <x v="89"/>
    </i>
    <i>
      <x v="443"/>
    </i>
    <i r="1">
      <x v="175"/>
    </i>
    <i>
      <x v="84"/>
    </i>
    <i r="1">
      <x v="95"/>
    </i>
    <i>
      <x v="383"/>
    </i>
    <i r="1">
      <x v="322"/>
    </i>
    <i>
      <x v="32"/>
    </i>
    <i r="1">
      <x v="1"/>
    </i>
    <i>
      <x v="228"/>
    </i>
    <i r="1">
      <x v="116"/>
    </i>
    <i>
      <x v="293"/>
    </i>
    <i r="1">
      <x v="253"/>
    </i>
    <i>
      <x v="409"/>
    </i>
    <i r="1">
      <x v="241"/>
    </i>
    <i>
      <x v="39"/>
    </i>
    <i r="1">
      <x v="31"/>
    </i>
    <i>
      <x v="355"/>
    </i>
    <i r="1">
      <x v="245"/>
    </i>
    <i>
      <x v="503"/>
    </i>
    <i r="1">
      <x v="163"/>
    </i>
    <i r="1">
      <x v="164"/>
    </i>
    <i>
      <x v="13"/>
    </i>
    <i r="1">
      <x v="300"/>
    </i>
    <i r="1">
      <x v="299"/>
    </i>
    <i>
      <x v="28"/>
    </i>
    <i r="1">
      <x v="146"/>
    </i>
    <i r="1">
      <x v="144"/>
    </i>
    <i>
      <x v="259"/>
    </i>
    <i r="1">
      <x v="140"/>
    </i>
    <i>
      <x v="467"/>
    </i>
    <i r="1">
      <x v="58"/>
    </i>
    <i>
      <x v="322"/>
    </i>
    <i r="1">
      <x v="582"/>
    </i>
    <i>
      <x v="289"/>
    </i>
    <i r="1">
      <x v="248"/>
    </i>
    <i>
      <x v="265"/>
    </i>
    <i r="1">
      <x v="155"/>
    </i>
    <i>
      <x v="306"/>
    </i>
    <i r="1">
      <x v="285"/>
    </i>
    <i r="1">
      <x v="287"/>
    </i>
    <i>
      <x v="373"/>
    </i>
    <i r="1">
      <x v="131"/>
    </i>
    <i>
      <x v="319"/>
    </i>
    <i r="1">
      <x v="573"/>
    </i>
    <i>
      <x v="449"/>
    </i>
    <i r="1">
      <x v="519"/>
    </i>
    <i>
      <x v="310"/>
    </i>
    <i r="1">
      <x v="269"/>
    </i>
    <i>
      <x v="46"/>
    </i>
    <i r="1">
      <x v="273"/>
    </i>
    <i>
      <x v="284"/>
    </i>
    <i r="1">
      <x v="169"/>
    </i>
    <i>
      <x v="44"/>
    </i>
    <i r="1">
      <x v="273"/>
    </i>
    <i>
      <x v="3"/>
    </i>
    <i r="1">
      <x v="578"/>
    </i>
    <i>
      <x v="421"/>
    </i>
    <i r="1">
      <x v="493"/>
    </i>
    <i>
      <x v="493"/>
    </i>
    <i r="1">
      <x v="178"/>
    </i>
    <i>
      <x v="328"/>
    </i>
    <i r="1">
      <x v="217"/>
    </i>
    <i>
      <x v="513"/>
    </i>
    <i r="1">
      <x v="144"/>
    </i>
    <i>
      <x v="461"/>
    </i>
    <i r="1">
      <x v="519"/>
    </i>
    <i>
      <x v="464"/>
    </i>
    <i r="1">
      <x v="242"/>
    </i>
    <i>
      <x v="402"/>
    </i>
    <i r="1">
      <x v="286"/>
    </i>
    <i r="1">
      <x v="287"/>
    </i>
    <i r="1">
      <x v="285"/>
    </i>
    <i>
      <x v="511"/>
    </i>
    <i r="1">
      <x v="25"/>
    </i>
    <i>
      <x v="377"/>
    </i>
    <i r="1">
      <x v="281"/>
    </i>
    <i>
      <x v="366"/>
    </i>
    <i r="1">
      <x v="309"/>
    </i>
    <i>
      <x v="364"/>
    </i>
    <i r="1">
      <x v="521"/>
    </i>
    <i>
      <x v="294"/>
    </i>
    <i r="1">
      <x v="253"/>
    </i>
    <i>
      <x v="473"/>
    </i>
    <i r="1">
      <x v="535"/>
    </i>
    <i>
      <x v="483"/>
    </i>
    <i r="1">
      <x v="281"/>
    </i>
    <i>
      <x v="347"/>
    </i>
    <i r="1">
      <x v="246"/>
    </i>
    <i>
      <x v="476"/>
    </i>
    <i r="1">
      <x v="533"/>
    </i>
    <i>
      <x v="52"/>
    </i>
    <i r="1">
      <x v="42"/>
    </i>
    <i>
      <x v="31"/>
    </i>
    <i r="1">
      <x v="22"/>
    </i>
    <i>
      <x v="501"/>
    </i>
    <i r="1">
      <x v="87"/>
    </i>
    <i r="1">
      <x v="86"/>
    </i>
    <i>
      <x v="514"/>
    </i>
    <i r="1">
      <x v="26"/>
    </i>
    <i>
      <x v="41"/>
    </i>
    <i r="1">
      <x v="303"/>
    </i>
    <i>
      <x v="358"/>
    </i>
    <i r="1">
      <x v="97"/>
    </i>
    <i>
      <x v="345"/>
    </i>
    <i r="1">
      <x v="136"/>
    </i>
    <i>
      <x v="463"/>
    </i>
    <i r="1">
      <x v="56"/>
    </i>
    <i r="1">
      <x v="55"/>
    </i>
    <i>
      <x v="86"/>
    </i>
    <i r="1">
      <x v="88"/>
    </i>
    <i>
      <x v="352"/>
    </i>
    <i r="1">
      <x v="589"/>
    </i>
    <i>
      <x v="349"/>
    </i>
    <i r="1">
      <x v="582"/>
    </i>
    <i>
      <x v="390"/>
    </i>
    <i r="1">
      <x v="163"/>
    </i>
    <i>
      <x v="6"/>
    </i>
    <i r="1">
      <x v="101"/>
    </i>
    <i>
      <x v="394"/>
    </i>
    <i r="1">
      <x v="275"/>
    </i>
    <i>
      <x v="12"/>
    </i>
    <i r="1">
      <x/>
    </i>
    <i>
      <x v="263"/>
    </i>
    <i r="1">
      <x v="99"/>
    </i>
    <i r="1">
      <x v="100"/>
    </i>
    <i>
      <x v="369"/>
    </i>
    <i r="1">
      <x v="272"/>
    </i>
    <i>
      <x v="273"/>
    </i>
    <i r="1">
      <x v="181"/>
    </i>
    <i r="1">
      <x v="182"/>
    </i>
    <i>
      <x v="492"/>
    </i>
    <i r="1">
      <x v="243"/>
    </i>
    <i>
      <x v="333"/>
    </i>
    <i r="1">
      <x v="65"/>
    </i>
    <i r="1">
      <x v="64"/>
    </i>
    <i>
      <x v="287"/>
    </i>
    <i r="1">
      <x v="209"/>
    </i>
    <i>
      <x v="60"/>
    </i>
    <i r="1">
      <x v="26"/>
    </i>
    <i>
      <x v="348"/>
    </i>
    <i r="1">
      <x v="582"/>
    </i>
    <i>
      <x v="316"/>
    </i>
    <i r="1">
      <x v="567"/>
    </i>
    <i>
      <x v="34"/>
    </i>
    <i r="1">
      <x v="301"/>
    </i>
    <i>
      <x v="410"/>
    </i>
    <i r="1">
      <x v="586"/>
    </i>
    <i>
      <x v="363"/>
    </i>
    <i r="1">
      <x v="521"/>
    </i>
    <i>
      <x v="412"/>
    </i>
    <i r="1">
      <x v="586"/>
    </i>
    <i>
      <x v="397"/>
    </i>
    <i r="1">
      <x v="101"/>
    </i>
    <i>
      <x v="413"/>
    </i>
    <i r="1">
      <x v="589"/>
    </i>
    <i>
      <x v="311"/>
    </i>
    <i r="1">
      <x v="289"/>
    </i>
    <i>
      <x v="414"/>
    </i>
    <i r="1">
      <x v="589"/>
    </i>
    <i>
      <x v="517"/>
    </i>
    <i r="1">
      <x v="566"/>
    </i>
    <i>
      <x v="415"/>
    </i>
    <i r="1">
      <x v="589"/>
    </i>
    <i>
      <x v="376"/>
    </i>
    <i r="1">
      <x v="321"/>
    </i>
    <i>
      <x v="360"/>
    </i>
    <i r="1">
      <x v="131"/>
    </i>
    <i>
      <x v="379"/>
    </i>
    <i r="1">
      <x v="285"/>
    </i>
    <i>
      <x v="405"/>
    </i>
    <i r="1">
      <x v="563"/>
    </i>
    <i>
      <x v="167"/>
    </i>
    <i r="1">
      <x v="107"/>
    </i>
    <i>
      <x v="411"/>
    </i>
    <i r="1">
      <x v="586"/>
    </i>
    <i>
      <x v="354"/>
    </i>
    <i r="1">
      <x v="78"/>
    </i>
    <i>
      <x v="344"/>
    </i>
    <i r="1">
      <x v="250"/>
    </i>
    <i>
      <x v="458"/>
    </i>
    <i r="1">
      <x v="519"/>
    </i>
    <i>
      <x v="408"/>
    </i>
    <i r="1">
      <x v="25"/>
    </i>
    <i>
      <x v="53"/>
    </i>
    <i r="1">
      <x v="41"/>
    </i>
    <i>
      <x v="326"/>
    </i>
    <i r="1">
      <x v="244"/>
    </i>
    <i>
      <x v="392"/>
    </i>
    <i r="1">
      <x v="136"/>
    </i>
    <i>
      <x v="475"/>
    </i>
    <i r="1">
      <x v="539"/>
    </i>
    <i>
      <x v="398"/>
    </i>
    <i r="1">
      <x v="286"/>
    </i>
    <i>
      <x v="374"/>
    </i>
    <i r="1">
      <x v="231"/>
    </i>
    <i>
      <x v="8"/>
    </i>
    <i r="1">
      <x v="582"/>
    </i>
    <i>
      <x v="286"/>
    </i>
    <i r="1">
      <x v="166"/>
    </i>
    <i>
      <x v="419"/>
    </i>
    <i r="1">
      <x v="491"/>
    </i>
    <i>
      <x v="445"/>
    </i>
    <i r="1">
      <x v="168"/>
    </i>
    <i>
      <x v="346"/>
    </i>
    <i r="1">
      <x v="589"/>
    </i>
    <i>
      <x v="444"/>
    </i>
    <i r="1">
      <x v="163"/>
    </i>
    <i>
      <x v="267"/>
    </i>
    <i r="1">
      <x v="165"/>
    </i>
    <i>
      <x v="327"/>
    </i>
    <i r="1">
      <x v="52"/>
    </i>
    <i>
      <x v="406"/>
    </i>
    <i r="1">
      <x v="487"/>
    </i>
    <i>
      <x v="417"/>
    </i>
    <i r="1">
      <x v="514"/>
    </i>
    <i>
      <x v="227"/>
    </i>
    <i r="1">
      <x v="110"/>
    </i>
    <i>
      <x v="90"/>
    </i>
    <i r="1">
      <x v="97"/>
    </i>
    <i>
      <x v="484"/>
    </i>
    <i r="1">
      <x v="53"/>
    </i>
    <i>
      <x v="314"/>
    </i>
    <i r="1">
      <x v="516"/>
    </i>
    <i>
      <x v="437"/>
    </i>
    <i r="1">
      <x v="513"/>
    </i>
    <i>
      <x v="270"/>
    </i>
    <i r="1">
      <x v="178"/>
    </i>
    <i>
      <x v="25"/>
    </i>
    <i r="1">
      <x v="548"/>
    </i>
    <i>
      <x v="335"/>
    </i>
    <i r="1">
      <x v="66"/>
    </i>
    <i t="grand">
      <x/>
    </i>
  </rowItems>
  <colFields count="1">
    <field x="5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4">
    <pageField fld="11" hier="-1"/>
    <pageField fld="12" hier="-1"/>
    <pageField fld="4" hier="-1"/>
    <pageField fld="6" hier="-1"/>
  </pageFields>
  <dataFields count="1">
    <dataField name="Sum of QTY" fld="13" baseField="0" baseItem="0"/>
  </dataFields>
  <formats count="12">
    <format dxfId="11">
      <pivotArea dataOnly="0" labelOnly="1" fieldPosition="0">
        <references count="1">
          <reference field="10" count="1">
            <x v="416"/>
          </reference>
        </references>
      </pivotArea>
    </format>
    <format dxfId="10">
      <pivotArea dataOnly="0" labelOnly="1" fieldPosition="0">
        <references count="1">
          <reference field="10" count="1">
            <x v="271"/>
          </reference>
        </references>
      </pivotArea>
    </format>
    <format dxfId="9">
      <pivotArea dataOnly="0" labelOnly="1" fieldPosition="0">
        <references count="1">
          <reference field="10" count="1">
            <x v="332"/>
          </reference>
        </references>
      </pivotArea>
    </format>
    <format dxfId="8">
      <pivotArea dataOnly="0" labelOnly="1" fieldPosition="0">
        <references count="1">
          <reference field="10" count="1">
            <x v="68"/>
          </reference>
        </references>
      </pivotArea>
    </format>
    <format dxfId="7">
      <pivotArea dataOnly="0" fieldPosition="0">
        <references count="1">
          <reference field="10" count="1">
            <x v="454"/>
          </reference>
        </references>
      </pivotArea>
    </format>
    <format dxfId="6">
      <pivotArea dataOnly="0" labelOnly="1" fieldPosition="0">
        <references count="1">
          <reference field="10" count="1">
            <x v="336"/>
          </reference>
        </references>
      </pivotArea>
    </format>
    <format dxfId="5">
      <pivotArea dataOnly="0" labelOnly="1" fieldPosition="0">
        <references count="1">
          <reference field="10" count="1">
            <x v="422"/>
          </reference>
        </references>
      </pivotArea>
    </format>
    <format dxfId="4">
      <pivotArea dataOnly="0" labelOnly="1" fieldPosition="0">
        <references count="1">
          <reference field="10" count="1">
            <x v="35"/>
          </reference>
        </references>
      </pivotArea>
    </format>
    <format dxfId="3">
      <pivotArea dataOnly="0" labelOnly="1" fieldPosition="0">
        <references count="1">
          <reference field="10" count="1">
            <x v="507"/>
          </reference>
        </references>
      </pivotArea>
    </format>
    <format dxfId="2">
      <pivotArea dataOnly="0" labelOnly="1" fieldPosition="0">
        <references count="1">
          <reference field="10" count="1">
            <x v="431"/>
          </reference>
        </references>
      </pivotArea>
    </format>
    <format dxfId="1">
      <pivotArea dataOnly="0" labelOnly="1" fieldPosition="0">
        <references count="2">
          <reference field="9" count="1">
            <x v="191"/>
          </reference>
          <reference field="10" count="1" selected="0">
            <x v="279"/>
          </reference>
        </references>
      </pivotArea>
    </format>
    <format dxfId="0">
      <pivotArea dataOnly="0" labelOnly="1" fieldPosition="0">
        <references count="2">
          <reference field="9" count="1">
            <x v="199"/>
          </reference>
          <reference field="10" count="1" selected="0">
            <x v="28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5039C4-FA94-447F-99F6-79E9DEE53F30}" name="Table1" displayName="Table1" ref="A1:C739" totalsRowShown="0">
  <autoFilter ref="A1:C739" xr:uid="{00DD1898-4768-4B18-A24F-AE27997276A7}"/>
  <tableColumns count="3">
    <tableColumn id="1" xr3:uid="{191EC776-0E98-4946-BA9B-4E48425C8B73}" name="Items"/>
    <tableColumn id="2" xr3:uid="{61B6AC22-3CEF-4C30-8054-077ED1D45375}" name="Description"/>
    <tableColumn id="3" xr3:uid="{B27CF849-6111-413D-BE09-200C66AB0A5E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8C85-6524-4C43-9292-2D4EAE0BDF21}">
  <dimension ref="A2:N846"/>
  <sheetViews>
    <sheetView workbookViewId="0">
      <selection activeCell="A49" sqref="A49:A54"/>
    </sheetView>
  </sheetViews>
  <sheetFormatPr defaultRowHeight="15" x14ac:dyDescent="0.25"/>
  <cols>
    <col min="1" max="1" width="67" customWidth="1"/>
    <col min="2" max="2" width="17.28515625" customWidth="1"/>
    <col min="3" max="3" width="10" customWidth="1"/>
    <col min="4" max="4" width="12" customWidth="1"/>
    <col min="5" max="5" width="9" customWidth="1"/>
    <col min="6" max="6" width="11" customWidth="1"/>
    <col min="7" max="7" width="9" customWidth="1"/>
    <col min="8" max="8" width="10" customWidth="1"/>
    <col min="9" max="9" width="7.7109375" customWidth="1"/>
    <col min="10" max="11" width="9" customWidth="1"/>
    <col min="12" max="12" width="10" customWidth="1"/>
    <col min="13" max="13" width="11" customWidth="1"/>
    <col min="14" max="14" width="12" customWidth="1"/>
  </cols>
  <sheetData>
    <row r="2" spans="1:14" x14ac:dyDescent="0.25">
      <c r="A2" s="33" t="s">
        <v>9298</v>
      </c>
      <c r="B2" t="s">
        <v>9304</v>
      </c>
    </row>
    <row r="3" spans="1:14" x14ac:dyDescent="0.25">
      <c r="A3" s="33" t="s">
        <v>9299</v>
      </c>
      <c r="B3" t="s">
        <v>4532</v>
      </c>
    </row>
    <row r="4" spans="1:14" x14ac:dyDescent="0.25">
      <c r="A4" s="33" t="s">
        <v>9291</v>
      </c>
      <c r="B4" t="s">
        <v>9304</v>
      </c>
    </row>
    <row r="5" spans="1:14" x14ac:dyDescent="0.25">
      <c r="A5" s="33" t="s">
        <v>9293</v>
      </c>
      <c r="B5" t="s">
        <v>9309</v>
      </c>
    </row>
    <row r="7" spans="1:14" x14ac:dyDescent="0.25">
      <c r="A7" s="33" t="s">
        <v>9308</v>
      </c>
      <c r="B7" s="33" t="s">
        <v>9305</v>
      </c>
    </row>
    <row r="8" spans="1:14" x14ac:dyDescent="0.25">
      <c r="A8" s="33" t="s">
        <v>9307</v>
      </c>
      <c r="B8">
        <v>1</v>
      </c>
      <c r="C8">
        <v>2</v>
      </c>
      <c r="D8">
        <v>3</v>
      </c>
      <c r="E8">
        <v>4</v>
      </c>
      <c r="F8">
        <v>5</v>
      </c>
      <c r="G8">
        <v>6</v>
      </c>
      <c r="H8">
        <v>7</v>
      </c>
      <c r="I8">
        <v>8</v>
      </c>
      <c r="J8">
        <v>9</v>
      </c>
      <c r="K8">
        <v>10</v>
      </c>
      <c r="L8">
        <v>11</v>
      </c>
      <c r="M8">
        <v>12</v>
      </c>
      <c r="N8" t="s">
        <v>9306</v>
      </c>
    </row>
    <row r="9" spans="1:14" x14ac:dyDescent="0.25">
      <c r="A9" s="34" t="s">
        <v>1057</v>
      </c>
      <c r="B9">
        <v>58920</v>
      </c>
      <c r="C9">
        <v>43530</v>
      </c>
      <c r="D9">
        <v>51280</v>
      </c>
      <c r="E9">
        <v>11130</v>
      </c>
      <c r="H9">
        <v>7420</v>
      </c>
      <c r="N9">
        <v>172280</v>
      </c>
    </row>
    <row r="10" spans="1:14" x14ac:dyDescent="0.25">
      <c r="A10" s="35" t="s">
        <v>1424</v>
      </c>
      <c r="B10">
        <v>14400</v>
      </c>
      <c r="C10">
        <v>32400</v>
      </c>
      <c r="D10">
        <v>21600</v>
      </c>
      <c r="N10">
        <v>68400</v>
      </c>
    </row>
    <row r="11" spans="1:14" x14ac:dyDescent="0.25">
      <c r="A11" s="35" t="s">
        <v>1056</v>
      </c>
      <c r="B11">
        <v>44520</v>
      </c>
      <c r="C11">
        <v>11130</v>
      </c>
      <c r="D11">
        <v>29680</v>
      </c>
      <c r="E11">
        <v>11130</v>
      </c>
      <c r="H11">
        <v>7420</v>
      </c>
      <c r="N11">
        <v>103880</v>
      </c>
    </row>
    <row r="12" spans="1:14" x14ac:dyDescent="0.25">
      <c r="A12" s="34" t="s">
        <v>2527</v>
      </c>
      <c r="D12">
        <v>15830</v>
      </c>
      <c r="E12">
        <v>53840</v>
      </c>
      <c r="F12">
        <v>24500</v>
      </c>
      <c r="G12">
        <v>20000</v>
      </c>
      <c r="H12">
        <v>39880</v>
      </c>
      <c r="N12">
        <v>154050</v>
      </c>
    </row>
    <row r="13" spans="1:14" x14ac:dyDescent="0.25">
      <c r="A13" s="35" t="s">
        <v>2526</v>
      </c>
      <c r="D13">
        <v>10080</v>
      </c>
      <c r="E13">
        <v>33840</v>
      </c>
      <c r="H13">
        <v>11880</v>
      </c>
      <c r="N13">
        <v>55800</v>
      </c>
    </row>
    <row r="14" spans="1:14" x14ac:dyDescent="0.25">
      <c r="A14" s="35" t="s">
        <v>2553</v>
      </c>
      <c r="D14">
        <v>5750</v>
      </c>
      <c r="E14">
        <v>20000</v>
      </c>
      <c r="F14">
        <v>24500</v>
      </c>
      <c r="G14">
        <v>20000</v>
      </c>
      <c r="H14">
        <v>28000</v>
      </c>
      <c r="N14">
        <v>98250</v>
      </c>
    </row>
    <row r="15" spans="1:14" x14ac:dyDescent="0.25">
      <c r="A15" s="34" t="s">
        <v>7631</v>
      </c>
      <c r="C15">
        <v>28183</v>
      </c>
      <c r="D15">
        <v>7143</v>
      </c>
      <c r="E15">
        <v>35001</v>
      </c>
      <c r="F15">
        <v>34954</v>
      </c>
      <c r="G15">
        <v>20197</v>
      </c>
      <c r="H15">
        <v>20994</v>
      </c>
      <c r="J15">
        <v>6957</v>
      </c>
      <c r="N15">
        <v>153429</v>
      </c>
    </row>
    <row r="16" spans="1:14" x14ac:dyDescent="0.25">
      <c r="A16" s="35" t="s">
        <v>7630</v>
      </c>
      <c r="C16">
        <v>28183</v>
      </c>
      <c r="D16">
        <v>7143</v>
      </c>
      <c r="E16">
        <v>35001</v>
      </c>
      <c r="F16">
        <v>34954</v>
      </c>
      <c r="G16">
        <v>20197</v>
      </c>
      <c r="H16">
        <v>20994</v>
      </c>
      <c r="J16">
        <v>6957</v>
      </c>
      <c r="N16">
        <v>153429</v>
      </c>
    </row>
    <row r="17" spans="1:14" x14ac:dyDescent="0.25">
      <c r="A17" s="34" t="s">
        <v>632</v>
      </c>
      <c r="B17">
        <v>4250</v>
      </c>
      <c r="C17">
        <v>15186</v>
      </c>
      <c r="D17">
        <v>19674.130300000001</v>
      </c>
      <c r="E17">
        <v>24443.7</v>
      </c>
      <c r="F17">
        <v>18786.044999999998</v>
      </c>
      <c r="G17">
        <v>9029</v>
      </c>
      <c r="H17">
        <v>15476.05</v>
      </c>
      <c r="I17">
        <v>8277</v>
      </c>
      <c r="J17">
        <v>8216.4599999999991</v>
      </c>
      <c r="K17">
        <v>2319.73</v>
      </c>
      <c r="L17">
        <v>9672.59</v>
      </c>
      <c r="M17">
        <v>3784.75</v>
      </c>
      <c r="N17">
        <v>139115.4553</v>
      </c>
    </row>
    <row r="18" spans="1:14" x14ac:dyDescent="0.25">
      <c r="A18" s="35" t="s">
        <v>3547</v>
      </c>
      <c r="J18">
        <v>8</v>
      </c>
      <c r="N18">
        <v>8</v>
      </c>
    </row>
    <row r="19" spans="1:14" x14ac:dyDescent="0.25">
      <c r="A19" s="35" t="s">
        <v>3546</v>
      </c>
      <c r="J19">
        <v>15</v>
      </c>
      <c r="N19">
        <v>15</v>
      </c>
    </row>
    <row r="20" spans="1:14" x14ac:dyDescent="0.25">
      <c r="A20" s="35" t="s">
        <v>1130</v>
      </c>
      <c r="C20">
        <v>95</v>
      </c>
      <c r="J20">
        <v>25</v>
      </c>
      <c r="K20">
        <v>65</v>
      </c>
      <c r="N20">
        <v>185</v>
      </c>
    </row>
    <row r="21" spans="1:14" x14ac:dyDescent="0.25">
      <c r="A21" s="35" t="s">
        <v>631</v>
      </c>
      <c r="B21">
        <v>4250</v>
      </c>
      <c r="C21">
        <v>6050</v>
      </c>
      <c r="D21">
        <v>5300</v>
      </c>
      <c r="E21">
        <v>8000</v>
      </c>
      <c r="F21">
        <v>6750</v>
      </c>
      <c r="G21">
        <v>3500</v>
      </c>
      <c r="H21">
        <v>4560</v>
      </c>
      <c r="I21">
        <v>3250</v>
      </c>
      <c r="J21">
        <v>750</v>
      </c>
      <c r="K21">
        <v>250</v>
      </c>
      <c r="L21">
        <v>2750</v>
      </c>
      <c r="M21">
        <v>750</v>
      </c>
      <c r="N21">
        <v>46160</v>
      </c>
    </row>
    <row r="22" spans="1:14" x14ac:dyDescent="0.25">
      <c r="A22" s="35" t="s">
        <v>1098</v>
      </c>
      <c r="C22">
        <v>9041</v>
      </c>
      <c r="D22">
        <v>14374.130300000001</v>
      </c>
      <c r="E22">
        <v>16443.7</v>
      </c>
      <c r="F22">
        <v>12036.044999999998</v>
      </c>
      <c r="G22">
        <v>5529</v>
      </c>
      <c r="H22">
        <v>10916.05</v>
      </c>
      <c r="I22">
        <v>5027</v>
      </c>
      <c r="J22">
        <v>7418.46</v>
      </c>
      <c r="K22">
        <v>2004.73</v>
      </c>
      <c r="L22">
        <v>6922.59</v>
      </c>
      <c r="M22">
        <v>3034.75</v>
      </c>
      <c r="N22">
        <v>92747.455300000001</v>
      </c>
    </row>
    <row r="23" spans="1:14" x14ac:dyDescent="0.25">
      <c r="A23" s="34" t="s">
        <v>159</v>
      </c>
      <c r="B23">
        <v>13372.5</v>
      </c>
      <c r="C23">
        <v>26736</v>
      </c>
      <c r="D23">
        <v>17930</v>
      </c>
      <c r="E23">
        <v>13095</v>
      </c>
      <c r="F23">
        <v>3332.5</v>
      </c>
      <c r="G23">
        <v>11145</v>
      </c>
      <c r="H23">
        <v>3387.5</v>
      </c>
      <c r="I23">
        <v>-1237.5</v>
      </c>
      <c r="J23">
        <v>2230</v>
      </c>
      <c r="K23">
        <v>2345</v>
      </c>
      <c r="L23">
        <v>2480</v>
      </c>
      <c r="M23">
        <v>4355</v>
      </c>
      <c r="N23">
        <v>99171</v>
      </c>
    </row>
    <row r="24" spans="1:14" x14ac:dyDescent="0.25">
      <c r="A24" s="35" t="s">
        <v>6204</v>
      </c>
      <c r="H24">
        <v>55</v>
      </c>
      <c r="N24">
        <v>55</v>
      </c>
    </row>
    <row r="25" spans="1:14" x14ac:dyDescent="0.25">
      <c r="A25" s="35" t="s">
        <v>1837</v>
      </c>
      <c r="C25">
        <v>2631</v>
      </c>
      <c r="N25">
        <v>2631</v>
      </c>
    </row>
    <row r="26" spans="1:14" x14ac:dyDescent="0.25">
      <c r="A26" s="35" t="s">
        <v>1496</v>
      </c>
      <c r="B26">
        <v>4500</v>
      </c>
      <c r="C26">
        <v>14000</v>
      </c>
      <c r="D26">
        <v>7250</v>
      </c>
      <c r="E26">
        <v>2780</v>
      </c>
      <c r="F26">
        <v>1500</v>
      </c>
      <c r="G26">
        <v>7500</v>
      </c>
      <c r="H26">
        <v>2250</v>
      </c>
      <c r="I26">
        <v>-1000</v>
      </c>
      <c r="M26">
        <v>250</v>
      </c>
      <c r="N26">
        <v>39030</v>
      </c>
    </row>
    <row r="27" spans="1:14" x14ac:dyDescent="0.25">
      <c r="A27" s="35" t="s">
        <v>158</v>
      </c>
      <c r="B27">
        <v>8872.5</v>
      </c>
      <c r="C27">
        <v>10105</v>
      </c>
      <c r="D27">
        <v>10680</v>
      </c>
      <c r="E27">
        <v>10315</v>
      </c>
      <c r="F27">
        <v>1832.5</v>
      </c>
      <c r="G27">
        <v>3645</v>
      </c>
      <c r="H27">
        <v>1082.5</v>
      </c>
      <c r="I27">
        <v>-237.5</v>
      </c>
      <c r="J27">
        <v>2230</v>
      </c>
      <c r="K27">
        <v>2345</v>
      </c>
      <c r="L27">
        <v>2480</v>
      </c>
      <c r="M27">
        <v>4105</v>
      </c>
      <c r="N27">
        <v>57455</v>
      </c>
    </row>
    <row r="28" spans="1:14" x14ac:dyDescent="0.25">
      <c r="A28" s="34" t="s">
        <v>172</v>
      </c>
      <c r="B28">
        <v>210</v>
      </c>
      <c r="C28">
        <v>1905</v>
      </c>
      <c r="D28">
        <v>8120</v>
      </c>
      <c r="E28">
        <v>11340</v>
      </c>
      <c r="F28">
        <v>12540</v>
      </c>
      <c r="G28">
        <v>10820</v>
      </c>
      <c r="H28">
        <v>14035</v>
      </c>
      <c r="I28">
        <v>3385</v>
      </c>
      <c r="J28">
        <v>1720</v>
      </c>
      <c r="K28">
        <v>180</v>
      </c>
      <c r="N28">
        <v>64255</v>
      </c>
    </row>
    <row r="29" spans="1:14" x14ac:dyDescent="0.25">
      <c r="A29" s="35" t="s">
        <v>3572</v>
      </c>
      <c r="J29">
        <v>800</v>
      </c>
      <c r="N29">
        <v>800</v>
      </c>
    </row>
    <row r="30" spans="1:14" x14ac:dyDescent="0.25">
      <c r="A30" s="35" t="s">
        <v>1869</v>
      </c>
      <c r="C30">
        <v>1500</v>
      </c>
      <c r="D30">
        <v>3500</v>
      </c>
      <c r="E30">
        <v>4500</v>
      </c>
      <c r="F30">
        <v>4750</v>
      </c>
      <c r="G30">
        <v>2000</v>
      </c>
      <c r="H30">
        <v>5750</v>
      </c>
      <c r="I30">
        <v>500</v>
      </c>
      <c r="J30">
        <v>500</v>
      </c>
      <c r="N30">
        <v>23000</v>
      </c>
    </row>
    <row r="31" spans="1:14" x14ac:dyDescent="0.25">
      <c r="A31" s="35" t="s">
        <v>171</v>
      </c>
      <c r="B31">
        <v>210</v>
      </c>
      <c r="C31">
        <v>405</v>
      </c>
      <c r="D31">
        <v>4620</v>
      </c>
      <c r="E31">
        <v>6840</v>
      </c>
      <c r="F31">
        <v>7790</v>
      </c>
      <c r="G31">
        <v>8820</v>
      </c>
      <c r="H31">
        <v>8285</v>
      </c>
      <c r="I31">
        <v>2885</v>
      </c>
      <c r="J31">
        <v>420</v>
      </c>
      <c r="K31">
        <v>180</v>
      </c>
      <c r="N31">
        <v>40455</v>
      </c>
    </row>
    <row r="32" spans="1:14" x14ac:dyDescent="0.25">
      <c r="A32" s="34" t="s">
        <v>538</v>
      </c>
      <c r="B32">
        <v>9255</v>
      </c>
      <c r="C32">
        <v>5250</v>
      </c>
      <c r="D32">
        <v>2955</v>
      </c>
      <c r="E32">
        <v>3050</v>
      </c>
      <c r="F32">
        <v>535</v>
      </c>
      <c r="G32">
        <v>335</v>
      </c>
      <c r="H32">
        <v>55</v>
      </c>
      <c r="J32">
        <v>8305</v>
      </c>
      <c r="K32">
        <v>3055</v>
      </c>
      <c r="L32">
        <v>9250</v>
      </c>
      <c r="M32">
        <v>5250</v>
      </c>
      <c r="N32">
        <v>47295</v>
      </c>
    </row>
    <row r="33" spans="1:14" x14ac:dyDescent="0.25">
      <c r="A33" s="35" t="s">
        <v>5808</v>
      </c>
      <c r="F33">
        <v>30</v>
      </c>
      <c r="G33">
        <v>30</v>
      </c>
      <c r="N33">
        <v>60</v>
      </c>
    </row>
    <row r="34" spans="1:14" x14ac:dyDescent="0.25">
      <c r="A34" s="35" t="s">
        <v>2477</v>
      </c>
      <c r="B34">
        <v>5</v>
      </c>
      <c r="D34">
        <v>210</v>
      </c>
      <c r="E34">
        <v>50</v>
      </c>
      <c r="F34">
        <v>5</v>
      </c>
      <c r="N34">
        <v>270</v>
      </c>
    </row>
    <row r="35" spans="1:14" x14ac:dyDescent="0.25">
      <c r="A35" s="35" t="s">
        <v>537</v>
      </c>
      <c r="D35">
        <v>495</v>
      </c>
      <c r="G35">
        <v>55</v>
      </c>
      <c r="H35">
        <v>55</v>
      </c>
      <c r="J35">
        <v>55</v>
      </c>
      <c r="K35">
        <v>55</v>
      </c>
      <c r="N35">
        <v>715</v>
      </c>
    </row>
    <row r="36" spans="1:14" x14ac:dyDescent="0.25">
      <c r="A36" s="35" t="s">
        <v>649</v>
      </c>
      <c r="B36">
        <v>9250</v>
      </c>
      <c r="C36">
        <v>5250</v>
      </c>
      <c r="D36">
        <v>2250</v>
      </c>
      <c r="E36">
        <v>3000</v>
      </c>
      <c r="F36">
        <v>500</v>
      </c>
      <c r="G36">
        <v>250</v>
      </c>
      <c r="J36">
        <v>8250</v>
      </c>
      <c r="K36">
        <v>3000</v>
      </c>
      <c r="L36">
        <v>9250</v>
      </c>
      <c r="M36">
        <v>5250</v>
      </c>
      <c r="N36">
        <v>46250</v>
      </c>
    </row>
    <row r="37" spans="1:14" x14ac:dyDescent="0.25">
      <c r="A37" s="48" t="s">
        <v>541</v>
      </c>
      <c r="B37">
        <v>4985</v>
      </c>
      <c r="C37">
        <v>11960</v>
      </c>
      <c r="D37">
        <v>5847.5</v>
      </c>
      <c r="E37">
        <v>4650</v>
      </c>
      <c r="F37">
        <v>1540</v>
      </c>
      <c r="G37">
        <v>1107.5</v>
      </c>
      <c r="H37">
        <v>430</v>
      </c>
      <c r="I37">
        <v>712.5</v>
      </c>
      <c r="J37">
        <v>835</v>
      </c>
      <c r="K37">
        <v>1605</v>
      </c>
      <c r="L37">
        <v>950</v>
      </c>
      <c r="M37">
        <v>4707.5</v>
      </c>
      <c r="N37">
        <v>39330</v>
      </c>
    </row>
    <row r="38" spans="1:14" x14ac:dyDescent="0.25">
      <c r="A38" s="35" t="s">
        <v>540</v>
      </c>
      <c r="D38">
        <v>55</v>
      </c>
      <c r="F38">
        <v>165</v>
      </c>
      <c r="G38">
        <v>110</v>
      </c>
      <c r="I38">
        <v>165</v>
      </c>
      <c r="J38">
        <v>55</v>
      </c>
      <c r="K38">
        <v>55</v>
      </c>
      <c r="N38">
        <v>605</v>
      </c>
    </row>
    <row r="39" spans="1:14" x14ac:dyDescent="0.25">
      <c r="A39" s="35" t="s">
        <v>1188</v>
      </c>
      <c r="B39">
        <v>750</v>
      </c>
      <c r="C39">
        <v>750</v>
      </c>
      <c r="D39">
        <v>1250</v>
      </c>
      <c r="E39">
        <v>750</v>
      </c>
      <c r="F39">
        <v>250</v>
      </c>
      <c r="G39">
        <v>250</v>
      </c>
      <c r="H39">
        <v>250</v>
      </c>
      <c r="M39">
        <v>1250</v>
      </c>
      <c r="N39">
        <v>5500</v>
      </c>
    </row>
    <row r="40" spans="1:14" x14ac:dyDescent="0.25">
      <c r="A40" s="35" t="s">
        <v>25</v>
      </c>
      <c r="B40">
        <v>4235</v>
      </c>
      <c r="C40">
        <v>11210</v>
      </c>
      <c r="D40">
        <v>4542.5</v>
      </c>
      <c r="E40">
        <v>3900</v>
      </c>
      <c r="F40">
        <v>1125</v>
      </c>
      <c r="G40">
        <v>747.5</v>
      </c>
      <c r="H40">
        <v>180</v>
      </c>
      <c r="I40">
        <v>547.5</v>
      </c>
      <c r="J40">
        <v>780</v>
      </c>
      <c r="K40">
        <v>1550</v>
      </c>
      <c r="L40">
        <v>950</v>
      </c>
      <c r="M40">
        <v>3457.5</v>
      </c>
      <c r="N40">
        <v>33225</v>
      </c>
    </row>
    <row r="41" spans="1:14" x14ac:dyDescent="0.25">
      <c r="A41" s="34" t="s">
        <v>111</v>
      </c>
      <c r="B41">
        <v>4919</v>
      </c>
      <c r="C41">
        <v>4805.3</v>
      </c>
      <c r="D41">
        <v>2208</v>
      </c>
      <c r="E41">
        <v>2335.3000000000002</v>
      </c>
      <c r="F41">
        <v>5427</v>
      </c>
      <c r="G41">
        <v>5587.7</v>
      </c>
      <c r="H41">
        <v>190</v>
      </c>
      <c r="I41">
        <v>3270</v>
      </c>
      <c r="J41">
        <v>3578</v>
      </c>
      <c r="K41">
        <v>1040</v>
      </c>
      <c r="L41">
        <v>2580</v>
      </c>
      <c r="M41">
        <v>1430</v>
      </c>
      <c r="N41">
        <v>37370.300000000003</v>
      </c>
    </row>
    <row r="42" spans="1:14" x14ac:dyDescent="0.25">
      <c r="A42" s="35" t="s">
        <v>642</v>
      </c>
      <c r="B42">
        <v>660</v>
      </c>
      <c r="C42">
        <v>1380</v>
      </c>
      <c r="D42">
        <v>900</v>
      </c>
      <c r="E42">
        <v>1020</v>
      </c>
      <c r="F42">
        <v>240</v>
      </c>
      <c r="G42">
        <v>180</v>
      </c>
      <c r="H42">
        <v>190</v>
      </c>
      <c r="I42">
        <v>180</v>
      </c>
      <c r="J42">
        <v>30</v>
      </c>
      <c r="K42">
        <v>540</v>
      </c>
      <c r="L42">
        <v>380</v>
      </c>
      <c r="M42">
        <v>880</v>
      </c>
      <c r="N42">
        <v>6580</v>
      </c>
    </row>
    <row r="43" spans="1:14" x14ac:dyDescent="0.25">
      <c r="A43" s="35" t="s">
        <v>110</v>
      </c>
      <c r="B43">
        <v>4259</v>
      </c>
      <c r="C43">
        <v>3425.3</v>
      </c>
      <c r="D43">
        <v>1308</v>
      </c>
      <c r="E43">
        <v>1315.3</v>
      </c>
      <c r="F43">
        <v>5187</v>
      </c>
      <c r="G43">
        <v>5407.7</v>
      </c>
      <c r="I43">
        <v>3090</v>
      </c>
      <c r="J43">
        <v>3548</v>
      </c>
      <c r="K43">
        <v>500</v>
      </c>
      <c r="L43">
        <v>2200</v>
      </c>
      <c r="M43">
        <v>550</v>
      </c>
      <c r="N43">
        <v>30790.3</v>
      </c>
    </row>
    <row r="44" spans="1:14" x14ac:dyDescent="0.25">
      <c r="A44" s="34" t="s">
        <v>1405</v>
      </c>
      <c r="B44">
        <v>3420</v>
      </c>
      <c r="C44">
        <v>8420</v>
      </c>
      <c r="D44">
        <v>17190</v>
      </c>
      <c r="E44">
        <v>4630</v>
      </c>
      <c r="F44">
        <v>720</v>
      </c>
      <c r="K44">
        <v>720</v>
      </c>
      <c r="L44">
        <v>480</v>
      </c>
      <c r="N44">
        <v>35580</v>
      </c>
    </row>
    <row r="45" spans="1:14" x14ac:dyDescent="0.25">
      <c r="A45" s="35" t="s">
        <v>2081</v>
      </c>
      <c r="B45">
        <v>1500</v>
      </c>
      <c r="C45">
        <v>3500</v>
      </c>
      <c r="D45">
        <v>9750</v>
      </c>
      <c r="E45">
        <v>1750</v>
      </c>
      <c r="N45">
        <v>16500</v>
      </c>
    </row>
    <row r="46" spans="1:14" x14ac:dyDescent="0.25">
      <c r="A46" s="35" t="s">
        <v>1404</v>
      </c>
      <c r="B46">
        <v>1920</v>
      </c>
      <c r="C46">
        <v>4920</v>
      </c>
      <c r="D46">
        <v>7440</v>
      </c>
      <c r="E46">
        <v>2880</v>
      </c>
      <c r="F46">
        <v>720</v>
      </c>
      <c r="K46">
        <v>720</v>
      </c>
      <c r="L46">
        <v>480</v>
      </c>
      <c r="N46">
        <v>19080</v>
      </c>
    </row>
    <row r="47" spans="1:14" x14ac:dyDescent="0.25">
      <c r="A47" s="34" t="s">
        <v>1079</v>
      </c>
      <c r="B47">
        <v>15220.529999999999</v>
      </c>
      <c r="C47">
        <v>4782</v>
      </c>
      <c r="D47">
        <v>10982.630000000001</v>
      </c>
      <c r="N47">
        <v>30985.16</v>
      </c>
    </row>
    <row r="48" spans="1:14" x14ac:dyDescent="0.25">
      <c r="A48" s="35" t="s">
        <v>1078</v>
      </c>
      <c r="B48">
        <v>15220.529999999999</v>
      </c>
      <c r="C48">
        <v>4782</v>
      </c>
      <c r="D48">
        <v>10982.630000000001</v>
      </c>
      <c r="N48">
        <v>30985.16</v>
      </c>
    </row>
    <row r="49" spans="1:14" x14ac:dyDescent="0.25">
      <c r="A49" s="49" t="s">
        <v>565</v>
      </c>
      <c r="B49">
        <v>1787.5</v>
      </c>
      <c r="C49">
        <v>3108</v>
      </c>
      <c r="D49">
        <v>625</v>
      </c>
      <c r="E49">
        <v>1170</v>
      </c>
      <c r="F49">
        <v>6320</v>
      </c>
      <c r="G49">
        <v>6485</v>
      </c>
      <c r="H49">
        <v>180</v>
      </c>
      <c r="I49">
        <v>2520</v>
      </c>
      <c r="J49">
        <v>1685</v>
      </c>
      <c r="K49">
        <v>2980</v>
      </c>
      <c r="L49">
        <v>2040</v>
      </c>
      <c r="M49">
        <v>840</v>
      </c>
      <c r="N49">
        <v>29740.5</v>
      </c>
    </row>
    <row r="50" spans="1:14" x14ac:dyDescent="0.25">
      <c r="A50" s="35" t="s">
        <v>566</v>
      </c>
      <c r="J50">
        <v>55</v>
      </c>
      <c r="K50">
        <v>55</v>
      </c>
      <c r="N50">
        <v>110</v>
      </c>
    </row>
    <row r="51" spans="1:14" x14ac:dyDescent="0.25">
      <c r="A51" s="35" t="s">
        <v>6125</v>
      </c>
      <c r="G51">
        <v>250</v>
      </c>
      <c r="N51">
        <v>250</v>
      </c>
    </row>
    <row r="52" spans="1:14" x14ac:dyDescent="0.25">
      <c r="A52" s="35" t="s">
        <v>69</v>
      </c>
      <c r="B52">
        <v>90</v>
      </c>
      <c r="C52">
        <v>90</v>
      </c>
      <c r="E52">
        <v>60</v>
      </c>
      <c r="I52">
        <v>60</v>
      </c>
      <c r="N52">
        <v>300</v>
      </c>
    </row>
    <row r="53" spans="1:14" x14ac:dyDescent="0.25">
      <c r="A53" s="35" t="s">
        <v>19</v>
      </c>
      <c r="B53">
        <v>697.5</v>
      </c>
      <c r="C53">
        <v>900</v>
      </c>
      <c r="D53">
        <v>375</v>
      </c>
      <c r="E53">
        <v>110</v>
      </c>
      <c r="F53">
        <v>820</v>
      </c>
      <c r="G53">
        <v>260</v>
      </c>
      <c r="H53">
        <v>180</v>
      </c>
      <c r="I53">
        <v>2185</v>
      </c>
      <c r="J53">
        <v>255</v>
      </c>
      <c r="L53">
        <v>540</v>
      </c>
      <c r="M53">
        <v>90</v>
      </c>
      <c r="N53">
        <v>6412.5</v>
      </c>
    </row>
    <row r="54" spans="1:14" x14ac:dyDescent="0.25">
      <c r="A54" s="35" t="s">
        <v>822</v>
      </c>
      <c r="B54">
        <v>1000</v>
      </c>
      <c r="C54">
        <v>2118</v>
      </c>
      <c r="D54">
        <v>250</v>
      </c>
      <c r="E54">
        <v>1000</v>
      </c>
      <c r="F54">
        <v>5500</v>
      </c>
      <c r="G54">
        <v>5975</v>
      </c>
      <c r="I54">
        <v>275</v>
      </c>
      <c r="J54">
        <v>1375</v>
      </c>
      <c r="K54">
        <v>2925</v>
      </c>
      <c r="L54">
        <v>1500</v>
      </c>
      <c r="M54">
        <v>750</v>
      </c>
      <c r="N54">
        <v>22668</v>
      </c>
    </row>
    <row r="55" spans="1:14" x14ac:dyDescent="0.25">
      <c r="A55" s="34" t="s">
        <v>6858</v>
      </c>
      <c r="J55">
        <v>18000</v>
      </c>
      <c r="L55">
        <v>9000</v>
      </c>
      <c r="N55">
        <v>27000</v>
      </c>
    </row>
    <row r="56" spans="1:14" x14ac:dyDescent="0.25">
      <c r="A56" s="35" t="s">
        <v>6857</v>
      </c>
      <c r="J56">
        <v>18000</v>
      </c>
      <c r="L56">
        <v>9000</v>
      </c>
      <c r="N56">
        <v>27000</v>
      </c>
    </row>
    <row r="57" spans="1:14" x14ac:dyDescent="0.25">
      <c r="A57" s="34" t="s">
        <v>511</v>
      </c>
      <c r="B57">
        <v>18250</v>
      </c>
      <c r="C57">
        <v>90</v>
      </c>
      <c r="D57">
        <v>1340</v>
      </c>
      <c r="E57">
        <v>250</v>
      </c>
      <c r="G57">
        <v>5</v>
      </c>
      <c r="H57">
        <v>800</v>
      </c>
      <c r="I57">
        <v>3310</v>
      </c>
      <c r="J57">
        <v>795</v>
      </c>
      <c r="K57">
        <v>60</v>
      </c>
      <c r="N57">
        <v>24900</v>
      </c>
    </row>
    <row r="58" spans="1:14" x14ac:dyDescent="0.25">
      <c r="A58" s="35" t="s">
        <v>36</v>
      </c>
      <c r="C58">
        <v>90</v>
      </c>
      <c r="D58">
        <v>90</v>
      </c>
      <c r="G58">
        <v>5</v>
      </c>
      <c r="H58">
        <v>50</v>
      </c>
      <c r="I58">
        <v>260</v>
      </c>
      <c r="J58">
        <v>295</v>
      </c>
      <c r="K58">
        <v>60</v>
      </c>
      <c r="N58">
        <v>850</v>
      </c>
    </row>
    <row r="59" spans="1:14" x14ac:dyDescent="0.25">
      <c r="A59" s="35" t="s">
        <v>510</v>
      </c>
      <c r="B59">
        <v>18250</v>
      </c>
      <c r="D59">
        <v>1250</v>
      </c>
      <c r="E59">
        <v>250</v>
      </c>
      <c r="H59">
        <v>750</v>
      </c>
      <c r="I59">
        <v>3050</v>
      </c>
      <c r="J59">
        <v>500</v>
      </c>
      <c r="N59">
        <v>24050</v>
      </c>
    </row>
    <row r="60" spans="1:14" x14ac:dyDescent="0.25">
      <c r="A60" s="34" t="s">
        <v>518</v>
      </c>
      <c r="B60">
        <v>1305</v>
      </c>
      <c r="C60">
        <v>3770</v>
      </c>
      <c r="D60">
        <v>3572.5</v>
      </c>
      <c r="E60">
        <v>1335</v>
      </c>
      <c r="F60">
        <v>2325</v>
      </c>
      <c r="G60">
        <v>300</v>
      </c>
      <c r="H60">
        <v>1470</v>
      </c>
      <c r="I60">
        <v>765</v>
      </c>
      <c r="J60">
        <v>3735</v>
      </c>
      <c r="K60">
        <v>2300</v>
      </c>
      <c r="L60">
        <v>1290</v>
      </c>
      <c r="M60">
        <v>435</v>
      </c>
      <c r="N60">
        <v>22602.5</v>
      </c>
    </row>
    <row r="61" spans="1:14" x14ac:dyDescent="0.25">
      <c r="A61" s="35" t="s">
        <v>4551</v>
      </c>
      <c r="B61">
        <v>90</v>
      </c>
      <c r="N61">
        <v>90</v>
      </c>
    </row>
    <row r="62" spans="1:14" x14ac:dyDescent="0.25">
      <c r="A62" s="35" t="s">
        <v>1786</v>
      </c>
      <c r="B62">
        <v>440</v>
      </c>
      <c r="C62">
        <v>660</v>
      </c>
      <c r="D62">
        <v>220</v>
      </c>
      <c r="E62">
        <v>220</v>
      </c>
      <c r="J62">
        <v>110</v>
      </c>
      <c r="L62">
        <v>880</v>
      </c>
      <c r="N62">
        <v>2530</v>
      </c>
    </row>
    <row r="63" spans="1:14" x14ac:dyDescent="0.25">
      <c r="A63" s="35" t="s">
        <v>83</v>
      </c>
      <c r="B63">
        <v>775</v>
      </c>
      <c r="C63">
        <v>3110</v>
      </c>
      <c r="D63">
        <v>2102.5</v>
      </c>
      <c r="E63">
        <v>865</v>
      </c>
      <c r="F63">
        <v>75</v>
      </c>
      <c r="G63">
        <v>50</v>
      </c>
      <c r="H63">
        <v>220</v>
      </c>
      <c r="I63">
        <v>265</v>
      </c>
      <c r="J63">
        <v>25</v>
      </c>
      <c r="K63">
        <v>575</v>
      </c>
      <c r="L63">
        <v>410</v>
      </c>
      <c r="M63">
        <v>435</v>
      </c>
      <c r="N63">
        <v>8907.5</v>
      </c>
    </row>
    <row r="64" spans="1:14" x14ac:dyDescent="0.25">
      <c r="A64" s="35" t="s">
        <v>548</v>
      </c>
      <c r="D64">
        <v>1250</v>
      </c>
      <c r="E64">
        <v>250</v>
      </c>
      <c r="F64">
        <v>2250</v>
      </c>
      <c r="G64">
        <v>250</v>
      </c>
      <c r="H64">
        <v>1250</v>
      </c>
      <c r="I64">
        <v>500</v>
      </c>
      <c r="J64">
        <v>3600</v>
      </c>
      <c r="K64">
        <v>1725</v>
      </c>
      <c r="N64">
        <v>11075</v>
      </c>
    </row>
    <row r="65" spans="1:14" x14ac:dyDescent="0.25">
      <c r="A65" s="34" t="s">
        <v>2581</v>
      </c>
      <c r="B65">
        <v>1770</v>
      </c>
      <c r="C65">
        <v>720</v>
      </c>
      <c r="D65">
        <v>1590</v>
      </c>
      <c r="E65">
        <v>1770</v>
      </c>
      <c r="F65">
        <v>2130</v>
      </c>
      <c r="G65">
        <v>2100</v>
      </c>
      <c r="H65">
        <v>1800</v>
      </c>
      <c r="I65">
        <v>1770</v>
      </c>
      <c r="J65">
        <v>2460</v>
      </c>
      <c r="K65">
        <v>1800</v>
      </c>
      <c r="L65">
        <v>1230</v>
      </c>
      <c r="M65">
        <v>1050</v>
      </c>
      <c r="N65">
        <v>20190</v>
      </c>
    </row>
    <row r="66" spans="1:14" x14ac:dyDescent="0.25">
      <c r="A66" s="35" t="s">
        <v>3136</v>
      </c>
      <c r="B66">
        <v>150</v>
      </c>
      <c r="D66">
        <v>150</v>
      </c>
      <c r="E66">
        <v>150</v>
      </c>
      <c r="F66">
        <v>150</v>
      </c>
      <c r="G66">
        <v>300</v>
      </c>
      <c r="I66">
        <v>150</v>
      </c>
      <c r="J66">
        <v>300</v>
      </c>
      <c r="L66">
        <v>150</v>
      </c>
      <c r="M66">
        <v>150</v>
      </c>
      <c r="N66">
        <v>1650</v>
      </c>
    </row>
    <row r="67" spans="1:14" x14ac:dyDescent="0.25">
      <c r="A67" s="35" t="s">
        <v>1446</v>
      </c>
      <c r="B67">
        <v>1620</v>
      </c>
      <c r="C67">
        <v>720</v>
      </c>
      <c r="D67">
        <v>1440</v>
      </c>
      <c r="E67">
        <v>1620</v>
      </c>
      <c r="F67">
        <v>1980</v>
      </c>
      <c r="G67">
        <v>1800</v>
      </c>
      <c r="H67">
        <v>1800</v>
      </c>
      <c r="I67">
        <v>1620</v>
      </c>
      <c r="J67">
        <v>2160</v>
      </c>
      <c r="K67">
        <v>1800</v>
      </c>
      <c r="L67">
        <v>1080</v>
      </c>
      <c r="M67">
        <v>900</v>
      </c>
      <c r="N67">
        <v>18540</v>
      </c>
    </row>
    <row r="68" spans="1:14" x14ac:dyDescent="0.25">
      <c r="A68" s="34" t="s">
        <v>165</v>
      </c>
      <c r="B68">
        <v>360</v>
      </c>
      <c r="C68">
        <v>3425</v>
      </c>
      <c r="D68">
        <v>2215</v>
      </c>
      <c r="E68">
        <v>2060</v>
      </c>
      <c r="F68">
        <v>2320</v>
      </c>
      <c r="G68">
        <v>820</v>
      </c>
      <c r="H68">
        <v>1930</v>
      </c>
      <c r="I68">
        <v>2575</v>
      </c>
      <c r="J68">
        <v>2550</v>
      </c>
      <c r="N68">
        <v>18255</v>
      </c>
    </row>
    <row r="69" spans="1:14" x14ac:dyDescent="0.25">
      <c r="A69" s="35" t="s">
        <v>6035</v>
      </c>
      <c r="D69">
        <v>315</v>
      </c>
      <c r="G69">
        <v>220</v>
      </c>
      <c r="I69">
        <v>300</v>
      </c>
      <c r="N69">
        <v>835</v>
      </c>
    </row>
    <row r="70" spans="1:14" x14ac:dyDescent="0.25">
      <c r="A70" s="35" t="s">
        <v>185</v>
      </c>
      <c r="C70">
        <v>2885</v>
      </c>
      <c r="D70">
        <v>1000</v>
      </c>
      <c r="E70">
        <v>750</v>
      </c>
      <c r="F70">
        <v>1750</v>
      </c>
      <c r="H70">
        <v>750</v>
      </c>
      <c r="I70">
        <v>500</v>
      </c>
      <c r="J70">
        <v>750</v>
      </c>
      <c r="N70">
        <v>8385</v>
      </c>
    </row>
    <row r="71" spans="1:14" x14ac:dyDescent="0.25">
      <c r="A71" s="35" t="s">
        <v>164</v>
      </c>
      <c r="B71">
        <v>360</v>
      </c>
      <c r="C71">
        <v>540</v>
      </c>
      <c r="D71">
        <v>900</v>
      </c>
      <c r="E71">
        <v>1310</v>
      </c>
      <c r="F71">
        <v>570</v>
      </c>
      <c r="G71">
        <v>600</v>
      </c>
      <c r="H71">
        <v>1180</v>
      </c>
      <c r="I71">
        <v>1775</v>
      </c>
      <c r="J71">
        <v>1800</v>
      </c>
      <c r="N71">
        <v>9035</v>
      </c>
    </row>
    <row r="72" spans="1:14" x14ac:dyDescent="0.25">
      <c r="A72" s="34" t="s">
        <v>602</v>
      </c>
      <c r="B72">
        <v>2740</v>
      </c>
      <c r="C72">
        <v>570</v>
      </c>
      <c r="D72">
        <v>1120</v>
      </c>
      <c r="E72">
        <v>2345</v>
      </c>
      <c r="F72">
        <v>8280</v>
      </c>
      <c r="G72">
        <v>430</v>
      </c>
      <c r="H72">
        <v>2310</v>
      </c>
      <c r="J72">
        <v>105</v>
      </c>
      <c r="K72">
        <v>15</v>
      </c>
      <c r="M72">
        <v>180</v>
      </c>
      <c r="N72">
        <v>18095</v>
      </c>
    </row>
    <row r="73" spans="1:14" x14ac:dyDescent="0.25">
      <c r="A73" s="35" t="s">
        <v>5423</v>
      </c>
      <c r="D73">
        <v>110</v>
      </c>
      <c r="N73">
        <v>110</v>
      </c>
    </row>
    <row r="74" spans="1:14" x14ac:dyDescent="0.25">
      <c r="A74" s="35" t="s">
        <v>1501</v>
      </c>
      <c r="B74">
        <v>240</v>
      </c>
      <c r="C74">
        <v>570</v>
      </c>
      <c r="D74">
        <v>510</v>
      </c>
      <c r="E74">
        <v>55</v>
      </c>
      <c r="F74">
        <v>30</v>
      </c>
      <c r="G74">
        <v>180</v>
      </c>
      <c r="H74">
        <v>60</v>
      </c>
      <c r="J74">
        <v>105</v>
      </c>
      <c r="K74">
        <v>15</v>
      </c>
      <c r="M74">
        <v>180</v>
      </c>
      <c r="N74">
        <v>1945</v>
      </c>
    </row>
    <row r="75" spans="1:14" x14ac:dyDescent="0.25">
      <c r="A75" s="35" t="s">
        <v>560</v>
      </c>
      <c r="B75">
        <v>2500</v>
      </c>
      <c r="D75">
        <v>500</v>
      </c>
      <c r="E75">
        <v>2290</v>
      </c>
      <c r="F75">
        <v>8250</v>
      </c>
      <c r="G75">
        <v>250</v>
      </c>
      <c r="H75">
        <v>2250</v>
      </c>
      <c r="N75">
        <v>16040</v>
      </c>
    </row>
    <row r="76" spans="1:14" x14ac:dyDescent="0.25">
      <c r="A76" s="34" t="s">
        <v>201</v>
      </c>
      <c r="B76">
        <v>3530</v>
      </c>
      <c r="C76">
        <v>3875</v>
      </c>
      <c r="D76">
        <v>1180</v>
      </c>
      <c r="E76">
        <v>1467.5</v>
      </c>
      <c r="F76">
        <v>927.5</v>
      </c>
      <c r="G76">
        <v>280</v>
      </c>
      <c r="H76">
        <v>260</v>
      </c>
      <c r="J76">
        <v>750</v>
      </c>
      <c r="K76">
        <v>860</v>
      </c>
      <c r="L76">
        <v>1960</v>
      </c>
      <c r="M76">
        <v>2135</v>
      </c>
      <c r="N76">
        <v>17225</v>
      </c>
    </row>
    <row r="77" spans="1:14" x14ac:dyDescent="0.25">
      <c r="A77" s="35" t="s">
        <v>200</v>
      </c>
      <c r="B77">
        <v>20</v>
      </c>
      <c r="C77">
        <v>85</v>
      </c>
      <c r="D77">
        <v>10</v>
      </c>
      <c r="E77">
        <v>17.5</v>
      </c>
      <c r="F77">
        <v>7.5</v>
      </c>
      <c r="H77">
        <v>10</v>
      </c>
      <c r="M77">
        <v>45</v>
      </c>
      <c r="N77">
        <v>195</v>
      </c>
    </row>
    <row r="78" spans="1:14" x14ac:dyDescent="0.25">
      <c r="A78" s="35" t="s">
        <v>531</v>
      </c>
      <c r="B78">
        <v>1080</v>
      </c>
      <c r="C78">
        <v>1290</v>
      </c>
      <c r="D78">
        <v>420</v>
      </c>
      <c r="E78">
        <v>450</v>
      </c>
      <c r="F78">
        <v>420</v>
      </c>
      <c r="G78">
        <v>30</v>
      </c>
      <c r="K78">
        <v>360</v>
      </c>
      <c r="L78">
        <v>210</v>
      </c>
      <c r="M78">
        <v>1590</v>
      </c>
      <c r="N78">
        <v>5850</v>
      </c>
    </row>
    <row r="79" spans="1:14" x14ac:dyDescent="0.25">
      <c r="A79" s="35" t="s">
        <v>220</v>
      </c>
      <c r="B79">
        <v>2430</v>
      </c>
      <c r="C79">
        <v>2500</v>
      </c>
      <c r="D79">
        <v>750</v>
      </c>
      <c r="E79">
        <v>1000</v>
      </c>
      <c r="F79">
        <v>500</v>
      </c>
      <c r="G79">
        <v>250</v>
      </c>
      <c r="H79">
        <v>250</v>
      </c>
      <c r="J79">
        <v>750</v>
      </c>
      <c r="K79">
        <v>500</v>
      </c>
      <c r="L79">
        <v>1750</v>
      </c>
      <c r="M79">
        <v>500</v>
      </c>
      <c r="N79">
        <v>11180</v>
      </c>
    </row>
    <row r="80" spans="1:14" x14ac:dyDescent="0.25">
      <c r="A80" s="34" t="s">
        <v>1815</v>
      </c>
      <c r="B80">
        <v>1080</v>
      </c>
      <c r="C80">
        <v>2060</v>
      </c>
      <c r="D80">
        <v>790</v>
      </c>
      <c r="E80">
        <v>2120</v>
      </c>
      <c r="F80">
        <v>1515</v>
      </c>
      <c r="G80">
        <v>3770</v>
      </c>
      <c r="H80">
        <v>1500</v>
      </c>
      <c r="I80">
        <v>1080</v>
      </c>
      <c r="J80">
        <v>1690</v>
      </c>
      <c r="K80">
        <v>180</v>
      </c>
      <c r="L80">
        <v>540</v>
      </c>
      <c r="N80">
        <v>16325</v>
      </c>
    </row>
    <row r="81" spans="1:14" x14ac:dyDescent="0.25">
      <c r="A81" s="35" t="s">
        <v>1820</v>
      </c>
      <c r="C81">
        <v>500</v>
      </c>
      <c r="D81">
        <v>250</v>
      </c>
      <c r="E81">
        <v>500</v>
      </c>
      <c r="F81">
        <v>250</v>
      </c>
      <c r="G81">
        <v>1250</v>
      </c>
      <c r="H81">
        <v>1500</v>
      </c>
      <c r="J81">
        <v>250</v>
      </c>
      <c r="N81">
        <v>4500</v>
      </c>
    </row>
    <row r="82" spans="1:14" x14ac:dyDescent="0.25">
      <c r="A82" s="35" t="s">
        <v>1814</v>
      </c>
      <c r="B82">
        <v>1080</v>
      </c>
      <c r="C82">
        <v>1560</v>
      </c>
      <c r="D82">
        <v>540</v>
      </c>
      <c r="E82">
        <v>1620</v>
      </c>
      <c r="F82">
        <v>1265</v>
      </c>
      <c r="G82">
        <v>2520</v>
      </c>
      <c r="I82">
        <v>1080</v>
      </c>
      <c r="J82">
        <v>1440</v>
      </c>
      <c r="K82">
        <v>180</v>
      </c>
      <c r="L82">
        <v>540</v>
      </c>
      <c r="N82">
        <v>11825</v>
      </c>
    </row>
    <row r="83" spans="1:14" x14ac:dyDescent="0.25">
      <c r="A83" s="34" t="s">
        <v>1023</v>
      </c>
      <c r="B83">
        <v>200</v>
      </c>
      <c r="C83">
        <v>2012.5</v>
      </c>
      <c r="D83">
        <v>1260</v>
      </c>
      <c r="E83">
        <v>1870</v>
      </c>
      <c r="F83">
        <v>2170</v>
      </c>
      <c r="G83">
        <v>2550</v>
      </c>
      <c r="H83">
        <v>450</v>
      </c>
      <c r="I83">
        <v>1412.5</v>
      </c>
      <c r="J83">
        <v>1690</v>
      </c>
      <c r="K83">
        <v>1090</v>
      </c>
      <c r="L83">
        <v>560</v>
      </c>
      <c r="M83">
        <v>410</v>
      </c>
      <c r="N83">
        <v>15675</v>
      </c>
    </row>
    <row r="84" spans="1:14" x14ac:dyDescent="0.25">
      <c r="A84" s="35" t="s">
        <v>3150</v>
      </c>
      <c r="G84">
        <v>30</v>
      </c>
      <c r="I84">
        <v>30</v>
      </c>
      <c r="N84">
        <v>60</v>
      </c>
    </row>
    <row r="85" spans="1:14" x14ac:dyDescent="0.25">
      <c r="A85" s="35" t="s">
        <v>8782</v>
      </c>
      <c r="F85">
        <v>110</v>
      </c>
      <c r="N85">
        <v>110</v>
      </c>
    </row>
    <row r="86" spans="1:14" x14ac:dyDescent="0.25">
      <c r="A86" s="35" t="s">
        <v>1022</v>
      </c>
      <c r="G86">
        <v>250</v>
      </c>
      <c r="K86">
        <v>250</v>
      </c>
      <c r="N86">
        <v>500</v>
      </c>
    </row>
    <row r="87" spans="1:14" x14ac:dyDescent="0.25">
      <c r="A87" s="35" t="s">
        <v>1119</v>
      </c>
      <c r="B87">
        <v>200</v>
      </c>
      <c r="C87">
        <v>2012.5</v>
      </c>
      <c r="D87">
        <v>1260</v>
      </c>
      <c r="E87">
        <v>1870</v>
      </c>
      <c r="F87">
        <v>2060</v>
      </c>
      <c r="G87">
        <v>2270</v>
      </c>
      <c r="H87">
        <v>450</v>
      </c>
      <c r="I87">
        <v>1382.5</v>
      </c>
      <c r="J87">
        <v>1690</v>
      </c>
      <c r="K87">
        <v>840</v>
      </c>
      <c r="L87">
        <v>560</v>
      </c>
      <c r="M87">
        <v>410</v>
      </c>
      <c r="N87">
        <v>15005</v>
      </c>
    </row>
    <row r="88" spans="1:14" x14ac:dyDescent="0.25">
      <c r="A88" s="34" t="s">
        <v>190</v>
      </c>
      <c r="B88">
        <v>1140</v>
      </c>
      <c r="C88">
        <v>1490</v>
      </c>
      <c r="D88">
        <v>2245</v>
      </c>
      <c r="E88">
        <v>1395</v>
      </c>
      <c r="F88">
        <v>2760</v>
      </c>
      <c r="H88">
        <v>540</v>
      </c>
      <c r="I88">
        <v>20</v>
      </c>
      <c r="J88">
        <v>900</v>
      </c>
      <c r="K88">
        <v>730</v>
      </c>
      <c r="L88">
        <v>925</v>
      </c>
      <c r="M88">
        <v>1265</v>
      </c>
      <c r="N88">
        <v>13410</v>
      </c>
    </row>
    <row r="89" spans="1:14" x14ac:dyDescent="0.25">
      <c r="A89" s="35" t="s">
        <v>2004</v>
      </c>
      <c r="C89">
        <v>30</v>
      </c>
      <c r="N89">
        <v>30</v>
      </c>
    </row>
    <row r="90" spans="1:14" x14ac:dyDescent="0.25">
      <c r="A90" s="35" t="s">
        <v>6205</v>
      </c>
      <c r="H90">
        <v>110</v>
      </c>
      <c r="N90">
        <v>110</v>
      </c>
    </row>
    <row r="91" spans="1:14" x14ac:dyDescent="0.25">
      <c r="A91" s="35" t="s">
        <v>5212</v>
      </c>
      <c r="D91">
        <v>750</v>
      </c>
      <c r="E91">
        <v>500</v>
      </c>
      <c r="F91">
        <v>1500</v>
      </c>
      <c r="H91">
        <v>250</v>
      </c>
      <c r="N91">
        <v>3000</v>
      </c>
    </row>
    <row r="92" spans="1:14" x14ac:dyDescent="0.25">
      <c r="A92" s="35" t="s">
        <v>189</v>
      </c>
      <c r="B92">
        <v>1140</v>
      </c>
      <c r="C92">
        <v>1460</v>
      </c>
      <c r="D92">
        <v>1495</v>
      </c>
      <c r="E92">
        <v>895</v>
      </c>
      <c r="F92">
        <v>1260</v>
      </c>
      <c r="H92">
        <v>180</v>
      </c>
      <c r="I92">
        <v>20</v>
      </c>
      <c r="J92">
        <v>900</v>
      </c>
      <c r="K92">
        <v>730</v>
      </c>
      <c r="L92">
        <v>925</v>
      </c>
      <c r="M92">
        <v>1265</v>
      </c>
      <c r="N92">
        <v>10270</v>
      </c>
    </row>
    <row r="93" spans="1:14" x14ac:dyDescent="0.25">
      <c r="A93" s="34" t="s">
        <v>610</v>
      </c>
      <c r="B93">
        <v>1980</v>
      </c>
      <c r="C93">
        <v>3805</v>
      </c>
      <c r="D93">
        <v>2280</v>
      </c>
      <c r="E93">
        <v>720</v>
      </c>
      <c r="F93">
        <v>840</v>
      </c>
      <c r="G93">
        <v>225</v>
      </c>
      <c r="H93">
        <v>720</v>
      </c>
      <c r="I93">
        <v>535</v>
      </c>
      <c r="J93">
        <v>270</v>
      </c>
      <c r="K93">
        <v>300</v>
      </c>
      <c r="L93">
        <v>690</v>
      </c>
      <c r="M93">
        <v>720</v>
      </c>
      <c r="N93">
        <v>13085</v>
      </c>
    </row>
    <row r="94" spans="1:14" x14ac:dyDescent="0.25">
      <c r="A94" s="35" t="s">
        <v>9232</v>
      </c>
      <c r="J94">
        <v>30</v>
      </c>
      <c r="N94">
        <v>30</v>
      </c>
    </row>
    <row r="95" spans="1:14" x14ac:dyDescent="0.25">
      <c r="A95" s="35" t="s">
        <v>609</v>
      </c>
      <c r="B95">
        <v>1980</v>
      </c>
      <c r="C95">
        <v>3805</v>
      </c>
      <c r="D95">
        <v>2280</v>
      </c>
      <c r="E95">
        <v>720</v>
      </c>
      <c r="F95">
        <v>840</v>
      </c>
      <c r="G95">
        <v>225</v>
      </c>
      <c r="H95">
        <v>720</v>
      </c>
      <c r="I95">
        <v>535</v>
      </c>
      <c r="J95">
        <v>240</v>
      </c>
      <c r="K95">
        <v>300</v>
      </c>
      <c r="L95">
        <v>690</v>
      </c>
      <c r="M95">
        <v>720</v>
      </c>
      <c r="N95">
        <v>13055</v>
      </c>
    </row>
    <row r="96" spans="1:14" x14ac:dyDescent="0.25">
      <c r="A96" s="34" t="s">
        <v>99</v>
      </c>
      <c r="B96">
        <v>4954.9749000000002</v>
      </c>
      <c r="C96">
        <v>555</v>
      </c>
      <c r="D96">
        <v>790</v>
      </c>
      <c r="E96">
        <v>4570</v>
      </c>
      <c r="F96">
        <v>1236.5</v>
      </c>
      <c r="G96">
        <v>55</v>
      </c>
      <c r="H96">
        <v>20</v>
      </c>
      <c r="I96">
        <v>555</v>
      </c>
      <c r="J96">
        <v>55</v>
      </c>
      <c r="K96">
        <v>10</v>
      </c>
      <c r="L96">
        <v>55</v>
      </c>
      <c r="M96">
        <v>2.5</v>
      </c>
      <c r="N96">
        <v>12858.974900000001</v>
      </c>
    </row>
    <row r="97" spans="1:14" x14ac:dyDescent="0.25">
      <c r="A97" s="35" t="s">
        <v>2170</v>
      </c>
      <c r="B97">
        <v>5</v>
      </c>
      <c r="F97">
        <v>2.5</v>
      </c>
      <c r="K97">
        <v>10</v>
      </c>
      <c r="M97">
        <v>2.5</v>
      </c>
      <c r="N97">
        <v>20</v>
      </c>
    </row>
    <row r="98" spans="1:14" x14ac:dyDescent="0.25">
      <c r="A98" s="35" t="s">
        <v>8093</v>
      </c>
      <c r="D98">
        <v>40</v>
      </c>
      <c r="H98">
        <v>20</v>
      </c>
      <c r="N98">
        <v>60</v>
      </c>
    </row>
    <row r="99" spans="1:14" x14ac:dyDescent="0.25">
      <c r="A99" s="35" t="s">
        <v>2889</v>
      </c>
      <c r="B99">
        <v>55</v>
      </c>
      <c r="C99">
        <v>55</v>
      </c>
      <c r="F99">
        <v>55</v>
      </c>
      <c r="G99">
        <v>55</v>
      </c>
      <c r="I99">
        <v>55</v>
      </c>
      <c r="J99">
        <v>55</v>
      </c>
      <c r="L99">
        <v>55</v>
      </c>
      <c r="N99">
        <v>385</v>
      </c>
    </row>
    <row r="100" spans="1:14" x14ac:dyDescent="0.25">
      <c r="A100" s="35" t="s">
        <v>2484</v>
      </c>
      <c r="C100">
        <v>500</v>
      </c>
      <c r="D100">
        <v>750</v>
      </c>
      <c r="E100">
        <v>500</v>
      </c>
      <c r="F100">
        <v>250</v>
      </c>
      <c r="I100">
        <v>500</v>
      </c>
      <c r="N100">
        <v>2500</v>
      </c>
    </row>
    <row r="101" spans="1:14" x14ac:dyDescent="0.25">
      <c r="A101" s="35" t="s">
        <v>98</v>
      </c>
      <c r="B101">
        <v>4894.9749000000002</v>
      </c>
      <c r="E101">
        <v>4070</v>
      </c>
      <c r="F101">
        <v>929</v>
      </c>
      <c r="N101">
        <v>9893.9749000000011</v>
      </c>
    </row>
    <row r="102" spans="1:14" x14ac:dyDescent="0.25">
      <c r="A102" s="34" t="s">
        <v>3437</v>
      </c>
      <c r="B102">
        <v>750</v>
      </c>
      <c r="C102">
        <v>265</v>
      </c>
      <c r="D102">
        <v>1250</v>
      </c>
      <c r="E102">
        <v>1500</v>
      </c>
      <c r="F102">
        <v>1000</v>
      </c>
      <c r="G102">
        <v>1500</v>
      </c>
      <c r="H102">
        <v>1250</v>
      </c>
      <c r="I102">
        <v>2250</v>
      </c>
      <c r="J102">
        <v>1500</v>
      </c>
      <c r="K102">
        <v>500</v>
      </c>
      <c r="L102">
        <v>750</v>
      </c>
      <c r="N102">
        <v>12515</v>
      </c>
    </row>
    <row r="103" spans="1:14" x14ac:dyDescent="0.25">
      <c r="A103" s="35" t="s">
        <v>3436</v>
      </c>
      <c r="B103">
        <v>750</v>
      </c>
      <c r="C103">
        <v>265</v>
      </c>
      <c r="D103">
        <v>1250</v>
      </c>
      <c r="E103">
        <v>1500</v>
      </c>
      <c r="F103">
        <v>1000</v>
      </c>
      <c r="G103">
        <v>1500</v>
      </c>
      <c r="H103">
        <v>1250</v>
      </c>
      <c r="I103">
        <v>2250</v>
      </c>
      <c r="J103">
        <v>1500</v>
      </c>
      <c r="K103">
        <v>500</v>
      </c>
      <c r="L103">
        <v>750</v>
      </c>
      <c r="N103">
        <v>12515</v>
      </c>
    </row>
    <row r="104" spans="1:14" x14ac:dyDescent="0.25">
      <c r="A104" s="34" t="s">
        <v>3250</v>
      </c>
      <c r="B104">
        <v>365</v>
      </c>
      <c r="C104">
        <v>2125</v>
      </c>
      <c r="D104">
        <v>420</v>
      </c>
      <c r="E104">
        <v>1800</v>
      </c>
      <c r="F104">
        <v>90</v>
      </c>
      <c r="G104">
        <v>630</v>
      </c>
      <c r="H104">
        <v>3670</v>
      </c>
      <c r="I104">
        <v>915</v>
      </c>
      <c r="J104">
        <v>1370</v>
      </c>
      <c r="L104">
        <v>250</v>
      </c>
      <c r="M104">
        <v>590</v>
      </c>
      <c r="N104">
        <v>12225</v>
      </c>
    </row>
    <row r="105" spans="1:14" x14ac:dyDescent="0.25">
      <c r="A105" s="35" t="s">
        <v>9116</v>
      </c>
      <c r="I105">
        <v>55</v>
      </c>
      <c r="N105">
        <v>55</v>
      </c>
    </row>
    <row r="106" spans="1:14" x14ac:dyDescent="0.25">
      <c r="A106" s="35" t="s">
        <v>3512</v>
      </c>
      <c r="I106">
        <v>250</v>
      </c>
      <c r="N106">
        <v>250</v>
      </c>
    </row>
    <row r="107" spans="1:14" x14ac:dyDescent="0.25">
      <c r="A107" s="35" t="s">
        <v>3249</v>
      </c>
      <c r="B107">
        <v>90</v>
      </c>
      <c r="D107">
        <v>420</v>
      </c>
      <c r="F107">
        <v>90</v>
      </c>
      <c r="G107">
        <v>630</v>
      </c>
      <c r="H107">
        <v>110</v>
      </c>
      <c r="I107">
        <v>360</v>
      </c>
      <c r="J107">
        <v>120</v>
      </c>
      <c r="M107">
        <v>90</v>
      </c>
      <c r="N107">
        <v>1910</v>
      </c>
    </row>
    <row r="108" spans="1:14" x14ac:dyDescent="0.25">
      <c r="A108" s="35" t="s">
        <v>3390</v>
      </c>
      <c r="B108">
        <v>275</v>
      </c>
      <c r="C108">
        <v>2125</v>
      </c>
      <c r="E108">
        <v>1800</v>
      </c>
      <c r="H108">
        <v>3560</v>
      </c>
      <c r="I108">
        <v>250</v>
      </c>
      <c r="J108">
        <v>1250</v>
      </c>
      <c r="L108">
        <v>250</v>
      </c>
      <c r="M108">
        <v>500</v>
      </c>
      <c r="N108">
        <v>10010</v>
      </c>
    </row>
    <row r="109" spans="1:14" x14ac:dyDescent="0.25">
      <c r="A109" s="34" t="s">
        <v>2537</v>
      </c>
      <c r="D109">
        <v>1800</v>
      </c>
      <c r="F109">
        <v>2160</v>
      </c>
      <c r="G109">
        <v>3240</v>
      </c>
      <c r="H109">
        <v>2160</v>
      </c>
      <c r="I109">
        <v>1980</v>
      </c>
      <c r="N109">
        <v>11340</v>
      </c>
    </row>
    <row r="110" spans="1:14" x14ac:dyDescent="0.25">
      <c r="A110" s="35" t="s">
        <v>2536</v>
      </c>
      <c r="D110">
        <v>1800</v>
      </c>
      <c r="F110">
        <v>2160</v>
      </c>
      <c r="G110">
        <v>3240</v>
      </c>
      <c r="H110">
        <v>2160</v>
      </c>
      <c r="I110">
        <v>1980</v>
      </c>
      <c r="N110">
        <v>11340</v>
      </c>
    </row>
    <row r="111" spans="1:14" x14ac:dyDescent="0.25">
      <c r="A111" s="34" t="s">
        <v>3102</v>
      </c>
      <c r="F111">
        <v>11340</v>
      </c>
      <c r="N111">
        <v>11340</v>
      </c>
    </row>
    <row r="112" spans="1:14" x14ac:dyDescent="0.25">
      <c r="A112" s="35" t="s">
        <v>3101</v>
      </c>
      <c r="F112">
        <v>11340</v>
      </c>
      <c r="N112">
        <v>11340</v>
      </c>
    </row>
    <row r="113" spans="1:14" x14ac:dyDescent="0.25">
      <c r="A113" s="34" t="s">
        <v>1854</v>
      </c>
      <c r="B113">
        <v>360</v>
      </c>
      <c r="C113">
        <v>720</v>
      </c>
      <c r="D113">
        <v>900</v>
      </c>
      <c r="E113">
        <v>1180</v>
      </c>
      <c r="F113">
        <v>1112.5</v>
      </c>
      <c r="G113">
        <v>1610</v>
      </c>
      <c r="H113">
        <v>910</v>
      </c>
      <c r="I113">
        <v>2110</v>
      </c>
      <c r="J113">
        <v>970</v>
      </c>
      <c r="L113">
        <v>5</v>
      </c>
      <c r="M113">
        <v>360</v>
      </c>
      <c r="N113">
        <v>10237.5</v>
      </c>
    </row>
    <row r="114" spans="1:14" x14ac:dyDescent="0.25">
      <c r="A114" s="35" t="s">
        <v>8348</v>
      </c>
      <c r="E114">
        <v>750</v>
      </c>
      <c r="F114">
        <v>750</v>
      </c>
      <c r="G114">
        <v>1250</v>
      </c>
      <c r="H114">
        <v>250</v>
      </c>
      <c r="I114">
        <v>1750</v>
      </c>
      <c r="J114">
        <v>250</v>
      </c>
      <c r="N114">
        <v>5000</v>
      </c>
    </row>
    <row r="115" spans="1:14" x14ac:dyDescent="0.25">
      <c r="A115" s="35" t="s">
        <v>1853</v>
      </c>
      <c r="B115">
        <v>360</v>
      </c>
      <c r="C115">
        <v>720</v>
      </c>
      <c r="D115">
        <v>900</v>
      </c>
      <c r="E115">
        <v>430</v>
      </c>
      <c r="F115">
        <v>362.5</v>
      </c>
      <c r="G115">
        <v>360</v>
      </c>
      <c r="H115">
        <v>660</v>
      </c>
      <c r="I115">
        <v>360</v>
      </c>
      <c r="J115">
        <v>720</v>
      </c>
      <c r="L115">
        <v>5</v>
      </c>
      <c r="M115">
        <v>360</v>
      </c>
      <c r="N115">
        <v>5237.5</v>
      </c>
    </row>
    <row r="116" spans="1:14" x14ac:dyDescent="0.25">
      <c r="A116" s="34" t="s">
        <v>7</v>
      </c>
      <c r="B116">
        <v>1280</v>
      </c>
      <c r="C116">
        <v>765</v>
      </c>
      <c r="D116">
        <v>1075</v>
      </c>
      <c r="E116">
        <v>1170</v>
      </c>
      <c r="F116">
        <v>765</v>
      </c>
      <c r="G116">
        <v>425</v>
      </c>
      <c r="H116">
        <v>660</v>
      </c>
      <c r="I116">
        <v>1095</v>
      </c>
      <c r="J116">
        <v>835</v>
      </c>
      <c r="K116">
        <v>735</v>
      </c>
      <c r="L116">
        <v>745</v>
      </c>
      <c r="M116">
        <v>665</v>
      </c>
      <c r="N116">
        <v>10215</v>
      </c>
    </row>
    <row r="117" spans="1:14" x14ac:dyDescent="0.25">
      <c r="A117" s="35" t="s">
        <v>77</v>
      </c>
      <c r="D117">
        <v>30</v>
      </c>
      <c r="F117">
        <v>30</v>
      </c>
      <c r="N117">
        <v>60</v>
      </c>
    </row>
    <row r="118" spans="1:14" x14ac:dyDescent="0.25">
      <c r="A118" s="35" t="s">
        <v>6</v>
      </c>
      <c r="B118">
        <v>220</v>
      </c>
      <c r="C118">
        <v>275</v>
      </c>
      <c r="D118">
        <v>110</v>
      </c>
      <c r="E118">
        <v>275</v>
      </c>
      <c r="F118">
        <v>110</v>
      </c>
      <c r="G118">
        <v>110</v>
      </c>
      <c r="H118">
        <v>165</v>
      </c>
      <c r="I118">
        <v>165</v>
      </c>
      <c r="J118">
        <v>165</v>
      </c>
      <c r="K118">
        <v>110</v>
      </c>
      <c r="L118">
        <v>165</v>
      </c>
      <c r="M118">
        <v>110</v>
      </c>
      <c r="N118">
        <v>1980</v>
      </c>
    </row>
    <row r="119" spans="1:14" x14ac:dyDescent="0.25">
      <c r="A119" s="35" t="s">
        <v>16</v>
      </c>
      <c r="B119">
        <v>1060</v>
      </c>
      <c r="C119">
        <v>490</v>
      </c>
      <c r="D119">
        <v>935</v>
      </c>
      <c r="E119">
        <v>895</v>
      </c>
      <c r="F119">
        <v>625</v>
      </c>
      <c r="G119">
        <v>315</v>
      </c>
      <c r="H119">
        <v>495</v>
      </c>
      <c r="I119">
        <v>930</v>
      </c>
      <c r="J119">
        <v>670</v>
      </c>
      <c r="K119">
        <v>625</v>
      </c>
      <c r="L119">
        <v>580</v>
      </c>
      <c r="M119">
        <v>555</v>
      </c>
      <c r="N119">
        <v>8175</v>
      </c>
    </row>
    <row r="120" spans="1:14" x14ac:dyDescent="0.25">
      <c r="A120" s="34" t="s">
        <v>776</v>
      </c>
      <c r="B120">
        <v>2650</v>
      </c>
      <c r="C120">
        <v>3030</v>
      </c>
      <c r="D120">
        <v>750</v>
      </c>
      <c r="E120">
        <v>1750</v>
      </c>
      <c r="F120">
        <v>250</v>
      </c>
      <c r="L120">
        <v>1500</v>
      </c>
      <c r="M120">
        <v>250</v>
      </c>
      <c r="N120">
        <v>10180</v>
      </c>
    </row>
    <row r="121" spans="1:14" x14ac:dyDescent="0.25">
      <c r="A121" s="35" t="s">
        <v>775</v>
      </c>
      <c r="B121">
        <v>150</v>
      </c>
      <c r="C121">
        <v>30</v>
      </c>
      <c r="N121">
        <v>180</v>
      </c>
    </row>
    <row r="122" spans="1:14" x14ac:dyDescent="0.25">
      <c r="A122" s="35" t="s">
        <v>823</v>
      </c>
      <c r="B122">
        <v>2500</v>
      </c>
      <c r="C122">
        <v>3000</v>
      </c>
      <c r="D122">
        <v>750</v>
      </c>
      <c r="E122">
        <v>1750</v>
      </c>
      <c r="F122">
        <v>250</v>
      </c>
      <c r="L122">
        <v>1500</v>
      </c>
      <c r="M122">
        <v>250</v>
      </c>
      <c r="N122">
        <v>10000</v>
      </c>
    </row>
    <row r="123" spans="1:14" x14ac:dyDescent="0.25">
      <c r="A123" s="34" t="s">
        <v>3400</v>
      </c>
      <c r="B123">
        <v>840</v>
      </c>
      <c r="C123">
        <v>505</v>
      </c>
      <c r="D123">
        <v>650</v>
      </c>
      <c r="E123">
        <v>900</v>
      </c>
      <c r="F123">
        <v>1610</v>
      </c>
      <c r="G123">
        <v>670</v>
      </c>
      <c r="H123">
        <v>1310</v>
      </c>
      <c r="I123">
        <v>680</v>
      </c>
      <c r="J123">
        <v>775</v>
      </c>
      <c r="K123">
        <v>750</v>
      </c>
      <c r="L123">
        <v>250</v>
      </c>
      <c r="M123">
        <v>750</v>
      </c>
      <c r="N123">
        <v>9690</v>
      </c>
    </row>
    <row r="124" spans="1:14" x14ac:dyDescent="0.25">
      <c r="A124" s="35" t="s">
        <v>3510</v>
      </c>
      <c r="B124">
        <v>90</v>
      </c>
      <c r="C124">
        <v>5</v>
      </c>
      <c r="D124">
        <v>400</v>
      </c>
      <c r="E124">
        <v>400</v>
      </c>
      <c r="F124">
        <v>60</v>
      </c>
      <c r="G124">
        <v>420</v>
      </c>
      <c r="H124">
        <v>60</v>
      </c>
      <c r="I124">
        <v>180</v>
      </c>
      <c r="N124">
        <v>1615</v>
      </c>
    </row>
    <row r="125" spans="1:14" x14ac:dyDescent="0.25">
      <c r="A125" s="35" t="s">
        <v>3399</v>
      </c>
      <c r="B125">
        <v>750</v>
      </c>
      <c r="C125">
        <v>500</v>
      </c>
      <c r="D125">
        <v>250</v>
      </c>
      <c r="E125">
        <v>500</v>
      </c>
      <c r="F125">
        <v>1550</v>
      </c>
      <c r="G125">
        <v>250</v>
      </c>
      <c r="H125">
        <v>1250</v>
      </c>
      <c r="I125">
        <v>500</v>
      </c>
      <c r="J125">
        <v>775</v>
      </c>
      <c r="K125">
        <v>750</v>
      </c>
      <c r="L125">
        <v>250</v>
      </c>
      <c r="M125">
        <v>750</v>
      </c>
      <c r="N125">
        <v>8075</v>
      </c>
    </row>
    <row r="126" spans="1:14" x14ac:dyDescent="0.25">
      <c r="A126" s="34" t="s">
        <v>182</v>
      </c>
      <c r="B126">
        <v>865</v>
      </c>
      <c r="C126">
        <v>740</v>
      </c>
      <c r="D126">
        <v>1910</v>
      </c>
      <c r="E126">
        <v>1980</v>
      </c>
      <c r="F126">
        <v>5</v>
      </c>
      <c r="G126">
        <v>867.5</v>
      </c>
      <c r="H126">
        <v>1205</v>
      </c>
      <c r="I126">
        <v>610</v>
      </c>
      <c r="J126">
        <v>735</v>
      </c>
      <c r="K126">
        <v>205</v>
      </c>
      <c r="L126">
        <v>180</v>
      </c>
      <c r="M126">
        <v>285</v>
      </c>
      <c r="N126">
        <v>9587.5</v>
      </c>
    </row>
    <row r="127" spans="1:14" x14ac:dyDescent="0.25">
      <c r="A127" s="35" t="s">
        <v>181</v>
      </c>
      <c r="B127">
        <v>60</v>
      </c>
      <c r="J127">
        <v>120</v>
      </c>
      <c r="N127">
        <v>180</v>
      </c>
    </row>
    <row r="128" spans="1:14" x14ac:dyDescent="0.25">
      <c r="A128" s="35" t="s">
        <v>4502</v>
      </c>
      <c r="B128">
        <v>55</v>
      </c>
      <c r="G128">
        <v>110</v>
      </c>
      <c r="M128">
        <v>55</v>
      </c>
      <c r="N128">
        <v>220</v>
      </c>
    </row>
    <row r="129" spans="1:14" x14ac:dyDescent="0.25">
      <c r="A129" s="35" t="s">
        <v>244</v>
      </c>
      <c r="C129">
        <v>740</v>
      </c>
      <c r="D129">
        <v>660</v>
      </c>
      <c r="E129">
        <v>730</v>
      </c>
      <c r="F129">
        <v>5</v>
      </c>
      <c r="G129">
        <v>7.5</v>
      </c>
      <c r="H129">
        <v>205</v>
      </c>
      <c r="I129">
        <v>360</v>
      </c>
      <c r="J129">
        <v>115</v>
      </c>
      <c r="K129">
        <v>205</v>
      </c>
      <c r="L129">
        <v>180</v>
      </c>
      <c r="M129">
        <v>230</v>
      </c>
      <c r="N129">
        <v>3437.5</v>
      </c>
    </row>
    <row r="130" spans="1:14" x14ac:dyDescent="0.25">
      <c r="A130" s="35" t="s">
        <v>1505</v>
      </c>
      <c r="B130">
        <v>750</v>
      </c>
      <c r="D130">
        <v>1250</v>
      </c>
      <c r="E130">
        <v>1250</v>
      </c>
      <c r="G130">
        <v>750</v>
      </c>
      <c r="H130">
        <v>1000</v>
      </c>
      <c r="I130">
        <v>250</v>
      </c>
      <c r="J130">
        <v>500</v>
      </c>
      <c r="N130">
        <v>5750</v>
      </c>
    </row>
    <row r="131" spans="1:14" x14ac:dyDescent="0.25">
      <c r="A131" s="34" t="s">
        <v>3396</v>
      </c>
      <c r="B131">
        <v>860</v>
      </c>
      <c r="C131">
        <v>860</v>
      </c>
      <c r="D131">
        <v>340</v>
      </c>
      <c r="E131">
        <v>1200</v>
      </c>
      <c r="F131">
        <v>500</v>
      </c>
      <c r="G131">
        <v>400</v>
      </c>
      <c r="H131">
        <v>1410</v>
      </c>
      <c r="I131">
        <v>1210</v>
      </c>
      <c r="J131">
        <v>80</v>
      </c>
      <c r="K131">
        <v>1050</v>
      </c>
      <c r="L131">
        <v>305</v>
      </c>
      <c r="M131">
        <v>1310</v>
      </c>
      <c r="N131">
        <v>9525</v>
      </c>
    </row>
    <row r="132" spans="1:14" x14ac:dyDescent="0.25">
      <c r="A132" s="35" t="s">
        <v>6388</v>
      </c>
      <c r="I132">
        <v>110</v>
      </c>
      <c r="N132">
        <v>110</v>
      </c>
    </row>
    <row r="133" spans="1:14" x14ac:dyDescent="0.25">
      <c r="A133" s="35" t="s">
        <v>4270</v>
      </c>
      <c r="L133">
        <v>30</v>
      </c>
      <c r="M133">
        <v>150</v>
      </c>
      <c r="N133">
        <v>180</v>
      </c>
    </row>
    <row r="134" spans="1:14" x14ac:dyDescent="0.25">
      <c r="A134" s="35" t="s">
        <v>6385</v>
      </c>
      <c r="I134">
        <v>275</v>
      </c>
      <c r="N134">
        <v>275</v>
      </c>
    </row>
    <row r="135" spans="1:14" x14ac:dyDescent="0.25">
      <c r="A135" s="35" t="s">
        <v>6516</v>
      </c>
      <c r="B135">
        <v>60</v>
      </c>
      <c r="C135">
        <v>60</v>
      </c>
      <c r="D135">
        <v>90</v>
      </c>
      <c r="E135">
        <v>400</v>
      </c>
      <c r="G135">
        <v>400</v>
      </c>
      <c r="H135">
        <v>60</v>
      </c>
      <c r="J135">
        <v>80</v>
      </c>
      <c r="M135">
        <v>60</v>
      </c>
      <c r="N135">
        <v>1210</v>
      </c>
    </row>
    <row r="136" spans="1:14" x14ac:dyDescent="0.25">
      <c r="A136" s="35" t="s">
        <v>3395</v>
      </c>
      <c r="B136">
        <v>800</v>
      </c>
      <c r="C136">
        <v>800</v>
      </c>
      <c r="D136">
        <v>250</v>
      </c>
      <c r="E136">
        <v>800</v>
      </c>
      <c r="F136">
        <v>500</v>
      </c>
      <c r="H136">
        <v>1350</v>
      </c>
      <c r="I136">
        <v>825</v>
      </c>
      <c r="K136">
        <v>1050</v>
      </c>
      <c r="L136">
        <v>275</v>
      </c>
      <c r="M136">
        <v>1100</v>
      </c>
      <c r="N136">
        <v>7750</v>
      </c>
    </row>
    <row r="137" spans="1:14" x14ac:dyDescent="0.25">
      <c r="A137" s="34" t="s">
        <v>4258</v>
      </c>
      <c r="B137">
        <v>500</v>
      </c>
      <c r="E137">
        <v>250</v>
      </c>
      <c r="F137">
        <v>960</v>
      </c>
      <c r="G137">
        <v>1770</v>
      </c>
      <c r="H137">
        <v>1560</v>
      </c>
      <c r="L137">
        <v>500</v>
      </c>
      <c r="M137">
        <v>3800</v>
      </c>
      <c r="N137">
        <v>9340</v>
      </c>
    </row>
    <row r="138" spans="1:14" x14ac:dyDescent="0.25">
      <c r="A138" s="35" t="s">
        <v>8749</v>
      </c>
      <c r="F138">
        <v>55</v>
      </c>
      <c r="N138">
        <v>55</v>
      </c>
    </row>
    <row r="139" spans="1:14" x14ac:dyDescent="0.25">
      <c r="A139" s="35" t="s">
        <v>5998</v>
      </c>
      <c r="F139">
        <v>80</v>
      </c>
      <c r="G139">
        <v>970</v>
      </c>
      <c r="H139">
        <v>1560</v>
      </c>
      <c r="N139">
        <v>2610</v>
      </c>
    </row>
    <row r="140" spans="1:14" x14ac:dyDescent="0.25">
      <c r="A140" s="35" t="s">
        <v>4257</v>
      </c>
      <c r="B140">
        <v>500</v>
      </c>
      <c r="E140">
        <v>250</v>
      </c>
      <c r="F140">
        <v>825</v>
      </c>
      <c r="G140">
        <v>800</v>
      </c>
      <c r="L140">
        <v>500</v>
      </c>
      <c r="M140">
        <v>3800</v>
      </c>
      <c r="N140">
        <v>6675</v>
      </c>
    </row>
    <row r="141" spans="1:14" x14ac:dyDescent="0.25">
      <c r="A141" s="34" t="s">
        <v>1396</v>
      </c>
      <c r="B141">
        <v>2680</v>
      </c>
      <c r="C141">
        <v>1930</v>
      </c>
      <c r="D141">
        <v>1360</v>
      </c>
      <c r="E141">
        <v>180</v>
      </c>
      <c r="F141">
        <v>180</v>
      </c>
      <c r="G141">
        <v>542.5</v>
      </c>
      <c r="H141">
        <v>360</v>
      </c>
      <c r="I141">
        <v>720</v>
      </c>
      <c r="M141">
        <v>1180</v>
      </c>
      <c r="N141">
        <v>9132.5</v>
      </c>
    </row>
    <row r="142" spans="1:14" x14ac:dyDescent="0.25">
      <c r="A142" s="35" t="s">
        <v>1395</v>
      </c>
      <c r="B142">
        <v>180</v>
      </c>
      <c r="C142">
        <v>180</v>
      </c>
      <c r="D142">
        <v>360</v>
      </c>
      <c r="E142">
        <v>180</v>
      </c>
      <c r="F142">
        <v>180</v>
      </c>
      <c r="G142">
        <v>542.5</v>
      </c>
      <c r="H142">
        <v>360</v>
      </c>
      <c r="I142">
        <v>720</v>
      </c>
      <c r="M142">
        <v>180</v>
      </c>
      <c r="N142">
        <v>2882.5</v>
      </c>
    </row>
    <row r="143" spans="1:14" x14ac:dyDescent="0.25">
      <c r="A143" s="35" t="s">
        <v>1400</v>
      </c>
      <c r="B143">
        <v>2500</v>
      </c>
      <c r="C143">
        <v>1750</v>
      </c>
      <c r="D143">
        <v>1000</v>
      </c>
      <c r="M143">
        <v>1000</v>
      </c>
      <c r="N143">
        <v>6250</v>
      </c>
    </row>
    <row r="144" spans="1:14" x14ac:dyDescent="0.25">
      <c r="A144" s="34" t="s">
        <v>5951</v>
      </c>
      <c r="B144">
        <v>180</v>
      </c>
      <c r="C144">
        <v>2200</v>
      </c>
      <c r="D144">
        <v>5220</v>
      </c>
      <c r="E144">
        <v>250</v>
      </c>
      <c r="F144">
        <v>440</v>
      </c>
      <c r="G144">
        <v>20</v>
      </c>
      <c r="H144">
        <v>190</v>
      </c>
      <c r="I144">
        <v>250</v>
      </c>
      <c r="J144">
        <v>7.5</v>
      </c>
      <c r="N144">
        <v>8757.5</v>
      </c>
    </row>
    <row r="145" spans="1:14" x14ac:dyDescent="0.25">
      <c r="A145" s="35" t="s">
        <v>3471</v>
      </c>
      <c r="H145">
        <v>10</v>
      </c>
      <c r="J145">
        <v>5</v>
      </c>
      <c r="N145">
        <v>15</v>
      </c>
    </row>
    <row r="146" spans="1:14" x14ac:dyDescent="0.25">
      <c r="A146" s="35" t="s">
        <v>5421</v>
      </c>
      <c r="D146">
        <v>55</v>
      </c>
      <c r="F146">
        <v>165</v>
      </c>
      <c r="N146">
        <v>220</v>
      </c>
    </row>
    <row r="147" spans="1:14" x14ac:dyDescent="0.25">
      <c r="A147" s="35" t="s">
        <v>22</v>
      </c>
      <c r="B147">
        <v>180</v>
      </c>
      <c r="D147">
        <v>540</v>
      </c>
      <c r="F147">
        <v>25</v>
      </c>
      <c r="G147">
        <v>20</v>
      </c>
      <c r="H147">
        <v>180</v>
      </c>
      <c r="J147">
        <v>2.5</v>
      </c>
      <c r="N147">
        <v>947.5</v>
      </c>
    </row>
    <row r="148" spans="1:14" x14ac:dyDescent="0.25">
      <c r="A148" s="35" t="s">
        <v>2548</v>
      </c>
      <c r="C148">
        <v>2200</v>
      </c>
      <c r="D148">
        <v>4625</v>
      </c>
      <c r="E148">
        <v>250</v>
      </c>
      <c r="F148">
        <v>250</v>
      </c>
      <c r="I148">
        <v>250</v>
      </c>
      <c r="N148">
        <v>7575</v>
      </c>
    </row>
    <row r="149" spans="1:14" x14ac:dyDescent="0.25">
      <c r="A149" s="34" t="s">
        <v>6737</v>
      </c>
      <c r="E149">
        <v>4360</v>
      </c>
      <c r="L149">
        <v>3870</v>
      </c>
      <c r="N149">
        <v>8230</v>
      </c>
    </row>
    <row r="150" spans="1:14" x14ac:dyDescent="0.25">
      <c r="A150" s="35" t="s">
        <v>143</v>
      </c>
      <c r="E150">
        <v>4360</v>
      </c>
      <c r="L150">
        <v>3870</v>
      </c>
      <c r="N150">
        <v>8230</v>
      </c>
    </row>
    <row r="151" spans="1:14" x14ac:dyDescent="0.25">
      <c r="A151" s="34" t="s">
        <v>2454</v>
      </c>
      <c r="D151">
        <v>2580</v>
      </c>
      <c r="E151">
        <v>2040</v>
      </c>
      <c r="F151">
        <v>3180</v>
      </c>
      <c r="N151">
        <v>7800</v>
      </c>
    </row>
    <row r="152" spans="1:14" x14ac:dyDescent="0.25">
      <c r="A152" s="35" t="s">
        <v>2453</v>
      </c>
      <c r="D152">
        <v>1080</v>
      </c>
      <c r="E152">
        <v>540</v>
      </c>
      <c r="F152">
        <v>180</v>
      </c>
      <c r="N152">
        <v>1800</v>
      </c>
    </row>
    <row r="153" spans="1:14" x14ac:dyDescent="0.25">
      <c r="A153" s="35" t="s">
        <v>3029</v>
      </c>
      <c r="D153">
        <v>1500</v>
      </c>
      <c r="E153">
        <v>1500</v>
      </c>
      <c r="F153">
        <v>3000</v>
      </c>
      <c r="N153">
        <v>6000</v>
      </c>
    </row>
    <row r="154" spans="1:14" x14ac:dyDescent="0.25">
      <c r="A154" s="34" t="s">
        <v>3498</v>
      </c>
      <c r="B154">
        <v>310</v>
      </c>
      <c r="D154">
        <v>170</v>
      </c>
      <c r="F154">
        <v>2000</v>
      </c>
      <c r="G154">
        <v>750</v>
      </c>
      <c r="I154">
        <v>2670</v>
      </c>
      <c r="K154">
        <v>1000</v>
      </c>
      <c r="M154">
        <v>710</v>
      </c>
      <c r="N154">
        <v>7610</v>
      </c>
    </row>
    <row r="155" spans="1:14" x14ac:dyDescent="0.25">
      <c r="A155" s="35" t="s">
        <v>7315</v>
      </c>
      <c r="M155">
        <v>150</v>
      </c>
      <c r="N155">
        <v>150</v>
      </c>
    </row>
    <row r="156" spans="1:14" x14ac:dyDescent="0.25">
      <c r="A156" s="35" t="s">
        <v>3521</v>
      </c>
      <c r="B156">
        <v>60</v>
      </c>
      <c r="D156">
        <v>170</v>
      </c>
      <c r="I156">
        <v>420</v>
      </c>
      <c r="M156">
        <v>60</v>
      </c>
      <c r="N156">
        <v>710</v>
      </c>
    </row>
    <row r="157" spans="1:14" x14ac:dyDescent="0.25">
      <c r="A157" s="35" t="s">
        <v>3497</v>
      </c>
      <c r="B157">
        <v>250</v>
      </c>
      <c r="F157">
        <v>2000</v>
      </c>
      <c r="G157">
        <v>750</v>
      </c>
      <c r="I157">
        <v>2250</v>
      </c>
      <c r="K157">
        <v>1000</v>
      </c>
      <c r="M157">
        <v>500</v>
      </c>
      <c r="N157">
        <v>6750</v>
      </c>
    </row>
    <row r="158" spans="1:14" x14ac:dyDescent="0.25">
      <c r="A158" s="34" t="s">
        <v>2148</v>
      </c>
      <c r="C158">
        <v>720</v>
      </c>
      <c r="D158">
        <v>1380</v>
      </c>
      <c r="E158">
        <v>1520</v>
      </c>
      <c r="F158">
        <v>3130</v>
      </c>
      <c r="G158">
        <v>360</v>
      </c>
      <c r="H158">
        <v>250</v>
      </c>
      <c r="I158">
        <v>250</v>
      </c>
      <c r="N158">
        <v>7610</v>
      </c>
    </row>
    <row r="159" spans="1:14" x14ac:dyDescent="0.25">
      <c r="A159" s="35" t="s">
        <v>2836</v>
      </c>
      <c r="E159">
        <v>500</v>
      </c>
      <c r="F159">
        <v>250</v>
      </c>
      <c r="H159">
        <v>250</v>
      </c>
      <c r="I159">
        <v>250</v>
      </c>
      <c r="N159">
        <v>1250</v>
      </c>
    </row>
    <row r="160" spans="1:14" x14ac:dyDescent="0.25">
      <c r="A160" s="35" t="s">
        <v>2147</v>
      </c>
      <c r="C160">
        <v>720</v>
      </c>
      <c r="D160">
        <v>1380</v>
      </c>
      <c r="E160">
        <v>1020</v>
      </c>
      <c r="F160">
        <v>2880</v>
      </c>
      <c r="G160">
        <v>360</v>
      </c>
      <c r="N160">
        <v>6360</v>
      </c>
    </row>
    <row r="161" spans="1:14" x14ac:dyDescent="0.25">
      <c r="A161" s="34" t="s">
        <v>1107</v>
      </c>
      <c r="C161">
        <v>1500</v>
      </c>
      <c r="D161">
        <v>1500</v>
      </c>
      <c r="E161">
        <v>500</v>
      </c>
      <c r="F161">
        <v>1000</v>
      </c>
      <c r="G161">
        <v>1000</v>
      </c>
      <c r="H161">
        <v>1000</v>
      </c>
      <c r="I161">
        <v>1000</v>
      </c>
      <c r="N161">
        <v>7500</v>
      </c>
    </row>
    <row r="162" spans="1:14" x14ac:dyDescent="0.25">
      <c r="A162" s="35" t="s">
        <v>1106</v>
      </c>
      <c r="C162">
        <v>1500</v>
      </c>
      <c r="D162">
        <v>1500</v>
      </c>
      <c r="E162">
        <v>500</v>
      </c>
      <c r="F162">
        <v>1000</v>
      </c>
      <c r="G162">
        <v>1000</v>
      </c>
      <c r="H162">
        <v>1000</v>
      </c>
      <c r="I162">
        <v>1000</v>
      </c>
      <c r="N162">
        <v>7500</v>
      </c>
    </row>
    <row r="163" spans="1:14" x14ac:dyDescent="0.25">
      <c r="A163" s="34" t="s">
        <v>550</v>
      </c>
      <c r="C163">
        <v>80</v>
      </c>
      <c r="D163">
        <v>4050</v>
      </c>
      <c r="E163">
        <v>255</v>
      </c>
      <c r="F163">
        <v>950</v>
      </c>
      <c r="G163">
        <v>860</v>
      </c>
      <c r="I163">
        <v>360</v>
      </c>
      <c r="L163">
        <v>180</v>
      </c>
      <c r="M163">
        <v>250</v>
      </c>
      <c r="N163">
        <v>6985</v>
      </c>
    </row>
    <row r="164" spans="1:14" x14ac:dyDescent="0.25">
      <c r="A164" s="35" t="s">
        <v>549</v>
      </c>
      <c r="D164">
        <v>165</v>
      </c>
      <c r="E164">
        <v>55</v>
      </c>
      <c r="G164">
        <v>110</v>
      </c>
      <c r="I164">
        <v>110</v>
      </c>
      <c r="N164">
        <v>440</v>
      </c>
    </row>
    <row r="165" spans="1:14" x14ac:dyDescent="0.25">
      <c r="A165" s="35" t="s">
        <v>50</v>
      </c>
      <c r="C165">
        <v>80</v>
      </c>
      <c r="D165">
        <v>135</v>
      </c>
      <c r="E165">
        <v>200</v>
      </c>
      <c r="F165">
        <v>200</v>
      </c>
      <c r="L165">
        <v>180</v>
      </c>
      <c r="N165">
        <v>795</v>
      </c>
    </row>
    <row r="166" spans="1:14" x14ac:dyDescent="0.25">
      <c r="A166" s="35" t="s">
        <v>2519</v>
      </c>
      <c r="D166">
        <v>3750</v>
      </c>
      <c r="F166">
        <v>750</v>
      </c>
      <c r="G166">
        <v>750</v>
      </c>
      <c r="I166">
        <v>250</v>
      </c>
      <c r="M166">
        <v>250</v>
      </c>
      <c r="N166">
        <v>5750</v>
      </c>
    </row>
    <row r="167" spans="1:14" x14ac:dyDescent="0.25">
      <c r="A167" s="34" t="s">
        <v>3526</v>
      </c>
      <c r="B167">
        <v>1305</v>
      </c>
      <c r="C167">
        <v>500</v>
      </c>
      <c r="D167">
        <v>555</v>
      </c>
      <c r="E167">
        <v>500</v>
      </c>
      <c r="F167">
        <v>695</v>
      </c>
      <c r="G167">
        <v>500</v>
      </c>
      <c r="H167">
        <v>500</v>
      </c>
      <c r="I167">
        <v>1110</v>
      </c>
      <c r="J167">
        <v>935</v>
      </c>
      <c r="K167">
        <v>250</v>
      </c>
      <c r="L167">
        <v>30</v>
      </c>
      <c r="N167">
        <v>6880</v>
      </c>
    </row>
    <row r="168" spans="1:14" x14ac:dyDescent="0.25">
      <c r="A168" s="35" t="s">
        <v>1085</v>
      </c>
      <c r="J168">
        <v>20</v>
      </c>
      <c r="N168">
        <v>20</v>
      </c>
    </row>
    <row r="169" spans="1:14" x14ac:dyDescent="0.25">
      <c r="A169" s="35" t="s">
        <v>4253</v>
      </c>
      <c r="F169">
        <v>30</v>
      </c>
      <c r="L169">
        <v>30</v>
      </c>
      <c r="N169">
        <v>60</v>
      </c>
    </row>
    <row r="170" spans="1:14" x14ac:dyDescent="0.25">
      <c r="A170" s="35" t="s">
        <v>3188</v>
      </c>
      <c r="B170">
        <v>55</v>
      </c>
      <c r="D170">
        <v>55</v>
      </c>
      <c r="F170">
        <v>165</v>
      </c>
      <c r="I170">
        <v>110</v>
      </c>
      <c r="J170">
        <v>165</v>
      </c>
      <c r="N170">
        <v>550</v>
      </c>
    </row>
    <row r="171" spans="1:14" x14ac:dyDescent="0.25">
      <c r="A171" s="35" t="s">
        <v>998</v>
      </c>
      <c r="B171">
        <v>1250</v>
      </c>
      <c r="C171">
        <v>500</v>
      </c>
      <c r="D171">
        <v>500</v>
      </c>
      <c r="E171">
        <v>500</v>
      </c>
      <c r="F171">
        <v>500</v>
      </c>
      <c r="G171">
        <v>500</v>
      </c>
      <c r="H171">
        <v>500</v>
      </c>
      <c r="I171">
        <v>1000</v>
      </c>
      <c r="J171">
        <v>750</v>
      </c>
      <c r="K171">
        <v>250</v>
      </c>
      <c r="N171">
        <v>6250</v>
      </c>
    </row>
    <row r="172" spans="1:14" x14ac:dyDescent="0.25">
      <c r="A172" s="34" t="s">
        <v>2521</v>
      </c>
      <c r="D172">
        <v>4680</v>
      </c>
      <c r="E172">
        <v>360</v>
      </c>
      <c r="F172">
        <v>1440</v>
      </c>
      <c r="G172">
        <v>180</v>
      </c>
      <c r="N172">
        <v>6660</v>
      </c>
    </row>
    <row r="173" spans="1:14" x14ac:dyDescent="0.25">
      <c r="A173" s="35" t="s">
        <v>1734</v>
      </c>
      <c r="D173">
        <v>4680</v>
      </c>
      <c r="E173">
        <v>360</v>
      </c>
      <c r="F173">
        <v>1440</v>
      </c>
      <c r="G173">
        <v>180</v>
      </c>
      <c r="N173">
        <v>6660</v>
      </c>
    </row>
    <row r="174" spans="1:14" x14ac:dyDescent="0.25">
      <c r="A174" s="34" t="s">
        <v>3915</v>
      </c>
      <c r="B174">
        <v>455</v>
      </c>
      <c r="C174">
        <v>560</v>
      </c>
      <c r="D174">
        <v>235</v>
      </c>
      <c r="E174">
        <v>2260</v>
      </c>
      <c r="F174">
        <v>670</v>
      </c>
      <c r="G174">
        <v>345</v>
      </c>
      <c r="H174">
        <v>330</v>
      </c>
      <c r="I174">
        <v>115</v>
      </c>
      <c r="J174">
        <v>525</v>
      </c>
      <c r="K174">
        <v>360</v>
      </c>
      <c r="L174">
        <v>170</v>
      </c>
      <c r="M174">
        <v>490</v>
      </c>
      <c r="N174">
        <v>6515</v>
      </c>
    </row>
    <row r="175" spans="1:14" x14ac:dyDescent="0.25">
      <c r="A175" s="35" t="s">
        <v>4284</v>
      </c>
      <c r="C175">
        <v>165</v>
      </c>
      <c r="D175">
        <v>55</v>
      </c>
      <c r="E175">
        <v>55</v>
      </c>
      <c r="F175">
        <v>55</v>
      </c>
      <c r="G175">
        <v>165</v>
      </c>
      <c r="H175">
        <v>55</v>
      </c>
      <c r="I175">
        <v>55</v>
      </c>
      <c r="L175">
        <v>110</v>
      </c>
      <c r="N175">
        <v>715</v>
      </c>
    </row>
    <row r="176" spans="1:14" x14ac:dyDescent="0.25">
      <c r="A176" s="35" t="s">
        <v>3914</v>
      </c>
      <c r="B176">
        <v>180</v>
      </c>
      <c r="C176">
        <v>120</v>
      </c>
      <c r="D176">
        <v>180</v>
      </c>
      <c r="E176">
        <v>180</v>
      </c>
      <c r="F176">
        <v>90</v>
      </c>
      <c r="G176">
        <v>180</v>
      </c>
      <c r="I176">
        <v>60</v>
      </c>
      <c r="K176">
        <v>360</v>
      </c>
      <c r="L176">
        <v>60</v>
      </c>
      <c r="M176">
        <v>240</v>
      </c>
      <c r="N176">
        <v>1650</v>
      </c>
    </row>
    <row r="177" spans="1:14" x14ac:dyDescent="0.25">
      <c r="A177" s="35" t="s">
        <v>5976</v>
      </c>
      <c r="B177">
        <v>275</v>
      </c>
      <c r="C177">
        <v>275</v>
      </c>
      <c r="E177">
        <v>2025</v>
      </c>
      <c r="F177">
        <v>525</v>
      </c>
      <c r="H177">
        <v>275</v>
      </c>
      <c r="J177">
        <v>525</v>
      </c>
      <c r="M177">
        <v>250</v>
      </c>
      <c r="N177">
        <v>4150</v>
      </c>
    </row>
    <row r="178" spans="1:14" x14ac:dyDescent="0.25">
      <c r="A178" s="34" t="s">
        <v>29</v>
      </c>
      <c r="B178">
        <v>620</v>
      </c>
      <c r="C178">
        <v>650</v>
      </c>
      <c r="D178">
        <v>800</v>
      </c>
      <c r="E178">
        <v>440</v>
      </c>
      <c r="F178">
        <v>615</v>
      </c>
      <c r="G178">
        <v>280</v>
      </c>
      <c r="H178">
        <v>560</v>
      </c>
      <c r="I178">
        <v>735</v>
      </c>
      <c r="J178">
        <v>485</v>
      </c>
      <c r="K178">
        <v>430</v>
      </c>
      <c r="L178">
        <v>435</v>
      </c>
      <c r="M178">
        <v>425</v>
      </c>
      <c r="N178">
        <v>6475</v>
      </c>
    </row>
    <row r="179" spans="1:14" x14ac:dyDescent="0.25">
      <c r="A179" s="35" t="s">
        <v>28</v>
      </c>
      <c r="B179">
        <v>620</v>
      </c>
      <c r="C179">
        <v>650</v>
      </c>
      <c r="D179">
        <v>800</v>
      </c>
      <c r="E179">
        <v>440</v>
      </c>
      <c r="F179">
        <v>615</v>
      </c>
      <c r="G179">
        <v>280</v>
      </c>
      <c r="H179">
        <v>560</v>
      </c>
      <c r="I179">
        <v>735</v>
      </c>
      <c r="J179">
        <v>485</v>
      </c>
      <c r="K179">
        <v>430</v>
      </c>
      <c r="L179">
        <v>435</v>
      </c>
      <c r="M179">
        <v>425</v>
      </c>
      <c r="N179">
        <v>6475</v>
      </c>
    </row>
    <row r="180" spans="1:14" x14ac:dyDescent="0.25">
      <c r="A180" s="34" t="s">
        <v>3654</v>
      </c>
      <c r="C180">
        <v>3105</v>
      </c>
      <c r="D180">
        <v>500</v>
      </c>
      <c r="E180">
        <v>775</v>
      </c>
      <c r="F180">
        <v>275</v>
      </c>
      <c r="G180">
        <v>785</v>
      </c>
      <c r="H180">
        <v>250</v>
      </c>
      <c r="I180">
        <v>330</v>
      </c>
      <c r="J180">
        <v>320</v>
      </c>
      <c r="K180">
        <v>55</v>
      </c>
      <c r="N180">
        <v>6395</v>
      </c>
    </row>
    <row r="181" spans="1:14" x14ac:dyDescent="0.25">
      <c r="A181" s="35" t="s">
        <v>6695</v>
      </c>
      <c r="K181">
        <v>55</v>
      </c>
      <c r="N181">
        <v>55</v>
      </c>
    </row>
    <row r="182" spans="1:14" x14ac:dyDescent="0.25">
      <c r="A182" s="35" t="s">
        <v>5129</v>
      </c>
      <c r="C182">
        <v>5</v>
      </c>
      <c r="F182">
        <v>25</v>
      </c>
      <c r="G182">
        <v>35</v>
      </c>
      <c r="I182">
        <v>80</v>
      </c>
      <c r="J182">
        <v>70</v>
      </c>
      <c r="N182">
        <v>215</v>
      </c>
    </row>
    <row r="183" spans="1:14" x14ac:dyDescent="0.25">
      <c r="A183" s="35" t="s">
        <v>3653</v>
      </c>
      <c r="C183">
        <v>3100</v>
      </c>
      <c r="D183">
        <v>500</v>
      </c>
      <c r="E183">
        <v>775</v>
      </c>
      <c r="F183">
        <v>250</v>
      </c>
      <c r="G183">
        <v>750</v>
      </c>
      <c r="H183">
        <v>250</v>
      </c>
      <c r="I183">
        <v>250</v>
      </c>
      <c r="J183">
        <v>250</v>
      </c>
      <c r="N183">
        <v>6125</v>
      </c>
    </row>
    <row r="184" spans="1:14" x14ac:dyDescent="0.25">
      <c r="A184" s="34" t="s">
        <v>8607</v>
      </c>
      <c r="F184">
        <v>5485</v>
      </c>
      <c r="I184">
        <v>760</v>
      </c>
      <c r="N184">
        <v>6245</v>
      </c>
    </row>
    <row r="185" spans="1:14" x14ac:dyDescent="0.25">
      <c r="A185" s="35" t="s">
        <v>8606</v>
      </c>
      <c r="F185">
        <v>5485</v>
      </c>
      <c r="I185">
        <v>760</v>
      </c>
      <c r="N185">
        <v>6245</v>
      </c>
    </row>
    <row r="186" spans="1:14" x14ac:dyDescent="0.25">
      <c r="A186" s="34" t="s">
        <v>193</v>
      </c>
      <c r="B186">
        <v>1680</v>
      </c>
      <c r="C186">
        <v>2000</v>
      </c>
      <c r="D186">
        <v>250</v>
      </c>
      <c r="J186">
        <v>2.5</v>
      </c>
      <c r="L186">
        <v>1500</v>
      </c>
      <c r="M186">
        <v>500</v>
      </c>
      <c r="N186">
        <v>5932.5</v>
      </c>
    </row>
    <row r="187" spans="1:14" x14ac:dyDescent="0.25">
      <c r="A187" s="35" t="s">
        <v>1499</v>
      </c>
      <c r="B187">
        <v>180</v>
      </c>
      <c r="J187">
        <v>2.5</v>
      </c>
      <c r="N187">
        <v>182.5</v>
      </c>
    </row>
    <row r="188" spans="1:14" x14ac:dyDescent="0.25">
      <c r="A188" s="35" t="s">
        <v>192</v>
      </c>
      <c r="B188">
        <v>1500</v>
      </c>
      <c r="C188">
        <v>2000</v>
      </c>
      <c r="D188">
        <v>250</v>
      </c>
      <c r="L188">
        <v>1500</v>
      </c>
      <c r="M188">
        <v>500</v>
      </c>
      <c r="N188">
        <v>5750</v>
      </c>
    </row>
    <row r="189" spans="1:14" x14ac:dyDescent="0.25">
      <c r="A189" s="34" t="s">
        <v>3911</v>
      </c>
      <c r="B189">
        <v>1120</v>
      </c>
      <c r="C189">
        <v>590</v>
      </c>
      <c r="D189">
        <v>865</v>
      </c>
      <c r="E189">
        <v>190</v>
      </c>
      <c r="F189">
        <v>120</v>
      </c>
      <c r="G189">
        <v>90</v>
      </c>
      <c r="H189">
        <v>250</v>
      </c>
      <c r="I189">
        <v>150</v>
      </c>
      <c r="J189">
        <v>710</v>
      </c>
      <c r="K189">
        <v>570</v>
      </c>
      <c r="L189">
        <v>370</v>
      </c>
      <c r="M189">
        <v>310</v>
      </c>
      <c r="N189">
        <v>5335</v>
      </c>
    </row>
    <row r="190" spans="1:14" x14ac:dyDescent="0.25">
      <c r="A190" s="35" t="s">
        <v>4271</v>
      </c>
      <c r="B190">
        <v>60</v>
      </c>
      <c r="C190">
        <v>90</v>
      </c>
      <c r="G190">
        <v>30</v>
      </c>
      <c r="L190">
        <v>60</v>
      </c>
      <c r="N190">
        <v>240</v>
      </c>
    </row>
    <row r="191" spans="1:14" x14ac:dyDescent="0.25">
      <c r="A191" s="35" t="s">
        <v>3941</v>
      </c>
      <c r="B191">
        <v>60</v>
      </c>
      <c r="D191">
        <v>90</v>
      </c>
      <c r="E191">
        <v>190</v>
      </c>
      <c r="F191">
        <v>120</v>
      </c>
      <c r="G191">
        <v>60</v>
      </c>
      <c r="I191">
        <v>150</v>
      </c>
      <c r="J191">
        <v>210</v>
      </c>
      <c r="K191">
        <v>70</v>
      </c>
      <c r="L191">
        <v>60</v>
      </c>
      <c r="M191">
        <v>60</v>
      </c>
      <c r="N191">
        <v>1070</v>
      </c>
    </row>
    <row r="192" spans="1:14" x14ac:dyDescent="0.25">
      <c r="A192" s="35" t="s">
        <v>3910</v>
      </c>
      <c r="B192">
        <v>1000</v>
      </c>
      <c r="C192">
        <v>500</v>
      </c>
      <c r="D192">
        <v>775</v>
      </c>
      <c r="H192">
        <v>250</v>
      </c>
      <c r="J192">
        <v>500</v>
      </c>
      <c r="K192">
        <v>500</v>
      </c>
      <c r="L192">
        <v>250</v>
      </c>
      <c r="M192">
        <v>250</v>
      </c>
      <c r="N192">
        <v>4025</v>
      </c>
    </row>
    <row r="193" spans="1:14" x14ac:dyDescent="0.25">
      <c r="A193" s="34" t="s">
        <v>3405</v>
      </c>
      <c r="B193">
        <v>750</v>
      </c>
      <c r="C193">
        <v>750</v>
      </c>
      <c r="D193">
        <v>500</v>
      </c>
      <c r="G193">
        <v>110</v>
      </c>
      <c r="H193">
        <v>500</v>
      </c>
      <c r="I193">
        <v>590</v>
      </c>
      <c r="J193">
        <v>810</v>
      </c>
      <c r="K193">
        <v>260</v>
      </c>
      <c r="L193">
        <v>500</v>
      </c>
      <c r="M193">
        <v>560</v>
      </c>
      <c r="N193">
        <v>5330</v>
      </c>
    </row>
    <row r="194" spans="1:14" x14ac:dyDescent="0.25">
      <c r="A194" s="35" t="s">
        <v>8897</v>
      </c>
      <c r="G194">
        <v>110</v>
      </c>
      <c r="N194">
        <v>110</v>
      </c>
    </row>
    <row r="195" spans="1:14" x14ac:dyDescent="0.25">
      <c r="A195" s="35" t="s">
        <v>3943</v>
      </c>
      <c r="I195">
        <v>90</v>
      </c>
      <c r="J195">
        <v>60</v>
      </c>
      <c r="K195">
        <v>10</v>
      </c>
      <c r="M195">
        <v>60</v>
      </c>
      <c r="N195">
        <v>220</v>
      </c>
    </row>
    <row r="196" spans="1:14" x14ac:dyDescent="0.25">
      <c r="A196" s="35" t="s">
        <v>3404</v>
      </c>
      <c r="B196">
        <v>750</v>
      </c>
      <c r="C196">
        <v>750</v>
      </c>
      <c r="D196">
        <v>500</v>
      </c>
      <c r="H196">
        <v>500</v>
      </c>
      <c r="I196">
        <v>500</v>
      </c>
      <c r="J196">
        <v>750</v>
      </c>
      <c r="K196">
        <v>250</v>
      </c>
      <c r="L196">
        <v>500</v>
      </c>
      <c r="M196">
        <v>500</v>
      </c>
      <c r="N196">
        <v>5000</v>
      </c>
    </row>
    <row r="197" spans="1:14" x14ac:dyDescent="0.25">
      <c r="A197" s="48" t="s">
        <v>26</v>
      </c>
      <c r="B197">
        <v>580</v>
      </c>
      <c r="C197">
        <v>545</v>
      </c>
      <c r="D197">
        <v>570</v>
      </c>
      <c r="E197">
        <v>595</v>
      </c>
      <c r="F197">
        <v>505</v>
      </c>
      <c r="G197">
        <v>210</v>
      </c>
      <c r="H197">
        <v>355</v>
      </c>
      <c r="I197">
        <v>505</v>
      </c>
      <c r="J197">
        <v>500</v>
      </c>
      <c r="K197">
        <v>330</v>
      </c>
      <c r="L197">
        <v>370</v>
      </c>
      <c r="M197">
        <v>260</v>
      </c>
      <c r="N197">
        <v>5325</v>
      </c>
    </row>
    <row r="198" spans="1:14" x14ac:dyDescent="0.25">
      <c r="A198" s="35" t="s">
        <v>540</v>
      </c>
      <c r="C198">
        <v>55</v>
      </c>
      <c r="E198">
        <v>55</v>
      </c>
      <c r="I198">
        <v>55</v>
      </c>
      <c r="N198">
        <v>165</v>
      </c>
    </row>
    <row r="199" spans="1:14" x14ac:dyDescent="0.25">
      <c r="A199" s="35" t="s">
        <v>25</v>
      </c>
      <c r="B199">
        <v>580</v>
      </c>
      <c r="C199">
        <v>490</v>
      </c>
      <c r="D199">
        <v>570</v>
      </c>
      <c r="E199">
        <v>540</v>
      </c>
      <c r="F199">
        <v>505</v>
      </c>
      <c r="G199">
        <v>210</v>
      </c>
      <c r="H199">
        <v>355</v>
      </c>
      <c r="I199">
        <v>450</v>
      </c>
      <c r="J199">
        <v>500</v>
      </c>
      <c r="K199">
        <v>330</v>
      </c>
      <c r="L199">
        <v>370</v>
      </c>
      <c r="M199">
        <v>260</v>
      </c>
      <c r="N199">
        <v>5160</v>
      </c>
    </row>
    <row r="200" spans="1:14" x14ac:dyDescent="0.25">
      <c r="A200" s="34" t="s">
        <v>843</v>
      </c>
      <c r="B200">
        <v>110</v>
      </c>
      <c r="C200">
        <v>555</v>
      </c>
      <c r="D200">
        <v>250</v>
      </c>
      <c r="E200">
        <v>1640</v>
      </c>
      <c r="H200">
        <v>10</v>
      </c>
      <c r="I200">
        <v>2000</v>
      </c>
      <c r="J200">
        <v>250</v>
      </c>
      <c r="K200">
        <v>250</v>
      </c>
      <c r="N200">
        <v>5065</v>
      </c>
    </row>
    <row r="201" spans="1:14" x14ac:dyDescent="0.25">
      <c r="A201" s="35" t="s">
        <v>3392</v>
      </c>
      <c r="H201">
        <v>10</v>
      </c>
      <c r="N201">
        <v>10</v>
      </c>
    </row>
    <row r="202" spans="1:14" x14ac:dyDescent="0.25">
      <c r="A202" s="35" t="s">
        <v>5754</v>
      </c>
      <c r="E202">
        <v>90</v>
      </c>
      <c r="N202">
        <v>90</v>
      </c>
    </row>
    <row r="203" spans="1:14" x14ac:dyDescent="0.25">
      <c r="A203" s="35" t="s">
        <v>845</v>
      </c>
      <c r="B203">
        <v>110</v>
      </c>
      <c r="C203">
        <v>55</v>
      </c>
      <c r="N203">
        <v>165</v>
      </c>
    </row>
    <row r="204" spans="1:14" x14ac:dyDescent="0.25">
      <c r="A204" s="35" t="s">
        <v>842</v>
      </c>
      <c r="C204">
        <v>500</v>
      </c>
      <c r="D204">
        <v>250</v>
      </c>
      <c r="E204">
        <v>1550</v>
      </c>
      <c r="I204">
        <v>2000</v>
      </c>
      <c r="J204">
        <v>250</v>
      </c>
      <c r="K204">
        <v>250</v>
      </c>
      <c r="N204">
        <v>4800</v>
      </c>
    </row>
    <row r="205" spans="1:14" x14ac:dyDescent="0.25">
      <c r="A205" s="49" t="s">
        <v>20</v>
      </c>
      <c r="B205">
        <v>820</v>
      </c>
      <c r="C205">
        <v>490</v>
      </c>
      <c r="D205">
        <v>415</v>
      </c>
      <c r="E205">
        <v>665</v>
      </c>
      <c r="F205">
        <v>345</v>
      </c>
      <c r="G205">
        <v>390</v>
      </c>
      <c r="H205">
        <v>95</v>
      </c>
      <c r="I205">
        <v>240</v>
      </c>
      <c r="J205">
        <v>360</v>
      </c>
      <c r="K205">
        <v>535</v>
      </c>
      <c r="L205">
        <v>260</v>
      </c>
      <c r="M205">
        <v>435</v>
      </c>
      <c r="N205">
        <v>5050</v>
      </c>
    </row>
    <row r="206" spans="1:14" x14ac:dyDescent="0.25">
      <c r="A206" s="35" t="s">
        <v>69</v>
      </c>
      <c r="D206">
        <v>30</v>
      </c>
      <c r="F206">
        <v>30</v>
      </c>
      <c r="N206">
        <v>60</v>
      </c>
    </row>
    <row r="207" spans="1:14" x14ac:dyDescent="0.25">
      <c r="A207" s="35" t="s">
        <v>566</v>
      </c>
      <c r="B207">
        <v>330</v>
      </c>
      <c r="C207">
        <v>165</v>
      </c>
      <c r="D207">
        <v>110</v>
      </c>
      <c r="E207">
        <v>385</v>
      </c>
      <c r="F207">
        <v>55</v>
      </c>
      <c r="G207">
        <v>165</v>
      </c>
      <c r="H207">
        <v>55</v>
      </c>
      <c r="I207">
        <v>55</v>
      </c>
      <c r="J207">
        <v>220</v>
      </c>
      <c r="K207">
        <v>165</v>
      </c>
      <c r="L207">
        <v>165</v>
      </c>
      <c r="M207">
        <v>165</v>
      </c>
      <c r="N207">
        <v>2035</v>
      </c>
    </row>
    <row r="208" spans="1:14" x14ac:dyDescent="0.25">
      <c r="A208" s="35" t="s">
        <v>19</v>
      </c>
      <c r="B208">
        <v>490</v>
      </c>
      <c r="C208">
        <v>325</v>
      </c>
      <c r="D208">
        <v>275</v>
      </c>
      <c r="E208">
        <v>280</v>
      </c>
      <c r="F208">
        <v>260</v>
      </c>
      <c r="G208">
        <v>225</v>
      </c>
      <c r="H208">
        <v>40</v>
      </c>
      <c r="I208">
        <v>185</v>
      </c>
      <c r="J208">
        <v>140</v>
      </c>
      <c r="K208">
        <v>370</v>
      </c>
      <c r="L208">
        <v>95</v>
      </c>
      <c r="M208">
        <v>270</v>
      </c>
      <c r="N208">
        <v>2955</v>
      </c>
    </row>
    <row r="209" spans="1:14" x14ac:dyDescent="0.25">
      <c r="A209" s="34" t="s">
        <v>1267</v>
      </c>
      <c r="B209">
        <v>30</v>
      </c>
      <c r="C209">
        <v>600</v>
      </c>
      <c r="D209">
        <v>210</v>
      </c>
      <c r="E209">
        <v>1050</v>
      </c>
      <c r="F209">
        <v>30</v>
      </c>
      <c r="G209">
        <v>370</v>
      </c>
      <c r="H209">
        <v>300</v>
      </c>
      <c r="I209">
        <v>1280</v>
      </c>
      <c r="J209">
        <v>670</v>
      </c>
      <c r="K209">
        <v>190</v>
      </c>
      <c r="N209">
        <v>4730</v>
      </c>
    </row>
    <row r="210" spans="1:14" x14ac:dyDescent="0.25">
      <c r="A210" s="35" t="s">
        <v>5684</v>
      </c>
      <c r="C210">
        <v>240</v>
      </c>
      <c r="E210">
        <v>120</v>
      </c>
      <c r="G210">
        <v>120</v>
      </c>
      <c r="H210">
        <v>120</v>
      </c>
      <c r="J210">
        <v>240</v>
      </c>
      <c r="N210">
        <v>840</v>
      </c>
    </row>
    <row r="211" spans="1:14" x14ac:dyDescent="0.25">
      <c r="A211" s="35" t="s">
        <v>1266</v>
      </c>
      <c r="B211">
        <v>30</v>
      </c>
      <c r="C211">
        <v>360</v>
      </c>
      <c r="D211">
        <v>210</v>
      </c>
      <c r="E211">
        <v>180</v>
      </c>
      <c r="F211">
        <v>30</v>
      </c>
      <c r="H211">
        <v>180</v>
      </c>
      <c r="I211">
        <v>30</v>
      </c>
      <c r="J211">
        <v>180</v>
      </c>
      <c r="K211">
        <v>190</v>
      </c>
      <c r="N211">
        <v>1390</v>
      </c>
    </row>
    <row r="212" spans="1:14" x14ac:dyDescent="0.25">
      <c r="A212" s="35" t="s">
        <v>8349</v>
      </c>
      <c r="E212">
        <v>750</v>
      </c>
      <c r="G212">
        <v>250</v>
      </c>
      <c r="I212">
        <v>1250</v>
      </c>
      <c r="J212">
        <v>250</v>
      </c>
      <c r="N212">
        <v>2500</v>
      </c>
    </row>
    <row r="213" spans="1:14" x14ac:dyDescent="0.25">
      <c r="A213" s="50" t="s">
        <v>3382</v>
      </c>
      <c r="E213">
        <v>500</v>
      </c>
      <c r="F213">
        <v>250</v>
      </c>
      <c r="G213">
        <v>250</v>
      </c>
      <c r="H213">
        <v>2750</v>
      </c>
      <c r="I213">
        <v>775</v>
      </c>
      <c r="N213">
        <v>4525</v>
      </c>
    </row>
    <row r="214" spans="1:14" x14ac:dyDescent="0.25">
      <c r="A214" s="35" t="s">
        <v>6392</v>
      </c>
      <c r="I214">
        <v>275</v>
      </c>
      <c r="N214">
        <v>275</v>
      </c>
    </row>
    <row r="215" spans="1:14" x14ac:dyDescent="0.25">
      <c r="A215" s="35" t="s">
        <v>3381</v>
      </c>
      <c r="E215">
        <v>500</v>
      </c>
      <c r="F215">
        <v>250</v>
      </c>
      <c r="G215">
        <v>250</v>
      </c>
      <c r="H215">
        <v>2750</v>
      </c>
      <c r="I215">
        <v>500</v>
      </c>
      <c r="N215">
        <v>4250</v>
      </c>
    </row>
    <row r="216" spans="1:14" x14ac:dyDescent="0.25">
      <c r="A216" s="34" t="s">
        <v>3525</v>
      </c>
      <c r="B216">
        <v>60</v>
      </c>
      <c r="C216">
        <v>1435</v>
      </c>
      <c r="D216">
        <v>560</v>
      </c>
      <c r="E216">
        <v>250</v>
      </c>
      <c r="F216">
        <v>150</v>
      </c>
      <c r="H216">
        <v>120</v>
      </c>
      <c r="I216">
        <v>580</v>
      </c>
      <c r="J216">
        <v>395</v>
      </c>
      <c r="K216">
        <v>550</v>
      </c>
      <c r="L216">
        <v>60</v>
      </c>
      <c r="M216">
        <v>310</v>
      </c>
      <c r="N216">
        <v>4470</v>
      </c>
    </row>
    <row r="217" spans="1:14" x14ac:dyDescent="0.25">
      <c r="A217" s="35" t="s">
        <v>6387</v>
      </c>
      <c r="I217">
        <v>55</v>
      </c>
      <c r="N217">
        <v>55</v>
      </c>
    </row>
    <row r="218" spans="1:14" x14ac:dyDescent="0.25">
      <c r="A218" s="35" t="s">
        <v>3917</v>
      </c>
      <c r="B218">
        <v>60</v>
      </c>
      <c r="C218">
        <v>60</v>
      </c>
      <c r="D218">
        <v>60</v>
      </c>
      <c r="F218">
        <v>150</v>
      </c>
      <c r="H218">
        <v>120</v>
      </c>
      <c r="J218">
        <v>120</v>
      </c>
      <c r="K218">
        <v>300</v>
      </c>
      <c r="L218">
        <v>60</v>
      </c>
      <c r="M218">
        <v>60</v>
      </c>
      <c r="N218">
        <v>990</v>
      </c>
    </row>
    <row r="219" spans="1:14" x14ac:dyDescent="0.25">
      <c r="A219" s="35" t="s">
        <v>3524</v>
      </c>
      <c r="C219">
        <v>1375</v>
      </c>
      <c r="D219">
        <v>500</v>
      </c>
      <c r="E219">
        <v>250</v>
      </c>
      <c r="I219">
        <v>525</v>
      </c>
      <c r="J219">
        <v>275</v>
      </c>
      <c r="K219">
        <v>250</v>
      </c>
      <c r="M219">
        <v>250</v>
      </c>
      <c r="N219">
        <v>3425</v>
      </c>
    </row>
    <row r="220" spans="1:14" x14ac:dyDescent="0.25">
      <c r="A220" s="34" t="s">
        <v>2617</v>
      </c>
      <c r="E220">
        <v>2710</v>
      </c>
      <c r="F220">
        <v>1620</v>
      </c>
      <c r="N220">
        <v>4330</v>
      </c>
    </row>
    <row r="221" spans="1:14" x14ac:dyDescent="0.25">
      <c r="A221" s="35" t="s">
        <v>2616</v>
      </c>
      <c r="E221">
        <v>210</v>
      </c>
      <c r="F221">
        <v>120</v>
      </c>
      <c r="N221">
        <v>330</v>
      </c>
    </row>
    <row r="222" spans="1:14" x14ac:dyDescent="0.25">
      <c r="A222" s="35" t="s">
        <v>2620</v>
      </c>
      <c r="E222">
        <v>2500</v>
      </c>
      <c r="F222">
        <v>1500</v>
      </c>
      <c r="N222">
        <v>4000</v>
      </c>
    </row>
    <row r="223" spans="1:14" x14ac:dyDescent="0.25">
      <c r="A223" s="50" t="s">
        <v>7644</v>
      </c>
      <c r="C223">
        <v>1650</v>
      </c>
      <c r="D223">
        <v>1375</v>
      </c>
      <c r="H223">
        <v>550</v>
      </c>
      <c r="I223">
        <v>550</v>
      </c>
      <c r="N223">
        <v>4125</v>
      </c>
    </row>
    <row r="224" spans="1:14" x14ac:dyDescent="0.25">
      <c r="A224" s="35" t="s">
        <v>7643</v>
      </c>
      <c r="C224">
        <v>1650</v>
      </c>
      <c r="D224">
        <v>1375</v>
      </c>
      <c r="H224">
        <v>550</v>
      </c>
      <c r="I224">
        <v>550</v>
      </c>
      <c r="N224">
        <v>4125</v>
      </c>
    </row>
    <row r="225" spans="1:14" x14ac:dyDescent="0.25">
      <c r="A225" s="50" t="s">
        <v>5197</v>
      </c>
      <c r="B225" s="51"/>
      <c r="C225" s="51"/>
      <c r="D225" s="51">
        <v>3890</v>
      </c>
      <c r="E225" s="51"/>
      <c r="F225" s="51"/>
      <c r="G225" s="51"/>
      <c r="H225" s="51"/>
      <c r="I225" s="51"/>
      <c r="J225" s="51"/>
      <c r="K225" s="51"/>
      <c r="L225" s="51"/>
      <c r="M225" s="51"/>
      <c r="N225" s="51">
        <v>3890</v>
      </c>
    </row>
    <row r="226" spans="1:14" x14ac:dyDescent="0.25">
      <c r="A226" s="35" t="s">
        <v>143</v>
      </c>
      <c r="D226">
        <v>3890</v>
      </c>
      <c r="N226">
        <v>3890</v>
      </c>
    </row>
    <row r="227" spans="1:14" x14ac:dyDescent="0.25">
      <c r="A227" s="34" t="s">
        <v>2139</v>
      </c>
      <c r="C227">
        <v>250</v>
      </c>
      <c r="D227">
        <v>1325</v>
      </c>
      <c r="E227">
        <v>10</v>
      </c>
      <c r="F227">
        <v>1375</v>
      </c>
      <c r="H227">
        <v>500</v>
      </c>
      <c r="I227">
        <v>375</v>
      </c>
      <c r="N227">
        <v>3835</v>
      </c>
    </row>
    <row r="228" spans="1:14" x14ac:dyDescent="0.25">
      <c r="A228" s="35" t="s">
        <v>5443</v>
      </c>
      <c r="D228">
        <v>75</v>
      </c>
      <c r="E228">
        <v>10</v>
      </c>
      <c r="F228">
        <v>125</v>
      </c>
      <c r="I228">
        <v>125</v>
      </c>
      <c r="N228">
        <v>335</v>
      </c>
    </row>
    <row r="229" spans="1:14" x14ac:dyDescent="0.25">
      <c r="A229" s="35" t="s">
        <v>2138</v>
      </c>
      <c r="C229">
        <v>250</v>
      </c>
      <c r="D229">
        <v>1250</v>
      </c>
      <c r="F229">
        <v>1250</v>
      </c>
      <c r="H229">
        <v>500</v>
      </c>
      <c r="I229">
        <v>250</v>
      </c>
      <c r="N229">
        <v>3500</v>
      </c>
    </row>
    <row r="230" spans="1:14" x14ac:dyDescent="0.25">
      <c r="A230" s="50" t="s">
        <v>2579</v>
      </c>
      <c r="E230">
        <v>3800</v>
      </c>
      <c r="N230">
        <v>3800</v>
      </c>
    </row>
    <row r="231" spans="1:14" x14ac:dyDescent="0.25">
      <c r="A231" s="35" t="s">
        <v>143</v>
      </c>
      <c r="E231">
        <v>3800</v>
      </c>
      <c r="N231">
        <v>3800</v>
      </c>
    </row>
    <row r="232" spans="1:14" x14ac:dyDescent="0.25">
      <c r="A232" s="50" t="s">
        <v>555</v>
      </c>
      <c r="C232">
        <v>425</v>
      </c>
      <c r="D232">
        <v>1525</v>
      </c>
      <c r="E232">
        <v>500</v>
      </c>
      <c r="F232">
        <v>750</v>
      </c>
      <c r="G232">
        <v>252.5</v>
      </c>
      <c r="J232">
        <v>110</v>
      </c>
      <c r="K232">
        <v>110</v>
      </c>
      <c r="N232">
        <v>3672.5</v>
      </c>
    </row>
    <row r="233" spans="1:14" x14ac:dyDescent="0.25">
      <c r="A233" s="35" t="s">
        <v>3900</v>
      </c>
      <c r="J233">
        <v>110</v>
      </c>
      <c r="K233">
        <v>110</v>
      </c>
      <c r="N233">
        <v>220</v>
      </c>
    </row>
    <row r="234" spans="1:14" x14ac:dyDescent="0.25">
      <c r="A234" s="35" t="s">
        <v>4873</v>
      </c>
      <c r="C234">
        <v>425</v>
      </c>
      <c r="D234">
        <v>25</v>
      </c>
      <c r="G234">
        <v>2.5</v>
      </c>
      <c r="N234">
        <v>452.5</v>
      </c>
    </row>
    <row r="235" spans="1:14" x14ac:dyDescent="0.25">
      <c r="A235" s="35" t="s">
        <v>554</v>
      </c>
      <c r="D235">
        <v>1500</v>
      </c>
      <c r="E235">
        <v>500</v>
      </c>
      <c r="F235">
        <v>750</v>
      </c>
      <c r="G235">
        <v>250</v>
      </c>
      <c r="N235">
        <v>3000</v>
      </c>
    </row>
    <row r="236" spans="1:14" x14ac:dyDescent="0.25">
      <c r="A236" s="50" t="s">
        <v>9037</v>
      </c>
      <c r="I236">
        <v>3470</v>
      </c>
      <c r="N236">
        <v>3470</v>
      </c>
    </row>
    <row r="237" spans="1:14" x14ac:dyDescent="0.25">
      <c r="A237" s="35" t="s">
        <v>9036</v>
      </c>
      <c r="I237">
        <v>220</v>
      </c>
      <c r="N237">
        <v>220</v>
      </c>
    </row>
    <row r="238" spans="1:14" x14ac:dyDescent="0.25">
      <c r="A238" s="35" t="s">
        <v>9039</v>
      </c>
      <c r="I238">
        <v>3250</v>
      </c>
      <c r="N238">
        <v>3250</v>
      </c>
    </row>
    <row r="239" spans="1:14" x14ac:dyDescent="0.25">
      <c r="A239" s="34" t="s">
        <v>547</v>
      </c>
      <c r="B239">
        <v>130</v>
      </c>
      <c r="C239">
        <v>220</v>
      </c>
      <c r="D239">
        <v>975</v>
      </c>
      <c r="E239">
        <v>570</v>
      </c>
      <c r="F239">
        <v>490</v>
      </c>
      <c r="G239">
        <v>110</v>
      </c>
      <c r="H239">
        <v>180</v>
      </c>
      <c r="I239">
        <v>55</v>
      </c>
      <c r="J239">
        <v>180</v>
      </c>
      <c r="K239">
        <v>360</v>
      </c>
      <c r="L239">
        <v>35</v>
      </c>
      <c r="M239">
        <v>40</v>
      </c>
      <c r="N239">
        <v>3345</v>
      </c>
    </row>
    <row r="240" spans="1:14" x14ac:dyDescent="0.25">
      <c r="A240" s="35" t="s">
        <v>8235</v>
      </c>
      <c r="D240">
        <v>60</v>
      </c>
      <c r="N240">
        <v>60</v>
      </c>
    </row>
    <row r="241" spans="1:14" x14ac:dyDescent="0.25">
      <c r="A241" s="35" t="s">
        <v>546</v>
      </c>
      <c r="G241">
        <v>110</v>
      </c>
      <c r="I241">
        <v>55</v>
      </c>
      <c r="K241">
        <v>110</v>
      </c>
      <c r="N241">
        <v>275</v>
      </c>
    </row>
    <row r="242" spans="1:14" x14ac:dyDescent="0.25">
      <c r="A242" s="35" t="s">
        <v>2544</v>
      </c>
      <c r="D242">
        <v>750</v>
      </c>
      <c r="E242">
        <v>250</v>
      </c>
      <c r="F242">
        <v>250</v>
      </c>
      <c r="K242">
        <v>250</v>
      </c>
      <c r="N242">
        <v>1500</v>
      </c>
    </row>
    <row r="243" spans="1:14" x14ac:dyDescent="0.25">
      <c r="A243" s="52" t="s">
        <v>2447</v>
      </c>
      <c r="B243">
        <v>130</v>
      </c>
      <c r="C243">
        <v>220</v>
      </c>
      <c r="D243">
        <v>165</v>
      </c>
      <c r="E243">
        <v>320</v>
      </c>
      <c r="F243">
        <v>240</v>
      </c>
      <c r="H243">
        <v>180</v>
      </c>
      <c r="J243">
        <v>180</v>
      </c>
      <c r="L243">
        <v>35</v>
      </c>
      <c r="M243">
        <v>40</v>
      </c>
      <c r="N243">
        <v>1510</v>
      </c>
    </row>
    <row r="244" spans="1:14" x14ac:dyDescent="0.25">
      <c r="A244" s="34" t="s">
        <v>545</v>
      </c>
      <c r="C244">
        <v>860</v>
      </c>
      <c r="D244">
        <v>850</v>
      </c>
      <c r="E244">
        <v>730</v>
      </c>
      <c r="F244">
        <v>255</v>
      </c>
      <c r="G244">
        <v>112.5</v>
      </c>
      <c r="I244">
        <v>235</v>
      </c>
      <c r="J244">
        <v>180</v>
      </c>
      <c r="K244">
        <v>110</v>
      </c>
      <c r="N244">
        <v>3332.5</v>
      </c>
    </row>
    <row r="245" spans="1:14" x14ac:dyDescent="0.25">
      <c r="A245" s="35" t="s">
        <v>8236</v>
      </c>
      <c r="D245">
        <v>60</v>
      </c>
      <c r="N245">
        <v>60</v>
      </c>
    </row>
    <row r="246" spans="1:14" x14ac:dyDescent="0.25">
      <c r="A246" s="35" t="s">
        <v>544</v>
      </c>
      <c r="G246">
        <v>110</v>
      </c>
      <c r="I246">
        <v>55</v>
      </c>
      <c r="K246">
        <v>110</v>
      </c>
      <c r="N246">
        <v>275</v>
      </c>
    </row>
    <row r="247" spans="1:14" x14ac:dyDescent="0.25">
      <c r="A247" s="35" t="s">
        <v>2543</v>
      </c>
      <c r="D247">
        <v>500</v>
      </c>
      <c r="E247">
        <v>250</v>
      </c>
      <c r="F247">
        <v>250</v>
      </c>
      <c r="N247">
        <v>1000</v>
      </c>
    </row>
    <row r="248" spans="1:14" x14ac:dyDescent="0.25">
      <c r="A248" s="52" t="s">
        <v>816</v>
      </c>
      <c r="C248">
        <v>860</v>
      </c>
      <c r="D248">
        <v>290</v>
      </c>
      <c r="E248">
        <v>480</v>
      </c>
      <c r="F248">
        <v>5</v>
      </c>
      <c r="G248">
        <v>2.5</v>
      </c>
      <c r="I248">
        <v>180</v>
      </c>
      <c r="J248">
        <v>180</v>
      </c>
      <c r="N248">
        <v>1997.5</v>
      </c>
    </row>
    <row r="249" spans="1:14" x14ac:dyDescent="0.25">
      <c r="A249" s="34" t="s">
        <v>4275</v>
      </c>
      <c r="B249">
        <v>750</v>
      </c>
      <c r="C249">
        <v>500</v>
      </c>
      <c r="K249">
        <v>1300</v>
      </c>
      <c r="L249">
        <v>500</v>
      </c>
      <c r="M249">
        <v>250</v>
      </c>
      <c r="N249">
        <v>3300</v>
      </c>
    </row>
    <row r="250" spans="1:14" x14ac:dyDescent="0.25">
      <c r="A250" s="35" t="s">
        <v>3937</v>
      </c>
      <c r="B250">
        <v>750</v>
      </c>
      <c r="C250">
        <v>500</v>
      </c>
      <c r="K250">
        <v>1300</v>
      </c>
      <c r="L250">
        <v>500</v>
      </c>
      <c r="M250">
        <v>250</v>
      </c>
      <c r="N250">
        <v>3300</v>
      </c>
    </row>
    <row r="251" spans="1:14" x14ac:dyDescent="0.25">
      <c r="A251" s="34" t="s">
        <v>84</v>
      </c>
      <c r="B251">
        <v>580</v>
      </c>
      <c r="C251">
        <v>220</v>
      </c>
      <c r="D251">
        <v>290</v>
      </c>
      <c r="E251">
        <v>220</v>
      </c>
      <c r="F251">
        <v>400</v>
      </c>
      <c r="G251">
        <v>70</v>
      </c>
      <c r="H251">
        <v>245</v>
      </c>
      <c r="I251">
        <v>585</v>
      </c>
      <c r="J251">
        <v>60</v>
      </c>
      <c r="K251">
        <v>260</v>
      </c>
      <c r="L251">
        <v>55</v>
      </c>
      <c r="M251">
        <v>315</v>
      </c>
      <c r="N251">
        <v>3300</v>
      </c>
    </row>
    <row r="252" spans="1:14" x14ac:dyDescent="0.25">
      <c r="A252" s="35" t="s">
        <v>1786</v>
      </c>
      <c r="B252">
        <v>110</v>
      </c>
      <c r="C252">
        <v>220</v>
      </c>
      <c r="E252">
        <v>220</v>
      </c>
      <c r="F252">
        <v>55</v>
      </c>
      <c r="G252">
        <v>55</v>
      </c>
      <c r="H252">
        <v>165</v>
      </c>
      <c r="I252">
        <v>165</v>
      </c>
      <c r="J252">
        <v>55</v>
      </c>
      <c r="K252">
        <v>110</v>
      </c>
      <c r="L252">
        <v>55</v>
      </c>
      <c r="M252">
        <v>165</v>
      </c>
      <c r="N252">
        <v>1375</v>
      </c>
    </row>
    <row r="253" spans="1:14" x14ac:dyDescent="0.25">
      <c r="A253" s="35" t="s">
        <v>83</v>
      </c>
      <c r="B253">
        <v>470</v>
      </c>
      <c r="D253">
        <v>290</v>
      </c>
      <c r="F253">
        <v>345</v>
      </c>
      <c r="G253">
        <v>15</v>
      </c>
      <c r="H253">
        <v>80</v>
      </c>
      <c r="I253">
        <v>420</v>
      </c>
      <c r="J253">
        <v>5</v>
      </c>
      <c r="K253">
        <v>150</v>
      </c>
      <c r="M253">
        <v>150</v>
      </c>
      <c r="N253">
        <v>1925</v>
      </c>
    </row>
    <row r="254" spans="1:14" x14ac:dyDescent="0.25">
      <c r="A254" s="34" t="s">
        <v>818</v>
      </c>
      <c r="C254">
        <v>370</v>
      </c>
      <c r="D254">
        <v>25</v>
      </c>
      <c r="E254">
        <v>2120</v>
      </c>
      <c r="G254">
        <v>360</v>
      </c>
      <c r="I254">
        <v>180</v>
      </c>
      <c r="J254">
        <v>180</v>
      </c>
      <c r="L254">
        <v>20</v>
      </c>
      <c r="M254">
        <v>2.5</v>
      </c>
      <c r="N254">
        <v>3257.5</v>
      </c>
    </row>
    <row r="255" spans="1:14" x14ac:dyDescent="0.25">
      <c r="A255" s="35" t="s">
        <v>5741</v>
      </c>
      <c r="E255">
        <v>260</v>
      </c>
      <c r="N255">
        <v>260</v>
      </c>
    </row>
    <row r="256" spans="1:14" x14ac:dyDescent="0.25">
      <c r="A256" s="35" t="s">
        <v>817</v>
      </c>
      <c r="C256">
        <v>370</v>
      </c>
      <c r="D256">
        <v>25</v>
      </c>
      <c r="E256">
        <v>1860</v>
      </c>
      <c r="G256">
        <v>360</v>
      </c>
      <c r="I256">
        <v>180</v>
      </c>
      <c r="J256">
        <v>180</v>
      </c>
      <c r="L256">
        <v>20</v>
      </c>
      <c r="M256">
        <v>2.5</v>
      </c>
      <c r="N256">
        <v>2997.5</v>
      </c>
    </row>
    <row r="257" spans="1:14" x14ac:dyDescent="0.25">
      <c r="A257" s="34" t="s">
        <v>6426</v>
      </c>
      <c r="J257">
        <v>3240</v>
      </c>
      <c r="N257">
        <v>3240</v>
      </c>
    </row>
    <row r="258" spans="1:14" x14ac:dyDescent="0.25">
      <c r="A258" s="35" t="s">
        <v>143</v>
      </c>
      <c r="J258">
        <v>3240</v>
      </c>
      <c r="N258">
        <v>3240</v>
      </c>
    </row>
    <row r="259" spans="1:14" x14ac:dyDescent="0.25">
      <c r="A259" s="34" t="s">
        <v>1190</v>
      </c>
      <c r="B259">
        <v>860</v>
      </c>
      <c r="C259">
        <v>1040</v>
      </c>
      <c r="D259">
        <v>430</v>
      </c>
      <c r="E259">
        <v>430</v>
      </c>
      <c r="F259">
        <v>180</v>
      </c>
      <c r="M259">
        <v>180</v>
      </c>
      <c r="N259">
        <v>3120</v>
      </c>
    </row>
    <row r="260" spans="1:14" x14ac:dyDescent="0.25">
      <c r="A260" s="35" t="s">
        <v>1189</v>
      </c>
      <c r="B260">
        <v>500</v>
      </c>
      <c r="C260">
        <v>500</v>
      </c>
      <c r="D260">
        <v>250</v>
      </c>
      <c r="E260">
        <v>250</v>
      </c>
      <c r="N260">
        <v>1500</v>
      </c>
    </row>
    <row r="261" spans="1:14" x14ac:dyDescent="0.25">
      <c r="A261" s="35" t="s">
        <v>137</v>
      </c>
      <c r="B261">
        <v>360</v>
      </c>
      <c r="C261">
        <v>540</v>
      </c>
      <c r="D261">
        <v>180</v>
      </c>
      <c r="E261">
        <v>180</v>
      </c>
      <c r="F261">
        <v>180</v>
      </c>
      <c r="M261">
        <v>180</v>
      </c>
      <c r="N261">
        <v>1620</v>
      </c>
    </row>
    <row r="262" spans="1:14" x14ac:dyDescent="0.25">
      <c r="A262" s="34" t="s">
        <v>5157</v>
      </c>
      <c r="D262">
        <v>2975</v>
      </c>
      <c r="N262">
        <v>2975</v>
      </c>
    </row>
    <row r="263" spans="1:14" x14ac:dyDescent="0.25">
      <c r="A263" s="35" t="s">
        <v>143</v>
      </c>
      <c r="D263">
        <v>2975</v>
      </c>
      <c r="N263">
        <v>2975</v>
      </c>
    </row>
    <row r="264" spans="1:14" x14ac:dyDescent="0.25">
      <c r="A264" s="34" t="s">
        <v>1644</v>
      </c>
      <c r="B264">
        <v>5</v>
      </c>
      <c r="E264">
        <v>887.5</v>
      </c>
      <c r="F264">
        <v>485</v>
      </c>
      <c r="G264">
        <v>300</v>
      </c>
      <c r="H264">
        <v>555</v>
      </c>
      <c r="I264">
        <v>180</v>
      </c>
      <c r="J264">
        <v>540</v>
      </c>
      <c r="N264">
        <v>2952.5</v>
      </c>
    </row>
    <row r="265" spans="1:14" x14ac:dyDescent="0.25">
      <c r="A265" s="35" t="s">
        <v>6203</v>
      </c>
      <c r="H265">
        <v>55</v>
      </c>
      <c r="N265">
        <v>55</v>
      </c>
    </row>
    <row r="266" spans="1:14" x14ac:dyDescent="0.25">
      <c r="A266" s="35" t="s">
        <v>1643</v>
      </c>
      <c r="B266">
        <v>5</v>
      </c>
      <c r="E266">
        <v>387.5</v>
      </c>
      <c r="F266">
        <v>235</v>
      </c>
      <c r="G266">
        <v>50</v>
      </c>
      <c r="I266">
        <v>180</v>
      </c>
      <c r="J266">
        <v>540</v>
      </c>
      <c r="N266">
        <v>1397.5</v>
      </c>
    </row>
    <row r="267" spans="1:14" x14ac:dyDescent="0.25">
      <c r="A267" s="35" t="s">
        <v>2600</v>
      </c>
      <c r="E267">
        <v>500</v>
      </c>
      <c r="F267">
        <v>250</v>
      </c>
      <c r="G267">
        <v>250</v>
      </c>
      <c r="H267">
        <v>500</v>
      </c>
      <c r="N267">
        <v>1500</v>
      </c>
    </row>
    <row r="268" spans="1:14" x14ac:dyDescent="0.25">
      <c r="A268" s="34" t="s">
        <v>472</v>
      </c>
      <c r="B268">
        <v>530</v>
      </c>
      <c r="C268">
        <v>210</v>
      </c>
      <c r="D268">
        <v>60</v>
      </c>
      <c r="E268">
        <v>750</v>
      </c>
      <c r="G268">
        <v>360</v>
      </c>
      <c r="H268">
        <v>60</v>
      </c>
      <c r="I268">
        <v>100</v>
      </c>
      <c r="J268">
        <v>115</v>
      </c>
      <c r="K268">
        <v>60</v>
      </c>
      <c r="L268">
        <v>420</v>
      </c>
      <c r="M268">
        <v>275</v>
      </c>
      <c r="N268">
        <v>2940</v>
      </c>
    </row>
    <row r="269" spans="1:14" x14ac:dyDescent="0.25">
      <c r="A269" s="35" t="s">
        <v>1014</v>
      </c>
      <c r="B269">
        <v>30</v>
      </c>
      <c r="C269">
        <v>210</v>
      </c>
      <c r="D269">
        <v>60</v>
      </c>
      <c r="G269">
        <v>360</v>
      </c>
      <c r="H269">
        <v>60</v>
      </c>
      <c r="I269">
        <v>100</v>
      </c>
      <c r="J269">
        <v>115</v>
      </c>
      <c r="K269">
        <v>60</v>
      </c>
      <c r="L269">
        <v>420</v>
      </c>
      <c r="M269">
        <v>25</v>
      </c>
      <c r="N269">
        <v>1440</v>
      </c>
    </row>
    <row r="270" spans="1:14" x14ac:dyDescent="0.25">
      <c r="A270" s="35" t="s">
        <v>471</v>
      </c>
      <c r="B270">
        <v>500</v>
      </c>
      <c r="E270">
        <v>750</v>
      </c>
      <c r="M270">
        <v>250</v>
      </c>
      <c r="N270">
        <v>1500</v>
      </c>
    </row>
    <row r="271" spans="1:14" x14ac:dyDescent="0.25">
      <c r="A271" s="34" t="s">
        <v>8707</v>
      </c>
      <c r="F271">
        <v>1440</v>
      </c>
      <c r="G271">
        <v>900</v>
      </c>
      <c r="H271">
        <v>360</v>
      </c>
      <c r="I271">
        <v>180</v>
      </c>
      <c r="N271">
        <v>2880</v>
      </c>
    </row>
    <row r="272" spans="1:14" x14ac:dyDescent="0.25">
      <c r="A272" s="35" t="s">
        <v>8706</v>
      </c>
      <c r="F272">
        <v>1440</v>
      </c>
      <c r="G272">
        <v>900</v>
      </c>
      <c r="H272">
        <v>360</v>
      </c>
      <c r="I272">
        <v>180</v>
      </c>
      <c r="N272">
        <v>2880</v>
      </c>
    </row>
    <row r="273" spans="1:14" x14ac:dyDescent="0.25">
      <c r="A273" s="34" t="s">
        <v>3503</v>
      </c>
      <c r="B273">
        <v>90</v>
      </c>
      <c r="C273">
        <v>240</v>
      </c>
      <c r="D273">
        <v>210</v>
      </c>
      <c r="E273">
        <v>150</v>
      </c>
      <c r="F273">
        <v>100</v>
      </c>
      <c r="G273">
        <v>610</v>
      </c>
      <c r="H273">
        <v>60</v>
      </c>
      <c r="I273">
        <v>490</v>
      </c>
      <c r="J273">
        <v>460</v>
      </c>
      <c r="K273">
        <v>90</v>
      </c>
      <c r="L273">
        <v>190</v>
      </c>
      <c r="M273">
        <v>150</v>
      </c>
      <c r="N273">
        <v>2840</v>
      </c>
    </row>
    <row r="274" spans="1:14" x14ac:dyDescent="0.25">
      <c r="A274" s="35" t="s">
        <v>5135</v>
      </c>
      <c r="C274">
        <v>30</v>
      </c>
      <c r="N274">
        <v>30</v>
      </c>
    </row>
    <row r="275" spans="1:14" x14ac:dyDescent="0.25">
      <c r="A275" s="35" t="s">
        <v>3502</v>
      </c>
      <c r="G275">
        <v>250</v>
      </c>
      <c r="I275">
        <v>250</v>
      </c>
      <c r="J275">
        <v>250</v>
      </c>
      <c r="N275">
        <v>750</v>
      </c>
    </row>
    <row r="276" spans="1:14" x14ac:dyDescent="0.25">
      <c r="A276" s="35" t="s">
        <v>2530</v>
      </c>
      <c r="B276">
        <v>90</v>
      </c>
      <c r="C276">
        <v>210</v>
      </c>
      <c r="D276">
        <v>210</v>
      </c>
      <c r="E276">
        <v>150</v>
      </c>
      <c r="F276">
        <v>100</v>
      </c>
      <c r="G276">
        <v>360</v>
      </c>
      <c r="H276">
        <v>60</v>
      </c>
      <c r="I276">
        <v>240</v>
      </c>
      <c r="J276">
        <v>210</v>
      </c>
      <c r="K276">
        <v>90</v>
      </c>
      <c r="L276">
        <v>190</v>
      </c>
      <c r="M276">
        <v>150</v>
      </c>
      <c r="N276">
        <v>2060</v>
      </c>
    </row>
    <row r="277" spans="1:14" x14ac:dyDescent="0.25">
      <c r="A277" s="34" t="s">
        <v>3506</v>
      </c>
      <c r="B277">
        <v>250</v>
      </c>
      <c r="C277">
        <v>250</v>
      </c>
      <c r="F277">
        <v>335</v>
      </c>
      <c r="I277">
        <v>115</v>
      </c>
      <c r="J277">
        <v>525</v>
      </c>
      <c r="K277">
        <v>500</v>
      </c>
      <c r="M277">
        <v>750</v>
      </c>
      <c r="N277">
        <v>2725</v>
      </c>
    </row>
    <row r="278" spans="1:14" x14ac:dyDescent="0.25">
      <c r="A278" s="35" t="s">
        <v>2973</v>
      </c>
      <c r="I278">
        <v>55</v>
      </c>
      <c r="N278">
        <v>55</v>
      </c>
    </row>
    <row r="279" spans="1:14" x14ac:dyDescent="0.25">
      <c r="A279" s="35" t="s">
        <v>1239</v>
      </c>
      <c r="F279">
        <v>335</v>
      </c>
      <c r="I279">
        <v>60</v>
      </c>
      <c r="N279">
        <v>395</v>
      </c>
    </row>
    <row r="280" spans="1:14" x14ac:dyDescent="0.25">
      <c r="A280" s="35" t="s">
        <v>3946</v>
      </c>
      <c r="B280">
        <v>250</v>
      </c>
      <c r="C280">
        <v>250</v>
      </c>
      <c r="J280">
        <v>525</v>
      </c>
      <c r="K280">
        <v>500</v>
      </c>
      <c r="M280">
        <v>750</v>
      </c>
      <c r="N280">
        <v>2275</v>
      </c>
    </row>
    <row r="281" spans="1:14" x14ac:dyDescent="0.25">
      <c r="A281" s="34" t="s">
        <v>3079</v>
      </c>
      <c r="C281">
        <v>540</v>
      </c>
      <c r="E281">
        <v>1080</v>
      </c>
      <c r="F281">
        <v>900</v>
      </c>
      <c r="H281">
        <v>180</v>
      </c>
      <c r="N281">
        <v>2700</v>
      </c>
    </row>
    <row r="282" spans="1:14" x14ac:dyDescent="0.25">
      <c r="A282" s="35" t="s">
        <v>3078</v>
      </c>
      <c r="C282">
        <v>540</v>
      </c>
      <c r="E282">
        <v>1080</v>
      </c>
      <c r="F282">
        <v>900</v>
      </c>
      <c r="H282">
        <v>180</v>
      </c>
      <c r="N282">
        <v>2700</v>
      </c>
    </row>
    <row r="283" spans="1:14" x14ac:dyDescent="0.25">
      <c r="A283" s="34" t="s">
        <v>3515</v>
      </c>
      <c r="B283">
        <v>60</v>
      </c>
      <c r="D283">
        <v>340</v>
      </c>
      <c r="E283">
        <v>60</v>
      </c>
      <c r="F283">
        <v>520</v>
      </c>
      <c r="G283">
        <v>120</v>
      </c>
      <c r="H283">
        <v>425</v>
      </c>
      <c r="I283">
        <v>520</v>
      </c>
      <c r="J283">
        <v>110</v>
      </c>
      <c r="K283">
        <v>120</v>
      </c>
      <c r="L283">
        <v>325</v>
      </c>
      <c r="N283">
        <v>2600</v>
      </c>
    </row>
    <row r="284" spans="1:14" x14ac:dyDescent="0.25">
      <c r="A284" s="35" t="s">
        <v>8979</v>
      </c>
      <c r="H284">
        <v>55</v>
      </c>
      <c r="N284">
        <v>55</v>
      </c>
    </row>
    <row r="285" spans="1:14" x14ac:dyDescent="0.25">
      <c r="A285" s="35" t="s">
        <v>3514</v>
      </c>
      <c r="D285">
        <v>250</v>
      </c>
      <c r="F285">
        <v>250</v>
      </c>
      <c r="H285">
        <v>250</v>
      </c>
      <c r="I285">
        <v>250</v>
      </c>
      <c r="L285">
        <v>250</v>
      </c>
      <c r="N285">
        <v>1250</v>
      </c>
    </row>
    <row r="286" spans="1:14" x14ac:dyDescent="0.25">
      <c r="A286" s="35" t="s">
        <v>5971</v>
      </c>
      <c r="B286">
        <v>60</v>
      </c>
      <c r="D286">
        <v>90</v>
      </c>
      <c r="E286">
        <v>60</v>
      </c>
      <c r="F286">
        <v>270</v>
      </c>
      <c r="G286">
        <v>120</v>
      </c>
      <c r="H286">
        <v>120</v>
      </c>
      <c r="I286">
        <v>270</v>
      </c>
      <c r="J286">
        <v>110</v>
      </c>
      <c r="K286">
        <v>120</v>
      </c>
      <c r="L286">
        <v>75</v>
      </c>
      <c r="N286">
        <v>1295</v>
      </c>
    </row>
    <row r="287" spans="1:14" x14ac:dyDescent="0.25">
      <c r="A287" s="34" t="s">
        <v>2630</v>
      </c>
      <c r="C287">
        <v>140</v>
      </c>
      <c r="D287">
        <v>350</v>
      </c>
      <c r="E287">
        <v>550</v>
      </c>
      <c r="F287">
        <v>210</v>
      </c>
      <c r="G287">
        <v>630</v>
      </c>
      <c r="H287">
        <v>140</v>
      </c>
      <c r="I287">
        <v>180</v>
      </c>
      <c r="J287">
        <v>145</v>
      </c>
      <c r="K287">
        <v>140</v>
      </c>
      <c r="L287">
        <v>70</v>
      </c>
      <c r="N287">
        <v>2555</v>
      </c>
    </row>
    <row r="288" spans="1:14" x14ac:dyDescent="0.25">
      <c r="A288" s="35" t="s">
        <v>2629</v>
      </c>
      <c r="C288">
        <v>140</v>
      </c>
      <c r="D288">
        <v>350</v>
      </c>
      <c r="E288">
        <v>550</v>
      </c>
      <c r="F288">
        <v>210</v>
      </c>
      <c r="G288">
        <v>630</v>
      </c>
      <c r="H288">
        <v>140</v>
      </c>
      <c r="I288">
        <v>180</v>
      </c>
      <c r="J288">
        <v>145</v>
      </c>
      <c r="K288">
        <v>140</v>
      </c>
      <c r="L288">
        <v>70</v>
      </c>
      <c r="N288">
        <v>2555</v>
      </c>
    </row>
    <row r="289" spans="1:14" x14ac:dyDescent="0.25">
      <c r="A289" s="34" t="s">
        <v>3244</v>
      </c>
      <c r="D289">
        <v>1100</v>
      </c>
      <c r="G289">
        <v>805</v>
      </c>
      <c r="I289">
        <v>250</v>
      </c>
      <c r="J289">
        <v>250</v>
      </c>
      <c r="K289">
        <v>50</v>
      </c>
      <c r="L289">
        <v>90</v>
      </c>
      <c r="N289">
        <v>2545</v>
      </c>
    </row>
    <row r="290" spans="1:14" x14ac:dyDescent="0.25">
      <c r="A290" s="35" t="s">
        <v>6166</v>
      </c>
      <c r="G290">
        <v>255</v>
      </c>
      <c r="K290">
        <v>50</v>
      </c>
      <c r="L290">
        <v>90</v>
      </c>
      <c r="N290">
        <v>395</v>
      </c>
    </row>
    <row r="291" spans="1:14" x14ac:dyDescent="0.25">
      <c r="A291" s="35" t="s">
        <v>3243</v>
      </c>
      <c r="D291">
        <v>1100</v>
      </c>
      <c r="G291">
        <v>550</v>
      </c>
      <c r="I291">
        <v>250</v>
      </c>
      <c r="J291">
        <v>250</v>
      </c>
      <c r="N291">
        <v>2150</v>
      </c>
    </row>
    <row r="292" spans="1:14" x14ac:dyDescent="0.25">
      <c r="A292" s="34" t="s">
        <v>150</v>
      </c>
      <c r="B292">
        <v>180</v>
      </c>
      <c r="C292">
        <v>455</v>
      </c>
      <c r="D292">
        <v>275</v>
      </c>
      <c r="F292">
        <v>360</v>
      </c>
      <c r="G292">
        <v>5</v>
      </c>
      <c r="H292">
        <v>180</v>
      </c>
      <c r="I292">
        <v>430</v>
      </c>
      <c r="J292">
        <v>415</v>
      </c>
      <c r="K292">
        <v>50</v>
      </c>
      <c r="L292">
        <v>180</v>
      </c>
      <c r="N292">
        <v>2530</v>
      </c>
    </row>
    <row r="293" spans="1:14" x14ac:dyDescent="0.25">
      <c r="A293" s="35" t="s">
        <v>6618</v>
      </c>
      <c r="K293">
        <v>30</v>
      </c>
      <c r="N293">
        <v>30</v>
      </c>
    </row>
    <row r="294" spans="1:14" x14ac:dyDescent="0.25">
      <c r="A294" s="35" t="s">
        <v>2539</v>
      </c>
      <c r="D294">
        <v>275</v>
      </c>
      <c r="I294">
        <v>55</v>
      </c>
      <c r="J294">
        <v>55</v>
      </c>
      <c r="N294">
        <v>385</v>
      </c>
    </row>
    <row r="295" spans="1:14" x14ac:dyDescent="0.25">
      <c r="A295" s="35" t="s">
        <v>149</v>
      </c>
      <c r="B295">
        <v>180</v>
      </c>
      <c r="C295">
        <v>455</v>
      </c>
      <c r="F295">
        <v>360</v>
      </c>
      <c r="G295">
        <v>5</v>
      </c>
      <c r="H295">
        <v>180</v>
      </c>
      <c r="I295">
        <v>375</v>
      </c>
      <c r="J295">
        <v>360</v>
      </c>
      <c r="K295">
        <v>20</v>
      </c>
      <c r="L295">
        <v>180</v>
      </c>
      <c r="N295">
        <v>2115</v>
      </c>
    </row>
    <row r="296" spans="1:14" x14ac:dyDescent="0.25">
      <c r="A296" s="34" t="s">
        <v>416</v>
      </c>
      <c r="B296">
        <v>65</v>
      </c>
      <c r="H296">
        <v>35</v>
      </c>
      <c r="J296">
        <v>530</v>
      </c>
      <c r="K296">
        <v>1505</v>
      </c>
      <c r="L296">
        <v>312.5</v>
      </c>
      <c r="N296">
        <v>2447.5</v>
      </c>
    </row>
    <row r="297" spans="1:14" x14ac:dyDescent="0.25">
      <c r="A297" s="35" t="s">
        <v>820</v>
      </c>
      <c r="B297">
        <v>5</v>
      </c>
      <c r="H297">
        <v>35</v>
      </c>
      <c r="K297">
        <v>5</v>
      </c>
      <c r="L297">
        <v>2.5</v>
      </c>
      <c r="N297">
        <v>47.5</v>
      </c>
    </row>
    <row r="298" spans="1:14" x14ac:dyDescent="0.25">
      <c r="A298" s="35" t="s">
        <v>415</v>
      </c>
      <c r="B298">
        <v>60</v>
      </c>
      <c r="J298">
        <v>30</v>
      </c>
      <c r="L298">
        <v>60</v>
      </c>
      <c r="N298">
        <v>150</v>
      </c>
    </row>
    <row r="299" spans="1:14" x14ac:dyDescent="0.25">
      <c r="A299" s="35" t="s">
        <v>3593</v>
      </c>
      <c r="J299">
        <v>500</v>
      </c>
      <c r="K299">
        <v>1500</v>
      </c>
      <c r="L299">
        <v>250</v>
      </c>
      <c r="N299">
        <v>2250</v>
      </c>
    </row>
    <row r="300" spans="1:14" x14ac:dyDescent="0.25">
      <c r="A300" s="34" t="s">
        <v>5470</v>
      </c>
      <c r="B300">
        <v>70</v>
      </c>
      <c r="C300">
        <v>102.5</v>
      </c>
      <c r="D300">
        <v>495</v>
      </c>
      <c r="E300">
        <v>130</v>
      </c>
      <c r="G300">
        <v>75</v>
      </c>
      <c r="H300">
        <v>390</v>
      </c>
      <c r="I300">
        <v>475</v>
      </c>
      <c r="J300">
        <v>160</v>
      </c>
      <c r="K300">
        <v>250</v>
      </c>
      <c r="L300">
        <v>231.5</v>
      </c>
      <c r="M300">
        <v>60</v>
      </c>
      <c r="N300">
        <v>2439</v>
      </c>
    </row>
    <row r="301" spans="1:14" x14ac:dyDescent="0.25">
      <c r="A301" s="35" t="s">
        <v>5469</v>
      </c>
      <c r="B301">
        <v>70</v>
      </c>
      <c r="C301">
        <v>102.5</v>
      </c>
      <c r="D301">
        <v>495</v>
      </c>
      <c r="E301">
        <v>130</v>
      </c>
      <c r="G301">
        <v>75</v>
      </c>
      <c r="H301">
        <v>390</v>
      </c>
      <c r="I301">
        <v>475</v>
      </c>
      <c r="J301">
        <v>160</v>
      </c>
      <c r="K301">
        <v>250</v>
      </c>
      <c r="L301">
        <v>231.5</v>
      </c>
      <c r="M301">
        <v>60</v>
      </c>
      <c r="N301">
        <v>2439</v>
      </c>
    </row>
    <row r="302" spans="1:14" x14ac:dyDescent="0.25">
      <c r="A302" s="34" t="s">
        <v>1151</v>
      </c>
      <c r="B302">
        <v>500</v>
      </c>
      <c r="C302">
        <v>810</v>
      </c>
      <c r="E302">
        <v>270</v>
      </c>
      <c r="L302">
        <v>250</v>
      </c>
      <c r="M302">
        <v>500</v>
      </c>
      <c r="N302">
        <v>2330</v>
      </c>
    </row>
    <row r="303" spans="1:14" x14ac:dyDescent="0.25">
      <c r="A303" s="35" t="s">
        <v>2714</v>
      </c>
      <c r="E303">
        <v>20</v>
      </c>
      <c r="N303">
        <v>20</v>
      </c>
    </row>
    <row r="304" spans="1:14" x14ac:dyDescent="0.25">
      <c r="A304" s="35" t="s">
        <v>1150</v>
      </c>
      <c r="C304">
        <v>60</v>
      </c>
      <c r="N304">
        <v>60</v>
      </c>
    </row>
    <row r="305" spans="1:14" x14ac:dyDescent="0.25">
      <c r="A305" s="35" t="s">
        <v>1204</v>
      </c>
      <c r="B305">
        <v>500</v>
      </c>
      <c r="C305">
        <v>750</v>
      </c>
      <c r="E305">
        <v>250</v>
      </c>
      <c r="L305">
        <v>250</v>
      </c>
      <c r="M305">
        <v>500</v>
      </c>
      <c r="N305">
        <v>2250</v>
      </c>
    </row>
    <row r="306" spans="1:14" x14ac:dyDescent="0.25">
      <c r="A306" s="34" t="s">
        <v>999</v>
      </c>
      <c r="B306">
        <v>310</v>
      </c>
      <c r="C306">
        <v>55</v>
      </c>
      <c r="E306">
        <v>160</v>
      </c>
      <c r="G306">
        <v>960</v>
      </c>
      <c r="H306">
        <v>115</v>
      </c>
      <c r="J306">
        <v>550</v>
      </c>
      <c r="K306">
        <v>30</v>
      </c>
      <c r="L306">
        <v>55</v>
      </c>
      <c r="M306">
        <v>85</v>
      </c>
      <c r="N306">
        <v>2320</v>
      </c>
    </row>
    <row r="307" spans="1:14" x14ac:dyDescent="0.25">
      <c r="A307" s="35" t="s">
        <v>4253</v>
      </c>
      <c r="G307">
        <v>150</v>
      </c>
      <c r="N307">
        <v>150</v>
      </c>
    </row>
    <row r="308" spans="1:14" x14ac:dyDescent="0.25">
      <c r="A308" s="35" t="s">
        <v>3188</v>
      </c>
      <c r="C308">
        <v>55</v>
      </c>
      <c r="G308">
        <v>55</v>
      </c>
      <c r="H308">
        <v>55</v>
      </c>
      <c r="J308">
        <v>165</v>
      </c>
      <c r="L308">
        <v>55</v>
      </c>
      <c r="M308">
        <v>55</v>
      </c>
      <c r="N308">
        <v>440</v>
      </c>
    </row>
    <row r="309" spans="1:14" x14ac:dyDescent="0.25">
      <c r="A309" s="35" t="s">
        <v>1085</v>
      </c>
      <c r="B309">
        <v>60</v>
      </c>
      <c r="E309">
        <v>160</v>
      </c>
      <c r="G309">
        <v>5</v>
      </c>
      <c r="H309">
        <v>60</v>
      </c>
      <c r="J309">
        <v>135</v>
      </c>
      <c r="K309">
        <v>30</v>
      </c>
      <c r="M309">
        <v>30</v>
      </c>
      <c r="N309">
        <v>480</v>
      </c>
    </row>
    <row r="310" spans="1:14" x14ac:dyDescent="0.25">
      <c r="A310" s="35" t="s">
        <v>998</v>
      </c>
      <c r="B310">
        <v>250</v>
      </c>
      <c r="G310">
        <v>750</v>
      </c>
      <c r="J310">
        <v>250</v>
      </c>
      <c r="N310">
        <v>1250</v>
      </c>
    </row>
    <row r="311" spans="1:14" x14ac:dyDescent="0.25">
      <c r="A311" s="34" t="s">
        <v>6380</v>
      </c>
      <c r="H311">
        <v>525</v>
      </c>
      <c r="I311">
        <v>585</v>
      </c>
      <c r="J311">
        <v>120</v>
      </c>
      <c r="K311">
        <v>500</v>
      </c>
      <c r="L311">
        <v>250</v>
      </c>
      <c r="M311">
        <v>310</v>
      </c>
      <c r="N311">
        <v>2290</v>
      </c>
    </row>
    <row r="312" spans="1:14" x14ac:dyDescent="0.25">
      <c r="A312" s="35" t="s">
        <v>39</v>
      </c>
      <c r="I312">
        <v>60</v>
      </c>
      <c r="J312">
        <v>120</v>
      </c>
      <c r="M312">
        <v>60</v>
      </c>
      <c r="N312">
        <v>240</v>
      </c>
    </row>
    <row r="313" spans="1:14" x14ac:dyDescent="0.25">
      <c r="A313" s="35" t="s">
        <v>3531</v>
      </c>
      <c r="H313">
        <v>525</v>
      </c>
      <c r="I313">
        <v>525</v>
      </c>
      <c r="K313">
        <v>500</v>
      </c>
      <c r="L313">
        <v>250</v>
      </c>
      <c r="M313">
        <v>250</v>
      </c>
      <c r="N313">
        <v>2050</v>
      </c>
    </row>
    <row r="314" spans="1:14" x14ac:dyDescent="0.25">
      <c r="A314" s="34" t="s">
        <v>6006</v>
      </c>
      <c r="B314">
        <v>150</v>
      </c>
      <c r="C314">
        <v>160</v>
      </c>
      <c r="D314">
        <v>170</v>
      </c>
      <c r="E314">
        <v>170</v>
      </c>
      <c r="F314">
        <v>160</v>
      </c>
      <c r="G314">
        <v>160</v>
      </c>
      <c r="H314">
        <v>270</v>
      </c>
      <c r="I314">
        <v>350</v>
      </c>
      <c r="J314">
        <v>340</v>
      </c>
      <c r="K314">
        <v>120</v>
      </c>
      <c r="L314">
        <v>50</v>
      </c>
      <c r="M314">
        <v>170</v>
      </c>
      <c r="N314">
        <v>2270</v>
      </c>
    </row>
    <row r="315" spans="1:14" x14ac:dyDescent="0.25">
      <c r="A315" s="35" t="s">
        <v>19</v>
      </c>
      <c r="B315">
        <v>150</v>
      </c>
      <c r="C315">
        <v>160</v>
      </c>
      <c r="D315">
        <v>170</v>
      </c>
      <c r="E315">
        <v>170</v>
      </c>
      <c r="F315">
        <v>160</v>
      </c>
      <c r="G315">
        <v>160</v>
      </c>
      <c r="H315">
        <v>270</v>
      </c>
      <c r="I315">
        <v>350</v>
      </c>
      <c r="J315">
        <v>340</v>
      </c>
      <c r="K315">
        <v>120</v>
      </c>
      <c r="L315">
        <v>50</v>
      </c>
      <c r="M315">
        <v>170</v>
      </c>
      <c r="N315">
        <v>2270</v>
      </c>
    </row>
    <row r="316" spans="1:14" x14ac:dyDescent="0.25">
      <c r="A316" s="34" t="s">
        <v>1724</v>
      </c>
      <c r="B316">
        <v>250</v>
      </c>
      <c r="C316">
        <v>250</v>
      </c>
      <c r="D316">
        <v>500</v>
      </c>
      <c r="E316">
        <v>250</v>
      </c>
      <c r="F316">
        <v>250</v>
      </c>
      <c r="G316">
        <v>250</v>
      </c>
      <c r="H316">
        <v>250</v>
      </c>
      <c r="M316">
        <v>250</v>
      </c>
      <c r="N316">
        <v>2250</v>
      </c>
    </row>
    <row r="317" spans="1:14" x14ac:dyDescent="0.25">
      <c r="A317" s="35" t="s">
        <v>1723</v>
      </c>
      <c r="B317">
        <v>250</v>
      </c>
      <c r="C317">
        <v>250</v>
      </c>
      <c r="D317">
        <v>500</v>
      </c>
      <c r="E317">
        <v>250</v>
      </c>
      <c r="F317">
        <v>250</v>
      </c>
      <c r="G317">
        <v>250</v>
      </c>
      <c r="H317">
        <v>250</v>
      </c>
      <c r="M317">
        <v>250</v>
      </c>
      <c r="N317">
        <v>2250</v>
      </c>
    </row>
    <row r="318" spans="1:14" x14ac:dyDescent="0.25">
      <c r="A318" s="34" t="s">
        <v>5446</v>
      </c>
      <c r="D318">
        <v>2250</v>
      </c>
      <c r="N318">
        <v>2250</v>
      </c>
    </row>
    <row r="319" spans="1:14" x14ac:dyDescent="0.25">
      <c r="A319" s="35" t="s">
        <v>2548</v>
      </c>
      <c r="D319">
        <v>2250</v>
      </c>
      <c r="N319">
        <v>2250</v>
      </c>
    </row>
    <row r="320" spans="1:14" x14ac:dyDescent="0.25">
      <c r="A320" s="34" t="s">
        <v>6134</v>
      </c>
      <c r="D320">
        <v>540</v>
      </c>
      <c r="G320">
        <v>380</v>
      </c>
      <c r="H320">
        <v>540</v>
      </c>
      <c r="I320">
        <v>90</v>
      </c>
      <c r="J320">
        <v>180</v>
      </c>
      <c r="K320">
        <v>180</v>
      </c>
      <c r="M320">
        <v>270</v>
      </c>
      <c r="N320">
        <v>2180</v>
      </c>
    </row>
    <row r="321" spans="1:14" x14ac:dyDescent="0.25">
      <c r="A321" s="35" t="s">
        <v>6133</v>
      </c>
      <c r="D321">
        <v>540</v>
      </c>
      <c r="G321">
        <v>380</v>
      </c>
      <c r="H321">
        <v>540</v>
      </c>
      <c r="I321">
        <v>90</v>
      </c>
      <c r="J321">
        <v>180</v>
      </c>
      <c r="K321">
        <v>180</v>
      </c>
      <c r="M321">
        <v>270</v>
      </c>
      <c r="N321">
        <v>2180</v>
      </c>
    </row>
    <row r="322" spans="1:14" x14ac:dyDescent="0.25">
      <c r="A322" s="34" t="s">
        <v>1453</v>
      </c>
      <c r="B322">
        <v>720</v>
      </c>
      <c r="C322">
        <v>180</v>
      </c>
      <c r="D322">
        <v>720</v>
      </c>
      <c r="E322">
        <v>540</v>
      </c>
      <c r="N322">
        <v>2160</v>
      </c>
    </row>
    <row r="323" spans="1:14" x14ac:dyDescent="0.25">
      <c r="A323" s="35" t="s">
        <v>1446</v>
      </c>
      <c r="B323">
        <v>720</v>
      </c>
      <c r="C323">
        <v>180</v>
      </c>
      <c r="D323">
        <v>720</v>
      </c>
      <c r="E323">
        <v>540</v>
      </c>
      <c r="N323">
        <v>2160</v>
      </c>
    </row>
    <row r="324" spans="1:14" x14ac:dyDescent="0.25">
      <c r="A324" s="34" t="s">
        <v>7659</v>
      </c>
      <c r="C324">
        <v>2120</v>
      </c>
      <c r="N324">
        <v>2120</v>
      </c>
    </row>
    <row r="325" spans="1:14" x14ac:dyDescent="0.25">
      <c r="A325" s="35" t="s">
        <v>7658</v>
      </c>
      <c r="C325">
        <v>2120</v>
      </c>
      <c r="N325">
        <v>2120</v>
      </c>
    </row>
    <row r="326" spans="1:14" x14ac:dyDescent="0.25">
      <c r="A326" s="34" t="s">
        <v>176</v>
      </c>
      <c r="B326">
        <v>180</v>
      </c>
      <c r="D326">
        <v>315</v>
      </c>
      <c r="E326">
        <v>720</v>
      </c>
      <c r="F326">
        <v>360</v>
      </c>
      <c r="G326">
        <v>270</v>
      </c>
      <c r="I326">
        <v>10</v>
      </c>
      <c r="K326">
        <v>250</v>
      </c>
      <c r="N326">
        <v>2105</v>
      </c>
    </row>
    <row r="327" spans="1:14" x14ac:dyDescent="0.25">
      <c r="A327" s="35" t="s">
        <v>3471</v>
      </c>
      <c r="I327">
        <v>10</v>
      </c>
      <c r="N327">
        <v>10</v>
      </c>
    </row>
    <row r="328" spans="1:14" x14ac:dyDescent="0.25">
      <c r="A328" s="35" t="s">
        <v>5421</v>
      </c>
      <c r="D328">
        <v>55</v>
      </c>
      <c r="N328">
        <v>55</v>
      </c>
    </row>
    <row r="329" spans="1:14" x14ac:dyDescent="0.25">
      <c r="A329" s="35" t="s">
        <v>2548</v>
      </c>
      <c r="D329">
        <v>250</v>
      </c>
      <c r="G329">
        <v>250</v>
      </c>
      <c r="K329">
        <v>250</v>
      </c>
      <c r="N329">
        <v>750</v>
      </c>
    </row>
    <row r="330" spans="1:14" x14ac:dyDescent="0.25">
      <c r="A330" s="35" t="s">
        <v>22</v>
      </c>
      <c r="B330">
        <v>180</v>
      </c>
      <c r="D330">
        <v>10</v>
      </c>
      <c r="E330">
        <v>720</v>
      </c>
      <c r="F330">
        <v>360</v>
      </c>
      <c r="G330">
        <v>20</v>
      </c>
      <c r="N330">
        <v>1290</v>
      </c>
    </row>
    <row r="331" spans="1:14" x14ac:dyDescent="0.25">
      <c r="A331" s="34" t="s">
        <v>1735</v>
      </c>
      <c r="B331">
        <v>105</v>
      </c>
      <c r="C331">
        <v>50</v>
      </c>
      <c r="E331">
        <v>180</v>
      </c>
      <c r="F331">
        <v>620</v>
      </c>
      <c r="G331">
        <v>690</v>
      </c>
      <c r="H331">
        <v>360</v>
      </c>
      <c r="M331">
        <v>30</v>
      </c>
      <c r="N331">
        <v>2035</v>
      </c>
    </row>
    <row r="332" spans="1:14" x14ac:dyDescent="0.25">
      <c r="A332" s="35" t="s">
        <v>8618</v>
      </c>
      <c r="F332">
        <v>250</v>
      </c>
      <c r="G332">
        <v>500</v>
      </c>
      <c r="N332">
        <v>750</v>
      </c>
    </row>
    <row r="333" spans="1:14" x14ac:dyDescent="0.25">
      <c r="A333" s="35" t="s">
        <v>1734</v>
      </c>
      <c r="B333">
        <v>105</v>
      </c>
      <c r="C333">
        <v>50</v>
      </c>
      <c r="E333">
        <v>180</v>
      </c>
      <c r="F333">
        <v>370</v>
      </c>
      <c r="G333">
        <v>190</v>
      </c>
      <c r="H333">
        <v>360</v>
      </c>
      <c r="M333">
        <v>30</v>
      </c>
      <c r="N333">
        <v>1285</v>
      </c>
    </row>
    <row r="334" spans="1:14" x14ac:dyDescent="0.25">
      <c r="A334" s="34" t="s">
        <v>51</v>
      </c>
      <c r="B334">
        <v>405</v>
      </c>
      <c r="C334">
        <v>120</v>
      </c>
      <c r="D334">
        <v>180</v>
      </c>
      <c r="E334">
        <v>230</v>
      </c>
      <c r="F334">
        <v>60</v>
      </c>
      <c r="G334">
        <v>55</v>
      </c>
      <c r="H334">
        <v>240</v>
      </c>
      <c r="I334">
        <v>300</v>
      </c>
      <c r="K334">
        <v>110</v>
      </c>
      <c r="L334">
        <v>240</v>
      </c>
      <c r="M334">
        <v>55</v>
      </c>
      <c r="N334">
        <v>1995</v>
      </c>
    </row>
    <row r="335" spans="1:14" x14ac:dyDescent="0.25">
      <c r="A335" s="35" t="s">
        <v>549</v>
      </c>
      <c r="B335">
        <v>55</v>
      </c>
      <c r="E335">
        <v>110</v>
      </c>
      <c r="G335">
        <v>55</v>
      </c>
      <c r="K335">
        <v>110</v>
      </c>
      <c r="M335">
        <v>55</v>
      </c>
      <c r="N335">
        <v>385</v>
      </c>
    </row>
    <row r="336" spans="1:14" x14ac:dyDescent="0.25">
      <c r="A336" s="35" t="s">
        <v>50</v>
      </c>
      <c r="B336">
        <v>350</v>
      </c>
      <c r="C336">
        <v>120</v>
      </c>
      <c r="D336">
        <v>180</v>
      </c>
      <c r="E336">
        <v>120</v>
      </c>
      <c r="F336">
        <v>60</v>
      </c>
      <c r="H336">
        <v>240</v>
      </c>
      <c r="I336">
        <v>300</v>
      </c>
      <c r="L336">
        <v>240</v>
      </c>
      <c r="N336">
        <v>1610</v>
      </c>
    </row>
    <row r="337" spans="1:14" x14ac:dyDescent="0.25">
      <c r="A337" s="34" t="s">
        <v>4227</v>
      </c>
      <c r="D337">
        <v>360</v>
      </c>
      <c r="F337">
        <v>180</v>
      </c>
      <c r="G337">
        <v>360</v>
      </c>
      <c r="H337">
        <v>180</v>
      </c>
      <c r="I337">
        <v>540</v>
      </c>
      <c r="K337">
        <v>180</v>
      </c>
      <c r="L337">
        <v>180</v>
      </c>
      <c r="N337">
        <v>1980</v>
      </c>
    </row>
    <row r="338" spans="1:14" x14ac:dyDescent="0.25">
      <c r="A338" s="35" t="s">
        <v>4226</v>
      </c>
      <c r="D338">
        <v>360</v>
      </c>
      <c r="F338">
        <v>180</v>
      </c>
      <c r="G338">
        <v>360</v>
      </c>
      <c r="H338">
        <v>180</v>
      </c>
      <c r="I338">
        <v>540</v>
      </c>
      <c r="K338">
        <v>180</v>
      </c>
      <c r="L338">
        <v>180</v>
      </c>
      <c r="N338">
        <v>1980</v>
      </c>
    </row>
    <row r="339" spans="1:14" x14ac:dyDescent="0.25">
      <c r="A339" s="34" t="s">
        <v>81</v>
      </c>
      <c r="B339">
        <v>175</v>
      </c>
      <c r="C339">
        <v>240</v>
      </c>
      <c r="D339">
        <v>60</v>
      </c>
      <c r="E339">
        <v>350</v>
      </c>
      <c r="F339">
        <v>120</v>
      </c>
      <c r="G339">
        <v>175</v>
      </c>
      <c r="H339">
        <v>70</v>
      </c>
      <c r="I339">
        <v>60</v>
      </c>
      <c r="J339">
        <v>190</v>
      </c>
      <c r="K339">
        <v>180</v>
      </c>
      <c r="L339">
        <v>60</v>
      </c>
      <c r="M339">
        <v>295</v>
      </c>
      <c r="N339">
        <v>1975</v>
      </c>
    </row>
    <row r="340" spans="1:14" x14ac:dyDescent="0.25">
      <c r="A340" s="35" t="s">
        <v>4540</v>
      </c>
      <c r="B340">
        <v>55</v>
      </c>
      <c r="E340">
        <v>110</v>
      </c>
      <c r="G340">
        <v>55</v>
      </c>
      <c r="M340">
        <v>55</v>
      </c>
      <c r="N340">
        <v>275</v>
      </c>
    </row>
    <row r="341" spans="1:14" x14ac:dyDescent="0.25">
      <c r="A341" s="35" t="s">
        <v>80</v>
      </c>
      <c r="B341">
        <v>120</v>
      </c>
      <c r="C341">
        <v>240</v>
      </c>
      <c r="D341">
        <v>60</v>
      </c>
      <c r="E341">
        <v>240</v>
      </c>
      <c r="F341">
        <v>120</v>
      </c>
      <c r="G341">
        <v>120</v>
      </c>
      <c r="H341">
        <v>70</v>
      </c>
      <c r="I341">
        <v>60</v>
      </c>
      <c r="J341">
        <v>190</v>
      </c>
      <c r="K341">
        <v>180</v>
      </c>
      <c r="L341">
        <v>60</v>
      </c>
      <c r="M341">
        <v>240</v>
      </c>
      <c r="N341">
        <v>1700</v>
      </c>
    </row>
    <row r="342" spans="1:14" x14ac:dyDescent="0.25">
      <c r="A342" s="34" t="s">
        <v>6151</v>
      </c>
      <c r="G342">
        <v>500</v>
      </c>
      <c r="H342">
        <v>250</v>
      </c>
      <c r="J342">
        <v>250</v>
      </c>
      <c r="K342">
        <v>750</v>
      </c>
      <c r="L342">
        <v>200</v>
      </c>
      <c r="N342">
        <v>1950</v>
      </c>
    </row>
    <row r="343" spans="1:14" x14ac:dyDescent="0.25">
      <c r="A343" s="35" t="s">
        <v>6723</v>
      </c>
      <c r="K343">
        <v>250</v>
      </c>
      <c r="L343">
        <v>200</v>
      </c>
      <c r="N343">
        <v>450</v>
      </c>
    </row>
    <row r="344" spans="1:14" x14ac:dyDescent="0.25">
      <c r="A344" s="35" t="s">
        <v>6150</v>
      </c>
      <c r="G344">
        <v>500</v>
      </c>
      <c r="H344">
        <v>250</v>
      </c>
      <c r="J344">
        <v>250</v>
      </c>
      <c r="K344">
        <v>500</v>
      </c>
      <c r="N344">
        <v>1500</v>
      </c>
    </row>
    <row r="345" spans="1:14" x14ac:dyDescent="0.25">
      <c r="A345" s="34" t="s">
        <v>12</v>
      </c>
      <c r="B345">
        <v>495</v>
      </c>
      <c r="C345">
        <v>85</v>
      </c>
      <c r="D345">
        <v>55</v>
      </c>
      <c r="E345">
        <v>55</v>
      </c>
      <c r="F345">
        <v>55</v>
      </c>
      <c r="G345">
        <v>220</v>
      </c>
      <c r="H345">
        <v>440</v>
      </c>
      <c r="J345">
        <v>110</v>
      </c>
      <c r="K345">
        <v>165</v>
      </c>
      <c r="L345">
        <v>220</v>
      </c>
      <c r="N345">
        <v>1900</v>
      </c>
    </row>
    <row r="346" spans="1:14" x14ac:dyDescent="0.25">
      <c r="A346" s="35" t="s">
        <v>4834</v>
      </c>
      <c r="C346">
        <v>30</v>
      </c>
      <c r="N346">
        <v>30</v>
      </c>
    </row>
    <row r="347" spans="1:14" x14ac:dyDescent="0.25">
      <c r="A347" s="35" t="s">
        <v>11</v>
      </c>
      <c r="B347">
        <v>495</v>
      </c>
      <c r="C347">
        <v>55</v>
      </c>
      <c r="D347">
        <v>55</v>
      </c>
      <c r="E347">
        <v>55</v>
      </c>
      <c r="F347">
        <v>55</v>
      </c>
      <c r="G347">
        <v>220</v>
      </c>
      <c r="H347">
        <v>440</v>
      </c>
      <c r="J347">
        <v>110</v>
      </c>
      <c r="K347">
        <v>165</v>
      </c>
      <c r="L347">
        <v>220</v>
      </c>
      <c r="N347">
        <v>1870</v>
      </c>
    </row>
    <row r="348" spans="1:14" x14ac:dyDescent="0.25">
      <c r="A348" s="34" t="s">
        <v>3422</v>
      </c>
      <c r="D348">
        <v>15</v>
      </c>
      <c r="I348">
        <v>180</v>
      </c>
      <c r="K348">
        <v>750</v>
      </c>
      <c r="L348">
        <v>900</v>
      </c>
      <c r="N348">
        <v>1845</v>
      </c>
    </row>
    <row r="349" spans="1:14" x14ac:dyDescent="0.25">
      <c r="A349" s="35" t="s">
        <v>3889</v>
      </c>
      <c r="K349">
        <v>750</v>
      </c>
      <c r="N349">
        <v>750</v>
      </c>
    </row>
    <row r="350" spans="1:14" x14ac:dyDescent="0.25">
      <c r="A350" s="35" t="s">
        <v>3421</v>
      </c>
      <c r="D350">
        <v>15</v>
      </c>
      <c r="I350">
        <v>180</v>
      </c>
      <c r="L350">
        <v>900</v>
      </c>
      <c r="N350">
        <v>1095</v>
      </c>
    </row>
    <row r="351" spans="1:14" x14ac:dyDescent="0.25">
      <c r="A351" s="34" t="s">
        <v>3269</v>
      </c>
      <c r="B351">
        <v>150</v>
      </c>
      <c r="D351">
        <v>225</v>
      </c>
      <c r="F351">
        <v>250</v>
      </c>
      <c r="G351">
        <v>150</v>
      </c>
      <c r="H351">
        <v>300</v>
      </c>
      <c r="J351">
        <v>250</v>
      </c>
      <c r="L351">
        <v>277</v>
      </c>
      <c r="M351">
        <v>150</v>
      </c>
      <c r="N351">
        <v>1752</v>
      </c>
    </row>
    <row r="352" spans="1:14" x14ac:dyDescent="0.25">
      <c r="A352" s="35" t="s">
        <v>3268</v>
      </c>
      <c r="B352">
        <v>150</v>
      </c>
      <c r="D352">
        <v>225</v>
      </c>
      <c r="F352">
        <v>250</v>
      </c>
      <c r="G352">
        <v>150</v>
      </c>
      <c r="H352">
        <v>300</v>
      </c>
      <c r="J352">
        <v>250</v>
      </c>
      <c r="L352">
        <v>277</v>
      </c>
      <c r="M352">
        <v>150</v>
      </c>
      <c r="N352">
        <v>1752</v>
      </c>
    </row>
    <row r="353" spans="1:14" x14ac:dyDescent="0.25">
      <c r="A353" s="34" t="s">
        <v>6996</v>
      </c>
      <c r="B353">
        <v>500</v>
      </c>
      <c r="C353">
        <v>500</v>
      </c>
      <c r="E353">
        <v>250</v>
      </c>
      <c r="L353">
        <v>500</v>
      </c>
      <c r="N353">
        <v>1750</v>
      </c>
    </row>
    <row r="354" spans="1:14" x14ac:dyDescent="0.25">
      <c r="A354" s="35" t="s">
        <v>6995</v>
      </c>
      <c r="B354">
        <v>500</v>
      </c>
      <c r="C354">
        <v>500</v>
      </c>
      <c r="E354">
        <v>250</v>
      </c>
      <c r="L354">
        <v>500</v>
      </c>
      <c r="N354">
        <v>1750</v>
      </c>
    </row>
    <row r="355" spans="1:14" x14ac:dyDescent="0.25">
      <c r="A355" s="34" t="s">
        <v>1465</v>
      </c>
      <c r="B355">
        <v>250</v>
      </c>
      <c r="C355">
        <v>250</v>
      </c>
      <c r="F355">
        <v>250</v>
      </c>
      <c r="G355">
        <v>500</v>
      </c>
      <c r="J355">
        <v>250</v>
      </c>
      <c r="M355">
        <v>250</v>
      </c>
      <c r="N355">
        <v>1750</v>
      </c>
    </row>
    <row r="356" spans="1:14" x14ac:dyDescent="0.25">
      <c r="A356" s="35" t="s">
        <v>1464</v>
      </c>
      <c r="B356">
        <v>250</v>
      </c>
      <c r="C356">
        <v>250</v>
      </c>
      <c r="F356">
        <v>250</v>
      </c>
      <c r="G356">
        <v>500</v>
      </c>
      <c r="J356">
        <v>250</v>
      </c>
      <c r="M356">
        <v>250</v>
      </c>
      <c r="N356">
        <v>1750</v>
      </c>
    </row>
    <row r="357" spans="1:14" x14ac:dyDescent="0.25">
      <c r="A357" s="34" t="s">
        <v>5978</v>
      </c>
      <c r="B357">
        <v>55</v>
      </c>
      <c r="C357">
        <v>10</v>
      </c>
      <c r="D357">
        <v>75</v>
      </c>
      <c r="E357">
        <v>280</v>
      </c>
      <c r="F357">
        <v>350</v>
      </c>
      <c r="G357">
        <v>60</v>
      </c>
      <c r="I357">
        <v>555</v>
      </c>
      <c r="K357">
        <v>75</v>
      </c>
      <c r="L357">
        <v>5</v>
      </c>
      <c r="M357">
        <v>250</v>
      </c>
      <c r="N357">
        <v>1715</v>
      </c>
    </row>
    <row r="358" spans="1:14" x14ac:dyDescent="0.25">
      <c r="A358" s="35" t="s">
        <v>6390</v>
      </c>
      <c r="B358">
        <v>55</v>
      </c>
      <c r="I358">
        <v>55</v>
      </c>
      <c r="N358">
        <v>110</v>
      </c>
    </row>
    <row r="359" spans="1:14" x14ac:dyDescent="0.25">
      <c r="A359" s="35" t="s">
        <v>6708</v>
      </c>
      <c r="C359">
        <v>10</v>
      </c>
      <c r="D359">
        <v>75</v>
      </c>
      <c r="E359">
        <v>30</v>
      </c>
      <c r="F359">
        <v>90</v>
      </c>
      <c r="G359">
        <v>60</v>
      </c>
      <c r="K359">
        <v>75</v>
      </c>
      <c r="L359">
        <v>5</v>
      </c>
      <c r="N359">
        <v>345</v>
      </c>
    </row>
    <row r="360" spans="1:14" x14ac:dyDescent="0.25">
      <c r="A360" s="35" t="s">
        <v>3947</v>
      </c>
      <c r="E360">
        <v>250</v>
      </c>
      <c r="F360">
        <v>260</v>
      </c>
      <c r="I360">
        <v>500</v>
      </c>
      <c r="M360">
        <v>250</v>
      </c>
      <c r="N360">
        <v>1260</v>
      </c>
    </row>
    <row r="361" spans="1:14" x14ac:dyDescent="0.25">
      <c r="A361" s="34" t="s">
        <v>6275</v>
      </c>
      <c r="B361">
        <v>120</v>
      </c>
      <c r="C361">
        <v>340</v>
      </c>
      <c r="E361">
        <v>60</v>
      </c>
      <c r="F361">
        <v>90</v>
      </c>
      <c r="G361">
        <v>60</v>
      </c>
      <c r="H361">
        <v>150</v>
      </c>
      <c r="I361">
        <v>270</v>
      </c>
      <c r="J361">
        <v>180</v>
      </c>
      <c r="K361">
        <v>250</v>
      </c>
      <c r="L361">
        <v>150</v>
      </c>
      <c r="N361">
        <v>1670</v>
      </c>
    </row>
    <row r="362" spans="1:14" x14ac:dyDescent="0.25">
      <c r="A362" s="35" t="s">
        <v>69</v>
      </c>
      <c r="G362">
        <v>60</v>
      </c>
      <c r="I362">
        <v>60</v>
      </c>
      <c r="J362">
        <v>60</v>
      </c>
      <c r="N362">
        <v>180</v>
      </c>
    </row>
    <row r="363" spans="1:14" x14ac:dyDescent="0.25">
      <c r="A363" s="35" t="s">
        <v>822</v>
      </c>
      <c r="C363">
        <v>250</v>
      </c>
      <c r="K363">
        <v>250</v>
      </c>
      <c r="N363">
        <v>500</v>
      </c>
    </row>
    <row r="364" spans="1:14" x14ac:dyDescent="0.25">
      <c r="A364" s="35" t="s">
        <v>19</v>
      </c>
      <c r="B364">
        <v>120</v>
      </c>
      <c r="C364">
        <v>90</v>
      </c>
      <c r="E364">
        <v>60</v>
      </c>
      <c r="F364">
        <v>90</v>
      </c>
      <c r="H364">
        <v>150</v>
      </c>
      <c r="I364">
        <v>210</v>
      </c>
      <c r="J364">
        <v>120</v>
      </c>
      <c r="L364">
        <v>150</v>
      </c>
      <c r="N364">
        <v>990</v>
      </c>
    </row>
    <row r="365" spans="1:14" x14ac:dyDescent="0.25">
      <c r="A365" s="34" t="s">
        <v>2099</v>
      </c>
      <c r="C365">
        <v>90</v>
      </c>
      <c r="D365">
        <v>720</v>
      </c>
      <c r="E365">
        <v>360</v>
      </c>
      <c r="F365">
        <v>230</v>
      </c>
      <c r="H365">
        <v>180</v>
      </c>
      <c r="K365">
        <v>35</v>
      </c>
      <c r="N365">
        <v>1615</v>
      </c>
    </row>
    <row r="366" spans="1:14" x14ac:dyDescent="0.25">
      <c r="A366" s="35" t="s">
        <v>5427</v>
      </c>
      <c r="D366">
        <v>180</v>
      </c>
      <c r="N366">
        <v>180</v>
      </c>
    </row>
    <row r="367" spans="1:14" x14ac:dyDescent="0.25">
      <c r="A367" s="35" t="s">
        <v>2098</v>
      </c>
      <c r="C367">
        <v>90</v>
      </c>
      <c r="D367">
        <v>540</v>
      </c>
      <c r="E367">
        <v>360</v>
      </c>
      <c r="F367">
        <v>230</v>
      </c>
      <c r="H367">
        <v>180</v>
      </c>
      <c r="K367">
        <v>35</v>
      </c>
      <c r="N367">
        <v>1435</v>
      </c>
    </row>
    <row r="368" spans="1:14" x14ac:dyDescent="0.25">
      <c r="A368" s="34" t="s">
        <v>1010</v>
      </c>
      <c r="C368">
        <v>180</v>
      </c>
      <c r="D368">
        <v>450</v>
      </c>
      <c r="G368">
        <v>20</v>
      </c>
      <c r="H368">
        <v>180</v>
      </c>
      <c r="I368">
        <v>360</v>
      </c>
      <c r="J368">
        <v>55</v>
      </c>
      <c r="L368">
        <v>180</v>
      </c>
      <c r="M368">
        <v>180</v>
      </c>
      <c r="N368">
        <v>1605</v>
      </c>
    </row>
    <row r="369" spans="1:14" x14ac:dyDescent="0.25">
      <c r="A369" s="35" t="s">
        <v>11</v>
      </c>
      <c r="D369">
        <v>440</v>
      </c>
      <c r="J369">
        <v>55</v>
      </c>
      <c r="N369">
        <v>495</v>
      </c>
    </row>
    <row r="370" spans="1:14" x14ac:dyDescent="0.25">
      <c r="A370" s="35" t="s">
        <v>1009</v>
      </c>
      <c r="C370">
        <v>180</v>
      </c>
      <c r="D370">
        <v>10</v>
      </c>
      <c r="G370">
        <v>20</v>
      </c>
      <c r="H370">
        <v>180</v>
      </c>
      <c r="I370">
        <v>360</v>
      </c>
      <c r="L370">
        <v>180</v>
      </c>
      <c r="M370">
        <v>180</v>
      </c>
      <c r="N370">
        <v>1110</v>
      </c>
    </row>
    <row r="371" spans="1:14" x14ac:dyDescent="0.25">
      <c r="A371" s="34" t="s">
        <v>926</v>
      </c>
      <c r="B371">
        <v>600</v>
      </c>
      <c r="D371">
        <v>800</v>
      </c>
      <c r="I371">
        <v>200</v>
      </c>
      <c r="N371">
        <v>1600</v>
      </c>
    </row>
    <row r="372" spans="1:14" x14ac:dyDescent="0.25">
      <c r="A372" s="35" t="s">
        <v>143</v>
      </c>
      <c r="B372">
        <v>600</v>
      </c>
      <c r="D372">
        <v>800</v>
      </c>
      <c r="I372">
        <v>200</v>
      </c>
      <c r="N372">
        <v>1600</v>
      </c>
    </row>
    <row r="373" spans="1:14" x14ac:dyDescent="0.25">
      <c r="A373" s="34" t="s">
        <v>615</v>
      </c>
      <c r="D373">
        <v>260</v>
      </c>
      <c r="F373">
        <v>250</v>
      </c>
      <c r="G373">
        <v>250</v>
      </c>
      <c r="H373">
        <v>250</v>
      </c>
      <c r="I373">
        <v>250</v>
      </c>
      <c r="M373">
        <v>250</v>
      </c>
      <c r="N373">
        <v>1510</v>
      </c>
    </row>
    <row r="374" spans="1:14" x14ac:dyDescent="0.25">
      <c r="A374" s="35" t="s">
        <v>2307</v>
      </c>
      <c r="D374">
        <v>10</v>
      </c>
      <c r="N374">
        <v>10</v>
      </c>
    </row>
    <row r="375" spans="1:14" x14ac:dyDescent="0.25">
      <c r="A375" s="35" t="s">
        <v>614</v>
      </c>
      <c r="D375">
        <v>250</v>
      </c>
      <c r="F375">
        <v>250</v>
      </c>
      <c r="G375">
        <v>250</v>
      </c>
      <c r="H375">
        <v>250</v>
      </c>
      <c r="I375">
        <v>250</v>
      </c>
      <c r="M375">
        <v>250</v>
      </c>
      <c r="N375">
        <v>1500</v>
      </c>
    </row>
    <row r="376" spans="1:14" x14ac:dyDescent="0.25">
      <c r="A376" s="34" t="s">
        <v>2875</v>
      </c>
      <c r="F376">
        <v>500</v>
      </c>
      <c r="G376">
        <v>500</v>
      </c>
      <c r="H376">
        <v>500</v>
      </c>
      <c r="N376">
        <v>1500</v>
      </c>
    </row>
    <row r="377" spans="1:14" x14ac:dyDescent="0.25">
      <c r="A377" s="35" t="s">
        <v>2874</v>
      </c>
      <c r="F377">
        <v>500</v>
      </c>
      <c r="G377">
        <v>500</v>
      </c>
      <c r="H377">
        <v>500</v>
      </c>
      <c r="N377">
        <v>1500</v>
      </c>
    </row>
    <row r="378" spans="1:14" x14ac:dyDescent="0.25">
      <c r="A378" s="34" t="s">
        <v>1471</v>
      </c>
      <c r="B378">
        <v>140</v>
      </c>
      <c r="E378">
        <v>310</v>
      </c>
      <c r="F378">
        <v>250</v>
      </c>
      <c r="H378">
        <v>270</v>
      </c>
      <c r="I378">
        <v>180</v>
      </c>
      <c r="J378">
        <v>310</v>
      </c>
      <c r="L378">
        <v>30</v>
      </c>
      <c r="N378">
        <v>1490</v>
      </c>
    </row>
    <row r="379" spans="1:14" x14ac:dyDescent="0.25">
      <c r="A379" s="35" t="s">
        <v>3641</v>
      </c>
      <c r="J379">
        <v>60</v>
      </c>
      <c r="N379">
        <v>60</v>
      </c>
    </row>
    <row r="380" spans="1:14" x14ac:dyDescent="0.25">
      <c r="A380" s="35" t="s">
        <v>1470</v>
      </c>
      <c r="B380">
        <v>140</v>
      </c>
      <c r="E380">
        <v>60</v>
      </c>
      <c r="H380">
        <v>20</v>
      </c>
      <c r="I380">
        <v>180</v>
      </c>
      <c r="L380">
        <v>30</v>
      </c>
      <c r="N380">
        <v>430</v>
      </c>
    </row>
    <row r="381" spans="1:14" x14ac:dyDescent="0.25">
      <c r="A381" s="35" t="s">
        <v>3329</v>
      </c>
      <c r="E381">
        <v>250</v>
      </c>
      <c r="F381">
        <v>250</v>
      </c>
      <c r="H381">
        <v>250</v>
      </c>
      <c r="J381">
        <v>250</v>
      </c>
      <c r="N381">
        <v>1000</v>
      </c>
    </row>
    <row r="382" spans="1:14" x14ac:dyDescent="0.25">
      <c r="A382" s="34" t="s">
        <v>3934</v>
      </c>
      <c r="D382">
        <v>55</v>
      </c>
      <c r="E382">
        <v>955</v>
      </c>
      <c r="J382">
        <v>165</v>
      </c>
      <c r="K382">
        <v>110</v>
      </c>
      <c r="L382">
        <v>165</v>
      </c>
      <c r="N382">
        <v>1450</v>
      </c>
    </row>
    <row r="383" spans="1:14" x14ac:dyDescent="0.25">
      <c r="A383" s="35" t="s">
        <v>9282</v>
      </c>
      <c r="J383">
        <v>55</v>
      </c>
      <c r="N383">
        <v>55</v>
      </c>
    </row>
    <row r="384" spans="1:14" x14ac:dyDescent="0.25">
      <c r="A384" s="35" t="s">
        <v>3933</v>
      </c>
      <c r="D384">
        <v>55</v>
      </c>
      <c r="E384">
        <v>55</v>
      </c>
      <c r="J384">
        <v>110</v>
      </c>
      <c r="K384">
        <v>110</v>
      </c>
      <c r="L384">
        <v>165</v>
      </c>
      <c r="N384">
        <v>495</v>
      </c>
    </row>
    <row r="385" spans="1:14" x14ac:dyDescent="0.25">
      <c r="A385" s="35" t="s">
        <v>3497</v>
      </c>
      <c r="E385">
        <v>900</v>
      </c>
      <c r="N385">
        <v>900</v>
      </c>
    </row>
    <row r="386" spans="1:14" x14ac:dyDescent="0.25">
      <c r="A386" s="34" t="s">
        <v>23</v>
      </c>
      <c r="B386">
        <v>60</v>
      </c>
      <c r="C386">
        <v>120</v>
      </c>
      <c r="D386">
        <v>160</v>
      </c>
      <c r="E386">
        <v>100</v>
      </c>
      <c r="F386">
        <v>200</v>
      </c>
      <c r="G386">
        <v>135</v>
      </c>
      <c r="H386">
        <v>120</v>
      </c>
      <c r="I386">
        <v>120</v>
      </c>
      <c r="J386">
        <v>60</v>
      </c>
      <c r="K386">
        <v>160</v>
      </c>
      <c r="L386">
        <v>150</v>
      </c>
      <c r="M386">
        <v>60</v>
      </c>
      <c r="N386">
        <v>1445</v>
      </c>
    </row>
    <row r="387" spans="1:14" x14ac:dyDescent="0.25">
      <c r="A387" s="35" t="s">
        <v>5421</v>
      </c>
      <c r="G387">
        <v>55</v>
      </c>
      <c r="L387">
        <v>110</v>
      </c>
      <c r="N387">
        <v>165</v>
      </c>
    </row>
    <row r="388" spans="1:14" x14ac:dyDescent="0.25">
      <c r="A388" s="35" t="s">
        <v>22</v>
      </c>
      <c r="B388">
        <v>60</v>
      </c>
      <c r="C388">
        <v>120</v>
      </c>
      <c r="D388">
        <v>160</v>
      </c>
      <c r="E388">
        <v>100</v>
      </c>
      <c r="F388">
        <v>200</v>
      </c>
      <c r="G388">
        <v>80</v>
      </c>
      <c r="H388">
        <v>120</v>
      </c>
      <c r="I388">
        <v>120</v>
      </c>
      <c r="J388">
        <v>60</v>
      </c>
      <c r="K388">
        <v>160</v>
      </c>
      <c r="L388">
        <v>40</v>
      </c>
      <c r="M388">
        <v>60</v>
      </c>
      <c r="N388">
        <v>1280</v>
      </c>
    </row>
    <row r="389" spans="1:14" x14ac:dyDescent="0.25">
      <c r="A389" s="34" t="s">
        <v>2467</v>
      </c>
      <c r="D389">
        <v>1080</v>
      </c>
      <c r="J389">
        <v>360</v>
      </c>
      <c r="N389">
        <v>1440</v>
      </c>
    </row>
    <row r="390" spans="1:14" x14ac:dyDescent="0.25">
      <c r="A390" s="35" t="s">
        <v>2466</v>
      </c>
      <c r="D390">
        <v>1080</v>
      </c>
      <c r="J390">
        <v>360</v>
      </c>
      <c r="N390">
        <v>1440</v>
      </c>
    </row>
    <row r="391" spans="1:14" x14ac:dyDescent="0.25">
      <c r="A391" s="34" t="s">
        <v>4773</v>
      </c>
      <c r="B391">
        <v>540</v>
      </c>
      <c r="D391">
        <v>180</v>
      </c>
      <c r="I391">
        <v>360</v>
      </c>
      <c r="M391">
        <v>360</v>
      </c>
      <c r="N391">
        <v>1440</v>
      </c>
    </row>
    <row r="392" spans="1:14" x14ac:dyDescent="0.25">
      <c r="A392" s="35" t="s">
        <v>4772</v>
      </c>
      <c r="B392">
        <v>540</v>
      </c>
      <c r="D392">
        <v>180</v>
      </c>
      <c r="I392">
        <v>360</v>
      </c>
      <c r="M392">
        <v>360</v>
      </c>
      <c r="N392">
        <v>1440</v>
      </c>
    </row>
    <row r="393" spans="1:14" x14ac:dyDescent="0.25">
      <c r="A393" s="34" t="s">
        <v>2824</v>
      </c>
      <c r="E393">
        <v>930</v>
      </c>
      <c r="F393">
        <v>250</v>
      </c>
      <c r="H393">
        <v>250</v>
      </c>
      <c r="N393">
        <v>1430</v>
      </c>
    </row>
    <row r="394" spans="1:14" x14ac:dyDescent="0.25">
      <c r="A394" s="35" t="s">
        <v>2825</v>
      </c>
      <c r="E394">
        <v>180</v>
      </c>
      <c r="N394">
        <v>180</v>
      </c>
    </row>
    <row r="395" spans="1:14" x14ac:dyDescent="0.25">
      <c r="A395" s="35" t="s">
        <v>2823</v>
      </c>
      <c r="E395">
        <v>750</v>
      </c>
      <c r="F395">
        <v>250</v>
      </c>
      <c r="H395">
        <v>250</v>
      </c>
      <c r="N395">
        <v>1250</v>
      </c>
    </row>
    <row r="396" spans="1:14" x14ac:dyDescent="0.25">
      <c r="A396" s="34" t="s">
        <v>37</v>
      </c>
      <c r="B396">
        <v>30</v>
      </c>
      <c r="C396">
        <v>180</v>
      </c>
      <c r="D396">
        <v>120</v>
      </c>
      <c r="E396">
        <v>150</v>
      </c>
      <c r="F396">
        <v>120</v>
      </c>
      <c r="G396">
        <v>60</v>
      </c>
      <c r="H396">
        <v>65</v>
      </c>
      <c r="I396">
        <v>240</v>
      </c>
      <c r="J396">
        <v>80</v>
      </c>
      <c r="K396">
        <v>175</v>
      </c>
      <c r="L396">
        <v>60</v>
      </c>
      <c r="M396">
        <v>100</v>
      </c>
      <c r="N396">
        <v>1380</v>
      </c>
    </row>
    <row r="397" spans="1:14" x14ac:dyDescent="0.25">
      <c r="A397" s="35" t="s">
        <v>6528</v>
      </c>
      <c r="K397">
        <v>55</v>
      </c>
      <c r="N397">
        <v>55</v>
      </c>
    </row>
    <row r="398" spans="1:14" x14ac:dyDescent="0.25">
      <c r="A398" s="35" t="s">
        <v>36</v>
      </c>
      <c r="B398">
        <v>30</v>
      </c>
      <c r="C398">
        <v>180</v>
      </c>
      <c r="D398">
        <v>120</v>
      </c>
      <c r="E398">
        <v>150</v>
      </c>
      <c r="F398">
        <v>120</v>
      </c>
      <c r="G398">
        <v>60</v>
      </c>
      <c r="H398">
        <v>65</v>
      </c>
      <c r="I398">
        <v>240</v>
      </c>
      <c r="J398">
        <v>80</v>
      </c>
      <c r="K398">
        <v>120</v>
      </c>
      <c r="L398">
        <v>60</v>
      </c>
      <c r="M398">
        <v>100</v>
      </c>
      <c r="N398">
        <v>1325</v>
      </c>
    </row>
    <row r="399" spans="1:14" x14ac:dyDescent="0.25">
      <c r="A399" s="34" t="s">
        <v>5969</v>
      </c>
      <c r="B399">
        <v>60</v>
      </c>
      <c r="C399">
        <v>60</v>
      </c>
      <c r="D399">
        <v>90</v>
      </c>
      <c r="E399">
        <v>150</v>
      </c>
      <c r="F399">
        <v>120</v>
      </c>
      <c r="G399">
        <v>60</v>
      </c>
      <c r="H399">
        <v>150</v>
      </c>
      <c r="I399">
        <v>60</v>
      </c>
      <c r="J399">
        <v>240</v>
      </c>
      <c r="K399">
        <v>60</v>
      </c>
      <c r="M399">
        <v>270</v>
      </c>
      <c r="N399">
        <v>1320</v>
      </c>
    </row>
    <row r="400" spans="1:14" x14ac:dyDescent="0.25">
      <c r="A400" s="35" t="s">
        <v>7314</v>
      </c>
      <c r="M400">
        <v>150</v>
      </c>
      <c r="N400">
        <v>150</v>
      </c>
    </row>
    <row r="401" spans="1:14" x14ac:dyDescent="0.25">
      <c r="A401" s="35" t="s">
        <v>5968</v>
      </c>
      <c r="B401">
        <v>60</v>
      </c>
      <c r="C401">
        <v>60</v>
      </c>
      <c r="D401">
        <v>90</v>
      </c>
      <c r="E401">
        <v>150</v>
      </c>
      <c r="F401">
        <v>120</v>
      </c>
      <c r="G401">
        <v>60</v>
      </c>
      <c r="H401">
        <v>150</v>
      </c>
      <c r="I401">
        <v>60</v>
      </c>
      <c r="J401">
        <v>240</v>
      </c>
      <c r="K401">
        <v>60</v>
      </c>
      <c r="M401">
        <v>120</v>
      </c>
      <c r="N401">
        <v>1170</v>
      </c>
    </row>
    <row r="402" spans="1:14" x14ac:dyDescent="0.25">
      <c r="A402" s="34" t="s">
        <v>1703</v>
      </c>
      <c r="B402">
        <v>1175</v>
      </c>
      <c r="C402">
        <v>45</v>
      </c>
      <c r="N402">
        <v>1220</v>
      </c>
    </row>
    <row r="403" spans="1:14" x14ac:dyDescent="0.25">
      <c r="A403" s="35" t="s">
        <v>1702</v>
      </c>
      <c r="B403">
        <v>25</v>
      </c>
      <c r="N403">
        <v>25</v>
      </c>
    </row>
    <row r="404" spans="1:14" x14ac:dyDescent="0.25">
      <c r="A404" s="35" t="s">
        <v>4672</v>
      </c>
      <c r="B404">
        <v>500</v>
      </c>
      <c r="N404">
        <v>500</v>
      </c>
    </row>
    <row r="405" spans="1:14" x14ac:dyDescent="0.25">
      <c r="A405" s="35" t="s">
        <v>4675</v>
      </c>
      <c r="B405">
        <v>650</v>
      </c>
      <c r="C405">
        <v>45</v>
      </c>
      <c r="N405">
        <v>695</v>
      </c>
    </row>
    <row r="406" spans="1:14" x14ac:dyDescent="0.25">
      <c r="A406" s="34" t="s">
        <v>5995</v>
      </c>
      <c r="B406">
        <v>60</v>
      </c>
      <c r="F406">
        <v>450</v>
      </c>
      <c r="G406">
        <v>110</v>
      </c>
      <c r="H406">
        <v>60</v>
      </c>
      <c r="I406">
        <v>455</v>
      </c>
      <c r="L406">
        <v>66</v>
      </c>
      <c r="N406">
        <v>1201</v>
      </c>
    </row>
    <row r="407" spans="1:14" x14ac:dyDescent="0.25">
      <c r="A407" s="35" t="s">
        <v>9125</v>
      </c>
      <c r="I407">
        <v>55</v>
      </c>
      <c r="N407">
        <v>55</v>
      </c>
    </row>
    <row r="408" spans="1:14" x14ac:dyDescent="0.25">
      <c r="A408" s="35" t="s">
        <v>5994</v>
      </c>
      <c r="B408">
        <v>60</v>
      </c>
      <c r="F408">
        <v>450</v>
      </c>
      <c r="G408">
        <v>110</v>
      </c>
      <c r="H408">
        <v>60</v>
      </c>
      <c r="I408">
        <v>400</v>
      </c>
      <c r="L408">
        <v>66</v>
      </c>
      <c r="N408">
        <v>1146</v>
      </c>
    </row>
    <row r="409" spans="1:14" x14ac:dyDescent="0.25">
      <c r="A409" s="34" t="s">
        <v>6143</v>
      </c>
      <c r="D409">
        <v>270</v>
      </c>
      <c r="G409">
        <v>180</v>
      </c>
      <c r="H409">
        <v>90</v>
      </c>
      <c r="I409">
        <v>90</v>
      </c>
      <c r="J409">
        <v>360</v>
      </c>
      <c r="M409">
        <v>180</v>
      </c>
      <c r="N409">
        <v>1170</v>
      </c>
    </row>
    <row r="410" spans="1:14" x14ac:dyDescent="0.25">
      <c r="A410" s="35" t="s">
        <v>6142</v>
      </c>
      <c r="D410">
        <v>270</v>
      </c>
      <c r="G410">
        <v>180</v>
      </c>
      <c r="H410">
        <v>90</v>
      </c>
      <c r="I410">
        <v>90</v>
      </c>
      <c r="J410">
        <v>360</v>
      </c>
      <c r="M410">
        <v>180</v>
      </c>
      <c r="N410">
        <v>1170</v>
      </c>
    </row>
    <row r="411" spans="1:14" x14ac:dyDescent="0.25">
      <c r="A411" s="34" t="s">
        <v>5218</v>
      </c>
      <c r="D411">
        <v>1163</v>
      </c>
      <c r="N411">
        <v>1163</v>
      </c>
    </row>
    <row r="412" spans="1:14" x14ac:dyDescent="0.25">
      <c r="A412" s="35" t="s">
        <v>5217</v>
      </c>
      <c r="D412">
        <v>1163</v>
      </c>
      <c r="N412">
        <v>1163</v>
      </c>
    </row>
    <row r="413" spans="1:14" x14ac:dyDescent="0.25">
      <c r="A413" s="34" t="s">
        <v>6145</v>
      </c>
      <c r="C413">
        <v>90</v>
      </c>
      <c r="D413">
        <v>390</v>
      </c>
      <c r="G413">
        <v>200</v>
      </c>
      <c r="I413">
        <v>365</v>
      </c>
      <c r="L413">
        <v>25</v>
      </c>
      <c r="M413">
        <v>90</v>
      </c>
      <c r="N413">
        <v>1160</v>
      </c>
    </row>
    <row r="414" spans="1:14" x14ac:dyDescent="0.25">
      <c r="A414" s="35" t="s">
        <v>6144</v>
      </c>
      <c r="C414">
        <v>90</v>
      </c>
      <c r="D414">
        <v>390</v>
      </c>
      <c r="G414">
        <v>200</v>
      </c>
      <c r="I414">
        <v>365</v>
      </c>
      <c r="L414">
        <v>25</v>
      </c>
      <c r="M414">
        <v>90</v>
      </c>
      <c r="N414">
        <v>1160</v>
      </c>
    </row>
    <row r="415" spans="1:14" x14ac:dyDescent="0.25">
      <c r="A415" s="34" t="s">
        <v>2786</v>
      </c>
      <c r="C415">
        <v>540</v>
      </c>
      <c r="D415">
        <v>60</v>
      </c>
      <c r="E415">
        <v>120</v>
      </c>
      <c r="F415">
        <v>90</v>
      </c>
      <c r="G415">
        <v>180</v>
      </c>
      <c r="I415">
        <v>90</v>
      </c>
      <c r="J415">
        <v>60</v>
      </c>
      <c r="N415">
        <v>1140</v>
      </c>
    </row>
    <row r="416" spans="1:14" x14ac:dyDescent="0.25">
      <c r="A416" s="35" t="s">
        <v>33</v>
      </c>
      <c r="C416">
        <v>540</v>
      </c>
      <c r="D416">
        <v>60</v>
      </c>
      <c r="E416">
        <v>120</v>
      </c>
      <c r="F416">
        <v>90</v>
      </c>
      <c r="G416">
        <v>180</v>
      </c>
      <c r="I416">
        <v>90</v>
      </c>
      <c r="J416">
        <v>60</v>
      </c>
      <c r="N416">
        <v>1140</v>
      </c>
    </row>
    <row r="417" spans="1:14" x14ac:dyDescent="0.25">
      <c r="A417" s="34" t="s">
        <v>6176</v>
      </c>
      <c r="D417">
        <v>360</v>
      </c>
      <c r="G417">
        <v>235</v>
      </c>
      <c r="H417">
        <v>240</v>
      </c>
      <c r="I417">
        <v>235</v>
      </c>
      <c r="N417">
        <v>1070</v>
      </c>
    </row>
    <row r="418" spans="1:14" x14ac:dyDescent="0.25">
      <c r="A418" s="35" t="s">
        <v>6179</v>
      </c>
      <c r="G418">
        <v>55</v>
      </c>
      <c r="I418">
        <v>55</v>
      </c>
      <c r="N418">
        <v>110</v>
      </c>
    </row>
    <row r="419" spans="1:14" x14ac:dyDescent="0.25">
      <c r="A419" s="35" t="s">
        <v>6175</v>
      </c>
      <c r="D419">
        <v>360</v>
      </c>
      <c r="G419">
        <v>180</v>
      </c>
      <c r="H419">
        <v>240</v>
      </c>
      <c r="I419">
        <v>180</v>
      </c>
      <c r="N419">
        <v>960</v>
      </c>
    </row>
    <row r="420" spans="1:14" x14ac:dyDescent="0.25">
      <c r="A420" s="34" t="s">
        <v>6173</v>
      </c>
      <c r="B420">
        <v>90</v>
      </c>
      <c r="D420">
        <v>450</v>
      </c>
      <c r="G420">
        <v>210</v>
      </c>
      <c r="H420">
        <v>90</v>
      </c>
      <c r="I420">
        <v>185</v>
      </c>
      <c r="N420">
        <v>1025</v>
      </c>
    </row>
    <row r="421" spans="1:14" x14ac:dyDescent="0.25">
      <c r="A421" s="35" t="s">
        <v>6172</v>
      </c>
      <c r="B421">
        <v>90</v>
      </c>
      <c r="D421">
        <v>450</v>
      </c>
      <c r="G421">
        <v>210</v>
      </c>
      <c r="H421">
        <v>90</v>
      </c>
      <c r="I421">
        <v>185</v>
      </c>
      <c r="N421">
        <v>1025</v>
      </c>
    </row>
    <row r="422" spans="1:14" x14ac:dyDescent="0.25">
      <c r="A422" s="34" t="s">
        <v>6492</v>
      </c>
      <c r="C422">
        <v>90</v>
      </c>
      <c r="D422">
        <v>210</v>
      </c>
      <c r="H422">
        <v>270</v>
      </c>
      <c r="J422">
        <v>180</v>
      </c>
      <c r="K422">
        <v>90</v>
      </c>
      <c r="M422">
        <v>180</v>
      </c>
      <c r="N422">
        <v>1020</v>
      </c>
    </row>
    <row r="423" spans="1:14" x14ac:dyDescent="0.25">
      <c r="A423" s="35" t="s">
        <v>7321</v>
      </c>
      <c r="D423">
        <v>30</v>
      </c>
      <c r="M423">
        <v>30</v>
      </c>
      <c r="N423">
        <v>60</v>
      </c>
    </row>
    <row r="424" spans="1:14" x14ac:dyDescent="0.25">
      <c r="A424" s="35" t="s">
        <v>6491</v>
      </c>
      <c r="C424">
        <v>90</v>
      </c>
      <c r="D424">
        <v>180</v>
      </c>
      <c r="H424">
        <v>270</v>
      </c>
      <c r="J424">
        <v>180</v>
      </c>
      <c r="K424">
        <v>90</v>
      </c>
      <c r="M424">
        <v>150</v>
      </c>
      <c r="N424">
        <v>960</v>
      </c>
    </row>
    <row r="425" spans="1:14" x14ac:dyDescent="0.25">
      <c r="A425" s="34" t="s">
        <v>66</v>
      </c>
      <c r="B425">
        <v>290</v>
      </c>
      <c r="C425">
        <v>135</v>
      </c>
      <c r="D425">
        <v>150</v>
      </c>
      <c r="F425">
        <v>35</v>
      </c>
      <c r="G425">
        <v>120</v>
      </c>
      <c r="H425">
        <v>65</v>
      </c>
      <c r="J425">
        <v>60</v>
      </c>
      <c r="K425">
        <v>30</v>
      </c>
      <c r="L425">
        <v>60</v>
      </c>
      <c r="M425">
        <v>65</v>
      </c>
      <c r="N425">
        <v>1010</v>
      </c>
    </row>
    <row r="426" spans="1:14" x14ac:dyDescent="0.25">
      <c r="A426" s="35" t="s">
        <v>1778</v>
      </c>
      <c r="C426">
        <v>55</v>
      </c>
      <c r="N426">
        <v>55</v>
      </c>
    </row>
    <row r="427" spans="1:14" x14ac:dyDescent="0.25">
      <c r="A427" s="35" t="s">
        <v>65</v>
      </c>
      <c r="D427">
        <v>30</v>
      </c>
      <c r="F427">
        <v>30</v>
      </c>
      <c r="N427">
        <v>60</v>
      </c>
    </row>
    <row r="428" spans="1:14" x14ac:dyDescent="0.25">
      <c r="A428" s="35" t="s">
        <v>574</v>
      </c>
      <c r="B428">
        <v>290</v>
      </c>
      <c r="C428">
        <v>80</v>
      </c>
      <c r="D428">
        <v>120</v>
      </c>
      <c r="F428">
        <v>5</v>
      </c>
      <c r="G428">
        <v>120</v>
      </c>
      <c r="H428">
        <v>65</v>
      </c>
      <c r="J428">
        <v>60</v>
      </c>
      <c r="K428">
        <v>30</v>
      </c>
      <c r="L428">
        <v>60</v>
      </c>
      <c r="M428">
        <v>65</v>
      </c>
      <c r="N428">
        <v>895</v>
      </c>
    </row>
    <row r="429" spans="1:14" x14ac:dyDescent="0.25">
      <c r="A429" s="34" t="s">
        <v>3387</v>
      </c>
      <c r="H429">
        <v>1000</v>
      </c>
      <c r="N429">
        <v>1000</v>
      </c>
    </row>
    <row r="430" spans="1:14" x14ac:dyDescent="0.25">
      <c r="A430" s="35" t="s">
        <v>3386</v>
      </c>
      <c r="H430">
        <v>1000</v>
      </c>
      <c r="N430">
        <v>1000</v>
      </c>
    </row>
    <row r="431" spans="1:14" x14ac:dyDescent="0.25">
      <c r="A431" s="34" t="s">
        <v>7969</v>
      </c>
      <c r="D431">
        <v>1000</v>
      </c>
      <c r="N431">
        <v>1000</v>
      </c>
    </row>
    <row r="432" spans="1:14" x14ac:dyDescent="0.25">
      <c r="A432" s="35" t="s">
        <v>7968</v>
      </c>
      <c r="D432">
        <v>1000</v>
      </c>
      <c r="N432">
        <v>1000</v>
      </c>
    </row>
    <row r="433" spans="1:14" x14ac:dyDescent="0.25">
      <c r="A433" s="34" t="s">
        <v>3938</v>
      </c>
      <c r="K433">
        <v>1000</v>
      </c>
      <c r="N433">
        <v>1000</v>
      </c>
    </row>
    <row r="434" spans="1:14" x14ac:dyDescent="0.25">
      <c r="A434" s="35" t="s">
        <v>3937</v>
      </c>
      <c r="K434">
        <v>1000</v>
      </c>
      <c r="N434">
        <v>1000</v>
      </c>
    </row>
    <row r="435" spans="1:14" x14ac:dyDescent="0.25">
      <c r="A435" s="34" t="s">
        <v>8513</v>
      </c>
      <c r="E435">
        <v>750</v>
      </c>
      <c r="F435">
        <v>250</v>
      </c>
      <c r="N435">
        <v>1000</v>
      </c>
    </row>
    <row r="436" spans="1:14" x14ac:dyDescent="0.25">
      <c r="A436" s="35" t="s">
        <v>8512</v>
      </c>
      <c r="E436">
        <v>750</v>
      </c>
      <c r="F436">
        <v>250</v>
      </c>
      <c r="N436">
        <v>1000</v>
      </c>
    </row>
    <row r="437" spans="1:14" x14ac:dyDescent="0.25">
      <c r="A437" s="34" t="s">
        <v>3948</v>
      </c>
      <c r="C437">
        <v>250</v>
      </c>
      <c r="D437">
        <v>250</v>
      </c>
      <c r="K437">
        <v>250</v>
      </c>
      <c r="M437">
        <v>250</v>
      </c>
      <c r="N437">
        <v>1000</v>
      </c>
    </row>
    <row r="438" spans="1:14" x14ac:dyDescent="0.25">
      <c r="A438" s="35" t="s">
        <v>3947</v>
      </c>
      <c r="C438">
        <v>250</v>
      </c>
      <c r="D438">
        <v>250</v>
      </c>
      <c r="K438">
        <v>250</v>
      </c>
      <c r="M438">
        <v>250</v>
      </c>
      <c r="N438">
        <v>1000</v>
      </c>
    </row>
    <row r="439" spans="1:14" x14ac:dyDescent="0.25">
      <c r="A439" s="34" t="s">
        <v>4853</v>
      </c>
      <c r="C439">
        <v>1000</v>
      </c>
      <c r="N439">
        <v>1000</v>
      </c>
    </row>
    <row r="440" spans="1:14" x14ac:dyDescent="0.25">
      <c r="A440" s="35" t="s">
        <v>1106</v>
      </c>
      <c r="C440">
        <v>1000</v>
      </c>
      <c r="N440">
        <v>1000</v>
      </c>
    </row>
    <row r="441" spans="1:14" x14ac:dyDescent="0.25">
      <c r="A441" s="34" t="s">
        <v>7656</v>
      </c>
      <c r="C441">
        <v>1000</v>
      </c>
      <c r="N441">
        <v>1000</v>
      </c>
    </row>
    <row r="442" spans="1:14" x14ac:dyDescent="0.25">
      <c r="A442" s="35" t="s">
        <v>7655</v>
      </c>
      <c r="C442">
        <v>1000</v>
      </c>
      <c r="N442">
        <v>1000</v>
      </c>
    </row>
    <row r="443" spans="1:14" x14ac:dyDescent="0.25">
      <c r="A443" s="34" t="s">
        <v>1483</v>
      </c>
      <c r="B443">
        <v>240</v>
      </c>
      <c r="D443">
        <v>640</v>
      </c>
      <c r="H443">
        <v>90</v>
      </c>
      <c r="N443">
        <v>970</v>
      </c>
    </row>
    <row r="444" spans="1:14" x14ac:dyDescent="0.25">
      <c r="A444" s="35" t="s">
        <v>5420</v>
      </c>
      <c r="D444">
        <v>110</v>
      </c>
      <c r="N444">
        <v>110</v>
      </c>
    </row>
    <row r="445" spans="1:14" x14ac:dyDescent="0.25">
      <c r="A445" s="35" t="s">
        <v>1482</v>
      </c>
      <c r="B445">
        <v>240</v>
      </c>
      <c r="D445">
        <v>30</v>
      </c>
      <c r="H445">
        <v>90</v>
      </c>
      <c r="N445">
        <v>360</v>
      </c>
    </row>
    <row r="446" spans="1:14" x14ac:dyDescent="0.25">
      <c r="A446" s="35" t="s">
        <v>5419</v>
      </c>
      <c r="D446">
        <v>500</v>
      </c>
      <c r="N446">
        <v>500</v>
      </c>
    </row>
    <row r="447" spans="1:14" x14ac:dyDescent="0.25">
      <c r="A447" s="34" t="s">
        <v>8881</v>
      </c>
      <c r="G447">
        <v>150</v>
      </c>
      <c r="H447">
        <v>10</v>
      </c>
      <c r="I447">
        <v>275</v>
      </c>
      <c r="J447">
        <v>500</v>
      </c>
      <c r="N447">
        <v>935</v>
      </c>
    </row>
    <row r="448" spans="1:14" x14ac:dyDescent="0.25">
      <c r="A448" s="35" t="s">
        <v>9015</v>
      </c>
      <c r="H448">
        <v>10</v>
      </c>
      <c r="N448">
        <v>10</v>
      </c>
    </row>
    <row r="449" spans="1:14" x14ac:dyDescent="0.25">
      <c r="A449" s="35" t="s">
        <v>8880</v>
      </c>
      <c r="G449">
        <v>150</v>
      </c>
      <c r="I449">
        <v>275</v>
      </c>
      <c r="N449">
        <v>425</v>
      </c>
    </row>
    <row r="450" spans="1:14" x14ac:dyDescent="0.25">
      <c r="A450" s="35" t="s">
        <v>9260</v>
      </c>
      <c r="J450">
        <v>500</v>
      </c>
      <c r="N450">
        <v>500</v>
      </c>
    </row>
    <row r="451" spans="1:14" x14ac:dyDescent="0.25">
      <c r="A451" s="34" t="s">
        <v>34</v>
      </c>
      <c r="B451">
        <v>140</v>
      </c>
      <c r="C451">
        <v>120</v>
      </c>
      <c r="D451">
        <v>30</v>
      </c>
      <c r="E451">
        <v>50</v>
      </c>
      <c r="F451">
        <v>210</v>
      </c>
      <c r="G451">
        <v>80</v>
      </c>
      <c r="H451">
        <v>75</v>
      </c>
      <c r="I451">
        <v>20</v>
      </c>
      <c r="J451">
        <v>60</v>
      </c>
      <c r="K451">
        <v>82.5</v>
      </c>
      <c r="L451">
        <v>60</v>
      </c>
      <c r="N451">
        <v>927.5</v>
      </c>
    </row>
    <row r="452" spans="1:14" x14ac:dyDescent="0.25">
      <c r="A452" s="35" t="s">
        <v>68</v>
      </c>
      <c r="D452">
        <v>30</v>
      </c>
      <c r="F452">
        <v>30</v>
      </c>
      <c r="N452">
        <v>60</v>
      </c>
    </row>
    <row r="453" spans="1:14" x14ac:dyDescent="0.25">
      <c r="A453" s="35" t="s">
        <v>33</v>
      </c>
      <c r="B453">
        <v>140</v>
      </c>
      <c r="C453">
        <v>120</v>
      </c>
      <c r="E453">
        <v>50</v>
      </c>
      <c r="F453">
        <v>180</v>
      </c>
      <c r="G453">
        <v>80</v>
      </c>
      <c r="H453">
        <v>75</v>
      </c>
      <c r="I453">
        <v>20</v>
      </c>
      <c r="J453">
        <v>60</v>
      </c>
      <c r="K453">
        <v>82.5</v>
      </c>
      <c r="L453">
        <v>60</v>
      </c>
      <c r="N453">
        <v>867.5</v>
      </c>
    </row>
    <row r="454" spans="1:14" x14ac:dyDescent="0.25">
      <c r="A454" s="34" t="s">
        <v>2531</v>
      </c>
      <c r="D454">
        <v>205</v>
      </c>
      <c r="E454">
        <v>20</v>
      </c>
      <c r="F454">
        <v>240</v>
      </c>
      <c r="G454">
        <v>220</v>
      </c>
      <c r="H454">
        <v>220</v>
      </c>
      <c r="I454">
        <v>10</v>
      </c>
      <c r="J454">
        <v>10</v>
      </c>
      <c r="N454">
        <v>925</v>
      </c>
    </row>
    <row r="455" spans="1:14" x14ac:dyDescent="0.25">
      <c r="A455" s="35" t="s">
        <v>2530</v>
      </c>
      <c r="D455">
        <v>205</v>
      </c>
      <c r="E455">
        <v>20</v>
      </c>
      <c r="F455">
        <v>240</v>
      </c>
      <c r="G455">
        <v>220</v>
      </c>
      <c r="H455">
        <v>220</v>
      </c>
      <c r="I455">
        <v>10</v>
      </c>
      <c r="J455">
        <v>10</v>
      </c>
      <c r="N455">
        <v>925</v>
      </c>
    </row>
    <row r="456" spans="1:14" x14ac:dyDescent="0.25">
      <c r="A456" s="34" t="s">
        <v>3660</v>
      </c>
      <c r="C456">
        <v>15</v>
      </c>
      <c r="D456">
        <v>5</v>
      </c>
      <c r="E456">
        <v>120</v>
      </c>
      <c r="H456">
        <v>250</v>
      </c>
      <c r="I456">
        <v>250</v>
      </c>
      <c r="J456">
        <v>250</v>
      </c>
      <c r="K456">
        <v>30</v>
      </c>
      <c r="N456">
        <v>920</v>
      </c>
    </row>
    <row r="457" spans="1:14" x14ac:dyDescent="0.25">
      <c r="A457" s="35" t="s">
        <v>6146</v>
      </c>
      <c r="C457">
        <v>15</v>
      </c>
      <c r="D457">
        <v>5</v>
      </c>
      <c r="E457">
        <v>120</v>
      </c>
      <c r="K457">
        <v>30</v>
      </c>
      <c r="N457">
        <v>170</v>
      </c>
    </row>
    <row r="458" spans="1:14" x14ac:dyDescent="0.25">
      <c r="A458" s="35" t="s">
        <v>3659</v>
      </c>
      <c r="H458">
        <v>250</v>
      </c>
      <c r="I458">
        <v>250</v>
      </c>
      <c r="J458">
        <v>250</v>
      </c>
      <c r="N458">
        <v>750</v>
      </c>
    </row>
    <row r="459" spans="1:14" x14ac:dyDescent="0.25">
      <c r="A459" s="34" t="s">
        <v>2855</v>
      </c>
      <c r="F459">
        <v>447.5</v>
      </c>
      <c r="L459">
        <v>275</v>
      </c>
      <c r="M459">
        <v>194</v>
      </c>
      <c r="N459">
        <v>916.5</v>
      </c>
    </row>
    <row r="460" spans="1:14" x14ac:dyDescent="0.25">
      <c r="A460" s="35" t="s">
        <v>143</v>
      </c>
      <c r="F460">
        <v>447.5</v>
      </c>
      <c r="L460">
        <v>275</v>
      </c>
      <c r="M460">
        <v>194</v>
      </c>
      <c r="N460">
        <v>916.5</v>
      </c>
    </row>
    <row r="461" spans="1:14" x14ac:dyDescent="0.25">
      <c r="A461" s="34" t="s">
        <v>3107</v>
      </c>
      <c r="F461">
        <v>900</v>
      </c>
      <c r="N461">
        <v>900</v>
      </c>
    </row>
    <row r="462" spans="1:14" x14ac:dyDescent="0.25">
      <c r="A462" s="35" t="s">
        <v>3106</v>
      </c>
      <c r="F462">
        <v>900</v>
      </c>
      <c r="N462">
        <v>900</v>
      </c>
    </row>
    <row r="463" spans="1:14" x14ac:dyDescent="0.25">
      <c r="A463" s="34" t="s">
        <v>583</v>
      </c>
      <c r="B463">
        <v>90</v>
      </c>
      <c r="D463">
        <v>110</v>
      </c>
      <c r="E463">
        <v>90</v>
      </c>
      <c r="G463">
        <v>55</v>
      </c>
      <c r="H463">
        <v>55</v>
      </c>
      <c r="I463">
        <v>110</v>
      </c>
      <c r="J463">
        <v>110</v>
      </c>
      <c r="K463">
        <v>90</v>
      </c>
      <c r="M463">
        <v>180</v>
      </c>
      <c r="N463">
        <v>890</v>
      </c>
    </row>
    <row r="464" spans="1:14" x14ac:dyDescent="0.25">
      <c r="A464" s="35" t="s">
        <v>582</v>
      </c>
      <c r="B464">
        <v>90</v>
      </c>
      <c r="D464">
        <v>110</v>
      </c>
      <c r="E464">
        <v>90</v>
      </c>
      <c r="G464">
        <v>55</v>
      </c>
      <c r="H464">
        <v>55</v>
      </c>
      <c r="I464">
        <v>110</v>
      </c>
      <c r="J464">
        <v>110</v>
      </c>
      <c r="K464">
        <v>90</v>
      </c>
      <c r="M464">
        <v>180</v>
      </c>
      <c r="N464">
        <v>890</v>
      </c>
    </row>
    <row r="465" spans="1:14" x14ac:dyDescent="0.25">
      <c r="A465" s="34" t="s">
        <v>3651</v>
      </c>
      <c r="J465">
        <v>40</v>
      </c>
      <c r="K465">
        <v>550</v>
      </c>
      <c r="M465">
        <v>275</v>
      </c>
      <c r="N465">
        <v>865</v>
      </c>
    </row>
    <row r="466" spans="1:14" x14ac:dyDescent="0.25">
      <c r="A466" s="35" t="s">
        <v>3650</v>
      </c>
      <c r="J466">
        <v>40</v>
      </c>
      <c r="N466">
        <v>40</v>
      </c>
    </row>
    <row r="467" spans="1:14" x14ac:dyDescent="0.25">
      <c r="A467" s="35" t="s">
        <v>6720</v>
      </c>
      <c r="K467">
        <v>550</v>
      </c>
      <c r="M467">
        <v>275</v>
      </c>
      <c r="N467">
        <v>825</v>
      </c>
    </row>
    <row r="468" spans="1:14" x14ac:dyDescent="0.25">
      <c r="A468" s="34" t="s">
        <v>1490</v>
      </c>
      <c r="B468">
        <v>862.5</v>
      </c>
      <c r="N468">
        <v>862.5</v>
      </c>
    </row>
    <row r="469" spans="1:14" x14ac:dyDescent="0.25">
      <c r="A469" s="35" t="s">
        <v>1489</v>
      </c>
      <c r="B469">
        <v>862.5</v>
      </c>
      <c r="N469">
        <v>862.5</v>
      </c>
    </row>
    <row r="470" spans="1:14" x14ac:dyDescent="0.25">
      <c r="A470" s="34" t="s">
        <v>584</v>
      </c>
      <c r="B470">
        <v>145</v>
      </c>
      <c r="D470">
        <v>55</v>
      </c>
      <c r="E470">
        <v>180</v>
      </c>
      <c r="F470">
        <v>55</v>
      </c>
      <c r="G470">
        <v>55</v>
      </c>
      <c r="H470">
        <v>55</v>
      </c>
      <c r="I470">
        <v>110</v>
      </c>
      <c r="J470">
        <v>110</v>
      </c>
      <c r="K470">
        <v>90</v>
      </c>
      <c r="N470">
        <v>855</v>
      </c>
    </row>
    <row r="471" spans="1:14" x14ac:dyDescent="0.25">
      <c r="A471" s="35" t="s">
        <v>83</v>
      </c>
      <c r="B471">
        <v>145</v>
      </c>
      <c r="D471">
        <v>55</v>
      </c>
      <c r="E471">
        <v>180</v>
      </c>
      <c r="F471">
        <v>55</v>
      </c>
      <c r="G471">
        <v>55</v>
      </c>
      <c r="H471">
        <v>55</v>
      </c>
      <c r="I471">
        <v>110</v>
      </c>
      <c r="J471">
        <v>110</v>
      </c>
      <c r="K471">
        <v>90</v>
      </c>
      <c r="N471">
        <v>855</v>
      </c>
    </row>
    <row r="472" spans="1:14" x14ac:dyDescent="0.25">
      <c r="A472" s="34" t="s">
        <v>1842</v>
      </c>
      <c r="B472">
        <v>7.5</v>
      </c>
      <c r="C472">
        <v>740</v>
      </c>
      <c r="F472">
        <v>100</v>
      </c>
      <c r="N472">
        <v>847.5</v>
      </c>
    </row>
    <row r="473" spans="1:14" x14ac:dyDescent="0.25">
      <c r="A473" s="35" t="s">
        <v>5787</v>
      </c>
      <c r="F473">
        <v>100</v>
      </c>
      <c r="N473">
        <v>100</v>
      </c>
    </row>
    <row r="474" spans="1:14" x14ac:dyDescent="0.25">
      <c r="A474" s="35" t="s">
        <v>1841</v>
      </c>
      <c r="B474">
        <v>7.5</v>
      </c>
      <c r="C474">
        <v>740</v>
      </c>
      <c r="N474">
        <v>747.5</v>
      </c>
    </row>
    <row r="475" spans="1:14" x14ac:dyDescent="0.25">
      <c r="A475" s="34" t="s">
        <v>3532</v>
      </c>
      <c r="B475">
        <v>500</v>
      </c>
      <c r="D475">
        <v>50</v>
      </c>
      <c r="I475">
        <v>275</v>
      </c>
      <c r="N475">
        <v>825</v>
      </c>
    </row>
    <row r="476" spans="1:14" x14ac:dyDescent="0.25">
      <c r="A476" s="35" t="s">
        <v>39</v>
      </c>
      <c r="D476">
        <v>50</v>
      </c>
      <c r="N476">
        <v>50</v>
      </c>
    </row>
    <row r="477" spans="1:14" x14ac:dyDescent="0.25">
      <c r="A477" s="35" t="s">
        <v>3531</v>
      </c>
      <c r="B477">
        <v>500</v>
      </c>
      <c r="I477">
        <v>275</v>
      </c>
      <c r="N477">
        <v>775</v>
      </c>
    </row>
    <row r="478" spans="1:14" x14ac:dyDescent="0.25">
      <c r="A478" s="34" t="s">
        <v>543</v>
      </c>
      <c r="D478">
        <v>220</v>
      </c>
      <c r="F478">
        <v>55</v>
      </c>
      <c r="G478">
        <v>55</v>
      </c>
      <c r="H478">
        <v>477</v>
      </c>
      <c r="N478">
        <v>807</v>
      </c>
    </row>
    <row r="479" spans="1:14" x14ac:dyDescent="0.25">
      <c r="A479" s="35" t="s">
        <v>542</v>
      </c>
      <c r="D479">
        <v>220</v>
      </c>
      <c r="F479">
        <v>55</v>
      </c>
      <c r="G479">
        <v>55</v>
      </c>
      <c r="H479">
        <v>477</v>
      </c>
      <c r="N479">
        <v>807</v>
      </c>
    </row>
    <row r="480" spans="1:14" x14ac:dyDescent="0.25">
      <c r="A480" s="34" t="s">
        <v>6154</v>
      </c>
      <c r="B480">
        <v>60</v>
      </c>
      <c r="D480">
        <v>250</v>
      </c>
      <c r="F480">
        <v>60</v>
      </c>
      <c r="G480">
        <v>60</v>
      </c>
      <c r="I480">
        <v>60</v>
      </c>
      <c r="J480">
        <v>250</v>
      </c>
      <c r="M480">
        <v>60</v>
      </c>
      <c r="N480">
        <v>800</v>
      </c>
    </row>
    <row r="481" spans="1:14" x14ac:dyDescent="0.25">
      <c r="A481" s="35" t="s">
        <v>36</v>
      </c>
      <c r="B481">
        <v>60</v>
      </c>
      <c r="F481">
        <v>60</v>
      </c>
      <c r="G481">
        <v>60</v>
      </c>
      <c r="I481">
        <v>60</v>
      </c>
      <c r="M481">
        <v>60</v>
      </c>
      <c r="N481">
        <v>300</v>
      </c>
    </row>
    <row r="482" spans="1:14" x14ac:dyDescent="0.25">
      <c r="A482" s="35" t="s">
        <v>510</v>
      </c>
      <c r="D482">
        <v>250</v>
      </c>
      <c r="J482">
        <v>250</v>
      </c>
      <c r="N482">
        <v>500</v>
      </c>
    </row>
    <row r="483" spans="1:14" x14ac:dyDescent="0.25">
      <c r="A483" s="34" t="s">
        <v>6374</v>
      </c>
      <c r="H483">
        <v>400</v>
      </c>
      <c r="I483">
        <v>380</v>
      </c>
      <c r="N483">
        <v>780</v>
      </c>
    </row>
    <row r="484" spans="1:14" x14ac:dyDescent="0.25">
      <c r="A484" s="35" t="s">
        <v>6377</v>
      </c>
      <c r="I484">
        <v>250</v>
      </c>
      <c r="N484">
        <v>250</v>
      </c>
    </row>
    <row r="485" spans="1:14" x14ac:dyDescent="0.25">
      <c r="A485" s="35" t="s">
        <v>6373</v>
      </c>
      <c r="H485">
        <v>400</v>
      </c>
      <c r="I485">
        <v>130</v>
      </c>
      <c r="N485">
        <v>530</v>
      </c>
    </row>
    <row r="486" spans="1:14" x14ac:dyDescent="0.25">
      <c r="A486" s="34" t="s">
        <v>2558</v>
      </c>
      <c r="B486">
        <v>220</v>
      </c>
      <c r="D486">
        <v>95</v>
      </c>
      <c r="F486">
        <v>95</v>
      </c>
      <c r="G486">
        <v>105</v>
      </c>
      <c r="H486">
        <v>80</v>
      </c>
      <c r="I486">
        <v>15</v>
      </c>
      <c r="K486">
        <v>40</v>
      </c>
      <c r="M486">
        <v>125</v>
      </c>
      <c r="N486">
        <v>775</v>
      </c>
    </row>
    <row r="487" spans="1:14" x14ac:dyDescent="0.25">
      <c r="A487" s="35" t="s">
        <v>1470</v>
      </c>
      <c r="B487">
        <v>220</v>
      </c>
      <c r="D487">
        <v>95</v>
      </c>
      <c r="F487">
        <v>95</v>
      </c>
      <c r="G487">
        <v>105</v>
      </c>
      <c r="H487">
        <v>80</v>
      </c>
      <c r="I487">
        <v>15</v>
      </c>
      <c r="K487">
        <v>40</v>
      </c>
      <c r="M487">
        <v>125</v>
      </c>
      <c r="N487">
        <v>775</v>
      </c>
    </row>
    <row r="488" spans="1:14" x14ac:dyDescent="0.25">
      <c r="A488" s="34" t="s">
        <v>586</v>
      </c>
      <c r="B488">
        <v>145</v>
      </c>
      <c r="D488">
        <v>55</v>
      </c>
      <c r="E488">
        <v>180</v>
      </c>
      <c r="F488">
        <v>55</v>
      </c>
      <c r="G488">
        <v>55</v>
      </c>
      <c r="H488">
        <v>55</v>
      </c>
      <c r="I488">
        <v>110</v>
      </c>
      <c r="J488">
        <v>110</v>
      </c>
      <c r="N488">
        <v>765</v>
      </c>
    </row>
    <row r="489" spans="1:14" x14ac:dyDescent="0.25">
      <c r="A489" s="35" t="s">
        <v>585</v>
      </c>
      <c r="B489">
        <v>145</v>
      </c>
      <c r="D489">
        <v>55</v>
      </c>
      <c r="E489">
        <v>180</v>
      </c>
      <c r="F489">
        <v>55</v>
      </c>
      <c r="G489">
        <v>55</v>
      </c>
      <c r="H489">
        <v>55</v>
      </c>
      <c r="I489">
        <v>110</v>
      </c>
      <c r="J489">
        <v>110</v>
      </c>
      <c r="N489">
        <v>765</v>
      </c>
    </row>
    <row r="490" spans="1:14" x14ac:dyDescent="0.25">
      <c r="A490" s="34" t="s">
        <v>3628</v>
      </c>
      <c r="D490">
        <v>720</v>
      </c>
      <c r="J490">
        <v>40</v>
      </c>
      <c r="N490">
        <v>760</v>
      </c>
    </row>
    <row r="491" spans="1:14" x14ac:dyDescent="0.25">
      <c r="A491" s="35" t="s">
        <v>3627</v>
      </c>
      <c r="D491">
        <v>720</v>
      </c>
      <c r="J491">
        <v>40</v>
      </c>
      <c r="N491">
        <v>760</v>
      </c>
    </row>
    <row r="492" spans="1:14" x14ac:dyDescent="0.25">
      <c r="A492" s="34" t="s">
        <v>2575</v>
      </c>
      <c r="E492">
        <v>500</v>
      </c>
      <c r="H492">
        <v>250</v>
      </c>
      <c r="N492">
        <v>750</v>
      </c>
    </row>
    <row r="493" spans="1:14" x14ac:dyDescent="0.25">
      <c r="A493" s="35" t="s">
        <v>2574</v>
      </c>
      <c r="E493">
        <v>500</v>
      </c>
      <c r="H493">
        <v>250</v>
      </c>
      <c r="N493">
        <v>750</v>
      </c>
    </row>
    <row r="494" spans="1:14" x14ac:dyDescent="0.25">
      <c r="A494" s="34" t="s">
        <v>1220</v>
      </c>
      <c r="B494">
        <v>250</v>
      </c>
      <c r="L494">
        <v>500</v>
      </c>
      <c r="N494">
        <v>750</v>
      </c>
    </row>
    <row r="495" spans="1:14" x14ac:dyDescent="0.25">
      <c r="A495" s="35" t="s">
        <v>1219</v>
      </c>
      <c r="B495">
        <v>250</v>
      </c>
      <c r="L495">
        <v>500</v>
      </c>
      <c r="N495">
        <v>750</v>
      </c>
    </row>
    <row r="496" spans="1:14" x14ac:dyDescent="0.25">
      <c r="A496" s="34" t="s">
        <v>987</v>
      </c>
      <c r="B496">
        <v>320</v>
      </c>
      <c r="C496">
        <v>250</v>
      </c>
      <c r="D496">
        <v>120</v>
      </c>
      <c r="L496">
        <v>60</v>
      </c>
      <c r="N496">
        <v>750</v>
      </c>
    </row>
    <row r="497" spans="1:14" x14ac:dyDescent="0.25">
      <c r="A497" s="35" t="s">
        <v>986</v>
      </c>
      <c r="B497">
        <v>70</v>
      </c>
      <c r="D497">
        <v>120</v>
      </c>
      <c r="L497">
        <v>60</v>
      </c>
      <c r="N497">
        <v>250</v>
      </c>
    </row>
    <row r="498" spans="1:14" x14ac:dyDescent="0.25">
      <c r="A498" s="35" t="s">
        <v>1748</v>
      </c>
      <c r="B498">
        <v>250</v>
      </c>
      <c r="C498">
        <v>250</v>
      </c>
      <c r="N498">
        <v>500</v>
      </c>
    </row>
    <row r="499" spans="1:14" x14ac:dyDescent="0.25">
      <c r="A499" s="34" t="s">
        <v>6029</v>
      </c>
      <c r="G499">
        <v>720</v>
      </c>
      <c r="N499">
        <v>720</v>
      </c>
    </row>
    <row r="500" spans="1:14" x14ac:dyDescent="0.25">
      <c r="A500" s="35" t="s">
        <v>171</v>
      </c>
      <c r="G500">
        <v>720</v>
      </c>
      <c r="N500">
        <v>720</v>
      </c>
    </row>
    <row r="501" spans="1:14" x14ac:dyDescent="0.25">
      <c r="A501" s="34" t="s">
        <v>916</v>
      </c>
      <c r="B501">
        <v>500</v>
      </c>
      <c r="C501">
        <v>5</v>
      </c>
      <c r="D501">
        <v>12.5</v>
      </c>
      <c r="F501">
        <v>60</v>
      </c>
      <c r="I501">
        <v>5</v>
      </c>
      <c r="L501">
        <v>65</v>
      </c>
      <c r="M501">
        <v>60</v>
      </c>
      <c r="N501">
        <v>707.5</v>
      </c>
    </row>
    <row r="502" spans="1:14" x14ac:dyDescent="0.25">
      <c r="A502" s="35" t="s">
        <v>1239</v>
      </c>
      <c r="C502">
        <v>5</v>
      </c>
      <c r="D502">
        <v>12.5</v>
      </c>
      <c r="F502">
        <v>5</v>
      </c>
      <c r="I502">
        <v>5</v>
      </c>
      <c r="L502">
        <v>5</v>
      </c>
      <c r="N502">
        <v>32.5</v>
      </c>
    </row>
    <row r="503" spans="1:14" x14ac:dyDescent="0.25">
      <c r="A503" s="35" t="s">
        <v>2973</v>
      </c>
      <c r="F503">
        <v>55</v>
      </c>
      <c r="N503">
        <v>55</v>
      </c>
    </row>
    <row r="504" spans="1:14" x14ac:dyDescent="0.25">
      <c r="A504" s="35" t="s">
        <v>915</v>
      </c>
      <c r="L504">
        <v>60</v>
      </c>
      <c r="M504">
        <v>60</v>
      </c>
      <c r="N504">
        <v>120</v>
      </c>
    </row>
    <row r="505" spans="1:14" x14ac:dyDescent="0.25">
      <c r="A505" s="35" t="s">
        <v>3946</v>
      </c>
      <c r="B505">
        <v>500</v>
      </c>
      <c r="N505">
        <v>500</v>
      </c>
    </row>
    <row r="506" spans="1:14" x14ac:dyDescent="0.25">
      <c r="A506" s="34" t="s">
        <v>138</v>
      </c>
      <c r="C506">
        <v>60</v>
      </c>
      <c r="D506">
        <v>100</v>
      </c>
      <c r="E506">
        <v>60</v>
      </c>
      <c r="F506">
        <v>160</v>
      </c>
      <c r="H506">
        <v>325</v>
      </c>
      <c r="N506">
        <v>705</v>
      </c>
    </row>
    <row r="507" spans="1:14" x14ac:dyDescent="0.25">
      <c r="A507" s="35" t="s">
        <v>2884</v>
      </c>
      <c r="F507">
        <v>110</v>
      </c>
      <c r="H507">
        <v>55</v>
      </c>
      <c r="N507">
        <v>165</v>
      </c>
    </row>
    <row r="508" spans="1:14" x14ac:dyDescent="0.25">
      <c r="A508" s="35" t="s">
        <v>1189</v>
      </c>
      <c r="H508">
        <v>270</v>
      </c>
      <c r="N508">
        <v>270</v>
      </c>
    </row>
    <row r="509" spans="1:14" x14ac:dyDescent="0.25">
      <c r="A509" s="35" t="s">
        <v>137</v>
      </c>
      <c r="C509">
        <v>60</v>
      </c>
      <c r="D509">
        <v>100</v>
      </c>
      <c r="E509">
        <v>60</v>
      </c>
      <c r="F509">
        <v>50</v>
      </c>
      <c r="N509">
        <v>270</v>
      </c>
    </row>
    <row r="510" spans="1:14" x14ac:dyDescent="0.25">
      <c r="A510" s="34" t="s">
        <v>6161</v>
      </c>
      <c r="F510">
        <v>500</v>
      </c>
      <c r="G510">
        <v>55</v>
      </c>
      <c r="H510">
        <v>60</v>
      </c>
      <c r="I510">
        <v>70</v>
      </c>
      <c r="N510">
        <v>685</v>
      </c>
    </row>
    <row r="511" spans="1:14" x14ac:dyDescent="0.25">
      <c r="A511" s="35" t="s">
        <v>551</v>
      </c>
      <c r="G511">
        <v>55</v>
      </c>
      <c r="H511">
        <v>60</v>
      </c>
      <c r="I511">
        <v>70</v>
      </c>
      <c r="N511">
        <v>185</v>
      </c>
    </row>
    <row r="512" spans="1:14" x14ac:dyDescent="0.25">
      <c r="A512" s="35" t="s">
        <v>2546</v>
      </c>
      <c r="F512">
        <v>500</v>
      </c>
      <c r="N512">
        <v>500</v>
      </c>
    </row>
    <row r="513" spans="1:14" x14ac:dyDescent="0.25">
      <c r="A513" s="34" t="s">
        <v>6202</v>
      </c>
      <c r="D513">
        <v>440</v>
      </c>
      <c r="H513">
        <v>220</v>
      </c>
      <c r="N513">
        <v>660</v>
      </c>
    </row>
    <row r="514" spans="1:14" x14ac:dyDescent="0.25">
      <c r="A514" s="35" t="s">
        <v>6201</v>
      </c>
      <c r="D514">
        <v>440</v>
      </c>
      <c r="H514">
        <v>220</v>
      </c>
      <c r="N514">
        <v>660</v>
      </c>
    </row>
    <row r="515" spans="1:14" x14ac:dyDescent="0.25">
      <c r="A515" s="34" t="s">
        <v>3023</v>
      </c>
      <c r="B515">
        <v>30</v>
      </c>
      <c r="D515">
        <v>410</v>
      </c>
      <c r="F515">
        <v>100</v>
      </c>
      <c r="K515">
        <v>120</v>
      </c>
      <c r="N515">
        <v>660</v>
      </c>
    </row>
    <row r="516" spans="1:14" x14ac:dyDescent="0.25">
      <c r="A516" s="35" t="s">
        <v>44</v>
      </c>
      <c r="B516">
        <v>30</v>
      </c>
      <c r="D516">
        <v>410</v>
      </c>
      <c r="F516">
        <v>100</v>
      </c>
      <c r="K516">
        <v>120</v>
      </c>
      <c r="N516">
        <v>660</v>
      </c>
    </row>
    <row r="517" spans="1:14" x14ac:dyDescent="0.25">
      <c r="A517" s="34" t="s">
        <v>6164</v>
      </c>
      <c r="B517">
        <v>90</v>
      </c>
      <c r="D517">
        <v>180</v>
      </c>
      <c r="G517">
        <v>210</v>
      </c>
      <c r="H517">
        <v>90</v>
      </c>
      <c r="I517">
        <v>90</v>
      </c>
      <c r="N517">
        <v>660</v>
      </c>
    </row>
    <row r="518" spans="1:14" x14ac:dyDescent="0.25">
      <c r="A518" s="35" t="s">
        <v>2098</v>
      </c>
      <c r="B518">
        <v>90</v>
      </c>
      <c r="D518">
        <v>180</v>
      </c>
      <c r="G518">
        <v>210</v>
      </c>
      <c r="H518">
        <v>90</v>
      </c>
      <c r="I518">
        <v>90</v>
      </c>
      <c r="N518">
        <v>660</v>
      </c>
    </row>
    <row r="519" spans="1:14" x14ac:dyDescent="0.25">
      <c r="A519" s="34" t="s">
        <v>4554</v>
      </c>
      <c r="B519">
        <v>150</v>
      </c>
      <c r="E519">
        <v>225</v>
      </c>
      <c r="F519">
        <v>150</v>
      </c>
      <c r="I519">
        <v>55</v>
      </c>
      <c r="L519">
        <v>75</v>
      </c>
      <c r="N519">
        <v>655</v>
      </c>
    </row>
    <row r="520" spans="1:14" x14ac:dyDescent="0.25">
      <c r="A520" s="35" t="s">
        <v>9028</v>
      </c>
      <c r="I520">
        <v>55</v>
      </c>
      <c r="N520">
        <v>55</v>
      </c>
    </row>
    <row r="521" spans="1:14" x14ac:dyDescent="0.25">
      <c r="A521" s="35" t="s">
        <v>4553</v>
      </c>
      <c r="B521">
        <v>150</v>
      </c>
      <c r="E521">
        <v>225</v>
      </c>
      <c r="F521">
        <v>150</v>
      </c>
      <c r="L521">
        <v>75</v>
      </c>
      <c r="N521">
        <v>600</v>
      </c>
    </row>
    <row r="522" spans="1:14" x14ac:dyDescent="0.25">
      <c r="A522" s="34" t="s">
        <v>2121</v>
      </c>
      <c r="C522">
        <v>60</v>
      </c>
      <c r="D522">
        <v>75</v>
      </c>
      <c r="F522">
        <v>90</v>
      </c>
      <c r="H522">
        <v>120</v>
      </c>
      <c r="I522">
        <v>90</v>
      </c>
      <c r="K522">
        <v>60</v>
      </c>
      <c r="L522">
        <v>150</v>
      </c>
      <c r="M522">
        <v>5</v>
      </c>
      <c r="N522">
        <v>650</v>
      </c>
    </row>
    <row r="523" spans="1:14" x14ac:dyDescent="0.25">
      <c r="A523" s="35" t="s">
        <v>2120</v>
      </c>
      <c r="C523">
        <v>60</v>
      </c>
      <c r="D523">
        <v>75</v>
      </c>
      <c r="F523">
        <v>90</v>
      </c>
      <c r="H523">
        <v>120</v>
      </c>
      <c r="I523">
        <v>90</v>
      </c>
      <c r="K523">
        <v>60</v>
      </c>
      <c r="L523">
        <v>150</v>
      </c>
      <c r="M523">
        <v>5</v>
      </c>
      <c r="N523">
        <v>650</v>
      </c>
    </row>
    <row r="524" spans="1:14" x14ac:dyDescent="0.25">
      <c r="A524" s="34" t="s">
        <v>48</v>
      </c>
      <c r="B524">
        <v>60</v>
      </c>
      <c r="C524">
        <v>150</v>
      </c>
      <c r="D524">
        <v>90</v>
      </c>
      <c r="F524">
        <v>150</v>
      </c>
      <c r="H524">
        <v>60</v>
      </c>
      <c r="K524">
        <v>90</v>
      </c>
      <c r="M524">
        <v>40</v>
      </c>
      <c r="N524">
        <v>640</v>
      </c>
    </row>
    <row r="525" spans="1:14" x14ac:dyDescent="0.25">
      <c r="A525" s="35" t="s">
        <v>1779</v>
      </c>
      <c r="C525">
        <v>55</v>
      </c>
      <c r="N525">
        <v>55</v>
      </c>
    </row>
    <row r="526" spans="1:14" x14ac:dyDescent="0.25">
      <c r="A526" s="35" t="s">
        <v>70</v>
      </c>
      <c r="D526">
        <v>30</v>
      </c>
      <c r="F526">
        <v>30</v>
      </c>
      <c r="N526">
        <v>60</v>
      </c>
    </row>
    <row r="527" spans="1:14" x14ac:dyDescent="0.25">
      <c r="A527" s="35" t="s">
        <v>47</v>
      </c>
      <c r="B527">
        <v>60</v>
      </c>
      <c r="C527">
        <v>95</v>
      </c>
      <c r="D527">
        <v>60</v>
      </c>
      <c r="F527">
        <v>120</v>
      </c>
      <c r="H527">
        <v>60</v>
      </c>
      <c r="K527">
        <v>90</v>
      </c>
      <c r="M527">
        <v>40</v>
      </c>
      <c r="N527">
        <v>525</v>
      </c>
    </row>
    <row r="528" spans="1:14" x14ac:dyDescent="0.25">
      <c r="A528" s="34" t="s">
        <v>6401</v>
      </c>
      <c r="H528">
        <v>145</v>
      </c>
      <c r="I528">
        <v>340</v>
      </c>
      <c r="K528">
        <v>150</v>
      </c>
      <c r="N528">
        <v>635</v>
      </c>
    </row>
    <row r="529" spans="1:14" x14ac:dyDescent="0.25">
      <c r="A529" s="35" t="s">
        <v>8981</v>
      </c>
      <c r="H529">
        <v>55</v>
      </c>
      <c r="N529">
        <v>55</v>
      </c>
    </row>
    <row r="530" spans="1:14" x14ac:dyDescent="0.25">
      <c r="A530" s="35" t="s">
        <v>9148</v>
      </c>
      <c r="I530">
        <v>250</v>
      </c>
      <c r="N530">
        <v>250</v>
      </c>
    </row>
    <row r="531" spans="1:14" x14ac:dyDescent="0.25">
      <c r="A531" s="35" t="s">
        <v>6400</v>
      </c>
      <c r="H531">
        <v>90</v>
      </c>
      <c r="I531">
        <v>90</v>
      </c>
      <c r="K531">
        <v>150</v>
      </c>
      <c r="N531">
        <v>330</v>
      </c>
    </row>
    <row r="532" spans="1:14" x14ac:dyDescent="0.25">
      <c r="A532" s="34" t="s">
        <v>2073</v>
      </c>
      <c r="C532">
        <v>30</v>
      </c>
      <c r="E532">
        <v>180</v>
      </c>
      <c r="G532">
        <v>60</v>
      </c>
      <c r="H532">
        <v>360</v>
      </c>
      <c r="N532">
        <v>630</v>
      </c>
    </row>
    <row r="533" spans="1:14" x14ac:dyDescent="0.25">
      <c r="A533" s="35" t="s">
        <v>1729</v>
      </c>
      <c r="C533">
        <v>30</v>
      </c>
      <c r="E533">
        <v>180</v>
      </c>
      <c r="G533">
        <v>60</v>
      </c>
      <c r="H533">
        <v>360</v>
      </c>
      <c r="N533">
        <v>630</v>
      </c>
    </row>
    <row r="534" spans="1:14" x14ac:dyDescent="0.25">
      <c r="A534" s="34" t="s">
        <v>1568</v>
      </c>
      <c r="B534">
        <v>230</v>
      </c>
      <c r="C534">
        <v>180</v>
      </c>
      <c r="M534">
        <v>180</v>
      </c>
      <c r="N534">
        <v>590</v>
      </c>
    </row>
    <row r="535" spans="1:14" x14ac:dyDescent="0.25">
      <c r="A535" s="35" t="s">
        <v>1120</v>
      </c>
      <c r="B535">
        <v>230</v>
      </c>
      <c r="C535">
        <v>180</v>
      </c>
      <c r="M535">
        <v>180</v>
      </c>
      <c r="N535">
        <v>590</v>
      </c>
    </row>
    <row r="536" spans="1:14" x14ac:dyDescent="0.25">
      <c r="A536" s="34" t="s">
        <v>6490</v>
      </c>
      <c r="B536">
        <v>55</v>
      </c>
      <c r="C536">
        <v>5</v>
      </c>
      <c r="E536">
        <v>60</v>
      </c>
      <c r="H536">
        <v>90</v>
      </c>
      <c r="J536">
        <v>240</v>
      </c>
      <c r="L536">
        <v>35</v>
      </c>
      <c r="M536">
        <v>70</v>
      </c>
      <c r="N536">
        <v>555</v>
      </c>
    </row>
    <row r="537" spans="1:14" x14ac:dyDescent="0.25">
      <c r="A537" s="35" t="s">
        <v>7600</v>
      </c>
      <c r="B537">
        <v>55</v>
      </c>
      <c r="N537">
        <v>55</v>
      </c>
    </row>
    <row r="538" spans="1:14" x14ac:dyDescent="0.25">
      <c r="A538" s="35" t="s">
        <v>6489</v>
      </c>
      <c r="C538">
        <v>5</v>
      </c>
      <c r="E538">
        <v>60</v>
      </c>
      <c r="H538">
        <v>90</v>
      </c>
      <c r="J538">
        <v>240</v>
      </c>
      <c r="L538">
        <v>35</v>
      </c>
      <c r="M538">
        <v>70</v>
      </c>
      <c r="N538">
        <v>500</v>
      </c>
    </row>
    <row r="539" spans="1:14" x14ac:dyDescent="0.25">
      <c r="A539" s="34" t="s">
        <v>6139</v>
      </c>
      <c r="B539">
        <v>90</v>
      </c>
      <c r="D539">
        <v>90</v>
      </c>
      <c r="G539">
        <v>190</v>
      </c>
      <c r="I539">
        <v>180</v>
      </c>
      <c r="N539">
        <v>550</v>
      </c>
    </row>
    <row r="540" spans="1:14" x14ac:dyDescent="0.25">
      <c r="A540" s="35" t="s">
        <v>6138</v>
      </c>
      <c r="B540">
        <v>90</v>
      </c>
      <c r="D540">
        <v>90</v>
      </c>
      <c r="G540">
        <v>190</v>
      </c>
      <c r="I540">
        <v>180</v>
      </c>
      <c r="N540">
        <v>550</v>
      </c>
    </row>
    <row r="541" spans="1:14" x14ac:dyDescent="0.25">
      <c r="A541" s="34" t="s">
        <v>7646</v>
      </c>
      <c r="C541">
        <v>550</v>
      </c>
      <c r="N541">
        <v>550</v>
      </c>
    </row>
    <row r="542" spans="1:14" x14ac:dyDescent="0.25">
      <c r="A542" s="35" t="s">
        <v>7645</v>
      </c>
      <c r="C542">
        <v>550</v>
      </c>
      <c r="N542">
        <v>550</v>
      </c>
    </row>
    <row r="543" spans="1:14" x14ac:dyDescent="0.25">
      <c r="A543" s="34" t="s">
        <v>6169</v>
      </c>
      <c r="D543">
        <v>180</v>
      </c>
      <c r="G543">
        <v>360</v>
      </c>
      <c r="N543">
        <v>540</v>
      </c>
    </row>
    <row r="544" spans="1:14" x14ac:dyDescent="0.25">
      <c r="A544" s="35" t="s">
        <v>1470</v>
      </c>
      <c r="D544">
        <v>180</v>
      </c>
      <c r="G544">
        <v>360</v>
      </c>
      <c r="N544">
        <v>540</v>
      </c>
    </row>
    <row r="545" spans="1:14" x14ac:dyDescent="0.25">
      <c r="A545" s="34" t="s">
        <v>2131</v>
      </c>
      <c r="C545">
        <v>540</v>
      </c>
      <c r="N545">
        <v>540</v>
      </c>
    </row>
    <row r="546" spans="1:14" x14ac:dyDescent="0.25">
      <c r="A546" s="35" t="s">
        <v>2130</v>
      </c>
      <c r="C546">
        <v>540</v>
      </c>
      <c r="N546">
        <v>540</v>
      </c>
    </row>
    <row r="547" spans="1:14" x14ac:dyDescent="0.25">
      <c r="A547" s="34" t="s">
        <v>1773</v>
      </c>
      <c r="E547">
        <v>180</v>
      </c>
      <c r="F547">
        <v>360</v>
      </c>
      <c r="N547">
        <v>540</v>
      </c>
    </row>
    <row r="548" spans="1:14" x14ac:dyDescent="0.25">
      <c r="A548" s="35" t="s">
        <v>2832</v>
      </c>
      <c r="E548">
        <v>180</v>
      </c>
      <c r="F548">
        <v>360</v>
      </c>
      <c r="N548">
        <v>540</v>
      </c>
    </row>
    <row r="549" spans="1:14" x14ac:dyDescent="0.25">
      <c r="A549" s="34" t="s">
        <v>6241</v>
      </c>
      <c r="H549">
        <v>540</v>
      </c>
      <c r="N549">
        <v>540</v>
      </c>
    </row>
    <row r="550" spans="1:14" x14ac:dyDescent="0.25">
      <c r="A550" s="35" t="s">
        <v>25</v>
      </c>
      <c r="H550">
        <v>540</v>
      </c>
      <c r="N550">
        <v>540</v>
      </c>
    </row>
    <row r="551" spans="1:14" x14ac:dyDescent="0.25">
      <c r="A551" s="34" t="s">
        <v>7383</v>
      </c>
      <c r="B551">
        <v>540</v>
      </c>
      <c r="N551">
        <v>540</v>
      </c>
    </row>
    <row r="552" spans="1:14" x14ac:dyDescent="0.25">
      <c r="A552" s="35" t="s">
        <v>143</v>
      </c>
      <c r="B552">
        <v>540</v>
      </c>
      <c r="N552">
        <v>540</v>
      </c>
    </row>
    <row r="553" spans="1:14" x14ac:dyDescent="0.25">
      <c r="A553" s="34" t="s">
        <v>5740</v>
      </c>
      <c r="D553">
        <v>250</v>
      </c>
      <c r="E553">
        <v>260</v>
      </c>
      <c r="N553">
        <v>510</v>
      </c>
    </row>
    <row r="554" spans="1:14" x14ac:dyDescent="0.25">
      <c r="A554" s="35" t="s">
        <v>5739</v>
      </c>
      <c r="D554">
        <v>250</v>
      </c>
      <c r="E554">
        <v>260</v>
      </c>
      <c r="N554">
        <v>510</v>
      </c>
    </row>
    <row r="555" spans="1:14" x14ac:dyDescent="0.25">
      <c r="A555" s="34" t="s">
        <v>3280</v>
      </c>
      <c r="H555">
        <v>500</v>
      </c>
      <c r="N555">
        <v>500</v>
      </c>
    </row>
    <row r="556" spans="1:14" x14ac:dyDescent="0.25">
      <c r="A556" s="35" t="s">
        <v>3279</v>
      </c>
      <c r="H556">
        <v>500</v>
      </c>
      <c r="N556">
        <v>500</v>
      </c>
    </row>
    <row r="557" spans="1:14" x14ac:dyDescent="0.25">
      <c r="A557" s="34" t="s">
        <v>7978</v>
      </c>
      <c r="D557">
        <v>500</v>
      </c>
      <c r="N557">
        <v>500</v>
      </c>
    </row>
    <row r="558" spans="1:14" x14ac:dyDescent="0.25">
      <c r="A558" s="35" t="s">
        <v>7977</v>
      </c>
      <c r="D558">
        <v>500</v>
      </c>
      <c r="N558">
        <v>500</v>
      </c>
    </row>
    <row r="559" spans="1:14" x14ac:dyDescent="0.25">
      <c r="A559" s="34" t="s">
        <v>8257</v>
      </c>
      <c r="D559">
        <v>500</v>
      </c>
      <c r="N559">
        <v>500</v>
      </c>
    </row>
    <row r="560" spans="1:14" x14ac:dyDescent="0.25">
      <c r="A560" s="35" t="s">
        <v>8256</v>
      </c>
      <c r="D560">
        <v>500</v>
      </c>
      <c r="N560">
        <v>500</v>
      </c>
    </row>
    <row r="561" spans="1:14" x14ac:dyDescent="0.25">
      <c r="A561" s="34" t="s">
        <v>4499</v>
      </c>
      <c r="G561">
        <v>250</v>
      </c>
      <c r="M561">
        <v>250</v>
      </c>
      <c r="N561">
        <v>500</v>
      </c>
    </row>
    <row r="562" spans="1:14" x14ac:dyDescent="0.25">
      <c r="A562" s="35" t="s">
        <v>4498</v>
      </c>
      <c r="G562">
        <v>250</v>
      </c>
      <c r="M562">
        <v>250</v>
      </c>
      <c r="N562">
        <v>500</v>
      </c>
    </row>
    <row r="563" spans="1:14" x14ac:dyDescent="0.25">
      <c r="A563" s="34" t="s">
        <v>3356</v>
      </c>
      <c r="F563">
        <v>250</v>
      </c>
      <c r="H563">
        <v>250</v>
      </c>
      <c r="N563">
        <v>500</v>
      </c>
    </row>
    <row r="564" spans="1:14" x14ac:dyDescent="0.25">
      <c r="A564" s="35" t="s">
        <v>2546</v>
      </c>
      <c r="F564">
        <v>250</v>
      </c>
      <c r="H564">
        <v>250</v>
      </c>
      <c r="N564">
        <v>500</v>
      </c>
    </row>
    <row r="565" spans="1:14" x14ac:dyDescent="0.25">
      <c r="A565" s="34" t="s">
        <v>2545</v>
      </c>
      <c r="D565">
        <v>275</v>
      </c>
      <c r="E565">
        <v>110</v>
      </c>
      <c r="F565">
        <v>110</v>
      </c>
      <c r="N565">
        <v>495</v>
      </c>
    </row>
    <row r="566" spans="1:14" x14ac:dyDescent="0.25">
      <c r="A566" s="35" t="s">
        <v>1779</v>
      </c>
      <c r="D566">
        <v>275</v>
      </c>
      <c r="E566">
        <v>110</v>
      </c>
      <c r="F566">
        <v>110</v>
      </c>
      <c r="N566">
        <v>495</v>
      </c>
    </row>
    <row r="567" spans="1:14" x14ac:dyDescent="0.25">
      <c r="A567" s="34" t="s">
        <v>8297</v>
      </c>
      <c r="E567">
        <v>485</v>
      </c>
      <c r="N567">
        <v>485</v>
      </c>
    </row>
    <row r="568" spans="1:14" x14ac:dyDescent="0.25">
      <c r="A568" s="35" t="s">
        <v>143</v>
      </c>
      <c r="E568">
        <v>485</v>
      </c>
      <c r="N568">
        <v>485</v>
      </c>
    </row>
    <row r="569" spans="1:14" x14ac:dyDescent="0.25">
      <c r="A569" s="34" t="s">
        <v>8506</v>
      </c>
      <c r="E569">
        <v>480</v>
      </c>
      <c r="N569">
        <v>480</v>
      </c>
    </row>
    <row r="570" spans="1:14" x14ac:dyDescent="0.25">
      <c r="A570" s="35" t="s">
        <v>1404</v>
      </c>
      <c r="E570">
        <v>480</v>
      </c>
      <c r="N570">
        <v>480</v>
      </c>
    </row>
    <row r="571" spans="1:14" x14ac:dyDescent="0.25">
      <c r="A571" s="34" t="s">
        <v>45</v>
      </c>
      <c r="B571">
        <v>30</v>
      </c>
      <c r="C571">
        <v>60</v>
      </c>
      <c r="D571">
        <v>60</v>
      </c>
      <c r="F571">
        <v>120</v>
      </c>
      <c r="H571">
        <v>60</v>
      </c>
      <c r="K571">
        <v>30</v>
      </c>
      <c r="M571">
        <v>120</v>
      </c>
      <c r="N571">
        <v>480</v>
      </c>
    </row>
    <row r="572" spans="1:14" x14ac:dyDescent="0.25">
      <c r="A572" s="35" t="s">
        <v>44</v>
      </c>
      <c r="B572">
        <v>30</v>
      </c>
      <c r="C572">
        <v>60</v>
      </c>
      <c r="D572">
        <v>60</v>
      </c>
      <c r="F572">
        <v>120</v>
      </c>
      <c r="H572">
        <v>60</v>
      </c>
      <c r="K572">
        <v>30</v>
      </c>
      <c r="M572">
        <v>120</v>
      </c>
      <c r="N572">
        <v>480</v>
      </c>
    </row>
    <row r="573" spans="1:14" x14ac:dyDescent="0.25">
      <c r="A573" s="34" t="s">
        <v>94</v>
      </c>
      <c r="B573">
        <v>60</v>
      </c>
      <c r="D573">
        <v>60</v>
      </c>
      <c r="I573">
        <v>110</v>
      </c>
      <c r="J573">
        <v>180</v>
      </c>
      <c r="K573">
        <v>60</v>
      </c>
      <c r="N573">
        <v>470</v>
      </c>
    </row>
    <row r="574" spans="1:14" x14ac:dyDescent="0.25">
      <c r="A574" s="35" t="s">
        <v>9130</v>
      </c>
      <c r="I574">
        <v>110</v>
      </c>
      <c r="N574">
        <v>110</v>
      </c>
    </row>
    <row r="575" spans="1:14" x14ac:dyDescent="0.25">
      <c r="A575" s="35" t="s">
        <v>3877</v>
      </c>
      <c r="B575">
        <v>60</v>
      </c>
      <c r="D575">
        <v>60</v>
      </c>
      <c r="J575">
        <v>180</v>
      </c>
      <c r="K575">
        <v>60</v>
      </c>
      <c r="N575">
        <v>360</v>
      </c>
    </row>
    <row r="576" spans="1:14" x14ac:dyDescent="0.25">
      <c r="A576" s="34" t="s">
        <v>3410</v>
      </c>
      <c r="H576">
        <v>452.48</v>
      </c>
      <c r="N576">
        <v>452.48</v>
      </c>
    </row>
    <row r="577" spans="1:14" x14ac:dyDescent="0.25">
      <c r="A577" s="35" t="s">
        <v>3409</v>
      </c>
      <c r="H577">
        <v>452.48</v>
      </c>
      <c r="N577">
        <v>452.48</v>
      </c>
    </row>
    <row r="578" spans="1:14" x14ac:dyDescent="0.25">
      <c r="A578" s="34" t="s">
        <v>3363</v>
      </c>
      <c r="G578">
        <v>150</v>
      </c>
      <c r="H578">
        <v>150</v>
      </c>
      <c r="I578">
        <v>150</v>
      </c>
      <c r="N578">
        <v>450</v>
      </c>
    </row>
    <row r="579" spans="1:14" x14ac:dyDescent="0.25">
      <c r="A579" s="35" t="s">
        <v>3362</v>
      </c>
      <c r="G579">
        <v>150</v>
      </c>
      <c r="H579">
        <v>150</v>
      </c>
      <c r="I579">
        <v>150</v>
      </c>
      <c r="N579">
        <v>450</v>
      </c>
    </row>
    <row r="580" spans="1:14" x14ac:dyDescent="0.25">
      <c r="A580" s="34" t="s">
        <v>8021</v>
      </c>
      <c r="D580">
        <v>85</v>
      </c>
      <c r="E580">
        <v>360</v>
      </c>
      <c r="N580">
        <v>445</v>
      </c>
    </row>
    <row r="581" spans="1:14" x14ac:dyDescent="0.25">
      <c r="A581" s="35" t="s">
        <v>6512</v>
      </c>
      <c r="D581">
        <v>85</v>
      </c>
      <c r="E581">
        <v>360</v>
      </c>
      <c r="N581">
        <v>445</v>
      </c>
    </row>
    <row r="582" spans="1:14" x14ac:dyDescent="0.25">
      <c r="A582" s="34" t="s">
        <v>589</v>
      </c>
      <c r="E582">
        <v>220</v>
      </c>
      <c r="F582">
        <v>220</v>
      </c>
      <c r="N582">
        <v>440</v>
      </c>
    </row>
    <row r="583" spans="1:14" x14ac:dyDescent="0.25">
      <c r="A583" s="35" t="s">
        <v>143</v>
      </c>
      <c r="E583">
        <v>220</v>
      </c>
      <c r="F583">
        <v>220</v>
      </c>
      <c r="N583">
        <v>440</v>
      </c>
    </row>
    <row r="584" spans="1:14" x14ac:dyDescent="0.25">
      <c r="A584" s="34" t="s">
        <v>1794</v>
      </c>
      <c r="C584">
        <v>440</v>
      </c>
      <c r="N584">
        <v>440</v>
      </c>
    </row>
    <row r="585" spans="1:14" x14ac:dyDescent="0.25">
      <c r="A585" s="35" t="s">
        <v>143</v>
      </c>
      <c r="C585">
        <v>440</v>
      </c>
      <c r="N585">
        <v>440</v>
      </c>
    </row>
    <row r="586" spans="1:14" x14ac:dyDescent="0.25">
      <c r="A586" s="34" t="s">
        <v>2167</v>
      </c>
      <c r="C586">
        <v>60</v>
      </c>
      <c r="D586">
        <v>60</v>
      </c>
      <c r="H586">
        <v>10</v>
      </c>
      <c r="J586">
        <v>70</v>
      </c>
      <c r="K586">
        <v>225</v>
      </c>
      <c r="N586">
        <v>425</v>
      </c>
    </row>
    <row r="587" spans="1:14" x14ac:dyDescent="0.25">
      <c r="A587" s="35" t="s">
        <v>3664</v>
      </c>
      <c r="K587">
        <v>110</v>
      </c>
      <c r="N587">
        <v>110</v>
      </c>
    </row>
    <row r="588" spans="1:14" x14ac:dyDescent="0.25">
      <c r="A588" s="35" t="s">
        <v>2166</v>
      </c>
      <c r="C588">
        <v>60</v>
      </c>
      <c r="D588">
        <v>60</v>
      </c>
      <c r="H588">
        <v>10</v>
      </c>
      <c r="J588">
        <v>70</v>
      </c>
      <c r="K588">
        <v>115</v>
      </c>
      <c r="N588">
        <v>315</v>
      </c>
    </row>
    <row r="589" spans="1:14" x14ac:dyDescent="0.25">
      <c r="A589" s="34" t="s">
        <v>552</v>
      </c>
      <c r="D589">
        <v>360</v>
      </c>
      <c r="G589">
        <v>55</v>
      </c>
      <c r="N589">
        <v>415</v>
      </c>
    </row>
    <row r="590" spans="1:14" x14ac:dyDescent="0.25">
      <c r="A590" s="35" t="s">
        <v>2547</v>
      </c>
      <c r="D590">
        <v>110</v>
      </c>
      <c r="G590">
        <v>55</v>
      </c>
      <c r="N590">
        <v>165</v>
      </c>
    </row>
    <row r="591" spans="1:14" x14ac:dyDescent="0.25">
      <c r="A591" s="35" t="s">
        <v>2546</v>
      </c>
      <c r="D591">
        <v>250</v>
      </c>
      <c r="N591">
        <v>250</v>
      </c>
    </row>
    <row r="592" spans="1:14" x14ac:dyDescent="0.25">
      <c r="A592" s="34" t="s">
        <v>6080</v>
      </c>
      <c r="D592">
        <v>90</v>
      </c>
      <c r="E592">
        <v>5</v>
      </c>
      <c r="F592">
        <v>170</v>
      </c>
      <c r="G592">
        <v>22.5</v>
      </c>
      <c r="J592">
        <v>60</v>
      </c>
      <c r="M592">
        <v>60</v>
      </c>
      <c r="N592">
        <v>407.5</v>
      </c>
    </row>
    <row r="593" spans="1:14" x14ac:dyDescent="0.25">
      <c r="A593" s="35" t="s">
        <v>6079</v>
      </c>
      <c r="D593">
        <v>90</v>
      </c>
      <c r="E593">
        <v>5</v>
      </c>
      <c r="F593">
        <v>170</v>
      </c>
      <c r="G593">
        <v>22.5</v>
      </c>
      <c r="J593">
        <v>60</v>
      </c>
      <c r="M593">
        <v>60</v>
      </c>
      <c r="N593">
        <v>407.5</v>
      </c>
    </row>
    <row r="594" spans="1:14" x14ac:dyDescent="0.25">
      <c r="A594" s="34" t="s">
        <v>3922</v>
      </c>
      <c r="B594">
        <v>105</v>
      </c>
      <c r="K594">
        <v>250</v>
      </c>
      <c r="L594">
        <v>50</v>
      </c>
      <c r="N594">
        <v>405</v>
      </c>
    </row>
    <row r="595" spans="1:14" x14ac:dyDescent="0.25">
      <c r="A595" s="35" t="s">
        <v>1470</v>
      </c>
      <c r="B595">
        <v>105</v>
      </c>
      <c r="L595">
        <v>50</v>
      </c>
      <c r="N595">
        <v>155</v>
      </c>
    </row>
    <row r="596" spans="1:14" x14ac:dyDescent="0.25">
      <c r="A596" s="35" t="s">
        <v>3329</v>
      </c>
      <c r="K596">
        <v>250</v>
      </c>
      <c r="N596">
        <v>250</v>
      </c>
    </row>
    <row r="597" spans="1:14" x14ac:dyDescent="0.25">
      <c r="A597" s="34" t="s">
        <v>7002</v>
      </c>
      <c r="B597">
        <v>90</v>
      </c>
      <c r="F597">
        <v>60</v>
      </c>
      <c r="L597">
        <v>250</v>
      </c>
      <c r="N597">
        <v>400</v>
      </c>
    </row>
    <row r="598" spans="1:14" x14ac:dyDescent="0.25">
      <c r="A598" s="35" t="s">
        <v>1470</v>
      </c>
      <c r="B598">
        <v>90</v>
      </c>
      <c r="F598">
        <v>60</v>
      </c>
      <c r="N598">
        <v>150</v>
      </c>
    </row>
    <row r="599" spans="1:14" x14ac:dyDescent="0.25">
      <c r="A599" s="35" t="s">
        <v>3329</v>
      </c>
      <c r="L599">
        <v>250</v>
      </c>
      <c r="N599">
        <v>250</v>
      </c>
    </row>
    <row r="600" spans="1:14" x14ac:dyDescent="0.25">
      <c r="A600" s="34" t="s">
        <v>2541</v>
      </c>
      <c r="D600">
        <v>55</v>
      </c>
      <c r="F600">
        <v>165</v>
      </c>
      <c r="G600">
        <v>55</v>
      </c>
      <c r="H600">
        <v>110</v>
      </c>
      <c r="N600">
        <v>385</v>
      </c>
    </row>
    <row r="601" spans="1:14" x14ac:dyDescent="0.25">
      <c r="A601" s="35" t="s">
        <v>2540</v>
      </c>
      <c r="D601">
        <v>55</v>
      </c>
      <c r="F601">
        <v>165</v>
      </c>
      <c r="G601">
        <v>55</v>
      </c>
      <c r="H601">
        <v>110</v>
      </c>
      <c r="N601">
        <v>385</v>
      </c>
    </row>
    <row r="602" spans="1:14" x14ac:dyDescent="0.25">
      <c r="A602" s="34" t="s">
        <v>2426</v>
      </c>
      <c r="B602">
        <v>60</v>
      </c>
      <c r="D602">
        <v>40</v>
      </c>
      <c r="E602">
        <v>7.5</v>
      </c>
      <c r="F602">
        <v>107.5</v>
      </c>
      <c r="G602">
        <v>15</v>
      </c>
      <c r="I602">
        <v>35</v>
      </c>
      <c r="K602">
        <v>10</v>
      </c>
      <c r="L602">
        <v>60</v>
      </c>
      <c r="M602">
        <v>42.5</v>
      </c>
      <c r="N602">
        <v>377.5</v>
      </c>
    </row>
    <row r="603" spans="1:14" x14ac:dyDescent="0.25">
      <c r="A603" s="35" t="s">
        <v>2547</v>
      </c>
      <c r="F603">
        <v>55</v>
      </c>
      <c r="N603">
        <v>55</v>
      </c>
    </row>
    <row r="604" spans="1:14" x14ac:dyDescent="0.25">
      <c r="A604" s="35" t="s">
        <v>551</v>
      </c>
      <c r="B604">
        <v>60</v>
      </c>
      <c r="D604">
        <v>40</v>
      </c>
      <c r="E604">
        <v>7.5</v>
      </c>
      <c r="F604">
        <v>52.5</v>
      </c>
      <c r="G604">
        <v>15</v>
      </c>
      <c r="I604">
        <v>35</v>
      </c>
      <c r="K604">
        <v>10</v>
      </c>
      <c r="L604">
        <v>60</v>
      </c>
      <c r="M604">
        <v>42.5</v>
      </c>
      <c r="N604">
        <v>322.5</v>
      </c>
    </row>
    <row r="605" spans="1:14" x14ac:dyDescent="0.25">
      <c r="A605" s="34" t="s">
        <v>6137</v>
      </c>
      <c r="B605">
        <v>90</v>
      </c>
      <c r="G605">
        <v>190</v>
      </c>
      <c r="I605">
        <v>95</v>
      </c>
      <c r="N605">
        <v>375</v>
      </c>
    </row>
    <row r="606" spans="1:14" x14ac:dyDescent="0.25">
      <c r="A606" s="35" t="s">
        <v>6136</v>
      </c>
      <c r="B606">
        <v>90</v>
      </c>
      <c r="G606">
        <v>190</v>
      </c>
      <c r="I606">
        <v>95</v>
      </c>
      <c r="N606">
        <v>375</v>
      </c>
    </row>
    <row r="607" spans="1:14" x14ac:dyDescent="0.25">
      <c r="A607" s="34" t="s">
        <v>4233</v>
      </c>
      <c r="D607">
        <v>120</v>
      </c>
      <c r="L607">
        <v>2.5</v>
      </c>
      <c r="M607">
        <v>250</v>
      </c>
      <c r="N607">
        <v>372.5</v>
      </c>
    </row>
    <row r="608" spans="1:14" x14ac:dyDescent="0.25">
      <c r="A608" s="35" t="s">
        <v>2166</v>
      </c>
      <c r="L608">
        <v>2.5</v>
      </c>
      <c r="N608">
        <v>2.5</v>
      </c>
    </row>
    <row r="609" spans="1:14" x14ac:dyDescent="0.25">
      <c r="A609" s="35" t="s">
        <v>8195</v>
      </c>
      <c r="D609">
        <v>120</v>
      </c>
      <c r="N609">
        <v>120</v>
      </c>
    </row>
    <row r="610" spans="1:14" x14ac:dyDescent="0.25">
      <c r="A610" s="35" t="s">
        <v>4504</v>
      </c>
      <c r="M610">
        <v>250</v>
      </c>
      <c r="N610">
        <v>250</v>
      </c>
    </row>
    <row r="611" spans="1:14" x14ac:dyDescent="0.25">
      <c r="A611" s="34" t="s">
        <v>1493</v>
      </c>
      <c r="B611">
        <v>90</v>
      </c>
      <c r="H611">
        <v>153</v>
      </c>
      <c r="M611">
        <v>125</v>
      </c>
      <c r="N611">
        <v>368</v>
      </c>
    </row>
    <row r="612" spans="1:14" x14ac:dyDescent="0.25">
      <c r="A612" s="35" t="s">
        <v>531</v>
      </c>
      <c r="B612">
        <v>30</v>
      </c>
      <c r="N612">
        <v>30</v>
      </c>
    </row>
    <row r="613" spans="1:14" x14ac:dyDescent="0.25">
      <c r="A613" s="35" t="s">
        <v>200</v>
      </c>
      <c r="B613">
        <v>60</v>
      </c>
      <c r="N613">
        <v>60</v>
      </c>
    </row>
    <row r="614" spans="1:14" x14ac:dyDescent="0.25">
      <c r="A614" s="35" t="s">
        <v>6239</v>
      </c>
      <c r="H614">
        <v>153</v>
      </c>
      <c r="M614">
        <v>125</v>
      </c>
      <c r="N614">
        <v>278</v>
      </c>
    </row>
    <row r="615" spans="1:14" x14ac:dyDescent="0.25">
      <c r="A615" s="34" t="s">
        <v>5928</v>
      </c>
      <c r="F615">
        <v>360</v>
      </c>
      <c r="N615">
        <v>360</v>
      </c>
    </row>
    <row r="616" spans="1:14" x14ac:dyDescent="0.25">
      <c r="A616" s="35" t="s">
        <v>1501</v>
      </c>
      <c r="F616">
        <v>360</v>
      </c>
      <c r="N616">
        <v>360</v>
      </c>
    </row>
    <row r="617" spans="1:14" x14ac:dyDescent="0.25">
      <c r="A617" s="34" t="s">
        <v>5393</v>
      </c>
      <c r="D617">
        <v>180</v>
      </c>
      <c r="M617">
        <v>180</v>
      </c>
      <c r="N617">
        <v>360</v>
      </c>
    </row>
    <row r="618" spans="1:14" x14ac:dyDescent="0.25">
      <c r="A618" s="35" t="s">
        <v>5392</v>
      </c>
      <c r="D618">
        <v>180</v>
      </c>
      <c r="M618">
        <v>180</v>
      </c>
      <c r="N618">
        <v>360</v>
      </c>
    </row>
    <row r="619" spans="1:14" x14ac:dyDescent="0.25">
      <c r="A619" s="34" t="s">
        <v>6513</v>
      </c>
      <c r="J619">
        <v>180</v>
      </c>
      <c r="M619">
        <v>180</v>
      </c>
      <c r="N619">
        <v>360</v>
      </c>
    </row>
    <row r="620" spans="1:14" x14ac:dyDescent="0.25">
      <c r="A620" s="35" t="s">
        <v>6512</v>
      </c>
      <c r="J620">
        <v>180</v>
      </c>
      <c r="M620">
        <v>180</v>
      </c>
      <c r="N620">
        <v>360</v>
      </c>
    </row>
    <row r="621" spans="1:14" x14ac:dyDescent="0.25">
      <c r="A621" s="34" t="s">
        <v>3566</v>
      </c>
      <c r="E621">
        <v>180</v>
      </c>
      <c r="J621">
        <v>180</v>
      </c>
      <c r="N621">
        <v>360</v>
      </c>
    </row>
    <row r="622" spans="1:14" x14ac:dyDescent="0.25">
      <c r="A622" s="35" t="s">
        <v>3565</v>
      </c>
      <c r="E622">
        <v>180</v>
      </c>
      <c r="J622">
        <v>180</v>
      </c>
      <c r="N622">
        <v>360</v>
      </c>
    </row>
    <row r="623" spans="1:14" x14ac:dyDescent="0.25">
      <c r="A623" s="34" t="s">
        <v>1447</v>
      </c>
      <c r="B623">
        <v>360</v>
      </c>
      <c r="N623">
        <v>360</v>
      </c>
    </row>
    <row r="624" spans="1:14" x14ac:dyDescent="0.25">
      <c r="A624" s="35" t="s">
        <v>1446</v>
      </c>
      <c r="B624">
        <v>360</v>
      </c>
      <c r="N624">
        <v>360</v>
      </c>
    </row>
    <row r="625" spans="1:14" x14ac:dyDescent="0.25">
      <c r="A625" s="34" t="s">
        <v>1121</v>
      </c>
      <c r="D625">
        <v>180</v>
      </c>
      <c r="E625">
        <v>180</v>
      </c>
      <c r="N625">
        <v>360</v>
      </c>
    </row>
    <row r="626" spans="1:14" x14ac:dyDescent="0.25">
      <c r="A626" s="35" t="s">
        <v>1120</v>
      </c>
      <c r="D626">
        <v>180</v>
      </c>
      <c r="E626">
        <v>180</v>
      </c>
      <c r="N626">
        <v>360</v>
      </c>
    </row>
    <row r="627" spans="1:14" x14ac:dyDescent="0.25">
      <c r="A627" s="34" t="s">
        <v>3727</v>
      </c>
      <c r="B627">
        <v>33.75</v>
      </c>
      <c r="C627">
        <v>57.75</v>
      </c>
      <c r="D627">
        <v>40.875</v>
      </c>
      <c r="K627">
        <v>32.299999999999997</v>
      </c>
      <c r="L627">
        <v>85.025000000000006</v>
      </c>
      <c r="M627">
        <v>96.032499999999999</v>
      </c>
      <c r="N627">
        <v>345.73250000000002</v>
      </c>
    </row>
    <row r="628" spans="1:14" x14ac:dyDescent="0.25">
      <c r="A628" s="35" t="s">
        <v>3726</v>
      </c>
      <c r="B628">
        <v>33.75</v>
      </c>
      <c r="C628">
        <v>57.75</v>
      </c>
      <c r="D628">
        <v>40.875</v>
      </c>
      <c r="K628">
        <v>32.299999999999997</v>
      </c>
      <c r="L628">
        <v>85.025000000000006</v>
      </c>
      <c r="M628">
        <v>96.032499999999999</v>
      </c>
      <c r="N628">
        <v>345.73250000000002</v>
      </c>
    </row>
    <row r="629" spans="1:14" x14ac:dyDescent="0.25">
      <c r="A629" s="34" t="s">
        <v>2557</v>
      </c>
      <c r="D629">
        <v>110</v>
      </c>
      <c r="E629">
        <v>20</v>
      </c>
      <c r="F629">
        <v>80</v>
      </c>
      <c r="G629">
        <v>95</v>
      </c>
      <c r="H629">
        <v>20</v>
      </c>
      <c r="I629">
        <v>15</v>
      </c>
      <c r="J629">
        <v>5</v>
      </c>
      <c r="N629">
        <v>345</v>
      </c>
    </row>
    <row r="630" spans="1:14" x14ac:dyDescent="0.25">
      <c r="A630" s="35" t="s">
        <v>2556</v>
      </c>
      <c r="D630">
        <v>110</v>
      </c>
      <c r="E630">
        <v>20</v>
      </c>
      <c r="F630">
        <v>80</v>
      </c>
      <c r="G630">
        <v>95</v>
      </c>
      <c r="H630">
        <v>20</v>
      </c>
      <c r="I630">
        <v>15</v>
      </c>
      <c r="J630">
        <v>5</v>
      </c>
      <c r="N630">
        <v>345</v>
      </c>
    </row>
    <row r="631" spans="1:14" x14ac:dyDescent="0.25">
      <c r="A631" s="34" t="s">
        <v>6070</v>
      </c>
      <c r="F631">
        <v>20</v>
      </c>
      <c r="G631">
        <v>240</v>
      </c>
      <c r="H631">
        <v>60</v>
      </c>
      <c r="N631">
        <v>320</v>
      </c>
    </row>
    <row r="632" spans="1:14" x14ac:dyDescent="0.25">
      <c r="A632" s="35" t="s">
        <v>6069</v>
      </c>
      <c r="F632">
        <v>20</v>
      </c>
      <c r="G632">
        <v>240</v>
      </c>
      <c r="H632">
        <v>60</v>
      </c>
      <c r="N632">
        <v>320</v>
      </c>
    </row>
    <row r="633" spans="1:14" x14ac:dyDescent="0.25">
      <c r="A633" s="34" t="s">
        <v>932</v>
      </c>
      <c r="B633">
        <v>5</v>
      </c>
      <c r="D633">
        <v>250</v>
      </c>
      <c r="F633">
        <v>20</v>
      </c>
      <c r="G633">
        <v>20</v>
      </c>
      <c r="I633">
        <v>5</v>
      </c>
      <c r="J633">
        <v>10</v>
      </c>
      <c r="N633">
        <v>310</v>
      </c>
    </row>
    <row r="634" spans="1:14" x14ac:dyDescent="0.25">
      <c r="A634" s="35" t="s">
        <v>39</v>
      </c>
      <c r="B634">
        <v>5</v>
      </c>
      <c r="F634">
        <v>20</v>
      </c>
      <c r="G634">
        <v>20</v>
      </c>
      <c r="I634">
        <v>5</v>
      </c>
      <c r="J634">
        <v>10</v>
      </c>
      <c r="N634">
        <v>60</v>
      </c>
    </row>
    <row r="635" spans="1:14" x14ac:dyDescent="0.25">
      <c r="A635" s="35" t="s">
        <v>3531</v>
      </c>
      <c r="D635">
        <v>250</v>
      </c>
      <c r="N635">
        <v>250</v>
      </c>
    </row>
    <row r="636" spans="1:14" x14ac:dyDescent="0.25">
      <c r="A636" s="34" t="s">
        <v>3536</v>
      </c>
      <c r="B636">
        <v>120</v>
      </c>
      <c r="E636">
        <v>60</v>
      </c>
      <c r="F636">
        <v>30</v>
      </c>
      <c r="I636">
        <v>70</v>
      </c>
      <c r="J636">
        <v>25</v>
      </c>
      <c r="N636">
        <v>305</v>
      </c>
    </row>
    <row r="637" spans="1:14" x14ac:dyDescent="0.25">
      <c r="A637" s="35" t="s">
        <v>7608</v>
      </c>
      <c r="B637">
        <v>60</v>
      </c>
      <c r="N637">
        <v>60</v>
      </c>
    </row>
    <row r="638" spans="1:14" x14ac:dyDescent="0.25">
      <c r="A638" s="35" t="s">
        <v>3535</v>
      </c>
      <c r="B638">
        <v>60</v>
      </c>
      <c r="E638">
        <v>60</v>
      </c>
      <c r="F638">
        <v>30</v>
      </c>
      <c r="I638">
        <v>70</v>
      </c>
      <c r="J638">
        <v>25</v>
      </c>
      <c r="N638">
        <v>245</v>
      </c>
    </row>
    <row r="639" spans="1:14" x14ac:dyDescent="0.25">
      <c r="A639" s="34" t="s">
        <v>3501</v>
      </c>
      <c r="D639">
        <v>55</v>
      </c>
      <c r="I639">
        <v>250</v>
      </c>
      <c r="N639">
        <v>305</v>
      </c>
    </row>
    <row r="640" spans="1:14" x14ac:dyDescent="0.25">
      <c r="A640" s="35" t="s">
        <v>3188</v>
      </c>
      <c r="D640">
        <v>55</v>
      </c>
      <c r="N640">
        <v>55</v>
      </c>
    </row>
    <row r="641" spans="1:14" x14ac:dyDescent="0.25">
      <c r="A641" s="35" t="s">
        <v>998</v>
      </c>
      <c r="I641">
        <v>250</v>
      </c>
      <c r="N641">
        <v>250</v>
      </c>
    </row>
    <row r="642" spans="1:14" x14ac:dyDescent="0.25">
      <c r="A642" s="34" t="s">
        <v>7416</v>
      </c>
      <c r="B642">
        <v>210</v>
      </c>
      <c r="C642">
        <v>30</v>
      </c>
      <c r="F642">
        <v>60</v>
      </c>
      <c r="N642">
        <v>300</v>
      </c>
    </row>
    <row r="643" spans="1:14" x14ac:dyDescent="0.25">
      <c r="A643" s="35" t="s">
        <v>7415</v>
      </c>
      <c r="B643">
        <v>210</v>
      </c>
      <c r="C643">
        <v>30</v>
      </c>
      <c r="F643">
        <v>60</v>
      </c>
      <c r="N643">
        <v>300</v>
      </c>
    </row>
    <row r="644" spans="1:14" x14ac:dyDescent="0.25">
      <c r="A644" s="34" t="s">
        <v>3366</v>
      </c>
      <c r="G644">
        <v>150</v>
      </c>
      <c r="H644">
        <v>150</v>
      </c>
      <c r="N644">
        <v>300</v>
      </c>
    </row>
    <row r="645" spans="1:14" x14ac:dyDescent="0.25">
      <c r="A645" s="35" t="s">
        <v>3365</v>
      </c>
      <c r="G645">
        <v>150</v>
      </c>
      <c r="H645">
        <v>150</v>
      </c>
      <c r="N645">
        <v>300</v>
      </c>
    </row>
    <row r="646" spans="1:14" x14ac:dyDescent="0.25">
      <c r="A646" s="34" t="s">
        <v>1503</v>
      </c>
      <c r="B646">
        <v>75</v>
      </c>
      <c r="I646">
        <v>90</v>
      </c>
      <c r="J646">
        <v>120</v>
      </c>
      <c r="N646">
        <v>285</v>
      </c>
    </row>
    <row r="647" spans="1:14" x14ac:dyDescent="0.25">
      <c r="A647" s="35" t="s">
        <v>1502</v>
      </c>
      <c r="B647">
        <v>75</v>
      </c>
      <c r="I647">
        <v>90</v>
      </c>
      <c r="J647">
        <v>120</v>
      </c>
      <c r="N647">
        <v>285</v>
      </c>
    </row>
    <row r="648" spans="1:14" x14ac:dyDescent="0.25">
      <c r="A648" s="34" t="s">
        <v>7641</v>
      </c>
      <c r="C648">
        <v>275</v>
      </c>
      <c r="N648">
        <v>275</v>
      </c>
    </row>
    <row r="649" spans="1:14" x14ac:dyDescent="0.25">
      <c r="A649" s="35" t="s">
        <v>7640</v>
      </c>
      <c r="C649">
        <v>275</v>
      </c>
      <c r="N649">
        <v>275</v>
      </c>
    </row>
    <row r="650" spans="1:14" x14ac:dyDescent="0.25">
      <c r="A650" s="34" t="s">
        <v>7927</v>
      </c>
      <c r="C650">
        <v>275</v>
      </c>
      <c r="N650">
        <v>275</v>
      </c>
    </row>
    <row r="651" spans="1:14" x14ac:dyDescent="0.25">
      <c r="A651" s="35" t="s">
        <v>7926</v>
      </c>
      <c r="C651">
        <v>275</v>
      </c>
      <c r="N651">
        <v>275</v>
      </c>
    </row>
    <row r="652" spans="1:14" x14ac:dyDescent="0.25">
      <c r="A652" s="34" t="s">
        <v>1867</v>
      </c>
      <c r="C652">
        <v>50</v>
      </c>
      <c r="D652">
        <v>2.5</v>
      </c>
      <c r="G652">
        <v>55</v>
      </c>
      <c r="I652">
        <v>55</v>
      </c>
      <c r="J652">
        <v>110</v>
      </c>
      <c r="N652">
        <v>272.5</v>
      </c>
    </row>
    <row r="653" spans="1:14" x14ac:dyDescent="0.25">
      <c r="A653" s="35" t="s">
        <v>578</v>
      </c>
      <c r="C653">
        <v>50</v>
      </c>
      <c r="D653">
        <v>2.5</v>
      </c>
      <c r="N653">
        <v>52.5</v>
      </c>
    </row>
    <row r="654" spans="1:14" x14ac:dyDescent="0.25">
      <c r="A654" s="35" t="s">
        <v>1780</v>
      </c>
      <c r="G654">
        <v>55</v>
      </c>
      <c r="I654">
        <v>55</v>
      </c>
      <c r="J654">
        <v>110</v>
      </c>
      <c r="N654">
        <v>220</v>
      </c>
    </row>
    <row r="655" spans="1:14" x14ac:dyDescent="0.25">
      <c r="A655" s="34" t="s">
        <v>6147</v>
      </c>
      <c r="G655">
        <v>270</v>
      </c>
      <c r="N655">
        <v>270</v>
      </c>
    </row>
    <row r="656" spans="1:14" x14ac:dyDescent="0.25">
      <c r="A656" s="35" t="s">
        <v>6146</v>
      </c>
      <c r="G656">
        <v>270</v>
      </c>
      <c r="N656">
        <v>270</v>
      </c>
    </row>
    <row r="657" spans="1:14" x14ac:dyDescent="0.25">
      <c r="A657" s="34" t="s">
        <v>188</v>
      </c>
      <c r="B657">
        <v>135</v>
      </c>
      <c r="J657">
        <v>120</v>
      </c>
      <c r="N657">
        <v>255</v>
      </c>
    </row>
    <row r="658" spans="1:14" x14ac:dyDescent="0.25">
      <c r="A658" s="35" t="s">
        <v>187</v>
      </c>
      <c r="B658">
        <v>135</v>
      </c>
      <c r="J658">
        <v>120</v>
      </c>
      <c r="N658">
        <v>255</v>
      </c>
    </row>
    <row r="659" spans="1:14" x14ac:dyDescent="0.25">
      <c r="A659" s="34" t="s">
        <v>1726</v>
      </c>
      <c r="B659">
        <v>255</v>
      </c>
      <c r="N659">
        <v>255</v>
      </c>
    </row>
    <row r="660" spans="1:14" x14ac:dyDescent="0.25">
      <c r="A660" s="35" t="s">
        <v>143</v>
      </c>
      <c r="B660">
        <v>255</v>
      </c>
      <c r="N660">
        <v>255</v>
      </c>
    </row>
    <row r="661" spans="1:14" x14ac:dyDescent="0.25">
      <c r="A661" s="34" t="s">
        <v>7877</v>
      </c>
      <c r="C661">
        <v>250</v>
      </c>
      <c r="N661">
        <v>250</v>
      </c>
    </row>
    <row r="662" spans="1:14" x14ac:dyDescent="0.25">
      <c r="A662" s="35" t="s">
        <v>7876</v>
      </c>
      <c r="C662">
        <v>250</v>
      </c>
      <c r="N662">
        <v>250</v>
      </c>
    </row>
    <row r="663" spans="1:14" x14ac:dyDescent="0.25">
      <c r="A663" s="34" t="s">
        <v>9135</v>
      </c>
      <c r="I663">
        <v>250</v>
      </c>
      <c r="N663">
        <v>250</v>
      </c>
    </row>
    <row r="664" spans="1:14" x14ac:dyDescent="0.25">
      <c r="A664" s="35" t="s">
        <v>3946</v>
      </c>
      <c r="I664">
        <v>250</v>
      </c>
      <c r="N664">
        <v>250</v>
      </c>
    </row>
    <row r="665" spans="1:14" x14ac:dyDescent="0.25">
      <c r="A665" s="34" t="s">
        <v>1874</v>
      </c>
      <c r="C665">
        <v>250</v>
      </c>
      <c r="N665">
        <v>250</v>
      </c>
    </row>
    <row r="666" spans="1:14" x14ac:dyDescent="0.25">
      <c r="A666" s="35" t="s">
        <v>1873</v>
      </c>
      <c r="C666">
        <v>250</v>
      </c>
      <c r="N666">
        <v>250</v>
      </c>
    </row>
    <row r="667" spans="1:14" x14ac:dyDescent="0.25">
      <c r="A667" s="34" t="s">
        <v>7005</v>
      </c>
      <c r="L667">
        <v>250</v>
      </c>
      <c r="N667">
        <v>250</v>
      </c>
    </row>
    <row r="668" spans="1:14" x14ac:dyDescent="0.25">
      <c r="A668" s="35" t="s">
        <v>3946</v>
      </c>
      <c r="L668">
        <v>250</v>
      </c>
      <c r="N668">
        <v>250</v>
      </c>
    </row>
    <row r="669" spans="1:14" x14ac:dyDescent="0.25">
      <c r="A669" s="34" t="s">
        <v>3648</v>
      </c>
      <c r="J669">
        <v>250</v>
      </c>
      <c r="N669">
        <v>250</v>
      </c>
    </row>
    <row r="670" spans="1:14" x14ac:dyDescent="0.25">
      <c r="A670" s="35" t="s">
        <v>3647</v>
      </c>
      <c r="J670">
        <v>250</v>
      </c>
      <c r="N670">
        <v>250</v>
      </c>
    </row>
    <row r="671" spans="1:14" x14ac:dyDescent="0.25">
      <c r="A671" s="34" t="s">
        <v>3970</v>
      </c>
      <c r="L671">
        <v>250</v>
      </c>
      <c r="N671">
        <v>250</v>
      </c>
    </row>
    <row r="672" spans="1:14" x14ac:dyDescent="0.25">
      <c r="A672" s="35" t="s">
        <v>3969</v>
      </c>
      <c r="L672">
        <v>250</v>
      </c>
      <c r="N672">
        <v>250</v>
      </c>
    </row>
    <row r="673" spans="1:14" x14ac:dyDescent="0.25">
      <c r="A673" s="34" t="s">
        <v>1732</v>
      </c>
      <c r="B673">
        <v>60</v>
      </c>
      <c r="F673">
        <v>180</v>
      </c>
      <c r="N673">
        <v>240</v>
      </c>
    </row>
    <row r="674" spans="1:14" x14ac:dyDescent="0.25">
      <c r="A674" s="35" t="s">
        <v>25</v>
      </c>
      <c r="B674">
        <v>60</v>
      </c>
      <c r="F674">
        <v>180</v>
      </c>
      <c r="N674">
        <v>240</v>
      </c>
    </row>
    <row r="675" spans="1:14" x14ac:dyDescent="0.25">
      <c r="A675" s="34" t="s">
        <v>3248</v>
      </c>
      <c r="G675">
        <v>230</v>
      </c>
      <c r="N675">
        <v>230</v>
      </c>
    </row>
    <row r="676" spans="1:14" x14ac:dyDescent="0.25">
      <c r="A676" s="35" t="s">
        <v>2530</v>
      </c>
      <c r="G676">
        <v>230</v>
      </c>
      <c r="N676">
        <v>230</v>
      </c>
    </row>
    <row r="677" spans="1:14" x14ac:dyDescent="0.25">
      <c r="A677" s="34" t="s">
        <v>5777</v>
      </c>
      <c r="E677">
        <v>75</v>
      </c>
      <c r="F677">
        <v>150</v>
      </c>
      <c r="N677">
        <v>225</v>
      </c>
    </row>
    <row r="678" spans="1:14" x14ac:dyDescent="0.25">
      <c r="A678" s="35" t="s">
        <v>998</v>
      </c>
      <c r="E678">
        <v>75</v>
      </c>
      <c r="F678">
        <v>150</v>
      </c>
      <c r="N678">
        <v>225</v>
      </c>
    </row>
    <row r="679" spans="1:14" x14ac:dyDescent="0.25">
      <c r="A679" s="34" t="s">
        <v>3570</v>
      </c>
      <c r="J679">
        <v>220</v>
      </c>
      <c r="N679">
        <v>220</v>
      </c>
    </row>
    <row r="680" spans="1:14" x14ac:dyDescent="0.25">
      <c r="A680" s="35" t="s">
        <v>143</v>
      </c>
      <c r="J680">
        <v>220</v>
      </c>
      <c r="N680">
        <v>220</v>
      </c>
    </row>
    <row r="681" spans="1:14" x14ac:dyDescent="0.25">
      <c r="A681" s="34" t="s">
        <v>3508</v>
      </c>
      <c r="H681">
        <v>60</v>
      </c>
      <c r="I681">
        <v>150</v>
      </c>
      <c r="N681">
        <v>210</v>
      </c>
    </row>
    <row r="682" spans="1:14" x14ac:dyDescent="0.25">
      <c r="A682" s="35" t="s">
        <v>3507</v>
      </c>
      <c r="H682">
        <v>60</v>
      </c>
      <c r="I682">
        <v>150</v>
      </c>
      <c r="N682">
        <v>210</v>
      </c>
    </row>
    <row r="683" spans="1:14" x14ac:dyDescent="0.25">
      <c r="A683" s="34" t="s">
        <v>72</v>
      </c>
      <c r="B683">
        <v>50</v>
      </c>
      <c r="C683">
        <v>55</v>
      </c>
      <c r="F683">
        <v>60</v>
      </c>
      <c r="H683">
        <v>30</v>
      </c>
      <c r="N683">
        <v>195</v>
      </c>
    </row>
    <row r="684" spans="1:14" x14ac:dyDescent="0.25">
      <c r="A684" s="35" t="s">
        <v>71</v>
      </c>
      <c r="F684">
        <v>30</v>
      </c>
      <c r="N684">
        <v>30</v>
      </c>
    </row>
    <row r="685" spans="1:14" x14ac:dyDescent="0.25">
      <c r="A685" s="35" t="s">
        <v>1780</v>
      </c>
      <c r="C685">
        <v>55</v>
      </c>
      <c r="N685">
        <v>55</v>
      </c>
    </row>
    <row r="686" spans="1:14" x14ac:dyDescent="0.25">
      <c r="A686" s="35" t="s">
        <v>578</v>
      </c>
      <c r="B686">
        <v>50</v>
      </c>
      <c r="F686">
        <v>30</v>
      </c>
      <c r="H686">
        <v>30</v>
      </c>
      <c r="N686">
        <v>110</v>
      </c>
    </row>
    <row r="687" spans="1:14" x14ac:dyDescent="0.25">
      <c r="A687" s="34" t="s">
        <v>3298</v>
      </c>
      <c r="H687">
        <v>10</v>
      </c>
      <c r="I687">
        <v>50</v>
      </c>
      <c r="J687">
        <v>25</v>
      </c>
      <c r="K687">
        <v>50</v>
      </c>
      <c r="L687">
        <v>50</v>
      </c>
      <c r="N687">
        <v>185</v>
      </c>
    </row>
    <row r="688" spans="1:14" x14ac:dyDescent="0.25">
      <c r="A688" s="35" t="s">
        <v>3297</v>
      </c>
      <c r="H688">
        <v>10</v>
      </c>
      <c r="I688">
        <v>50</v>
      </c>
      <c r="J688">
        <v>25</v>
      </c>
      <c r="K688">
        <v>50</v>
      </c>
      <c r="L688">
        <v>50</v>
      </c>
      <c r="N688">
        <v>185</v>
      </c>
    </row>
    <row r="689" spans="1:14" x14ac:dyDescent="0.25">
      <c r="A689" s="34" t="s">
        <v>6148</v>
      </c>
      <c r="G689">
        <v>180</v>
      </c>
      <c r="N689">
        <v>180</v>
      </c>
    </row>
    <row r="690" spans="1:14" x14ac:dyDescent="0.25">
      <c r="A690" s="35" t="s">
        <v>1266</v>
      </c>
      <c r="G690">
        <v>180</v>
      </c>
      <c r="N690">
        <v>180</v>
      </c>
    </row>
    <row r="691" spans="1:14" x14ac:dyDescent="0.25">
      <c r="A691" s="34" t="s">
        <v>7307</v>
      </c>
      <c r="D691">
        <v>90</v>
      </c>
      <c r="H691">
        <v>60</v>
      </c>
      <c r="M691">
        <v>30</v>
      </c>
      <c r="N691">
        <v>180</v>
      </c>
    </row>
    <row r="692" spans="1:14" x14ac:dyDescent="0.25">
      <c r="A692" s="35" t="s">
        <v>7306</v>
      </c>
      <c r="D692">
        <v>90</v>
      </c>
      <c r="H692">
        <v>60</v>
      </c>
      <c r="M692">
        <v>30</v>
      </c>
      <c r="N692">
        <v>180</v>
      </c>
    </row>
    <row r="693" spans="1:14" x14ac:dyDescent="0.25">
      <c r="A693" s="34" t="s">
        <v>3020</v>
      </c>
      <c r="F693">
        <v>180</v>
      </c>
      <c r="N693">
        <v>180</v>
      </c>
    </row>
    <row r="694" spans="1:14" x14ac:dyDescent="0.25">
      <c r="A694" s="35" t="s">
        <v>1729</v>
      </c>
      <c r="F694">
        <v>180</v>
      </c>
      <c r="N694">
        <v>180</v>
      </c>
    </row>
    <row r="695" spans="1:14" x14ac:dyDescent="0.25">
      <c r="A695" s="34" t="s">
        <v>1856</v>
      </c>
      <c r="C695">
        <v>180</v>
      </c>
      <c r="N695">
        <v>180</v>
      </c>
    </row>
    <row r="696" spans="1:14" x14ac:dyDescent="0.25">
      <c r="A696" s="35" t="s">
        <v>1120</v>
      </c>
      <c r="C696">
        <v>180</v>
      </c>
      <c r="N696">
        <v>180</v>
      </c>
    </row>
    <row r="697" spans="1:14" x14ac:dyDescent="0.25">
      <c r="A697" s="34" t="s">
        <v>3688</v>
      </c>
      <c r="K697">
        <v>180</v>
      </c>
      <c r="N697">
        <v>180</v>
      </c>
    </row>
    <row r="698" spans="1:14" x14ac:dyDescent="0.25">
      <c r="A698" s="35" t="s">
        <v>189</v>
      </c>
      <c r="K698">
        <v>180</v>
      </c>
      <c r="N698">
        <v>180</v>
      </c>
    </row>
    <row r="699" spans="1:14" x14ac:dyDescent="0.25">
      <c r="A699" s="34" t="s">
        <v>3021</v>
      </c>
      <c r="F699">
        <v>180</v>
      </c>
      <c r="N699">
        <v>180</v>
      </c>
    </row>
    <row r="700" spans="1:14" x14ac:dyDescent="0.25">
      <c r="A700" s="35" t="s">
        <v>1266</v>
      </c>
      <c r="F700">
        <v>180</v>
      </c>
      <c r="N700">
        <v>180</v>
      </c>
    </row>
    <row r="701" spans="1:14" x14ac:dyDescent="0.25">
      <c r="A701" s="34" t="s">
        <v>6743</v>
      </c>
      <c r="L701">
        <v>180</v>
      </c>
      <c r="N701">
        <v>180</v>
      </c>
    </row>
    <row r="702" spans="1:14" x14ac:dyDescent="0.25">
      <c r="A702" s="35" t="s">
        <v>6742</v>
      </c>
      <c r="L702">
        <v>180</v>
      </c>
      <c r="N702">
        <v>180</v>
      </c>
    </row>
    <row r="703" spans="1:14" x14ac:dyDescent="0.25">
      <c r="A703" s="34" t="s">
        <v>8857</v>
      </c>
      <c r="G703">
        <v>180</v>
      </c>
      <c r="N703">
        <v>180</v>
      </c>
    </row>
    <row r="704" spans="1:14" x14ac:dyDescent="0.25">
      <c r="A704" s="35" t="s">
        <v>171</v>
      </c>
      <c r="G704">
        <v>180</v>
      </c>
      <c r="N704">
        <v>180</v>
      </c>
    </row>
    <row r="705" spans="1:14" x14ac:dyDescent="0.25">
      <c r="A705" s="34" t="s">
        <v>6715</v>
      </c>
      <c r="E705">
        <v>60</v>
      </c>
      <c r="J705">
        <v>50</v>
      </c>
      <c r="K705">
        <v>60</v>
      </c>
      <c r="N705">
        <v>170</v>
      </c>
    </row>
    <row r="706" spans="1:14" x14ac:dyDescent="0.25">
      <c r="A706" s="35" t="s">
        <v>6714</v>
      </c>
      <c r="E706">
        <v>60</v>
      </c>
      <c r="J706">
        <v>50</v>
      </c>
      <c r="K706">
        <v>60</v>
      </c>
      <c r="N706">
        <v>170</v>
      </c>
    </row>
    <row r="707" spans="1:14" x14ac:dyDescent="0.25">
      <c r="A707" s="34" t="s">
        <v>59</v>
      </c>
      <c r="K707">
        <v>165</v>
      </c>
      <c r="N707">
        <v>165</v>
      </c>
    </row>
    <row r="708" spans="1:14" x14ac:dyDescent="0.25">
      <c r="A708" s="35" t="s">
        <v>58</v>
      </c>
      <c r="K708">
        <v>165</v>
      </c>
      <c r="N708">
        <v>165</v>
      </c>
    </row>
    <row r="709" spans="1:14" x14ac:dyDescent="0.25">
      <c r="A709" s="34" t="s">
        <v>6066</v>
      </c>
      <c r="F709">
        <v>45</v>
      </c>
      <c r="G709">
        <v>25</v>
      </c>
      <c r="H709">
        <v>55</v>
      </c>
      <c r="I709">
        <v>30</v>
      </c>
      <c r="N709">
        <v>155</v>
      </c>
    </row>
    <row r="710" spans="1:14" x14ac:dyDescent="0.25">
      <c r="A710" s="35" t="s">
        <v>6206</v>
      </c>
      <c r="H710">
        <v>55</v>
      </c>
      <c r="N710">
        <v>55</v>
      </c>
    </row>
    <row r="711" spans="1:14" x14ac:dyDescent="0.25">
      <c r="A711" s="35" t="s">
        <v>6065</v>
      </c>
      <c r="F711">
        <v>45</v>
      </c>
      <c r="G711">
        <v>25</v>
      </c>
      <c r="I711">
        <v>30</v>
      </c>
      <c r="N711">
        <v>100</v>
      </c>
    </row>
    <row r="712" spans="1:14" x14ac:dyDescent="0.25">
      <c r="A712" s="34" t="s">
        <v>620</v>
      </c>
      <c r="F712">
        <v>50</v>
      </c>
      <c r="G712">
        <v>50</v>
      </c>
      <c r="M712">
        <v>50</v>
      </c>
      <c r="N712">
        <v>150</v>
      </c>
    </row>
    <row r="713" spans="1:14" x14ac:dyDescent="0.25">
      <c r="A713" s="35" t="s">
        <v>619</v>
      </c>
      <c r="F713">
        <v>50</v>
      </c>
      <c r="G713">
        <v>50</v>
      </c>
      <c r="M713">
        <v>50</v>
      </c>
      <c r="N713">
        <v>150</v>
      </c>
    </row>
    <row r="714" spans="1:14" x14ac:dyDescent="0.25">
      <c r="A714" s="34" t="s">
        <v>5982</v>
      </c>
      <c r="F714">
        <v>60</v>
      </c>
      <c r="G714">
        <v>90</v>
      </c>
      <c r="N714">
        <v>150</v>
      </c>
    </row>
    <row r="715" spans="1:14" x14ac:dyDescent="0.25">
      <c r="A715" s="35" t="s">
        <v>5968</v>
      </c>
      <c r="F715">
        <v>60</v>
      </c>
      <c r="G715">
        <v>90</v>
      </c>
      <c r="N715">
        <v>150</v>
      </c>
    </row>
    <row r="716" spans="1:14" x14ac:dyDescent="0.25">
      <c r="A716" s="34" t="s">
        <v>1070</v>
      </c>
      <c r="B716">
        <v>30</v>
      </c>
      <c r="D716">
        <v>30</v>
      </c>
      <c r="H716">
        <v>30</v>
      </c>
      <c r="K716">
        <v>60</v>
      </c>
      <c r="N716">
        <v>150</v>
      </c>
    </row>
    <row r="717" spans="1:14" x14ac:dyDescent="0.25">
      <c r="A717" s="35" t="s">
        <v>1069</v>
      </c>
      <c r="B717">
        <v>30</v>
      </c>
      <c r="D717">
        <v>30</v>
      </c>
      <c r="H717">
        <v>30</v>
      </c>
      <c r="K717">
        <v>60</v>
      </c>
      <c r="N717">
        <v>150</v>
      </c>
    </row>
    <row r="718" spans="1:14" x14ac:dyDescent="0.25">
      <c r="A718" s="34" t="s">
        <v>1474</v>
      </c>
      <c r="B718">
        <v>100</v>
      </c>
      <c r="G718">
        <v>15</v>
      </c>
      <c r="J718">
        <v>20</v>
      </c>
      <c r="N718">
        <v>135</v>
      </c>
    </row>
    <row r="719" spans="1:14" x14ac:dyDescent="0.25">
      <c r="A719" s="35" t="s">
        <v>19</v>
      </c>
      <c r="B719">
        <v>100</v>
      </c>
      <c r="G719">
        <v>15</v>
      </c>
      <c r="J719">
        <v>20</v>
      </c>
      <c r="N719">
        <v>135</v>
      </c>
    </row>
    <row r="720" spans="1:14" x14ac:dyDescent="0.25">
      <c r="A720" s="34" t="s">
        <v>7955</v>
      </c>
      <c r="D720">
        <v>75</v>
      </c>
      <c r="I720">
        <v>55</v>
      </c>
      <c r="N720">
        <v>130</v>
      </c>
    </row>
    <row r="721" spans="1:14" x14ac:dyDescent="0.25">
      <c r="A721" s="35" t="s">
        <v>9029</v>
      </c>
      <c r="I721">
        <v>55</v>
      </c>
      <c r="N721">
        <v>55</v>
      </c>
    </row>
    <row r="722" spans="1:14" x14ac:dyDescent="0.25">
      <c r="A722" s="35" t="s">
        <v>7954</v>
      </c>
      <c r="D722">
        <v>75</v>
      </c>
      <c r="N722">
        <v>75</v>
      </c>
    </row>
    <row r="723" spans="1:14" x14ac:dyDescent="0.25">
      <c r="A723" s="34" t="s">
        <v>345</v>
      </c>
      <c r="C723">
        <v>100</v>
      </c>
      <c r="H723">
        <v>25</v>
      </c>
      <c r="N723">
        <v>125</v>
      </c>
    </row>
    <row r="724" spans="1:14" x14ac:dyDescent="0.25">
      <c r="A724" s="35" t="s">
        <v>344</v>
      </c>
      <c r="C724">
        <v>100</v>
      </c>
      <c r="H724">
        <v>25</v>
      </c>
      <c r="N724">
        <v>125</v>
      </c>
    </row>
    <row r="725" spans="1:14" x14ac:dyDescent="0.25">
      <c r="A725" s="34" t="s">
        <v>7318</v>
      </c>
      <c r="F725">
        <v>60</v>
      </c>
      <c r="M725">
        <v>60</v>
      </c>
      <c r="N725">
        <v>120</v>
      </c>
    </row>
    <row r="726" spans="1:14" x14ac:dyDescent="0.25">
      <c r="A726" s="35" t="s">
        <v>2098</v>
      </c>
      <c r="F726">
        <v>60</v>
      </c>
      <c r="M726">
        <v>60</v>
      </c>
      <c r="N726">
        <v>120</v>
      </c>
    </row>
    <row r="727" spans="1:14" x14ac:dyDescent="0.25">
      <c r="A727" s="34" t="s">
        <v>8753</v>
      </c>
      <c r="F727">
        <v>60</v>
      </c>
      <c r="I727">
        <v>60</v>
      </c>
      <c r="N727">
        <v>120</v>
      </c>
    </row>
    <row r="728" spans="1:14" x14ac:dyDescent="0.25">
      <c r="A728" s="35" t="s">
        <v>1502</v>
      </c>
      <c r="F728">
        <v>60</v>
      </c>
      <c r="I728">
        <v>60</v>
      </c>
      <c r="N728">
        <v>120</v>
      </c>
    </row>
    <row r="729" spans="1:14" x14ac:dyDescent="0.25">
      <c r="A729" s="34" t="s">
        <v>1431</v>
      </c>
      <c r="B729">
        <v>55</v>
      </c>
      <c r="D729">
        <v>55</v>
      </c>
      <c r="N729">
        <v>110</v>
      </c>
    </row>
    <row r="730" spans="1:14" x14ac:dyDescent="0.25">
      <c r="A730" s="35" t="s">
        <v>39</v>
      </c>
      <c r="B730">
        <v>55</v>
      </c>
      <c r="D730">
        <v>55</v>
      </c>
      <c r="N730">
        <v>110</v>
      </c>
    </row>
    <row r="731" spans="1:14" x14ac:dyDescent="0.25">
      <c r="A731" s="34" t="s">
        <v>3534</v>
      </c>
      <c r="I731">
        <v>110</v>
      </c>
      <c r="N731">
        <v>110</v>
      </c>
    </row>
    <row r="732" spans="1:14" x14ac:dyDescent="0.25">
      <c r="A732" s="35" t="s">
        <v>36</v>
      </c>
      <c r="I732">
        <v>110</v>
      </c>
      <c r="N732">
        <v>110</v>
      </c>
    </row>
    <row r="733" spans="1:14" x14ac:dyDescent="0.25">
      <c r="A733" s="34" t="s">
        <v>6200</v>
      </c>
      <c r="H733">
        <v>110</v>
      </c>
      <c r="N733">
        <v>110</v>
      </c>
    </row>
    <row r="734" spans="1:14" x14ac:dyDescent="0.25">
      <c r="A734" s="35" t="s">
        <v>2973</v>
      </c>
      <c r="H734">
        <v>110</v>
      </c>
      <c r="N734">
        <v>110</v>
      </c>
    </row>
    <row r="735" spans="1:14" x14ac:dyDescent="0.25">
      <c r="A735" s="34" t="s">
        <v>3332</v>
      </c>
      <c r="H735">
        <v>100</v>
      </c>
      <c r="N735">
        <v>100</v>
      </c>
    </row>
    <row r="736" spans="1:14" x14ac:dyDescent="0.25">
      <c r="A736" s="35" t="s">
        <v>3331</v>
      </c>
      <c r="H736">
        <v>100</v>
      </c>
      <c r="N736">
        <v>100</v>
      </c>
    </row>
    <row r="737" spans="1:14" x14ac:dyDescent="0.25">
      <c r="A737" s="34" t="s">
        <v>2341</v>
      </c>
      <c r="D737">
        <v>30</v>
      </c>
      <c r="E737">
        <v>60</v>
      </c>
      <c r="N737">
        <v>90</v>
      </c>
    </row>
    <row r="738" spans="1:14" x14ac:dyDescent="0.25">
      <c r="A738" s="35" t="s">
        <v>2340</v>
      </c>
      <c r="D738">
        <v>30</v>
      </c>
      <c r="N738">
        <v>30</v>
      </c>
    </row>
    <row r="739" spans="1:14" x14ac:dyDescent="0.25">
      <c r="A739" s="35" t="s">
        <v>5564</v>
      </c>
      <c r="E739">
        <v>60</v>
      </c>
      <c r="N739">
        <v>60</v>
      </c>
    </row>
    <row r="740" spans="1:14" x14ac:dyDescent="0.25">
      <c r="A740" s="34" t="s">
        <v>6399</v>
      </c>
      <c r="I740">
        <v>90</v>
      </c>
      <c r="N740">
        <v>90</v>
      </c>
    </row>
    <row r="741" spans="1:14" x14ac:dyDescent="0.25">
      <c r="A741" s="35" t="s">
        <v>1239</v>
      </c>
      <c r="I741">
        <v>90</v>
      </c>
      <c r="N741">
        <v>90</v>
      </c>
    </row>
    <row r="742" spans="1:14" x14ac:dyDescent="0.25">
      <c r="A742" s="34" t="s">
        <v>5923</v>
      </c>
      <c r="F742">
        <v>30</v>
      </c>
      <c r="H742">
        <v>55</v>
      </c>
      <c r="N742">
        <v>85</v>
      </c>
    </row>
    <row r="743" spans="1:14" x14ac:dyDescent="0.25">
      <c r="A743" s="35" t="s">
        <v>5922</v>
      </c>
      <c r="F743">
        <v>30</v>
      </c>
      <c r="N743">
        <v>30</v>
      </c>
    </row>
    <row r="744" spans="1:14" x14ac:dyDescent="0.25">
      <c r="A744" s="35" t="s">
        <v>6199</v>
      </c>
      <c r="H744">
        <v>55</v>
      </c>
      <c r="N744">
        <v>55</v>
      </c>
    </row>
    <row r="745" spans="1:14" x14ac:dyDescent="0.25">
      <c r="A745" s="34" t="s">
        <v>1461</v>
      </c>
      <c r="B745">
        <v>5</v>
      </c>
      <c r="C745">
        <v>20</v>
      </c>
      <c r="F745">
        <v>10</v>
      </c>
      <c r="I745">
        <v>35</v>
      </c>
      <c r="J745">
        <v>10</v>
      </c>
      <c r="N745">
        <v>80</v>
      </c>
    </row>
    <row r="746" spans="1:14" x14ac:dyDescent="0.25">
      <c r="A746" s="35" t="s">
        <v>1460</v>
      </c>
      <c r="B746">
        <v>5</v>
      </c>
      <c r="C746">
        <v>20</v>
      </c>
      <c r="F746">
        <v>10</v>
      </c>
      <c r="I746">
        <v>35</v>
      </c>
      <c r="J746">
        <v>10</v>
      </c>
      <c r="N746">
        <v>80</v>
      </c>
    </row>
    <row r="747" spans="1:14" x14ac:dyDescent="0.25">
      <c r="A747" s="34" t="s">
        <v>9017</v>
      </c>
      <c r="H747">
        <v>10</v>
      </c>
      <c r="I747">
        <v>40</v>
      </c>
      <c r="J747">
        <v>25</v>
      </c>
      <c r="N747">
        <v>75</v>
      </c>
    </row>
    <row r="748" spans="1:14" x14ac:dyDescent="0.25">
      <c r="A748" s="35" t="s">
        <v>9142</v>
      </c>
      <c r="I748">
        <v>30</v>
      </c>
      <c r="N748">
        <v>30</v>
      </c>
    </row>
    <row r="749" spans="1:14" x14ac:dyDescent="0.25">
      <c r="A749" s="35" t="s">
        <v>9016</v>
      </c>
      <c r="H749">
        <v>10</v>
      </c>
      <c r="I749">
        <v>10</v>
      </c>
      <c r="J749">
        <v>25</v>
      </c>
      <c r="N749">
        <v>45</v>
      </c>
    </row>
    <row r="750" spans="1:14" x14ac:dyDescent="0.25">
      <c r="A750" s="34" t="s">
        <v>8762</v>
      </c>
      <c r="F750">
        <v>15</v>
      </c>
      <c r="H750">
        <v>60</v>
      </c>
      <c r="N750">
        <v>75</v>
      </c>
    </row>
    <row r="751" spans="1:14" x14ac:dyDescent="0.25">
      <c r="A751" s="35" t="s">
        <v>6142</v>
      </c>
      <c r="F751">
        <v>15</v>
      </c>
      <c r="H751">
        <v>60</v>
      </c>
      <c r="N751">
        <v>75</v>
      </c>
    </row>
    <row r="752" spans="1:14" x14ac:dyDescent="0.25">
      <c r="A752" s="34" t="s">
        <v>6308</v>
      </c>
      <c r="I752">
        <v>75</v>
      </c>
      <c r="N752">
        <v>75</v>
      </c>
    </row>
    <row r="753" spans="1:14" x14ac:dyDescent="0.25">
      <c r="A753" s="35" t="s">
        <v>619</v>
      </c>
      <c r="I753">
        <v>75</v>
      </c>
      <c r="N753">
        <v>75</v>
      </c>
    </row>
    <row r="754" spans="1:14" x14ac:dyDescent="0.25">
      <c r="A754" s="34" t="s">
        <v>8903</v>
      </c>
      <c r="G754">
        <v>60</v>
      </c>
      <c r="N754">
        <v>60</v>
      </c>
    </row>
    <row r="755" spans="1:14" x14ac:dyDescent="0.25">
      <c r="A755" s="35" t="s">
        <v>1502</v>
      </c>
      <c r="G755">
        <v>60</v>
      </c>
      <c r="N755">
        <v>60</v>
      </c>
    </row>
    <row r="756" spans="1:14" x14ac:dyDescent="0.25">
      <c r="A756" s="34" t="s">
        <v>3192</v>
      </c>
      <c r="G756">
        <v>60</v>
      </c>
      <c r="N756">
        <v>60</v>
      </c>
    </row>
    <row r="757" spans="1:14" x14ac:dyDescent="0.25">
      <c r="A757" s="35" t="s">
        <v>3191</v>
      </c>
      <c r="G757">
        <v>60</v>
      </c>
      <c r="N757">
        <v>60</v>
      </c>
    </row>
    <row r="758" spans="1:14" x14ac:dyDescent="0.25">
      <c r="A758" s="34" t="s">
        <v>7922</v>
      </c>
      <c r="C758">
        <v>60</v>
      </c>
      <c r="N758">
        <v>60</v>
      </c>
    </row>
    <row r="759" spans="1:14" x14ac:dyDescent="0.25">
      <c r="A759" s="35" t="s">
        <v>3650</v>
      </c>
      <c r="C759">
        <v>60</v>
      </c>
      <c r="N759">
        <v>60</v>
      </c>
    </row>
    <row r="760" spans="1:14" x14ac:dyDescent="0.25">
      <c r="A760" s="34" t="s">
        <v>6279</v>
      </c>
      <c r="H760">
        <v>60</v>
      </c>
      <c r="N760">
        <v>60</v>
      </c>
    </row>
    <row r="761" spans="1:14" x14ac:dyDescent="0.25">
      <c r="A761" s="35" t="s">
        <v>50</v>
      </c>
      <c r="H761">
        <v>60</v>
      </c>
      <c r="N761">
        <v>60</v>
      </c>
    </row>
    <row r="762" spans="1:14" x14ac:dyDescent="0.25">
      <c r="A762" s="34" t="s">
        <v>1730</v>
      </c>
      <c r="B762">
        <v>60</v>
      </c>
      <c r="N762">
        <v>60</v>
      </c>
    </row>
    <row r="763" spans="1:14" x14ac:dyDescent="0.25">
      <c r="A763" s="35" t="s">
        <v>1729</v>
      </c>
      <c r="B763">
        <v>60</v>
      </c>
      <c r="N763">
        <v>60</v>
      </c>
    </row>
    <row r="764" spans="1:14" x14ac:dyDescent="0.25">
      <c r="A764" s="34" t="s">
        <v>9128</v>
      </c>
      <c r="I764">
        <v>60</v>
      </c>
      <c r="N764">
        <v>60</v>
      </c>
    </row>
    <row r="765" spans="1:14" x14ac:dyDescent="0.25">
      <c r="A765" s="35" t="s">
        <v>50</v>
      </c>
      <c r="I765">
        <v>60</v>
      </c>
      <c r="N765">
        <v>60</v>
      </c>
    </row>
    <row r="766" spans="1:14" x14ac:dyDescent="0.25">
      <c r="A766" s="34" t="s">
        <v>1782</v>
      </c>
      <c r="C766">
        <v>60</v>
      </c>
      <c r="N766">
        <v>60</v>
      </c>
    </row>
    <row r="767" spans="1:14" x14ac:dyDescent="0.25">
      <c r="A767" s="35" t="s">
        <v>36</v>
      </c>
      <c r="C767">
        <v>60</v>
      </c>
      <c r="N767">
        <v>60</v>
      </c>
    </row>
    <row r="768" spans="1:14" x14ac:dyDescent="0.25">
      <c r="A768" s="34" t="s">
        <v>5972</v>
      </c>
      <c r="F768">
        <v>60</v>
      </c>
      <c r="N768">
        <v>60</v>
      </c>
    </row>
    <row r="769" spans="1:14" x14ac:dyDescent="0.25">
      <c r="A769" s="35" t="s">
        <v>2098</v>
      </c>
      <c r="F769">
        <v>60</v>
      </c>
      <c r="N769">
        <v>60</v>
      </c>
    </row>
    <row r="770" spans="1:14" x14ac:dyDescent="0.25">
      <c r="A770" s="34" t="s">
        <v>6717</v>
      </c>
      <c r="K770">
        <v>60</v>
      </c>
      <c r="N770">
        <v>60</v>
      </c>
    </row>
    <row r="771" spans="1:14" x14ac:dyDescent="0.25">
      <c r="A771" s="35" t="s">
        <v>6716</v>
      </c>
      <c r="K771">
        <v>60</v>
      </c>
      <c r="N771">
        <v>60</v>
      </c>
    </row>
    <row r="772" spans="1:14" x14ac:dyDescent="0.25">
      <c r="A772" s="34" t="s">
        <v>9127</v>
      </c>
      <c r="I772">
        <v>60</v>
      </c>
      <c r="N772">
        <v>60</v>
      </c>
    </row>
    <row r="773" spans="1:14" x14ac:dyDescent="0.25">
      <c r="A773" s="35" t="s">
        <v>2098</v>
      </c>
      <c r="I773">
        <v>60</v>
      </c>
      <c r="N773">
        <v>60</v>
      </c>
    </row>
    <row r="774" spans="1:14" x14ac:dyDescent="0.25">
      <c r="A774" s="34" t="s">
        <v>8989</v>
      </c>
      <c r="H774">
        <v>60</v>
      </c>
      <c r="N774">
        <v>60</v>
      </c>
    </row>
    <row r="775" spans="1:14" x14ac:dyDescent="0.25">
      <c r="A775" s="35" t="s">
        <v>8988</v>
      </c>
      <c r="H775">
        <v>60</v>
      </c>
      <c r="N775">
        <v>60</v>
      </c>
    </row>
    <row r="776" spans="1:14" x14ac:dyDescent="0.25">
      <c r="A776" s="34" t="s">
        <v>6156</v>
      </c>
      <c r="G776">
        <v>60</v>
      </c>
      <c r="N776">
        <v>60</v>
      </c>
    </row>
    <row r="777" spans="1:14" x14ac:dyDescent="0.25">
      <c r="A777" s="35" t="s">
        <v>2098</v>
      </c>
      <c r="G777">
        <v>60</v>
      </c>
      <c r="N777">
        <v>60</v>
      </c>
    </row>
    <row r="778" spans="1:14" x14ac:dyDescent="0.25">
      <c r="A778" s="34" t="s">
        <v>6689</v>
      </c>
      <c r="K778">
        <v>60</v>
      </c>
      <c r="N778">
        <v>60</v>
      </c>
    </row>
    <row r="779" spans="1:14" x14ac:dyDescent="0.25">
      <c r="A779" s="35" t="s">
        <v>6688</v>
      </c>
      <c r="K779">
        <v>60</v>
      </c>
      <c r="N779">
        <v>60</v>
      </c>
    </row>
    <row r="780" spans="1:14" x14ac:dyDescent="0.25">
      <c r="A780" s="34" t="s">
        <v>9122</v>
      </c>
      <c r="I780">
        <v>60</v>
      </c>
      <c r="N780">
        <v>60</v>
      </c>
    </row>
    <row r="781" spans="1:14" x14ac:dyDescent="0.25">
      <c r="A781" s="35" t="s">
        <v>6146</v>
      </c>
      <c r="I781">
        <v>60</v>
      </c>
      <c r="N781">
        <v>60</v>
      </c>
    </row>
    <row r="782" spans="1:14" x14ac:dyDescent="0.25">
      <c r="A782" s="34" t="s">
        <v>7326</v>
      </c>
      <c r="M782">
        <v>60</v>
      </c>
      <c r="N782">
        <v>60</v>
      </c>
    </row>
    <row r="783" spans="1:14" x14ac:dyDescent="0.25">
      <c r="A783" s="35" t="s">
        <v>578</v>
      </c>
      <c r="M783">
        <v>60</v>
      </c>
      <c r="N783">
        <v>60</v>
      </c>
    </row>
    <row r="784" spans="1:14" x14ac:dyDescent="0.25">
      <c r="A784" s="34" t="s">
        <v>75</v>
      </c>
      <c r="D784">
        <v>30</v>
      </c>
      <c r="F784">
        <v>30</v>
      </c>
      <c r="N784">
        <v>60</v>
      </c>
    </row>
    <row r="785" spans="1:14" x14ac:dyDescent="0.25">
      <c r="A785" s="35" t="s">
        <v>74</v>
      </c>
      <c r="D785">
        <v>30</v>
      </c>
      <c r="F785">
        <v>30</v>
      </c>
      <c r="N785">
        <v>60</v>
      </c>
    </row>
    <row r="786" spans="1:14" x14ac:dyDescent="0.25">
      <c r="A786" s="34" t="s">
        <v>8493</v>
      </c>
      <c r="E786">
        <v>60</v>
      </c>
      <c r="N786">
        <v>60</v>
      </c>
    </row>
    <row r="787" spans="1:14" x14ac:dyDescent="0.25">
      <c r="A787" s="35" t="s">
        <v>8492</v>
      </c>
      <c r="E787">
        <v>60</v>
      </c>
      <c r="N787">
        <v>60</v>
      </c>
    </row>
    <row r="788" spans="1:14" x14ac:dyDescent="0.25">
      <c r="A788" s="34" t="s">
        <v>6270</v>
      </c>
      <c r="H788">
        <v>30</v>
      </c>
      <c r="I788">
        <v>30</v>
      </c>
      <c r="N788">
        <v>60</v>
      </c>
    </row>
    <row r="789" spans="1:14" x14ac:dyDescent="0.25">
      <c r="A789" s="35" t="s">
        <v>50</v>
      </c>
      <c r="H789">
        <v>30</v>
      </c>
      <c r="I789">
        <v>30</v>
      </c>
      <c r="N789">
        <v>60</v>
      </c>
    </row>
    <row r="790" spans="1:14" x14ac:dyDescent="0.25">
      <c r="A790" s="34" t="s">
        <v>2171</v>
      </c>
      <c r="D790">
        <v>55</v>
      </c>
      <c r="N790">
        <v>55</v>
      </c>
    </row>
    <row r="791" spans="1:14" x14ac:dyDescent="0.25">
      <c r="A791" s="35" t="s">
        <v>2170</v>
      </c>
      <c r="D791">
        <v>55</v>
      </c>
      <c r="N791">
        <v>55</v>
      </c>
    </row>
    <row r="792" spans="1:14" x14ac:dyDescent="0.25">
      <c r="A792" s="34" t="s">
        <v>3132</v>
      </c>
      <c r="G792">
        <v>55</v>
      </c>
      <c r="N792">
        <v>55</v>
      </c>
    </row>
    <row r="793" spans="1:14" x14ac:dyDescent="0.25">
      <c r="A793" s="35" t="s">
        <v>3131</v>
      </c>
      <c r="G793">
        <v>55</v>
      </c>
      <c r="N793">
        <v>55</v>
      </c>
    </row>
    <row r="794" spans="1:14" x14ac:dyDescent="0.25">
      <c r="A794" s="34" t="s">
        <v>3569</v>
      </c>
      <c r="J794">
        <v>50</v>
      </c>
      <c r="N794">
        <v>50</v>
      </c>
    </row>
    <row r="795" spans="1:14" x14ac:dyDescent="0.25">
      <c r="A795" s="35" t="s">
        <v>143</v>
      </c>
      <c r="J795">
        <v>50</v>
      </c>
      <c r="N795">
        <v>50</v>
      </c>
    </row>
    <row r="796" spans="1:14" x14ac:dyDescent="0.25">
      <c r="A796" s="34" t="s">
        <v>6309</v>
      </c>
      <c r="I796">
        <v>50</v>
      </c>
      <c r="N796">
        <v>50</v>
      </c>
    </row>
    <row r="797" spans="1:14" x14ac:dyDescent="0.25">
      <c r="A797" s="35" t="s">
        <v>3297</v>
      </c>
      <c r="I797">
        <v>50</v>
      </c>
      <c r="N797">
        <v>50</v>
      </c>
    </row>
    <row r="798" spans="1:14" x14ac:dyDescent="0.25">
      <c r="A798" s="34" t="s">
        <v>9002</v>
      </c>
      <c r="H798">
        <v>40</v>
      </c>
      <c r="N798">
        <v>40</v>
      </c>
    </row>
    <row r="799" spans="1:14" x14ac:dyDescent="0.25">
      <c r="A799" s="35" t="s">
        <v>9001</v>
      </c>
      <c r="H799">
        <v>40</v>
      </c>
      <c r="N799">
        <v>40</v>
      </c>
    </row>
    <row r="800" spans="1:14" x14ac:dyDescent="0.25">
      <c r="A800" s="34" t="s">
        <v>3237</v>
      </c>
      <c r="B800">
        <v>25</v>
      </c>
      <c r="G800">
        <v>5</v>
      </c>
      <c r="I800">
        <v>2.5</v>
      </c>
      <c r="N800">
        <v>32.5</v>
      </c>
    </row>
    <row r="801" spans="1:14" x14ac:dyDescent="0.25">
      <c r="A801" s="35" t="s">
        <v>3236</v>
      </c>
      <c r="B801">
        <v>25</v>
      </c>
      <c r="G801">
        <v>5</v>
      </c>
      <c r="I801">
        <v>2.5</v>
      </c>
      <c r="N801">
        <v>32.5</v>
      </c>
    </row>
    <row r="802" spans="1:14" x14ac:dyDescent="0.25">
      <c r="A802" s="34" t="s">
        <v>6155</v>
      </c>
      <c r="G802">
        <v>30</v>
      </c>
      <c r="N802">
        <v>30</v>
      </c>
    </row>
    <row r="803" spans="1:14" x14ac:dyDescent="0.25">
      <c r="A803" s="35" t="s">
        <v>19</v>
      </c>
      <c r="G803">
        <v>30</v>
      </c>
      <c r="N803">
        <v>30</v>
      </c>
    </row>
    <row r="804" spans="1:14" x14ac:dyDescent="0.25">
      <c r="A804" s="34" t="s">
        <v>6083</v>
      </c>
      <c r="G804">
        <v>5</v>
      </c>
      <c r="H804">
        <v>25</v>
      </c>
      <c r="N804">
        <v>30</v>
      </c>
    </row>
    <row r="805" spans="1:14" x14ac:dyDescent="0.25">
      <c r="A805" s="35" t="s">
        <v>6082</v>
      </c>
      <c r="G805">
        <v>5</v>
      </c>
      <c r="H805">
        <v>25</v>
      </c>
      <c r="N805">
        <v>30</v>
      </c>
    </row>
    <row r="806" spans="1:14" x14ac:dyDescent="0.25">
      <c r="A806" s="34" t="s">
        <v>2173</v>
      </c>
      <c r="D806">
        <v>30</v>
      </c>
      <c r="N806">
        <v>30</v>
      </c>
    </row>
    <row r="807" spans="1:14" x14ac:dyDescent="0.25">
      <c r="A807" s="35" t="s">
        <v>71</v>
      </c>
      <c r="D807">
        <v>30</v>
      </c>
      <c r="N807">
        <v>30</v>
      </c>
    </row>
    <row r="808" spans="1:14" x14ac:dyDescent="0.25">
      <c r="A808" s="34" t="s">
        <v>6370</v>
      </c>
      <c r="I808">
        <v>25</v>
      </c>
      <c r="N808">
        <v>25</v>
      </c>
    </row>
    <row r="809" spans="1:14" x14ac:dyDescent="0.25">
      <c r="A809" s="35" t="s">
        <v>22</v>
      </c>
      <c r="I809">
        <v>25</v>
      </c>
      <c r="N809">
        <v>25</v>
      </c>
    </row>
    <row r="810" spans="1:14" x14ac:dyDescent="0.25">
      <c r="A810" s="34" t="s">
        <v>7616</v>
      </c>
      <c r="B810">
        <v>20</v>
      </c>
      <c r="N810">
        <v>20</v>
      </c>
    </row>
    <row r="811" spans="1:14" x14ac:dyDescent="0.25">
      <c r="A811" s="35" t="s">
        <v>1502</v>
      </c>
      <c r="B811">
        <v>20</v>
      </c>
      <c r="N811">
        <v>20</v>
      </c>
    </row>
    <row r="812" spans="1:14" x14ac:dyDescent="0.25">
      <c r="A812" s="34" t="s">
        <v>3167</v>
      </c>
      <c r="G812">
        <v>20</v>
      </c>
      <c r="N812">
        <v>20</v>
      </c>
    </row>
    <row r="813" spans="1:14" x14ac:dyDescent="0.25">
      <c r="A813" s="35" t="s">
        <v>3166</v>
      </c>
      <c r="G813">
        <v>20</v>
      </c>
      <c r="N813">
        <v>20</v>
      </c>
    </row>
    <row r="814" spans="1:14" x14ac:dyDescent="0.25">
      <c r="A814" s="34" t="s">
        <v>3229</v>
      </c>
      <c r="G814">
        <v>20</v>
      </c>
      <c r="N814">
        <v>20</v>
      </c>
    </row>
    <row r="815" spans="1:14" x14ac:dyDescent="0.25">
      <c r="A815" s="35" t="s">
        <v>3228</v>
      </c>
      <c r="G815">
        <v>20</v>
      </c>
      <c r="N815">
        <v>20</v>
      </c>
    </row>
    <row r="816" spans="1:14" x14ac:dyDescent="0.25">
      <c r="A816" s="34" t="s">
        <v>5431</v>
      </c>
      <c r="D816">
        <v>10</v>
      </c>
      <c r="E816">
        <v>10</v>
      </c>
      <c r="N816">
        <v>20</v>
      </c>
    </row>
    <row r="817" spans="1:14" x14ac:dyDescent="0.25">
      <c r="A817" s="35" t="s">
        <v>5430</v>
      </c>
      <c r="D817">
        <v>10</v>
      </c>
      <c r="E817">
        <v>10</v>
      </c>
      <c r="N817">
        <v>20</v>
      </c>
    </row>
    <row r="818" spans="1:14" x14ac:dyDescent="0.25">
      <c r="A818" s="34" t="s">
        <v>3133</v>
      </c>
      <c r="G818">
        <v>20</v>
      </c>
      <c r="N818">
        <v>20</v>
      </c>
    </row>
    <row r="819" spans="1:14" x14ac:dyDescent="0.25">
      <c r="A819" s="35" t="s">
        <v>2098</v>
      </c>
      <c r="G819">
        <v>20</v>
      </c>
      <c r="N819">
        <v>20</v>
      </c>
    </row>
    <row r="820" spans="1:14" x14ac:dyDescent="0.25">
      <c r="A820" s="34" t="s">
        <v>40</v>
      </c>
      <c r="K820">
        <v>20</v>
      </c>
      <c r="N820">
        <v>20</v>
      </c>
    </row>
    <row r="821" spans="1:14" x14ac:dyDescent="0.25">
      <c r="A821" s="35" t="s">
        <v>39</v>
      </c>
      <c r="K821">
        <v>20</v>
      </c>
      <c r="N821">
        <v>20</v>
      </c>
    </row>
    <row r="822" spans="1:14" x14ac:dyDescent="0.25">
      <c r="A822" s="34" t="s">
        <v>3277</v>
      </c>
      <c r="H822">
        <v>20</v>
      </c>
      <c r="N822">
        <v>20</v>
      </c>
    </row>
    <row r="823" spans="1:14" x14ac:dyDescent="0.25">
      <c r="A823" s="35" t="s">
        <v>3276</v>
      </c>
      <c r="H823">
        <v>20</v>
      </c>
      <c r="N823">
        <v>20</v>
      </c>
    </row>
    <row r="824" spans="1:14" x14ac:dyDescent="0.25">
      <c r="A824" s="34" t="s">
        <v>598</v>
      </c>
      <c r="G824">
        <v>5</v>
      </c>
      <c r="H824">
        <v>5</v>
      </c>
      <c r="N824">
        <v>10</v>
      </c>
    </row>
    <row r="825" spans="1:14" x14ac:dyDescent="0.25">
      <c r="A825" s="35" t="s">
        <v>597</v>
      </c>
      <c r="G825">
        <v>5</v>
      </c>
      <c r="H825">
        <v>5</v>
      </c>
      <c r="N825">
        <v>10</v>
      </c>
    </row>
    <row r="826" spans="1:14" x14ac:dyDescent="0.25">
      <c r="A826" s="34" t="s">
        <v>9082</v>
      </c>
      <c r="I826">
        <v>10</v>
      </c>
      <c r="N826">
        <v>10</v>
      </c>
    </row>
    <row r="827" spans="1:14" x14ac:dyDescent="0.25">
      <c r="A827" s="35" t="s">
        <v>9081</v>
      </c>
      <c r="I827">
        <v>10</v>
      </c>
      <c r="N827">
        <v>10</v>
      </c>
    </row>
    <row r="828" spans="1:14" x14ac:dyDescent="0.25">
      <c r="A828" s="34" t="s">
        <v>6298</v>
      </c>
      <c r="I828">
        <v>10</v>
      </c>
      <c r="N828">
        <v>10</v>
      </c>
    </row>
    <row r="829" spans="1:14" x14ac:dyDescent="0.25">
      <c r="A829" s="35" t="s">
        <v>609</v>
      </c>
      <c r="I829">
        <v>10</v>
      </c>
      <c r="N829">
        <v>10</v>
      </c>
    </row>
    <row r="830" spans="1:14" x14ac:dyDescent="0.25">
      <c r="A830" s="34" t="s">
        <v>3462</v>
      </c>
      <c r="I830">
        <v>10</v>
      </c>
      <c r="N830">
        <v>10</v>
      </c>
    </row>
    <row r="831" spans="1:14" x14ac:dyDescent="0.25">
      <c r="A831" s="35" t="s">
        <v>3461</v>
      </c>
      <c r="I831">
        <v>10</v>
      </c>
      <c r="N831">
        <v>10</v>
      </c>
    </row>
    <row r="832" spans="1:14" x14ac:dyDescent="0.25">
      <c r="A832" s="34" t="s">
        <v>2217</v>
      </c>
      <c r="D832">
        <v>7.5</v>
      </c>
      <c r="N832">
        <v>7.5</v>
      </c>
    </row>
    <row r="833" spans="1:14" x14ac:dyDescent="0.25">
      <c r="A833" s="35" t="s">
        <v>1069</v>
      </c>
      <c r="D833">
        <v>7.5</v>
      </c>
      <c r="N833">
        <v>7.5</v>
      </c>
    </row>
    <row r="834" spans="1:14" x14ac:dyDescent="0.25">
      <c r="A834" s="34" t="s">
        <v>5201</v>
      </c>
      <c r="D834">
        <v>2.5</v>
      </c>
      <c r="K834">
        <v>5</v>
      </c>
      <c r="N834">
        <v>7.5</v>
      </c>
    </row>
    <row r="835" spans="1:14" x14ac:dyDescent="0.25">
      <c r="A835" s="35" t="s">
        <v>5200</v>
      </c>
      <c r="D835">
        <v>2.5</v>
      </c>
      <c r="K835">
        <v>5</v>
      </c>
      <c r="N835">
        <v>7.5</v>
      </c>
    </row>
    <row r="836" spans="1:14" x14ac:dyDescent="0.25">
      <c r="A836" s="34" t="s">
        <v>7520</v>
      </c>
      <c r="B836">
        <v>5</v>
      </c>
      <c r="N836">
        <v>5</v>
      </c>
    </row>
    <row r="837" spans="1:14" x14ac:dyDescent="0.25">
      <c r="A837" s="35" t="s">
        <v>7519</v>
      </c>
      <c r="B837">
        <v>5</v>
      </c>
      <c r="N837">
        <v>5</v>
      </c>
    </row>
    <row r="838" spans="1:14" x14ac:dyDescent="0.25">
      <c r="A838" s="34" t="s">
        <v>2564</v>
      </c>
      <c r="E838">
        <v>5</v>
      </c>
      <c r="N838">
        <v>5</v>
      </c>
    </row>
    <row r="839" spans="1:14" x14ac:dyDescent="0.25">
      <c r="A839" s="35" t="s">
        <v>2563</v>
      </c>
      <c r="E839">
        <v>5</v>
      </c>
      <c r="N839">
        <v>5</v>
      </c>
    </row>
    <row r="840" spans="1:14" x14ac:dyDescent="0.25">
      <c r="A840" s="34" t="s">
        <v>3453</v>
      </c>
      <c r="I840">
        <v>5</v>
      </c>
      <c r="N840">
        <v>5</v>
      </c>
    </row>
    <row r="841" spans="1:14" x14ac:dyDescent="0.25">
      <c r="A841" s="35" t="s">
        <v>25</v>
      </c>
      <c r="I841">
        <v>5</v>
      </c>
      <c r="N841">
        <v>5</v>
      </c>
    </row>
    <row r="842" spans="1:14" x14ac:dyDescent="0.25">
      <c r="A842" s="34" t="s">
        <v>4203</v>
      </c>
      <c r="L842">
        <v>5</v>
      </c>
      <c r="N842">
        <v>5</v>
      </c>
    </row>
    <row r="843" spans="1:14" x14ac:dyDescent="0.25">
      <c r="A843" s="35" t="s">
        <v>4202</v>
      </c>
      <c r="L843">
        <v>5</v>
      </c>
      <c r="N843">
        <v>5</v>
      </c>
    </row>
    <row r="844" spans="1:14" x14ac:dyDescent="0.25">
      <c r="A844" s="34" t="s">
        <v>8552</v>
      </c>
      <c r="E844">
        <v>5</v>
      </c>
      <c r="N844">
        <v>5</v>
      </c>
    </row>
    <row r="845" spans="1:14" x14ac:dyDescent="0.25">
      <c r="A845" s="35" t="s">
        <v>8551</v>
      </c>
      <c r="E845">
        <v>5</v>
      </c>
      <c r="N845">
        <v>5</v>
      </c>
    </row>
    <row r="846" spans="1:14" x14ac:dyDescent="0.25">
      <c r="A846" s="34" t="s">
        <v>9306</v>
      </c>
      <c r="B846">
        <v>190653.2549</v>
      </c>
      <c r="C846">
        <v>224808.05</v>
      </c>
      <c r="D846">
        <v>251906.63529999999</v>
      </c>
      <c r="E846">
        <v>241172.5</v>
      </c>
      <c r="F846">
        <v>196051.04499999998</v>
      </c>
      <c r="G846">
        <v>130263.7</v>
      </c>
      <c r="H846">
        <v>153920.03</v>
      </c>
      <c r="I846">
        <v>73307</v>
      </c>
      <c r="J846">
        <v>93741.459999999992</v>
      </c>
      <c r="K846">
        <v>42534.53</v>
      </c>
      <c r="L846">
        <v>64837.114999999998</v>
      </c>
      <c r="M846">
        <v>49319.782500000001</v>
      </c>
      <c r="N846">
        <v>1712515.1027000002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339FB-6B8B-421C-AFE8-A38F9F1A6BAA}">
  <dimension ref="B2:V8885"/>
  <sheetViews>
    <sheetView topLeftCell="A8756" workbookViewId="0">
      <selection activeCell="G8885" sqref="G8885"/>
    </sheetView>
  </sheetViews>
  <sheetFormatPr defaultRowHeight="15" x14ac:dyDescent="0.25"/>
  <cols>
    <col min="17" max="17" width="22.42578125" customWidth="1"/>
    <col min="18" max="18" width="60.42578125" customWidth="1"/>
    <col min="19" max="19" width="9.42578125" customWidth="1"/>
    <col min="21" max="21" width="60.42578125" customWidth="1"/>
  </cols>
  <sheetData>
    <row r="2" spans="2:22" x14ac:dyDescent="0.25">
      <c r="B2" s="30" t="s">
        <v>9287</v>
      </c>
      <c r="C2" s="31" t="s">
        <v>9288</v>
      </c>
      <c r="D2" s="31" t="s">
        <v>9289</v>
      </c>
      <c r="E2" s="31" t="s">
        <v>9290</v>
      </c>
      <c r="F2" s="31" t="s">
        <v>9291</v>
      </c>
      <c r="G2" s="31" t="s">
        <v>9292</v>
      </c>
      <c r="H2" s="31" t="s">
        <v>9293</v>
      </c>
      <c r="I2" s="31" t="s">
        <v>9294</v>
      </c>
      <c r="J2" s="31" t="s">
        <v>9295</v>
      </c>
      <c r="K2" s="31" t="s">
        <v>9296</v>
      </c>
      <c r="L2" s="31" t="s">
        <v>9297</v>
      </c>
      <c r="M2" s="31" t="s">
        <v>9298</v>
      </c>
      <c r="N2" s="31" t="s">
        <v>9299</v>
      </c>
      <c r="O2" s="31" t="s">
        <v>9300</v>
      </c>
    </row>
    <row r="3" spans="2:22" x14ac:dyDescent="0.25">
      <c r="B3" s="1" t="s">
        <v>0</v>
      </c>
      <c r="C3" s="2" t="s">
        <v>1</v>
      </c>
      <c r="D3" s="2" t="s">
        <v>2</v>
      </c>
      <c r="E3" s="2" t="s">
        <v>3</v>
      </c>
      <c r="F3" s="3">
        <f>DATE(2022,10,4)</f>
        <v>44838</v>
      </c>
      <c r="G3" s="4">
        <f t="shared" ref="G3:G66" si="0">+MONTH(F3)</f>
        <v>10</v>
      </c>
      <c r="H3" s="4">
        <f t="shared" ref="H3:H66" si="1">+YEAR(F3)</f>
        <v>2022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N3" s="4" t="str">
        <f t="shared" ref="N3:N66" si="2">+LEFT(M3,3)</f>
        <v>GAL</v>
      </c>
      <c r="O3" s="5">
        <v>55</v>
      </c>
      <c r="Q3" t="str">
        <f t="shared" ref="Q3:Q66" si="3">K3</f>
        <v>USCMANPLX+55</v>
      </c>
      <c r="R3" t="str">
        <f t="shared" ref="R3:R66" si="4">L3</f>
        <v>Vented Manga Plex Plus</v>
      </c>
      <c r="S3" s="32">
        <f>SUMIF($R$3:$R$885,$R3,$O$3:$O$885)</f>
        <v>1060</v>
      </c>
      <c r="U3" t="s">
        <v>7</v>
      </c>
      <c r="V3" s="32">
        <v>1060</v>
      </c>
    </row>
    <row r="4" spans="2:22" x14ac:dyDescent="0.25">
      <c r="B4" s="1" t="s">
        <v>0</v>
      </c>
      <c r="C4" s="2" t="s">
        <v>1</v>
      </c>
      <c r="D4" s="2" t="s">
        <v>2</v>
      </c>
      <c r="E4" s="2" t="s">
        <v>9</v>
      </c>
      <c r="F4" s="3">
        <f t="shared" ref="F4:F10" si="5">DATE(2022,10,5)</f>
        <v>44839</v>
      </c>
      <c r="G4" s="4">
        <f t="shared" si="0"/>
        <v>10</v>
      </c>
      <c r="H4" s="4">
        <f t="shared" si="1"/>
        <v>2022</v>
      </c>
      <c r="I4" s="2" t="s">
        <v>4</v>
      </c>
      <c r="J4" s="2" t="s">
        <v>10</v>
      </c>
      <c r="K4" s="2" t="s">
        <v>11</v>
      </c>
      <c r="L4" s="2" t="s">
        <v>12</v>
      </c>
      <c r="M4" s="2" t="s">
        <v>13</v>
      </c>
      <c r="N4" s="4" t="str">
        <f t="shared" si="2"/>
        <v>GAL</v>
      </c>
      <c r="O4" s="5">
        <v>110</v>
      </c>
      <c r="Q4" t="str">
        <f t="shared" si="3"/>
        <v>FLO1200655</v>
      </c>
      <c r="R4" t="str">
        <f t="shared" si="4"/>
        <v>Green Master 12-0-0</v>
      </c>
      <c r="S4" s="32">
        <f t="shared" ref="S4:S67" si="6">SUMIF($R$3:$R$885, $R4, $O$3:$O$885)</f>
        <v>440</v>
      </c>
      <c r="U4" t="s">
        <v>12</v>
      </c>
      <c r="V4" s="32">
        <v>440</v>
      </c>
    </row>
    <row r="5" spans="2:22" x14ac:dyDescent="0.25">
      <c r="B5" s="1" t="s">
        <v>0</v>
      </c>
      <c r="C5" s="2" t="s">
        <v>1</v>
      </c>
      <c r="D5" s="2" t="s">
        <v>2</v>
      </c>
      <c r="E5" s="2" t="s">
        <v>14</v>
      </c>
      <c r="F5" s="3">
        <f t="shared" si="5"/>
        <v>44839</v>
      </c>
      <c r="G5" s="4">
        <f t="shared" si="0"/>
        <v>10</v>
      </c>
      <c r="H5" s="4">
        <f t="shared" si="1"/>
        <v>2022</v>
      </c>
      <c r="I5" s="2" t="s">
        <v>4</v>
      </c>
      <c r="J5" s="2" t="s">
        <v>15</v>
      </c>
      <c r="K5" s="2" t="s">
        <v>16</v>
      </c>
      <c r="L5" s="2" t="s">
        <v>7</v>
      </c>
      <c r="M5" s="2" t="s">
        <v>8</v>
      </c>
      <c r="N5" s="4" t="str">
        <f t="shared" si="2"/>
        <v>GAL</v>
      </c>
      <c r="O5" s="5">
        <v>30</v>
      </c>
      <c r="Q5" t="str">
        <f t="shared" si="3"/>
        <v>USCMANPLX+02</v>
      </c>
      <c r="R5" t="str">
        <f t="shared" si="4"/>
        <v>Vented Manga Plex Plus</v>
      </c>
      <c r="S5" s="32">
        <f t="shared" si="6"/>
        <v>1060</v>
      </c>
      <c r="U5" t="s">
        <v>7</v>
      </c>
      <c r="V5" s="32">
        <v>1060</v>
      </c>
    </row>
    <row r="6" spans="2:22" x14ac:dyDescent="0.25">
      <c r="B6" s="1" t="s">
        <v>0</v>
      </c>
      <c r="C6" s="2" t="s">
        <v>1</v>
      </c>
      <c r="D6" s="2" t="s">
        <v>2</v>
      </c>
      <c r="E6" s="2" t="s">
        <v>17</v>
      </c>
      <c r="F6" s="3">
        <f t="shared" si="5"/>
        <v>44839</v>
      </c>
      <c r="G6" s="4">
        <f t="shared" si="0"/>
        <v>10</v>
      </c>
      <c r="H6" s="4">
        <f t="shared" si="1"/>
        <v>2022</v>
      </c>
      <c r="I6" s="2" t="s">
        <v>4</v>
      </c>
      <c r="J6" s="2" t="s">
        <v>18</v>
      </c>
      <c r="K6" s="2" t="s">
        <v>19</v>
      </c>
      <c r="L6" s="2" t="s">
        <v>20</v>
      </c>
      <c r="M6" s="2" t="s">
        <v>21</v>
      </c>
      <c r="N6" s="4" t="str">
        <f t="shared" si="2"/>
        <v>GAL</v>
      </c>
      <c r="O6" s="5">
        <v>40</v>
      </c>
      <c r="Q6" t="str">
        <f t="shared" si="3"/>
        <v>FLOKTS02</v>
      </c>
      <c r="R6" t="str">
        <f t="shared" si="4"/>
        <v>Excel 0-0-25</v>
      </c>
      <c r="S6" s="32">
        <f t="shared" si="6"/>
        <v>690</v>
      </c>
      <c r="U6" t="s">
        <v>20</v>
      </c>
      <c r="V6" s="32">
        <v>690</v>
      </c>
    </row>
    <row r="7" spans="2:22" x14ac:dyDescent="0.25">
      <c r="B7" s="1" t="s">
        <v>0</v>
      </c>
      <c r="C7" s="2" t="s">
        <v>1</v>
      </c>
      <c r="D7" s="2" t="s">
        <v>2</v>
      </c>
      <c r="E7" s="2" t="s">
        <v>17</v>
      </c>
      <c r="F7" s="3">
        <f t="shared" si="5"/>
        <v>44839</v>
      </c>
      <c r="G7" s="4">
        <f t="shared" si="0"/>
        <v>10</v>
      </c>
      <c r="H7" s="4">
        <f t="shared" si="1"/>
        <v>2022</v>
      </c>
      <c r="I7" s="2" t="s">
        <v>4</v>
      </c>
      <c r="J7" s="2" t="s">
        <v>18</v>
      </c>
      <c r="K7" s="2" t="s">
        <v>22</v>
      </c>
      <c r="L7" s="2" t="s">
        <v>23</v>
      </c>
      <c r="M7" s="2" t="s">
        <v>24</v>
      </c>
      <c r="N7" s="4" t="str">
        <f t="shared" si="2"/>
        <v>GAL</v>
      </c>
      <c r="O7" s="5">
        <v>40</v>
      </c>
      <c r="Q7" t="str">
        <f t="shared" si="3"/>
        <v>GPHUMIC02</v>
      </c>
      <c r="R7" t="str">
        <f t="shared" si="4"/>
        <v>Humic Soil Rebuilder</v>
      </c>
      <c r="S7" s="32">
        <f t="shared" si="6"/>
        <v>180</v>
      </c>
      <c r="U7" t="s">
        <v>23</v>
      </c>
      <c r="V7" s="32">
        <v>180</v>
      </c>
    </row>
    <row r="8" spans="2:22" x14ac:dyDescent="0.25">
      <c r="B8" s="1" t="s">
        <v>0</v>
      </c>
      <c r="C8" s="2" t="s">
        <v>1</v>
      </c>
      <c r="D8" s="2" t="s">
        <v>2</v>
      </c>
      <c r="E8" s="2" t="s">
        <v>17</v>
      </c>
      <c r="F8" s="3">
        <f t="shared" si="5"/>
        <v>44839</v>
      </c>
      <c r="G8" s="4">
        <f t="shared" si="0"/>
        <v>10</v>
      </c>
      <c r="H8" s="4">
        <f t="shared" si="1"/>
        <v>2022</v>
      </c>
      <c r="I8" s="2" t="s">
        <v>4</v>
      </c>
      <c r="J8" s="2" t="s">
        <v>18</v>
      </c>
      <c r="K8" s="2" t="s">
        <v>25</v>
      </c>
      <c r="L8" s="2" t="s">
        <v>26</v>
      </c>
      <c r="M8" s="2" t="s">
        <v>27</v>
      </c>
      <c r="N8" s="4" t="str">
        <f t="shared" si="2"/>
        <v>GAL</v>
      </c>
      <c r="O8" s="5">
        <v>40</v>
      </c>
      <c r="Q8" t="str">
        <f t="shared" si="3"/>
        <v>GOLDCA02</v>
      </c>
      <c r="R8" t="str">
        <f t="shared" si="4"/>
        <v>Neutra Soil</v>
      </c>
      <c r="S8" s="32">
        <f t="shared" si="6"/>
        <v>470</v>
      </c>
      <c r="U8" t="s">
        <v>26</v>
      </c>
      <c r="V8" s="32">
        <v>470</v>
      </c>
    </row>
    <row r="9" spans="2:22" x14ac:dyDescent="0.25">
      <c r="B9" s="1" t="s">
        <v>0</v>
      </c>
      <c r="C9" s="2" t="s">
        <v>1</v>
      </c>
      <c r="D9" s="2" t="s">
        <v>2</v>
      </c>
      <c r="E9" s="2" t="s">
        <v>17</v>
      </c>
      <c r="F9" s="3">
        <f t="shared" si="5"/>
        <v>44839</v>
      </c>
      <c r="G9" s="4">
        <f t="shared" si="0"/>
        <v>10</v>
      </c>
      <c r="H9" s="4">
        <f t="shared" si="1"/>
        <v>2022</v>
      </c>
      <c r="I9" s="2" t="s">
        <v>4</v>
      </c>
      <c r="J9" s="2" t="s">
        <v>18</v>
      </c>
      <c r="K9" s="2" t="s">
        <v>28</v>
      </c>
      <c r="L9" s="2" t="s">
        <v>29</v>
      </c>
      <c r="M9" s="2" t="s">
        <v>30</v>
      </c>
      <c r="N9" s="4" t="str">
        <f t="shared" si="2"/>
        <v>GAL</v>
      </c>
      <c r="O9" s="5">
        <v>40</v>
      </c>
      <c r="Q9" t="str">
        <f t="shared" si="3"/>
        <v>USCBIOPX02</v>
      </c>
      <c r="R9" t="str">
        <f t="shared" si="4"/>
        <v>Vented Bio Plex</v>
      </c>
      <c r="S9" s="32">
        <f t="shared" si="6"/>
        <v>510</v>
      </c>
      <c r="U9" t="s">
        <v>29</v>
      </c>
      <c r="V9" s="32">
        <v>510</v>
      </c>
    </row>
    <row r="10" spans="2:22" x14ac:dyDescent="0.25">
      <c r="B10" s="1" t="s">
        <v>0</v>
      </c>
      <c r="C10" s="2" t="s">
        <v>1</v>
      </c>
      <c r="D10" s="2" t="s">
        <v>2</v>
      </c>
      <c r="E10" s="2" t="s">
        <v>17</v>
      </c>
      <c r="F10" s="3">
        <f t="shared" si="5"/>
        <v>44839</v>
      </c>
      <c r="G10" s="4">
        <f t="shared" si="0"/>
        <v>10</v>
      </c>
      <c r="H10" s="4">
        <f t="shared" si="1"/>
        <v>2022</v>
      </c>
      <c r="I10" s="2" t="s">
        <v>4</v>
      </c>
      <c r="J10" s="2" t="s">
        <v>18</v>
      </c>
      <c r="K10" s="2" t="s">
        <v>16</v>
      </c>
      <c r="L10" s="2" t="s">
        <v>7</v>
      </c>
      <c r="M10" s="2" t="s">
        <v>8</v>
      </c>
      <c r="N10" s="4" t="str">
        <f t="shared" si="2"/>
        <v>GAL</v>
      </c>
      <c r="O10" s="5">
        <v>40</v>
      </c>
      <c r="Q10" t="str">
        <f t="shared" si="3"/>
        <v>USCMANPLX+02</v>
      </c>
      <c r="R10" t="str">
        <f t="shared" si="4"/>
        <v>Vented Manga Plex Plus</v>
      </c>
      <c r="S10" s="32">
        <f t="shared" si="6"/>
        <v>1060</v>
      </c>
      <c r="U10" t="s">
        <v>7</v>
      </c>
      <c r="V10" s="32">
        <v>1060</v>
      </c>
    </row>
    <row r="11" spans="2:22" x14ac:dyDescent="0.25">
      <c r="B11" s="1" t="s">
        <v>0</v>
      </c>
      <c r="C11" s="2" t="s">
        <v>1</v>
      </c>
      <c r="D11" s="2" t="s">
        <v>2</v>
      </c>
      <c r="E11" s="2" t="s">
        <v>31</v>
      </c>
      <c r="F11" s="3">
        <f t="shared" ref="F11:F23" si="7">DATE(2022,10,6)</f>
        <v>44840</v>
      </c>
      <c r="G11" s="4">
        <f t="shared" si="0"/>
        <v>10</v>
      </c>
      <c r="H11" s="4">
        <f t="shared" si="1"/>
        <v>2022</v>
      </c>
      <c r="I11" s="2" t="s">
        <v>4</v>
      </c>
      <c r="J11" s="2" t="s">
        <v>32</v>
      </c>
      <c r="K11" s="2" t="s">
        <v>33</v>
      </c>
      <c r="L11" s="2" t="s">
        <v>34</v>
      </c>
      <c r="M11" s="2" t="s">
        <v>35</v>
      </c>
      <c r="N11" s="4" t="str">
        <f t="shared" si="2"/>
        <v>GAL</v>
      </c>
      <c r="O11" s="5">
        <v>20</v>
      </c>
      <c r="Q11" t="str">
        <f t="shared" si="3"/>
        <v>ZON1501002</v>
      </c>
      <c r="R11" t="str">
        <f t="shared" si="4"/>
        <v>Ever-Green 15-0-10</v>
      </c>
      <c r="S11" s="32">
        <f t="shared" si="6"/>
        <v>140</v>
      </c>
      <c r="U11" t="s">
        <v>34</v>
      </c>
      <c r="V11" s="32">
        <v>140</v>
      </c>
    </row>
    <row r="12" spans="2:22" x14ac:dyDescent="0.25">
      <c r="B12" s="1" t="s">
        <v>0</v>
      </c>
      <c r="C12" s="2" t="s">
        <v>1</v>
      </c>
      <c r="D12" s="2" t="s">
        <v>2</v>
      </c>
      <c r="E12" s="2" t="s">
        <v>31</v>
      </c>
      <c r="F12" s="3">
        <f t="shared" si="7"/>
        <v>44840</v>
      </c>
      <c r="G12" s="4">
        <f t="shared" si="0"/>
        <v>10</v>
      </c>
      <c r="H12" s="4">
        <f t="shared" si="1"/>
        <v>2022</v>
      </c>
      <c r="I12" s="2" t="s">
        <v>4</v>
      </c>
      <c r="J12" s="2" t="s">
        <v>32</v>
      </c>
      <c r="K12" s="2" t="s">
        <v>19</v>
      </c>
      <c r="L12" s="2" t="s">
        <v>20</v>
      </c>
      <c r="M12" s="2" t="s">
        <v>21</v>
      </c>
      <c r="N12" s="4" t="str">
        <f t="shared" si="2"/>
        <v>GAL</v>
      </c>
      <c r="O12" s="5">
        <v>20</v>
      </c>
      <c r="Q12" t="str">
        <f t="shared" si="3"/>
        <v>FLOKTS02</v>
      </c>
      <c r="R12" t="str">
        <f t="shared" si="4"/>
        <v>Excel 0-0-25</v>
      </c>
      <c r="S12" s="32">
        <f t="shared" si="6"/>
        <v>690</v>
      </c>
      <c r="U12" t="s">
        <v>20</v>
      </c>
      <c r="V12" s="32">
        <v>690</v>
      </c>
    </row>
    <row r="13" spans="2:22" x14ac:dyDescent="0.25">
      <c r="B13" s="1" t="s">
        <v>0</v>
      </c>
      <c r="C13" s="2" t="s">
        <v>1</v>
      </c>
      <c r="D13" s="2" t="s">
        <v>2</v>
      </c>
      <c r="E13" s="2" t="s">
        <v>31</v>
      </c>
      <c r="F13" s="3">
        <f t="shared" si="7"/>
        <v>44840</v>
      </c>
      <c r="G13" s="4">
        <f t="shared" si="0"/>
        <v>10</v>
      </c>
      <c r="H13" s="4">
        <f t="shared" si="1"/>
        <v>2022</v>
      </c>
      <c r="I13" s="2" t="s">
        <v>4</v>
      </c>
      <c r="J13" s="2" t="s">
        <v>32</v>
      </c>
      <c r="K13" s="2" t="s">
        <v>22</v>
      </c>
      <c r="L13" s="2" t="s">
        <v>23</v>
      </c>
      <c r="M13" s="2" t="s">
        <v>24</v>
      </c>
      <c r="N13" s="4" t="str">
        <f t="shared" si="2"/>
        <v>GAL</v>
      </c>
      <c r="O13" s="5">
        <v>20</v>
      </c>
      <c r="Q13" t="str">
        <f t="shared" si="3"/>
        <v>GPHUMIC02</v>
      </c>
      <c r="R13" t="str">
        <f t="shared" si="4"/>
        <v>Humic Soil Rebuilder</v>
      </c>
      <c r="S13" s="32">
        <f t="shared" si="6"/>
        <v>180</v>
      </c>
      <c r="U13" t="s">
        <v>23</v>
      </c>
      <c r="V13" s="32">
        <v>180</v>
      </c>
    </row>
    <row r="14" spans="2:22" x14ac:dyDescent="0.25">
      <c r="B14" s="1" t="s">
        <v>0</v>
      </c>
      <c r="C14" s="2" t="s">
        <v>1</v>
      </c>
      <c r="D14" s="2" t="s">
        <v>2</v>
      </c>
      <c r="E14" s="2" t="s">
        <v>31</v>
      </c>
      <c r="F14" s="3">
        <f t="shared" si="7"/>
        <v>44840</v>
      </c>
      <c r="G14" s="4">
        <f t="shared" si="0"/>
        <v>10</v>
      </c>
      <c r="H14" s="4">
        <f t="shared" si="1"/>
        <v>2022</v>
      </c>
      <c r="I14" s="2" t="s">
        <v>4</v>
      </c>
      <c r="J14" s="2" t="s">
        <v>32</v>
      </c>
      <c r="K14" s="2" t="s">
        <v>36</v>
      </c>
      <c r="L14" s="2" t="s">
        <v>37</v>
      </c>
      <c r="M14" s="2" t="s">
        <v>38</v>
      </c>
      <c r="N14" s="4" t="str">
        <f t="shared" si="2"/>
        <v>GAL</v>
      </c>
      <c r="O14" s="5">
        <v>20</v>
      </c>
      <c r="Q14" t="str">
        <f t="shared" si="3"/>
        <v>FLO3181802</v>
      </c>
      <c r="R14" t="str">
        <f t="shared" si="4"/>
        <v>Mega Feed 3-18-18</v>
      </c>
      <c r="S14" s="32">
        <f t="shared" si="6"/>
        <v>260</v>
      </c>
      <c r="U14" t="s">
        <v>37</v>
      </c>
      <c r="V14" s="32">
        <v>260</v>
      </c>
    </row>
    <row r="15" spans="2:22" x14ac:dyDescent="0.25">
      <c r="B15" s="1" t="s">
        <v>0</v>
      </c>
      <c r="C15" s="2" t="s">
        <v>1</v>
      </c>
      <c r="D15" s="2" t="s">
        <v>2</v>
      </c>
      <c r="E15" s="2" t="s">
        <v>31</v>
      </c>
      <c r="F15" s="3">
        <f t="shared" si="7"/>
        <v>44840</v>
      </c>
      <c r="G15" s="4">
        <f t="shared" si="0"/>
        <v>10</v>
      </c>
      <c r="H15" s="4">
        <f t="shared" si="1"/>
        <v>2022</v>
      </c>
      <c r="I15" s="2" t="s">
        <v>4</v>
      </c>
      <c r="J15" s="2" t="s">
        <v>32</v>
      </c>
      <c r="K15" s="2" t="s">
        <v>39</v>
      </c>
      <c r="L15" s="2" t="s">
        <v>40</v>
      </c>
      <c r="M15" s="2" t="s">
        <v>41</v>
      </c>
      <c r="N15" s="4" t="str">
        <f t="shared" si="2"/>
        <v>GAL</v>
      </c>
      <c r="O15" s="5">
        <v>10</v>
      </c>
      <c r="Q15" t="str">
        <f t="shared" si="3"/>
        <v>FLOU3202</v>
      </c>
      <c r="R15" t="str">
        <f t="shared" si="4"/>
        <v>Quick Green</v>
      </c>
      <c r="S15" s="32">
        <f t="shared" si="6"/>
        <v>10</v>
      </c>
      <c r="U15" t="s">
        <v>40</v>
      </c>
      <c r="V15" s="32">
        <v>10</v>
      </c>
    </row>
    <row r="16" spans="2:22" x14ac:dyDescent="0.25">
      <c r="B16" s="1" t="s">
        <v>0</v>
      </c>
      <c r="C16" s="2" t="s">
        <v>1</v>
      </c>
      <c r="D16" s="2" t="s">
        <v>2</v>
      </c>
      <c r="E16" s="2" t="s">
        <v>31</v>
      </c>
      <c r="F16" s="3">
        <f t="shared" si="7"/>
        <v>44840</v>
      </c>
      <c r="G16" s="4">
        <f t="shared" si="0"/>
        <v>10</v>
      </c>
      <c r="H16" s="4">
        <f t="shared" si="1"/>
        <v>2022</v>
      </c>
      <c r="I16" s="2" t="s">
        <v>4</v>
      </c>
      <c r="J16" s="2" t="s">
        <v>32</v>
      </c>
      <c r="K16" s="2" t="s">
        <v>28</v>
      </c>
      <c r="L16" s="2" t="s">
        <v>29</v>
      </c>
      <c r="M16" s="2" t="s">
        <v>30</v>
      </c>
      <c r="N16" s="4" t="str">
        <f t="shared" si="2"/>
        <v>GAL</v>
      </c>
      <c r="O16" s="5">
        <v>20</v>
      </c>
      <c r="Q16" t="str">
        <f t="shared" si="3"/>
        <v>USCBIOPX02</v>
      </c>
      <c r="R16" t="str">
        <f t="shared" si="4"/>
        <v>Vented Bio Plex</v>
      </c>
      <c r="S16" s="32">
        <f t="shared" si="6"/>
        <v>510</v>
      </c>
      <c r="U16" t="s">
        <v>29</v>
      </c>
      <c r="V16" s="32">
        <v>510</v>
      </c>
    </row>
    <row r="17" spans="2:22" x14ac:dyDescent="0.25">
      <c r="B17" s="1" t="s">
        <v>0</v>
      </c>
      <c r="C17" s="2" t="s">
        <v>1</v>
      </c>
      <c r="D17" s="2" t="s">
        <v>2</v>
      </c>
      <c r="E17" s="2" t="s">
        <v>31</v>
      </c>
      <c r="F17" s="3">
        <f t="shared" si="7"/>
        <v>44840</v>
      </c>
      <c r="G17" s="4">
        <f t="shared" si="0"/>
        <v>10</v>
      </c>
      <c r="H17" s="4">
        <f t="shared" si="1"/>
        <v>2022</v>
      </c>
      <c r="I17" s="2" t="s">
        <v>4</v>
      </c>
      <c r="J17" s="2" t="s">
        <v>32</v>
      </c>
      <c r="K17" s="2" t="s">
        <v>16</v>
      </c>
      <c r="L17" s="2" t="s">
        <v>7</v>
      </c>
      <c r="M17" s="2" t="s">
        <v>8</v>
      </c>
      <c r="N17" s="4" t="str">
        <f t="shared" si="2"/>
        <v>GAL</v>
      </c>
      <c r="O17" s="5">
        <v>15</v>
      </c>
      <c r="Q17" t="str">
        <f t="shared" si="3"/>
        <v>USCMANPLX+02</v>
      </c>
      <c r="R17" t="str">
        <f t="shared" si="4"/>
        <v>Vented Manga Plex Plus</v>
      </c>
      <c r="S17" s="32">
        <f t="shared" si="6"/>
        <v>1060</v>
      </c>
      <c r="U17" t="s">
        <v>7</v>
      </c>
      <c r="V17" s="32">
        <v>1060</v>
      </c>
    </row>
    <row r="18" spans="2:22" x14ac:dyDescent="0.25">
      <c r="B18" s="1" t="s">
        <v>0</v>
      </c>
      <c r="C18" s="2" t="s">
        <v>1</v>
      </c>
      <c r="D18" s="2" t="s">
        <v>2</v>
      </c>
      <c r="E18" s="2" t="s">
        <v>42</v>
      </c>
      <c r="F18" s="3">
        <f t="shared" si="7"/>
        <v>44840</v>
      </c>
      <c r="G18" s="4">
        <f t="shared" si="0"/>
        <v>10</v>
      </c>
      <c r="H18" s="4">
        <f t="shared" si="1"/>
        <v>2022</v>
      </c>
      <c r="I18" s="2" t="s">
        <v>4</v>
      </c>
      <c r="J18" s="2" t="s">
        <v>43</v>
      </c>
      <c r="K18" s="2" t="s">
        <v>19</v>
      </c>
      <c r="L18" s="2" t="s">
        <v>20</v>
      </c>
      <c r="M18" s="2" t="s">
        <v>21</v>
      </c>
      <c r="N18" s="4" t="str">
        <f t="shared" si="2"/>
        <v>GAL</v>
      </c>
      <c r="O18" s="5">
        <v>120</v>
      </c>
      <c r="Q18" t="str">
        <f t="shared" si="3"/>
        <v>FLOKTS02</v>
      </c>
      <c r="R18" t="str">
        <f t="shared" si="4"/>
        <v>Excel 0-0-25</v>
      </c>
      <c r="S18" s="32">
        <f t="shared" si="6"/>
        <v>690</v>
      </c>
      <c r="U18" t="s">
        <v>20</v>
      </c>
      <c r="V18" s="32">
        <v>690</v>
      </c>
    </row>
    <row r="19" spans="2:22" x14ac:dyDescent="0.25">
      <c r="B19" s="1" t="s">
        <v>0</v>
      </c>
      <c r="C19" s="2" t="s">
        <v>1</v>
      </c>
      <c r="D19" s="2" t="s">
        <v>2</v>
      </c>
      <c r="E19" s="2" t="s">
        <v>42</v>
      </c>
      <c r="F19" s="3">
        <f t="shared" si="7"/>
        <v>44840</v>
      </c>
      <c r="G19" s="4">
        <f t="shared" si="0"/>
        <v>10</v>
      </c>
      <c r="H19" s="4">
        <f t="shared" si="1"/>
        <v>2022</v>
      </c>
      <c r="I19" s="2" t="s">
        <v>4</v>
      </c>
      <c r="J19" s="2" t="s">
        <v>43</v>
      </c>
      <c r="K19" s="2" t="s">
        <v>36</v>
      </c>
      <c r="L19" s="2" t="s">
        <v>37</v>
      </c>
      <c r="M19" s="2" t="s">
        <v>38</v>
      </c>
      <c r="N19" s="4" t="str">
        <f t="shared" si="2"/>
        <v>GAL</v>
      </c>
      <c r="O19" s="5">
        <v>60</v>
      </c>
      <c r="Q19" t="str">
        <f t="shared" si="3"/>
        <v>FLO3181802</v>
      </c>
      <c r="R19" t="str">
        <f t="shared" si="4"/>
        <v>Mega Feed 3-18-18</v>
      </c>
      <c r="S19" s="32">
        <f t="shared" si="6"/>
        <v>260</v>
      </c>
      <c r="U19" t="s">
        <v>37</v>
      </c>
      <c r="V19" s="32">
        <v>260</v>
      </c>
    </row>
    <row r="20" spans="2:22" x14ac:dyDescent="0.25">
      <c r="B20" s="1" t="s">
        <v>0</v>
      </c>
      <c r="C20" s="2" t="s">
        <v>1</v>
      </c>
      <c r="D20" s="2" t="s">
        <v>2</v>
      </c>
      <c r="E20" s="2" t="s">
        <v>42</v>
      </c>
      <c r="F20" s="3">
        <f t="shared" si="7"/>
        <v>44840</v>
      </c>
      <c r="G20" s="4">
        <f t="shared" si="0"/>
        <v>10</v>
      </c>
      <c r="H20" s="4">
        <f t="shared" si="1"/>
        <v>2022</v>
      </c>
      <c r="I20" s="2" t="s">
        <v>4</v>
      </c>
      <c r="J20" s="2" t="s">
        <v>43</v>
      </c>
      <c r="K20" s="2" t="s">
        <v>44</v>
      </c>
      <c r="L20" s="2" t="s">
        <v>45</v>
      </c>
      <c r="M20" s="2" t="s">
        <v>46</v>
      </c>
      <c r="N20" s="4" t="str">
        <f t="shared" si="2"/>
        <v>GAL</v>
      </c>
      <c r="O20" s="5">
        <v>30</v>
      </c>
      <c r="Q20" t="str">
        <f t="shared" si="3"/>
        <v>FLO824802</v>
      </c>
      <c r="R20" t="str">
        <f t="shared" si="4"/>
        <v>Mega Green Starter</v>
      </c>
      <c r="S20" s="32">
        <f t="shared" si="6"/>
        <v>60</v>
      </c>
      <c r="U20" t="s">
        <v>45</v>
      </c>
      <c r="V20" s="32">
        <v>60</v>
      </c>
    </row>
    <row r="21" spans="2:22" x14ac:dyDescent="0.25">
      <c r="B21" s="1" t="s">
        <v>0</v>
      </c>
      <c r="C21" s="2" t="s">
        <v>1</v>
      </c>
      <c r="D21" s="2" t="s">
        <v>2</v>
      </c>
      <c r="E21" s="2" t="s">
        <v>42</v>
      </c>
      <c r="F21" s="3">
        <f t="shared" si="7"/>
        <v>44840</v>
      </c>
      <c r="G21" s="4">
        <f t="shared" si="0"/>
        <v>10</v>
      </c>
      <c r="H21" s="4">
        <f t="shared" si="1"/>
        <v>2022</v>
      </c>
      <c r="I21" s="2" t="s">
        <v>4</v>
      </c>
      <c r="J21" s="2" t="s">
        <v>43</v>
      </c>
      <c r="K21" s="2" t="s">
        <v>47</v>
      </c>
      <c r="L21" s="2" t="s">
        <v>48</v>
      </c>
      <c r="M21" s="2" t="s">
        <v>49</v>
      </c>
      <c r="N21" s="4" t="str">
        <f t="shared" si="2"/>
        <v>GAL</v>
      </c>
      <c r="O21" s="5">
        <v>30</v>
      </c>
      <c r="Q21" t="str">
        <f t="shared" si="3"/>
        <v>GROMG602</v>
      </c>
      <c r="R21" t="str">
        <f t="shared" si="4"/>
        <v>Mega Mix Mg</v>
      </c>
      <c r="S21" s="32">
        <f t="shared" si="6"/>
        <v>150</v>
      </c>
      <c r="U21" t="s">
        <v>48</v>
      </c>
      <c r="V21" s="32">
        <v>150</v>
      </c>
    </row>
    <row r="22" spans="2:22" x14ac:dyDescent="0.25">
      <c r="B22" s="1" t="s">
        <v>0</v>
      </c>
      <c r="C22" s="2" t="s">
        <v>1</v>
      </c>
      <c r="D22" s="2" t="s">
        <v>2</v>
      </c>
      <c r="E22" s="2" t="s">
        <v>42</v>
      </c>
      <c r="F22" s="3">
        <f t="shared" si="7"/>
        <v>44840</v>
      </c>
      <c r="G22" s="4">
        <f t="shared" si="0"/>
        <v>10</v>
      </c>
      <c r="H22" s="4">
        <f t="shared" si="1"/>
        <v>2022</v>
      </c>
      <c r="I22" s="2" t="s">
        <v>4</v>
      </c>
      <c r="J22" s="2" t="s">
        <v>43</v>
      </c>
      <c r="K22" s="2" t="s">
        <v>50</v>
      </c>
      <c r="L22" s="2" t="s">
        <v>51</v>
      </c>
      <c r="M22" s="2" t="s">
        <v>52</v>
      </c>
      <c r="N22" s="4" t="str">
        <f t="shared" si="2"/>
        <v>GAL</v>
      </c>
      <c r="O22" s="5">
        <v>120</v>
      </c>
      <c r="Q22" t="str">
        <f t="shared" si="3"/>
        <v>ZONN2802</v>
      </c>
      <c r="R22" t="str">
        <f t="shared" si="4"/>
        <v>Ultra Green 28-0-0</v>
      </c>
      <c r="S22" s="32">
        <f t="shared" si="6"/>
        <v>180</v>
      </c>
      <c r="U22" t="s">
        <v>51</v>
      </c>
      <c r="V22" s="32">
        <v>180</v>
      </c>
    </row>
    <row r="23" spans="2:22" x14ac:dyDescent="0.25">
      <c r="B23" s="1" t="s">
        <v>0</v>
      </c>
      <c r="C23" s="2" t="s">
        <v>1</v>
      </c>
      <c r="D23" s="2" t="s">
        <v>2</v>
      </c>
      <c r="E23" s="2" t="s">
        <v>42</v>
      </c>
      <c r="F23" s="3">
        <f t="shared" si="7"/>
        <v>44840</v>
      </c>
      <c r="G23" s="4">
        <f t="shared" si="0"/>
        <v>10</v>
      </c>
      <c r="H23" s="4">
        <f t="shared" si="1"/>
        <v>2022</v>
      </c>
      <c r="I23" s="2" t="s">
        <v>4</v>
      </c>
      <c r="J23" s="2" t="s">
        <v>43</v>
      </c>
      <c r="K23" s="2" t="s">
        <v>16</v>
      </c>
      <c r="L23" s="2" t="s">
        <v>7</v>
      </c>
      <c r="M23" s="2" t="s">
        <v>8</v>
      </c>
      <c r="N23" s="4" t="str">
        <f t="shared" si="2"/>
        <v>GAL</v>
      </c>
      <c r="O23" s="5">
        <v>120</v>
      </c>
      <c r="Q23" t="str">
        <f t="shared" si="3"/>
        <v>USCMANPLX+02</v>
      </c>
      <c r="R23" t="str">
        <f t="shared" si="4"/>
        <v>Vented Manga Plex Plus</v>
      </c>
      <c r="S23" s="32">
        <f t="shared" si="6"/>
        <v>1060</v>
      </c>
      <c r="U23" t="s">
        <v>7</v>
      </c>
      <c r="V23" s="32">
        <v>1060</v>
      </c>
    </row>
    <row r="24" spans="2:22" x14ac:dyDescent="0.25">
      <c r="B24" s="1" t="s">
        <v>0</v>
      </c>
      <c r="C24" s="2" t="s">
        <v>1</v>
      </c>
      <c r="D24" s="2" t="s">
        <v>2</v>
      </c>
      <c r="E24" s="2" t="s">
        <v>53</v>
      </c>
      <c r="F24" s="3">
        <f>DATE(2022,10,10)</f>
        <v>44844</v>
      </c>
      <c r="G24" s="4">
        <f t="shared" si="0"/>
        <v>10</v>
      </c>
      <c r="H24" s="4">
        <f t="shared" si="1"/>
        <v>2022</v>
      </c>
      <c r="I24" s="2" t="s">
        <v>4</v>
      </c>
      <c r="J24" s="2" t="s">
        <v>54</v>
      </c>
      <c r="K24" s="2" t="s">
        <v>11</v>
      </c>
      <c r="L24" s="2" t="s">
        <v>12</v>
      </c>
      <c r="M24" s="2" t="s">
        <v>13</v>
      </c>
      <c r="N24" s="4" t="str">
        <f t="shared" si="2"/>
        <v>GAL</v>
      </c>
      <c r="O24" s="5">
        <v>55</v>
      </c>
      <c r="Q24" t="str">
        <f t="shared" si="3"/>
        <v>FLO1200655</v>
      </c>
      <c r="R24" t="str">
        <f t="shared" si="4"/>
        <v>Green Master 12-0-0</v>
      </c>
      <c r="S24" s="32">
        <f t="shared" si="6"/>
        <v>440</v>
      </c>
      <c r="U24" t="s">
        <v>12</v>
      </c>
      <c r="V24" s="32">
        <v>440</v>
      </c>
    </row>
    <row r="25" spans="2:22" x14ac:dyDescent="0.25">
      <c r="B25" s="1" t="s">
        <v>0</v>
      </c>
      <c r="C25" s="2" t="s">
        <v>1</v>
      </c>
      <c r="D25" s="2" t="s">
        <v>55</v>
      </c>
      <c r="E25" s="2" t="s">
        <v>56</v>
      </c>
      <c r="F25" s="3">
        <f>DATE(2022,10,14)</f>
        <v>44848</v>
      </c>
      <c r="G25" s="4">
        <f t="shared" si="0"/>
        <v>10</v>
      </c>
      <c r="H25" s="4">
        <f t="shared" si="1"/>
        <v>2022</v>
      </c>
      <c r="I25" s="2" t="s">
        <v>4</v>
      </c>
      <c r="J25" s="2" t="s">
        <v>57</v>
      </c>
      <c r="K25" s="2" t="s">
        <v>58</v>
      </c>
      <c r="L25" s="2" t="s">
        <v>59</v>
      </c>
      <c r="M25" s="2" t="s">
        <v>60</v>
      </c>
      <c r="N25" s="4" t="str">
        <f t="shared" si="2"/>
        <v>GAL</v>
      </c>
      <c r="O25" s="5">
        <v>165</v>
      </c>
      <c r="Q25" t="str">
        <f t="shared" si="3"/>
        <v>ALMBGNOFE55</v>
      </c>
      <c r="R25" t="str">
        <f t="shared" si="4"/>
        <v>Beauti Green without Iron</v>
      </c>
      <c r="S25" s="32">
        <f t="shared" si="6"/>
        <v>165</v>
      </c>
      <c r="U25" t="s">
        <v>59</v>
      </c>
      <c r="V25" s="32">
        <v>165</v>
      </c>
    </row>
    <row r="26" spans="2:22" x14ac:dyDescent="0.25">
      <c r="B26" s="1" t="s">
        <v>0</v>
      </c>
      <c r="C26" s="2" t="s">
        <v>1</v>
      </c>
      <c r="D26" s="2" t="s">
        <v>2</v>
      </c>
      <c r="E26" s="2" t="s">
        <v>61</v>
      </c>
      <c r="F26" s="3">
        <f>DATE(2022,10,14)</f>
        <v>44848</v>
      </c>
      <c r="G26" s="4">
        <f t="shared" si="0"/>
        <v>10</v>
      </c>
      <c r="H26" s="4">
        <f t="shared" si="1"/>
        <v>2022</v>
      </c>
      <c r="I26" s="2" t="s">
        <v>4</v>
      </c>
      <c r="J26" s="2" t="s">
        <v>62</v>
      </c>
      <c r="K26" s="2" t="s">
        <v>19</v>
      </c>
      <c r="L26" s="2" t="s">
        <v>20</v>
      </c>
      <c r="M26" s="2" t="s">
        <v>21</v>
      </c>
      <c r="N26" s="4" t="str">
        <f t="shared" si="2"/>
        <v>GAL</v>
      </c>
      <c r="O26" s="5">
        <v>35</v>
      </c>
      <c r="Q26" t="str">
        <f t="shared" si="3"/>
        <v>FLOKTS02</v>
      </c>
      <c r="R26" t="str">
        <f t="shared" si="4"/>
        <v>Excel 0-0-25</v>
      </c>
      <c r="S26" s="32">
        <f t="shared" si="6"/>
        <v>690</v>
      </c>
      <c r="U26" t="s">
        <v>20</v>
      </c>
      <c r="V26" s="32">
        <v>690</v>
      </c>
    </row>
    <row r="27" spans="2:22" x14ac:dyDescent="0.25">
      <c r="B27" s="1" t="s">
        <v>0</v>
      </c>
      <c r="C27" s="2" t="s">
        <v>1</v>
      </c>
      <c r="D27" s="2" t="s">
        <v>2</v>
      </c>
      <c r="E27" s="2" t="s">
        <v>61</v>
      </c>
      <c r="F27" s="3">
        <f>DATE(2022,10,14)</f>
        <v>44848</v>
      </c>
      <c r="G27" s="4">
        <f t="shared" si="0"/>
        <v>10</v>
      </c>
      <c r="H27" s="4">
        <f t="shared" si="1"/>
        <v>2022</v>
      </c>
      <c r="I27" s="2" t="s">
        <v>4</v>
      </c>
      <c r="J27" s="2" t="s">
        <v>62</v>
      </c>
      <c r="K27" s="2" t="s">
        <v>25</v>
      </c>
      <c r="L27" s="2" t="s">
        <v>26</v>
      </c>
      <c r="M27" s="2" t="s">
        <v>27</v>
      </c>
      <c r="N27" s="4" t="str">
        <f t="shared" si="2"/>
        <v>GAL</v>
      </c>
      <c r="O27" s="5">
        <v>70</v>
      </c>
      <c r="Q27" t="str">
        <f t="shared" si="3"/>
        <v>GOLDCA02</v>
      </c>
      <c r="R27" t="str">
        <f t="shared" si="4"/>
        <v>Neutra Soil</v>
      </c>
      <c r="S27" s="32">
        <f t="shared" si="6"/>
        <v>470</v>
      </c>
      <c r="U27" t="s">
        <v>26</v>
      </c>
      <c r="V27" s="32">
        <v>470</v>
      </c>
    </row>
    <row r="28" spans="2:22" x14ac:dyDescent="0.25">
      <c r="B28" s="1" t="s">
        <v>0</v>
      </c>
      <c r="C28" s="2" t="s">
        <v>1</v>
      </c>
      <c r="D28" s="2" t="s">
        <v>2</v>
      </c>
      <c r="E28" s="2" t="s">
        <v>61</v>
      </c>
      <c r="F28" s="3">
        <f>DATE(2022,10,14)</f>
        <v>44848</v>
      </c>
      <c r="G28" s="4">
        <f t="shared" si="0"/>
        <v>10</v>
      </c>
      <c r="H28" s="4">
        <f t="shared" si="1"/>
        <v>2022</v>
      </c>
      <c r="I28" s="2" t="s">
        <v>4</v>
      </c>
      <c r="J28" s="2" t="s">
        <v>62</v>
      </c>
      <c r="K28" s="2" t="s">
        <v>28</v>
      </c>
      <c r="L28" s="2" t="s">
        <v>29</v>
      </c>
      <c r="M28" s="2" t="s">
        <v>30</v>
      </c>
      <c r="N28" s="4" t="str">
        <f t="shared" si="2"/>
        <v>GAL</v>
      </c>
      <c r="O28" s="5">
        <v>35</v>
      </c>
      <c r="Q28" t="str">
        <f t="shared" si="3"/>
        <v>USCBIOPX02</v>
      </c>
      <c r="R28" t="str">
        <f t="shared" si="4"/>
        <v>Vented Bio Plex</v>
      </c>
      <c r="S28" s="32">
        <f t="shared" si="6"/>
        <v>510</v>
      </c>
      <c r="U28" t="s">
        <v>29</v>
      </c>
      <c r="V28" s="32">
        <v>510</v>
      </c>
    </row>
    <row r="29" spans="2:22" x14ac:dyDescent="0.25">
      <c r="B29" s="1" t="s">
        <v>0</v>
      </c>
      <c r="C29" s="2" t="s">
        <v>1</v>
      </c>
      <c r="D29" s="2" t="s">
        <v>2</v>
      </c>
      <c r="E29" s="2" t="s">
        <v>61</v>
      </c>
      <c r="F29" s="3">
        <f>DATE(2022,10,14)</f>
        <v>44848</v>
      </c>
      <c r="G29" s="4">
        <f t="shared" si="0"/>
        <v>10</v>
      </c>
      <c r="H29" s="4">
        <f t="shared" si="1"/>
        <v>2022</v>
      </c>
      <c r="I29" s="2" t="s">
        <v>4</v>
      </c>
      <c r="J29" s="2" t="s">
        <v>62</v>
      </c>
      <c r="K29" s="2" t="s">
        <v>16</v>
      </c>
      <c r="L29" s="2" t="s">
        <v>7</v>
      </c>
      <c r="M29" s="2" t="s">
        <v>8</v>
      </c>
      <c r="N29" s="4" t="str">
        <f t="shared" si="2"/>
        <v>GAL</v>
      </c>
      <c r="O29" s="5">
        <v>70</v>
      </c>
      <c r="Q29" t="str">
        <f t="shared" si="3"/>
        <v>USCMANPLX+02</v>
      </c>
      <c r="R29" t="str">
        <f t="shared" si="4"/>
        <v>Vented Manga Plex Plus</v>
      </c>
      <c r="S29" s="32">
        <f t="shared" si="6"/>
        <v>1060</v>
      </c>
      <c r="U29" t="s">
        <v>7</v>
      </c>
      <c r="V29" s="32">
        <v>1060</v>
      </c>
    </row>
    <row r="30" spans="2:22" x14ac:dyDescent="0.25">
      <c r="B30" s="1" t="s">
        <v>0</v>
      </c>
      <c r="C30" s="2" t="s">
        <v>1</v>
      </c>
      <c r="D30" s="2" t="s">
        <v>2</v>
      </c>
      <c r="E30" s="2" t="s">
        <v>63</v>
      </c>
      <c r="F30" s="3">
        <f t="shared" ref="F30:F36" si="8">DATE(2022,10,18)</f>
        <v>44852</v>
      </c>
      <c r="G30" s="4">
        <f t="shared" si="0"/>
        <v>10</v>
      </c>
      <c r="H30" s="4">
        <f t="shared" si="1"/>
        <v>2022</v>
      </c>
      <c r="I30" s="2" t="s">
        <v>4</v>
      </c>
      <c r="J30" s="2" t="s">
        <v>64</v>
      </c>
      <c r="K30" s="2" t="s">
        <v>65</v>
      </c>
      <c r="L30" s="2" t="s">
        <v>66</v>
      </c>
      <c r="M30" s="2" t="s">
        <v>67</v>
      </c>
      <c r="N30" s="4" t="str">
        <f t="shared" si="2"/>
        <v>GAL</v>
      </c>
      <c r="O30" s="5">
        <v>30</v>
      </c>
      <c r="Q30" t="str">
        <f t="shared" si="3"/>
        <v>USC8FE30</v>
      </c>
      <c r="R30" t="str">
        <f t="shared" si="4"/>
        <v>8 Iron</v>
      </c>
      <c r="S30" s="32">
        <f t="shared" si="6"/>
        <v>185</v>
      </c>
      <c r="U30" t="s">
        <v>66</v>
      </c>
      <c r="V30" s="32">
        <v>185</v>
      </c>
    </row>
    <row r="31" spans="2:22" x14ac:dyDescent="0.25">
      <c r="B31" s="1" t="s">
        <v>0</v>
      </c>
      <c r="C31" s="2" t="s">
        <v>1</v>
      </c>
      <c r="D31" s="2" t="s">
        <v>2</v>
      </c>
      <c r="E31" s="2" t="s">
        <v>63</v>
      </c>
      <c r="F31" s="3">
        <f t="shared" si="8"/>
        <v>44852</v>
      </c>
      <c r="G31" s="4">
        <f t="shared" si="0"/>
        <v>10</v>
      </c>
      <c r="H31" s="4">
        <f t="shared" si="1"/>
        <v>2022</v>
      </c>
      <c r="I31" s="2" t="s">
        <v>4</v>
      </c>
      <c r="J31" s="2" t="s">
        <v>64</v>
      </c>
      <c r="K31" s="2" t="s">
        <v>68</v>
      </c>
      <c r="L31" s="2" t="s">
        <v>34</v>
      </c>
      <c r="M31" s="2" t="s">
        <v>35</v>
      </c>
      <c r="N31" s="4" t="str">
        <f t="shared" si="2"/>
        <v>GAL</v>
      </c>
      <c r="O31" s="5">
        <v>30</v>
      </c>
      <c r="Q31" t="str">
        <f t="shared" si="3"/>
        <v>ZON1501030</v>
      </c>
      <c r="R31" t="str">
        <f t="shared" si="4"/>
        <v>Ever-Green 15-0-10</v>
      </c>
      <c r="S31" s="32">
        <f t="shared" si="6"/>
        <v>140</v>
      </c>
      <c r="U31" t="s">
        <v>34</v>
      </c>
      <c r="V31" s="32">
        <v>140</v>
      </c>
    </row>
    <row r="32" spans="2:22" x14ac:dyDescent="0.25">
      <c r="B32" s="1" t="s">
        <v>0</v>
      </c>
      <c r="C32" s="2" t="s">
        <v>1</v>
      </c>
      <c r="D32" s="2" t="s">
        <v>2</v>
      </c>
      <c r="E32" s="2" t="s">
        <v>63</v>
      </c>
      <c r="F32" s="3">
        <f t="shared" si="8"/>
        <v>44852</v>
      </c>
      <c r="G32" s="4">
        <f t="shared" si="0"/>
        <v>10</v>
      </c>
      <c r="H32" s="4">
        <f t="shared" si="1"/>
        <v>2022</v>
      </c>
      <c r="I32" s="2" t="s">
        <v>4</v>
      </c>
      <c r="J32" s="2" t="s">
        <v>64</v>
      </c>
      <c r="K32" s="2" t="s">
        <v>69</v>
      </c>
      <c r="L32" s="2" t="s">
        <v>20</v>
      </c>
      <c r="M32" s="2" t="s">
        <v>21</v>
      </c>
      <c r="N32" s="4" t="str">
        <f t="shared" si="2"/>
        <v>GAL</v>
      </c>
      <c r="O32" s="5">
        <v>30</v>
      </c>
      <c r="Q32" t="str">
        <f t="shared" si="3"/>
        <v>FLOKTS30</v>
      </c>
      <c r="R32" t="str">
        <f t="shared" si="4"/>
        <v>Excel 0-0-25</v>
      </c>
      <c r="S32" s="32">
        <f t="shared" si="6"/>
        <v>690</v>
      </c>
      <c r="U32" t="s">
        <v>20</v>
      </c>
      <c r="V32" s="32">
        <v>690</v>
      </c>
    </row>
    <row r="33" spans="2:22" x14ac:dyDescent="0.25">
      <c r="B33" s="1" t="s">
        <v>0</v>
      </c>
      <c r="C33" s="2" t="s">
        <v>1</v>
      </c>
      <c r="D33" s="2" t="s">
        <v>2</v>
      </c>
      <c r="E33" s="2" t="s">
        <v>63</v>
      </c>
      <c r="F33" s="3">
        <f t="shared" si="8"/>
        <v>44852</v>
      </c>
      <c r="G33" s="4">
        <f t="shared" si="0"/>
        <v>10</v>
      </c>
      <c r="H33" s="4">
        <f t="shared" si="1"/>
        <v>2022</v>
      </c>
      <c r="I33" s="2" t="s">
        <v>4</v>
      </c>
      <c r="J33" s="2" t="s">
        <v>64</v>
      </c>
      <c r="K33" s="2" t="s">
        <v>70</v>
      </c>
      <c r="L33" s="2" t="s">
        <v>48</v>
      </c>
      <c r="M33" s="2" t="s">
        <v>49</v>
      </c>
      <c r="N33" s="4" t="str">
        <f t="shared" si="2"/>
        <v>GAL</v>
      </c>
      <c r="O33" s="5">
        <v>30</v>
      </c>
      <c r="Q33" t="str">
        <f t="shared" si="3"/>
        <v>GROMG630</v>
      </c>
      <c r="R33" t="str">
        <f t="shared" si="4"/>
        <v>Mega Mix Mg</v>
      </c>
      <c r="S33" s="32">
        <f t="shared" si="6"/>
        <v>150</v>
      </c>
      <c r="U33" t="s">
        <v>48</v>
      </c>
      <c r="V33" s="32">
        <v>150</v>
      </c>
    </row>
    <row r="34" spans="2:22" x14ac:dyDescent="0.25">
      <c r="B34" s="1" t="s">
        <v>0</v>
      </c>
      <c r="C34" s="2" t="s">
        <v>1</v>
      </c>
      <c r="D34" s="2" t="s">
        <v>2</v>
      </c>
      <c r="E34" s="2" t="s">
        <v>63</v>
      </c>
      <c r="F34" s="3">
        <f t="shared" si="8"/>
        <v>44852</v>
      </c>
      <c r="G34" s="4">
        <f t="shared" si="0"/>
        <v>10</v>
      </c>
      <c r="H34" s="4">
        <f t="shared" si="1"/>
        <v>2022</v>
      </c>
      <c r="I34" s="2" t="s">
        <v>4</v>
      </c>
      <c r="J34" s="2" t="s">
        <v>64</v>
      </c>
      <c r="K34" s="2" t="s">
        <v>71</v>
      </c>
      <c r="L34" s="2" t="s">
        <v>72</v>
      </c>
      <c r="M34" s="2" t="s">
        <v>73</v>
      </c>
      <c r="N34" s="4" t="str">
        <f t="shared" si="2"/>
        <v>GAL</v>
      </c>
      <c r="O34" s="5">
        <v>30</v>
      </c>
      <c r="Q34" t="str">
        <f t="shared" si="3"/>
        <v>GROMN30</v>
      </c>
      <c r="R34" t="str">
        <f t="shared" si="4"/>
        <v>Mega Mix Mn</v>
      </c>
      <c r="S34" s="32">
        <f t="shared" si="6"/>
        <v>110</v>
      </c>
      <c r="U34" t="s">
        <v>72</v>
      </c>
      <c r="V34" s="32">
        <v>110</v>
      </c>
    </row>
    <row r="35" spans="2:22" x14ac:dyDescent="0.25">
      <c r="B35" s="1" t="s">
        <v>0</v>
      </c>
      <c r="C35" s="2" t="s">
        <v>1</v>
      </c>
      <c r="D35" s="2" t="s">
        <v>2</v>
      </c>
      <c r="E35" s="2" t="s">
        <v>63</v>
      </c>
      <c r="F35" s="3">
        <f t="shared" si="8"/>
        <v>44852</v>
      </c>
      <c r="G35" s="4">
        <f t="shared" si="0"/>
        <v>10</v>
      </c>
      <c r="H35" s="4">
        <f t="shared" si="1"/>
        <v>2022</v>
      </c>
      <c r="I35" s="2" t="s">
        <v>4</v>
      </c>
      <c r="J35" s="2" t="s">
        <v>64</v>
      </c>
      <c r="K35" s="2" t="s">
        <v>74</v>
      </c>
      <c r="L35" s="2" t="s">
        <v>75</v>
      </c>
      <c r="M35" s="2" t="s">
        <v>76</v>
      </c>
      <c r="N35" s="4" t="str">
        <f t="shared" si="2"/>
        <v>GAL</v>
      </c>
      <c r="O35" s="5">
        <v>30</v>
      </c>
      <c r="Q35" t="str">
        <f t="shared" si="3"/>
        <v>USCMICRO+30</v>
      </c>
      <c r="R35" t="str">
        <f t="shared" si="4"/>
        <v>Micro Plus</v>
      </c>
      <c r="S35" s="32">
        <f t="shared" si="6"/>
        <v>70</v>
      </c>
      <c r="U35" t="s">
        <v>75</v>
      </c>
      <c r="V35" s="32">
        <v>70</v>
      </c>
    </row>
    <row r="36" spans="2:22" x14ac:dyDescent="0.25">
      <c r="B36" s="1" t="s">
        <v>0</v>
      </c>
      <c r="C36" s="2" t="s">
        <v>1</v>
      </c>
      <c r="D36" s="2" t="s">
        <v>2</v>
      </c>
      <c r="E36" s="2" t="s">
        <v>63</v>
      </c>
      <c r="F36" s="3">
        <f t="shared" si="8"/>
        <v>44852</v>
      </c>
      <c r="G36" s="4">
        <f t="shared" si="0"/>
        <v>10</v>
      </c>
      <c r="H36" s="4">
        <f t="shared" si="1"/>
        <v>2022</v>
      </c>
      <c r="I36" s="2" t="s">
        <v>4</v>
      </c>
      <c r="J36" s="2" t="s">
        <v>64</v>
      </c>
      <c r="K36" s="2" t="s">
        <v>77</v>
      </c>
      <c r="L36" s="2" t="s">
        <v>7</v>
      </c>
      <c r="M36" s="2" t="s">
        <v>8</v>
      </c>
      <c r="N36" s="4" t="str">
        <f t="shared" si="2"/>
        <v>GAL</v>
      </c>
      <c r="O36" s="5">
        <v>30</v>
      </c>
      <c r="Q36" t="str">
        <f t="shared" si="3"/>
        <v>USCMANPLX+30</v>
      </c>
      <c r="R36" t="str">
        <f t="shared" si="4"/>
        <v>Vented Manga Plex Plus</v>
      </c>
      <c r="S36" s="32">
        <f t="shared" si="6"/>
        <v>1060</v>
      </c>
      <c r="U36" t="s">
        <v>7</v>
      </c>
      <c r="V36" s="32">
        <v>1060</v>
      </c>
    </row>
    <row r="37" spans="2:22" x14ac:dyDescent="0.25">
      <c r="B37" s="1" t="s">
        <v>0</v>
      </c>
      <c r="C37" s="2" t="s">
        <v>1</v>
      </c>
      <c r="D37" s="2" t="s">
        <v>2</v>
      </c>
      <c r="E37" s="2" t="s">
        <v>78</v>
      </c>
      <c r="F37" s="3">
        <f t="shared" ref="F37:F42" si="9">DATE(2022,10,20)</f>
        <v>44854</v>
      </c>
      <c r="G37" s="4">
        <f t="shared" si="0"/>
        <v>10</v>
      </c>
      <c r="H37" s="4">
        <f t="shared" si="1"/>
        <v>2022</v>
      </c>
      <c r="I37" s="2" t="s">
        <v>4</v>
      </c>
      <c r="J37" s="2" t="s">
        <v>79</v>
      </c>
      <c r="K37" s="2" t="s">
        <v>22</v>
      </c>
      <c r="L37" s="2" t="s">
        <v>23</v>
      </c>
      <c r="M37" s="2" t="s">
        <v>24</v>
      </c>
      <c r="N37" s="4" t="str">
        <f t="shared" si="2"/>
        <v>GAL</v>
      </c>
      <c r="O37" s="5">
        <v>60</v>
      </c>
      <c r="Q37" t="str">
        <f t="shared" si="3"/>
        <v>GPHUMIC02</v>
      </c>
      <c r="R37" t="str">
        <f t="shared" si="4"/>
        <v>Humic Soil Rebuilder</v>
      </c>
      <c r="S37" s="32">
        <f t="shared" si="6"/>
        <v>180</v>
      </c>
      <c r="U37" t="s">
        <v>23</v>
      </c>
      <c r="V37" s="32">
        <v>180</v>
      </c>
    </row>
    <row r="38" spans="2:22" x14ac:dyDescent="0.25">
      <c r="B38" s="1" t="s">
        <v>0</v>
      </c>
      <c r="C38" s="2" t="s">
        <v>1</v>
      </c>
      <c r="D38" s="2" t="s">
        <v>2</v>
      </c>
      <c r="E38" s="2" t="s">
        <v>78</v>
      </c>
      <c r="F38" s="3">
        <f t="shared" si="9"/>
        <v>44854</v>
      </c>
      <c r="G38" s="4">
        <f t="shared" si="0"/>
        <v>10</v>
      </c>
      <c r="H38" s="4">
        <f t="shared" si="1"/>
        <v>2022</v>
      </c>
      <c r="I38" s="2" t="s">
        <v>4</v>
      </c>
      <c r="J38" s="2" t="s">
        <v>79</v>
      </c>
      <c r="K38" s="2" t="s">
        <v>80</v>
      </c>
      <c r="L38" s="2" t="s">
        <v>81</v>
      </c>
      <c r="M38" s="2" t="s">
        <v>82</v>
      </c>
      <c r="N38" s="4" t="str">
        <f t="shared" si="2"/>
        <v>GAL</v>
      </c>
      <c r="O38" s="5">
        <v>60</v>
      </c>
      <c r="Q38" t="str">
        <f t="shared" si="3"/>
        <v>USCMICMIX02</v>
      </c>
      <c r="R38" t="str">
        <f t="shared" si="4"/>
        <v>Micro Mix with Humic</v>
      </c>
      <c r="S38" s="32">
        <f t="shared" si="6"/>
        <v>180</v>
      </c>
      <c r="U38" t="s">
        <v>81</v>
      </c>
      <c r="V38" s="32">
        <v>180</v>
      </c>
    </row>
    <row r="39" spans="2:22" x14ac:dyDescent="0.25">
      <c r="B39" s="1" t="s">
        <v>0</v>
      </c>
      <c r="C39" s="2" t="s">
        <v>1</v>
      </c>
      <c r="D39" s="2" t="s">
        <v>2</v>
      </c>
      <c r="E39" s="2" t="s">
        <v>78</v>
      </c>
      <c r="F39" s="3">
        <f t="shared" si="9"/>
        <v>44854</v>
      </c>
      <c r="G39" s="4">
        <f t="shared" si="0"/>
        <v>10</v>
      </c>
      <c r="H39" s="4">
        <f t="shared" si="1"/>
        <v>2022</v>
      </c>
      <c r="I39" s="2" t="s">
        <v>4</v>
      </c>
      <c r="J39" s="2" t="s">
        <v>79</v>
      </c>
      <c r="K39" s="2" t="s">
        <v>25</v>
      </c>
      <c r="L39" s="2" t="s">
        <v>26</v>
      </c>
      <c r="M39" s="2" t="s">
        <v>27</v>
      </c>
      <c r="N39" s="4" t="str">
        <f t="shared" si="2"/>
        <v>GAL</v>
      </c>
      <c r="O39" s="5">
        <v>120</v>
      </c>
      <c r="Q39" t="str">
        <f t="shared" si="3"/>
        <v>GOLDCA02</v>
      </c>
      <c r="R39" t="str">
        <f t="shared" si="4"/>
        <v>Neutra Soil</v>
      </c>
      <c r="S39" s="32">
        <f t="shared" si="6"/>
        <v>470</v>
      </c>
      <c r="U39" t="s">
        <v>26</v>
      </c>
      <c r="V39" s="32">
        <v>470</v>
      </c>
    </row>
    <row r="40" spans="2:22" x14ac:dyDescent="0.25">
      <c r="B40" s="1" t="s">
        <v>0</v>
      </c>
      <c r="C40" s="2" t="s">
        <v>1</v>
      </c>
      <c r="D40" s="2" t="s">
        <v>2</v>
      </c>
      <c r="E40" s="2" t="s">
        <v>78</v>
      </c>
      <c r="F40" s="3">
        <f t="shared" si="9"/>
        <v>44854</v>
      </c>
      <c r="G40" s="4">
        <f t="shared" si="0"/>
        <v>10</v>
      </c>
      <c r="H40" s="4">
        <f t="shared" si="1"/>
        <v>2022</v>
      </c>
      <c r="I40" s="2" t="s">
        <v>4</v>
      </c>
      <c r="J40" s="2" t="s">
        <v>79</v>
      </c>
      <c r="K40" s="2" t="s">
        <v>83</v>
      </c>
      <c r="L40" s="2" t="s">
        <v>84</v>
      </c>
      <c r="M40" s="2" t="s">
        <v>85</v>
      </c>
      <c r="N40" s="4" t="str">
        <f t="shared" si="2"/>
        <v>GAL</v>
      </c>
      <c r="O40" s="5">
        <v>120</v>
      </c>
      <c r="Q40" t="str">
        <f t="shared" si="3"/>
        <v>ZON183602</v>
      </c>
      <c r="R40" t="str">
        <f t="shared" si="4"/>
        <v>Pro Long</v>
      </c>
      <c r="S40" s="32">
        <f t="shared" si="6"/>
        <v>180</v>
      </c>
      <c r="U40" t="s">
        <v>84</v>
      </c>
      <c r="V40" s="32">
        <v>180</v>
      </c>
    </row>
    <row r="41" spans="2:22" x14ac:dyDescent="0.25">
      <c r="B41" s="1" t="s">
        <v>0</v>
      </c>
      <c r="C41" s="2" t="s">
        <v>1</v>
      </c>
      <c r="D41" s="2" t="s">
        <v>2</v>
      </c>
      <c r="E41" s="2" t="s">
        <v>78</v>
      </c>
      <c r="F41" s="3">
        <f t="shared" si="9"/>
        <v>44854</v>
      </c>
      <c r="G41" s="4">
        <f t="shared" si="0"/>
        <v>10</v>
      </c>
      <c r="H41" s="4">
        <f t="shared" si="1"/>
        <v>2022</v>
      </c>
      <c r="I41" s="2" t="s">
        <v>4</v>
      </c>
      <c r="J41" s="2" t="s">
        <v>79</v>
      </c>
      <c r="K41" s="2" t="s">
        <v>28</v>
      </c>
      <c r="L41" s="2" t="s">
        <v>29</v>
      </c>
      <c r="M41" s="2" t="s">
        <v>30</v>
      </c>
      <c r="N41" s="4" t="str">
        <f t="shared" si="2"/>
        <v>GAL</v>
      </c>
      <c r="O41" s="5">
        <v>120</v>
      </c>
      <c r="Q41" t="str">
        <f t="shared" si="3"/>
        <v>USCBIOPX02</v>
      </c>
      <c r="R41" t="str">
        <f t="shared" si="4"/>
        <v>Vented Bio Plex</v>
      </c>
      <c r="S41" s="32">
        <f t="shared" si="6"/>
        <v>510</v>
      </c>
      <c r="U41" t="s">
        <v>29</v>
      </c>
      <c r="V41" s="32">
        <v>510</v>
      </c>
    </row>
    <row r="42" spans="2:22" x14ac:dyDescent="0.25">
      <c r="B42" s="1" t="s">
        <v>0</v>
      </c>
      <c r="C42" s="2" t="s">
        <v>1</v>
      </c>
      <c r="D42" s="2" t="s">
        <v>2</v>
      </c>
      <c r="E42" s="2" t="s">
        <v>78</v>
      </c>
      <c r="F42" s="3">
        <f t="shared" si="9"/>
        <v>44854</v>
      </c>
      <c r="G42" s="4">
        <f t="shared" si="0"/>
        <v>10</v>
      </c>
      <c r="H42" s="4">
        <f t="shared" si="1"/>
        <v>2022</v>
      </c>
      <c r="I42" s="2" t="s">
        <v>4</v>
      </c>
      <c r="J42" s="2" t="s">
        <v>79</v>
      </c>
      <c r="K42" s="2" t="s">
        <v>16</v>
      </c>
      <c r="L42" s="2" t="s">
        <v>7</v>
      </c>
      <c r="M42" s="2" t="s">
        <v>8</v>
      </c>
      <c r="N42" s="4" t="str">
        <f t="shared" si="2"/>
        <v>GAL</v>
      </c>
      <c r="O42" s="5">
        <v>120</v>
      </c>
      <c r="Q42" t="str">
        <f t="shared" si="3"/>
        <v>USCMANPLX+02</v>
      </c>
      <c r="R42" t="str">
        <f t="shared" si="4"/>
        <v>Vented Manga Plex Plus</v>
      </c>
      <c r="S42" s="32">
        <f t="shared" si="6"/>
        <v>1060</v>
      </c>
      <c r="U42" t="s">
        <v>7</v>
      </c>
      <c r="V42" s="32">
        <v>1060</v>
      </c>
    </row>
    <row r="43" spans="2:22" x14ac:dyDescent="0.25">
      <c r="B43" s="1" t="s">
        <v>0</v>
      </c>
      <c r="C43" s="2" t="s">
        <v>1</v>
      </c>
      <c r="D43" s="2" t="s">
        <v>2</v>
      </c>
      <c r="E43" s="2" t="s">
        <v>86</v>
      </c>
      <c r="F43" s="3">
        <f>DATE(2022,10,31)</f>
        <v>44865</v>
      </c>
      <c r="G43" s="4">
        <f t="shared" si="0"/>
        <v>10</v>
      </c>
      <c r="H43" s="4">
        <f t="shared" si="1"/>
        <v>2022</v>
      </c>
      <c r="I43" s="2" t="s">
        <v>4</v>
      </c>
      <c r="J43" s="2" t="s">
        <v>87</v>
      </c>
      <c r="K43" s="2" t="s">
        <v>11</v>
      </c>
      <c r="L43" s="2" t="s">
        <v>12</v>
      </c>
      <c r="M43" s="2" t="s">
        <v>13</v>
      </c>
      <c r="N43" s="4" t="str">
        <f t="shared" si="2"/>
        <v>GAL</v>
      </c>
      <c r="O43" s="5">
        <v>110</v>
      </c>
      <c r="Q43" t="str">
        <f t="shared" si="3"/>
        <v>FLO1200655</v>
      </c>
      <c r="R43" t="str">
        <f t="shared" si="4"/>
        <v>Green Master 12-0-0</v>
      </c>
      <c r="S43" s="32">
        <f t="shared" si="6"/>
        <v>440</v>
      </c>
      <c r="U43" t="s">
        <v>12</v>
      </c>
      <c r="V43" s="32">
        <v>440</v>
      </c>
    </row>
    <row r="44" spans="2:22" x14ac:dyDescent="0.25">
      <c r="B44" s="1" t="s">
        <v>88</v>
      </c>
      <c r="C44" s="2" t="s">
        <v>89</v>
      </c>
      <c r="D44" s="2" t="s">
        <v>90</v>
      </c>
      <c r="E44" s="2" t="s">
        <v>91</v>
      </c>
      <c r="F44" s="3">
        <f>DATE(2022,10,3)</f>
        <v>44837</v>
      </c>
      <c r="G44" s="4">
        <f t="shared" si="0"/>
        <v>10</v>
      </c>
      <c r="H44" s="4">
        <f t="shared" si="1"/>
        <v>2022</v>
      </c>
      <c r="I44" s="2" t="s">
        <v>4</v>
      </c>
      <c r="J44" s="2" t="s">
        <v>92</v>
      </c>
      <c r="K44" s="2" t="s">
        <v>93</v>
      </c>
      <c r="L44" s="2" t="s">
        <v>94</v>
      </c>
      <c r="M44" s="2" t="s">
        <v>95</v>
      </c>
      <c r="N44" s="4" t="str">
        <f t="shared" si="2"/>
        <v>GAL</v>
      </c>
      <c r="O44" s="5">
        <v>125</v>
      </c>
      <c r="Q44" t="str">
        <f t="shared" si="3"/>
        <v>ZON1806250</v>
      </c>
      <c r="R44" t="str">
        <f t="shared" si="4"/>
        <v>Dyna Zone 18-0-6 w/ minors</v>
      </c>
      <c r="S44" s="32">
        <f t="shared" si="6"/>
        <v>125</v>
      </c>
      <c r="U44" t="s">
        <v>94</v>
      </c>
      <c r="V44" s="32">
        <v>125</v>
      </c>
    </row>
    <row r="45" spans="2:22" x14ac:dyDescent="0.25">
      <c r="B45" s="6" t="s">
        <v>88</v>
      </c>
      <c r="C45" s="7" t="s">
        <v>89</v>
      </c>
      <c r="D45" s="8" t="s">
        <v>96</v>
      </c>
      <c r="E45" s="8" t="s">
        <v>96</v>
      </c>
      <c r="F45" s="9">
        <f>DATE(2022,10,5)</f>
        <v>44839</v>
      </c>
      <c r="G45" s="10">
        <f t="shared" si="0"/>
        <v>10</v>
      </c>
      <c r="H45" s="10">
        <f t="shared" si="1"/>
        <v>2022</v>
      </c>
      <c r="I45" s="8" t="s">
        <v>4</v>
      </c>
      <c r="J45" s="7" t="s">
        <v>97</v>
      </c>
      <c r="K45" s="8" t="s">
        <v>98</v>
      </c>
      <c r="L45" s="8" t="s">
        <v>99</v>
      </c>
      <c r="M45" s="8" t="s">
        <v>100</v>
      </c>
      <c r="N45" s="10" t="str">
        <f t="shared" si="2"/>
        <v>GAL</v>
      </c>
      <c r="O45" s="11">
        <v>4038</v>
      </c>
      <c r="Q45" t="str">
        <f t="shared" si="3"/>
        <v>FLO1137000</v>
      </c>
      <c r="R45" t="str">
        <f t="shared" si="4"/>
        <v>Dyna Flo 11-37-0</v>
      </c>
      <c r="S45" s="32">
        <f t="shared" si="6"/>
        <v>14997</v>
      </c>
      <c r="U45" t="s">
        <v>99</v>
      </c>
      <c r="V45" s="32">
        <v>14997</v>
      </c>
    </row>
    <row r="46" spans="2:22" x14ac:dyDescent="0.25">
      <c r="B46" s="1" t="s">
        <v>88</v>
      </c>
      <c r="C46" s="2" t="s">
        <v>89</v>
      </c>
      <c r="D46" s="2" t="s">
        <v>101</v>
      </c>
      <c r="E46" s="2" t="s">
        <v>102</v>
      </c>
      <c r="F46" s="3">
        <f>DATE(2022,10,10)</f>
        <v>44844</v>
      </c>
      <c r="G46" s="4">
        <f t="shared" si="0"/>
        <v>10</v>
      </c>
      <c r="H46" s="4">
        <f t="shared" si="1"/>
        <v>2022</v>
      </c>
      <c r="I46" s="2" t="s">
        <v>4</v>
      </c>
      <c r="J46" s="2" t="s">
        <v>103</v>
      </c>
      <c r="K46" s="2" t="s">
        <v>104</v>
      </c>
      <c r="L46" s="2" t="s">
        <v>105</v>
      </c>
      <c r="M46" s="2" t="s">
        <v>106</v>
      </c>
      <c r="N46" s="4" t="str">
        <f t="shared" si="2"/>
        <v>LBS</v>
      </c>
      <c r="O46" s="5">
        <v>500</v>
      </c>
      <c r="Q46" t="str">
        <f t="shared" si="3"/>
        <v>NPKKOHDRY</v>
      </c>
      <c r="R46" t="str">
        <f t="shared" si="4"/>
        <v>Potassium Hydroxide KOH Dry 90%</v>
      </c>
      <c r="S46" s="32">
        <f t="shared" si="6"/>
        <v>16500</v>
      </c>
      <c r="U46" t="s">
        <v>105</v>
      </c>
      <c r="V46" s="32">
        <v>16500</v>
      </c>
    </row>
    <row r="47" spans="2:22" x14ac:dyDescent="0.25">
      <c r="B47" s="1" t="s">
        <v>88</v>
      </c>
      <c r="C47" s="2" t="s">
        <v>89</v>
      </c>
      <c r="D47" s="2" t="s">
        <v>107</v>
      </c>
      <c r="E47" s="2" t="s">
        <v>108</v>
      </c>
      <c r="F47" s="3">
        <f>DATE(2022,10,11)</f>
        <v>44845</v>
      </c>
      <c r="G47" s="4">
        <f t="shared" si="0"/>
        <v>10</v>
      </c>
      <c r="H47" s="4">
        <f t="shared" si="1"/>
        <v>2022</v>
      </c>
      <c r="I47" s="2" t="s">
        <v>4</v>
      </c>
      <c r="J47" s="2" t="s">
        <v>109</v>
      </c>
      <c r="K47" s="2" t="s">
        <v>110</v>
      </c>
      <c r="L47" s="2" t="s">
        <v>111</v>
      </c>
      <c r="M47" s="2" t="s">
        <v>112</v>
      </c>
      <c r="N47" s="4" t="str">
        <f t="shared" si="2"/>
        <v>GAL</v>
      </c>
      <c r="O47" s="5">
        <v>600</v>
      </c>
      <c r="Q47" t="str">
        <f t="shared" si="3"/>
        <v>MRCCCN110</v>
      </c>
      <c r="R47" t="str">
        <f t="shared" si="4"/>
        <v>Copper Count N</v>
      </c>
      <c r="S47" s="32">
        <f t="shared" si="6"/>
        <v>1685</v>
      </c>
      <c r="U47" t="s">
        <v>111</v>
      </c>
      <c r="V47" s="32">
        <v>1685</v>
      </c>
    </row>
    <row r="48" spans="2:22" x14ac:dyDescent="0.25">
      <c r="B48" s="6" t="s">
        <v>88</v>
      </c>
      <c r="C48" s="7" t="s">
        <v>89</v>
      </c>
      <c r="D48" s="8" t="s">
        <v>96</v>
      </c>
      <c r="E48" s="8" t="s">
        <v>96</v>
      </c>
      <c r="F48" s="9">
        <f>DATE(2022,10,11)</f>
        <v>44845</v>
      </c>
      <c r="G48" s="10">
        <f t="shared" si="0"/>
        <v>10</v>
      </c>
      <c r="H48" s="10">
        <f t="shared" si="1"/>
        <v>2022</v>
      </c>
      <c r="I48" s="8" t="s">
        <v>4</v>
      </c>
      <c r="J48" s="7" t="s">
        <v>113</v>
      </c>
      <c r="K48" s="8" t="s">
        <v>98</v>
      </c>
      <c r="L48" s="8" t="s">
        <v>99</v>
      </c>
      <c r="M48" s="8" t="s">
        <v>100</v>
      </c>
      <c r="N48" s="10" t="str">
        <f t="shared" si="2"/>
        <v>GAL</v>
      </c>
      <c r="O48" s="11">
        <v>4125</v>
      </c>
      <c r="Q48" t="str">
        <f t="shared" si="3"/>
        <v>FLO1137000</v>
      </c>
      <c r="R48" t="str">
        <f t="shared" si="4"/>
        <v>Dyna Flo 11-37-0</v>
      </c>
      <c r="S48" s="32">
        <f t="shared" si="6"/>
        <v>14997</v>
      </c>
      <c r="U48" t="s">
        <v>99</v>
      </c>
      <c r="V48" s="32">
        <v>14997</v>
      </c>
    </row>
    <row r="49" spans="2:22" x14ac:dyDescent="0.25">
      <c r="B49" s="1" t="s">
        <v>88</v>
      </c>
      <c r="C49" s="2" t="s">
        <v>89</v>
      </c>
      <c r="D49" s="2" t="s">
        <v>114</v>
      </c>
      <c r="E49" s="2" t="s">
        <v>115</v>
      </c>
      <c r="F49" s="3">
        <f>DATE(2022,10,13)</f>
        <v>44847</v>
      </c>
      <c r="G49" s="4">
        <f t="shared" si="0"/>
        <v>10</v>
      </c>
      <c r="H49" s="4">
        <f t="shared" si="1"/>
        <v>2022</v>
      </c>
      <c r="I49" s="2" t="s">
        <v>4</v>
      </c>
      <c r="J49" s="2" t="s">
        <v>116</v>
      </c>
      <c r="K49" s="2" t="s">
        <v>117</v>
      </c>
      <c r="L49" s="2" t="s">
        <v>118</v>
      </c>
      <c r="M49" s="2" t="s">
        <v>119</v>
      </c>
      <c r="N49" s="4" t="str">
        <f t="shared" si="2"/>
        <v>TON</v>
      </c>
      <c r="O49" s="5">
        <v>2.5</v>
      </c>
      <c r="Q49" t="str">
        <f t="shared" si="3"/>
        <v>MAC428YM8</v>
      </c>
      <c r="R49" t="str">
        <f t="shared" si="4"/>
        <v>Dyna Flo 4-2-8YM8</v>
      </c>
      <c r="S49" s="32">
        <f t="shared" si="6"/>
        <v>517.73950000000002</v>
      </c>
      <c r="U49" t="s">
        <v>118</v>
      </c>
      <c r="V49" s="32">
        <v>517.73950000000002</v>
      </c>
    </row>
    <row r="50" spans="2:22" x14ac:dyDescent="0.25">
      <c r="B50" s="1" t="s">
        <v>88</v>
      </c>
      <c r="C50" s="2" t="s">
        <v>89</v>
      </c>
      <c r="D50" s="2" t="s">
        <v>120</v>
      </c>
      <c r="E50" s="2" t="s">
        <v>102</v>
      </c>
      <c r="F50" s="3">
        <f>DATE(2022,10,20)</f>
        <v>44854</v>
      </c>
      <c r="G50" s="4">
        <f t="shared" si="0"/>
        <v>10</v>
      </c>
      <c r="H50" s="4">
        <f t="shared" si="1"/>
        <v>2022</v>
      </c>
      <c r="I50" s="2" t="s">
        <v>4</v>
      </c>
      <c r="J50" s="2" t="s">
        <v>121</v>
      </c>
      <c r="K50" s="2" t="s">
        <v>122</v>
      </c>
      <c r="L50" s="2" t="s">
        <v>123</v>
      </c>
      <c r="M50" s="2" t="s">
        <v>119</v>
      </c>
      <c r="N50" s="4" t="str">
        <f t="shared" si="2"/>
        <v>TON</v>
      </c>
      <c r="O50" s="5">
        <v>2.4900000000000002</v>
      </c>
      <c r="Q50" t="str">
        <f t="shared" si="3"/>
        <v>MAC528YZ</v>
      </c>
      <c r="R50" t="str">
        <f t="shared" si="4"/>
        <v>Dyna Flo 5-2-8 YZ</v>
      </c>
      <c r="S50" s="32">
        <f t="shared" si="6"/>
        <v>395.40750000000003</v>
      </c>
      <c r="U50" t="s">
        <v>123</v>
      </c>
      <c r="V50" s="32">
        <v>395.40750000000003</v>
      </c>
    </row>
    <row r="51" spans="2:22" x14ac:dyDescent="0.25">
      <c r="B51" s="1" t="s">
        <v>88</v>
      </c>
      <c r="C51" s="2" t="s">
        <v>89</v>
      </c>
      <c r="D51" s="2" t="s">
        <v>124</v>
      </c>
      <c r="E51" s="2" t="s">
        <v>124</v>
      </c>
      <c r="F51" s="3">
        <f>DATE(2022,10,21)</f>
        <v>44855</v>
      </c>
      <c r="G51" s="4">
        <f t="shared" si="0"/>
        <v>10</v>
      </c>
      <c r="H51" s="4">
        <f t="shared" si="1"/>
        <v>2022</v>
      </c>
      <c r="I51" s="2" t="s">
        <v>4</v>
      </c>
      <c r="J51" s="2" t="s">
        <v>125</v>
      </c>
      <c r="K51" s="2" t="s">
        <v>126</v>
      </c>
      <c r="L51" s="2" t="s">
        <v>127</v>
      </c>
      <c r="M51" s="2" t="s">
        <v>106</v>
      </c>
      <c r="N51" s="4" t="str">
        <f t="shared" si="2"/>
        <v>LBS</v>
      </c>
      <c r="O51" s="5">
        <v>52040</v>
      </c>
      <c r="Q51" t="str">
        <f t="shared" si="3"/>
        <v>NPKPHOS75</v>
      </c>
      <c r="R51" t="str">
        <f t="shared" si="4"/>
        <v>Phosphoric Acid 75%</v>
      </c>
      <c r="S51" s="32">
        <f t="shared" si="6"/>
        <v>97420</v>
      </c>
      <c r="U51" t="s">
        <v>127</v>
      </c>
      <c r="V51" s="32">
        <v>97420</v>
      </c>
    </row>
    <row r="52" spans="2:22" x14ac:dyDescent="0.25">
      <c r="B52" s="6" t="s">
        <v>88</v>
      </c>
      <c r="C52" s="7" t="s">
        <v>89</v>
      </c>
      <c r="D52" s="8" t="s">
        <v>90</v>
      </c>
      <c r="E52" s="8" t="s">
        <v>91</v>
      </c>
      <c r="F52" s="9">
        <f>DATE(2022,10,24)</f>
        <v>44858</v>
      </c>
      <c r="G52" s="10">
        <f t="shared" si="0"/>
        <v>10</v>
      </c>
      <c r="H52" s="10">
        <f t="shared" si="1"/>
        <v>2022</v>
      </c>
      <c r="I52" s="8" t="s">
        <v>4</v>
      </c>
      <c r="J52" s="7" t="s">
        <v>128</v>
      </c>
      <c r="K52" s="8" t="s">
        <v>129</v>
      </c>
      <c r="L52" s="8" t="s">
        <v>130</v>
      </c>
      <c r="M52" s="8" t="s">
        <v>131</v>
      </c>
      <c r="N52" s="10" t="str">
        <f t="shared" si="2"/>
        <v>GAL</v>
      </c>
      <c r="O52" s="11">
        <v>250</v>
      </c>
      <c r="Q52" t="str">
        <f t="shared" si="3"/>
        <v>FLO15008CL250</v>
      </c>
      <c r="R52" t="str">
        <f t="shared" si="4"/>
        <v>Dyna Flo 15-0-0 8% Cl</v>
      </c>
      <c r="S52" s="32">
        <f t="shared" si="6"/>
        <v>250</v>
      </c>
      <c r="U52" t="s">
        <v>130</v>
      </c>
      <c r="V52" s="32">
        <v>250</v>
      </c>
    </row>
    <row r="53" spans="2:22" x14ac:dyDescent="0.25">
      <c r="B53" s="1" t="s">
        <v>88</v>
      </c>
      <c r="C53" s="2" t="s">
        <v>89</v>
      </c>
      <c r="D53" s="2" t="s">
        <v>114</v>
      </c>
      <c r="E53" s="2" t="s">
        <v>115</v>
      </c>
      <c r="F53" s="3">
        <f>DATE(2022,10,25)</f>
        <v>44859</v>
      </c>
      <c r="G53" s="4">
        <f t="shared" si="0"/>
        <v>10</v>
      </c>
      <c r="H53" s="4">
        <f t="shared" si="1"/>
        <v>2022</v>
      </c>
      <c r="I53" s="2" t="s">
        <v>4</v>
      </c>
      <c r="J53" s="2" t="s">
        <v>132</v>
      </c>
      <c r="K53" s="2" t="s">
        <v>117</v>
      </c>
      <c r="L53" s="2" t="s">
        <v>118</v>
      </c>
      <c r="M53" s="2" t="s">
        <v>119</v>
      </c>
      <c r="N53" s="4" t="str">
        <f t="shared" si="2"/>
        <v>TON</v>
      </c>
      <c r="O53" s="5">
        <v>2.5024999999999999</v>
      </c>
      <c r="Q53" t="str">
        <f t="shared" si="3"/>
        <v>MAC428YM8</v>
      </c>
      <c r="R53" t="str">
        <f t="shared" si="4"/>
        <v>Dyna Flo 4-2-8YM8</v>
      </c>
      <c r="S53" s="32">
        <f t="shared" si="6"/>
        <v>517.73950000000002</v>
      </c>
      <c r="U53" t="s">
        <v>118</v>
      </c>
      <c r="V53" s="32">
        <v>517.73950000000002</v>
      </c>
    </row>
    <row r="54" spans="2:22" x14ac:dyDescent="0.25">
      <c r="B54" s="1" t="s">
        <v>88</v>
      </c>
      <c r="C54" s="2" t="s">
        <v>89</v>
      </c>
      <c r="D54" s="2" t="s">
        <v>107</v>
      </c>
      <c r="E54" s="2" t="s">
        <v>108</v>
      </c>
      <c r="F54" s="3">
        <f>DATE(2022,10,25)</f>
        <v>44859</v>
      </c>
      <c r="G54" s="4">
        <f t="shared" si="0"/>
        <v>10</v>
      </c>
      <c r="H54" s="4">
        <f t="shared" si="1"/>
        <v>2022</v>
      </c>
      <c r="I54" s="2" t="s">
        <v>4</v>
      </c>
      <c r="J54" s="2" t="s">
        <v>133</v>
      </c>
      <c r="K54" s="2" t="s">
        <v>110</v>
      </c>
      <c r="L54" s="2" t="s">
        <v>111</v>
      </c>
      <c r="M54" s="2" t="s">
        <v>112</v>
      </c>
      <c r="N54" s="4" t="str">
        <f t="shared" si="2"/>
        <v>GAL</v>
      </c>
      <c r="O54" s="5">
        <v>330</v>
      </c>
      <c r="Q54" t="str">
        <f t="shared" si="3"/>
        <v>MRCCCN110</v>
      </c>
      <c r="R54" t="str">
        <f t="shared" si="4"/>
        <v>Copper Count N</v>
      </c>
      <c r="S54" s="32">
        <f t="shared" si="6"/>
        <v>1685</v>
      </c>
      <c r="U54" t="s">
        <v>111</v>
      </c>
      <c r="V54" s="32">
        <v>1685</v>
      </c>
    </row>
    <row r="55" spans="2:22" x14ac:dyDescent="0.25">
      <c r="B55" s="1" t="s">
        <v>88</v>
      </c>
      <c r="C55" s="2" t="s">
        <v>89</v>
      </c>
      <c r="D55" s="2" t="s">
        <v>134</v>
      </c>
      <c r="E55" s="2" t="s">
        <v>135</v>
      </c>
      <c r="F55" s="3">
        <f>DATE(2022,10,25)</f>
        <v>44859</v>
      </c>
      <c r="G55" s="4">
        <f t="shared" si="0"/>
        <v>10</v>
      </c>
      <c r="H55" s="4">
        <f t="shared" si="1"/>
        <v>2022</v>
      </c>
      <c r="I55" s="2" t="s">
        <v>4</v>
      </c>
      <c r="J55" s="2" t="s">
        <v>136</v>
      </c>
      <c r="K55" s="2" t="s">
        <v>137</v>
      </c>
      <c r="L55" s="2" t="s">
        <v>138</v>
      </c>
      <c r="M55" s="2" t="s">
        <v>139</v>
      </c>
      <c r="N55" s="4" t="str">
        <f t="shared" si="2"/>
        <v>GAL</v>
      </c>
      <c r="O55" s="5">
        <v>50</v>
      </c>
      <c r="Q55" t="str">
        <f t="shared" si="3"/>
        <v>CAMMO02</v>
      </c>
      <c r="R55" t="str">
        <f t="shared" si="4"/>
        <v>Detox</v>
      </c>
      <c r="S55" s="32">
        <f t="shared" si="6"/>
        <v>50</v>
      </c>
      <c r="U55" t="s">
        <v>138</v>
      </c>
      <c r="V55" s="32">
        <v>50</v>
      </c>
    </row>
    <row r="56" spans="2:22" x14ac:dyDescent="0.25">
      <c r="B56" s="1" t="s">
        <v>88</v>
      </c>
      <c r="C56" s="2" t="s">
        <v>89</v>
      </c>
      <c r="D56" s="2" t="s">
        <v>140</v>
      </c>
      <c r="E56" s="2" t="s">
        <v>141</v>
      </c>
      <c r="F56" s="3">
        <f>DATE(2022,10,27)</f>
        <v>44861</v>
      </c>
      <c r="G56" s="4">
        <f t="shared" si="0"/>
        <v>10</v>
      </c>
      <c r="H56" s="4">
        <f t="shared" si="1"/>
        <v>2022</v>
      </c>
      <c r="I56" s="2" t="s">
        <v>4</v>
      </c>
      <c r="J56" s="2" t="s">
        <v>142</v>
      </c>
      <c r="K56" s="2" t="s">
        <v>143</v>
      </c>
      <c r="L56" s="2" t="s">
        <v>144</v>
      </c>
      <c r="M56" s="2" t="s">
        <v>145</v>
      </c>
      <c r="N56" s="4" t="str">
        <f t="shared" si="2"/>
        <v>GAL</v>
      </c>
      <c r="O56" s="5">
        <v>255</v>
      </c>
      <c r="Q56" t="str">
        <f t="shared" si="3"/>
        <v>REPACK02</v>
      </c>
      <c r="R56" t="str">
        <f t="shared" si="4"/>
        <v>Repack: Sulfur Carb 30</v>
      </c>
      <c r="S56" s="32">
        <f t="shared" si="6"/>
        <v>255</v>
      </c>
      <c r="U56" t="s">
        <v>144</v>
      </c>
      <c r="V56" s="32">
        <v>255</v>
      </c>
    </row>
    <row r="57" spans="2:22" x14ac:dyDescent="0.25">
      <c r="B57" s="1" t="s">
        <v>88</v>
      </c>
      <c r="C57" s="2" t="s">
        <v>89</v>
      </c>
      <c r="D57" s="2" t="s">
        <v>146</v>
      </c>
      <c r="E57" s="2" t="s">
        <v>147</v>
      </c>
      <c r="F57" s="3">
        <f>DATE(2022,10,27)</f>
        <v>44861</v>
      </c>
      <c r="G57" s="4">
        <f t="shared" si="0"/>
        <v>10</v>
      </c>
      <c r="H57" s="4">
        <f t="shared" si="1"/>
        <v>2022</v>
      </c>
      <c r="I57" s="2" t="s">
        <v>4</v>
      </c>
      <c r="J57" s="2" t="s">
        <v>148</v>
      </c>
      <c r="K57" s="2" t="s">
        <v>149</v>
      </c>
      <c r="L57" s="2" t="s">
        <v>150</v>
      </c>
      <c r="M57" s="2" t="s">
        <v>21</v>
      </c>
      <c r="N57" s="4" t="str">
        <f t="shared" si="2"/>
        <v>GAL</v>
      </c>
      <c r="O57" s="5">
        <v>85</v>
      </c>
      <c r="Q57" t="str">
        <f t="shared" si="3"/>
        <v>FLO003002</v>
      </c>
      <c r="R57" t="str">
        <f t="shared" si="4"/>
        <v>Dyna Flo 0-0-30</v>
      </c>
      <c r="S57" s="32">
        <f t="shared" si="6"/>
        <v>325</v>
      </c>
      <c r="U57" t="s">
        <v>150</v>
      </c>
      <c r="V57" s="32">
        <v>325</v>
      </c>
    </row>
    <row r="58" spans="2:22" x14ac:dyDescent="0.25">
      <c r="B58" s="1" t="s">
        <v>88</v>
      </c>
      <c r="C58" s="2" t="s">
        <v>89</v>
      </c>
      <c r="D58" s="2" t="s">
        <v>151</v>
      </c>
      <c r="E58" s="2" t="s">
        <v>152</v>
      </c>
      <c r="F58" s="3">
        <f>DATE(2022,10,31)</f>
        <v>44865</v>
      </c>
      <c r="G58" s="4">
        <f t="shared" si="0"/>
        <v>10</v>
      </c>
      <c r="H58" s="4">
        <f t="shared" si="1"/>
        <v>2022</v>
      </c>
      <c r="I58" s="2" t="s">
        <v>4</v>
      </c>
      <c r="J58" s="2" t="s">
        <v>153</v>
      </c>
      <c r="K58" s="2" t="s">
        <v>104</v>
      </c>
      <c r="L58" s="2" t="s">
        <v>105</v>
      </c>
      <c r="M58" s="2" t="s">
        <v>106</v>
      </c>
      <c r="N58" s="4" t="str">
        <f t="shared" si="2"/>
        <v>LBS</v>
      </c>
      <c r="O58" s="5">
        <v>2000</v>
      </c>
      <c r="Q58" t="str">
        <f t="shared" si="3"/>
        <v>NPKKOHDRY</v>
      </c>
      <c r="R58" t="str">
        <f t="shared" si="4"/>
        <v>Potassium Hydroxide KOH Dry 90%</v>
      </c>
      <c r="S58" s="32">
        <f t="shared" si="6"/>
        <v>16500</v>
      </c>
      <c r="U58" t="s">
        <v>105</v>
      </c>
      <c r="V58" s="32">
        <v>16500</v>
      </c>
    </row>
    <row r="59" spans="2:22" x14ac:dyDescent="0.25">
      <c r="B59" s="1" t="s">
        <v>154</v>
      </c>
      <c r="C59" s="2" t="s">
        <v>155</v>
      </c>
      <c r="D59" s="2" t="s">
        <v>156</v>
      </c>
      <c r="E59" s="2" t="s">
        <v>141</v>
      </c>
      <c r="F59" s="3">
        <f>DATE(2022,10,4)</f>
        <v>44838</v>
      </c>
      <c r="G59" s="4">
        <f t="shared" si="0"/>
        <v>10</v>
      </c>
      <c r="H59" s="4">
        <f t="shared" si="1"/>
        <v>2022</v>
      </c>
      <c r="I59" s="2" t="s">
        <v>4</v>
      </c>
      <c r="J59" s="2" t="s">
        <v>157</v>
      </c>
      <c r="K59" s="2" t="s">
        <v>158</v>
      </c>
      <c r="L59" s="2" t="s">
        <v>159</v>
      </c>
      <c r="M59" s="2" t="s">
        <v>160</v>
      </c>
      <c r="N59" s="4" t="str">
        <f t="shared" si="2"/>
        <v>GAL</v>
      </c>
      <c r="O59" s="5">
        <v>5</v>
      </c>
      <c r="Q59" t="str">
        <f t="shared" si="3"/>
        <v>SOARBLM02</v>
      </c>
      <c r="R59" t="str">
        <f t="shared" si="4"/>
        <v>Soar Bloom Spray</v>
      </c>
      <c r="S59" s="32">
        <f t="shared" si="6"/>
        <v>2195</v>
      </c>
      <c r="U59" t="s">
        <v>159</v>
      </c>
      <c r="V59" s="32">
        <v>2195</v>
      </c>
    </row>
    <row r="60" spans="2:22" x14ac:dyDescent="0.25">
      <c r="B60" s="1" t="s">
        <v>154</v>
      </c>
      <c r="C60" s="2" t="s">
        <v>155</v>
      </c>
      <c r="D60" s="2" t="s">
        <v>161</v>
      </c>
      <c r="E60" s="2" t="s">
        <v>162</v>
      </c>
      <c r="F60" s="3">
        <f>DATE(2022,10,12)</f>
        <v>44846</v>
      </c>
      <c r="G60" s="4">
        <f t="shared" si="0"/>
        <v>10</v>
      </c>
      <c r="H60" s="4">
        <f t="shared" si="1"/>
        <v>2022</v>
      </c>
      <c r="I60" s="2" t="s">
        <v>4</v>
      </c>
      <c r="J60" s="2" t="s">
        <v>163</v>
      </c>
      <c r="K60" s="2" t="s">
        <v>164</v>
      </c>
      <c r="L60" s="2" t="s">
        <v>165</v>
      </c>
      <c r="M60" s="2" t="s">
        <v>166</v>
      </c>
      <c r="N60" s="4" t="str">
        <f t="shared" si="2"/>
        <v>GAL</v>
      </c>
      <c r="O60" s="5">
        <v>180</v>
      </c>
      <c r="Q60" t="str">
        <f t="shared" si="3"/>
        <v>GOLDMZF02</v>
      </c>
      <c r="R60" t="str">
        <f t="shared" si="4"/>
        <v>Dyna Gold MZF</v>
      </c>
      <c r="S60" s="32">
        <f t="shared" si="6"/>
        <v>2780</v>
      </c>
      <c r="U60" t="s">
        <v>165</v>
      </c>
      <c r="V60" s="32">
        <v>2780</v>
      </c>
    </row>
    <row r="61" spans="2:22" x14ac:dyDescent="0.25">
      <c r="B61" s="1" t="s">
        <v>154</v>
      </c>
      <c r="C61" s="2" t="s">
        <v>155</v>
      </c>
      <c r="D61" s="2" t="s">
        <v>167</v>
      </c>
      <c r="E61" s="2" t="s">
        <v>168</v>
      </c>
      <c r="F61" s="3">
        <f>DATE(2022,10,12)</f>
        <v>44846</v>
      </c>
      <c r="G61" s="4">
        <f t="shared" si="0"/>
        <v>10</v>
      </c>
      <c r="H61" s="4">
        <f t="shared" si="1"/>
        <v>2022</v>
      </c>
      <c r="I61" s="2" t="s">
        <v>4</v>
      </c>
      <c r="J61" s="2" t="s">
        <v>169</v>
      </c>
      <c r="K61" s="2" t="s">
        <v>164</v>
      </c>
      <c r="L61" s="2" t="s">
        <v>165</v>
      </c>
      <c r="M61" s="2" t="s">
        <v>166</v>
      </c>
      <c r="N61" s="4" t="str">
        <f t="shared" si="2"/>
        <v>GAL</v>
      </c>
      <c r="O61" s="5">
        <v>180</v>
      </c>
      <c r="Q61" t="str">
        <f t="shared" si="3"/>
        <v>GOLDMZF02</v>
      </c>
      <c r="R61" t="str">
        <f t="shared" si="4"/>
        <v>Dyna Gold MZF</v>
      </c>
      <c r="S61" s="32">
        <f t="shared" si="6"/>
        <v>2780</v>
      </c>
      <c r="U61" t="s">
        <v>165</v>
      </c>
      <c r="V61" s="32">
        <v>2780</v>
      </c>
    </row>
    <row r="62" spans="2:22" x14ac:dyDescent="0.25">
      <c r="B62" s="1" t="s">
        <v>154</v>
      </c>
      <c r="C62" s="2" t="s">
        <v>155</v>
      </c>
      <c r="D62" s="2" t="s">
        <v>161</v>
      </c>
      <c r="E62" s="2" t="s">
        <v>162</v>
      </c>
      <c r="F62" s="3">
        <f>DATE(2022,10,14)</f>
        <v>44848</v>
      </c>
      <c r="G62" s="4">
        <f t="shared" si="0"/>
        <v>10</v>
      </c>
      <c r="H62" s="4">
        <f t="shared" si="1"/>
        <v>2022</v>
      </c>
      <c r="I62" s="2" t="s">
        <v>4</v>
      </c>
      <c r="J62" s="2" t="s">
        <v>170</v>
      </c>
      <c r="K62" s="2" t="s">
        <v>164</v>
      </c>
      <c r="L62" s="2" t="s">
        <v>165</v>
      </c>
      <c r="M62" s="2" t="s">
        <v>166</v>
      </c>
      <c r="N62" s="4" t="str">
        <f t="shared" si="2"/>
        <v>GAL</v>
      </c>
      <c r="O62" s="5">
        <v>180</v>
      </c>
      <c r="Q62" t="str">
        <f t="shared" si="3"/>
        <v>GOLDMZF02</v>
      </c>
      <c r="R62" t="str">
        <f t="shared" si="4"/>
        <v>Dyna Gold MZF</v>
      </c>
      <c r="S62" s="32">
        <f t="shared" si="6"/>
        <v>2780</v>
      </c>
      <c r="U62" t="s">
        <v>165</v>
      </c>
      <c r="V62" s="32">
        <v>2780</v>
      </c>
    </row>
    <row r="63" spans="2:22" x14ac:dyDescent="0.25">
      <c r="B63" s="1" t="s">
        <v>154</v>
      </c>
      <c r="C63" s="2" t="s">
        <v>155</v>
      </c>
      <c r="D63" s="2" t="s">
        <v>161</v>
      </c>
      <c r="E63" s="2" t="s">
        <v>162</v>
      </c>
      <c r="F63" s="3">
        <f>DATE(2022,10,14)</f>
        <v>44848</v>
      </c>
      <c r="G63" s="4">
        <f t="shared" si="0"/>
        <v>10</v>
      </c>
      <c r="H63" s="4">
        <f t="shared" si="1"/>
        <v>2022</v>
      </c>
      <c r="I63" s="2" t="s">
        <v>4</v>
      </c>
      <c r="J63" s="2" t="s">
        <v>170</v>
      </c>
      <c r="K63" s="2" t="s">
        <v>171</v>
      </c>
      <c r="L63" s="2" t="s">
        <v>172</v>
      </c>
      <c r="M63" s="2" t="s">
        <v>27</v>
      </c>
      <c r="N63" s="4" t="str">
        <f t="shared" si="2"/>
        <v>GAL</v>
      </c>
      <c r="O63" s="5">
        <v>180</v>
      </c>
      <c r="Q63" t="str">
        <f t="shared" si="3"/>
        <v>SOARCIT02</v>
      </c>
      <c r="R63" t="str">
        <f t="shared" si="4"/>
        <v>Soar Citrus Mix</v>
      </c>
      <c r="S63" s="32">
        <f t="shared" si="6"/>
        <v>210</v>
      </c>
      <c r="U63" t="s">
        <v>172</v>
      </c>
      <c r="V63" s="32">
        <v>210</v>
      </c>
    </row>
    <row r="64" spans="2:22" x14ac:dyDescent="0.25">
      <c r="B64" s="1" t="s">
        <v>154</v>
      </c>
      <c r="C64" s="2" t="s">
        <v>155</v>
      </c>
      <c r="D64" s="2" t="s">
        <v>173</v>
      </c>
      <c r="E64" s="2" t="s">
        <v>174</v>
      </c>
      <c r="F64" s="3">
        <f>DATE(2022,10,18)</f>
        <v>44852</v>
      </c>
      <c r="G64" s="4">
        <f t="shared" si="0"/>
        <v>10</v>
      </c>
      <c r="H64" s="4">
        <f t="shared" si="1"/>
        <v>2022</v>
      </c>
      <c r="I64" s="2" t="s">
        <v>4</v>
      </c>
      <c r="J64" s="2" t="s">
        <v>175</v>
      </c>
      <c r="K64" s="2" t="s">
        <v>22</v>
      </c>
      <c r="L64" s="2" t="s">
        <v>176</v>
      </c>
      <c r="M64" s="2" t="s">
        <v>24</v>
      </c>
      <c r="N64" s="4" t="str">
        <f t="shared" si="2"/>
        <v>GAL</v>
      </c>
      <c r="O64" s="5">
        <v>180</v>
      </c>
      <c r="Q64" t="str">
        <f t="shared" si="3"/>
        <v>GPHUMIC02</v>
      </c>
      <c r="R64" t="str">
        <f t="shared" si="4"/>
        <v>Vented Dyna Flo Humic 15%</v>
      </c>
      <c r="S64" s="32">
        <f t="shared" si="6"/>
        <v>290</v>
      </c>
      <c r="U64" t="s">
        <v>176</v>
      </c>
      <c r="V64" s="32">
        <v>290</v>
      </c>
    </row>
    <row r="65" spans="2:22" x14ac:dyDescent="0.25">
      <c r="B65" s="6" t="s">
        <v>154</v>
      </c>
      <c r="C65" s="7" t="s">
        <v>155</v>
      </c>
      <c r="D65" s="8" t="s">
        <v>96</v>
      </c>
      <c r="E65" s="8" t="s">
        <v>96</v>
      </c>
      <c r="F65" s="9">
        <f>DATE(2022,10,19)</f>
        <v>44853</v>
      </c>
      <c r="G65" s="10">
        <f t="shared" si="0"/>
        <v>10</v>
      </c>
      <c r="H65" s="10">
        <f t="shared" si="1"/>
        <v>2022</v>
      </c>
      <c r="I65" s="8" t="s">
        <v>4</v>
      </c>
      <c r="J65" s="7" t="s">
        <v>177</v>
      </c>
      <c r="K65" s="8" t="s">
        <v>98</v>
      </c>
      <c r="L65" s="8" t="s">
        <v>99</v>
      </c>
      <c r="M65" s="8" t="s">
        <v>100</v>
      </c>
      <c r="N65" s="10" t="str">
        <f t="shared" si="2"/>
        <v>GAL</v>
      </c>
      <c r="O65" s="11">
        <v>4150</v>
      </c>
      <c r="Q65" t="str">
        <f t="shared" si="3"/>
        <v>FLO1137000</v>
      </c>
      <c r="R65" t="str">
        <f t="shared" si="4"/>
        <v>Dyna Flo 11-37-0</v>
      </c>
      <c r="S65" s="32">
        <f t="shared" si="6"/>
        <v>14997</v>
      </c>
      <c r="U65" t="s">
        <v>99</v>
      </c>
      <c r="V65" s="32">
        <v>14997</v>
      </c>
    </row>
    <row r="66" spans="2:22" x14ac:dyDescent="0.25">
      <c r="B66" s="1" t="s">
        <v>154</v>
      </c>
      <c r="C66" s="2" t="s">
        <v>155</v>
      </c>
      <c r="D66" s="2" t="s">
        <v>178</v>
      </c>
      <c r="E66" s="2" t="s">
        <v>179</v>
      </c>
      <c r="F66" s="3">
        <f>DATE(2022,10,20)</f>
        <v>44854</v>
      </c>
      <c r="G66" s="4">
        <f t="shared" si="0"/>
        <v>10</v>
      </c>
      <c r="H66" s="4">
        <f t="shared" si="1"/>
        <v>2022</v>
      </c>
      <c r="I66" s="2" t="s">
        <v>4</v>
      </c>
      <c r="J66" s="2" t="s">
        <v>180</v>
      </c>
      <c r="K66" s="2" t="s">
        <v>181</v>
      </c>
      <c r="L66" s="2" t="s">
        <v>182</v>
      </c>
      <c r="M66" s="2" t="s">
        <v>183</v>
      </c>
      <c r="N66" s="4" t="str">
        <f t="shared" si="2"/>
        <v>GAL</v>
      </c>
      <c r="O66" s="5">
        <v>60</v>
      </c>
      <c r="Q66" t="str">
        <f t="shared" si="3"/>
        <v>FLOPHOS30</v>
      </c>
      <c r="R66" t="str">
        <f t="shared" si="4"/>
        <v>Dyna Phos</v>
      </c>
      <c r="S66" s="32">
        <f t="shared" si="6"/>
        <v>295</v>
      </c>
      <c r="U66" t="s">
        <v>182</v>
      </c>
      <c r="V66" s="32">
        <v>295</v>
      </c>
    </row>
    <row r="67" spans="2:22" x14ac:dyDescent="0.25">
      <c r="B67" s="1" t="s">
        <v>154</v>
      </c>
      <c r="C67" s="2" t="s">
        <v>155</v>
      </c>
      <c r="D67" s="2" t="s">
        <v>161</v>
      </c>
      <c r="E67" s="2" t="s">
        <v>162</v>
      </c>
      <c r="F67" s="3">
        <f>DATE(2022,10,28)</f>
        <v>44862</v>
      </c>
      <c r="G67" s="4">
        <f t="shared" ref="G67:G130" si="10">+MONTH(F67)</f>
        <v>10</v>
      </c>
      <c r="H67" s="4">
        <f t="shared" ref="H67:H130" si="11">+YEAR(F67)</f>
        <v>2022</v>
      </c>
      <c r="I67" s="2" t="s">
        <v>4</v>
      </c>
      <c r="J67" s="2" t="s">
        <v>184</v>
      </c>
      <c r="K67" s="2" t="s">
        <v>164</v>
      </c>
      <c r="L67" s="2" t="s">
        <v>165</v>
      </c>
      <c r="M67" s="2" t="s">
        <v>166</v>
      </c>
      <c r="N67" s="4" t="str">
        <f t="shared" ref="N67:N130" si="12">+LEFT(M67,3)</f>
        <v>GAL</v>
      </c>
      <c r="O67" s="5">
        <v>180</v>
      </c>
      <c r="Q67" t="str">
        <f t="shared" ref="Q67:Q130" si="13">K67</f>
        <v>GOLDMZF02</v>
      </c>
      <c r="R67" t="str">
        <f t="shared" ref="R67:R130" si="14">L67</f>
        <v>Dyna Gold MZF</v>
      </c>
      <c r="S67" s="32">
        <f t="shared" si="6"/>
        <v>2780</v>
      </c>
      <c r="U67" t="s">
        <v>165</v>
      </c>
      <c r="V67" s="32">
        <v>2780</v>
      </c>
    </row>
    <row r="68" spans="2:22" x14ac:dyDescent="0.25">
      <c r="B68" s="1" t="s">
        <v>154</v>
      </c>
      <c r="C68" s="2" t="s">
        <v>155</v>
      </c>
      <c r="D68" s="2" t="s">
        <v>161</v>
      </c>
      <c r="E68" s="2" t="s">
        <v>162</v>
      </c>
      <c r="F68" s="3">
        <f>DATE(2022,10,28)</f>
        <v>44862</v>
      </c>
      <c r="G68" s="4">
        <f t="shared" si="10"/>
        <v>10</v>
      </c>
      <c r="H68" s="4">
        <f t="shared" si="11"/>
        <v>2022</v>
      </c>
      <c r="I68" s="2" t="s">
        <v>4</v>
      </c>
      <c r="J68" s="2" t="s">
        <v>184</v>
      </c>
      <c r="K68" s="2" t="s">
        <v>185</v>
      </c>
      <c r="L68" s="2" t="s">
        <v>165</v>
      </c>
      <c r="M68" s="2" t="s">
        <v>166</v>
      </c>
      <c r="N68" s="4" t="str">
        <f t="shared" si="12"/>
        <v>GAL</v>
      </c>
      <c r="O68" s="5">
        <v>250</v>
      </c>
      <c r="Q68" t="str">
        <f t="shared" si="13"/>
        <v>GOLDMZF250</v>
      </c>
      <c r="R68" t="str">
        <f t="shared" si="14"/>
        <v>Dyna Gold MZF</v>
      </c>
      <c r="S68" s="32">
        <f t="shared" ref="S68:S131" si="15">SUMIF($R$3:$R$885, $R68, $O$3:$O$885)</f>
        <v>2780</v>
      </c>
      <c r="U68" t="s">
        <v>165</v>
      </c>
      <c r="V68" s="32">
        <v>2780</v>
      </c>
    </row>
    <row r="69" spans="2:22" x14ac:dyDescent="0.25">
      <c r="B69" s="1" t="s">
        <v>154</v>
      </c>
      <c r="C69" s="2" t="s">
        <v>155</v>
      </c>
      <c r="D69" s="2" t="s">
        <v>107</v>
      </c>
      <c r="E69" s="2" t="s">
        <v>108</v>
      </c>
      <c r="F69" s="3">
        <f>DATE(2022,10,28)</f>
        <v>44862</v>
      </c>
      <c r="G69" s="4">
        <f t="shared" si="10"/>
        <v>10</v>
      </c>
      <c r="H69" s="4">
        <f t="shared" si="11"/>
        <v>2022</v>
      </c>
      <c r="I69" s="2" t="s">
        <v>4</v>
      </c>
      <c r="J69" s="2" t="s">
        <v>186</v>
      </c>
      <c r="K69" s="2" t="s">
        <v>187</v>
      </c>
      <c r="L69" s="2" t="s">
        <v>188</v>
      </c>
      <c r="M69" s="2" t="s">
        <v>160</v>
      </c>
      <c r="N69" s="4" t="str">
        <f t="shared" si="12"/>
        <v>GAL</v>
      </c>
      <c r="O69" s="5">
        <v>75</v>
      </c>
      <c r="Q69" t="str">
        <f t="shared" si="13"/>
        <v>ZON180902</v>
      </c>
      <c r="R69" t="str">
        <f t="shared" si="14"/>
        <v>Dyna Zone 18-0-9</v>
      </c>
      <c r="S69" s="32">
        <f t="shared" si="15"/>
        <v>75</v>
      </c>
      <c r="U69" t="s">
        <v>188</v>
      </c>
      <c r="V69" s="32">
        <v>75</v>
      </c>
    </row>
    <row r="70" spans="2:22" x14ac:dyDescent="0.25">
      <c r="B70" s="1" t="s">
        <v>154</v>
      </c>
      <c r="C70" s="2" t="s">
        <v>155</v>
      </c>
      <c r="D70" s="2" t="s">
        <v>107</v>
      </c>
      <c r="E70" s="2" t="s">
        <v>108</v>
      </c>
      <c r="F70" s="3">
        <f>DATE(2022,10,28)</f>
        <v>44862</v>
      </c>
      <c r="G70" s="4">
        <f t="shared" si="10"/>
        <v>10</v>
      </c>
      <c r="H70" s="4">
        <f t="shared" si="11"/>
        <v>2022</v>
      </c>
      <c r="I70" s="2" t="s">
        <v>4</v>
      </c>
      <c r="J70" s="2" t="s">
        <v>186</v>
      </c>
      <c r="K70" s="2" t="s">
        <v>189</v>
      </c>
      <c r="L70" s="2" t="s">
        <v>190</v>
      </c>
      <c r="M70" s="2" t="s">
        <v>191</v>
      </c>
      <c r="N70" s="4" t="str">
        <f t="shared" si="12"/>
        <v>GAL</v>
      </c>
      <c r="O70" s="5">
        <v>180</v>
      </c>
      <c r="Q70" t="str">
        <f t="shared" si="13"/>
        <v>SOARMIC02</v>
      </c>
      <c r="R70" t="str">
        <f t="shared" si="14"/>
        <v>Soar Micronutrient Mix</v>
      </c>
      <c r="S70" s="32">
        <f t="shared" si="15"/>
        <v>360</v>
      </c>
      <c r="U70" t="s">
        <v>190</v>
      </c>
      <c r="V70" s="32">
        <v>360</v>
      </c>
    </row>
    <row r="71" spans="2:22" x14ac:dyDescent="0.25">
      <c r="B71" s="1" t="s">
        <v>154</v>
      </c>
      <c r="C71" s="2" t="s">
        <v>155</v>
      </c>
      <c r="D71" s="2" t="s">
        <v>107</v>
      </c>
      <c r="E71" s="2" t="s">
        <v>108</v>
      </c>
      <c r="F71" s="3">
        <f>DATE(2022,10,28)</f>
        <v>44862</v>
      </c>
      <c r="G71" s="4">
        <f t="shared" si="10"/>
        <v>10</v>
      </c>
      <c r="H71" s="4">
        <f t="shared" si="11"/>
        <v>2022</v>
      </c>
      <c r="I71" s="2" t="s">
        <v>4</v>
      </c>
      <c r="J71" s="2" t="s">
        <v>186</v>
      </c>
      <c r="K71" s="2" t="s">
        <v>192</v>
      </c>
      <c r="L71" s="2" t="s">
        <v>193</v>
      </c>
      <c r="M71" s="2" t="s">
        <v>160</v>
      </c>
      <c r="N71" s="4" t="str">
        <f t="shared" si="12"/>
        <v>GAL</v>
      </c>
      <c r="O71" s="5">
        <v>500</v>
      </c>
      <c r="Q71" t="str">
        <f t="shared" si="13"/>
        <v>SOARPOT250</v>
      </c>
      <c r="R71" t="str">
        <f t="shared" si="14"/>
        <v>Soar Potato</v>
      </c>
      <c r="S71" s="32">
        <f t="shared" si="15"/>
        <v>1500</v>
      </c>
      <c r="U71" t="s">
        <v>193</v>
      </c>
      <c r="V71" s="32">
        <v>1500</v>
      </c>
    </row>
    <row r="72" spans="2:22" x14ac:dyDescent="0.25">
      <c r="B72" s="1" t="s">
        <v>154</v>
      </c>
      <c r="C72" s="2" t="s">
        <v>155</v>
      </c>
      <c r="D72" s="2" t="s">
        <v>167</v>
      </c>
      <c r="E72" s="2" t="s">
        <v>168</v>
      </c>
      <c r="F72" s="3">
        <f>DATE(2022,10,31)</f>
        <v>44865</v>
      </c>
      <c r="G72" s="4">
        <f t="shared" si="10"/>
        <v>10</v>
      </c>
      <c r="H72" s="4">
        <f t="shared" si="11"/>
        <v>2022</v>
      </c>
      <c r="I72" s="2" t="s">
        <v>4</v>
      </c>
      <c r="J72" s="2" t="s">
        <v>194</v>
      </c>
      <c r="K72" s="2" t="s">
        <v>185</v>
      </c>
      <c r="L72" s="2" t="s">
        <v>165</v>
      </c>
      <c r="M72" s="2" t="s">
        <v>166</v>
      </c>
      <c r="N72" s="4" t="str">
        <f t="shared" si="12"/>
        <v>GAL</v>
      </c>
      <c r="O72" s="5">
        <v>250</v>
      </c>
      <c r="Q72" t="str">
        <f t="shared" si="13"/>
        <v>GOLDMZF250</v>
      </c>
      <c r="R72" t="str">
        <f t="shared" si="14"/>
        <v>Dyna Gold MZF</v>
      </c>
      <c r="S72" s="32">
        <f t="shared" si="15"/>
        <v>2780</v>
      </c>
      <c r="U72" t="s">
        <v>165</v>
      </c>
      <c r="V72" s="32">
        <v>2780</v>
      </c>
    </row>
    <row r="73" spans="2:22" x14ac:dyDescent="0.25">
      <c r="B73" s="1" t="s">
        <v>195</v>
      </c>
      <c r="C73" s="2" t="s">
        <v>196</v>
      </c>
      <c r="D73" s="2" t="s">
        <v>197</v>
      </c>
      <c r="E73" s="2" t="s">
        <v>198</v>
      </c>
      <c r="F73" s="3">
        <f>DATE(2022,10,4)</f>
        <v>44838</v>
      </c>
      <c r="G73" s="4">
        <f t="shared" si="10"/>
        <v>10</v>
      </c>
      <c r="H73" s="4">
        <f t="shared" si="11"/>
        <v>2022</v>
      </c>
      <c r="I73" s="2" t="s">
        <v>4</v>
      </c>
      <c r="J73" s="2" t="s">
        <v>199</v>
      </c>
      <c r="K73" s="2" t="s">
        <v>158</v>
      </c>
      <c r="L73" s="2" t="s">
        <v>159</v>
      </c>
      <c r="M73" s="2" t="s">
        <v>160</v>
      </c>
      <c r="N73" s="4" t="str">
        <f t="shared" si="12"/>
        <v>GAL</v>
      </c>
      <c r="O73" s="5">
        <v>10</v>
      </c>
      <c r="Q73" t="str">
        <f t="shared" si="13"/>
        <v>SOARBLM02</v>
      </c>
      <c r="R73" t="str">
        <f t="shared" si="14"/>
        <v>Soar Bloom Spray</v>
      </c>
      <c r="S73" s="32">
        <f t="shared" si="15"/>
        <v>2195</v>
      </c>
      <c r="U73" t="s">
        <v>159</v>
      </c>
      <c r="V73" s="32">
        <v>2195</v>
      </c>
    </row>
    <row r="74" spans="2:22" x14ac:dyDescent="0.25">
      <c r="B74" s="1" t="s">
        <v>195</v>
      </c>
      <c r="C74" s="2" t="s">
        <v>196</v>
      </c>
      <c r="D74" s="2" t="s">
        <v>197</v>
      </c>
      <c r="E74" s="2" t="s">
        <v>198</v>
      </c>
      <c r="F74" s="3">
        <f>DATE(2022,10,4)</f>
        <v>44838</v>
      </c>
      <c r="G74" s="4">
        <f t="shared" si="10"/>
        <v>10</v>
      </c>
      <c r="H74" s="4">
        <f t="shared" si="11"/>
        <v>2022</v>
      </c>
      <c r="I74" s="2" t="s">
        <v>4</v>
      </c>
      <c r="J74" s="2" t="s">
        <v>199</v>
      </c>
      <c r="K74" s="2" t="s">
        <v>200</v>
      </c>
      <c r="L74" s="2" t="s">
        <v>201</v>
      </c>
      <c r="M74" s="2" t="s">
        <v>202</v>
      </c>
      <c r="N74" s="4" t="str">
        <f t="shared" si="12"/>
        <v>GAL</v>
      </c>
      <c r="O74" s="5">
        <v>10</v>
      </c>
      <c r="Q74" t="str">
        <f t="shared" si="13"/>
        <v>FLO15001602</v>
      </c>
      <c r="R74" t="str">
        <f t="shared" si="14"/>
        <v>Vented pHury</v>
      </c>
      <c r="S74" s="32">
        <f t="shared" si="15"/>
        <v>965</v>
      </c>
      <c r="U74" t="s">
        <v>201</v>
      </c>
      <c r="V74" s="32">
        <v>965</v>
      </c>
    </row>
    <row r="75" spans="2:22" x14ac:dyDescent="0.25">
      <c r="B75" s="1" t="s">
        <v>195</v>
      </c>
      <c r="C75" s="2" t="s">
        <v>196</v>
      </c>
      <c r="D75" s="2" t="s">
        <v>203</v>
      </c>
      <c r="E75" s="2" t="s">
        <v>102</v>
      </c>
      <c r="F75" s="3">
        <f>DATE(2022,10,5)</f>
        <v>44839</v>
      </c>
      <c r="G75" s="4">
        <f t="shared" si="10"/>
        <v>10</v>
      </c>
      <c r="H75" s="4">
        <f t="shared" si="11"/>
        <v>2022</v>
      </c>
      <c r="I75" s="2" t="s">
        <v>4</v>
      </c>
      <c r="J75" s="2" t="s">
        <v>204</v>
      </c>
      <c r="K75" s="2" t="s">
        <v>205</v>
      </c>
      <c r="L75" s="2" t="s">
        <v>206</v>
      </c>
      <c r="M75" s="2" t="s">
        <v>119</v>
      </c>
      <c r="N75" s="4" t="str">
        <f t="shared" si="12"/>
        <v>TON</v>
      </c>
      <c r="O75" s="5">
        <v>1</v>
      </c>
      <c r="Q75" t="str">
        <f t="shared" si="13"/>
        <v>MAC927YM3</v>
      </c>
      <c r="R75" t="str">
        <f t="shared" si="14"/>
        <v>Dyna Flo 9-2-7YM3</v>
      </c>
      <c r="S75" s="32">
        <f t="shared" si="15"/>
        <v>284.6674999999999</v>
      </c>
      <c r="U75" t="s">
        <v>206</v>
      </c>
      <c r="V75" s="32">
        <v>284.6674999999999</v>
      </c>
    </row>
    <row r="76" spans="2:22" x14ac:dyDescent="0.25">
      <c r="B76" s="1" t="s">
        <v>195</v>
      </c>
      <c r="C76" s="2" t="s">
        <v>196</v>
      </c>
      <c r="D76" s="2" t="s">
        <v>207</v>
      </c>
      <c r="E76" s="2" t="s">
        <v>208</v>
      </c>
      <c r="F76" s="3">
        <f>DATE(2022,10,5)</f>
        <v>44839</v>
      </c>
      <c r="G76" s="4">
        <f t="shared" si="10"/>
        <v>10</v>
      </c>
      <c r="H76" s="4">
        <f t="shared" si="11"/>
        <v>2022</v>
      </c>
      <c r="I76" s="2" t="s">
        <v>4</v>
      </c>
      <c r="J76" s="2" t="s">
        <v>209</v>
      </c>
      <c r="K76" s="2" t="s">
        <v>205</v>
      </c>
      <c r="L76" s="2" t="s">
        <v>206</v>
      </c>
      <c r="M76" s="2" t="s">
        <v>119</v>
      </c>
      <c r="N76" s="4" t="str">
        <f t="shared" si="12"/>
        <v>TON</v>
      </c>
      <c r="O76" s="5">
        <v>2.5</v>
      </c>
      <c r="Q76" t="str">
        <f t="shared" si="13"/>
        <v>MAC927YM3</v>
      </c>
      <c r="R76" t="str">
        <f t="shared" si="14"/>
        <v>Dyna Flo 9-2-7YM3</v>
      </c>
      <c r="S76" s="32">
        <f t="shared" si="15"/>
        <v>284.6674999999999</v>
      </c>
      <c r="U76" t="s">
        <v>206</v>
      </c>
      <c r="V76" s="32">
        <v>284.6674999999999</v>
      </c>
    </row>
    <row r="77" spans="2:22" x14ac:dyDescent="0.25">
      <c r="B77" s="1" t="s">
        <v>195</v>
      </c>
      <c r="C77" s="2" t="s">
        <v>196</v>
      </c>
      <c r="D77" s="2" t="s">
        <v>210</v>
      </c>
      <c r="E77" s="2" t="s">
        <v>211</v>
      </c>
      <c r="F77" s="3">
        <f>DATE(2022,10,6)</f>
        <v>44840</v>
      </c>
      <c r="G77" s="4">
        <f t="shared" si="10"/>
        <v>10</v>
      </c>
      <c r="H77" s="4">
        <f t="shared" si="11"/>
        <v>2022</v>
      </c>
      <c r="I77" s="2" t="s">
        <v>4</v>
      </c>
      <c r="J77" s="2" t="s">
        <v>212</v>
      </c>
      <c r="K77" s="2" t="s">
        <v>213</v>
      </c>
      <c r="L77" s="2" t="s">
        <v>214</v>
      </c>
      <c r="M77" s="2" t="s">
        <v>119</v>
      </c>
      <c r="N77" s="4" t="str">
        <f t="shared" si="12"/>
        <v>TON</v>
      </c>
      <c r="O77" s="5">
        <v>15</v>
      </c>
      <c r="Q77" t="str">
        <f t="shared" si="13"/>
        <v>MAC626YM</v>
      </c>
      <c r="R77" t="str">
        <f t="shared" si="14"/>
        <v>Dyna Flo 6-2-6YM</v>
      </c>
      <c r="S77" s="32">
        <f t="shared" si="15"/>
        <v>30</v>
      </c>
      <c r="U77" t="s">
        <v>214</v>
      </c>
      <c r="V77" s="32">
        <v>30</v>
      </c>
    </row>
    <row r="78" spans="2:22" x14ac:dyDescent="0.25">
      <c r="B78" s="1" t="s">
        <v>195</v>
      </c>
      <c r="C78" s="2" t="s">
        <v>196</v>
      </c>
      <c r="D78" s="2" t="s">
        <v>215</v>
      </c>
      <c r="E78" s="2" t="s">
        <v>216</v>
      </c>
      <c r="F78" s="3">
        <f>DATE(2022,10,6)</f>
        <v>44840</v>
      </c>
      <c r="G78" s="4">
        <f t="shared" si="10"/>
        <v>10</v>
      </c>
      <c r="H78" s="4">
        <f t="shared" si="11"/>
        <v>2022</v>
      </c>
      <c r="I78" s="2" t="s">
        <v>4</v>
      </c>
      <c r="J78" s="2" t="s">
        <v>217</v>
      </c>
      <c r="K78" s="2" t="s">
        <v>205</v>
      </c>
      <c r="L78" s="2" t="s">
        <v>206</v>
      </c>
      <c r="M78" s="2" t="s">
        <v>119</v>
      </c>
      <c r="N78" s="4" t="str">
        <f t="shared" si="12"/>
        <v>TON</v>
      </c>
      <c r="O78" s="5">
        <v>1.875</v>
      </c>
      <c r="Q78" t="str">
        <f t="shared" si="13"/>
        <v>MAC927YM3</v>
      </c>
      <c r="R78" t="str">
        <f t="shared" si="14"/>
        <v>Dyna Flo 9-2-7YM3</v>
      </c>
      <c r="S78" s="32">
        <f t="shared" si="15"/>
        <v>284.6674999999999</v>
      </c>
      <c r="U78" t="s">
        <v>206</v>
      </c>
      <c r="V78" s="32">
        <v>284.6674999999999</v>
      </c>
    </row>
    <row r="79" spans="2:22" x14ac:dyDescent="0.25">
      <c r="B79" s="1" t="s">
        <v>195</v>
      </c>
      <c r="C79" s="2" t="s">
        <v>196</v>
      </c>
      <c r="D79" s="2" t="s">
        <v>218</v>
      </c>
      <c r="E79" s="2" t="s">
        <v>141</v>
      </c>
      <c r="F79" s="3">
        <f>DATE(2022,10,6)</f>
        <v>44840</v>
      </c>
      <c r="G79" s="4">
        <f t="shared" si="10"/>
        <v>10</v>
      </c>
      <c r="H79" s="4">
        <f t="shared" si="11"/>
        <v>2022</v>
      </c>
      <c r="I79" s="2" t="s">
        <v>4</v>
      </c>
      <c r="J79" s="2" t="s">
        <v>219</v>
      </c>
      <c r="K79" s="2" t="s">
        <v>220</v>
      </c>
      <c r="L79" s="2" t="s">
        <v>201</v>
      </c>
      <c r="M79" s="2" t="s">
        <v>202</v>
      </c>
      <c r="N79" s="4" t="str">
        <f t="shared" si="12"/>
        <v>GAL</v>
      </c>
      <c r="O79" s="5">
        <v>250</v>
      </c>
      <c r="Q79" t="str">
        <f t="shared" si="13"/>
        <v>FLO150016250</v>
      </c>
      <c r="R79" t="str">
        <f t="shared" si="14"/>
        <v>Vented pHury</v>
      </c>
      <c r="S79" s="32">
        <f t="shared" si="15"/>
        <v>965</v>
      </c>
      <c r="U79" t="s">
        <v>201</v>
      </c>
      <c r="V79" s="32">
        <v>965</v>
      </c>
    </row>
    <row r="80" spans="2:22" x14ac:dyDescent="0.25">
      <c r="B80" s="1" t="s">
        <v>195</v>
      </c>
      <c r="C80" s="2" t="s">
        <v>196</v>
      </c>
      <c r="D80" s="2" t="s">
        <v>221</v>
      </c>
      <c r="E80" s="2" t="s">
        <v>222</v>
      </c>
      <c r="F80" s="3">
        <f>DATE(2022,10,6)</f>
        <v>44840</v>
      </c>
      <c r="G80" s="4">
        <f t="shared" si="10"/>
        <v>10</v>
      </c>
      <c r="H80" s="4">
        <f t="shared" si="11"/>
        <v>2022</v>
      </c>
      <c r="I80" s="2" t="s">
        <v>4</v>
      </c>
      <c r="J80" s="2" t="s">
        <v>223</v>
      </c>
      <c r="K80" s="2" t="s">
        <v>205</v>
      </c>
      <c r="L80" s="2" t="s">
        <v>206</v>
      </c>
      <c r="M80" s="2" t="s">
        <v>119</v>
      </c>
      <c r="N80" s="4" t="str">
        <f t="shared" si="12"/>
        <v>TON</v>
      </c>
      <c r="O80" s="5">
        <v>2.5</v>
      </c>
      <c r="Q80" t="str">
        <f t="shared" si="13"/>
        <v>MAC927YM3</v>
      </c>
      <c r="R80" t="str">
        <f t="shared" si="14"/>
        <v>Dyna Flo 9-2-7YM3</v>
      </c>
      <c r="S80" s="32">
        <f t="shared" si="15"/>
        <v>284.6674999999999</v>
      </c>
      <c r="U80" t="s">
        <v>206</v>
      </c>
      <c r="V80" s="32">
        <v>284.6674999999999</v>
      </c>
    </row>
    <row r="81" spans="2:22" x14ac:dyDescent="0.25">
      <c r="B81" s="1" t="s">
        <v>195</v>
      </c>
      <c r="C81" s="2" t="s">
        <v>196</v>
      </c>
      <c r="D81" s="2" t="s">
        <v>224</v>
      </c>
      <c r="E81" s="2" t="s">
        <v>225</v>
      </c>
      <c r="F81" s="3">
        <f>DATE(2022,10,6)</f>
        <v>44840</v>
      </c>
      <c r="G81" s="4">
        <f t="shared" si="10"/>
        <v>10</v>
      </c>
      <c r="H81" s="4">
        <f t="shared" si="11"/>
        <v>2022</v>
      </c>
      <c r="I81" s="2" t="s">
        <v>4</v>
      </c>
      <c r="J81" s="2" t="s">
        <v>226</v>
      </c>
      <c r="K81" s="2" t="s">
        <v>122</v>
      </c>
      <c r="L81" s="2" t="s">
        <v>123</v>
      </c>
      <c r="M81" s="2" t="s">
        <v>119</v>
      </c>
      <c r="N81" s="4" t="str">
        <f t="shared" si="12"/>
        <v>TON</v>
      </c>
      <c r="O81" s="5">
        <v>1.25</v>
      </c>
      <c r="Q81" t="str">
        <f t="shared" si="13"/>
        <v>MAC528YZ</v>
      </c>
      <c r="R81" t="str">
        <f t="shared" si="14"/>
        <v>Dyna Flo 5-2-8 YZ</v>
      </c>
      <c r="S81" s="32">
        <f t="shared" si="15"/>
        <v>395.40750000000003</v>
      </c>
      <c r="U81" t="s">
        <v>123</v>
      </c>
      <c r="V81" s="32">
        <v>395.40750000000003</v>
      </c>
    </row>
    <row r="82" spans="2:22" x14ac:dyDescent="0.25">
      <c r="B82" s="6" t="s">
        <v>195</v>
      </c>
      <c r="C82" s="7" t="s">
        <v>196</v>
      </c>
      <c r="D82" s="8" t="s">
        <v>227</v>
      </c>
      <c r="E82" s="8" t="s">
        <v>228</v>
      </c>
      <c r="F82" s="9">
        <f>DATE(2022,10,7)</f>
        <v>44841</v>
      </c>
      <c r="G82" s="10">
        <f t="shared" si="10"/>
        <v>10</v>
      </c>
      <c r="H82" s="10">
        <f t="shared" si="11"/>
        <v>2022</v>
      </c>
      <c r="I82" s="8" t="s">
        <v>4</v>
      </c>
      <c r="J82" s="7" t="s">
        <v>229</v>
      </c>
      <c r="K82" s="8" t="s">
        <v>230</v>
      </c>
      <c r="L82" s="8" t="s">
        <v>231</v>
      </c>
      <c r="M82" s="8" t="s">
        <v>119</v>
      </c>
      <c r="N82" s="10" t="str">
        <f t="shared" si="12"/>
        <v>TON</v>
      </c>
      <c r="O82" s="11">
        <v>3.75</v>
      </c>
      <c r="Q82" t="str">
        <f t="shared" si="13"/>
        <v>MAC2510XD</v>
      </c>
      <c r="R82" t="str">
        <f t="shared" si="14"/>
        <v>Dyna Flo 2-5-10 XD</v>
      </c>
      <c r="S82" s="32">
        <f t="shared" si="15"/>
        <v>5.5250000000000004</v>
      </c>
      <c r="U82" t="s">
        <v>231</v>
      </c>
      <c r="V82" s="32">
        <v>5.5250000000000004</v>
      </c>
    </row>
    <row r="83" spans="2:22" x14ac:dyDescent="0.25">
      <c r="B83" s="6" t="s">
        <v>195</v>
      </c>
      <c r="C83" s="7" t="s">
        <v>196</v>
      </c>
      <c r="D83" s="8" t="s">
        <v>232</v>
      </c>
      <c r="E83" s="8" t="s">
        <v>233</v>
      </c>
      <c r="F83" s="9">
        <f>DATE(2022,10,7)</f>
        <v>44841</v>
      </c>
      <c r="G83" s="10">
        <f t="shared" si="10"/>
        <v>10</v>
      </c>
      <c r="H83" s="10">
        <f t="shared" si="11"/>
        <v>2022</v>
      </c>
      <c r="I83" s="8" t="s">
        <v>4</v>
      </c>
      <c r="J83" s="7" t="s">
        <v>234</v>
      </c>
      <c r="K83" s="8" t="s">
        <v>230</v>
      </c>
      <c r="L83" s="8" t="s">
        <v>231</v>
      </c>
      <c r="M83" s="8" t="s">
        <v>119</v>
      </c>
      <c r="N83" s="10" t="str">
        <f t="shared" si="12"/>
        <v>TON</v>
      </c>
      <c r="O83" s="11">
        <v>1.5</v>
      </c>
      <c r="Q83" t="str">
        <f t="shared" si="13"/>
        <v>MAC2510XD</v>
      </c>
      <c r="R83" t="str">
        <f t="shared" si="14"/>
        <v>Dyna Flo 2-5-10 XD</v>
      </c>
      <c r="S83" s="32">
        <f t="shared" si="15"/>
        <v>5.5250000000000004</v>
      </c>
      <c r="U83" t="s">
        <v>231</v>
      </c>
      <c r="V83" s="32">
        <v>5.5250000000000004</v>
      </c>
    </row>
    <row r="84" spans="2:22" x14ac:dyDescent="0.25">
      <c r="B84" s="1" t="s">
        <v>195</v>
      </c>
      <c r="C84" s="2" t="s">
        <v>196</v>
      </c>
      <c r="D84" s="2" t="s">
        <v>207</v>
      </c>
      <c r="E84" s="2" t="s">
        <v>208</v>
      </c>
      <c r="F84" s="3">
        <f>DATE(2022,10,7)</f>
        <v>44841</v>
      </c>
      <c r="G84" s="4">
        <f t="shared" si="10"/>
        <v>10</v>
      </c>
      <c r="H84" s="4">
        <f t="shared" si="11"/>
        <v>2022</v>
      </c>
      <c r="I84" s="2" t="s">
        <v>4</v>
      </c>
      <c r="J84" s="2" t="s">
        <v>235</v>
      </c>
      <c r="K84" s="2" t="s">
        <v>236</v>
      </c>
      <c r="L84" s="2" t="s">
        <v>237</v>
      </c>
      <c r="M84" s="2" t="s">
        <v>119</v>
      </c>
      <c r="N84" s="4" t="str">
        <f t="shared" si="12"/>
        <v>TON</v>
      </c>
      <c r="O84" s="5">
        <v>2.5</v>
      </c>
      <c r="Q84" t="str">
        <f t="shared" si="13"/>
        <v>MAC626YM11</v>
      </c>
      <c r="R84" t="str">
        <f t="shared" si="14"/>
        <v>Dyna Flo 6-2-6YM11</v>
      </c>
      <c r="S84" s="32">
        <f t="shared" si="15"/>
        <v>14.877500000000001</v>
      </c>
      <c r="U84" t="s">
        <v>237</v>
      </c>
      <c r="V84" s="32">
        <v>14.877500000000001</v>
      </c>
    </row>
    <row r="85" spans="2:22" x14ac:dyDescent="0.25">
      <c r="B85" s="1" t="s">
        <v>195</v>
      </c>
      <c r="C85" s="2" t="s">
        <v>196</v>
      </c>
      <c r="D85" s="2" t="s">
        <v>238</v>
      </c>
      <c r="E85" s="2" t="s">
        <v>239</v>
      </c>
      <c r="F85" s="3">
        <f t="shared" ref="F85:F95" si="16">DATE(2022,10,10)</f>
        <v>44844</v>
      </c>
      <c r="G85" s="4">
        <f t="shared" si="10"/>
        <v>10</v>
      </c>
      <c r="H85" s="4">
        <f t="shared" si="11"/>
        <v>2022</v>
      </c>
      <c r="I85" s="2" t="s">
        <v>4</v>
      </c>
      <c r="J85" s="2" t="s">
        <v>240</v>
      </c>
      <c r="K85" s="2" t="s">
        <v>205</v>
      </c>
      <c r="L85" s="2" t="s">
        <v>206</v>
      </c>
      <c r="M85" s="2" t="s">
        <v>119</v>
      </c>
      <c r="N85" s="4" t="str">
        <f t="shared" si="12"/>
        <v>TON</v>
      </c>
      <c r="O85" s="5">
        <v>10.029999999999999</v>
      </c>
      <c r="Q85" t="str">
        <f t="shared" si="13"/>
        <v>MAC927YM3</v>
      </c>
      <c r="R85" t="str">
        <f t="shared" si="14"/>
        <v>Dyna Flo 9-2-7YM3</v>
      </c>
      <c r="S85" s="32">
        <f t="shared" si="15"/>
        <v>284.6674999999999</v>
      </c>
      <c r="U85" t="s">
        <v>206</v>
      </c>
      <c r="V85" s="32">
        <v>284.6674999999999</v>
      </c>
    </row>
    <row r="86" spans="2:22" x14ac:dyDescent="0.25">
      <c r="B86" s="1" t="s">
        <v>195</v>
      </c>
      <c r="C86" s="2" t="s">
        <v>196</v>
      </c>
      <c r="D86" s="2" t="s">
        <v>241</v>
      </c>
      <c r="E86" s="2" t="s">
        <v>242</v>
      </c>
      <c r="F86" s="3">
        <f t="shared" si="16"/>
        <v>44844</v>
      </c>
      <c r="G86" s="4">
        <f t="shared" si="10"/>
        <v>10</v>
      </c>
      <c r="H86" s="4">
        <f t="shared" si="11"/>
        <v>2022</v>
      </c>
      <c r="I86" s="2" t="s">
        <v>4</v>
      </c>
      <c r="J86" s="2" t="s">
        <v>243</v>
      </c>
      <c r="K86" s="2" t="s">
        <v>244</v>
      </c>
      <c r="L86" s="2" t="s">
        <v>182</v>
      </c>
      <c r="M86" s="2" t="s">
        <v>183</v>
      </c>
      <c r="N86" s="4" t="str">
        <f t="shared" si="12"/>
        <v>GAL</v>
      </c>
      <c r="O86" s="5">
        <v>5</v>
      </c>
      <c r="Q86" t="str">
        <f t="shared" si="13"/>
        <v>FLOPHOS02</v>
      </c>
      <c r="R86" t="str">
        <f t="shared" si="14"/>
        <v>Dyna Phos</v>
      </c>
      <c r="S86" s="32">
        <f t="shared" si="15"/>
        <v>295</v>
      </c>
      <c r="U86" t="s">
        <v>182</v>
      </c>
      <c r="V86" s="32">
        <v>295</v>
      </c>
    </row>
    <row r="87" spans="2:22" x14ac:dyDescent="0.25">
      <c r="B87" s="1" t="s">
        <v>195</v>
      </c>
      <c r="C87" s="2" t="s">
        <v>196</v>
      </c>
      <c r="D87" s="2" t="s">
        <v>241</v>
      </c>
      <c r="E87" s="2" t="s">
        <v>242</v>
      </c>
      <c r="F87" s="3">
        <f t="shared" si="16"/>
        <v>44844</v>
      </c>
      <c r="G87" s="4">
        <f t="shared" si="10"/>
        <v>10</v>
      </c>
      <c r="H87" s="4">
        <f t="shared" si="11"/>
        <v>2022</v>
      </c>
      <c r="I87" s="2" t="s">
        <v>4</v>
      </c>
      <c r="J87" s="2" t="s">
        <v>245</v>
      </c>
      <c r="K87" s="2" t="s">
        <v>246</v>
      </c>
      <c r="L87" s="2" t="s">
        <v>247</v>
      </c>
      <c r="M87" s="2" t="s">
        <v>119</v>
      </c>
      <c r="N87" s="4" t="str">
        <f t="shared" si="12"/>
        <v>TON</v>
      </c>
      <c r="O87" s="5">
        <v>2.5000000000000001E-2</v>
      </c>
      <c r="Q87" t="str">
        <f t="shared" si="13"/>
        <v>MAC425YM</v>
      </c>
      <c r="R87" t="str">
        <f t="shared" si="14"/>
        <v>Dyna Flo 4-2-5YM</v>
      </c>
      <c r="S87" s="32">
        <f t="shared" si="15"/>
        <v>0.32500000000000001</v>
      </c>
      <c r="U87" t="s">
        <v>247</v>
      </c>
      <c r="V87" s="32">
        <v>0.32500000000000001</v>
      </c>
    </row>
    <row r="88" spans="2:22" x14ac:dyDescent="0.25">
      <c r="B88" s="1" t="s">
        <v>195</v>
      </c>
      <c r="C88" s="2" t="s">
        <v>196</v>
      </c>
      <c r="D88" s="2" t="s">
        <v>248</v>
      </c>
      <c r="E88" s="2" t="s">
        <v>249</v>
      </c>
      <c r="F88" s="3">
        <f t="shared" si="16"/>
        <v>44844</v>
      </c>
      <c r="G88" s="4">
        <f t="shared" si="10"/>
        <v>10</v>
      </c>
      <c r="H88" s="4">
        <f t="shared" si="11"/>
        <v>2022</v>
      </c>
      <c r="I88" s="2" t="s">
        <v>4</v>
      </c>
      <c r="J88" s="2" t="s">
        <v>250</v>
      </c>
      <c r="K88" s="2" t="s">
        <v>251</v>
      </c>
      <c r="L88" s="2" t="s">
        <v>252</v>
      </c>
      <c r="M88" s="2" t="s">
        <v>119</v>
      </c>
      <c r="N88" s="4" t="str">
        <f t="shared" si="12"/>
        <v>TON</v>
      </c>
      <c r="O88" s="5">
        <v>15</v>
      </c>
      <c r="Q88" t="str">
        <f t="shared" si="13"/>
        <v>MAC528YM1</v>
      </c>
      <c r="R88" t="str">
        <f t="shared" si="14"/>
        <v>Dyna Flo 5-2-8YM1</v>
      </c>
      <c r="S88" s="32">
        <f t="shared" si="15"/>
        <v>30.005000000000003</v>
      </c>
      <c r="U88" t="s">
        <v>252</v>
      </c>
      <c r="V88" s="32">
        <v>30.005000000000003</v>
      </c>
    </row>
    <row r="89" spans="2:22" x14ac:dyDescent="0.25">
      <c r="B89" s="1" t="s">
        <v>195</v>
      </c>
      <c r="C89" s="2" t="s">
        <v>196</v>
      </c>
      <c r="D89" s="2" t="s">
        <v>253</v>
      </c>
      <c r="E89" s="2" t="s">
        <v>254</v>
      </c>
      <c r="F89" s="3">
        <f t="shared" si="16"/>
        <v>44844</v>
      </c>
      <c r="G89" s="4">
        <f t="shared" si="10"/>
        <v>10</v>
      </c>
      <c r="H89" s="4">
        <f t="shared" si="11"/>
        <v>2022</v>
      </c>
      <c r="I89" s="2" t="s">
        <v>4</v>
      </c>
      <c r="J89" s="2" t="s">
        <v>255</v>
      </c>
      <c r="K89" s="2" t="s">
        <v>256</v>
      </c>
      <c r="L89" s="2" t="s">
        <v>257</v>
      </c>
      <c r="M89" s="2" t="s">
        <v>119</v>
      </c>
      <c r="N89" s="4" t="str">
        <f t="shared" si="12"/>
        <v>TON</v>
      </c>
      <c r="O89" s="5">
        <v>2.5</v>
      </c>
      <c r="Q89" t="str">
        <f t="shared" si="13"/>
        <v>MAC828YM5</v>
      </c>
      <c r="R89" t="str">
        <f t="shared" si="14"/>
        <v>Dyna Flo 8-2-8YM5</v>
      </c>
      <c r="S89" s="32">
        <f t="shared" si="15"/>
        <v>5</v>
      </c>
      <c r="U89" t="s">
        <v>257</v>
      </c>
      <c r="V89" s="32">
        <v>5</v>
      </c>
    </row>
    <row r="90" spans="2:22" x14ac:dyDescent="0.25">
      <c r="B90" s="1" t="s">
        <v>195</v>
      </c>
      <c r="C90" s="2" t="s">
        <v>196</v>
      </c>
      <c r="D90" s="2" t="s">
        <v>241</v>
      </c>
      <c r="E90" s="2" t="s">
        <v>258</v>
      </c>
      <c r="F90" s="3">
        <f t="shared" si="16"/>
        <v>44844</v>
      </c>
      <c r="G90" s="4">
        <f t="shared" si="10"/>
        <v>10</v>
      </c>
      <c r="H90" s="4">
        <f t="shared" si="11"/>
        <v>2022</v>
      </c>
      <c r="I90" s="2" t="s">
        <v>4</v>
      </c>
      <c r="J90" s="2" t="s">
        <v>259</v>
      </c>
      <c r="K90" s="2" t="s">
        <v>260</v>
      </c>
      <c r="L90" s="2" t="s">
        <v>261</v>
      </c>
      <c r="M90" s="2" t="s">
        <v>119</v>
      </c>
      <c r="N90" s="4" t="str">
        <f t="shared" si="12"/>
        <v>TON</v>
      </c>
      <c r="O90" s="5">
        <v>2</v>
      </c>
      <c r="Q90" t="str">
        <f t="shared" si="13"/>
        <v>MAC429YM</v>
      </c>
      <c r="R90" t="str">
        <f t="shared" si="14"/>
        <v>Dyna Flo 4-2-9YM</v>
      </c>
      <c r="S90" s="32">
        <f t="shared" si="15"/>
        <v>11.317500000000001</v>
      </c>
      <c r="U90" t="s">
        <v>261</v>
      </c>
      <c r="V90" s="32">
        <v>11.317500000000001</v>
      </c>
    </row>
    <row r="91" spans="2:22" x14ac:dyDescent="0.25">
      <c r="B91" s="1" t="s">
        <v>195</v>
      </c>
      <c r="C91" s="2" t="s">
        <v>196</v>
      </c>
      <c r="D91" s="2" t="s">
        <v>262</v>
      </c>
      <c r="E91" s="2" t="s">
        <v>263</v>
      </c>
      <c r="F91" s="3">
        <f t="shared" si="16"/>
        <v>44844</v>
      </c>
      <c r="G91" s="4">
        <f t="shared" si="10"/>
        <v>10</v>
      </c>
      <c r="H91" s="4">
        <f t="shared" si="11"/>
        <v>2022</v>
      </c>
      <c r="I91" s="2" t="s">
        <v>4</v>
      </c>
      <c r="J91" s="2" t="s">
        <v>264</v>
      </c>
      <c r="K91" s="2" t="s">
        <v>205</v>
      </c>
      <c r="L91" s="2" t="s">
        <v>206</v>
      </c>
      <c r="M91" s="2" t="s">
        <v>119</v>
      </c>
      <c r="N91" s="4" t="str">
        <f t="shared" si="12"/>
        <v>TON</v>
      </c>
      <c r="O91" s="5">
        <v>4.5025000000000004</v>
      </c>
      <c r="Q91" t="str">
        <f t="shared" si="13"/>
        <v>MAC927YM3</v>
      </c>
      <c r="R91" t="str">
        <f t="shared" si="14"/>
        <v>Dyna Flo 9-2-7YM3</v>
      </c>
      <c r="S91" s="32">
        <f t="shared" si="15"/>
        <v>284.6674999999999</v>
      </c>
      <c r="U91" t="s">
        <v>206</v>
      </c>
      <c r="V91" s="32">
        <v>284.6674999999999</v>
      </c>
    </row>
    <row r="92" spans="2:22" x14ac:dyDescent="0.25">
      <c r="B92" s="1" t="s">
        <v>195</v>
      </c>
      <c r="C92" s="2" t="s">
        <v>196</v>
      </c>
      <c r="D92" s="2" t="s">
        <v>265</v>
      </c>
      <c r="E92" s="2" t="s">
        <v>266</v>
      </c>
      <c r="F92" s="3">
        <f t="shared" si="16"/>
        <v>44844</v>
      </c>
      <c r="G92" s="4">
        <f t="shared" si="10"/>
        <v>10</v>
      </c>
      <c r="H92" s="4">
        <f t="shared" si="11"/>
        <v>2022</v>
      </c>
      <c r="I92" s="2" t="s">
        <v>4</v>
      </c>
      <c r="J92" s="2" t="s">
        <v>267</v>
      </c>
      <c r="K92" s="2" t="s">
        <v>268</v>
      </c>
      <c r="L92" s="2" t="s">
        <v>269</v>
      </c>
      <c r="M92" s="2" t="s">
        <v>119</v>
      </c>
      <c r="N92" s="4" t="str">
        <f t="shared" si="12"/>
        <v>TON</v>
      </c>
      <c r="O92" s="5">
        <v>0.15</v>
      </c>
      <c r="Q92" t="str">
        <f t="shared" si="13"/>
        <v>MAC927YM1</v>
      </c>
      <c r="R92" t="str">
        <f t="shared" si="14"/>
        <v>Dyna Flo 9-2-7YM1</v>
      </c>
      <c r="S92" s="32">
        <f t="shared" si="15"/>
        <v>2.5249999999999995</v>
      </c>
      <c r="U92" t="s">
        <v>269</v>
      </c>
      <c r="V92" s="32">
        <v>2.5249999999999995</v>
      </c>
    </row>
    <row r="93" spans="2:22" x14ac:dyDescent="0.25">
      <c r="B93" s="1" t="s">
        <v>195</v>
      </c>
      <c r="C93" s="2" t="s">
        <v>196</v>
      </c>
      <c r="D93" s="2" t="s">
        <v>270</v>
      </c>
      <c r="E93" s="2" t="s">
        <v>271</v>
      </c>
      <c r="F93" s="3">
        <f t="shared" si="16"/>
        <v>44844</v>
      </c>
      <c r="G93" s="4">
        <f t="shared" si="10"/>
        <v>10</v>
      </c>
      <c r="H93" s="4">
        <f t="shared" si="11"/>
        <v>2022</v>
      </c>
      <c r="I93" s="2" t="s">
        <v>4</v>
      </c>
      <c r="J93" s="2" t="s">
        <v>272</v>
      </c>
      <c r="K93" s="2" t="s">
        <v>205</v>
      </c>
      <c r="L93" s="2" t="s">
        <v>206</v>
      </c>
      <c r="M93" s="2" t="s">
        <v>119</v>
      </c>
      <c r="N93" s="4" t="str">
        <f t="shared" si="12"/>
        <v>TON</v>
      </c>
      <c r="O93" s="5">
        <v>1.25</v>
      </c>
      <c r="Q93" t="str">
        <f t="shared" si="13"/>
        <v>MAC927YM3</v>
      </c>
      <c r="R93" t="str">
        <f t="shared" si="14"/>
        <v>Dyna Flo 9-2-7YM3</v>
      </c>
      <c r="S93" s="32">
        <f t="shared" si="15"/>
        <v>284.6674999999999</v>
      </c>
      <c r="U93" t="s">
        <v>206</v>
      </c>
      <c r="V93" s="32">
        <v>284.6674999999999</v>
      </c>
    </row>
    <row r="94" spans="2:22" x14ac:dyDescent="0.25">
      <c r="B94" s="1" t="s">
        <v>195</v>
      </c>
      <c r="C94" s="2" t="s">
        <v>196</v>
      </c>
      <c r="D94" s="2" t="s">
        <v>273</v>
      </c>
      <c r="E94" s="2" t="s">
        <v>274</v>
      </c>
      <c r="F94" s="3">
        <f t="shared" si="16"/>
        <v>44844</v>
      </c>
      <c r="G94" s="4">
        <f t="shared" si="10"/>
        <v>10</v>
      </c>
      <c r="H94" s="4">
        <f t="shared" si="11"/>
        <v>2022</v>
      </c>
      <c r="I94" s="2" t="s">
        <v>4</v>
      </c>
      <c r="J94" s="2" t="s">
        <v>275</v>
      </c>
      <c r="K94" s="2" t="s">
        <v>205</v>
      </c>
      <c r="L94" s="2" t="s">
        <v>206</v>
      </c>
      <c r="M94" s="2" t="s">
        <v>119</v>
      </c>
      <c r="N94" s="4" t="str">
        <f t="shared" si="12"/>
        <v>TON</v>
      </c>
      <c r="O94" s="5">
        <v>7.7575000000000003</v>
      </c>
      <c r="Q94" t="str">
        <f t="shared" si="13"/>
        <v>MAC927YM3</v>
      </c>
      <c r="R94" t="str">
        <f t="shared" si="14"/>
        <v>Dyna Flo 9-2-7YM3</v>
      </c>
      <c r="S94" s="32">
        <f t="shared" si="15"/>
        <v>284.6674999999999</v>
      </c>
      <c r="U94" t="s">
        <v>206</v>
      </c>
      <c r="V94" s="32">
        <v>284.6674999999999</v>
      </c>
    </row>
    <row r="95" spans="2:22" x14ac:dyDescent="0.25">
      <c r="B95" s="1" t="s">
        <v>195</v>
      </c>
      <c r="C95" s="2" t="s">
        <v>196</v>
      </c>
      <c r="D95" s="2" t="s">
        <v>276</v>
      </c>
      <c r="E95" s="2" t="s">
        <v>277</v>
      </c>
      <c r="F95" s="3">
        <f t="shared" si="16"/>
        <v>44844</v>
      </c>
      <c r="G95" s="4">
        <f t="shared" si="10"/>
        <v>10</v>
      </c>
      <c r="H95" s="4">
        <f t="shared" si="11"/>
        <v>2022</v>
      </c>
      <c r="I95" s="2" t="s">
        <v>4</v>
      </c>
      <c r="J95" s="2" t="s">
        <v>278</v>
      </c>
      <c r="K95" s="2" t="s">
        <v>205</v>
      </c>
      <c r="L95" s="2" t="s">
        <v>206</v>
      </c>
      <c r="M95" s="2" t="s">
        <v>119</v>
      </c>
      <c r="N95" s="4" t="str">
        <f t="shared" si="12"/>
        <v>TON</v>
      </c>
      <c r="O95" s="5">
        <v>1.9975000000000001</v>
      </c>
      <c r="Q95" t="str">
        <f t="shared" si="13"/>
        <v>MAC927YM3</v>
      </c>
      <c r="R95" t="str">
        <f t="shared" si="14"/>
        <v>Dyna Flo 9-2-7YM3</v>
      </c>
      <c r="S95" s="32">
        <f t="shared" si="15"/>
        <v>284.6674999999999</v>
      </c>
      <c r="U95" t="s">
        <v>206</v>
      </c>
      <c r="V95" s="32">
        <v>284.6674999999999</v>
      </c>
    </row>
    <row r="96" spans="2:22" x14ac:dyDescent="0.25">
      <c r="B96" s="1" t="s">
        <v>195</v>
      </c>
      <c r="C96" s="2" t="s">
        <v>196</v>
      </c>
      <c r="D96" s="2" t="s">
        <v>248</v>
      </c>
      <c r="E96" s="2" t="s">
        <v>249</v>
      </c>
      <c r="F96" s="3">
        <f>DATE(2022,10,11)</f>
        <v>44845</v>
      </c>
      <c r="G96" s="4">
        <f t="shared" si="10"/>
        <v>10</v>
      </c>
      <c r="H96" s="4">
        <f t="shared" si="11"/>
        <v>2022</v>
      </c>
      <c r="I96" s="2" t="s">
        <v>4</v>
      </c>
      <c r="J96" s="2" t="s">
        <v>279</v>
      </c>
      <c r="K96" s="2" t="s">
        <v>251</v>
      </c>
      <c r="L96" s="2" t="s">
        <v>252</v>
      </c>
      <c r="M96" s="2" t="s">
        <v>119</v>
      </c>
      <c r="N96" s="4" t="str">
        <f t="shared" si="12"/>
        <v>TON</v>
      </c>
      <c r="O96" s="5">
        <v>15.005000000000001</v>
      </c>
      <c r="Q96" t="str">
        <f t="shared" si="13"/>
        <v>MAC528YM1</v>
      </c>
      <c r="R96" t="str">
        <f t="shared" si="14"/>
        <v>Dyna Flo 5-2-8YM1</v>
      </c>
      <c r="S96" s="32">
        <f t="shared" si="15"/>
        <v>30.005000000000003</v>
      </c>
      <c r="U96" t="s">
        <v>252</v>
      </c>
      <c r="V96" s="32">
        <v>30.005000000000003</v>
      </c>
    </row>
    <row r="97" spans="2:22" x14ac:dyDescent="0.25">
      <c r="B97" s="1" t="s">
        <v>195</v>
      </c>
      <c r="C97" s="2" t="s">
        <v>196</v>
      </c>
      <c r="D97" s="2" t="s">
        <v>280</v>
      </c>
      <c r="E97" s="2" t="s">
        <v>281</v>
      </c>
      <c r="F97" s="3">
        <f>DATE(2022,10,11)</f>
        <v>44845</v>
      </c>
      <c r="G97" s="4">
        <f t="shared" si="10"/>
        <v>10</v>
      </c>
      <c r="H97" s="4">
        <f t="shared" si="11"/>
        <v>2022</v>
      </c>
      <c r="I97" s="2" t="s">
        <v>4</v>
      </c>
      <c r="J97" s="2" t="s">
        <v>282</v>
      </c>
      <c r="K97" s="2" t="s">
        <v>117</v>
      </c>
      <c r="L97" s="2" t="s">
        <v>118</v>
      </c>
      <c r="M97" s="2" t="s">
        <v>119</v>
      </c>
      <c r="N97" s="4" t="str">
        <f t="shared" si="12"/>
        <v>TON</v>
      </c>
      <c r="O97" s="5">
        <v>15</v>
      </c>
      <c r="Q97" t="str">
        <f t="shared" si="13"/>
        <v>MAC428YM8</v>
      </c>
      <c r="R97" t="str">
        <f t="shared" si="14"/>
        <v>Dyna Flo 4-2-8YM8</v>
      </c>
      <c r="S97" s="32">
        <f t="shared" si="15"/>
        <v>517.73950000000002</v>
      </c>
      <c r="U97" t="s">
        <v>118</v>
      </c>
      <c r="V97" s="32">
        <v>517.73950000000002</v>
      </c>
    </row>
    <row r="98" spans="2:22" x14ac:dyDescent="0.25">
      <c r="B98" s="6" t="s">
        <v>195</v>
      </c>
      <c r="C98" s="7" t="s">
        <v>196</v>
      </c>
      <c r="D98" s="8" t="s">
        <v>283</v>
      </c>
      <c r="E98" s="8" t="s">
        <v>102</v>
      </c>
      <c r="F98" s="9">
        <f>DATE(2022,10,11)</f>
        <v>44845</v>
      </c>
      <c r="G98" s="10">
        <f t="shared" si="10"/>
        <v>10</v>
      </c>
      <c r="H98" s="10">
        <f t="shared" si="11"/>
        <v>2022</v>
      </c>
      <c r="I98" s="8" t="s">
        <v>4</v>
      </c>
      <c r="J98" s="7" t="s">
        <v>284</v>
      </c>
      <c r="K98" s="8" t="s">
        <v>230</v>
      </c>
      <c r="L98" s="8" t="s">
        <v>231</v>
      </c>
      <c r="M98" s="8" t="s">
        <v>119</v>
      </c>
      <c r="N98" s="10" t="str">
        <f t="shared" si="12"/>
        <v>TON</v>
      </c>
      <c r="O98" s="11">
        <v>0.27500000000000002</v>
      </c>
      <c r="Q98" t="str">
        <f t="shared" si="13"/>
        <v>MAC2510XD</v>
      </c>
      <c r="R98" t="str">
        <f t="shared" si="14"/>
        <v>Dyna Flo 2-5-10 XD</v>
      </c>
      <c r="S98" s="32">
        <f t="shared" si="15"/>
        <v>5.5250000000000004</v>
      </c>
      <c r="U98" t="s">
        <v>231</v>
      </c>
      <c r="V98" s="32">
        <v>5.5250000000000004</v>
      </c>
    </row>
    <row r="99" spans="2:22" x14ac:dyDescent="0.25">
      <c r="B99" s="1" t="s">
        <v>195</v>
      </c>
      <c r="C99" s="2" t="s">
        <v>196</v>
      </c>
      <c r="D99" s="2" t="s">
        <v>285</v>
      </c>
      <c r="E99" s="2" t="s">
        <v>274</v>
      </c>
      <c r="F99" s="3">
        <f>DATE(2022,10,11)</f>
        <v>44845</v>
      </c>
      <c r="G99" s="4">
        <f t="shared" si="10"/>
        <v>10</v>
      </c>
      <c r="H99" s="4">
        <f t="shared" si="11"/>
        <v>2022</v>
      </c>
      <c r="I99" s="2" t="s">
        <v>4</v>
      </c>
      <c r="J99" s="2" t="s">
        <v>286</v>
      </c>
      <c r="K99" s="2" t="s">
        <v>287</v>
      </c>
      <c r="L99" s="2" t="s">
        <v>288</v>
      </c>
      <c r="M99" s="2" t="s">
        <v>119</v>
      </c>
      <c r="N99" s="4" t="str">
        <f t="shared" si="12"/>
        <v>TON</v>
      </c>
      <c r="O99" s="5">
        <v>5</v>
      </c>
      <c r="Q99" t="str">
        <f t="shared" si="13"/>
        <v>MAC1046YM</v>
      </c>
      <c r="R99" t="str">
        <f t="shared" si="14"/>
        <v>Dyna Flo 10-4-6 YM</v>
      </c>
      <c r="S99" s="32">
        <f t="shared" si="15"/>
        <v>5</v>
      </c>
      <c r="U99" t="s">
        <v>288</v>
      </c>
      <c r="V99" s="32">
        <v>5</v>
      </c>
    </row>
    <row r="100" spans="2:22" x14ac:dyDescent="0.25">
      <c r="B100" s="1" t="s">
        <v>195</v>
      </c>
      <c r="C100" s="2" t="s">
        <v>196</v>
      </c>
      <c r="D100" s="2" t="s">
        <v>289</v>
      </c>
      <c r="E100" s="2" t="s">
        <v>290</v>
      </c>
      <c r="F100" s="3">
        <f>DATE(2022,10,11)</f>
        <v>44845</v>
      </c>
      <c r="G100" s="4">
        <f t="shared" si="10"/>
        <v>10</v>
      </c>
      <c r="H100" s="4">
        <f t="shared" si="11"/>
        <v>2022</v>
      </c>
      <c r="I100" s="2" t="s">
        <v>4</v>
      </c>
      <c r="J100" s="2" t="s">
        <v>291</v>
      </c>
      <c r="K100" s="2" t="s">
        <v>292</v>
      </c>
      <c r="L100" s="2" t="s">
        <v>293</v>
      </c>
      <c r="M100" s="2" t="s">
        <v>119</v>
      </c>
      <c r="N100" s="4" t="str">
        <f t="shared" si="12"/>
        <v>TON</v>
      </c>
      <c r="O100" s="5">
        <v>2</v>
      </c>
      <c r="Q100" t="str">
        <f t="shared" si="13"/>
        <v>MAC608YB5</v>
      </c>
      <c r="R100" t="str">
        <f t="shared" si="14"/>
        <v>Dyna Flo 6-0-8 YB5</v>
      </c>
      <c r="S100" s="32">
        <f t="shared" si="15"/>
        <v>78.175000000000011</v>
      </c>
      <c r="U100" t="s">
        <v>293</v>
      </c>
      <c r="V100" s="32">
        <v>78.175000000000011</v>
      </c>
    </row>
    <row r="101" spans="2:22" x14ac:dyDescent="0.25">
      <c r="B101" s="1" t="s">
        <v>195</v>
      </c>
      <c r="C101" s="2" t="s">
        <v>196</v>
      </c>
      <c r="D101" s="2" t="s">
        <v>294</v>
      </c>
      <c r="E101" s="2" t="s">
        <v>295</v>
      </c>
      <c r="F101" s="3">
        <f>DATE(2022,10,12)</f>
        <v>44846</v>
      </c>
      <c r="G101" s="4">
        <f t="shared" si="10"/>
        <v>10</v>
      </c>
      <c r="H101" s="4">
        <f t="shared" si="11"/>
        <v>2022</v>
      </c>
      <c r="I101" s="2" t="s">
        <v>4</v>
      </c>
      <c r="J101" s="2" t="s">
        <v>296</v>
      </c>
      <c r="K101" s="2" t="s">
        <v>122</v>
      </c>
      <c r="L101" s="2" t="s">
        <v>123</v>
      </c>
      <c r="M101" s="2" t="s">
        <v>119</v>
      </c>
      <c r="N101" s="4" t="str">
        <f t="shared" si="12"/>
        <v>TON</v>
      </c>
      <c r="O101" s="5">
        <v>7.4924999999999997</v>
      </c>
      <c r="Q101" t="str">
        <f t="shared" si="13"/>
        <v>MAC528YZ</v>
      </c>
      <c r="R101" t="str">
        <f t="shared" si="14"/>
        <v>Dyna Flo 5-2-8 YZ</v>
      </c>
      <c r="S101" s="32">
        <f t="shared" si="15"/>
        <v>395.40750000000003</v>
      </c>
      <c r="U101" t="s">
        <v>123</v>
      </c>
      <c r="V101" s="32">
        <v>395.40750000000003</v>
      </c>
    </row>
    <row r="102" spans="2:22" x14ac:dyDescent="0.25">
      <c r="B102" s="1" t="s">
        <v>195</v>
      </c>
      <c r="C102" s="2" t="s">
        <v>196</v>
      </c>
      <c r="D102" s="2" t="s">
        <v>285</v>
      </c>
      <c r="E102" s="2" t="s">
        <v>297</v>
      </c>
      <c r="F102" s="3">
        <f>DATE(2022,10,13)</f>
        <v>44847</v>
      </c>
      <c r="G102" s="4">
        <f t="shared" si="10"/>
        <v>10</v>
      </c>
      <c r="H102" s="4">
        <f t="shared" si="11"/>
        <v>2022</v>
      </c>
      <c r="I102" s="2" t="s">
        <v>4</v>
      </c>
      <c r="J102" s="2" t="s">
        <v>298</v>
      </c>
      <c r="K102" s="2" t="s">
        <v>205</v>
      </c>
      <c r="L102" s="2" t="s">
        <v>206</v>
      </c>
      <c r="M102" s="2" t="s">
        <v>119</v>
      </c>
      <c r="N102" s="4" t="str">
        <f t="shared" si="12"/>
        <v>TON</v>
      </c>
      <c r="O102" s="5">
        <v>11.9975</v>
      </c>
      <c r="Q102" t="str">
        <f t="shared" si="13"/>
        <v>MAC927YM3</v>
      </c>
      <c r="R102" t="str">
        <f t="shared" si="14"/>
        <v>Dyna Flo 9-2-7YM3</v>
      </c>
      <c r="S102" s="32">
        <f t="shared" si="15"/>
        <v>284.6674999999999</v>
      </c>
      <c r="U102" t="s">
        <v>206</v>
      </c>
      <c r="V102" s="32">
        <v>284.6674999999999</v>
      </c>
    </row>
    <row r="103" spans="2:22" x14ac:dyDescent="0.25">
      <c r="B103" s="1" t="s">
        <v>195</v>
      </c>
      <c r="C103" s="2" t="s">
        <v>196</v>
      </c>
      <c r="D103" s="2" t="s">
        <v>299</v>
      </c>
      <c r="E103" s="2" t="s">
        <v>300</v>
      </c>
      <c r="F103" s="3">
        <f>DATE(2022,10,13)</f>
        <v>44847</v>
      </c>
      <c r="G103" s="4">
        <f t="shared" si="10"/>
        <v>10</v>
      </c>
      <c r="H103" s="4">
        <f t="shared" si="11"/>
        <v>2022</v>
      </c>
      <c r="I103" s="2" t="s">
        <v>4</v>
      </c>
      <c r="J103" s="2" t="s">
        <v>301</v>
      </c>
      <c r="K103" s="2" t="s">
        <v>117</v>
      </c>
      <c r="L103" s="2" t="s">
        <v>118</v>
      </c>
      <c r="M103" s="2" t="s">
        <v>119</v>
      </c>
      <c r="N103" s="4" t="str">
        <f t="shared" si="12"/>
        <v>TON</v>
      </c>
      <c r="O103" s="5">
        <v>1.5</v>
      </c>
      <c r="Q103" t="str">
        <f t="shared" si="13"/>
        <v>MAC428YM8</v>
      </c>
      <c r="R103" t="str">
        <f t="shared" si="14"/>
        <v>Dyna Flo 4-2-8YM8</v>
      </c>
      <c r="S103" s="32">
        <f t="shared" si="15"/>
        <v>517.73950000000002</v>
      </c>
      <c r="U103" t="s">
        <v>118</v>
      </c>
      <c r="V103" s="32">
        <v>517.73950000000002</v>
      </c>
    </row>
    <row r="104" spans="2:22" x14ac:dyDescent="0.25">
      <c r="B104" s="1" t="s">
        <v>195</v>
      </c>
      <c r="C104" s="2" t="s">
        <v>196</v>
      </c>
      <c r="D104" s="2" t="s">
        <v>299</v>
      </c>
      <c r="E104" s="2" t="s">
        <v>300</v>
      </c>
      <c r="F104" s="3">
        <f>DATE(2022,10,13)</f>
        <v>44847</v>
      </c>
      <c r="G104" s="4">
        <f t="shared" si="10"/>
        <v>10</v>
      </c>
      <c r="H104" s="4">
        <f t="shared" si="11"/>
        <v>2022</v>
      </c>
      <c r="I104" s="2" t="s">
        <v>4</v>
      </c>
      <c r="J104" s="2" t="s">
        <v>302</v>
      </c>
      <c r="K104" s="2" t="s">
        <v>117</v>
      </c>
      <c r="L104" s="2" t="s">
        <v>118</v>
      </c>
      <c r="M104" s="2" t="s">
        <v>119</v>
      </c>
      <c r="N104" s="4" t="str">
        <f t="shared" si="12"/>
        <v>TON</v>
      </c>
      <c r="O104" s="5">
        <v>3.9874999999999998</v>
      </c>
      <c r="Q104" t="str">
        <f t="shared" si="13"/>
        <v>MAC428YM8</v>
      </c>
      <c r="R104" t="str">
        <f t="shared" si="14"/>
        <v>Dyna Flo 4-2-8YM8</v>
      </c>
      <c r="S104" s="32">
        <f t="shared" si="15"/>
        <v>517.73950000000002</v>
      </c>
      <c r="U104" t="s">
        <v>118</v>
      </c>
      <c r="V104" s="32">
        <v>517.73950000000002</v>
      </c>
    </row>
    <row r="105" spans="2:22" x14ac:dyDescent="0.25">
      <c r="B105" s="1" t="s">
        <v>195</v>
      </c>
      <c r="C105" s="2" t="s">
        <v>196</v>
      </c>
      <c r="D105" s="2" t="s">
        <v>303</v>
      </c>
      <c r="E105" s="2" t="s">
        <v>304</v>
      </c>
      <c r="F105" s="3">
        <f>DATE(2022,10,13)</f>
        <v>44847</v>
      </c>
      <c r="G105" s="4">
        <f t="shared" si="10"/>
        <v>10</v>
      </c>
      <c r="H105" s="4">
        <f t="shared" si="11"/>
        <v>2022</v>
      </c>
      <c r="I105" s="2" t="s">
        <v>4</v>
      </c>
      <c r="J105" s="2" t="s">
        <v>305</v>
      </c>
      <c r="K105" s="2" t="s">
        <v>122</v>
      </c>
      <c r="L105" s="2" t="s">
        <v>123</v>
      </c>
      <c r="M105" s="2" t="s">
        <v>119</v>
      </c>
      <c r="N105" s="4" t="str">
        <f t="shared" si="12"/>
        <v>TON</v>
      </c>
      <c r="O105" s="5">
        <v>5</v>
      </c>
      <c r="Q105" t="str">
        <f t="shared" si="13"/>
        <v>MAC528YZ</v>
      </c>
      <c r="R105" t="str">
        <f t="shared" si="14"/>
        <v>Dyna Flo 5-2-8 YZ</v>
      </c>
      <c r="S105" s="32">
        <f t="shared" si="15"/>
        <v>395.40750000000003</v>
      </c>
      <c r="U105" t="s">
        <v>123</v>
      </c>
      <c r="V105" s="32">
        <v>395.40750000000003</v>
      </c>
    </row>
    <row r="106" spans="2:22" x14ac:dyDescent="0.25">
      <c r="B106" s="1" t="s">
        <v>195</v>
      </c>
      <c r="C106" s="2" t="s">
        <v>196</v>
      </c>
      <c r="D106" s="2" t="s">
        <v>197</v>
      </c>
      <c r="E106" s="2" t="s">
        <v>198</v>
      </c>
      <c r="F106" s="3">
        <f>DATE(2022,10,13)</f>
        <v>44847</v>
      </c>
      <c r="G106" s="4">
        <f t="shared" si="10"/>
        <v>10</v>
      </c>
      <c r="H106" s="4">
        <f t="shared" si="11"/>
        <v>2022</v>
      </c>
      <c r="I106" s="2" t="s">
        <v>4</v>
      </c>
      <c r="J106" s="2" t="s">
        <v>306</v>
      </c>
      <c r="K106" s="2" t="s">
        <v>307</v>
      </c>
      <c r="L106" s="2" t="s">
        <v>308</v>
      </c>
      <c r="M106" s="2" t="s">
        <v>119</v>
      </c>
      <c r="N106" s="4" t="str">
        <f t="shared" si="12"/>
        <v>TON</v>
      </c>
      <c r="O106" s="5">
        <v>4.5</v>
      </c>
      <c r="Q106" t="str">
        <f t="shared" si="13"/>
        <v>MAC628YM8M</v>
      </c>
      <c r="R106" t="str">
        <f t="shared" si="14"/>
        <v>Dyna Flo 6-2-8YM8M w/Merge</v>
      </c>
      <c r="S106" s="32">
        <f t="shared" si="15"/>
        <v>19.502500000000001</v>
      </c>
      <c r="U106" t="s">
        <v>308</v>
      </c>
      <c r="V106" s="32">
        <v>19.502500000000001</v>
      </c>
    </row>
    <row r="107" spans="2:22" x14ac:dyDescent="0.25">
      <c r="B107" s="1" t="s">
        <v>195</v>
      </c>
      <c r="C107" s="2" t="s">
        <v>196</v>
      </c>
      <c r="D107" s="2" t="s">
        <v>241</v>
      </c>
      <c r="E107" s="2" t="s">
        <v>242</v>
      </c>
      <c r="F107" s="3">
        <f t="shared" ref="F107:F112" si="17">DATE(2022,10,14)</f>
        <v>44848</v>
      </c>
      <c r="G107" s="4">
        <f t="shared" si="10"/>
        <v>10</v>
      </c>
      <c r="H107" s="4">
        <f t="shared" si="11"/>
        <v>2022</v>
      </c>
      <c r="I107" s="2" t="s">
        <v>4</v>
      </c>
      <c r="J107" s="2" t="s">
        <v>309</v>
      </c>
      <c r="K107" s="2" t="s">
        <v>246</v>
      </c>
      <c r="L107" s="2" t="s">
        <v>247</v>
      </c>
      <c r="M107" s="2" t="s">
        <v>119</v>
      </c>
      <c r="N107" s="4" t="str">
        <f t="shared" si="12"/>
        <v>TON</v>
      </c>
      <c r="O107" s="5">
        <v>0.3</v>
      </c>
      <c r="Q107" t="str">
        <f t="shared" si="13"/>
        <v>MAC425YM</v>
      </c>
      <c r="R107" t="str">
        <f t="shared" si="14"/>
        <v>Dyna Flo 4-2-5YM</v>
      </c>
      <c r="S107" s="32">
        <f t="shared" si="15"/>
        <v>0.32500000000000001</v>
      </c>
      <c r="U107" t="s">
        <v>247</v>
      </c>
      <c r="V107" s="32">
        <v>0.32500000000000001</v>
      </c>
    </row>
    <row r="108" spans="2:22" x14ac:dyDescent="0.25">
      <c r="B108" s="1" t="s">
        <v>195</v>
      </c>
      <c r="C108" s="2" t="s">
        <v>196</v>
      </c>
      <c r="D108" s="2" t="s">
        <v>310</v>
      </c>
      <c r="E108" s="2" t="s">
        <v>311</v>
      </c>
      <c r="F108" s="3">
        <f t="shared" si="17"/>
        <v>44848</v>
      </c>
      <c r="G108" s="4">
        <f t="shared" si="10"/>
        <v>10</v>
      </c>
      <c r="H108" s="4">
        <f t="shared" si="11"/>
        <v>2022</v>
      </c>
      <c r="I108" s="2" t="s">
        <v>4</v>
      </c>
      <c r="J108" s="2" t="s">
        <v>312</v>
      </c>
      <c r="K108" s="2" t="s">
        <v>205</v>
      </c>
      <c r="L108" s="2" t="s">
        <v>206</v>
      </c>
      <c r="M108" s="2" t="s">
        <v>119</v>
      </c>
      <c r="N108" s="4" t="str">
        <f t="shared" si="12"/>
        <v>TON</v>
      </c>
      <c r="O108" s="5">
        <v>1.5</v>
      </c>
      <c r="Q108" t="str">
        <f t="shared" si="13"/>
        <v>MAC927YM3</v>
      </c>
      <c r="R108" t="str">
        <f t="shared" si="14"/>
        <v>Dyna Flo 9-2-7YM3</v>
      </c>
      <c r="S108" s="32">
        <f t="shared" si="15"/>
        <v>284.6674999999999</v>
      </c>
      <c r="U108" t="s">
        <v>206</v>
      </c>
      <c r="V108" s="32">
        <v>284.6674999999999</v>
      </c>
    </row>
    <row r="109" spans="2:22" x14ac:dyDescent="0.25">
      <c r="B109" s="1" t="s">
        <v>195</v>
      </c>
      <c r="C109" s="2" t="s">
        <v>196</v>
      </c>
      <c r="D109" s="2" t="s">
        <v>215</v>
      </c>
      <c r="E109" s="2" t="s">
        <v>313</v>
      </c>
      <c r="F109" s="3">
        <f t="shared" si="17"/>
        <v>44848</v>
      </c>
      <c r="G109" s="4">
        <f t="shared" si="10"/>
        <v>10</v>
      </c>
      <c r="H109" s="4">
        <f t="shared" si="11"/>
        <v>2022</v>
      </c>
      <c r="I109" s="2" t="s">
        <v>4</v>
      </c>
      <c r="J109" s="2" t="s">
        <v>314</v>
      </c>
      <c r="K109" s="2" t="s">
        <v>205</v>
      </c>
      <c r="L109" s="2" t="s">
        <v>206</v>
      </c>
      <c r="M109" s="2" t="s">
        <v>119</v>
      </c>
      <c r="N109" s="4" t="str">
        <f t="shared" si="12"/>
        <v>TON</v>
      </c>
      <c r="O109" s="5">
        <v>3.7450000000000001</v>
      </c>
      <c r="Q109" t="str">
        <f t="shared" si="13"/>
        <v>MAC927YM3</v>
      </c>
      <c r="R109" t="str">
        <f t="shared" si="14"/>
        <v>Dyna Flo 9-2-7YM3</v>
      </c>
      <c r="S109" s="32">
        <f t="shared" si="15"/>
        <v>284.6674999999999</v>
      </c>
      <c r="U109" t="s">
        <v>206</v>
      </c>
      <c r="V109" s="32">
        <v>284.6674999999999</v>
      </c>
    </row>
    <row r="110" spans="2:22" x14ac:dyDescent="0.25">
      <c r="B110" s="1" t="s">
        <v>195</v>
      </c>
      <c r="C110" s="2" t="s">
        <v>196</v>
      </c>
      <c r="D110" s="2" t="s">
        <v>215</v>
      </c>
      <c r="E110" s="2" t="s">
        <v>315</v>
      </c>
      <c r="F110" s="3">
        <f t="shared" si="17"/>
        <v>44848</v>
      </c>
      <c r="G110" s="4">
        <f t="shared" si="10"/>
        <v>10</v>
      </c>
      <c r="H110" s="4">
        <f t="shared" si="11"/>
        <v>2022</v>
      </c>
      <c r="I110" s="2" t="s">
        <v>4</v>
      </c>
      <c r="J110" s="2" t="s">
        <v>316</v>
      </c>
      <c r="K110" s="2" t="s">
        <v>205</v>
      </c>
      <c r="L110" s="2" t="s">
        <v>206</v>
      </c>
      <c r="M110" s="2" t="s">
        <v>119</v>
      </c>
      <c r="N110" s="4" t="str">
        <f t="shared" si="12"/>
        <v>TON</v>
      </c>
      <c r="O110" s="5">
        <v>4.0175000000000001</v>
      </c>
      <c r="Q110" t="str">
        <f t="shared" si="13"/>
        <v>MAC927YM3</v>
      </c>
      <c r="R110" t="str">
        <f t="shared" si="14"/>
        <v>Dyna Flo 9-2-7YM3</v>
      </c>
      <c r="S110" s="32">
        <f t="shared" si="15"/>
        <v>284.6674999999999</v>
      </c>
      <c r="U110" t="s">
        <v>206</v>
      </c>
      <c r="V110" s="32">
        <v>284.6674999999999</v>
      </c>
    </row>
    <row r="111" spans="2:22" x14ac:dyDescent="0.25">
      <c r="B111" s="1" t="s">
        <v>195</v>
      </c>
      <c r="C111" s="2" t="s">
        <v>196</v>
      </c>
      <c r="D111" s="2" t="s">
        <v>317</v>
      </c>
      <c r="E111" s="2" t="s">
        <v>254</v>
      </c>
      <c r="F111" s="3">
        <f t="shared" si="17"/>
        <v>44848</v>
      </c>
      <c r="G111" s="4">
        <f t="shared" si="10"/>
        <v>10</v>
      </c>
      <c r="H111" s="4">
        <f t="shared" si="11"/>
        <v>2022</v>
      </c>
      <c r="I111" s="2" t="s">
        <v>4</v>
      </c>
      <c r="J111" s="2" t="s">
        <v>318</v>
      </c>
      <c r="K111" s="2" t="s">
        <v>117</v>
      </c>
      <c r="L111" s="2" t="s">
        <v>118</v>
      </c>
      <c r="M111" s="2" t="s">
        <v>119</v>
      </c>
      <c r="N111" s="4" t="str">
        <f t="shared" si="12"/>
        <v>TON</v>
      </c>
      <c r="O111" s="5">
        <v>5</v>
      </c>
      <c r="Q111" t="str">
        <f t="shared" si="13"/>
        <v>MAC428YM8</v>
      </c>
      <c r="R111" t="str">
        <f t="shared" si="14"/>
        <v>Dyna Flo 4-2-8YM8</v>
      </c>
      <c r="S111" s="32">
        <f t="shared" si="15"/>
        <v>517.73950000000002</v>
      </c>
      <c r="U111" t="s">
        <v>118</v>
      </c>
      <c r="V111" s="32">
        <v>517.73950000000002</v>
      </c>
    </row>
    <row r="112" spans="2:22" x14ac:dyDescent="0.25">
      <c r="B112" s="1" t="s">
        <v>195</v>
      </c>
      <c r="C112" s="2" t="s">
        <v>196</v>
      </c>
      <c r="D112" s="2" t="s">
        <v>317</v>
      </c>
      <c r="E112" s="2" t="s">
        <v>319</v>
      </c>
      <c r="F112" s="3">
        <f t="shared" si="17"/>
        <v>44848</v>
      </c>
      <c r="G112" s="4">
        <f t="shared" si="10"/>
        <v>10</v>
      </c>
      <c r="H112" s="4">
        <f t="shared" si="11"/>
        <v>2022</v>
      </c>
      <c r="I112" s="2" t="s">
        <v>4</v>
      </c>
      <c r="J112" s="2" t="s">
        <v>320</v>
      </c>
      <c r="K112" s="2" t="s">
        <v>117</v>
      </c>
      <c r="L112" s="2" t="s">
        <v>118</v>
      </c>
      <c r="M112" s="2" t="s">
        <v>119</v>
      </c>
      <c r="N112" s="4" t="str">
        <f t="shared" si="12"/>
        <v>TON</v>
      </c>
      <c r="O112" s="5">
        <v>2.5</v>
      </c>
      <c r="Q112" t="str">
        <f t="shared" si="13"/>
        <v>MAC428YM8</v>
      </c>
      <c r="R112" t="str">
        <f t="shared" si="14"/>
        <v>Dyna Flo 4-2-8YM8</v>
      </c>
      <c r="S112" s="32">
        <f t="shared" si="15"/>
        <v>517.73950000000002</v>
      </c>
      <c r="U112" t="s">
        <v>118</v>
      </c>
      <c r="V112" s="32">
        <v>517.73950000000002</v>
      </c>
    </row>
    <row r="113" spans="2:22" x14ac:dyDescent="0.25">
      <c r="B113" s="1" t="s">
        <v>195</v>
      </c>
      <c r="C113" s="2" t="s">
        <v>196</v>
      </c>
      <c r="D113" s="2" t="s">
        <v>321</v>
      </c>
      <c r="E113" s="2" t="s">
        <v>322</v>
      </c>
      <c r="F113" s="3">
        <f>DATE(2022,10,17)</f>
        <v>44851</v>
      </c>
      <c r="G113" s="4">
        <f t="shared" si="10"/>
        <v>10</v>
      </c>
      <c r="H113" s="4">
        <f t="shared" si="11"/>
        <v>2022</v>
      </c>
      <c r="I113" s="2" t="s">
        <v>4</v>
      </c>
      <c r="J113" s="2" t="s">
        <v>323</v>
      </c>
      <c r="K113" s="2" t="s">
        <v>324</v>
      </c>
      <c r="L113" s="2" t="s">
        <v>325</v>
      </c>
      <c r="M113" s="2" t="s">
        <v>119</v>
      </c>
      <c r="N113" s="4" t="str">
        <f t="shared" si="12"/>
        <v>TON</v>
      </c>
      <c r="O113" s="5">
        <v>5</v>
      </c>
      <c r="Q113" t="str">
        <f t="shared" si="13"/>
        <v>MAC737YM</v>
      </c>
      <c r="R113" t="str">
        <f t="shared" si="14"/>
        <v>Dyna Flo 7-3-7 YM</v>
      </c>
      <c r="S113" s="32">
        <f t="shared" si="15"/>
        <v>99.21250000000002</v>
      </c>
      <c r="U113" t="s">
        <v>325</v>
      </c>
      <c r="V113" s="32">
        <v>99.21250000000002</v>
      </c>
    </row>
    <row r="114" spans="2:22" x14ac:dyDescent="0.25">
      <c r="B114" s="1" t="s">
        <v>195</v>
      </c>
      <c r="C114" s="2" t="s">
        <v>196</v>
      </c>
      <c r="D114" s="2" t="s">
        <v>326</v>
      </c>
      <c r="E114" s="2" t="s">
        <v>327</v>
      </c>
      <c r="F114" s="3">
        <f>DATE(2022,10,17)</f>
        <v>44851</v>
      </c>
      <c r="G114" s="4">
        <f t="shared" si="10"/>
        <v>10</v>
      </c>
      <c r="H114" s="4">
        <f t="shared" si="11"/>
        <v>2022</v>
      </c>
      <c r="I114" s="2" t="s">
        <v>4</v>
      </c>
      <c r="J114" s="2" t="s">
        <v>328</v>
      </c>
      <c r="K114" s="2" t="s">
        <v>329</v>
      </c>
      <c r="L114" s="2" t="s">
        <v>330</v>
      </c>
      <c r="M114" s="2" t="s">
        <v>119</v>
      </c>
      <c r="N114" s="4" t="str">
        <f t="shared" si="12"/>
        <v>TON</v>
      </c>
      <c r="O114" s="5">
        <v>2.5049999999999999</v>
      </c>
      <c r="Q114" t="str">
        <f t="shared" si="13"/>
        <v>MAC628YM8</v>
      </c>
      <c r="R114" t="str">
        <f t="shared" si="14"/>
        <v>Dyna Flo 6-2-8YM8</v>
      </c>
      <c r="S114" s="32">
        <f t="shared" si="15"/>
        <v>247.51499999999996</v>
      </c>
      <c r="U114" t="s">
        <v>330</v>
      </c>
      <c r="V114" s="32">
        <v>247.51499999999996</v>
      </c>
    </row>
    <row r="115" spans="2:22" x14ac:dyDescent="0.25">
      <c r="B115" s="1" t="s">
        <v>195</v>
      </c>
      <c r="C115" s="2" t="s">
        <v>196</v>
      </c>
      <c r="D115" s="2" t="s">
        <v>331</v>
      </c>
      <c r="E115" s="2" t="s">
        <v>332</v>
      </c>
      <c r="F115" s="3">
        <f>DATE(2022,10,17)</f>
        <v>44851</v>
      </c>
      <c r="G115" s="4">
        <f t="shared" si="10"/>
        <v>10</v>
      </c>
      <c r="H115" s="4">
        <f t="shared" si="11"/>
        <v>2022</v>
      </c>
      <c r="I115" s="2" t="s">
        <v>4</v>
      </c>
      <c r="J115" s="2" t="s">
        <v>333</v>
      </c>
      <c r="K115" s="2" t="s">
        <v>334</v>
      </c>
      <c r="L115" s="2" t="s">
        <v>335</v>
      </c>
      <c r="M115" s="2" t="s">
        <v>119</v>
      </c>
      <c r="N115" s="4" t="str">
        <f t="shared" si="12"/>
        <v>TON</v>
      </c>
      <c r="O115" s="5">
        <v>10</v>
      </c>
      <c r="Q115" t="str">
        <f t="shared" si="13"/>
        <v>MAC628YZ1</v>
      </c>
      <c r="R115" t="str">
        <f t="shared" si="14"/>
        <v>Dyna Flo 6-2-8YZ1</v>
      </c>
      <c r="S115" s="32">
        <f t="shared" si="15"/>
        <v>68.62</v>
      </c>
      <c r="U115" t="s">
        <v>335</v>
      </c>
      <c r="V115" s="32">
        <v>68.62</v>
      </c>
    </row>
    <row r="116" spans="2:22" x14ac:dyDescent="0.25">
      <c r="B116" s="1" t="s">
        <v>195</v>
      </c>
      <c r="C116" s="2" t="s">
        <v>196</v>
      </c>
      <c r="D116" s="2" t="s">
        <v>114</v>
      </c>
      <c r="E116" s="2" t="s">
        <v>336</v>
      </c>
      <c r="F116" s="3">
        <f>DATE(2022,10,17)</f>
        <v>44851</v>
      </c>
      <c r="G116" s="4">
        <f t="shared" si="10"/>
        <v>10</v>
      </c>
      <c r="H116" s="4">
        <f t="shared" si="11"/>
        <v>2022</v>
      </c>
      <c r="I116" s="2" t="s">
        <v>4</v>
      </c>
      <c r="J116" s="2" t="s">
        <v>337</v>
      </c>
      <c r="K116" s="2" t="s">
        <v>117</v>
      </c>
      <c r="L116" s="2" t="s">
        <v>118</v>
      </c>
      <c r="M116" s="2" t="s">
        <v>119</v>
      </c>
      <c r="N116" s="4" t="str">
        <f t="shared" si="12"/>
        <v>TON</v>
      </c>
      <c r="O116" s="5">
        <v>4.01</v>
      </c>
      <c r="Q116" t="str">
        <f t="shared" si="13"/>
        <v>MAC428YM8</v>
      </c>
      <c r="R116" t="str">
        <f t="shared" si="14"/>
        <v>Dyna Flo 4-2-8YM8</v>
      </c>
      <c r="S116" s="32">
        <f t="shared" si="15"/>
        <v>517.73950000000002</v>
      </c>
      <c r="U116" t="s">
        <v>118</v>
      </c>
      <c r="V116" s="32">
        <v>517.73950000000002</v>
      </c>
    </row>
    <row r="117" spans="2:22" x14ac:dyDescent="0.25">
      <c r="B117" s="1" t="s">
        <v>195</v>
      </c>
      <c r="C117" s="2" t="s">
        <v>196</v>
      </c>
      <c r="D117" s="2" t="s">
        <v>248</v>
      </c>
      <c r="E117" s="2" t="s">
        <v>249</v>
      </c>
      <c r="F117" s="3">
        <f t="shared" ref="F117:F123" si="18">DATE(2022,10,18)</f>
        <v>44852</v>
      </c>
      <c r="G117" s="4">
        <f t="shared" si="10"/>
        <v>10</v>
      </c>
      <c r="H117" s="4">
        <f t="shared" si="11"/>
        <v>2022</v>
      </c>
      <c r="I117" s="2" t="s">
        <v>4</v>
      </c>
      <c r="J117" s="2" t="s">
        <v>338</v>
      </c>
      <c r="K117" s="2" t="s">
        <v>339</v>
      </c>
      <c r="L117" s="2" t="s">
        <v>340</v>
      </c>
      <c r="M117" s="2" t="s">
        <v>119</v>
      </c>
      <c r="N117" s="4" t="str">
        <f t="shared" si="12"/>
        <v>TON</v>
      </c>
      <c r="O117" s="5">
        <v>15</v>
      </c>
      <c r="Q117" t="str">
        <f t="shared" si="13"/>
        <v>MAC523YP1</v>
      </c>
      <c r="R117" t="str">
        <f t="shared" si="14"/>
        <v>Dyna Flo 5-2-3 YP1</v>
      </c>
      <c r="S117" s="32">
        <f t="shared" si="15"/>
        <v>58.015000000000001</v>
      </c>
      <c r="U117" t="s">
        <v>340</v>
      </c>
      <c r="V117" s="32">
        <v>58.015000000000001</v>
      </c>
    </row>
    <row r="118" spans="2:22" x14ac:dyDescent="0.25">
      <c r="B118" s="1" t="s">
        <v>195</v>
      </c>
      <c r="C118" s="2" t="s">
        <v>196</v>
      </c>
      <c r="D118" s="2" t="s">
        <v>341</v>
      </c>
      <c r="E118" s="2" t="s">
        <v>91</v>
      </c>
      <c r="F118" s="3">
        <f t="shared" si="18"/>
        <v>44852</v>
      </c>
      <c r="G118" s="4">
        <f t="shared" si="10"/>
        <v>10</v>
      </c>
      <c r="H118" s="4">
        <f t="shared" si="11"/>
        <v>2022</v>
      </c>
      <c r="I118" s="2" t="s">
        <v>4</v>
      </c>
      <c r="J118" s="2" t="s">
        <v>342</v>
      </c>
      <c r="K118" s="2" t="s">
        <v>268</v>
      </c>
      <c r="L118" s="2" t="s">
        <v>269</v>
      </c>
      <c r="M118" s="2" t="s">
        <v>119</v>
      </c>
      <c r="N118" s="4" t="str">
        <f t="shared" si="12"/>
        <v>TON</v>
      </c>
      <c r="O118" s="5">
        <v>2.5000000000000001E-2</v>
      </c>
      <c r="Q118" t="str">
        <f t="shared" si="13"/>
        <v>MAC927YM1</v>
      </c>
      <c r="R118" t="str">
        <f t="shared" si="14"/>
        <v>Dyna Flo 9-2-7YM1</v>
      </c>
      <c r="S118" s="32">
        <f t="shared" si="15"/>
        <v>2.5249999999999995</v>
      </c>
      <c r="U118" t="s">
        <v>269</v>
      </c>
      <c r="V118" s="32">
        <v>2.5249999999999995</v>
      </c>
    </row>
    <row r="119" spans="2:22" x14ac:dyDescent="0.25">
      <c r="B119" s="6" t="s">
        <v>195</v>
      </c>
      <c r="C119" s="7" t="s">
        <v>196</v>
      </c>
      <c r="D119" s="8" t="s">
        <v>341</v>
      </c>
      <c r="E119" s="8" t="s">
        <v>91</v>
      </c>
      <c r="F119" s="9">
        <f t="shared" si="18"/>
        <v>44852</v>
      </c>
      <c r="G119" s="10">
        <f t="shared" si="10"/>
        <v>10</v>
      </c>
      <c r="H119" s="10">
        <f t="shared" si="11"/>
        <v>2022</v>
      </c>
      <c r="I119" s="8" t="s">
        <v>4</v>
      </c>
      <c r="J119" s="7" t="s">
        <v>343</v>
      </c>
      <c r="K119" s="8" t="s">
        <v>344</v>
      </c>
      <c r="L119" s="8" t="s">
        <v>345</v>
      </c>
      <c r="M119" s="8" t="s">
        <v>346</v>
      </c>
      <c r="N119" s="10" t="str">
        <f t="shared" si="12"/>
        <v>GAL</v>
      </c>
      <c r="O119" s="11">
        <v>50</v>
      </c>
      <c r="Q119" t="str">
        <f t="shared" si="13"/>
        <v>FLO150002</v>
      </c>
      <c r="R119" t="str">
        <f t="shared" si="14"/>
        <v>Dyna Flo 15-0-0 with Minors</v>
      </c>
      <c r="S119" s="32">
        <f t="shared" si="15"/>
        <v>50</v>
      </c>
      <c r="U119" t="s">
        <v>345</v>
      </c>
      <c r="V119" s="32">
        <v>50</v>
      </c>
    </row>
    <row r="120" spans="2:22" x14ac:dyDescent="0.25">
      <c r="B120" s="1" t="s">
        <v>195</v>
      </c>
      <c r="C120" s="2" t="s">
        <v>196</v>
      </c>
      <c r="D120" s="2" t="s">
        <v>341</v>
      </c>
      <c r="E120" s="2" t="s">
        <v>91</v>
      </c>
      <c r="F120" s="3">
        <f t="shared" si="18"/>
        <v>44852</v>
      </c>
      <c r="G120" s="4">
        <f t="shared" si="10"/>
        <v>10</v>
      </c>
      <c r="H120" s="4">
        <f t="shared" si="11"/>
        <v>2022</v>
      </c>
      <c r="I120" s="2" t="s">
        <v>4</v>
      </c>
      <c r="J120" s="2" t="s">
        <v>347</v>
      </c>
      <c r="K120" s="2" t="s">
        <v>200</v>
      </c>
      <c r="L120" s="2" t="s">
        <v>201</v>
      </c>
      <c r="M120" s="2" t="s">
        <v>202</v>
      </c>
      <c r="N120" s="4" t="str">
        <f t="shared" si="12"/>
        <v>GAL</v>
      </c>
      <c r="O120" s="5">
        <v>5</v>
      </c>
      <c r="Q120" t="str">
        <f t="shared" si="13"/>
        <v>FLO15001602</v>
      </c>
      <c r="R120" t="str">
        <f t="shared" si="14"/>
        <v>Vented pHury</v>
      </c>
      <c r="S120" s="32">
        <f t="shared" si="15"/>
        <v>965</v>
      </c>
      <c r="U120" t="s">
        <v>201</v>
      </c>
      <c r="V120" s="32">
        <v>965</v>
      </c>
    </row>
    <row r="121" spans="2:22" x14ac:dyDescent="0.25">
      <c r="B121" s="1" t="s">
        <v>195</v>
      </c>
      <c r="C121" s="2" t="s">
        <v>196</v>
      </c>
      <c r="D121" s="2" t="s">
        <v>348</v>
      </c>
      <c r="E121" s="2" t="s">
        <v>349</v>
      </c>
      <c r="F121" s="3">
        <f t="shared" si="18"/>
        <v>44852</v>
      </c>
      <c r="G121" s="4">
        <f t="shared" si="10"/>
        <v>10</v>
      </c>
      <c r="H121" s="4">
        <f t="shared" si="11"/>
        <v>2022</v>
      </c>
      <c r="I121" s="2" t="s">
        <v>4</v>
      </c>
      <c r="J121" s="2" t="s">
        <v>350</v>
      </c>
      <c r="K121" s="2" t="s">
        <v>351</v>
      </c>
      <c r="L121" s="2" t="s">
        <v>352</v>
      </c>
      <c r="M121" s="2" t="s">
        <v>119</v>
      </c>
      <c r="N121" s="4" t="str">
        <f t="shared" si="12"/>
        <v>TON</v>
      </c>
      <c r="O121" s="5">
        <v>1.25</v>
      </c>
      <c r="Q121" t="str">
        <f t="shared" si="13"/>
        <v>MAC734XH</v>
      </c>
      <c r="R121" t="str">
        <f t="shared" si="14"/>
        <v>Dyna Flo 7-3-4XH</v>
      </c>
      <c r="S121" s="32">
        <f t="shared" si="15"/>
        <v>6.25</v>
      </c>
      <c r="U121" t="s">
        <v>352</v>
      </c>
      <c r="V121" s="32">
        <v>6.25</v>
      </c>
    </row>
    <row r="122" spans="2:22" x14ac:dyDescent="0.25">
      <c r="B122" s="1" t="s">
        <v>195</v>
      </c>
      <c r="C122" s="2" t="s">
        <v>196</v>
      </c>
      <c r="D122" s="2" t="s">
        <v>321</v>
      </c>
      <c r="E122" s="2" t="s">
        <v>353</v>
      </c>
      <c r="F122" s="3">
        <f t="shared" si="18"/>
        <v>44852</v>
      </c>
      <c r="G122" s="4">
        <f t="shared" si="10"/>
        <v>10</v>
      </c>
      <c r="H122" s="4">
        <f t="shared" si="11"/>
        <v>2022</v>
      </c>
      <c r="I122" s="2" t="s">
        <v>4</v>
      </c>
      <c r="J122" s="2" t="s">
        <v>354</v>
      </c>
      <c r="K122" s="2" t="s">
        <v>324</v>
      </c>
      <c r="L122" s="2" t="s">
        <v>325</v>
      </c>
      <c r="M122" s="2" t="s">
        <v>119</v>
      </c>
      <c r="N122" s="4" t="str">
        <f t="shared" si="12"/>
        <v>TON</v>
      </c>
      <c r="O122" s="5">
        <v>10.025</v>
      </c>
      <c r="Q122" t="str">
        <f t="shared" si="13"/>
        <v>MAC737YM</v>
      </c>
      <c r="R122" t="str">
        <f t="shared" si="14"/>
        <v>Dyna Flo 7-3-7 YM</v>
      </c>
      <c r="S122" s="32">
        <f t="shared" si="15"/>
        <v>99.21250000000002</v>
      </c>
      <c r="U122" t="s">
        <v>325</v>
      </c>
      <c r="V122" s="32">
        <v>99.21250000000002</v>
      </c>
    </row>
    <row r="123" spans="2:22" x14ac:dyDescent="0.25">
      <c r="B123" s="1" t="s">
        <v>195</v>
      </c>
      <c r="C123" s="2" t="s">
        <v>196</v>
      </c>
      <c r="D123" s="2" t="s">
        <v>221</v>
      </c>
      <c r="E123" s="2" t="s">
        <v>355</v>
      </c>
      <c r="F123" s="3">
        <f t="shared" si="18"/>
        <v>44852</v>
      </c>
      <c r="G123" s="4">
        <f t="shared" si="10"/>
        <v>10</v>
      </c>
      <c r="H123" s="4">
        <f t="shared" si="11"/>
        <v>2022</v>
      </c>
      <c r="I123" s="2" t="s">
        <v>4</v>
      </c>
      <c r="J123" s="2" t="s">
        <v>356</v>
      </c>
      <c r="K123" s="2" t="s">
        <v>205</v>
      </c>
      <c r="L123" s="2" t="s">
        <v>206</v>
      </c>
      <c r="M123" s="2" t="s">
        <v>119</v>
      </c>
      <c r="N123" s="4" t="str">
        <f t="shared" si="12"/>
        <v>TON</v>
      </c>
      <c r="O123" s="5">
        <v>2.4900000000000002</v>
      </c>
      <c r="Q123" t="str">
        <f t="shared" si="13"/>
        <v>MAC927YM3</v>
      </c>
      <c r="R123" t="str">
        <f t="shared" si="14"/>
        <v>Dyna Flo 9-2-7YM3</v>
      </c>
      <c r="S123" s="32">
        <f t="shared" si="15"/>
        <v>284.6674999999999</v>
      </c>
      <c r="U123" t="s">
        <v>206</v>
      </c>
      <c r="V123" s="32">
        <v>284.6674999999999</v>
      </c>
    </row>
    <row r="124" spans="2:22" x14ac:dyDescent="0.25">
      <c r="B124" s="1" t="s">
        <v>195</v>
      </c>
      <c r="C124" s="2" t="s">
        <v>196</v>
      </c>
      <c r="D124" s="2" t="s">
        <v>227</v>
      </c>
      <c r="E124" s="2" t="s">
        <v>357</v>
      </c>
      <c r="F124" s="3">
        <f t="shared" ref="F124:F129" si="19">DATE(2022,10,19)</f>
        <v>44853</v>
      </c>
      <c r="G124" s="4">
        <f t="shared" si="10"/>
        <v>10</v>
      </c>
      <c r="H124" s="4">
        <f t="shared" si="11"/>
        <v>2022</v>
      </c>
      <c r="I124" s="2" t="s">
        <v>4</v>
      </c>
      <c r="J124" s="2" t="s">
        <v>358</v>
      </c>
      <c r="K124" s="2" t="s">
        <v>122</v>
      </c>
      <c r="L124" s="2" t="s">
        <v>123</v>
      </c>
      <c r="M124" s="2" t="s">
        <v>119</v>
      </c>
      <c r="N124" s="4" t="str">
        <f t="shared" si="12"/>
        <v>TON</v>
      </c>
      <c r="O124" s="5">
        <v>5.04</v>
      </c>
      <c r="Q124" t="str">
        <f t="shared" si="13"/>
        <v>MAC528YZ</v>
      </c>
      <c r="R124" t="str">
        <f t="shared" si="14"/>
        <v>Dyna Flo 5-2-8 YZ</v>
      </c>
      <c r="S124" s="32">
        <f t="shared" si="15"/>
        <v>395.40750000000003</v>
      </c>
      <c r="U124" t="s">
        <v>123</v>
      </c>
      <c r="V124" s="32">
        <v>395.40750000000003</v>
      </c>
    </row>
    <row r="125" spans="2:22" x14ac:dyDescent="0.25">
      <c r="B125" s="1" t="s">
        <v>195</v>
      </c>
      <c r="C125" s="2" t="s">
        <v>196</v>
      </c>
      <c r="D125" s="2" t="s">
        <v>276</v>
      </c>
      <c r="E125" s="2" t="s">
        <v>359</v>
      </c>
      <c r="F125" s="3">
        <f t="shared" si="19"/>
        <v>44853</v>
      </c>
      <c r="G125" s="4">
        <f t="shared" si="10"/>
        <v>10</v>
      </c>
      <c r="H125" s="4">
        <f t="shared" si="11"/>
        <v>2022</v>
      </c>
      <c r="I125" s="2" t="s">
        <v>4</v>
      </c>
      <c r="J125" s="2" t="s">
        <v>360</v>
      </c>
      <c r="K125" s="2" t="s">
        <v>292</v>
      </c>
      <c r="L125" s="2" t="s">
        <v>293</v>
      </c>
      <c r="M125" s="2" t="s">
        <v>119</v>
      </c>
      <c r="N125" s="4" t="str">
        <f t="shared" si="12"/>
        <v>TON</v>
      </c>
      <c r="O125" s="5">
        <v>2</v>
      </c>
      <c r="Q125" t="str">
        <f t="shared" si="13"/>
        <v>MAC608YB5</v>
      </c>
      <c r="R125" t="str">
        <f t="shared" si="14"/>
        <v>Dyna Flo 6-0-8 YB5</v>
      </c>
      <c r="S125" s="32">
        <f t="shared" si="15"/>
        <v>78.175000000000011</v>
      </c>
      <c r="U125" t="s">
        <v>293</v>
      </c>
      <c r="V125" s="32">
        <v>78.175000000000011</v>
      </c>
    </row>
    <row r="126" spans="2:22" x14ac:dyDescent="0.25">
      <c r="B126" s="1" t="s">
        <v>195</v>
      </c>
      <c r="C126" s="2" t="s">
        <v>196</v>
      </c>
      <c r="D126" s="2" t="s">
        <v>224</v>
      </c>
      <c r="E126" s="2" t="s">
        <v>361</v>
      </c>
      <c r="F126" s="3">
        <f t="shared" si="19"/>
        <v>44853</v>
      </c>
      <c r="G126" s="4">
        <f t="shared" si="10"/>
        <v>10</v>
      </c>
      <c r="H126" s="4">
        <f t="shared" si="11"/>
        <v>2022</v>
      </c>
      <c r="I126" s="2" t="s">
        <v>4</v>
      </c>
      <c r="J126" s="2" t="s">
        <v>362</v>
      </c>
      <c r="K126" s="2" t="s">
        <v>122</v>
      </c>
      <c r="L126" s="2" t="s">
        <v>123</v>
      </c>
      <c r="M126" s="2" t="s">
        <v>119</v>
      </c>
      <c r="N126" s="4" t="str">
        <f t="shared" si="12"/>
        <v>TON</v>
      </c>
      <c r="O126" s="5">
        <v>9.9875000000000007</v>
      </c>
      <c r="Q126" t="str">
        <f t="shared" si="13"/>
        <v>MAC528YZ</v>
      </c>
      <c r="R126" t="str">
        <f t="shared" si="14"/>
        <v>Dyna Flo 5-2-8 YZ</v>
      </c>
      <c r="S126" s="32">
        <f t="shared" si="15"/>
        <v>395.40750000000003</v>
      </c>
      <c r="U126" t="s">
        <v>123</v>
      </c>
      <c r="V126" s="32">
        <v>395.40750000000003</v>
      </c>
    </row>
    <row r="127" spans="2:22" x14ac:dyDescent="0.25">
      <c r="B127" s="1" t="s">
        <v>195</v>
      </c>
      <c r="C127" s="2" t="s">
        <v>196</v>
      </c>
      <c r="D127" s="2" t="s">
        <v>241</v>
      </c>
      <c r="E127" s="2" t="s">
        <v>242</v>
      </c>
      <c r="F127" s="3">
        <f t="shared" si="19"/>
        <v>44853</v>
      </c>
      <c r="G127" s="4">
        <f t="shared" si="10"/>
        <v>10</v>
      </c>
      <c r="H127" s="4">
        <f t="shared" si="11"/>
        <v>2022</v>
      </c>
      <c r="I127" s="2" t="s">
        <v>4</v>
      </c>
      <c r="J127" s="2" t="s">
        <v>363</v>
      </c>
      <c r="K127" s="2" t="s">
        <v>149</v>
      </c>
      <c r="L127" s="2" t="s">
        <v>150</v>
      </c>
      <c r="M127" s="2" t="s">
        <v>21</v>
      </c>
      <c r="N127" s="4" t="str">
        <f t="shared" si="12"/>
        <v>GAL</v>
      </c>
      <c r="O127" s="5">
        <v>5</v>
      </c>
      <c r="Q127" t="str">
        <f t="shared" si="13"/>
        <v>FLO003002</v>
      </c>
      <c r="R127" t="str">
        <f t="shared" si="14"/>
        <v>Dyna Flo 0-0-30</v>
      </c>
      <c r="S127" s="32">
        <f t="shared" si="15"/>
        <v>325</v>
      </c>
      <c r="U127" t="s">
        <v>150</v>
      </c>
      <c r="V127" s="32">
        <v>325</v>
      </c>
    </row>
    <row r="128" spans="2:22" x14ac:dyDescent="0.25">
      <c r="B128" s="1" t="s">
        <v>195</v>
      </c>
      <c r="C128" s="2" t="s">
        <v>196</v>
      </c>
      <c r="D128" s="2" t="s">
        <v>280</v>
      </c>
      <c r="E128" s="2" t="s">
        <v>364</v>
      </c>
      <c r="F128" s="3">
        <f t="shared" si="19"/>
        <v>44853</v>
      </c>
      <c r="G128" s="4">
        <f t="shared" si="10"/>
        <v>10</v>
      </c>
      <c r="H128" s="4">
        <f t="shared" si="11"/>
        <v>2022</v>
      </c>
      <c r="I128" s="2" t="s">
        <v>4</v>
      </c>
      <c r="J128" s="2" t="s">
        <v>365</v>
      </c>
      <c r="K128" s="2" t="s">
        <v>117</v>
      </c>
      <c r="L128" s="2" t="s">
        <v>118</v>
      </c>
      <c r="M128" s="2" t="s">
        <v>119</v>
      </c>
      <c r="N128" s="4" t="str">
        <f t="shared" si="12"/>
        <v>TON</v>
      </c>
      <c r="O128" s="5">
        <v>12.51</v>
      </c>
      <c r="Q128" t="str">
        <f t="shared" si="13"/>
        <v>MAC428YM8</v>
      </c>
      <c r="R128" t="str">
        <f t="shared" si="14"/>
        <v>Dyna Flo 4-2-8YM8</v>
      </c>
      <c r="S128" s="32">
        <f t="shared" si="15"/>
        <v>517.73950000000002</v>
      </c>
      <c r="U128" t="s">
        <v>118</v>
      </c>
      <c r="V128" s="32">
        <v>517.73950000000002</v>
      </c>
    </row>
    <row r="129" spans="2:22" x14ac:dyDescent="0.25">
      <c r="B129" s="1" t="s">
        <v>195</v>
      </c>
      <c r="C129" s="2" t="s">
        <v>196</v>
      </c>
      <c r="D129" s="2" t="s">
        <v>317</v>
      </c>
      <c r="E129" s="2" t="s">
        <v>366</v>
      </c>
      <c r="F129" s="3">
        <f t="shared" si="19"/>
        <v>44853</v>
      </c>
      <c r="G129" s="4">
        <f t="shared" si="10"/>
        <v>10</v>
      </c>
      <c r="H129" s="4">
        <f t="shared" si="11"/>
        <v>2022</v>
      </c>
      <c r="I129" s="2" t="s">
        <v>4</v>
      </c>
      <c r="J129" s="2" t="s">
        <v>367</v>
      </c>
      <c r="K129" s="2" t="s">
        <v>117</v>
      </c>
      <c r="L129" s="2" t="s">
        <v>118</v>
      </c>
      <c r="M129" s="2" t="s">
        <v>119</v>
      </c>
      <c r="N129" s="4" t="str">
        <f t="shared" si="12"/>
        <v>TON</v>
      </c>
      <c r="O129" s="5">
        <v>4.0025000000000004</v>
      </c>
      <c r="Q129" t="str">
        <f t="shared" si="13"/>
        <v>MAC428YM8</v>
      </c>
      <c r="R129" t="str">
        <f t="shared" si="14"/>
        <v>Dyna Flo 4-2-8YM8</v>
      </c>
      <c r="S129" s="32">
        <f t="shared" si="15"/>
        <v>517.73950000000002</v>
      </c>
      <c r="U129" t="s">
        <v>118</v>
      </c>
      <c r="V129" s="32">
        <v>517.73950000000002</v>
      </c>
    </row>
    <row r="130" spans="2:22" x14ac:dyDescent="0.25">
      <c r="B130" s="1" t="s">
        <v>195</v>
      </c>
      <c r="C130" s="2" t="s">
        <v>196</v>
      </c>
      <c r="D130" s="2" t="s">
        <v>197</v>
      </c>
      <c r="E130" s="2" t="s">
        <v>141</v>
      </c>
      <c r="F130" s="3">
        <f t="shared" ref="F130:F137" si="20">DATE(2022,10,20)</f>
        <v>44854</v>
      </c>
      <c r="G130" s="4">
        <f t="shared" si="10"/>
        <v>10</v>
      </c>
      <c r="H130" s="4">
        <f t="shared" si="11"/>
        <v>2022</v>
      </c>
      <c r="I130" s="2" t="s">
        <v>4</v>
      </c>
      <c r="J130" s="2" t="s">
        <v>368</v>
      </c>
      <c r="K130" s="2" t="s">
        <v>200</v>
      </c>
      <c r="L130" s="2" t="s">
        <v>201</v>
      </c>
      <c r="M130" s="2" t="s">
        <v>202</v>
      </c>
      <c r="N130" s="4" t="str">
        <f t="shared" si="12"/>
        <v>GAL</v>
      </c>
      <c r="O130" s="5">
        <v>10</v>
      </c>
      <c r="Q130" t="str">
        <f t="shared" si="13"/>
        <v>FLO15001602</v>
      </c>
      <c r="R130" t="str">
        <f t="shared" si="14"/>
        <v>Vented pHury</v>
      </c>
      <c r="S130" s="32">
        <f t="shared" si="15"/>
        <v>965</v>
      </c>
      <c r="U130" t="s">
        <v>201</v>
      </c>
      <c r="V130" s="32">
        <v>965</v>
      </c>
    </row>
    <row r="131" spans="2:22" x14ac:dyDescent="0.25">
      <c r="B131" s="1" t="s">
        <v>195</v>
      </c>
      <c r="C131" s="2" t="s">
        <v>196</v>
      </c>
      <c r="D131" s="2" t="s">
        <v>114</v>
      </c>
      <c r="E131" s="2" t="s">
        <v>369</v>
      </c>
      <c r="F131" s="3">
        <f t="shared" si="20"/>
        <v>44854</v>
      </c>
      <c r="G131" s="4">
        <f t="shared" ref="G131:G194" si="21">+MONTH(F131)</f>
        <v>10</v>
      </c>
      <c r="H131" s="4">
        <f t="shared" ref="H131:H194" si="22">+YEAR(F131)</f>
        <v>2022</v>
      </c>
      <c r="I131" s="2" t="s">
        <v>4</v>
      </c>
      <c r="J131" s="2" t="s">
        <v>370</v>
      </c>
      <c r="K131" s="2" t="s">
        <v>117</v>
      </c>
      <c r="L131" s="2" t="s">
        <v>118</v>
      </c>
      <c r="M131" s="2" t="s">
        <v>119</v>
      </c>
      <c r="N131" s="4" t="str">
        <f t="shared" ref="N131:N194" si="23">+LEFT(M131,3)</f>
        <v>TON</v>
      </c>
      <c r="O131" s="5">
        <v>3.25</v>
      </c>
      <c r="Q131" t="str">
        <f t="shared" ref="Q131:Q194" si="24">K131</f>
        <v>MAC428YM8</v>
      </c>
      <c r="R131" t="str">
        <f t="shared" ref="R131:R194" si="25">L131</f>
        <v>Dyna Flo 4-2-8YM8</v>
      </c>
      <c r="S131" s="32">
        <f t="shared" si="15"/>
        <v>517.73950000000002</v>
      </c>
      <c r="U131" t="s">
        <v>118</v>
      </c>
      <c r="V131" s="32">
        <v>517.73950000000002</v>
      </c>
    </row>
    <row r="132" spans="2:22" x14ac:dyDescent="0.25">
      <c r="B132" s="1" t="s">
        <v>195</v>
      </c>
      <c r="C132" s="2" t="s">
        <v>196</v>
      </c>
      <c r="D132" s="2" t="s">
        <v>280</v>
      </c>
      <c r="E132" s="2" t="s">
        <v>371</v>
      </c>
      <c r="F132" s="3">
        <f t="shared" si="20"/>
        <v>44854</v>
      </c>
      <c r="G132" s="4">
        <f t="shared" si="21"/>
        <v>10</v>
      </c>
      <c r="H132" s="4">
        <f t="shared" si="22"/>
        <v>2022</v>
      </c>
      <c r="I132" s="2" t="s">
        <v>4</v>
      </c>
      <c r="J132" s="2" t="s">
        <v>372</v>
      </c>
      <c r="K132" s="2" t="s">
        <v>117</v>
      </c>
      <c r="L132" s="2" t="s">
        <v>118</v>
      </c>
      <c r="M132" s="2" t="s">
        <v>119</v>
      </c>
      <c r="N132" s="4" t="str">
        <f t="shared" si="23"/>
        <v>TON</v>
      </c>
      <c r="O132" s="5">
        <v>5.0075000000000003</v>
      </c>
      <c r="Q132" t="str">
        <f t="shared" si="24"/>
        <v>MAC428YM8</v>
      </c>
      <c r="R132" t="str">
        <f t="shared" si="25"/>
        <v>Dyna Flo 4-2-8YM8</v>
      </c>
      <c r="S132" s="32">
        <f t="shared" ref="S132:S195" si="26">SUMIF($R$3:$R$885, $R132, $O$3:$O$885)</f>
        <v>517.73950000000002</v>
      </c>
      <c r="U132" t="s">
        <v>118</v>
      </c>
      <c r="V132" s="32">
        <v>517.73950000000002</v>
      </c>
    </row>
    <row r="133" spans="2:22" x14ac:dyDescent="0.25">
      <c r="B133" s="1" t="s">
        <v>195</v>
      </c>
      <c r="C133" s="2" t="s">
        <v>196</v>
      </c>
      <c r="D133" s="2" t="s">
        <v>285</v>
      </c>
      <c r="E133" s="2" t="s">
        <v>297</v>
      </c>
      <c r="F133" s="3">
        <f t="shared" si="20"/>
        <v>44854</v>
      </c>
      <c r="G133" s="4">
        <f t="shared" si="21"/>
        <v>10</v>
      </c>
      <c r="H133" s="4">
        <f t="shared" si="22"/>
        <v>2022</v>
      </c>
      <c r="I133" s="2" t="s">
        <v>4</v>
      </c>
      <c r="J133" s="2" t="s">
        <v>373</v>
      </c>
      <c r="K133" s="2" t="s">
        <v>205</v>
      </c>
      <c r="L133" s="2" t="s">
        <v>206</v>
      </c>
      <c r="M133" s="2" t="s">
        <v>119</v>
      </c>
      <c r="N133" s="4" t="str">
        <f t="shared" si="23"/>
        <v>TON</v>
      </c>
      <c r="O133" s="5">
        <v>10.0425</v>
      </c>
      <c r="Q133" t="str">
        <f t="shared" si="24"/>
        <v>MAC927YM3</v>
      </c>
      <c r="R133" t="str">
        <f t="shared" si="25"/>
        <v>Dyna Flo 9-2-7YM3</v>
      </c>
      <c r="S133" s="32">
        <f t="shared" si="26"/>
        <v>284.6674999999999</v>
      </c>
      <c r="U133" t="s">
        <v>206</v>
      </c>
      <c r="V133" s="32">
        <v>284.6674999999999</v>
      </c>
    </row>
    <row r="134" spans="2:22" x14ac:dyDescent="0.25">
      <c r="B134" s="1" t="s">
        <v>195</v>
      </c>
      <c r="C134" s="2" t="s">
        <v>196</v>
      </c>
      <c r="D134" s="2" t="s">
        <v>374</v>
      </c>
      <c r="E134" s="2" t="s">
        <v>375</v>
      </c>
      <c r="F134" s="3">
        <f t="shared" si="20"/>
        <v>44854</v>
      </c>
      <c r="G134" s="4">
        <f t="shared" si="21"/>
        <v>10</v>
      </c>
      <c r="H134" s="4">
        <f t="shared" si="22"/>
        <v>2022</v>
      </c>
      <c r="I134" s="2" t="s">
        <v>4</v>
      </c>
      <c r="J134" s="2" t="s">
        <v>376</v>
      </c>
      <c r="K134" s="2" t="s">
        <v>329</v>
      </c>
      <c r="L134" s="2" t="s">
        <v>330</v>
      </c>
      <c r="M134" s="2" t="s">
        <v>119</v>
      </c>
      <c r="N134" s="4" t="str">
        <f t="shared" si="23"/>
        <v>TON</v>
      </c>
      <c r="O134" s="5">
        <v>4.9974999999999996</v>
      </c>
      <c r="Q134" t="str">
        <f t="shared" si="24"/>
        <v>MAC628YM8</v>
      </c>
      <c r="R134" t="str">
        <f t="shared" si="25"/>
        <v>Dyna Flo 6-2-8YM8</v>
      </c>
      <c r="S134" s="32">
        <f t="shared" si="26"/>
        <v>247.51499999999996</v>
      </c>
      <c r="U134" t="s">
        <v>330</v>
      </c>
      <c r="V134" s="32">
        <v>247.51499999999996</v>
      </c>
    </row>
    <row r="135" spans="2:22" x14ac:dyDescent="0.25">
      <c r="B135" s="1" t="s">
        <v>195</v>
      </c>
      <c r="C135" s="2" t="s">
        <v>196</v>
      </c>
      <c r="D135" s="2" t="s">
        <v>114</v>
      </c>
      <c r="E135" s="2" t="s">
        <v>377</v>
      </c>
      <c r="F135" s="3">
        <f t="shared" si="20"/>
        <v>44854</v>
      </c>
      <c r="G135" s="4">
        <f t="shared" si="21"/>
        <v>10</v>
      </c>
      <c r="H135" s="4">
        <f t="shared" si="22"/>
        <v>2022</v>
      </c>
      <c r="I135" s="2" t="s">
        <v>4</v>
      </c>
      <c r="J135" s="2" t="s">
        <v>378</v>
      </c>
      <c r="K135" s="2" t="s">
        <v>117</v>
      </c>
      <c r="L135" s="2" t="s">
        <v>118</v>
      </c>
      <c r="M135" s="2" t="s">
        <v>119</v>
      </c>
      <c r="N135" s="4" t="str">
        <f t="shared" si="23"/>
        <v>TON</v>
      </c>
      <c r="O135" s="5">
        <v>6.0225</v>
      </c>
      <c r="Q135" t="str">
        <f t="shared" si="24"/>
        <v>MAC428YM8</v>
      </c>
      <c r="R135" t="str">
        <f t="shared" si="25"/>
        <v>Dyna Flo 4-2-8YM8</v>
      </c>
      <c r="S135" s="32">
        <f t="shared" si="26"/>
        <v>517.73950000000002</v>
      </c>
      <c r="U135" t="s">
        <v>118</v>
      </c>
      <c r="V135" s="32">
        <v>517.73950000000002</v>
      </c>
    </row>
    <row r="136" spans="2:22" x14ac:dyDescent="0.25">
      <c r="B136" s="1" t="s">
        <v>195</v>
      </c>
      <c r="C136" s="2" t="s">
        <v>196</v>
      </c>
      <c r="D136" s="2" t="s">
        <v>374</v>
      </c>
      <c r="E136" s="2" t="s">
        <v>379</v>
      </c>
      <c r="F136" s="3">
        <f t="shared" si="20"/>
        <v>44854</v>
      </c>
      <c r="G136" s="4">
        <f t="shared" si="21"/>
        <v>10</v>
      </c>
      <c r="H136" s="4">
        <f t="shared" si="22"/>
        <v>2022</v>
      </c>
      <c r="I136" s="2" t="s">
        <v>4</v>
      </c>
      <c r="J136" s="2" t="s">
        <v>380</v>
      </c>
      <c r="K136" s="2" t="s">
        <v>122</v>
      </c>
      <c r="L136" s="2" t="s">
        <v>123</v>
      </c>
      <c r="M136" s="2" t="s">
        <v>119</v>
      </c>
      <c r="N136" s="4" t="str">
        <f t="shared" si="23"/>
        <v>TON</v>
      </c>
      <c r="O136" s="5">
        <v>8.0150000000000006</v>
      </c>
      <c r="Q136" t="str">
        <f t="shared" si="24"/>
        <v>MAC528YZ</v>
      </c>
      <c r="R136" t="str">
        <f t="shared" si="25"/>
        <v>Dyna Flo 5-2-8 YZ</v>
      </c>
      <c r="S136" s="32">
        <f t="shared" si="26"/>
        <v>395.40750000000003</v>
      </c>
      <c r="U136" t="s">
        <v>123</v>
      </c>
      <c r="V136" s="32">
        <v>395.40750000000003</v>
      </c>
    </row>
    <row r="137" spans="2:22" x14ac:dyDescent="0.25">
      <c r="B137" s="1" t="s">
        <v>195</v>
      </c>
      <c r="C137" s="2" t="s">
        <v>196</v>
      </c>
      <c r="D137" s="2" t="s">
        <v>285</v>
      </c>
      <c r="E137" s="2" t="s">
        <v>297</v>
      </c>
      <c r="F137" s="3">
        <f t="shared" si="20"/>
        <v>44854</v>
      </c>
      <c r="G137" s="4">
        <f t="shared" si="21"/>
        <v>10</v>
      </c>
      <c r="H137" s="4">
        <f t="shared" si="22"/>
        <v>2022</v>
      </c>
      <c r="I137" s="2" t="s">
        <v>4</v>
      </c>
      <c r="J137" s="2" t="s">
        <v>381</v>
      </c>
      <c r="K137" s="2" t="s">
        <v>329</v>
      </c>
      <c r="L137" s="2" t="s">
        <v>330</v>
      </c>
      <c r="M137" s="2" t="s">
        <v>119</v>
      </c>
      <c r="N137" s="4" t="str">
        <f t="shared" si="23"/>
        <v>TON</v>
      </c>
      <c r="O137" s="5">
        <v>7.0075000000000003</v>
      </c>
      <c r="Q137" t="str">
        <f t="shared" si="24"/>
        <v>MAC628YM8</v>
      </c>
      <c r="R137" t="str">
        <f t="shared" si="25"/>
        <v>Dyna Flo 6-2-8YM8</v>
      </c>
      <c r="S137" s="32">
        <f t="shared" si="26"/>
        <v>247.51499999999996</v>
      </c>
      <c r="U137" t="s">
        <v>330</v>
      </c>
      <c r="V137" s="32">
        <v>247.51499999999996</v>
      </c>
    </row>
    <row r="138" spans="2:22" x14ac:dyDescent="0.25">
      <c r="B138" s="1" t="s">
        <v>195</v>
      </c>
      <c r="C138" s="2" t="s">
        <v>196</v>
      </c>
      <c r="D138" s="2" t="s">
        <v>283</v>
      </c>
      <c r="E138" s="2" t="s">
        <v>382</v>
      </c>
      <c r="F138" s="3">
        <f t="shared" ref="F138:F145" si="27">DATE(2022,10,21)</f>
        <v>44855</v>
      </c>
      <c r="G138" s="4">
        <f t="shared" si="21"/>
        <v>10</v>
      </c>
      <c r="H138" s="4">
        <f t="shared" si="22"/>
        <v>2022</v>
      </c>
      <c r="I138" s="2" t="s">
        <v>4</v>
      </c>
      <c r="J138" s="2" t="s">
        <v>383</v>
      </c>
      <c r="K138" s="2" t="s">
        <v>384</v>
      </c>
      <c r="L138" s="2" t="s">
        <v>385</v>
      </c>
      <c r="M138" s="2" t="s">
        <v>119</v>
      </c>
      <c r="N138" s="4" t="str">
        <f t="shared" si="23"/>
        <v>TON</v>
      </c>
      <c r="O138" s="5">
        <v>1.25</v>
      </c>
      <c r="Q138" t="str">
        <f t="shared" si="24"/>
        <v>MAC927YM5</v>
      </c>
      <c r="R138" t="str">
        <f t="shared" si="25"/>
        <v>Dyna Flo 9-2-7YM5 w/Merge</v>
      </c>
      <c r="S138" s="32">
        <f t="shared" si="26"/>
        <v>3.75</v>
      </c>
      <c r="U138" t="s">
        <v>385</v>
      </c>
      <c r="V138" s="32">
        <v>3.75</v>
      </c>
    </row>
    <row r="139" spans="2:22" x14ac:dyDescent="0.25">
      <c r="B139" s="1" t="s">
        <v>195</v>
      </c>
      <c r="C139" s="2" t="s">
        <v>196</v>
      </c>
      <c r="D139" s="2" t="s">
        <v>294</v>
      </c>
      <c r="E139" s="2" t="s">
        <v>295</v>
      </c>
      <c r="F139" s="3">
        <f t="shared" si="27"/>
        <v>44855</v>
      </c>
      <c r="G139" s="4">
        <f t="shared" si="21"/>
        <v>10</v>
      </c>
      <c r="H139" s="4">
        <f t="shared" si="22"/>
        <v>2022</v>
      </c>
      <c r="I139" s="2" t="s">
        <v>4</v>
      </c>
      <c r="J139" s="2" t="s">
        <v>386</v>
      </c>
      <c r="K139" s="2" t="s">
        <v>122</v>
      </c>
      <c r="L139" s="2" t="s">
        <v>123</v>
      </c>
      <c r="M139" s="2" t="s">
        <v>119</v>
      </c>
      <c r="N139" s="4" t="str">
        <f t="shared" si="23"/>
        <v>TON</v>
      </c>
      <c r="O139" s="5">
        <v>7.5</v>
      </c>
      <c r="Q139" t="str">
        <f t="shared" si="24"/>
        <v>MAC528YZ</v>
      </c>
      <c r="R139" t="str">
        <f t="shared" si="25"/>
        <v>Dyna Flo 5-2-8 YZ</v>
      </c>
      <c r="S139" s="32">
        <f t="shared" si="26"/>
        <v>395.40750000000003</v>
      </c>
      <c r="U139" t="s">
        <v>123</v>
      </c>
      <c r="V139" s="32">
        <v>395.40750000000003</v>
      </c>
    </row>
    <row r="140" spans="2:22" x14ac:dyDescent="0.25">
      <c r="B140" s="1" t="s">
        <v>195</v>
      </c>
      <c r="C140" s="2" t="s">
        <v>196</v>
      </c>
      <c r="D140" s="2" t="s">
        <v>387</v>
      </c>
      <c r="E140" s="2" t="s">
        <v>388</v>
      </c>
      <c r="F140" s="3">
        <f t="shared" si="27"/>
        <v>44855</v>
      </c>
      <c r="G140" s="4">
        <f t="shared" si="21"/>
        <v>10</v>
      </c>
      <c r="H140" s="4">
        <f t="shared" si="22"/>
        <v>2022</v>
      </c>
      <c r="I140" s="2" t="s">
        <v>4</v>
      </c>
      <c r="J140" s="2" t="s">
        <v>389</v>
      </c>
      <c r="K140" s="2" t="s">
        <v>390</v>
      </c>
      <c r="L140" s="2" t="s">
        <v>391</v>
      </c>
      <c r="M140" s="2" t="s">
        <v>119</v>
      </c>
      <c r="N140" s="4" t="str">
        <f t="shared" si="23"/>
        <v>TON</v>
      </c>
      <c r="O140" s="5">
        <v>11.15</v>
      </c>
      <c r="Q140" t="str">
        <f t="shared" si="24"/>
        <v>MAC426YM2</v>
      </c>
      <c r="R140" t="str">
        <f t="shared" si="25"/>
        <v>Dyna Flo 4-2-6YM2</v>
      </c>
      <c r="S140" s="32">
        <f t="shared" si="26"/>
        <v>415.88999999999976</v>
      </c>
      <c r="U140" t="s">
        <v>391</v>
      </c>
      <c r="V140" s="32">
        <v>415.88999999999976</v>
      </c>
    </row>
    <row r="141" spans="2:22" x14ac:dyDescent="0.25">
      <c r="B141" s="1" t="s">
        <v>195</v>
      </c>
      <c r="C141" s="2" t="s">
        <v>196</v>
      </c>
      <c r="D141" s="2" t="s">
        <v>321</v>
      </c>
      <c r="E141" s="2" t="s">
        <v>392</v>
      </c>
      <c r="F141" s="3">
        <f t="shared" si="27"/>
        <v>44855</v>
      </c>
      <c r="G141" s="4">
        <f t="shared" si="21"/>
        <v>10</v>
      </c>
      <c r="H141" s="4">
        <f t="shared" si="22"/>
        <v>2022</v>
      </c>
      <c r="I141" s="2" t="s">
        <v>4</v>
      </c>
      <c r="J141" s="2" t="s">
        <v>393</v>
      </c>
      <c r="K141" s="2" t="s">
        <v>394</v>
      </c>
      <c r="L141" s="2" t="s">
        <v>395</v>
      </c>
      <c r="M141" s="2" t="s">
        <v>119</v>
      </c>
      <c r="N141" s="4" t="str">
        <f t="shared" si="23"/>
        <v>TON</v>
      </c>
      <c r="O141" s="5">
        <v>1.25</v>
      </c>
      <c r="Q141" t="str">
        <f t="shared" si="24"/>
        <v>MAC707YB13</v>
      </c>
      <c r="R141" t="str">
        <f t="shared" si="25"/>
        <v>Dyna Flo 7-0-7YB13</v>
      </c>
      <c r="S141" s="32">
        <f t="shared" si="26"/>
        <v>51.2575</v>
      </c>
      <c r="U141" t="s">
        <v>395</v>
      </c>
      <c r="V141" s="32">
        <v>51.2575</v>
      </c>
    </row>
    <row r="142" spans="2:22" x14ac:dyDescent="0.25">
      <c r="B142" s="1" t="s">
        <v>195</v>
      </c>
      <c r="C142" s="2" t="s">
        <v>196</v>
      </c>
      <c r="D142" s="2" t="s">
        <v>276</v>
      </c>
      <c r="E142" s="2" t="s">
        <v>396</v>
      </c>
      <c r="F142" s="3">
        <f t="shared" si="27"/>
        <v>44855</v>
      </c>
      <c r="G142" s="4">
        <f t="shared" si="21"/>
        <v>10</v>
      </c>
      <c r="H142" s="4">
        <f t="shared" si="22"/>
        <v>2022</v>
      </c>
      <c r="I142" s="2" t="s">
        <v>4</v>
      </c>
      <c r="J142" s="2" t="s">
        <v>397</v>
      </c>
      <c r="K142" s="2" t="s">
        <v>292</v>
      </c>
      <c r="L142" s="2" t="s">
        <v>293</v>
      </c>
      <c r="M142" s="2" t="s">
        <v>119</v>
      </c>
      <c r="N142" s="4" t="str">
        <f t="shared" si="23"/>
        <v>TON</v>
      </c>
      <c r="O142" s="5">
        <v>1.99</v>
      </c>
      <c r="Q142" t="str">
        <f t="shared" si="24"/>
        <v>MAC608YB5</v>
      </c>
      <c r="R142" t="str">
        <f t="shared" si="25"/>
        <v>Dyna Flo 6-0-8 YB5</v>
      </c>
      <c r="S142" s="32">
        <f t="shared" si="26"/>
        <v>78.175000000000011</v>
      </c>
      <c r="U142" t="s">
        <v>293</v>
      </c>
      <c r="V142" s="32">
        <v>78.175000000000011</v>
      </c>
    </row>
    <row r="143" spans="2:22" x14ac:dyDescent="0.25">
      <c r="B143" s="1" t="s">
        <v>195</v>
      </c>
      <c r="C143" s="2" t="s">
        <v>196</v>
      </c>
      <c r="D143" s="2" t="s">
        <v>299</v>
      </c>
      <c r="E143" s="2" t="s">
        <v>398</v>
      </c>
      <c r="F143" s="3">
        <f t="shared" si="27"/>
        <v>44855</v>
      </c>
      <c r="G143" s="4">
        <f t="shared" si="21"/>
        <v>10</v>
      </c>
      <c r="H143" s="4">
        <f t="shared" si="22"/>
        <v>2022</v>
      </c>
      <c r="I143" s="2" t="s">
        <v>4</v>
      </c>
      <c r="J143" s="2" t="s">
        <v>399</v>
      </c>
      <c r="K143" s="2" t="s">
        <v>117</v>
      </c>
      <c r="L143" s="2" t="s">
        <v>118</v>
      </c>
      <c r="M143" s="2" t="s">
        <v>119</v>
      </c>
      <c r="N143" s="4" t="str">
        <f t="shared" si="23"/>
        <v>TON</v>
      </c>
      <c r="O143" s="5">
        <v>8.9949999999999992</v>
      </c>
      <c r="Q143" t="str">
        <f t="shared" si="24"/>
        <v>MAC428YM8</v>
      </c>
      <c r="R143" t="str">
        <f t="shared" si="25"/>
        <v>Dyna Flo 4-2-8YM8</v>
      </c>
      <c r="S143" s="32">
        <f t="shared" si="26"/>
        <v>517.73950000000002</v>
      </c>
      <c r="U143" t="s">
        <v>118</v>
      </c>
      <c r="V143" s="32">
        <v>517.73950000000002</v>
      </c>
    </row>
    <row r="144" spans="2:22" x14ac:dyDescent="0.25">
      <c r="B144" s="1" t="s">
        <v>195</v>
      </c>
      <c r="C144" s="2" t="s">
        <v>196</v>
      </c>
      <c r="D144" s="2" t="s">
        <v>270</v>
      </c>
      <c r="E144" s="2" t="s">
        <v>400</v>
      </c>
      <c r="F144" s="3">
        <f t="shared" si="27"/>
        <v>44855</v>
      </c>
      <c r="G144" s="4">
        <f t="shared" si="21"/>
        <v>10</v>
      </c>
      <c r="H144" s="4">
        <f t="shared" si="22"/>
        <v>2022</v>
      </c>
      <c r="I144" s="2" t="s">
        <v>4</v>
      </c>
      <c r="J144" s="2" t="s">
        <v>401</v>
      </c>
      <c r="K144" s="2" t="s">
        <v>205</v>
      </c>
      <c r="L144" s="2" t="s">
        <v>206</v>
      </c>
      <c r="M144" s="2" t="s">
        <v>119</v>
      </c>
      <c r="N144" s="4" t="str">
        <f t="shared" si="23"/>
        <v>TON</v>
      </c>
      <c r="O144" s="5">
        <v>1.25</v>
      </c>
      <c r="Q144" t="str">
        <f t="shared" si="24"/>
        <v>MAC927YM3</v>
      </c>
      <c r="R144" t="str">
        <f t="shared" si="25"/>
        <v>Dyna Flo 9-2-7YM3</v>
      </c>
      <c r="S144" s="32">
        <f t="shared" si="26"/>
        <v>284.6674999999999</v>
      </c>
      <c r="U144" t="s">
        <v>206</v>
      </c>
      <c r="V144" s="32">
        <v>284.6674999999999</v>
      </c>
    </row>
    <row r="145" spans="2:22" x14ac:dyDescent="0.25">
      <c r="B145" s="1" t="s">
        <v>195</v>
      </c>
      <c r="C145" s="2" t="s">
        <v>196</v>
      </c>
      <c r="D145" s="2" t="s">
        <v>114</v>
      </c>
      <c r="E145" s="2" t="s">
        <v>402</v>
      </c>
      <c r="F145" s="3">
        <f t="shared" si="27"/>
        <v>44855</v>
      </c>
      <c r="G145" s="4">
        <f t="shared" si="21"/>
        <v>10</v>
      </c>
      <c r="H145" s="4">
        <f t="shared" si="22"/>
        <v>2022</v>
      </c>
      <c r="I145" s="2" t="s">
        <v>4</v>
      </c>
      <c r="J145" s="2" t="s">
        <v>403</v>
      </c>
      <c r="K145" s="2" t="s">
        <v>117</v>
      </c>
      <c r="L145" s="2" t="s">
        <v>118</v>
      </c>
      <c r="M145" s="2" t="s">
        <v>119</v>
      </c>
      <c r="N145" s="4" t="str">
        <f t="shared" si="23"/>
        <v>TON</v>
      </c>
      <c r="O145" s="5">
        <v>3.9950000000000001</v>
      </c>
      <c r="Q145" t="str">
        <f t="shared" si="24"/>
        <v>MAC428YM8</v>
      </c>
      <c r="R145" t="str">
        <f t="shared" si="25"/>
        <v>Dyna Flo 4-2-8YM8</v>
      </c>
      <c r="S145" s="32">
        <f t="shared" si="26"/>
        <v>517.73950000000002</v>
      </c>
      <c r="U145" t="s">
        <v>118</v>
      </c>
      <c r="V145" s="32">
        <v>517.73950000000002</v>
      </c>
    </row>
    <row r="146" spans="2:22" x14ac:dyDescent="0.25">
      <c r="B146" s="1" t="s">
        <v>195</v>
      </c>
      <c r="C146" s="2" t="s">
        <v>196</v>
      </c>
      <c r="D146" s="2" t="s">
        <v>404</v>
      </c>
      <c r="E146" s="2" t="s">
        <v>405</v>
      </c>
      <c r="F146" s="3">
        <f>DATE(2022,10,24)</f>
        <v>44858</v>
      </c>
      <c r="G146" s="4">
        <f t="shared" si="21"/>
        <v>10</v>
      </c>
      <c r="H146" s="4">
        <f t="shared" si="22"/>
        <v>2022</v>
      </c>
      <c r="I146" s="2" t="s">
        <v>4</v>
      </c>
      <c r="J146" s="2" t="s">
        <v>406</v>
      </c>
      <c r="K146" s="2" t="s">
        <v>122</v>
      </c>
      <c r="L146" s="2" t="s">
        <v>123</v>
      </c>
      <c r="M146" s="2" t="s">
        <v>119</v>
      </c>
      <c r="N146" s="4" t="str">
        <f t="shared" si="23"/>
        <v>TON</v>
      </c>
      <c r="O146" s="5">
        <v>2.4674999999999998</v>
      </c>
      <c r="Q146" t="str">
        <f t="shared" si="24"/>
        <v>MAC528YZ</v>
      </c>
      <c r="R146" t="str">
        <f t="shared" si="25"/>
        <v>Dyna Flo 5-2-8 YZ</v>
      </c>
      <c r="S146" s="32">
        <f t="shared" si="26"/>
        <v>395.40750000000003</v>
      </c>
      <c r="U146" t="s">
        <v>123</v>
      </c>
      <c r="V146" s="32">
        <v>395.40750000000003</v>
      </c>
    </row>
    <row r="147" spans="2:22" x14ac:dyDescent="0.25">
      <c r="B147" s="1" t="s">
        <v>195</v>
      </c>
      <c r="C147" s="2" t="s">
        <v>196</v>
      </c>
      <c r="D147" s="2" t="s">
        <v>321</v>
      </c>
      <c r="E147" s="2" t="s">
        <v>407</v>
      </c>
      <c r="F147" s="3">
        <f>DATE(2022,10,24)</f>
        <v>44858</v>
      </c>
      <c r="G147" s="4">
        <f t="shared" si="21"/>
        <v>10</v>
      </c>
      <c r="H147" s="4">
        <f t="shared" si="22"/>
        <v>2022</v>
      </c>
      <c r="I147" s="2" t="s">
        <v>4</v>
      </c>
      <c r="J147" s="2" t="s">
        <v>408</v>
      </c>
      <c r="K147" s="2" t="s">
        <v>324</v>
      </c>
      <c r="L147" s="2" t="s">
        <v>325</v>
      </c>
      <c r="M147" s="2" t="s">
        <v>119</v>
      </c>
      <c r="N147" s="4" t="str">
        <f t="shared" si="23"/>
        <v>TON</v>
      </c>
      <c r="O147" s="5">
        <v>2.5024999999999999</v>
      </c>
      <c r="Q147" t="str">
        <f t="shared" si="24"/>
        <v>MAC737YM</v>
      </c>
      <c r="R147" t="str">
        <f t="shared" si="25"/>
        <v>Dyna Flo 7-3-7 YM</v>
      </c>
      <c r="S147" s="32">
        <f t="shared" si="26"/>
        <v>99.21250000000002</v>
      </c>
      <c r="U147" t="s">
        <v>325</v>
      </c>
      <c r="V147" s="32">
        <v>99.21250000000002</v>
      </c>
    </row>
    <row r="148" spans="2:22" x14ac:dyDescent="0.25">
      <c r="B148" s="1" t="s">
        <v>195</v>
      </c>
      <c r="C148" s="2" t="s">
        <v>196</v>
      </c>
      <c r="D148" s="2" t="s">
        <v>248</v>
      </c>
      <c r="E148" s="2" t="s">
        <v>409</v>
      </c>
      <c r="F148" s="3">
        <f>DATE(2022,10,24)</f>
        <v>44858</v>
      </c>
      <c r="G148" s="4">
        <f t="shared" si="21"/>
        <v>10</v>
      </c>
      <c r="H148" s="4">
        <f t="shared" si="22"/>
        <v>2022</v>
      </c>
      <c r="I148" s="2" t="s">
        <v>4</v>
      </c>
      <c r="J148" s="2" t="s">
        <v>410</v>
      </c>
      <c r="K148" s="2" t="s">
        <v>339</v>
      </c>
      <c r="L148" s="2" t="s">
        <v>340</v>
      </c>
      <c r="M148" s="2" t="s">
        <v>119</v>
      </c>
      <c r="N148" s="4" t="str">
        <f t="shared" si="23"/>
        <v>TON</v>
      </c>
      <c r="O148" s="5">
        <v>13.0275</v>
      </c>
      <c r="Q148" t="str">
        <f t="shared" si="24"/>
        <v>MAC523YP1</v>
      </c>
      <c r="R148" t="str">
        <f t="shared" si="25"/>
        <v>Dyna Flo 5-2-3 YP1</v>
      </c>
      <c r="S148" s="32">
        <f t="shared" si="26"/>
        <v>58.015000000000001</v>
      </c>
      <c r="U148" t="s">
        <v>340</v>
      </c>
      <c r="V148" s="32">
        <v>58.015000000000001</v>
      </c>
    </row>
    <row r="149" spans="2:22" x14ac:dyDescent="0.25">
      <c r="B149" s="1" t="s">
        <v>195</v>
      </c>
      <c r="C149" s="2" t="s">
        <v>196</v>
      </c>
      <c r="D149" s="2" t="s">
        <v>317</v>
      </c>
      <c r="E149" s="2" t="s">
        <v>319</v>
      </c>
      <c r="F149" s="3">
        <f>DATE(2022,10,24)</f>
        <v>44858</v>
      </c>
      <c r="G149" s="4">
        <f t="shared" si="21"/>
        <v>10</v>
      </c>
      <c r="H149" s="4">
        <f t="shared" si="22"/>
        <v>2022</v>
      </c>
      <c r="I149" s="2" t="s">
        <v>4</v>
      </c>
      <c r="J149" s="2" t="s">
        <v>411</v>
      </c>
      <c r="K149" s="2" t="s">
        <v>117</v>
      </c>
      <c r="L149" s="2" t="s">
        <v>118</v>
      </c>
      <c r="M149" s="2" t="s">
        <v>119</v>
      </c>
      <c r="N149" s="4" t="str">
        <f t="shared" si="23"/>
        <v>TON</v>
      </c>
      <c r="O149" s="5">
        <v>2.5</v>
      </c>
      <c r="Q149" t="str">
        <f t="shared" si="24"/>
        <v>MAC428YM8</v>
      </c>
      <c r="R149" t="str">
        <f t="shared" si="25"/>
        <v>Dyna Flo 4-2-8YM8</v>
      </c>
      <c r="S149" s="32">
        <f t="shared" si="26"/>
        <v>517.73950000000002</v>
      </c>
      <c r="U149" t="s">
        <v>118</v>
      </c>
      <c r="V149" s="32">
        <v>517.73950000000002</v>
      </c>
    </row>
    <row r="150" spans="2:22" x14ac:dyDescent="0.25">
      <c r="B150" s="1" t="s">
        <v>195</v>
      </c>
      <c r="C150" s="2" t="s">
        <v>196</v>
      </c>
      <c r="D150" s="2" t="s">
        <v>285</v>
      </c>
      <c r="E150" s="2" t="s">
        <v>412</v>
      </c>
      <c r="F150" s="3">
        <f t="shared" ref="F150:F156" si="28">DATE(2022,10,25)</f>
        <v>44859</v>
      </c>
      <c r="G150" s="4">
        <f t="shared" si="21"/>
        <v>10</v>
      </c>
      <c r="H150" s="4">
        <f t="shared" si="22"/>
        <v>2022</v>
      </c>
      <c r="I150" s="2" t="s">
        <v>4</v>
      </c>
      <c r="J150" s="2" t="s">
        <v>413</v>
      </c>
      <c r="K150" s="2" t="s">
        <v>329</v>
      </c>
      <c r="L150" s="2" t="s">
        <v>330</v>
      </c>
      <c r="M150" s="2" t="s">
        <v>119</v>
      </c>
      <c r="N150" s="4" t="str">
        <f t="shared" si="23"/>
        <v>TON</v>
      </c>
      <c r="O150" s="5">
        <v>7.0175000000000001</v>
      </c>
      <c r="Q150" t="str">
        <f t="shared" si="24"/>
        <v>MAC628YM8</v>
      </c>
      <c r="R150" t="str">
        <f t="shared" si="25"/>
        <v>Dyna Flo 6-2-8YM8</v>
      </c>
      <c r="S150" s="32">
        <f t="shared" si="26"/>
        <v>247.51499999999996</v>
      </c>
      <c r="U150" t="s">
        <v>330</v>
      </c>
      <c r="V150" s="32">
        <v>247.51499999999996</v>
      </c>
    </row>
    <row r="151" spans="2:22" x14ac:dyDescent="0.25">
      <c r="B151" s="1" t="s">
        <v>195</v>
      </c>
      <c r="C151" s="2" t="s">
        <v>196</v>
      </c>
      <c r="D151" s="2" t="s">
        <v>285</v>
      </c>
      <c r="E151" s="2" t="s">
        <v>297</v>
      </c>
      <c r="F151" s="3">
        <f t="shared" si="28"/>
        <v>44859</v>
      </c>
      <c r="G151" s="4">
        <f t="shared" si="21"/>
        <v>10</v>
      </c>
      <c r="H151" s="4">
        <f t="shared" si="22"/>
        <v>2022</v>
      </c>
      <c r="I151" s="2" t="s">
        <v>4</v>
      </c>
      <c r="J151" s="2" t="s">
        <v>414</v>
      </c>
      <c r="K151" s="2" t="s">
        <v>415</v>
      </c>
      <c r="L151" s="2" t="s">
        <v>416</v>
      </c>
      <c r="M151" s="2" t="s">
        <v>417</v>
      </c>
      <c r="N151" s="4" t="str">
        <f t="shared" si="23"/>
        <v>GAL</v>
      </c>
      <c r="O151" s="5">
        <v>90</v>
      </c>
      <c r="Q151" t="str">
        <f t="shared" si="24"/>
        <v>PHURYPHOS30</v>
      </c>
      <c r="R151" t="str">
        <f t="shared" si="25"/>
        <v>pHury Phos</v>
      </c>
      <c r="S151" s="32">
        <f t="shared" si="26"/>
        <v>510</v>
      </c>
      <c r="U151" t="s">
        <v>416</v>
      </c>
      <c r="V151" s="32">
        <v>510</v>
      </c>
    </row>
    <row r="152" spans="2:22" x14ac:dyDescent="0.25">
      <c r="B152" s="1" t="s">
        <v>195</v>
      </c>
      <c r="C152" s="2" t="s">
        <v>196</v>
      </c>
      <c r="D152" s="2" t="s">
        <v>418</v>
      </c>
      <c r="E152" s="2" t="s">
        <v>419</v>
      </c>
      <c r="F152" s="3">
        <f t="shared" si="28"/>
        <v>44859</v>
      </c>
      <c r="G152" s="4">
        <f t="shared" si="21"/>
        <v>10</v>
      </c>
      <c r="H152" s="4">
        <f t="shared" si="22"/>
        <v>2022</v>
      </c>
      <c r="I152" s="2" t="s">
        <v>4</v>
      </c>
      <c r="J152" s="2" t="s">
        <v>420</v>
      </c>
      <c r="K152" s="2" t="s">
        <v>334</v>
      </c>
      <c r="L152" s="2" t="s">
        <v>335</v>
      </c>
      <c r="M152" s="2" t="s">
        <v>119</v>
      </c>
      <c r="N152" s="4" t="str">
        <f t="shared" si="23"/>
        <v>TON</v>
      </c>
      <c r="O152" s="5">
        <v>7.5</v>
      </c>
      <c r="Q152" t="str">
        <f t="shared" si="24"/>
        <v>MAC628YZ1</v>
      </c>
      <c r="R152" t="str">
        <f t="shared" si="25"/>
        <v>Dyna Flo 6-2-8YZ1</v>
      </c>
      <c r="S152" s="32">
        <f t="shared" si="26"/>
        <v>68.62</v>
      </c>
      <c r="U152" t="s">
        <v>335</v>
      </c>
      <c r="V152" s="32">
        <v>68.62</v>
      </c>
    </row>
    <row r="153" spans="2:22" x14ac:dyDescent="0.25">
      <c r="B153" s="1" t="s">
        <v>195</v>
      </c>
      <c r="C153" s="2" t="s">
        <v>196</v>
      </c>
      <c r="D153" s="2" t="s">
        <v>418</v>
      </c>
      <c r="E153" s="2" t="s">
        <v>419</v>
      </c>
      <c r="F153" s="3">
        <f t="shared" si="28"/>
        <v>44859</v>
      </c>
      <c r="G153" s="4">
        <f t="shared" si="21"/>
        <v>10</v>
      </c>
      <c r="H153" s="4">
        <f t="shared" si="22"/>
        <v>2022</v>
      </c>
      <c r="I153" s="2" t="s">
        <v>4</v>
      </c>
      <c r="J153" s="2" t="s">
        <v>421</v>
      </c>
      <c r="K153" s="2" t="s">
        <v>422</v>
      </c>
      <c r="L153" s="2" t="s">
        <v>423</v>
      </c>
      <c r="M153" s="2" t="s">
        <v>119</v>
      </c>
      <c r="N153" s="4" t="str">
        <f t="shared" si="23"/>
        <v>TON</v>
      </c>
      <c r="O153" s="5">
        <v>7.5</v>
      </c>
      <c r="Q153" t="str">
        <f t="shared" si="24"/>
        <v>MAC527YM18</v>
      </c>
      <c r="R153" t="str">
        <f t="shared" si="25"/>
        <v>Dyna Flo 5-2-7YM18</v>
      </c>
      <c r="S153" s="32">
        <f t="shared" si="26"/>
        <v>35.25</v>
      </c>
      <c r="U153" t="s">
        <v>423</v>
      </c>
      <c r="V153" s="32">
        <v>35.25</v>
      </c>
    </row>
    <row r="154" spans="2:22" x14ac:dyDescent="0.25">
      <c r="B154" s="1" t="s">
        <v>195</v>
      </c>
      <c r="C154" s="2" t="s">
        <v>196</v>
      </c>
      <c r="D154" s="2" t="s">
        <v>374</v>
      </c>
      <c r="E154" s="2" t="s">
        <v>424</v>
      </c>
      <c r="F154" s="3">
        <f t="shared" si="28"/>
        <v>44859</v>
      </c>
      <c r="G154" s="4">
        <f t="shared" si="21"/>
        <v>10</v>
      </c>
      <c r="H154" s="4">
        <f t="shared" si="22"/>
        <v>2022</v>
      </c>
      <c r="I154" s="2" t="s">
        <v>4</v>
      </c>
      <c r="J154" s="2" t="s">
        <v>425</v>
      </c>
      <c r="K154" s="2" t="s">
        <v>329</v>
      </c>
      <c r="L154" s="2" t="s">
        <v>330</v>
      </c>
      <c r="M154" s="2" t="s">
        <v>119</v>
      </c>
      <c r="N154" s="4" t="str">
        <f t="shared" si="23"/>
        <v>TON</v>
      </c>
      <c r="O154" s="5">
        <v>2.5</v>
      </c>
      <c r="Q154" t="str">
        <f t="shared" si="24"/>
        <v>MAC628YM8</v>
      </c>
      <c r="R154" t="str">
        <f t="shared" si="25"/>
        <v>Dyna Flo 6-2-8YM8</v>
      </c>
      <c r="S154" s="32">
        <f t="shared" si="26"/>
        <v>247.51499999999996</v>
      </c>
      <c r="U154" t="s">
        <v>330</v>
      </c>
      <c r="V154" s="32">
        <v>247.51499999999996</v>
      </c>
    </row>
    <row r="155" spans="2:22" x14ac:dyDescent="0.25">
      <c r="B155" s="1" t="s">
        <v>195</v>
      </c>
      <c r="C155" s="2" t="s">
        <v>196</v>
      </c>
      <c r="D155" s="2" t="s">
        <v>310</v>
      </c>
      <c r="E155" s="2" t="s">
        <v>426</v>
      </c>
      <c r="F155" s="3">
        <f t="shared" si="28"/>
        <v>44859</v>
      </c>
      <c r="G155" s="4">
        <f t="shared" si="21"/>
        <v>10</v>
      </c>
      <c r="H155" s="4">
        <f t="shared" si="22"/>
        <v>2022</v>
      </c>
      <c r="I155" s="2" t="s">
        <v>4</v>
      </c>
      <c r="J155" s="2" t="s">
        <v>427</v>
      </c>
      <c r="K155" s="2" t="s">
        <v>428</v>
      </c>
      <c r="L155" s="2" t="s">
        <v>429</v>
      </c>
      <c r="M155" s="2" t="s">
        <v>119</v>
      </c>
      <c r="N155" s="4" t="str">
        <f t="shared" si="23"/>
        <v>TON</v>
      </c>
      <c r="O155" s="5">
        <v>2</v>
      </c>
      <c r="Q155" t="str">
        <f t="shared" si="24"/>
        <v>MAC727YM3</v>
      </c>
      <c r="R155" t="str">
        <f t="shared" si="25"/>
        <v>Dyna Flo 7-2-7YM3</v>
      </c>
      <c r="S155" s="32">
        <f t="shared" si="26"/>
        <v>5.0125000000000002</v>
      </c>
      <c r="U155" t="s">
        <v>429</v>
      </c>
      <c r="V155" s="32">
        <v>5.0125000000000002</v>
      </c>
    </row>
    <row r="156" spans="2:22" x14ac:dyDescent="0.25">
      <c r="B156" s="1" t="s">
        <v>195</v>
      </c>
      <c r="C156" s="2" t="s">
        <v>196</v>
      </c>
      <c r="D156" s="2" t="s">
        <v>299</v>
      </c>
      <c r="E156" s="2" t="s">
        <v>398</v>
      </c>
      <c r="F156" s="3">
        <f t="shared" si="28"/>
        <v>44859</v>
      </c>
      <c r="G156" s="4">
        <f t="shared" si="21"/>
        <v>10</v>
      </c>
      <c r="H156" s="4">
        <f t="shared" si="22"/>
        <v>2022</v>
      </c>
      <c r="I156" s="2" t="s">
        <v>4</v>
      </c>
      <c r="J156" s="2" t="s">
        <v>430</v>
      </c>
      <c r="K156" s="2" t="s">
        <v>117</v>
      </c>
      <c r="L156" s="2" t="s">
        <v>118</v>
      </c>
      <c r="M156" s="2" t="s">
        <v>119</v>
      </c>
      <c r="N156" s="4" t="str">
        <f t="shared" si="23"/>
        <v>TON</v>
      </c>
      <c r="O156" s="5">
        <v>15</v>
      </c>
      <c r="Q156" t="str">
        <f t="shared" si="24"/>
        <v>MAC428YM8</v>
      </c>
      <c r="R156" t="str">
        <f t="shared" si="25"/>
        <v>Dyna Flo 4-2-8YM8</v>
      </c>
      <c r="S156" s="32">
        <f t="shared" si="26"/>
        <v>517.73950000000002</v>
      </c>
      <c r="U156" t="s">
        <v>118</v>
      </c>
      <c r="V156" s="32">
        <v>517.73950000000002</v>
      </c>
    </row>
    <row r="157" spans="2:22" x14ac:dyDescent="0.25">
      <c r="B157" s="1" t="s">
        <v>195</v>
      </c>
      <c r="C157" s="2" t="s">
        <v>196</v>
      </c>
      <c r="D157" s="2" t="s">
        <v>317</v>
      </c>
      <c r="E157" s="2" t="s">
        <v>366</v>
      </c>
      <c r="F157" s="3">
        <f t="shared" ref="F157:F165" si="29">DATE(2022,10,26)</f>
        <v>44860</v>
      </c>
      <c r="G157" s="4">
        <f t="shared" si="21"/>
        <v>10</v>
      </c>
      <c r="H157" s="4">
        <f t="shared" si="22"/>
        <v>2022</v>
      </c>
      <c r="I157" s="2" t="s">
        <v>4</v>
      </c>
      <c r="J157" s="2" t="s">
        <v>431</v>
      </c>
      <c r="K157" s="2" t="s">
        <v>117</v>
      </c>
      <c r="L157" s="2" t="s">
        <v>118</v>
      </c>
      <c r="M157" s="2" t="s">
        <v>119</v>
      </c>
      <c r="N157" s="4" t="str">
        <f t="shared" si="23"/>
        <v>TON</v>
      </c>
      <c r="O157" s="5">
        <v>12.55</v>
      </c>
      <c r="Q157" t="str">
        <f t="shared" si="24"/>
        <v>MAC428YM8</v>
      </c>
      <c r="R157" t="str">
        <f t="shared" si="25"/>
        <v>Dyna Flo 4-2-8YM8</v>
      </c>
      <c r="S157" s="32">
        <f t="shared" si="26"/>
        <v>517.73950000000002</v>
      </c>
      <c r="U157" t="s">
        <v>118</v>
      </c>
      <c r="V157" s="32">
        <v>517.73950000000002</v>
      </c>
    </row>
    <row r="158" spans="2:22" x14ac:dyDescent="0.25">
      <c r="B158" s="1" t="s">
        <v>195</v>
      </c>
      <c r="C158" s="2" t="s">
        <v>196</v>
      </c>
      <c r="D158" s="2" t="s">
        <v>331</v>
      </c>
      <c r="E158" s="2" t="s">
        <v>432</v>
      </c>
      <c r="F158" s="3">
        <f t="shared" si="29"/>
        <v>44860</v>
      </c>
      <c r="G158" s="4">
        <f t="shared" si="21"/>
        <v>10</v>
      </c>
      <c r="H158" s="4">
        <f t="shared" si="22"/>
        <v>2022</v>
      </c>
      <c r="I158" s="2" t="s">
        <v>4</v>
      </c>
      <c r="J158" s="2" t="s">
        <v>433</v>
      </c>
      <c r="K158" s="2" t="s">
        <v>334</v>
      </c>
      <c r="L158" s="2" t="s">
        <v>335</v>
      </c>
      <c r="M158" s="2" t="s">
        <v>119</v>
      </c>
      <c r="N158" s="4" t="str">
        <f t="shared" si="23"/>
        <v>TON</v>
      </c>
      <c r="O158" s="5">
        <v>5.0199999999999996</v>
      </c>
      <c r="Q158" t="str">
        <f t="shared" si="24"/>
        <v>MAC628YZ1</v>
      </c>
      <c r="R158" t="str">
        <f t="shared" si="25"/>
        <v>Dyna Flo 6-2-8YZ1</v>
      </c>
      <c r="S158" s="32">
        <f t="shared" si="26"/>
        <v>68.62</v>
      </c>
      <c r="U158" t="s">
        <v>335</v>
      </c>
      <c r="V158" s="32">
        <v>68.62</v>
      </c>
    </row>
    <row r="159" spans="2:22" x14ac:dyDescent="0.25">
      <c r="B159" s="1" t="s">
        <v>195</v>
      </c>
      <c r="C159" s="2" t="s">
        <v>196</v>
      </c>
      <c r="D159" s="2" t="s">
        <v>280</v>
      </c>
      <c r="E159" s="2" t="s">
        <v>434</v>
      </c>
      <c r="F159" s="3">
        <f t="shared" si="29"/>
        <v>44860</v>
      </c>
      <c r="G159" s="4">
        <f t="shared" si="21"/>
        <v>10</v>
      </c>
      <c r="H159" s="4">
        <f t="shared" si="22"/>
        <v>2022</v>
      </c>
      <c r="I159" s="2" t="s">
        <v>4</v>
      </c>
      <c r="J159" s="2" t="s">
        <v>435</v>
      </c>
      <c r="K159" s="2" t="s">
        <v>117</v>
      </c>
      <c r="L159" s="2" t="s">
        <v>118</v>
      </c>
      <c r="M159" s="2" t="s">
        <v>119</v>
      </c>
      <c r="N159" s="4" t="str">
        <f t="shared" si="23"/>
        <v>TON</v>
      </c>
      <c r="O159" s="5">
        <v>7.5</v>
      </c>
      <c r="Q159" t="str">
        <f t="shared" si="24"/>
        <v>MAC428YM8</v>
      </c>
      <c r="R159" t="str">
        <f t="shared" si="25"/>
        <v>Dyna Flo 4-2-8YM8</v>
      </c>
      <c r="S159" s="32">
        <f t="shared" si="26"/>
        <v>517.73950000000002</v>
      </c>
      <c r="U159" t="s">
        <v>118</v>
      </c>
      <c r="V159" s="32">
        <v>517.73950000000002</v>
      </c>
    </row>
    <row r="160" spans="2:22" x14ac:dyDescent="0.25">
      <c r="B160" s="1" t="s">
        <v>195</v>
      </c>
      <c r="C160" s="2" t="s">
        <v>196</v>
      </c>
      <c r="D160" s="2" t="s">
        <v>262</v>
      </c>
      <c r="E160" s="2" t="s">
        <v>263</v>
      </c>
      <c r="F160" s="3">
        <f t="shared" si="29"/>
        <v>44860</v>
      </c>
      <c r="G160" s="4">
        <f t="shared" si="21"/>
        <v>10</v>
      </c>
      <c r="H160" s="4">
        <f t="shared" si="22"/>
        <v>2022</v>
      </c>
      <c r="I160" s="2" t="s">
        <v>4</v>
      </c>
      <c r="J160" s="2" t="s">
        <v>436</v>
      </c>
      <c r="K160" s="2" t="s">
        <v>329</v>
      </c>
      <c r="L160" s="2" t="s">
        <v>330</v>
      </c>
      <c r="M160" s="2" t="s">
        <v>119</v>
      </c>
      <c r="N160" s="4" t="str">
        <f t="shared" si="23"/>
        <v>TON</v>
      </c>
      <c r="O160" s="5">
        <v>10.7425</v>
      </c>
      <c r="Q160" t="str">
        <f t="shared" si="24"/>
        <v>MAC628YM8</v>
      </c>
      <c r="R160" t="str">
        <f t="shared" si="25"/>
        <v>Dyna Flo 6-2-8YM8</v>
      </c>
      <c r="S160" s="32">
        <f t="shared" si="26"/>
        <v>247.51499999999996</v>
      </c>
      <c r="U160" t="s">
        <v>330</v>
      </c>
      <c r="V160" s="32">
        <v>247.51499999999996</v>
      </c>
    </row>
    <row r="161" spans="2:22" x14ac:dyDescent="0.25">
      <c r="B161" s="1" t="s">
        <v>195</v>
      </c>
      <c r="C161" s="2" t="s">
        <v>196</v>
      </c>
      <c r="D161" s="2" t="s">
        <v>437</v>
      </c>
      <c r="E161" s="2" t="s">
        <v>438</v>
      </c>
      <c r="F161" s="3">
        <f t="shared" si="29"/>
        <v>44860</v>
      </c>
      <c r="G161" s="4">
        <f t="shared" si="21"/>
        <v>10</v>
      </c>
      <c r="H161" s="4">
        <f t="shared" si="22"/>
        <v>2022</v>
      </c>
      <c r="I161" s="2" t="s">
        <v>4</v>
      </c>
      <c r="J161" s="2" t="s">
        <v>439</v>
      </c>
      <c r="K161" s="2" t="s">
        <v>205</v>
      </c>
      <c r="L161" s="2" t="s">
        <v>206</v>
      </c>
      <c r="M161" s="2" t="s">
        <v>119</v>
      </c>
      <c r="N161" s="4" t="str">
        <f t="shared" si="23"/>
        <v>TON</v>
      </c>
      <c r="O161" s="5">
        <v>2.5</v>
      </c>
      <c r="Q161" t="str">
        <f t="shared" si="24"/>
        <v>MAC927YM3</v>
      </c>
      <c r="R161" t="str">
        <f t="shared" si="25"/>
        <v>Dyna Flo 9-2-7YM3</v>
      </c>
      <c r="S161" s="32">
        <f t="shared" si="26"/>
        <v>284.6674999999999</v>
      </c>
      <c r="U161" t="s">
        <v>206</v>
      </c>
      <c r="V161" s="32">
        <v>284.6674999999999</v>
      </c>
    </row>
    <row r="162" spans="2:22" x14ac:dyDescent="0.25">
      <c r="B162" s="1" t="s">
        <v>195</v>
      </c>
      <c r="C162" s="2" t="s">
        <v>196</v>
      </c>
      <c r="D162" s="2" t="s">
        <v>440</v>
      </c>
      <c r="E162" s="2" t="s">
        <v>441</v>
      </c>
      <c r="F162" s="3">
        <f t="shared" si="29"/>
        <v>44860</v>
      </c>
      <c r="G162" s="4">
        <f t="shared" si="21"/>
        <v>10</v>
      </c>
      <c r="H162" s="4">
        <f t="shared" si="22"/>
        <v>2022</v>
      </c>
      <c r="I162" s="2" t="s">
        <v>4</v>
      </c>
      <c r="J162" s="2" t="s">
        <v>442</v>
      </c>
      <c r="K162" s="2" t="s">
        <v>122</v>
      </c>
      <c r="L162" s="2" t="s">
        <v>123</v>
      </c>
      <c r="M162" s="2" t="s">
        <v>119</v>
      </c>
      <c r="N162" s="4" t="str">
        <f t="shared" si="23"/>
        <v>TON</v>
      </c>
      <c r="O162" s="5">
        <v>7.5324999999999998</v>
      </c>
      <c r="Q162" t="str">
        <f t="shared" si="24"/>
        <v>MAC528YZ</v>
      </c>
      <c r="R162" t="str">
        <f t="shared" si="25"/>
        <v>Dyna Flo 5-2-8 YZ</v>
      </c>
      <c r="S162" s="32">
        <f t="shared" si="26"/>
        <v>395.40750000000003</v>
      </c>
      <c r="U162" t="s">
        <v>123</v>
      </c>
      <c r="V162" s="32">
        <v>395.40750000000003</v>
      </c>
    </row>
    <row r="163" spans="2:22" x14ac:dyDescent="0.25">
      <c r="B163" s="1" t="s">
        <v>195</v>
      </c>
      <c r="C163" s="2" t="s">
        <v>196</v>
      </c>
      <c r="D163" s="2" t="s">
        <v>215</v>
      </c>
      <c r="E163" s="2" t="s">
        <v>216</v>
      </c>
      <c r="F163" s="3">
        <f t="shared" si="29"/>
        <v>44860</v>
      </c>
      <c r="G163" s="4">
        <f t="shared" si="21"/>
        <v>10</v>
      </c>
      <c r="H163" s="4">
        <f t="shared" si="22"/>
        <v>2022</v>
      </c>
      <c r="I163" s="2" t="s">
        <v>4</v>
      </c>
      <c r="J163" s="2" t="s">
        <v>443</v>
      </c>
      <c r="K163" s="2" t="s">
        <v>329</v>
      </c>
      <c r="L163" s="2" t="s">
        <v>330</v>
      </c>
      <c r="M163" s="2" t="s">
        <v>119</v>
      </c>
      <c r="N163" s="4" t="str">
        <f t="shared" si="23"/>
        <v>TON</v>
      </c>
      <c r="O163" s="5">
        <v>1.2749999999999999</v>
      </c>
      <c r="Q163" t="str">
        <f t="shared" si="24"/>
        <v>MAC628YM8</v>
      </c>
      <c r="R163" t="str">
        <f t="shared" si="25"/>
        <v>Dyna Flo 6-2-8YM8</v>
      </c>
      <c r="S163" s="32">
        <f t="shared" si="26"/>
        <v>247.51499999999996</v>
      </c>
      <c r="U163" t="s">
        <v>330</v>
      </c>
      <c r="V163" s="32">
        <v>247.51499999999996</v>
      </c>
    </row>
    <row r="164" spans="2:22" x14ac:dyDescent="0.25">
      <c r="B164" s="1" t="s">
        <v>195</v>
      </c>
      <c r="C164" s="2" t="s">
        <v>196</v>
      </c>
      <c r="D164" s="2" t="s">
        <v>444</v>
      </c>
      <c r="E164" s="2" t="s">
        <v>445</v>
      </c>
      <c r="F164" s="3">
        <f t="shared" si="29"/>
        <v>44860</v>
      </c>
      <c r="G164" s="4">
        <f t="shared" si="21"/>
        <v>10</v>
      </c>
      <c r="H164" s="4">
        <f t="shared" si="22"/>
        <v>2022</v>
      </c>
      <c r="I164" s="2" t="s">
        <v>4</v>
      </c>
      <c r="J164" s="2" t="s">
        <v>446</v>
      </c>
      <c r="K164" s="2" t="s">
        <v>447</v>
      </c>
      <c r="L164" s="2" t="s">
        <v>448</v>
      </c>
      <c r="M164" s="2" t="s">
        <v>119</v>
      </c>
      <c r="N164" s="4" t="str">
        <f t="shared" si="23"/>
        <v>TON</v>
      </c>
      <c r="O164" s="5">
        <v>2.5249999999999999</v>
      </c>
      <c r="Q164" t="str">
        <f t="shared" si="24"/>
        <v>MAC727YM15</v>
      </c>
      <c r="R164" t="str">
        <f t="shared" si="25"/>
        <v>Dyna Flo 7-2-7YM15</v>
      </c>
      <c r="S164" s="32">
        <f t="shared" si="26"/>
        <v>113.6925</v>
      </c>
      <c r="U164" t="s">
        <v>448</v>
      </c>
      <c r="V164" s="32">
        <v>113.6925</v>
      </c>
    </row>
    <row r="165" spans="2:22" x14ac:dyDescent="0.25">
      <c r="B165" s="1" t="s">
        <v>195</v>
      </c>
      <c r="C165" s="2" t="s">
        <v>196</v>
      </c>
      <c r="D165" s="2" t="s">
        <v>449</v>
      </c>
      <c r="E165" s="2" t="s">
        <v>450</v>
      </c>
      <c r="F165" s="3">
        <f t="shared" si="29"/>
        <v>44860</v>
      </c>
      <c r="G165" s="4">
        <f t="shared" si="21"/>
        <v>10</v>
      </c>
      <c r="H165" s="4">
        <f t="shared" si="22"/>
        <v>2022</v>
      </c>
      <c r="I165" s="2" t="s">
        <v>4</v>
      </c>
      <c r="J165" s="2" t="s">
        <v>451</v>
      </c>
      <c r="K165" s="2" t="s">
        <v>329</v>
      </c>
      <c r="L165" s="2" t="s">
        <v>330</v>
      </c>
      <c r="M165" s="2" t="s">
        <v>119</v>
      </c>
      <c r="N165" s="4" t="str">
        <f t="shared" si="23"/>
        <v>TON</v>
      </c>
      <c r="O165" s="5">
        <v>2.5024999999999999</v>
      </c>
      <c r="Q165" t="str">
        <f t="shared" si="24"/>
        <v>MAC628YM8</v>
      </c>
      <c r="R165" t="str">
        <f t="shared" si="25"/>
        <v>Dyna Flo 6-2-8YM8</v>
      </c>
      <c r="S165" s="32">
        <f t="shared" si="26"/>
        <v>247.51499999999996</v>
      </c>
      <c r="U165" t="s">
        <v>330</v>
      </c>
      <c r="V165" s="32">
        <v>247.51499999999996</v>
      </c>
    </row>
    <row r="166" spans="2:22" x14ac:dyDescent="0.25">
      <c r="B166" s="1" t="s">
        <v>195</v>
      </c>
      <c r="C166" s="2" t="s">
        <v>196</v>
      </c>
      <c r="D166" s="2" t="s">
        <v>452</v>
      </c>
      <c r="E166" s="2" t="s">
        <v>453</v>
      </c>
      <c r="F166" s="3">
        <f t="shared" ref="F166:F172" si="30">DATE(2022,10,27)</f>
        <v>44861</v>
      </c>
      <c r="G166" s="4">
        <f t="shared" si="21"/>
        <v>10</v>
      </c>
      <c r="H166" s="4">
        <f t="shared" si="22"/>
        <v>2022</v>
      </c>
      <c r="I166" s="2" t="s">
        <v>4</v>
      </c>
      <c r="J166" s="2" t="s">
        <v>454</v>
      </c>
      <c r="K166" s="2" t="s">
        <v>205</v>
      </c>
      <c r="L166" s="2" t="s">
        <v>206</v>
      </c>
      <c r="M166" s="2" t="s">
        <v>119</v>
      </c>
      <c r="N166" s="4" t="str">
        <f t="shared" si="23"/>
        <v>TON</v>
      </c>
      <c r="O166" s="5">
        <v>2.5074999999999998</v>
      </c>
      <c r="Q166" t="str">
        <f t="shared" si="24"/>
        <v>MAC927YM3</v>
      </c>
      <c r="R166" t="str">
        <f t="shared" si="25"/>
        <v>Dyna Flo 9-2-7YM3</v>
      </c>
      <c r="S166" s="32">
        <f t="shared" si="26"/>
        <v>284.6674999999999</v>
      </c>
      <c r="U166" t="s">
        <v>206</v>
      </c>
      <c r="V166" s="32">
        <v>284.6674999999999</v>
      </c>
    </row>
    <row r="167" spans="2:22" x14ac:dyDescent="0.25">
      <c r="B167" s="1" t="s">
        <v>195</v>
      </c>
      <c r="C167" s="2" t="s">
        <v>196</v>
      </c>
      <c r="D167" s="2" t="s">
        <v>374</v>
      </c>
      <c r="E167" s="2" t="s">
        <v>455</v>
      </c>
      <c r="F167" s="3">
        <f t="shared" si="30"/>
        <v>44861</v>
      </c>
      <c r="G167" s="4">
        <f t="shared" si="21"/>
        <v>10</v>
      </c>
      <c r="H167" s="4">
        <f t="shared" si="22"/>
        <v>2022</v>
      </c>
      <c r="I167" s="2" t="s">
        <v>4</v>
      </c>
      <c r="J167" s="2" t="s">
        <v>456</v>
      </c>
      <c r="K167" s="2" t="s">
        <v>122</v>
      </c>
      <c r="L167" s="2" t="s">
        <v>123</v>
      </c>
      <c r="M167" s="2" t="s">
        <v>119</v>
      </c>
      <c r="N167" s="4" t="str">
        <f t="shared" si="23"/>
        <v>TON</v>
      </c>
      <c r="O167" s="5">
        <v>8.0350000000000001</v>
      </c>
      <c r="Q167" t="str">
        <f t="shared" si="24"/>
        <v>MAC528YZ</v>
      </c>
      <c r="R167" t="str">
        <f t="shared" si="25"/>
        <v>Dyna Flo 5-2-8 YZ</v>
      </c>
      <c r="S167" s="32">
        <f t="shared" si="26"/>
        <v>395.40750000000003</v>
      </c>
      <c r="U167" t="s">
        <v>123</v>
      </c>
      <c r="V167" s="32">
        <v>395.40750000000003</v>
      </c>
    </row>
    <row r="168" spans="2:22" x14ac:dyDescent="0.25">
      <c r="B168" s="1" t="s">
        <v>195</v>
      </c>
      <c r="C168" s="2" t="s">
        <v>196</v>
      </c>
      <c r="D168" s="2" t="s">
        <v>207</v>
      </c>
      <c r="E168" s="2" t="s">
        <v>208</v>
      </c>
      <c r="F168" s="3">
        <f t="shared" si="30"/>
        <v>44861</v>
      </c>
      <c r="G168" s="4">
        <f t="shared" si="21"/>
        <v>10</v>
      </c>
      <c r="H168" s="4">
        <f t="shared" si="22"/>
        <v>2022</v>
      </c>
      <c r="I168" s="2" t="s">
        <v>4</v>
      </c>
      <c r="J168" s="2" t="s">
        <v>457</v>
      </c>
      <c r="K168" s="2" t="s">
        <v>205</v>
      </c>
      <c r="L168" s="2" t="s">
        <v>206</v>
      </c>
      <c r="M168" s="2" t="s">
        <v>119</v>
      </c>
      <c r="N168" s="4" t="str">
        <f t="shared" si="23"/>
        <v>TON</v>
      </c>
      <c r="O168" s="5">
        <v>2.4975000000000001</v>
      </c>
      <c r="Q168" t="str">
        <f t="shared" si="24"/>
        <v>MAC927YM3</v>
      </c>
      <c r="R168" t="str">
        <f t="shared" si="25"/>
        <v>Dyna Flo 9-2-7YM3</v>
      </c>
      <c r="S168" s="32">
        <f t="shared" si="26"/>
        <v>284.6674999999999</v>
      </c>
      <c r="U168" t="s">
        <v>206</v>
      </c>
      <c r="V168" s="32">
        <v>284.6674999999999</v>
      </c>
    </row>
    <row r="169" spans="2:22" x14ac:dyDescent="0.25">
      <c r="B169" s="1" t="s">
        <v>195</v>
      </c>
      <c r="C169" s="2" t="s">
        <v>196</v>
      </c>
      <c r="D169" s="2" t="s">
        <v>458</v>
      </c>
      <c r="E169" s="2" t="s">
        <v>459</v>
      </c>
      <c r="F169" s="3">
        <f t="shared" si="30"/>
        <v>44861</v>
      </c>
      <c r="G169" s="4">
        <f t="shared" si="21"/>
        <v>10</v>
      </c>
      <c r="H169" s="4">
        <f t="shared" si="22"/>
        <v>2022</v>
      </c>
      <c r="I169" s="2" t="s">
        <v>4</v>
      </c>
      <c r="J169" s="2" t="s">
        <v>460</v>
      </c>
      <c r="K169" s="2" t="s">
        <v>447</v>
      </c>
      <c r="L169" s="2" t="s">
        <v>448</v>
      </c>
      <c r="M169" s="2" t="s">
        <v>119</v>
      </c>
      <c r="N169" s="4" t="str">
        <f t="shared" si="23"/>
        <v>TON</v>
      </c>
      <c r="O169" s="5">
        <v>10</v>
      </c>
      <c r="Q169" t="str">
        <f t="shared" si="24"/>
        <v>MAC727YM15</v>
      </c>
      <c r="R169" t="str">
        <f t="shared" si="25"/>
        <v>Dyna Flo 7-2-7YM15</v>
      </c>
      <c r="S169" s="32">
        <f t="shared" si="26"/>
        <v>113.6925</v>
      </c>
      <c r="U169" t="s">
        <v>448</v>
      </c>
      <c r="V169" s="32">
        <v>113.6925</v>
      </c>
    </row>
    <row r="170" spans="2:22" x14ac:dyDescent="0.25">
      <c r="B170" s="1" t="s">
        <v>195</v>
      </c>
      <c r="C170" s="2" t="s">
        <v>196</v>
      </c>
      <c r="D170" s="2" t="s">
        <v>265</v>
      </c>
      <c r="E170" s="2" t="s">
        <v>266</v>
      </c>
      <c r="F170" s="3">
        <f t="shared" si="30"/>
        <v>44861</v>
      </c>
      <c r="G170" s="4">
        <f t="shared" si="21"/>
        <v>10</v>
      </c>
      <c r="H170" s="4">
        <f t="shared" si="22"/>
        <v>2022</v>
      </c>
      <c r="I170" s="2" t="s">
        <v>4</v>
      </c>
      <c r="J170" s="2" t="s">
        <v>461</v>
      </c>
      <c r="K170" s="2" t="s">
        <v>268</v>
      </c>
      <c r="L170" s="2" t="s">
        <v>269</v>
      </c>
      <c r="M170" s="2" t="s">
        <v>119</v>
      </c>
      <c r="N170" s="4" t="str">
        <f t="shared" si="23"/>
        <v>TON</v>
      </c>
      <c r="O170" s="5">
        <v>0.15</v>
      </c>
      <c r="Q170" t="str">
        <f t="shared" si="24"/>
        <v>MAC927YM1</v>
      </c>
      <c r="R170" t="str">
        <f t="shared" si="25"/>
        <v>Dyna Flo 9-2-7YM1</v>
      </c>
      <c r="S170" s="32">
        <f t="shared" si="26"/>
        <v>2.5249999999999995</v>
      </c>
      <c r="U170" t="s">
        <v>269</v>
      </c>
      <c r="V170" s="32">
        <v>2.5249999999999995</v>
      </c>
    </row>
    <row r="171" spans="2:22" x14ac:dyDescent="0.25">
      <c r="B171" s="1" t="s">
        <v>195</v>
      </c>
      <c r="C171" s="2" t="s">
        <v>196</v>
      </c>
      <c r="D171" s="2" t="s">
        <v>280</v>
      </c>
      <c r="E171" s="2" t="s">
        <v>462</v>
      </c>
      <c r="F171" s="3">
        <f t="shared" si="30"/>
        <v>44861</v>
      </c>
      <c r="G171" s="4">
        <f t="shared" si="21"/>
        <v>10</v>
      </c>
      <c r="H171" s="4">
        <f t="shared" si="22"/>
        <v>2022</v>
      </c>
      <c r="I171" s="2" t="s">
        <v>4</v>
      </c>
      <c r="J171" s="2" t="s">
        <v>463</v>
      </c>
      <c r="K171" s="2" t="s">
        <v>117</v>
      </c>
      <c r="L171" s="2" t="s">
        <v>118</v>
      </c>
      <c r="M171" s="2" t="s">
        <v>119</v>
      </c>
      <c r="N171" s="4" t="str">
        <f t="shared" si="23"/>
        <v>TON</v>
      </c>
      <c r="O171" s="5">
        <v>2.4975000000000001</v>
      </c>
      <c r="Q171" t="str">
        <f t="shared" si="24"/>
        <v>MAC428YM8</v>
      </c>
      <c r="R171" t="str">
        <f t="shared" si="25"/>
        <v>Dyna Flo 4-2-8YM8</v>
      </c>
      <c r="S171" s="32">
        <f t="shared" si="26"/>
        <v>517.73950000000002</v>
      </c>
      <c r="U171" t="s">
        <v>118</v>
      </c>
      <c r="V171" s="32">
        <v>517.73950000000002</v>
      </c>
    </row>
    <row r="172" spans="2:22" x14ac:dyDescent="0.25">
      <c r="B172" s="1" t="s">
        <v>195</v>
      </c>
      <c r="C172" s="2" t="s">
        <v>196</v>
      </c>
      <c r="D172" s="2" t="s">
        <v>280</v>
      </c>
      <c r="E172" s="2" t="s">
        <v>464</v>
      </c>
      <c r="F172" s="3">
        <f t="shared" si="30"/>
        <v>44861</v>
      </c>
      <c r="G172" s="4">
        <f t="shared" si="21"/>
        <v>10</v>
      </c>
      <c r="H172" s="4">
        <f t="shared" si="22"/>
        <v>2022</v>
      </c>
      <c r="I172" s="2" t="s">
        <v>4</v>
      </c>
      <c r="J172" s="2" t="s">
        <v>465</v>
      </c>
      <c r="K172" s="2" t="s">
        <v>117</v>
      </c>
      <c r="L172" s="2" t="s">
        <v>118</v>
      </c>
      <c r="M172" s="2" t="s">
        <v>119</v>
      </c>
      <c r="N172" s="4" t="str">
        <f t="shared" si="23"/>
        <v>TON</v>
      </c>
      <c r="O172" s="5">
        <v>10.005000000000001</v>
      </c>
      <c r="Q172" t="str">
        <f t="shared" si="24"/>
        <v>MAC428YM8</v>
      </c>
      <c r="R172" t="str">
        <f t="shared" si="25"/>
        <v>Dyna Flo 4-2-8YM8</v>
      </c>
      <c r="S172" s="32">
        <f t="shared" si="26"/>
        <v>517.73950000000002</v>
      </c>
      <c r="U172" t="s">
        <v>118</v>
      </c>
      <c r="V172" s="32">
        <v>517.73950000000002</v>
      </c>
    </row>
    <row r="173" spans="2:22" x14ac:dyDescent="0.25">
      <c r="B173" s="1" t="s">
        <v>195</v>
      </c>
      <c r="C173" s="2" t="s">
        <v>196</v>
      </c>
      <c r="D173" s="2" t="s">
        <v>221</v>
      </c>
      <c r="E173" s="2" t="s">
        <v>332</v>
      </c>
      <c r="F173" s="3">
        <f t="shared" ref="F173:F179" si="31">DATE(2022,10,28)</f>
        <v>44862</v>
      </c>
      <c r="G173" s="4">
        <f t="shared" si="21"/>
        <v>10</v>
      </c>
      <c r="H173" s="4">
        <f t="shared" si="22"/>
        <v>2022</v>
      </c>
      <c r="I173" s="2" t="s">
        <v>4</v>
      </c>
      <c r="J173" s="2" t="s">
        <v>466</v>
      </c>
      <c r="K173" s="2" t="s">
        <v>205</v>
      </c>
      <c r="L173" s="2" t="s">
        <v>206</v>
      </c>
      <c r="M173" s="2" t="s">
        <v>119</v>
      </c>
      <c r="N173" s="4" t="str">
        <f t="shared" si="23"/>
        <v>TON</v>
      </c>
      <c r="O173" s="5">
        <v>5.0075000000000003</v>
      </c>
      <c r="Q173" t="str">
        <f t="shared" si="24"/>
        <v>MAC927YM3</v>
      </c>
      <c r="R173" t="str">
        <f t="shared" si="25"/>
        <v>Dyna Flo 9-2-7YM3</v>
      </c>
      <c r="S173" s="32">
        <f t="shared" si="26"/>
        <v>284.6674999999999</v>
      </c>
      <c r="U173" t="s">
        <v>206</v>
      </c>
      <c r="V173" s="32">
        <v>284.6674999999999</v>
      </c>
    </row>
    <row r="174" spans="2:22" x14ac:dyDescent="0.25">
      <c r="B174" s="1" t="s">
        <v>195</v>
      </c>
      <c r="C174" s="2" t="s">
        <v>196</v>
      </c>
      <c r="D174" s="2" t="s">
        <v>280</v>
      </c>
      <c r="E174" s="2" t="s">
        <v>254</v>
      </c>
      <c r="F174" s="3">
        <f t="shared" si="31"/>
        <v>44862</v>
      </c>
      <c r="G174" s="4">
        <f t="shared" si="21"/>
        <v>10</v>
      </c>
      <c r="H174" s="4">
        <f t="shared" si="22"/>
        <v>2022</v>
      </c>
      <c r="I174" s="2" t="s">
        <v>4</v>
      </c>
      <c r="J174" s="2" t="s">
        <v>467</v>
      </c>
      <c r="K174" s="2" t="s">
        <v>117</v>
      </c>
      <c r="L174" s="2" t="s">
        <v>118</v>
      </c>
      <c r="M174" s="2" t="s">
        <v>119</v>
      </c>
      <c r="N174" s="4" t="str">
        <f t="shared" si="23"/>
        <v>TON</v>
      </c>
      <c r="O174" s="5">
        <v>15.015000000000001</v>
      </c>
      <c r="Q174" t="str">
        <f t="shared" si="24"/>
        <v>MAC428YM8</v>
      </c>
      <c r="R174" t="str">
        <f t="shared" si="25"/>
        <v>Dyna Flo 4-2-8YM8</v>
      </c>
      <c r="S174" s="32">
        <f t="shared" si="26"/>
        <v>517.73950000000002</v>
      </c>
      <c r="U174" t="s">
        <v>118</v>
      </c>
      <c r="V174" s="32">
        <v>517.73950000000002</v>
      </c>
    </row>
    <row r="175" spans="2:22" x14ac:dyDescent="0.25">
      <c r="B175" s="1" t="s">
        <v>195</v>
      </c>
      <c r="C175" s="2" t="s">
        <v>196</v>
      </c>
      <c r="D175" s="2" t="s">
        <v>120</v>
      </c>
      <c r="E175" s="2" t="s">
        <v>468</v>
      </c>
      <c r="F175" s="3">
        <f t="shared" si="31"/>
        <v>44862</v>
      </c>
      <c r="G175" s="4">
        <f t="shared" si="21"/>
        <v>10</v>
      </c>
      <c r="H175" s="4">
        <f t="shared" si="22"/>
        <v>2022</v>
      </c>
      <c r="I175" s="2" t="s">
        <v>4</v>
      </c>
      <c r="J175" s="2" t="s">
        <v>469</v>
      </c>
      <c r="K175" s="2" t="s">
        <v>122</v>
      </c>
      <c r="L175" s="2" t="s">
        <v>123</v>
      </c>
      <c r="M175" s="2" t="s">
        <v>119</v>
      </c>
      <c r="N175" s="4" t="str">
        <f t="shared" si="23"/>
        <v>TON</v>
      </c>
      <c r="O175" s="5">
        <v>0.15</v>
      </c>
      <c r="Q175" t="str">
        <f t="shared" si="24"/>
        <v>MAC528YZ</v>
      </c>
      <c r="R175" t="str">
        <f t="shared" si="25"/>
        <v>Dyna Flo 5-2-8 YZ</v>
      </c>
      <c r="S175" s="32">
        <f t="shared" si="26"/>
        <v>395.40750000000003</v>
      </c>
      <c r="U175" t="s">
        <v>123</v>
      </c>
      <c r="V175" s="32">
        <v>395.40750000000003</v>
      </c>
    </row>
    <row r="176" spans="2:22" x14ac:dyDescent="0.25">
      <c r="B176" s="1" t="s">
        <v>195</v>
      </c>
      <c r="C176" s="2" t="s">
        <v>196</v>
      </c>
      <c r="D176" s="2" t="s">
        <v>294</v>
      </c>
      <c r="E176" s="2" t="s">
        <v>295</v>
      </c>
      <c r="F176" s="3">
        <f t="shared" si="31"/>
        <v>44862</v>
      </c>
      <c r="G176" s="4">
        <f t="shared" si="21"/>
        <v>10</v>
      </c>
      <c r="H176" s="4">
        <f t="shared" si="22"/>
        <v>2022</v>
      </c>
      <c r="I176" s="2" t="s">
        <v>4</v>
      </c>
      <c r="J176" s="2" t="s">
        <v>470</v>
      </c>
      <c r="K176" s="2" t="s">
        <v>471</v>
      </c>
      <c r="L176" s="2" t="s">
        <v>472</v>
      </c>
      <c r="M176" s="2" t="s">
        <v>473</v>
      </c>
      <c r="N176" s="4" t="str">
        <f t="shared" si="23"/>
        <v>GAL</v>
      </c>
      <c r="O176" s="5">
        <v>250</v>
      </c>
      <c r="Q176" t="str">
        <f t="shared" si="24"/>
        <v>OMFISHEM250</v>
      </c>
      <c r="R176" t="str">
        <f t="shared" si="25"/>
        <v>Omega Grow Fish Emulsion Protein 5-1-1</v>
      </c>
      <c r="S176" s="32">
        <f t="shared" si="26"/>
        <v>305</v>
      </c>
      <c r="U176" t="s">
        <v>472</v>
      </c>
      <c r="V176" s="32">
        <v>305</v>
      </c>
    </row>
    <row r="177" spans="2:22" x14ac:dyDescent="0.25">
      <c r="B177" s="1" t="s">
        <v>195</v>
      </c>
      <c r="C177" s="2" t="s">
        <v>196</v>
      </c>
      <c r="D177" s="2" t="s">
        <v>215</v>
      </c>
      <c r="E177" s="2" t="s">
        <v>313</v>
      </c>
      <c r="F177" s="3">
        <f t="shared" si="31"/>
        <v>44862</v>
      </c>
      <c r="G177" s="4">
        <f t="shared" si="21"/>
        <v>10</v>
      </c>
      <c r="H177" s="4">
        <f t="shared" si="22"/>
        <v>2022</v>
      </c>
      <c r="I177" s="2" t="s">
        <v>4</v>
      </c>
      <c r="J177" s="2" t="s">
        <v>474</v>
      </c>
      <c r="K177" s="2" t="s">
        <v>329</v>
      </c>
      <c r="L177" s="2" t="s">
        <v>330</v>
      </c>
      <c r="M177" s="2" t="s">
        <v>119</v>
      </c>
      <c r="N177" s="4" t="str">
        <f t="shared" si="23"/>
        <v>TON</v>
      </c>
      <c r="O177" s="5">
        <v>3.7475000000000001</v>
      </c>
      <c r="Q177" t="str">
        <f t="shared" si="24"/>
        <v>MAC628YM8</v>
      </c>
      <c r="R177" t="str">
        <f t="shared" si="25"/>
        <v>Dyna Flo 6-2-8YM8</v>
      </c>
      <c r="S177" s="32">
        <f t="shared" si="26"/>
        <v>247.51499999999996</v>
      </c>
      <c r="U177" t="s">
        <v>330</v>
      </c>
      <c r="V177" s="32">
        <v>247.51499999999996</v>
      </c>
    </row>
    <row r="178" spans="2:22" x14ac:dyDescent="0.25">
      <c r="B178" s="1" t="s">
        <v>195</v>
      </c>
      <c r="C178" s="2" t="s">
        <v>196</v>
      </c>
      <c r="D178" s="2" t="s">
        <v>475</v>
      </c>
      <c r="E178" s="2" t="s">
        <v>476</v>
      </c>
      <c r="F178" s="3">
        <f t="shared" si="31"/>
        <v>44862</v>
      </c>
      <c r="G178" s="4">
        <f t="shared" si="21"/>
        <v>10</v>
      </c>
      <c r="H178" s="4">
        <f t="shared" si="22"/>
        <v>2022</v>
      </c>
      <c r="I178" s="2" t="s">
        <v>4</v>
      </c>
      <c r="J178" s="2" t="s">
        <v>477</v>
      </c>
      <c r="K178" s="2" t="s">
        <v>478</v>
      </c>
      <c r="L178" s="2" t="s">
        <v>479</v>
      </c>
      <c r="M178" s="2" t="s">
        <v>119</v>
      </c>
      <c r="N178" s="4" t="str">
        <f t="shared" si="23"/>
        <v>TON</v>
      </c>
      <c r="O178" s="5">
        <v>10.005000000000001</v>
      </c>
      <c r="Q178" t="str">
        <f t="shared" si="24"/>
        <v>MAC628YM19</v>
      </c>
      <c r="R178" t="str">
        <f t="shared" si="25"/>
        <v>Dyna Flo 6-2-8YM19</v>
      </c>
      <c r="S178" s="32">
        <f t="shared" si="26"/>
        <v>25.032499999999999</v>
      </c>
      <c r="U178" t="s">
        <v>479</v>
      </c>
      <c r="V178" s="32">
        <v>25.032499999999999</v>
      </c>
    </row>
    <row r="179" spans="2:22" x14ac:dyDescent="0.25">
      <c r="B179" s="1" t="s">
        <v>195</v>
      </c>
      <c r="C179" s="2" t="s">
        <v>196</v>
      </c>
      <c r="D179" s="2" t="s">
        <v>114</v>
      </c>
      <c r="E179" s="2" t="s">
        <v>402</v>
      </c>
      <c r="F179" s="3">
        <f t="shared" si="31"/>
        <v>44862</v>
      </c>
      <c r="G179" s="4">
        <f t="shared" si="21"/>
        <v>10</v>
      </c>
      <c r="H179" s="4">
        <f t="shared" si="22"/>
        <v>2022</v>
      </c>
      <c r="I179" s="2" t="s">
        <v>4</v>
      </c>
      <c r="J179" s="2" t="s">
        <v>480</v>
      </c>
      <c r="K179" s="2" t="s">
        <v>117</v>
      </c>
      <c r="L179" s="2" t="s">
        <v>118</v>
      </c>
      <c r="M179" s="2" t="s">
        <v>119</v>
      </c>
      <c r="N179" s="4" t="str">
        <f t="shared" si="23"/>
        <v>TON</v>
      </c>
      <c r="O179" s="5">
        <v>15.0025</v>
      </c>
      <c r="Q179" t="str">
        <f t="shared" si="24"/>
        <v>MAC428YM8</v>
      </c>
      <c r="R179" t="str">
        <f t="shared" si="25"/>
        <v>Dyna Flo 4-2-8YM8</v>
      </c>
      <c r="S179" s="32">
        <f t="shared" si="26"/>
        <v>517.73950000000002</v>
      </c>
      <c r="U179" t="s">
        <v>118</v>
      </c>
      <c r="V179" s="32">
        <v>517.73950000000002</v>
      </c>
    </row>
    <row r="180" spans="2:22" x14ac:dyDescent="0.25">
      <c r="B180" s="1" t="s">
        <v>195</v>
      </c>
      <c r="C180" s="2" t="s">
        <v>196</v>
      </c>
      <c r="D180" s="2" t="s">
        <v>114</v>
      </c>
      <c r="E180" s="2" t="s">
        <v>369</v>
      </c>
      <c r="F180" s="3">
        <f>DATE(2022,10,29)</f>
        <v>44863</v>
      </c>
      <c r="G180" s="4">
        <f t="shared" si="21"/>
        <v>10</v>
      </c>
      <c r="H180" s="4">
        <f t="shared" si="22"/>
        <v>2022</v>
      </c>
      <c r="I180" s="2" t="s">
        <v>4</v>
      </c>
      <c r="J180" s="2" t="s">
        <v>481</v>
      </c>
      <c r="K180" s="2" t="s">
        <v>117</v>
      </c>
      <c r="L180" s="2" t="s">
        <v>118</v>
      </c>
      <c r="M180" s="2" t="s">
        <v>119</v>
      </c>
      <c r="N180" s="4" t="str">
        <f t="shared" si="23"/>
        <v>TON</v>
      </c>
      <c r="O180" s="5">
        <v>10.02</v>
      </c>
      <c r="Q180" t="str">
        <f t="shared" si="24"/>
        <v>MAC428YM8</v>
      </c>
      <c r="R180" t="str">
        <f t="shared" si="25"/>
        <v>Dyna Flo 4-2-8YM8</v>
      </c>
      <c r="S180" s="32">
        <f t="shared" si="26"/>
        <v>517.73950000000002</v>
      </c>
      <c r="U180" t="s">
        <v>118</v>
      </c>
      <c r="V180" s="32">
        <v>517.73950000000002</v>
      </c>
    </row>
    <row r="181" spans="2:22" x14ac:dyDescent="0.25">
      <c r="B181" s="1" t="s">
        <v>195</v>
      </c>
      <c r="C181" s="2" t="s">
        <v>196</v>
      </c>
      <c r="D181" s="2" t="s">
        <v>114</v>
      </c>
      <c r="E181" s="2" t="s">
        <v>369</v>
      </c>
      <c r="F181" s="3">
        <f>DATE(2022,10,29)</f>
        <v>44863</v>
      </c>
      <c r="G181" s="4">
        <f t="shared" si="21"/>
        <v>10</v>
      </c>
      <c r="H181" s="4">
        <f t="shared" si="22"/>
        <v>2022</v>
      </c>
      <c r="I181" s="2" t="s">
        <v>4</v>
      </c>
      <c r="J181" s="2" t="s">
        <v>482</v>
      </c>
      <c r="K181" s="2" t="s">
        <v>117</v>
      </c>
      <c r="L181" s="2" t="s">
        <v>118</v>
      </c>
      <c r="M181" s="2" t="s">
        <v>119</v>
      </c>
      <c r="N181" s="4" t="str">
        <f t="shared" si="23"/>
        <v>TON</v>
      </c>
      <c r="O181" s="5">
        <v>2</v>
      </c>
      <c r="Q181" t="str">
        <f t="shared" si="24"/>
        <v>MAC428YM8</v>
      </c>
      <c r="R181" t="str">
        <f t="shared" si="25"/>
        <v>Dyna Flo 4-2-8YM8</v>
      </c>
      <c r="S181" s="32">
        <f t="shared" si="26"/>
        <v>517.73950000000002</v>
      </c>
      <c r="U181" t="s">
        <v>118</v>
      </c>
      <c r="V181" s="32">
        <v>517.73950000000002</v>
      </c>
    </row>
    <row r="182" spans="2:22" x14ac:dyDescent="0.25">
      <c r="B182" s="1" t="s">
        <v>195</v>
      </c>
      <c r="C182" s="2" t="s">
        <v>196</v>
      </c>
      <c r="D182" s="2" t="s">
        <v>299</v>
      </c>
      <c r="E182" s="2" t="s">
        <v>300</v>
      </c>
      <c r="F182" s="3">
        <f>DATE(2022,10,29)</f>
        <v>44863</v>
      </c>
      <c r="G182" s="4">
        <f t="shared" si="21"/>
        <v>10</v>
      </c>
      <c r="H182" s="4">
        <f t="shared" si="22"/>
        <v>2022</v>
      </c>
      <c r="I182" s="2" t="s">
        <v>4</v>
      </c>
      <c r="J182" s="2" t="s">
        <v>483</v>
      </c>
      <c r="K182" s="2" t="s">
        <v>117</v>
      </c>
      <c r="L182" s="2" t="s">
        <v>118</v>
      </c>
      <c r="M182" s="2" t="s">
        <v>119</v>
      </c>
      <c r="N182" s="4" t="str">
        <f t="shared" si="23"/>
        <v>TON</v>
      </c>
      <c r="O182" s="5">
        <v>10.015000000000001</v>
      </c>
      <c r="Q182" t="str">
        <f t="shared" si="24"/>
        <v>MAC428YM8</v>
      </c>
      <c r="R182" t="str">
        <f t="shared" si="25"/>
        <v>Dyna Flo 4-2-8YM8</v>
      </c>
      <c r="S182" s="32">
        <f t="shared" si="26"/>
        <v>517.73950000000002</v>
      </c>
      <c r="U182" t="s">
        <v>118</v>
      </c>
      <c r="V182" s="32">
        <v>517.73950000000002</v>
      </c>
    </row>
    <row r="183" spans="2:22" x14ac:dyDescent="0.25">
      <c r="B183" s="1" t="s">
        <v>195</v>
      </c>
      <c r="C183" s="2" t="s">
        <v>196</v>
      </c>
      <c r="D183" s="2" t="s">
        <v>317</v>
      </c>
      <c r="E183" s="2" t="s">
        <v>484</v>
      </c>
      <c r="F183" s="3">
        <f>DATE(2022,10,29)</f>
        <v>44863</v>
      </c>
      <c r="G183" s="4">
        <f t="shared" si="21"/>
        <v>10</v>
      </c>
      <c r="H183" s="4">
        <f t="shared" si="22"/>
        <v>2022</v>
      </c>
      <c r="I183" s="2" t="s">
        <v>4</v>
      </c>
      <c r="J183" s="2" t="s">
        <v>485</v>
      </c>
      <c r="K183" s="2" t="s">
        <v>117</v>
      </c>
      <c r="L183" s="2" t="s">
        <v>118</v>
      </c>
      <c r="M183" s="2" t="s">
        <v>119</v>
      </c>
      <c r="N183" s="4" t="str">
        <f t="shared" si="23"/>
        <v>TON</v>
      </c>
      <c r="O183" s="5">
        <v>5.0075000000000003</v>
      </c>
      <c r="Q183" t="str">
        <f t="shared" si="24"/>
        <v>MAC428YM8</v>
      </c>
      <c r="R183" t="str">
        <f t="shared" si="25"/>
        <v>Dyna Flo 4-2-8YM8</v>
      </c>
      <c r="S183" s="32">
        <f t="shared" si="26"/>
        <v>517.73950000000002</v>
      </c>
      <c r="U183" t="s">
        <v>118</v>
      </c>
      <c r="V183" s="32">
        <v>517.73950000000002</v>
      </c>
    </row>
    <row r="184" spans="2:22" x14ac:dyDescent="0.25">
      <c r="B184" s="1" t="s">
        <v>195</v>
      </c>
      <c r="C184" s="2" t="s">
        <v>196</v>
      </c>
      <c r="D184" s="2" t="s">
        <v>207</v>
      </c>
      <c r="E184" s="2" t="s">
        <v>208</v>
      </c>
      <c r="F184" s="3">
        <f>DATE(2022,10,29)</f>
        <v>44863</v>
      </c>
      <c r="G184" s="4">
        <f t="shared" si="21"/>
        <v>10</v>
      </c>
      <c r="H184" s="4">
        <f t="shared" si="22"/>
        <v>2022</v>
      </c>
      <c r="I184" s="2" t="s">
        <v>4</v>
      </c>
      <c r="J184" s="2" t="s">
        <v>486</v>
      </c>
      <c r="K184" s="2" t="s">
        <v>236</v>
      </c>
      <c r="L184" s="2" t="s">
        <v>237</v>
      </c>
      <c r="M184" s="2" t="s">
        <v>119</v>
      </c>
      <c r="N184" s="4" t="str">
        <f t="shared" si="23"/>
        <v>TON</v>
      </c>
      <c r="O184" s="5">
        <v>2.4</v>
      </c>
      <c r="Q184" t="str">
        <f t="shared" si="24"/>
        <v>MAC626YM11</v>
      </c>
      <c r="R184" t="str">
        <f t="shared" si="25"/>
        <v>Dyna Flo 6-2-6YM11</v>
      </c>
      <c r="S184" s="32">
        <f t="shared" si="26"/>
        <v>14.877500000000001</v>
      </c>
      <c r="U184" t="s">
        <v>237</v>
      </c>
      <c r="V184" s="32">
        <v>14.877500000000001</v>
      </c>
    </row>
    <row r="185" spans="2:22" x14ac:dyDescent="0.25">
      <c r="B185" s="1" t="s">
        <v>195</v>
      </c>
      <c r="C185" s="2" t="s">
        <v>196</v>
      </c>
      <c r="D185" s="2" t="s">
        <v>210</v>
      </c>
      <c r="E185" s="2" t="s">
        <v>487</v>
      </c>
      <c r="F185" s="3">
        <f>DATE(2022,10,28)</f>
        <v>44862</v>
      </c>
      <c r="G185" s="4">
        <f t="shared" si="21"/>
        <v>10</v>
      </c>
      <c r="H185" s="4">
        <f t="shared" si="22"/>
        <v>2022</v>
      </c>
      <c r="I185" s="2" t="s">
        <v>4</v>
      </c>
      <c r="J185" s="2" t="s">
        <v>488</v>
      </c>
      <c r="K185" s="2" t="s">
        <v>489</v>
      </c>
      <c r="L185" s="2" t="s">
        <v>490</v>
      </c>
      <c r="M185" s="2" t="s">
        <v>119</v>
      </c>
      <c r="N185" s="4" t="str">
        <f t="shared" si="23"/>
        <v>TON</v>
      </c>
      <c r="O185" s="5">
        <v>15.012499999999999</v>
      </c>
      <c r="Q185" t="str">
        <f t="shared" si="24"/>
        <v>MAC646YM</v>
      </c>
      <c r="R185" t="str">
        <f t="shared" si="25"/>
        <v>Dyna Flo 6-4-6 YM</v>
      </c>
      <c r="S185" s="32">
        <f t="shared" si="26"/>
        <v>40.067499999999995</v>
      </c>
      <c r="U185" t="s">
        <v>490</v>
      </c>
      <c r="V185" s="32">
        <v>40.067499999999995</v>
      </c>
    </row>
    <row r="186" spans="2:22" x14ac:dyDescent="0.25">
      <c r="B186" s="1" t="s">
        <v>195</v>
      </c>
      <c r="C186" s="2" t="s">
        <v>196</v>
      </c>
      <c r="D186" s="2" t="s">
        <v>114</v>
      </c>
      <c r="E186" s="2" t="s">
        <v>491</v>
      </c>
      <c r="F186" s="3">
        <f>DATE(2022,10,28)</f>
        <v>44862</v>
      </c>
      <c r="G186" s="4">
        <f t="shared" si="21"/>
        <v>10</v>
      </c>
      <c r="H186" s="4">
        <f t="shared" si="22"/>
        <v>2022</v>
      </c>
      <c r="I186" s="2" t="s">
        <v>4</v>
      </c>
      <c r="J186" s="2" t="s">
        <v>492</v>
      </c>
      <c r="K186" s="2" t="s">
        <v>117</v>
      </c>
      <c r="L186" s="2" t="s">
        <v>118</v>
      </c>
      <c r="M186" s="2" t="s">
        <v>119</v>
      </c>
      <c r="N186" s="4" t="str">
        <f t="shared" si="23"/>
        <v>TON</v>
      </c>
      <c r="O186" s="5">
        <v>5</v>
      </c>
      <c r="Q186" t="str">
        <f t="shared" si="24"/>
        <v>MAC428YM8</v>
      </c>
      <c r="R186" t="str">
        <f t="shared" si="25"/>
        <v>Dyna Flo 4-2-8YM8</v>
      </c>
      <c r="S186" s="32">
        <f t="shared" si="26"/>
        <v>517.73950000000002</v>
      </c>
      <c r="U186" t="s">
        <v>118</v>
      </c>
      <c r="V186" s="32">
        <v>517.73950000000002</v>
      </c>
    </row>
    <row r="187" spans="2:22" x14ac:dyDescent="0.25">
      <c r="B187" s="1" t="s">
        <v>195</v>
      </c>
      <c r="C187" s="2" t="s">
        <v>196</v>
      </c>
      <c r="D187" s="2" t="s">
        <v>114</v>
      </c>
      <c r="E187" s="2" t="s">
        <v>336</v>
      </c>
      <c r="F187" s="3">
        <f>DATE(2022,10,28)</f>
        <v>44862</v>
      </c>
      <c r="G187" s="4">
        <f t="shared" si="21"/>
        <v>10</v>
      </c>
      <c r="H187" s="4">
        <f t="shared" si="22"/>
        <v>2022</v>
      </c>
      <c r="I187" s="2" t="s">
        <v>4</v>
      </c>
      <c r="J187" s="2" t="s">
        <v>493</v>
      </c>
      <c r="K187" s="2" t="s">
        <v>117</v>
      </c>
      <c r="L187" s="2" t="s">
        <v>118</v>
      </c>
      <c r="M187" s="2" t="s">
        <v>119</v>
      </c>
      <c r="N187" s="4" t="str">
        <f t="shared" si="23"/>
        <v>TON</v>
      </c>
      <c r="O187" s="5">
        <v>6.25</v>
      </c>
      <c r="Q187" t="str">
        <f t="shared" si="24"/>
        <v>MAC428YM8</v>
      </c>
      <c r="R187" t="str">
        <f t="shared" si="25"/>
        <v>Dyna Flo 4-2-8YM8</v>
      </c>
      <c r="S187" s="32">
        <f t="shared" si="26"/>
        <v>517.73950000000002</v>
      </c>
      <c r="U187" t="s">
        <v>118</v>
      </c>
      <c r="V187" s="32">
        <v>517.73950000000002</v>
      </c>
    </row>
    <row r="188" spans="2:22" x14ac:dyDescent="0.25">
      <c r="B188" s="1" t="s">
        <v>195</v>
      </c>
      <c r="C188" s="2" t="s">
        <v>196</v>
      </c>
      <c r="D188" s="2" t="s">
        <v>285</v>
      </c>
      <c r="E188" s="2" t="s">
        <v>297</v>
      </c>
      <c r="F188" s="3">
        <f t="shared" ref="F188:F193" si="32">DATE(2022,10,31)</f>
        <v>44865</v>
      </c>
      <c r="G188" s="4">
        <f t="shared" si="21"/>
        <v>10</v>
      </c>
      <c r="H188" s="4">
        <f t="shared" si="22"/>
        <v>2022</v>
      </c>
      <c r="I188" s="2" t="s">
        <v>4</v>
      </c>
      <c r="J188" s="2" t="s">
        <v>494</v>
      </c>
      <c r="K188" s="2" t="s">
        <v>205</v>
      </c>
      <c r="L188" s="2" t="s">
        <v>206</v>
      </c>
      <c r="M188" s="2" t="s">
        <v>119</v>
      </c>
      <c r="N188" s="4" t="str">
        <f t="shared" si="23"/>
        <v>TON</v>
      </c>
      <c r="O188" s="5">
        <v>7.9775</v>
      </c>
      <c r="Q188" t="str">
        <f t="shared" si="24"/>
        <v>MAC927YM3</v>
      </c>
      <c r="R188" t="str">
        <f t="shared" si="25"/>
        <v>Dyna Flo 9-2-7YM3</v>
      </c>
      <c r="S188" s="32">
        <f t="shared" si="26"/>
        <v>284.6674999999999</v>
      </c>
      <c r="U188" t="s">
        <v>206</v>
      </c>
      <c r="V188" s="32">
        <v>284.6674999999999</v>
      </c>
    </row>
    <row r="189" spans="2:22" x14ac:dyDescent="0.25">
      <c r="B189" s="1" t="s">
        <v>495</v>
      </c>
      <c r="C189" s="2" t="s">
        <v>196</v>
      </c>
      <c r="D189" s="2" t="s">
        <v>496</v>
      </c>
      <c r="E189" s="2" t="s">
        <v>497</v>
      </c>
      <c r="F189" s="3">
        <f t="shared" si="32"/>
        <v>44865</v>
      </c>
      <c r="G189" s="4">
        <f t="shared" si="21"/>
        <v>10</v>
      </c>
      <c r="H189" s="4">
        <f t="shared" si="22"/>
        <v>2022</v>
      </c>
      <c r="I189" s="2" t="s">
        <v>4</v>
      </c>
      <c r="J189" s="2" t="s">
        <v>498</v>
      </c>
      <c r="K189" s="2" t="s">
        <v>499</v>
      </c>
      <c r="L189" s="2" t="s">
        <v>500</v>
      </c>
      <c r="M189" s="2" t="s">
        <v>119</v>
      </c>
      <c r="N189" s="4" t="str">
        <f t="shared" si="23"/>
        <v>TON</v>
      </c>
      <c r="O189" s="5">
        <v>5</v>
      </c>
      <c r="Q189" t="str">
        <f t="shared" si="24"/>
        <v>MAC608YB1</v>
      </c>
      <c r="R189" t="str">
        <f t="shared" si="25"/>
        <v>Dyna Flo 6-0-8YB1</v>
      </c>
      <c r="S189" s="32">
        <f t="shared" si="26"/>
        <v>5</v>
      </c>
      <c r="U189" t="s">
        <v>500</v>
      </c>
      <c r="V189" s="32">
        <v>5</v>
      </c>
    </row>
    <row r="190" spans="2:22" x14ac:dyDescent="0.25">
      <c r="B190" s="1" t="s">
        <v>195</v>
      </c>
      <c r="C190" s="2" t="s">
        <v>196</v>
      </c>
      <c r="D190" s="2" t="s">
        <v>303</v>
      </c>
      <c r="E190" s="2" t="s">
        <v>501</v>
      </c>
      <c r="F190" s="3">
        <f t="shared" si="32"/>
        <v>44865</v>
      </c>
      <c r="G190" s="4">
        <f t="shared" si="21"/>
        <v>10</v>
      </c>
      <c r="H190" s="4">
        <f t="shared" si="22"/>
        <v>2022</v>
      </c>
      <c r="I190" s="2" t="s">
        <v>4</v>
      </c>
      <c r="J190" s="2" t="s">
        <v>502</v>
      </c>
      <c r="K190" s="2" t="s">
        <v>122</v>
      </c>
      <c r="L190" s="2" t="s">
        <v>123</v>
      </c>
      <c r="M190" s="2" t="s">
        <v>119</v>
      </c>
      <c r="N190" s="4" t="str">
        <f t="shared" si="23"/>
        <v>TON</v>
      </c>
      <c r="O190" s="5">
        <v>5.0250000000000004</v>
      </c>
      <c r="Q190" t="str">
        <f t="shared" si="24"/>
        <v>MAC528YZ</v>
      </c>
      <c r="R190" t="str">
        <f t="shared" si="25"/>
        <v>Dyna Flo 5-2-8 YZ</v>
      </c>
      <c r="S190" s="32">
        <f t="shared" si="26"/>
        <v>395.40750000000003</v>
      </c>
      <c r="U190" t="s">
        <v>123</v>
      </c>
      <c r="V190" s="32">
        <v>395.40750000000003</v>
      </c>
    </row>
    <row r="191" spans="2:22" x14ac:dyDescent="0.25">
      <c r="B191" s="1" t="s">
        <v>195</v>
      </c>
      <c r="C191" s="2" t="s">
        <v>196</v>
      </c>
      <c r="D191" s="2" t="s">
        <v>197</v>
      </c>
      <c r="E191" s="2" t="s">
        <v>198</v>
      </c>
      <c r="F191" s="3">
        <f t="shared" si="32"/>
        <v>44865</v>
      </c>
      <c r="G191" s="4">
        <f t="shared" si="21"/>
        <v>10</v>
      </c>
      <c r="H191" s="4">
        <f t="shared" si="22"/>
        <v>2022</v>
      </c>
      <c r="I191" s="2" t="s">
        <v>4</v>
      </c>
      <c r="J191" s="2" t="s">
        <v>503</v>
      </c>
      <c r="K191" s="2" t="s">
        <v>307</v>
      </c>
      <c r="L191" s="2" t="s">
        <v>308</v>
      </c>
      <c r="M191" s="2" t="s">
        <v>119</v>
      </c>
      <c r="N191" s="4" t="str">
        <f t="shared" si="23"/>
        <v>TON</v>
      </c>
      <c r="O191" s="5">
        <v>3.5</v>
      </c>
      <c r="Q191" t="str">
        <f t="shared" si="24"/>
        <v>MAC628YM8M</v>
      </c>
      <c r="R191" t="str">
        <f t="shared" si="25"/>
        <v>Dyna Flo 6-2-8YM8M w/Merge</v>
      </c>
      <c r="S191" s="32">
        <f t="shared" si="26"/>
        <v>19.502500000000001</v>
      </c>
      <c r="U191" t="s">
        <v>308</v>
      </c>
      <c r="V191" s="32">
        <v>19.502500000000001</v>
      </c>
    </row>
    <row r="192" spans="2:22" x14ac:dyDescent="0.25">
      <c r="B192" s="1" t="s">
        <v>195</v>
      </c>
      <c r="C192" s="2" t="s">
        <v>196</v>
      </c>
      <c r="D192" s="2" t="s">
        <v>241</v>
      </c>
      <c r="E192" s="2" t="s">
        <v>242</v>
      </c>
      <c r="F192" s="3">
        <f t="shared" si="32"/>
        <v>44865</v>
      </c>
      <c r="G192" s="4">
        <f t="shared" si="21"/>
        <v>10</v>
      </c>
      <c r="H192" s="4">
        <f t="shared" si="22"/>
        <v>2022</v>
      </c>
      <c r="I192" s="2" t="s">
        <v>4</v>
      </c>
      <c r="J192" s="2" t="s">
        <v>504</v>
      </c>
      <c r="K192" s="2" t="s">
        <v>260</v>
      </c>
      <c r="L192" s="2" t="s">
        <v>261</v>
      </c>
      <c r="M192" s="2" t="s">
        <v>119</v>
      </c>
      <c r="N192" s="4" t="str">
        <f t="shared" si="23"/>
        <v>TON</v>
      </c>
      <c r="O192" s="5">
        <v>2.5</v>
      </c>
      <c r="Q192" t="str">
        <f t="shared" si="24"/>
        <v>MAC429YM</v>
      </c>
      <c r="R192" t="str">
        <f t="shared" si="25"/>
        <v>Dyna Flo 4-2-9YM</v>
      </c>
      <c r="S192" s="32">
        <f t="shared" si="26"/>
        <v>11.317500000000001</v>
      </c>
      <c r="U192" t="s">
        <v>261</v>
      </c>
      <c r="V192" s="32">
        <v>11.317500000000001</v>
      </c>
    </row>
    <row r="193" spans="2:22" x14ac:dyDescent="0.25">
      <c r="B193" s="1" t="s">
        <v>195</v>
      </c>
      <c r="C193" s="2" t="s">
        <v>196</v>
      </c>
      <c r="D193" s="2" t="s">
        <v>241</v>
      </c>
      <c r="E193" s="2" t="s">
        <v>258</v>
      </c>
      <c r="F193" s="3">
        <f t="shared" si="32"/>
        <v>44865</v>
      </c>
      <c r="G193" s="4">
        <f t="shared" si="21"/>
        <v>10</v>
      </c>
      <c r="H193" s="4">
        <f t="shared" si="22"/>
        <v>2022</v>
      </c>
      <c r="I193" s="2" t="s">
        <v>4</v>
      </c>
      <c r="J193" s="2" t="s">
        <v>505</v>
      </c>
      <c r="K193" s="2" t="s">
        <v>260</v>
      </c>
      <c r="L193" s="2" t="s">
        <v>261</v>
      </c>
      <c r="M193" s="2" t="s">
        <v>119</v>
      </c>
      <c r="N193" s="4" t="str">
        <f t="shared" si="23"/>
        <v>TON</v>
      </c>
      <c r="O193" s="5">
        <v>2.0150000000000001</v>
      </c>
      <c r="Q193" t="str">
        <f t="shared" si="24"/>
        <v>MAC429YM</v>
      </c>
      <c r="R193" t="str">
        <f t="shared" si="25"/>
        <v>Dyna Flo 4-2-9YM</v>
      </c>
      <c r="S193" s="32">
        <f t="shared" si="26"/>
        <v>11.317500000000001</v>
      </c>
      <c r="U193" t="s">
        <v>261</v>
      </c>
      <c r="V193" s="32">
        <v>11.317500000000001</v>
      </c>
    </row>
    <row r="194" spans="2:22" x14ac:dyDescent="0.25">
      <c r="B194" s="6" t="s">
        <v>382</v>
      </c>
      <c r="C194" s="7" t="s">
        <v>506</v>
      </c>
      <c r="D194" s="8" t="s">
        <v>507</v>
      </c>
      <c r="E194" s="8" t="s">
        <v>508</v>
      </c>
      <c r="F194" s="9">
        <f>DATE(2022,10,4)</f>
        <v>44838</v>
      </c>
      <c r="G194" s="10">
        <f t="shared" si="21"/>
        <v>10</v>
      </c>
      <c r="H194" s="10">
        <f t="shared" si="22"/>
        <v>2022</v>
      </c>
      <c r="I194" s="8" t="s">
        <v>4</v>
      </c>
      <c r="J194" s="7" t="s">
        <v>509</v>
      </c>
      <c r="K194" s="8" t="s">
        <v>510</v>
      </c>
      <c r="L194" s="8" t="s">
        <v>511</v>
      </c>
      <c r="M194" s="8" t="s">
        <v>38</v>
      </c>
      <c r="N194" s="10" t="str">
        <f t="shared" si="23"/>
        <v>GAL</v>
      </c>
      <c r="O194" s="11">
        <v>500</v>
      </c>
      <c r="Q194" t="str">
        <f t="shared" si="24"/>
        <v>FLO31818250</v>
      </c>
      <c r="R194" t="str">
        <f t="shared" si="25"/>
        <v>Dyna Flo 3-18-18</v>
      </c>
      <c r="S194" s="32">
        <f t="shared" si="26"/>
        <v>575</v>
      </c>
      <c r="U194" t="s">
        <v>511</v>
      </c>
      <c r="V194" s="32">
        <v>575</v>
      </c>
    </row>
    <row r="195" spans="2:22" x14ac:dyDescent="0.25">
      <c r="B195" s="1" t="s">
        <v>382</v>
      </c>
      <c r="C195" s="2" t="s">
        <v>506</v>
      </c>
      <c r="D195" s="2" t="s">
        <v>507</v>
      </c>
      <c r="E195" s="2" t="s">
        <v>141</v>
      </c>
      <c r="F195" s="3">
        <f>DATE(2022,10,4)</f>
        <v>44838</v>
      </c>
      <c r="G195" s="4">
        <f t="shared" ref="G195:G258" si="33">+MONTH(F195)</f>
        <v>10</v>
      </c>
      <c r="H195" s="4">
        <f t="shared" ref="H195:H258" si="34">+YEAR(F195)</f>
        <v>2022</v>
      </c>
      <c r="I195" s="2" t="s">
        <v>4</v>
      </c>
      <c r="J195" s="2" t="s">
        <v>512</v>
      </c>
      <c r="K195" s="2" t="s">
        <v>513</v>
      </c>
      <c r="L195" s="2" t="s">
        <v>514</v>
      </c>
      <c r="M195" s="2" t="s">
        <v>119</v>
      </c>
      <c r="N195" s="4" t="str">
        <f t="shared" ref="N195:N258" si="35">+LEFT(M195,3)</f>
        <v>TON</v>
      </c>
      <c r="O195" s="5">
        <v>1.25</v>
      </c>
      <c r="Q195" t="str">
        <f t="shared" ref="Q195:Q258" si="36">K195</f>
        <v>MAC936XU1</v>
      </c>
      <c r="R195" t="str">
        <f t="shared" ref="R195:R258" si="37">L195</f>
        <v>Dyna Flo 9-3-6XU1</v>
      </c>
      <c r="S195" s="32">
        <f t="shared" si="26"/>
        <v>1.25</v>
      </c>
      <c r="U195" t="s">
        <v>514</v>
      </c>
      <c r="V195" s="32">
        <v>1.25</v>
      </c>
    </row>
    <row r="196" spans="2:22" x14ac:dyDescent="0.25">
      <c r="B196" s="1" t="s">
        <v>382</v>
      </c>
      <c r="C196" s="2" t="s">
        <v>506</v>
      </c>
      <c r="D196" s="2" t="s">
        <v>515</v>
      </c>
      <c r="E196" s="2" t="s">
        <v>516</v>
      </c>
      <c r="F196" s="3">
        <f>DATE(2022,10,7)</f>
        <v>44841</v>
      </c>
      <c r="G196" s="4">
        <f t="shared" si="33"/>
        <v>10</v>
      </c>
      <c r="H196" s="4">
        <f t="shared" si="34"/>
        <v>2022</v>
      </c>
      <c r="I196" s="2" t="s">
        <v>4</v>
      </c>
      <c r="J196" s="2" t="s">
        <v>517</v>
      </c>
      <c r="K196" s="2" t="s">
        <v>83</v>
      </c>
      <c r="L196" s="2" t="s">
        <v>518</v>
      </c>
      <c r="M196" s="2" t="s">
        <v>85</v>
      </c>
      <c r="N196" s="4" t="str">
        <f t="shared" si="35"/>
        <v>GAL</v>
      </c>
      <c r="O196" s="5">
        <v>900</v>
      </c>
      <c r="Q196" t="str">
        <f t="shared" si="36"/>
        <v>ZON183602</v>
      </c>
      <c r="R196" t="str">
        <f t="shared" si="37"/>
        <v>Dyna Zone 18-3-6</v>
      </c>
      <c r="S196" s="32">
        <f t="shared" ref="S196:S259" si="38">SUMIF($R$3:$R$885, $R196, $O$3:$O$885)</f>
        <v>2090</v>
      </c>
      <c r="U196" t="s">
        <v>518</v>
      </c>
      <c r="V196" s="32">
        <v>2090</v>
      </c>
    </row>
    <row r="197" spans="2:22" x14ac:dyDescent="0.25">
      <c r="B197" s="1" t="s">
        <v>382</v>
      </c>
      <c r="C197" s="2" t="s">
        <v>506</v>
      </c>
      <c r="D197" s="2" t="s">
        <v>507</v>
      </c>
      <c r="E197" s="2" t="s">
        <v>508</v>
      </c>
      <c r="F197" s="3">
        <f>DATE(2022,10,17)</f>
        <v>44851</v>
      </c>
      <c r="G197" s="4">
        <f t="shared" si="33"/>
        <v>10</v>
      </c>
      <c r="H197" s="4">
        <f t="shared" si="34"/>
        <v>2022</v>
      </c>
      <c r="I197" s="2" t="s">
        <v>4</v>
      </c>
      <c r="J197" s="2" t="s">
        <v>519</v>
      </c>
      <c r="K197" s="2" t="s">
        <v>164</v>
      </c>
      <c r="L197" s="2" t="s">
        <v>165</v>
      </c>
      <c r="M197" s="2" t="s">
        <v>166</v>
      </c>
      <c r="N197" s="4" t="str">
        <f t="shared" si="35"/>
        <v>GAL</v>
      </c>
      <c r="O197" s="5">
        <v>90</v>
      </c>
      <c r="Q197" t="str">
        <f t="shared" si="36"/>
        <v>GOLDMZF02</v>
      </c>
      <c r="R197" t="str">
        <f t="shared" si="37"/>
        <v>Dyna Gold MZF</v>
      </c>
      <c r="S197" s="32">
        <f t="shared" si="38"/>
        <v>2780</v>
      </c>
      <c r="U197" t="s">
        <v>165</v>
      </c>
      <c r="V197" s="32">
        <v>2780</v>
      </c>
    </row>
    <row r="198" spans="2:22" x14ac:dyDescent="0.25">
      <c r="B198" s="1" t="s">
        <v>382</v>
      </c>
      <c r="C198" s="2" t="s">
        <v>506</v>
      </c>
      <c r="D198" s="2" t="s">
        <v>507</v>
      </c>
      <c r="E198" s="2" t="s">
        <v>508</v>
      </c>
      <c r="F198" s="3">
        <f>DATE(2022,10,25)</f>
        <v>44859</v>
      </c>
      <c r="G198" s="4">
        <f t="shared" si="33"/>
        <v>10</v>
      </c>
      <c r="H198" s="4">
        <f t="shared" si="34"/>
        <v>2022</v>
      </c>
      <c r="I198" s="2" t="s">
        <v>4</v>
      </c>
      <c r="J198" s="2" t="s">
        <v>520</v>
      </c>
      <c r="K198" s="2" t="s">
        <v>329</v>
      </c>
      <c r="L198" s="2" t="s">
        <v>330</v>
      </c>
      <c r="M198" s="2" t="s">
        <v>119</v>
      </c>
      <c r="N198" s="4" t="str">
        <f t="shared" si="35"/>
        <v>TON</v>
      </c>
      <c r="O198" s="5">
        <v>1.25</v>
      </c>
      <c r="Q198" t="str">
        <f t="shared" si="36"/>
        <v>MAC628YM8</v>
      </c>
      <c r="R198" t="str">
        <f t="shared" si="37"/>
        <v>Dyna Flo 6-2-8YM8</v>
      </c>
      <c r="S198" s="32">
        <f t="shared" si="38"/>
        <v>247.51499999999996</v>
      </c>
      <c r="U198" t="s">
        <v>330</v>
      </c>
      <c r="V198" s="32">
        <v>247.51499999999996</v>
      </c>
    </row>
    <row r="199" spans="2:22" x14ac:dyDescent="0.25">
      <c r="B199" s="1" t="s">
        <v>382</v>
      </c>
      <c r="C199" s="2" t="s">
        <v>506</v>
      </c>
      <c r="D199" s="2" t="s">
        <v>521</v>
      </c>
      <c r="E199" s="2" t="s">
        <v>522</v>
      </c>
      <c r="F199" s="3">
        <f>DATE(2022,10,28)</f>
        <v>44862</v>
      </c>
      <c r="G199" s="4">
        <f t="shared" si="33"/>
        <v>10</v>
      </c>
      <c r="H199" s="4">
        <f t="shared" si="34"/>
        <v>2022</v>
      </c>
      <c r="I199" s="2" t="s">
        <v>4</v>
      </c>
      <c r="J199" s="2" t="s">
        <v>523</v>
      </c>
      <c r="K199" s="2" t="s">
        <v>244</v>
      </c>
      <c r="L199" s="2" t="s">
        <v>182</v>
      </c>
      <c r="M199" s="2" t="s">
        <v>183</v>
      </c>
      <c r="N199" s="4" t="str">
        <f t="shared" si="35"/>
        <v>GAL</v>
      </c>
      <c r="O199" s="5">
        <v>180</v>
      </c>
      <c r="Q199" t="str">
        <f t="shared" si="36"/>
        <v>FLOPHOS02</v>
      </c>
      <c r="R199" t="str">
        <f t="shared" si="37"/>
        <v>Dyna Phos</v>
      </c>
      <c r="S199" s="32">
        <f t="shared" si="38"/>
        <v>295</v>
      </c>
      <c r="U199" t="s">
        <v>182</v>
      </c>
      <c r="V199" s="32">
        <v>295</v>
      </c>
    </row>
    <row r="200" spans="2:22" x14ac:dyDescent="0.25">
      <c r="B200" s="1" t="s">
        <v>524</v>
      </c>
      <c r="C200" s="2" t="s">
        <v>525</v>
      </c>
      <c r="D200" s="2" t="s">
        <v>124</v>
      </c>
      <c r="E200" s="2" t="s">
        <v>526</v>
      </c>
      <c r="F200" s="3">
        <f>DATE(2022,10,17)</f>
        <v>44851</v>
      </c>
      <c r="G200" s="4">
        <f t="shared" si="33"/>
        <v>10</v>
      </c>
      <c r="H200" s="4">
        <f t="shared" si="34"/>
        <v>2022</v>
      </c>
      <c r="I200" s="2" t="s">
        <v>4</v>
      </c>
      <c r="J200" s="2" t="s">
        <v>527</v>
      </c>
      <c r="K200" s="2" t="s">
        <v>528</v>
      </c>
      <c r="L200" s="2" t="s">
        <v>529</v>
      </c>
      <c r="M200" s="2" t="s">
        <v>119</v>
      </c>
      <c r="N200" s="4" t="str">
        <f t="shared" si="35"/>
        <v>TON</v>
      </c>
      <c r="O200" s="5">
        <v>1.25</v>
      </c>
      <c r="Q200" t="str">
        <f t="shared" si="36"/>
        <v>MAC848H</v>
      </c>
      <c r="R200" t="str">
        <f t="shared" si="37"/>
        <v>Dyna Flo 8-4-8 H</v>
      </c>
      <c r="S200" s="32">
        <f t="shared" si="38"/>
        <v>1.25</v>
      </c>
      <c r="U200" t="s">
        <v>529</v>
      </c>
      <c r="V200" s="32">
        <v>1.25</v>
      </c>
    </row>
    <row r="201" spans="2:22" x14ac:dyDescent="0.25">
      <c r="B201" s="1" t="s">
        <v>524</v>
      </c>
      <c r="C201" s="2" t="s">
        <v>525</v>
      </c>
      <c r="D201" s="2" t="s">
        <v>124</v>
      </c>
      <c r="E201" s="2" t="s">
        <v>526</v>
      </c>
      <c r="F201" s="3">
        <f>DATE(2022,10,26)</f>
        <v>44860</v>
      </c>
      <c r="G201" s="4">
        <f t="shared" si="33"/>
        <v>10</v>
      </c>
      <c r="H201" s="4">
        <f t="shared" si="34"/>
        <v>2022</v>
      </c>
      <c r="I201" s="2" t="s">
        <v>4</v>
      </c>
      <c r="J201" s="2" t="s">
        <v>530</v>
      </c>
      <c r="K201" s="2" t="s">
        <v>531</v>
      </c>
      <c r="L201" s="2" t="s">
        <v>201</v>
      </c>
      <c r="M201" s="2" t="s">
        <v>202</v>
      </c>
      <c r="N201" s="4" t="str">
        <f t="shared" si="35"/>
        <v>GAL</v>
      </c>
      <c r="O201" s="5">
        <v>30</v>
      </c>
      <c r="Q201" t="str">
        <f t="shared" si="36"/>
        <v>FLO15001630</v>
      </c>
      <c r="R201" t="str">
        <f t="shared" si="37"/>
        <v>Vented pHury</v>
      </c>
      <c r="S201" s="32">
        <f t="shared" si="38"/>
        <v>965</v>
      </c>
      <c r="U201" t="s">
        <v>201</v>
      </c>
      <c r="V201" s="32">
        <v>965</v>
      </c>
    </row>
    <row r="202" spans="2:22" x14ac:dyDescent="0.25">
      <c r="B202" s="1" t="s">
        <v>532</v>
      </c>
      <c r="C202" s="2" t="s">
        <v>533</v>
      </c>
      <c r="D202" s="2" t="s">
        <v>534</v>
      </c>
      <c r="E202" s="2" t="s">
        <v>535</v>
      </c>
      <c r="F202" s="3">
        <f t="shared" ref="F202:F212" si="39">DATE(2022,10,3)</f>
        <v>44837</v>
      </c>
      <c r="G202" s="4">
        <f t="shared" si="33"/>
        <v>10</v>
      </c>
      <c r="H202" s="4">
        <f t="shared" si="34"/>
        <v>2022</v>
      </c>
      <c r="I202" s="2" t="s">
        <v>4</v>
      </c>
      <c r="J202" s="2" t="s">
        <v>536</v>
      </c>
      <c r="K202" s="2" t="s">
        <v>537</v>
      </c>
      <c r="L202" s="2" t="s">
        <v>538</v>
      </c>
      <c r="M202" s="2" t="s">
        <v>539</v>
      </c>
      <c r="N202" s="4" t="str">
        <f t="shared" si="35"/>
        <v>GAL</v>
      </c>
      <c r="O202" s="5">
        <v>110</v>
      </c>
      <c r="Q202" t="str">
        <f t="shared" si="36"/>
        <v>SORCA55</v>
      </c>
      <c r="R202" t="str">
        <f t="shared" si="37"/>
        <v>Dyna Cal 10.25%</v>
      </c>
      <c r="S202" s="32">
        <f t="shared" si="38"/>
        <v>4610</v>
      </c>
      <c r="U202" t="s">
        <v>538</v>
      </c>
      <c r="V202" s="32">
        <v>4610</v>
      </c>
    </row>
    <row r="203" spans="2:22" x14ac:dyDescent="0.25">
      <c r="B203" s="1" t="s">
        <v>532</v>
      </c>
      <c r="C203" s="2" t="s">
        <v>533</v>
      </c>
      <c r="D203" s="2" t="s">
        <v>534</v>
      </c>
      <c r="E203" s="2" t="s">
        <v>535</v>
      </c>
      <c r="F203" s="3">
        <f t="shared" si="39"/>
        <v>44837</v>
      </c>
      <c r="G203" s="4">
        <f t="shared" si="33"/>
        <v>10</v>
      </c>
      <c r="H203" s="4">
        <f t="shared" si="34"/>
        <v>2022</v>
      </c>
      <c r="I203" s="2" t="s">
        <v>4</v>
      </c>
      <c r="J203" s="2" t="s">
        <v>536</v>
      </c>
      <c r="K203" s="2" t="s">
        <v>149</v>
      </c>
      <c r="L203" s="2" t="s">
        <v>150</v>
      </c>
      <c r="M203" s="2" t="s">
        <v>21</v>
      </c>
      <c r="N203" s="4" t="str">
        <f t="shared" si="35"/>
        <v>GAL</v>
      </c>
      <c r="O203" s="5">
        <v>20</v>
      </c>
      <c r="Q203" t="str">
        <f t="shared" si="36"/>
        <v>FLO003002</v>
      </c>
      <c r="R203" t="str">
        <f t="shared" si="37"/>
        <v>Dyna Flo 0-0-30</v>
      </c>
      <c r="S203" s="32">
        <f t="shared" si="38"/>
        <v>325</v>
      </c>
      <c r="U203" t="s">
        <v>150</v>
      </c>
      <c r="V203" s="32">
        <v>325</v>
      </c>
    </row>
    <row r="204" spans="2:22" x14ac:dyDescent="0.25">
      <c r="B204" s="1" t="s">
        <v>532</v>
      </c>
      <c r="C204" s="2" t="s">
        <v>533</v>
      </c>
      <c r="D204" s="2" t="s">
        <v>534</v>
      </c>
      <c r="E204" s="2" t="s">
        <v>535</v>
      </c>
      <c r="F204" s="3">
        <f t="shared" si="39"/>
        <v>44837</v>
      </c>
      <c r="G204" s="4">
        <f t="shared" si="33"/>
        <v>10</v>
      </c>
      <c r="H204" s="4">
        <f t="shared" si="34"/>
        <v>2022</v>
      </c>
      <c r="I204" s="2" t="s">
        <v>4</v>
      </c>
      <c r="J204" s="2" t="s">
        <v>536</v>
      </c>
      <c r="K204" s="2" t="s">
        <v>540</v>
      </c>
      <c r="L204" s="2" t="s">
        <v>541</v>
      </c>
      <c r="M204" s="2" t="s">
        <v>27</v>
      </c>
      <c r="N204" s="4" t="str">
        <f t="shared" si="35"/>
        <v>GAL</v>
      </c>
      <c r="O204" s="5">
        <v>165</v>
      </c>
      <c r="Q204" t="str">
        <f t="shared" si="36"/>
        <v>GOLDCA55</v>
      </c>
      <c r="R204" t="str">
        <f t="shared" si="37"/>
        <v>Dyna Gold Calcium 8.25%</v>
      </c>
      <c r="S204" s="32">
        <f t="shared" si="38"/>
        <v>1280</v>
      </c>
      <c r="U204" t="s">
        <v>541</v>
      </c>
      <c r="V204" s="32">
        <v>1280</v>
      </c>
    </row>
    <row r="205" spans="2:22" x14ac:dyDescent="0.25">
      <c r="B205" s="1" t="s">
        <v>532</v>
      </c>
      <c r="C205" s="2" t="s">
        <v>533</v>
      </c>
      <c r="D205" s="2" t="s">
        <v>534</v>
      </c>
      <c r="E205" s="2" t="s">
        <v>535</v>
      </c>
      <c r="F205" s="3">
        <f t="shared" si="39"/>
        <v>44837</v>
      </c>
      <c r="G205" s="4">
        <f t="shared" si="33"/>
        <v>10</v>
      </c>
      <c r="H205" s="4">
        <f t="shared" si="34"/>
        <v>2022</v>
      </c>
      <c r="I205" s="2" t="s">
        <v>4</v>
      </c>
      <c r="J205" s="2" t="s">
        <v>536</v>
      </c>
      <c r="K205" s="2" t="s">
        <v>542</v>
      </c>
      <c r="L205" s="2" t="s">
        <v>543</v>
      </c>
      <c r="M205" s="2" t="s">
        <v>27</v>
      </c>
      <c r="N205" s="4" t="str">
        <f t="shared" si="35"/>
        <v>GAL</v>
      </c>
      <c r="O205" s="5">
        <v>55</v>
      </c>
      <c r="Q205" t="str">
        <f t="shared" si="36"/>
        <v>GOLDCANB55</v>
      </c>
      <c r="R205" t="str">
        <f t="shared" si="37"/>
        <v>Dyna Gold Cal-N-B</v>
      </c>
      <c r="S205" s="32">
        <f t="shared" si="38"/>
        <v>55</v>
      </c>
      <c r="U205" t="s">
        <v>543</v>
      </c>
      <c r="V205" s="32">
        <v>55</v>
      </c>
    </row>
    <row r="206" spans="2:22" x14ac:dyDescent="0.25">
      <c r="B206" s="1" t="s">
        <v>532</v>
      </c>
      <c r="C206" s="2" t="s">
        <v>533</v>
      </c>
      <c r="D206" s="2" t="s">
        <v>534</v>
      </c>
      <c r="E206" s="2" t="s">
        <v>535</v>
      </c>
      <c r="F206" s="3">
        <f t="shared" si="39"/>
        <v>44837</v>
      </c>
      <c r="G206" s="4">
        <f t="shared" si="33"/>
        <v>10</v>
      </c>
      <c r="H206" s="4">
        <f t="shared" si="34"/>
        <v>2022</v>
      </c>
      <c r="I206" s="2" t="s">
        <v>4</v>
      </c>
      <c r="J206" s="2" t="s">
        <v>536</v>
      </c>
      <c r="K206" s="2" t="s">
        <v>544</v>
      </c>
      <c r="L206" s="2" t="s">
        <v>545</v>
      </c>
      <c r="M206" s="2" t="s">
        <v>67</v>
      </c>
      <c r="N206" s="4" t="str">
        <f t="shared" si="35"/>
        <v>GAL</v>
      </c>
      <c r="O206" s="5">
        <v>110</v>
      </c>
      <c r="Q206" t="str">
        <f t="shared" si="36"/>
        <v>GOLDMG55</v>
      </c>
      <c r="R206" t="str">
        <f t="shared" si="37"/>
        <v>Dyna Gold Magnesium 4%</v>
      </c>
      <c r="S206" s="32">
        <f t="shared" si="38"/>
        <v>115</v>
      </c>
      <c r="U206" t="s">
        <v>545</v>
      </c>
      <c r="V206" s="32">
        <v>115</v>
      </c>
    </row>
    <row r="207" spans="2:22" x14ac:dyDescent="0.25">
      <c r="B207" s="1" t="s">
        <v>532</v>
      </c>
      <c r="C207" s="2" t="s">
        <v>533</v>
      </c>
      <c r="D207" s="2" t="s">
        <v>534</v>
      </c>
      <c r="E207" s="2" t="s">
        <v>535</v>
      </c>
      <c r="F207" s="3">
        <f t="shared" si="39"/>
        <v>44837</v>
      </c>
      <c r="G207" s="4">
        <f t="shared" si="33"/>
        <v>10</v>
      </c>
      <c r="H207" s="4">
        <f t="shared" si="34"/>
        <v>2022</v>
      </c>
      <c r="I207" s="2" t="s">
        <v>4</v>
      </c>
      <c r="J207" s="2" t="s">
        <v>536</v>
      </c>
      <c r="K207" s="2" t="s">
        <v>546</v>
      </c>
      <c r="L207" s="2" t="s">
        <v>547</v>
      </c>
      <c r="M207" s="2" t="s">
        <v>160</v>
      </c>
      <c r="N207" s="4" t="str">
        <f t="shared" si="35"/>
        <v>GAL</v>
      </c>
      <c r="O207" s="5">
        <v>110</v>
      </c>
      <c r="Q207" t="str">
        <f t="shared" si="36"/>
        <v>GOLDMN55</v>
      </c>
      <c r="R207" t="str">
        <f t="shared" si="37"/>
        <v>Dyna Gold Manganese 5%</v>
      </c>
      <c r="S207" s="32">
        <f t="shared" si="38"/>
        <v>110</v>
      </c>
      <c r="U207" t="s">
        <v>547</v>
      </c>
      <c r="V207" s="32">
        <v>110</v>
      </c>
    </row>
    <row r="208" spans="2:22" x14ac:dyDescent="0.25">
      <c r="B208" s="1" t="s">
        <v>532</v>
      </c>
      <c r="C208" s="2" t="s">
        <v>533</v>
      </c>
      <c r="D208" s="2" t="s">
        <v>534</v>
      </c>
      <c r="E208" s="2" t="s">
        <v>535</v>
      </c>
      <c r="F208" s="3">
        <f t="shared" si="39"/>
        <v>44837</v>
      </c>
      <c r="G208" s="4">
        <f t="shared" si="33"/>
        <v>10</v>
      </c>
      <c r="H208" s="4">
        <f t="shared" si="34"/>
        <v>2022</v>
      </c>
      <c r="I208" s="2" t="s">
        <v>4</v>
      </c>
      <c r="J208" s="2" t="s">
        <v>536</v>
      </c>
      <c r="K208" s="2" t="s">
        <v>548</v>
      </c>
      <c r="L208" s="2" t="s">
        <v>518</v>
      </c>
      <c r="M208" s="2" t="s">
        <v>85</v>
      </c>
      <c r="N208" s="4" t="str">
        <f t="shared" si="35"/>
        <v>GAL</v>
      </c>
      <c r="O208" s="5">
        <v>250</v>
      </c>
      <c r="Q208" t="str">
        <f t="shared" si="36"/>
        <v>ZON1836250</v>
      </c>
      <c r="R208" t="str">
        <f t="shared" si="37"/>
        <v>Dyna Zone 18-3-6</v>
      </c>
      <c r="S208" s="32">
        <f t="shared" si="38"/>
        <v>2090</v>
      </c>
      <c r="U208" t="s">
        <v>518</v>
      </c>
      <c r="V208" s="32">
        <v>2090</v>
      </c>
    </row>
    <row r="209" spans="2:22" x14ac:dyDescent="0.25">
      <c r="B209" s="1" t="s">
        <v>532</v>
      </c>
      <c r="C209" s="2" t="s">
        <v>533</v>
      </c>
      <c r="D209" s="2" t="s">
        <v>534</v>
      </c>
      <c r="E209" s="2" t="s">
        <v>535</v>
      </c>
      <c r="F209" s="3">
        <f t="shared" si="39"/>
        <v>44837</v>
      </c>
      <c r="G209" s="4">
        <f t="shared" si="33"/>
        <v>10</v>
      </c>
      <c r="H209" s="4">
        <f t="shared" si="34"/>
        <v>2022</v>
      </c>
      <c r="I209" s="2" t="s">
        <v>4</v>
      </c>
      <c r="J209" s="2" t="s">
        <v>536</v>
      </c>
      <c r="K209" s="2" t="s">
        <v>549</v>
      </c>
      <c r="L209" s="2" t="s">
        <v>550</v>
      </c>
      <c r="M209" s="2" t="s">
        <v>52</v>
      </c>
      <c r="N209" s="4" t="str">
        <f t="shared" si="35"/>
        <v>GAL</v>
      </c>
      <c r="O209" s="5">
        <v>110</v>
      </c>
      <c r="Q209" t="str">
        <f t="shared" si="36"/>
        <v>ZONN2855</v>
      </c>
      <c r="R209" t="str">
        <f t="shared" si="37"/>
        <v>Dyna Zone N28</v>
      </c>
      <c r="S209" s="32">
        <f t="shared" si="38"/>
        <v>120</v>
      </c>
      <c r="U209" t="s">
        <v>550</v>
      </c>
      <c r="V209" s="32">
        <v>120</v>
      </c>
    </row>
    <row r="210" spans="2:22" x14ac:dyDescent="0.25">
      <c r="B210" s="1" t="s">
        <v>532</v>
      </c>
      <c r="C210" s="2" t="s">
        <v>533</v>
      </c>
      <c r="D210" s="2" t="s">
        <v>534</v>
      </c>
      <c r="E210" s="2" t="s">
        <v>535</v>
      </c>
      <c r="F210" s="3">
        <f t="shared" si="39"/>
        <v>44837</v>
      </c>
      <c r="G210" s="4">
        <f t="shared" si="33"/>
        <v>10</v>
      </c>
      <c r="H210" s="4">
        <f t="shared" si="34"/>
        <v>2022</v>
      </c>
      <c r="I210" s="2" t="s">
        <v>4</v>
      </c>
      <c r="J210" s="2" t="s">
        <v>536</v>
      </c>
      <c r="K210" s="2" t="s">
        <v>551</v>
      </c>
      <c r="L210" s="2" t="s">
        <v>552</v>
      </c>
      <c r="M210" s="2" t="s">
        <v>553</v>
      </c>
      <c r="N210" s="4" t="str">
        <f t="shared" si="35"/>
        <v>GAL</v>
      </c>
      <c r="O210" s="5">
        <v>165</v>
      </c>
      <c r="Q210" t="str">
        <f t="shared" si="36"/>
        <v>FLO515102</v>
      </c>
      <c r="R210" t="str">
        <f t="shared" si="37"/>
        <v>Vented Dyna Flo 5-15-1</v>
      </c>
      <c r="S210" s="32">
        <f t="shared" si="38"/>
        <v>165</v>
      </c>
      <c r="U210" t="s">
        <v>552</v>
      </c>
      <c r="V210" s="32">
        <v>165</v>
      </c>
    </row>
    <row r="211" spans="2:22" x14ac:dyDescent="0.25">
      <c r="B211" s="1" t="s">
        <v>532</v>
      </c>
      <c r="C211" s="2" t="s">
        <v>533</v>
      </c>
      <c r="D211" s="2" t="s">
        <v>534</v>
      </c>
      <c r="E211" s="2" t="s">
        <v>535</v>
      </c>
      <c r="F211" s="3">
        <f t="shared" si="39"/>
        <v>44837</v>
      </c>
      <c r="G211" s="4">
        <f t="shared" si="33"/>
        <v>10</v>
      </c>
      <c r="H211" s="4">
        <f t="shared" si="34"/>
        <v>2022</v>
      </c>
      <c r="I211" s="2" t="s">
        <v>4</v>
      </c>
      <c r="J211" s="2" t="s">
        <v>536</v>
      </c>
      <c r="K211" s="2" t="s">
        <v>22</v>
      </c>
      <c r="L211" s="2" t="s">
        <v>176</v>
      </c>
      <c r="M211" s="2" t="s">
        <v>24</v>
      </c>
      <c r="N211" s="4" t="str">
        <f t="shared" si="35"/>
        <v>GAL</v>
      </c>
      <c r="O211" s="5">
        <v>110</v>
      </c>
      <c r="Q211" t="str">
        <f t="shared" si="36"/>
        <v>GPHUMIC02</v>
      </c>
      <c r="R211" t="str">
        <f t="shared" si="37"/>
        <v>Vented Dyna Flo Humic 15%</v>
      </c>
      <c r="S211" s="32">
        <f t="shared" si="38"/>
        <v>290</v>
      </c>
      <c r="U211" t="s">
        <v>176</v>
      </c>
      <c r="V211" s="32">
        <v>290</v>
      </c>
    </row>
    <row r="212" spans="2:22" x14ac:dyDescent="0.25">
      <c r="B212" s="1" t="s">
        <v>532</v>
      </c>
      <c r="C212" s="2" t="s">
        <v>533</v>
      </c>
      <c r="D212" s="2" t="s">
        <v>534</v>
      </c>
      <c r="E212" s="2" t="s">
        <v>535</v>
      </c>
      <c r="F212" s="3">
        <f t="shared" si="39"/>
        <v>44837</v>
      </c>
      <c r="G212" s="4">
        <f t="shared" si="33"/>
        <v>10</v>
      </c>
      <c r="H212" s="4">
        <f t="shared" si="34"/>
        <v>2022</v>
      </c>
      <c r="I212" s="2" t="s">
        <v>4</v>
      </c>
      <c r="J212" s="2" t="s">
        <v>536</v>
      </c>
      <c r="K212" s="2" t="s">
        <v>554</v>
      </c>
      <c r="L212" s="2" t="s">
        <v>555</v>
      </c>
      <c r="M212" s="2" t="s">
        <v>556</v>
      </c>
      <c r="N212" s="4" t="str">
        <f t="shared" si="35"/>
        <v>GAL</v>
      </c>
      <c r="O212" s="5">
        <v>250</v>
      </c>
      <c r="Q212" t="str">
        <f t="shared" si="36"/>
        <v>GOLDVEG250</v>
      </c>
      <c r="R212" t="str">
        <f t="shared" si="37"/>
        <v>Vented Dyna Gold Vegetable Mix</v>
      </c>
      <c r="S212" s="32">
        <f t="shared" si="38"/>
        <v>250</v>
      </c>
      <c r="U212" t="s">
        <v>555</v>
      </c>
      <c r="V212" s="32">
        <v>250</v>
      </c>
    </row>
    <row r="213" spans="2:22" x14ac:dyDescent="0.25">
      <c r="B213" s="1" t="s">
        <v>532</v>
      </c>
      <c r="C213" s="2" t="s">
        <v>533</v>
      </c>
      <c r="D213" s="2" t="s">
        <v>557</v>
      </c>
      <c r="E213" s="2" t="s">
        <v>558</v>
      </c>
      <c r="F213" s="3">
        <f>DATE(2022,10,12)</f>
        <v>44846</v>
      </c>
      <c r="G213" s="4">
        <f t="shared" si="33"/>
        <v>10</v>
      </c>
      <c r="H213" s="4">
        <f t="shared" si="34"/>
        <v>2022</v>
      </c>
      <c r="I213" s="2" t="s">
        <v>4</v>
      </c>
      <c r="J213" s="2" t="s">
        <v>559</v>
      </c>
      <c r="K213" s="2" t="s">
        <v>560</v>
      </c>
      <c r="L213" s="2" t="s">
        <v>561</v>
      </c>
      <c r="M213" s="2" t="s">
        <v>41</v>
      </c>
      <c r="N213" s="4" t="str">
        <f t="shared" si="35"/>
        <v>GAL</v>
      </c>
      <c r="O213" s="5">
        <v>3500</v>
      </c>
      <c r="Q213" t="str">
        <f t="shared" si="36"/>
        <v>GOLDBOR10250</v>
      </c>
      <c r="R213" t="str">
        <f t="shared" si="37"/>
        <v>Agri Plex Boron 10%</v>
      </c>
      <c r="S213" s="32">
        <f t="shared" si="38"/>
        <v>3500</v>
      </c>
      <c r="U213" t="s">
        <v>561</v>
      </c>
      <c r="V213" s="32">
        <v>3500</v>
      </c>
    </row>
    <row r="214" spans="2:22" x14ac:dyDescent="0.25">
      <c r="B214" s="1" t="s">
        <v>532</v>
      </c>
      <c r="C214" s="2" t="s">
        <v>533</v>
      </c>
      <c r="D214" s="2" t="s">
        <v>562</v>
      </c>
      <c r="E214" s="2" t="s">
        <v>563</v>
      </c>
      <c r="F214" s="3">
        <f>DATE(2022,10,25)</f>
        <v>44859</v>
      </c>
      <c r="G214" s="4">
        <f t="shared" si="33"/>
        <v>10</v>
      </c>
      <c r="H214" s="4">
        <f t="shared" si="34"/>
        <v>2022</v>
      </c>
      <c r="I214" s="2" t="s">
        <v>4</v>
      </c>
      <c r="J214" s="2" t="s">
        <v>564</v>
      </c>
      <c r="K214" s="2" t="s">
        <v>19</v>
      </c>
      <c r="L214" s="2" t="s">
        <v>565</v>
      </c>
      <c r="M214" s="2" t="s">
        <v>21</v>
      </c>
      <c r="N214" s="4" t="str">
        <f t="shared" si="35"/>
        <v>GAL</v>
      </c>
      <c r="O214" s="5">
        <v>180</v>
      </c>
      <c r="Q214" t="str">
        <f t="shared" si="36"/>
        <v>FLOKTS02</v>
      </c>
      <c r="R214" t="str">
        <f t="shared" si="37"/>
        <v>Dyna Flo  0-0-25 17</v>
      </c>
      <c r="S214" s="32">
        <f t="shared" si="38"/>
        <v>3780</v>
      </c>
      <c r="U214" t="s">
        <v>565</v>
      </c>
      <c r="V214" s="32">
        <v>3780</v>
      </c>
    </row>
    <row r="215" spans="2:22" x14ac:dyDescent="0.25">
      <c r="B215" s="1" t="s">
        <v>532</v>
      </c>
      <c r="C215" s="2" t="s">
        <v>533</v>
      </c>
      <c r="D215" s="2" t="s">
        <v>562</v>
      </c>
      <c r="E215" s="2" t="s">
        <v>563</v>
      </c>
      <c r="F215" s="3">
        <f>DATE(2022,10,25)</f>
        <v>44859</v>
      </c>
      <c r="G215" s="4">
        <f t="shared" si="33"/>
        <v>10</v>
      </c>
      <c r="H215" s="4">
        <f t="shared" si="34"/>
        <v>2022</v>
      </c>
      <c r="I215" s="2" t="s">
        <v>4</v>
      </c>
      <c r="J215" s="2" t="s">
        <v>564</v>
      </c>
      <c r="K215" s="2" t="s">
        <v>566</v>
      </c>
      <c r="L215" s="2" t="s">
        <v>565</v>
      </c>
      <c r="M215" s="2" t="s">
        <v>21</v>
      </c>
      <c r="N215" s="4" t="str">
        <f t="shared" si="35"/>
        <v>GAL</v>
      </c>
      <c r="O215" s="5">
        <v>220</v>
      </c>
      <c r="Q215" t="str">
        <f t="shared" si="36"/>
        <v>FLOKTS55</v>
      </c>
      <c r="R215" t="str">
        <f t="shared" si="37"/>
        <v>Dyna Flo  0-0-25 17</v>
      </c>
      <c r="S215" s="32">
        <f t="shared" si="38"/>
        <v>3780</v>
      </c>
      <c r="U215" t="s">
        <v>565</v>
      </c>
      <c r="V215" s="32">
        <v>3780</v>
      </c>
    </row>
    <row r="216" spans="2:22" x14ac:dyDescent="0.25">
      <c r="B216" s="1" t="s">
        <v>532</v>
      </c>
      <c r="C216" s="2" t="s">
        <v>533</v>
      </c>
      <c r="D216" s="2" t="s">
        <v>557</v>
      </c>
      <c r="E216" s="2" t="s">
        <v>567</v>
      </c>
      <c r="F216" s="3">
        <f>DATE(2022,10,28)</f>
        <v>44862</v>
      </c>
      <c r="G216" s="4">
        <f t="shared" si="33"/>
        <v>10</v>
      </c>
      <c r="H216" s="4">
        <f t="shared" si="34"/>
        <v>2022</v>
      </c>
      <c r="I216" s="2" t="s">
        <v>4</v>
      </c>
      <c r="J216" s="2" t="s">
        <v>568</v>
      </c>
      <c r="K216" s="2" t="s">
        <v>569</v>
      </c>
      <c r="L216" s="2" t="s">
        <v>570</v>
      </c>
      <c r="M216" s="2" t="s">
        <v>106</v>
      </c>
      <c r="N216" s="4" t="str">
        <f t="shared" si="35"/>
        <v>LBS</v>
      </c>
      <c r="O216" s="5">
        <v>3000</v>
      </c>
      <c r="Q216" t="str">
        <f t="shared" si="36"/>
        <v>NPKAWAKEN</v>
      </c>
      <c r="R216" t="str">
        <f t="shared" si="37"/>
        <v>Awaken 16-0-2</v>
      </c>
      <c r="S216" s="32">
        <f t="shared" si="38"/>
        <v>7500</v>
      </c>
      <c r="U216" t="s">
        <v>570</v>
      </c>
      <c r="V216" s="32">
        <v>7500</v>
      </c>
    </row>
    <row r="217" spans="2:22" x14ac:dyDescent="0.25">
      <c r="B217" s="1" t="s">
        <v>0</v>
      </c>
      <c r="C217" s="2" t="s">
        <v>1</v>
      </c>
      <c r="D217" s="2" t="s">
        <v>2</v>
      </c>
      <c r="E217" s="2" t="s">
        <v>571</v>
      </c>
      <c r="F217" s="3">
        <f>DATE(2022,11,2)</f>
        <v>44867</v>
      </c>
      <c r="G217" s="4">
        <f t="shared" si="33"/>
        <v>11</v>
      </c>
      <c r="H217" s="4">
        <f t="shared" si="34"/>
        <v>2022</v>
      </c>
      <c r="I217" s="2" t="s">
        <v>4</v>
      </c>
      <c r="J217" s="2" t="s">
        <v>572</v>
      </c>
      <c r="K217" s="2" t="s">
        <v>11</v>
      </c>
      <c r="L217" s="2" t="s">
        <v>12</v>
      </c>
      <c r="M217" s="2" t="s">
        <v>13</v>
      </c>
      <c r="N217" s="4" t="str">
        <f t="shared" si="35"/>
        <v>GAL</v>
      </c>
      <c r="O217" s="5">
        <v>55</v>
      </c>
      <c r="Q217" t="str">
        <f t="shared" si="36"/>
        <v>FLO1200655</v>
      </c>
      <c r="R217" t="str">
        <f t="shared" si="37"/>
        <v>Green Master 12-0-0</v>
      </c>
      <c r="S217" s="32">
        <f t="shared" si="38"/>
        <v>440</v>
      </c>
      <c r="U217" t="s">
        <v>12</v>
      </c>
      <c r="V217" s="32">
        <v>440</v>
      </c>
    </row>
    <row r="218" spans="2:22" x14ac:dyDescent="0.25">
      <c r="B218" s="1" t="s">
        <v>0</v>
      </c>
      <c r="C218" s="2" t="s">
        <v>1</v>
      </c>
      <c r="D218" s="2" t="s">
        <v>2</v>
      </c>
      <c r="E218" s="2" t="s">
        <v>571</v>
      </c>
      <c r="F218" s="3">
        <f>DATE(2022,11,2)</f>
        <v>44867</v>
      </c>
      <c r="G218" s="4">
        <f t="shared" si="33"/>
        <v>11</v>
      </c>
      <c r="H218" s="4">
        <f t="shared" si="34"/>
        <v>2022</v>
      </c>
      <c r="I218" s="2" t="s">
        <v>4</v>
      </c>
      <c r="J218" s="2" t="s">
        <v>572</v>
      </c>
      <c r="K218" s="2" t="s">
        <v>16</v>
      </c>
      <c r="L218" s="2" t="s">
        <v>7</v>
      </c>
      <c r="M218" s="2" t="s">
        <v>8</v>
      </c>
      <c r="N218" s="4" t="str">
        <f t="shared" si="35"/>
        <v>GAL</v>
      </c>
      <c r="O218" s="5">
        <v>30</v>
      </c>
      <c r="Q218" t="str">
        <f t="shared" si="36"/>
        <v>USCMANPLX+02</v>
      </c>
      <c r="R218" t="str">
        <f t="shared" si="37"/>
        <v>Vented Manga Plex Plus</v>
      </c>
      <c r="S218" s="32">
        <f t="shared" si="38"/>
        <v>1060</v>
      </c>
      <c r="U218" t="s">
        <v>7</v>
      </c>
      <c r="V218" s="32">
        <v>1060</v>
      </c>
    </row>
    <row r="219" spans="2:22" x14ac:dyDescent="0.25">
      <c r="B219" s="1" t="s">
        <v>0</v>
      </c>
      <c r="C219" s="2" t="s">
        <v>1</v>
      </c>
      <c r="D219" s="2" t="s">
        <v>2</v>
      </c>
      <c r="E219" s="2" t="s">
        <v>42</v>
      </c>
      <c r="F219" s="3">
        <f t="shared" ref="F219:F224" si="40">DATE(2022,11,3)</f>
        <v>44868</v>
      </c>
      <c r="G219" s="4">
        <f t="shared" si="33"/>
        <v>11</v>
      </c>
      <c r="H219" s="4">
        <f t="shared" si="34"/>
        <v>2022</v>
      </c>
      <c r="I219" s="2" t="s">
        <v>4</v>
      </c>
      <c r="J219" s="2" t="s">
        <v>573</v>
      </c>
      <c r="K219" s="2" t="s">
        <v>574</v>
      </c>
      <c r="L219" s="2" t="s">
        <v>66</v>
      </c>
      <c r="M219" s="2" t="s">
        <v>67</v>
      </c>
      <c r="N219" s="4" t="str">
        <f t="shared" si="35"/>
        <v>GAL</v>
      </c>
      <c r="O219" s="5">
        <v>120</v>
      </c>
      <c r="Q219" t="str">
        <f t="shared" si="36"/>
        <v>USC8FE02</v>
      </c>
      <c r="R219" t="str">
        <f t="shared" si="37"/>
        <v>8 Iron</v>
      </c>
      <c r="S219" s="32">
        <f t="shared" si="38"/>
        <v>185</v>
      </c>
      <c r="U219" t="s">
        <v>66</v>
      </c>
      <c r="V219" s="32">
        <v>185</v>
      </c>
    </row>
    <row r="220" spans="2:22" x14ac:dyDescent="0.25">
      <c r="B220" s="1" t="s">
        <v>0</v>
      </c>
      <c r="C220" s="2" t="s">
        <v>1</v>
      </c>
      <c r="D220" s="2" t="s">
        <v>2</v>
      </c>
      <c r="E220" s="2" t="s">
        <v>42</v>
      </c>
      <c r="F220" s="3">
        <f t="shared" si="40"/>
        <v>44868</v>
      </c>
      <c r="G220" s="4">
        <f t="shared" si="33"/>
        <v>11</v>
      </c>
      <c r="H220" s="4">
        <f t="shared" si="34"/>
        <v>2022</v>
      </c>
      <c r="I220" s="2" t="s">
        <v>4</v>
      </c>
      <c r="J220" s="2" t="s">
        <v>573</v>
      </c>
      <c r="K220" s="2" t="s">
        <v>33</v>
      </c>
      <c r="L220" s="2" t="s">
        <v>34</v>
      </c>
      <c r="M220" s="2" t="s">
        <v>35</v>
      </c>
      <c r="N220" s="4" t="str">
        <f t="shared" si="35"/>
        <v>GAL</v>
      </c>
      <c r="O220" s="5">
        <v>60</v>
      </c>
      <c r="Q220" t="str">
        <f t="shared" si="36"/>
        <v>ZON1501002</v>
      </c>
      <c r="R220" t="str">
        <f t="shared" si="37"/>
        <v>Ever-Green 15-0-10</v>
      </c>
      <c r="S220" s="32">
        <f t="shared" si="38"/>
        <v>140</v>
      </c>
      <c r="U220" t="s">
        <v>34</v>
      </c>
      <c r="V220" s="32">
        <v>140</v>
      </c>
    </row>
    <row r="221" spans="2:22" x14ac:dyDescent="0.25">
      <c r="B221" s="1" t="s">
        <v>0</v>
      </c>
      <c r="C221" s="2" t="s">
        <v>1</v>
      </c>
      <c r="D221" s="2" t="s">
        <v>2</v>
      </c>
      <c r="E221" s="2" t="s">
        <v>42</v>
      </c>
      <c r="F221" s="3">
        <f t="shared" si="40"/>
        <v>44868</v>
      </c>
      <c r="G221" s="4">
        <f t="shared" si="33"/>
        <v>11</v>
      </c>
      <c r="H221" s="4">
        <f t="shared" si="34"/>
        <v>2022</v>
      </c>
      <c r="I221" s="2" t="s">
        <v>4</v>
      </c>
      <c r="J221" s="2" t="s">
        <v>573</v>
      </c>
      <c r="K221" s="2" t="s">
        <v>19</v>
      </c>
      <c r="L221" s="2" t="s">
        <v>20</v>
      </c>
      <c r="M221" s="2" t="s">
        <v>21</v>
      </c>
      <c r="N221" s="4" t="str">
        <f t="shared" si="35"/>
        <v>GAL</v>
      </c>
      <c r="O221" s="5">
        <v>120</v>
      </c>
      <c r="Q221" t="str">
        <f t="shared" si="36"/>
        <v>FLOKTS02</v>
      </c>
      <c r="R221" t="str">
        <f t="shared" si="37"/>
        <v>Excel 0-0-25</v>
      </c>
      <c r="S221" s="32">
        <f t="shared" si="38"/>
        <v>690</v>
      </c>
      <c r="U221" t="s">
        <v>20</v>
      </c>
      <c r="V221" s="32">
        <v>690</v>
      </c>
    </row>
    <row r="222" spans="2:22" x14ac:dyDescent="0.25">
      <c r="B222" s="1" t="s">
        <v>0</v>
      </c>
      <c r="C222" s="2" t="s">
        <v>1</v>
      </c>
      <c r="D222" s="2" t="s">
        <v>2</v>
      </c>
      <c r="E222" s="2" t="s">
        <v>42</v>
      </c>
      <c r="F222" s="3">
        <f t="shared" si="40"/>
        <v>44868</v>
      </c>
      <c r="G222" s="4">
        <f t="shared" si="33"/>
        <v>11</v>
      </c>
      <c r="H222" s="4">
        <f t="shared" si="34"/>
        <v>2022</v>
      </c>
      <c r="I222" s="2" t="s">
        <v>4</v>
      </c>
      <c r="J222" s="2" t="s">
        <v>573</v>
      </c>
      <c r="K222" s="2" t="s">
        <v>36</v>
      </c>
      <c r="L222" s="2" t="s">
        <v>37</v>
      </c>
      <c r="M222" s="2" t="s">
        <v>38</v>
      </c>
      <c r="N222" s="4" t="str">
        <f t="shared" si="35"/>
        <v>GAL</v>
      </c>
      <c r="O222" s="5">
        <v>120</v>
      </c>
      <c r="Q222" t="str">
        <f t="shared" si="36"/>
        <v>FLO3181802</v>
      </c>
      <c r="R222" t="str">
        <f t="shared" si="37"/>
        <v>Mega Feed 3-18-18</v>
      </c>
      <c r="S222" s="32">
        <f t="shared" si="38"/>
        <v>260</v>
      </c>
      <c r="U222" t="s">
        <v>37</v>
      </c>
      <c r="V222" s="32">
        <v>260</v>
      </c>
    </row>
    <row r="223" spans="2:22" x14ac:dyDescent="0.25">
      <c r="B223" s="1" t="s">
        <v>0</v>
      </c>
      <c r="C223" s="2" t="s">
        <v>1</v>
      </c>
      <c r="D223" s="2" t="s">
        <v>2</v>
      </c>
      <c r="E223" s="2" t="s">
        <v>42</v>
      </c>
      <c r="F223" s="3">
        <f t="shared" si="40"/>
        <v>44868</v>
      </c>
      <c r="G223" s="4">
        <f t="shared" si="33"/>
        <v>11</v>
      </c>
      <c r="H223" s="4">
        <f t="shared" si="34"/>
        <v>2022</v>
      </c>
      <c r="I223" s="2" t="s">
        <v>4</v>
      </c>
      <c r="J223" s="2" t="s">
        <v>573</v>
      </c>
      <c r="K223" s="2" t="s">
        <v>28</v>
      </c>
      <c r="L223" s="2" t="s">
        <v>29</v>
      </c>
      <c r="M223" s="2" t="s">
        <v>30</v>
      </c>
      <c r="N223" s="4" t="str">
        <f t="shared" si="35"/>
        <v>GAL</v>
      </c>
      <c r="O223" s="5">
        <v>120</v>
      </c>
      <c r="Q223" t="str">
        <f t="shared" si="36"/>
        <v>USCBIOPX02</v>
      </c>
      <c r="R223" t="str">
        <f t="shared" si="37"/>
        <v>Vented Bio Plex</v>
      </c>
      <c r="S223" s="32">
        <f t="shared" si="38"/>
        <v>510</v>
      </c>
      <c r="U223" t="s">
        <v>29</v>
      </c>
      <c r="V223" s="32">
        <v>510</v>
      </c>
    </row>
    <row r="224" spans="2:22" x14ac:dyDescent="0.25">
      <c r="B224" s="1" t="s">
        <v>0</v>
      </c>
      <c r="C224" s="2" t="s">
        <v>1</v>
      </c>
      <c r="D224" s="2" t="s">
        <v>2</v>
      </c>
      <c r="E224" s="2" t="s">
        <v>42</v>
      </c>
      <c r="F224" s="3">
        <f t="shared" si="40"/>
        <v>44868</v>
      </c>
      <c r="G224" s="4">
        <f t="shared" si="33"/>
        <v>11</v>
      </c>
      <c r="H224" s="4">
        <f t="shared" si="34"/>
        <v>2022</v>
      </c>
      <c r="I224" s="2" t="s">
        <v>4</v>
      </c>
      <c r="J224" s="2" t="s">
        <v>573</v>
      </c>
      <c r="K224" s="2" t="s">
        <v>16</v>
      </c>
      <c r="L224" s="2" t="s">
        <v>7</v>
      </c>
      <c r="M224" s="2" t="s">
        <v>8</v>
      </c>
      <c r="N224" s="4" t="str">
        <f t="shared" si="35"/>
        <v>GAL</v>
      </c>
      <c r="O224" s="5">
        <v>60</v>
      </c>
      <c r="Q224" t="str">
        <f t="shared" si="36"/>
        <v>USCMANPLX+02</v>
      </c>
      <c r="R224" t="str">
        <f t="shared" si="37"/>
        <v>Vented Manga Plex Plus</v>
      </c>
      <c r="S224" s="32">
        <f t="shared" si="38"/>
        <v>1060</v>
      </c>
      <c r="U224" t="s">
        <v>7</v>
      </c>
      <c r="V224" s="32">
        <v>1060</v>
      </c>
    </row>
    <row r="225" spans="2:22" x14ac:dyDescent="0.25">
      <c r="B225" s="1" t="s">
        <v>0</v>
      </c>
      <c r="C225" s="2" t="s">
        <v>1</v>
      </c>
      <c r="D225" s="2" t="s">
        <v>2</v>
      </c>
      <c r="E225" s="2" t="s">
        <v>3</v>
      </c>
      <c r="F225" s="3">
        <f>DATE(2022,11,9)</f>
        <v>44874</v>
      </c>
      <c r="G225" s="4">
        <f t="shared" si="33"/>
        <v>11</v>
      </c>
      <c r="H225" s="4">
        <f t="shared" si="34"/>
        <v>2022</v>
      </c>
      <c r="I225" s="2" t="s">
        <v>4</v>
      </c>
      <c r="J225" s="2" t="s">
        <v>575</v>
      </c>
      <c r="K225" s="2" t="s">
        <v>566</v>
      </c>
      <c r="L225" s="2" t="s">
        <v>20</v>
      </c>
      <c r="M225" s="2" t="s">
        <v>21</v>
      </c>
      <c r="N225" s="4" t="str">
        <f t="shared" si="35"/>
        <v>GAL</v>
      </c>
      <c r="O225" s="5">
        <v>55</v>
      </c>
      <c r="Q225" t="str">
        <f t="shared" si="36"/>
        <v>FLOKTS55</v>
      </c>
      <c r="R225" t="str">
        <f t="shared" si="37"/>
        <v>Excel 0-0-25</v>
      </c>
      <c r="S225" s="32">
        <f t="shared" si="38"/>
        <v>690</v>
      </c>
      <c r="U225" t="s">
        <v>20</v>
      </c>
      <c r="V225" s="32">
        <v>690</v>
      </c>
    </row>
    <row r="226" spans="2:22" x14ac:dyDescent="0.25">
      <c r="B226" s="1" t="s">
        <v>0</v>
      </c>
      <c r="C226" s="2" t="s">
        <v>1</v>
      </c>
      <c r="D226" s="2" t="s">
        <v>2</v>
      </c>
      <c r="E226" s="2" t="s">
        <v>576</v>
      </c>
      <c r="F226" s="3">
        <f>DATE(2022,11,11)</f>
        <v>44876</v>
      </c>
      <c r="G226" s="4">
        <f t="shared" si="33"/>
        <v>11</v>
      </c>
      <c r="H226" s="4">
        <f t="shared" si="34"/>
        <v>2022</v>
      </c>
      <c r="I226" s="2" t="s">
        <v>4</v>
      </c>
      <c r="J226" s="2" t="s">
        <v>577</v>
      </c>
      <c r="K226" s="2" t="s">
        <v>578</v>
      </c>
      <c r="L226" s="2" t="s">
        <v>72</v>
      </c>
      <c r="M226" s="2" t="s">
        <v>73</v>
      </c>
      <c r="N226" s="4" t="str">
        <f t="shared" si="35"/>
        <v>GAL</v>
      </c>
      <c r="O226" s="5">
        <v>20</v>
      </c>
      <c r="Q226" t="str">
        <f t="shared" si="36"/>
        <v>GROMN02</v>
      </c>
      <c r="R226" t="str">
        <f t="shared" si="37"/>
        <v>Mega Mix Mn</v>
      </c>
      <c r="S226" s="32">
        <f t="shared" si="38"/>
        <v>110</v>
      </c>
      <c r="U226" t="s">
        <v>72</v>
      </c>
      <c r="V226" s="32">
        <v>110</v>
      </c>
    </row>
    <row r="227" spans="2:22" x14ac:dyDescent="0.25">
      <c r="B227" s="1" t="s">
        <v>0</v>
      </c>
      <c r="C227" s="2" t="s">
        <v>1</v>
      </c>
      <c r="D227" s="2" t="s">
        <v>2</v>
      </c>
      <c r="E227" s="2" t="s">
        <v>61</v>
      </c>
      <c r="F227" s="3">
        <f>DATE(2022,11,18)</f>
        <v>44883</v>
      </c>
      <c r="G227" s="4">
        <f t="shared" si="33"/>
        <v>11</v>
      </c>
      <c r="H227" s="4">
        <f t="shared" si="34"/>
        <v>2022</v>
      </c>
      <c r="I227" s="2" t="s">
        <v>4</v>
      </c>
      <c r="J227" s="2" t="s">
        <v>579</v>
      </c>
      <c r="K227" s="2" t="s">
        <v>19</v>
      </c>
      <c r="L227" s="2" t="s">
        <v>20</v>
      </c>
      <c r="M227" s="2" t="s">
        <v>21</v>
      </c>
      <c r="N227" s="4" t="str">
        <f t="shared" si="35"/>
        <v>GAL</v>
      </c>
      <c r="O227" s="5">
        <v>30</v>
      </c>
      <c r="Q227" t="str">
        <f t="shared" si="36"/>
        <v>FLOKTS02</v>
      </c>
      <c r="R227" t="str">
        <f t="shared" si="37"/>
        <v>Excel 0-0-25</v>
      </c>
      <c r="S227" s="32">
        <f t="shared" si="38"/>
        <v>690</v>
      </c>
      <c r="U227" t="s">
        <v>20</v>
      </c>
      <c r="V227" s="32">
        <v>690</v>
      </c>
    </row>
    <row r="228" spans="2:22" x14ac:dyDescent="0.25">
      <c r="B228" s="1" t="s">
        <v>0</v>
      </c>
      <c r="C228" s="2" t="s">
        <v>1</v>
      </c>
      <c r="D228" s="2" t="s">
        <v>2</v>
      </c>
      <c r="E228" s="2" t="s">
        <v>61</v>
      </c>
      <c r="F228" s="3">
        <f>DATE(2022,11,18)</f>
        <v>44883</v>
      </c>
      <c r="G228" s="4">
        <f t="shared" si="33"/>
        <v>11</v>
      </c>
      <c r="H228" s="4">
        <f t="shared" si="34"/>
        <v>2022</v>
      </c>
      <c r="I228" s="2" t="s">
        <v>4</v>
      </c>
      <c r="J228" s="2" t="s">
        <v>579</v>
      </c>
      <c r="K228" s="2" t="s">
        <v>25</v>
      </c>
      <c r="L228" s="2" t="s">
        <v>26</v>
      </c>
      <c r="M228" s="2" t="s">
        <v>27</v>
      </c>
      <c r="N228" s="4" t="str">
        <f t="shared" si="35"/>
        <v>GAL</v>
      </c>
      <c r="O228" s="5">
        <v>60</v>
      </c>
      <c r="Q228" t="str">
        <f t="shared" si="36"/>
        <v>GOLDCA02</v>
      </c>
      <c r="R228" t="str">
        <f t="shared" si="37"/>
        <v>Neutra Soil</v>
      </c>
      <c r="S228" s="32">
        <f t="shared" si="38"/>
        <v>470</v>
      </c>
      <c r="U228" t="s">
        <v>26</v>
      </c>
      <c r="V228" s="32">
        <v>470</v>
      </c>
    </row>
    <row r="229" spans="2:22" x14ac:dyDescent="0.25">
      <c r="B229" s="1" t="s">
        <v>0</v>
      </c>
      <c r="C229" s="2" t="s">
        <v>1</v>
      </c>
      <c r="D229" s="2" t="s">
        <v>2</v>
      </c>
      <c r="E229" s="2" t="s">
        <v>61</v>
      </c>
      <c r="F229" s="3">
        <f>DATE(2022,11,18)</f>
        <v>44883</v>
      </c>
      <c r="G229" s="4">
        <f t="shared" si="33"/>
        <v>11</v>
      </c>
      <c r="H229" s="4">
        <f t="shared" si="34"/>
        <v>2022</v>
      </c>
      <c r="I229" s="2" t="s">
        <v>4</v>
      </c>
      <c r="J229" s="2" t="s">
        <v>579</v>
      </c>
      <c r="K229" s="2" t="s">
        <v>28</v>
      </c>
      <c r="L229" s="2" t="s">
        <v>29</v>
      </c>
      <c r="M229" s="2" t="s">
        <v>30</v>
      </c>
      <c r="N229" s="4" t="str">
        <f t="shared" si="35"/>
        <v>GAL</v>
      </c>
      <c r="O229" s="5">
        <v>30</v>
      </c>
      <c r="Q229" t="str">
        <f t="shared" si="36"/>
        <v>USCBIOPX02</v>
      </c>
      <c r="R229" t="str">
        <f t="shared" si="37"/>
        <v>Vented Bio Plex</v>
      </c>
      <c r="S229" s="32">
        <f t="shared" si="38"/>
        <v>510</v>
      </c>
      <c r="U229" t="s">
        <v>29</v>
      </c>
      <c r="V229" s="32">
        <v>510</v>
      </c>
    </row>
    <row r="230" spans="2:22" x14ac:dyDescent="0.25">
      <c r="B230" s="1" t="s">
        <v>0</v>
      </c>
      <c r="C230" s="2" t="s">
        <v>1</v>
      </c>
      <c r="D230" s="2" t="s">
        <v>2</v>
      </c>
      <c r="E230" s="2" t="s">
        <v>61</v>
      </c>
      <c r="F230" s="3">
        <f>DATE(2022,11,18)</f>
        <v>44883</v>
      </c>
      <c r="G230" s="4">
        <f t="shared" si="33"/>
        <v>11</v>
      </c>
      <c r="H230" s="4">
        <f t="shared" si="34"/>
        <v>2022</v>
      </c>
      <c r="I230" s="2" t="s">
        <v>4</v>
      </c>
      <c r="J230" s="2" t="s">
        <v>579</v>
      </c>
      <c r="K230" s="2" t="s">
        <v>16</v>
      </c>
      <c r="L230" s="2" t="s">
        <v>7</v>
      </c>
      <c r="M230" s="2" t="s">
        <v>8</v>
      </c>
      <c r="N230" s="4" t="str">
        <f t="shared" si="35"/>
        <v>GAL</v>
      </c>
      <c r="O230" s="5">
        <v>60</v>
      </c>
      <c r="Q230" t="str">
        <f t="shared" si="36"/>
        <v>USCMANPLX+02</v>
      </c>
      <c r="R230" t="str">
        <f t="shared" si="37"/>
        <v>Vented Manga Plex Plus</v>
      </c>
      <c r="S230" s="32">
        <f t="shared" si="38"/>
        <v>1060</v>
      </c>
      <c r="U230" t="s">
        <v>7</v>
      </c>
      <c r="V230" s="32">
        <v>1060</v>
      </c>
    </row>
    <row r="231" spans="2:22" x14ac:dyDescent="0.25">
      <c r="B231" s="1" t="s">
        <v>0</v>
      </c>
      <c r="C231" s="2" t="s">
        <v>1</v>
      </c>
      <c r="D231" s="2" t="s">
        <v>2</v>
      </c>
      <c r="E231" s="2" t="s">
        <v>3</v>
      </c>
      <c r="F231" s="3">
        <f>DATE(2022,11,18)</f>
        <v>44883</v>
      </c>
      <c r="G231" s="4">
        <f t="shared" si="33"/>
        <v>11</v>
      </c>
      <c r="H231" s="4">
        <f t="shared" si="34"/>
        <v>2022</v>
      </c>
      <c r="I231" s="2" t="s">
        <v>4</v>
      </c>
      <c r="J231" s="2" t="s">
        <v>580</v>
      </c>
      <c r="K231" s="2" t="s">
        <v>6</v>
      </c>
      <c r="L231" s="2" t="s">
        <v>7</v>
      </c>
      <c r="M231" s="2" t="s">
        <v>8</v>
      </c>
      <c r="N231" s="4" t="str">
        <f t="shared" si="35"/>
        <v>GAL</v>
      </c>
      <c r="O231" s="5">
        <v>55</v>
      </c>
      <c r="Q231" t="str">
        <f t="shared" si="36"/>
        <v>USCMANPLX+55</v>
      </c>
      <c r="R231" t="str">
        <f t="shared" si="37"/>
        <v>Vented Manga Plex Plus</v>
      </c>
      <c r="S231" s="32">
        <f t="shared" si="38"/>
        <v>1060</v>
      </c>
      <c r="U231" t="s">
        <v>7</v>
      </c>
      <c r="V231" s="32">
        <v>1060</v>
      </c>
    </row>
    <row r="232" spans="2:22" x14ac:dyDescent="0.25">
      <c r="B232" s="1" t="s">
        <v>0</v>
      </c>
      <c r="C232" s="2" t="s">
        <v>1</v>
      </c>
      <c r="D232" s="2" t="s">
        <v>55</v>
      </c>
      <c r="E232" s="2" t="s">
        <v>56</v>
      </c>
      <c r="F232" s="3">
        <f>DATE(2022,11,23)</f>
        <v>44888</v>
      </c>
      <c r="G232" s="4">
        <f t="shared" si="33"/>
        <v>11</v>
      </c>
      <c r="H232" s="4">
        <f t="shared" si="34"/>
        <v>2022</v>
      </c>
      <c r="I232" s="2" t="s">
        <v>4</v>
      </c>
      <c r="J232" s="2" t="s">
        <v>581</v>
      </c>
      <c r="K232" s="2" t="s">
        <v>582</v>
      </c>
      <c r="L232" s="2" t="s">
        <v>583</v>
      </c>
      <c r="M232" s="2" t="s">
        <v>553</v>
      </c>
      <c r="N232" s="4" t="str">
        <f t="shared" si="35"/>
        <v>GAL</v>
      </c>
      <c r="O232" s="5">
        <v>180</v>
      </c>
      <c r="Q232" t="str">
        <f t="shared" si="36"/>
        <v>ALMBGRE02</v>
      </c>
      <c r="R232" t="str">
        <f t="shared" si="37"/>
        <v>Beauti Green</v>
      </c>
      <c r="S232" s="32">
        <f t="shared" si="38"/>
        <v>180</v>
      </c>
      <c r="U232" t="s">
        <v>583</v>
      </c>
      <c r="V232" s="32">
        <v>180</v>
      </c>
    </row>
    <row r="233" spans="2:22" x14ac:dyDescent="0.25">
      <c r="B233" s="1" t="s">
        <v>0</v>
      </c>
      <c r="C233" s="2" t="s">
        <v>1</v>
      </c>
      <c r="D233" s="2" t="s">
        <v>55</v>
      </c>
      <c r="E233" s="2" t="s">
        <v>56</v>
      </c>
      <c r="F233" s="3">
        <f>DATE(2022,11,23)</f>
        <v>44888</v>
      </c>
      <c r="G233" s="4">
        <f t="shared" si="33"/>
        <v>11</v>
      </c>
      <c r="H233" s="4">
        <f t="shared" si="34"/>
        <v>2022</v>
      </c>
      <c r="I233" s="2" t="s">
        <v>4</v>
      </c>
      <c r="J233" s="2" t="s">
        <v>581</v>
      </c>
      <c r="K233" s="2" t="s">
        <v>83</v>
      </c>
      <c r="L233" s="2" t="s">
        <v>584</v>
      </c>
      <c r="M233" s="2" t="s">
        <v>85</v>
      </c>
      <c r="N233" s="4" t="str">
        <f t="shared" si="35"/>
        <v>GAL</v>
      </c>
      <c r="O233" s="5">
        <v>90</v>
      </c>
      <c r="Q233" t="str">
        <f t="shared" si="36"/>
        <v>ZON183602</v>
      </c>
      <c r="R233" t="str">
        <f t="shared" si="37"/>
        <v>Green Magic</v>
      </c>
      <c r="S233" s="32">
        <f t="shared" si="38"/>
        <v>90</v>
      </c>
      <c r="U233" t="s">
        <v>584</v>
      </c>
      <c r="V233" s="32">
        <v>90</v>
      </c>
    </row>
    <row r="234" spans="2:22" x14ac:dyDescent="0.25">
      <c r="B234" s="1" t="s">
        <v>0</v>
      </c>
      <c r="C234" s="2" t="s">
        <v>1</v>
      </c>
      <c r="D234" s="2" t="s">
        <v>55</v>
      </c>
      <c r="E234" s="2" t="s">
        <v>56</v>
      </c>
      <c r="F234" s="3">
        <f>DATE(2022,11,23)</f>
        <v>44888</v>
      </c>
      <c r="G234" s="4">
        <f t="shared" si="33"/>
        <v>11</v>
      </c>
      <c r="H234" s="4">
        <f t="shared" si="34"/>
        <v>2022</v>
      </c>
      <c r="I234" s="2" t="s">
        <v>4</v>
      </c>
      <c r="J234" s="2" t="s">
        <v>581</v>
      </c>
      <c r="K234" s="2" t="s">
        <v>585</v>
      </c>
      <c r="L234" s="2" t="s">
        <v>586</v>
      </c>
      <c r="M234" s="2" t="s">
        <v>587</v>
      </c>
      <c r="N234" s="4" t="str">
        <f t="shared" si="35"/>
        <v>GAL</v>
      </c>
      <c r="O234" s="5">
        <v>90</v>
      </c>
      <c r="Q234" t="str">
        <f t="shared" si="36"/>
        <v>ALMKGRE02</v>
      </c>
      <c r="R234" t="str">
        <f t="shared" si="37"/>
        <v>K Green</v>
      </c>
      <c r="S234" s="32">
        <f t="shared" si="38"/>
        <v>90</v>
      </c>
      <c r="U234" t="s">
        <v>586</v>
      </c>
      <c r="V234" s="32">
        <v>90</v>
      </c>
    </row>
    <row r="235" spans="2:22" x14ac:dyDescent="0.25">
      <c r="B235" s="1" t="s">
        <v>88</v>
      </c>
      <c r="C235" s="2" t="s">
        <v>89</v>
      </c>
      <c r="D235" s="2" t="s">
        <v>134</v>
      </c>
      <c r="E235" s="2" t="s">
        <v>135</v>
      </c>
      <c r="F235" s="3">
        <f>DATE(2022,11,1)</f>
        <v>44866</v>
      </c>
      <c r="G235" s="4">
        <f t="shared" si="33"/>
        <v>11</v>
      </c>
      <c r="H235" s="4">
        <f t="shared" si="34"/>
        <v>2022</v>
      </c>
      <c r="I235" s="2" t="s">
        <v>4</v>
      </c>
      <c r="J235" s="2" t="s">
        <v>588</v>
      </c>
      <c r="K235" s="2" t="s">
        <v>143</v>
      </c>
      <c r="L235" s="2" t="s">
        <v>589</v>
      </c>
      <c r="M235" s="2" t="s">
        <v>145</v>
      </c>
      <c r="N235" s="4" t="str">
        <f t="shared" si="35"/>
        <v>GAL</v>
      </c>
      <c r="O235" s="5">
        <v>210</v>
      </c>
      <c r="Q235" t="str">
        <f t="shared" si="36"/>
        <v>REPACK02</v>
      </c>
      <c r="R235" t="str">
        <f t="shared" si="37"/>
        <v>Repack: Carbotein</v>
      </c>
      <c r="S235" s="32">
        <f t="shared" si="38"/>
        <v>210</v>
      </c>
      <c r="U235" t="s">
        <v>589</v>
      </c>
      <c r="V235" s="32">
        <v>210</v>
      </c>
    </row>
    <row r="236" spans="2:22" x14ac:dyDescent="0.25">
      <c r="B236" s="1" t="s">
        <v>88</v>
      </c>
      <c r="C236" s="2" t="s">
        <v>89</v>
      </c>
      <c r="D236" s="2" t="s">
        <v>134</v>
      </c>
      <c r="E236" s="2" t="s">
        <v>135</v>
      </c>
      <c r="F236" s="3">
        <f>DATE(2022,11,1)</f>
        <v>44866</v>
      </c>
      <c r="G236" s="4">
        <f t="shared" si="33"/>
        <v>11</v>
      </c>
      <c r="H236" s="4">
        <f t="shared" si="34"/>
        <v>2022</v>
      </c>
      <c r="I236" s="2" t="s">
        <v>4</v>
      </c>
      <c r="J236" s="2" t="s">
        <v>588</v>
      </c>
      <c r="K236" s="2" t="s">
        <v>143</v>
      </c>
      <c r="L236" s="2" t="s">
        <v>590</v>
      </c>
      <c r="M236" s="2" t="s">
        <v>145</v>
      </c>
      <c r="N236" s="4" t="str">
        <f t="shared" si="35"/>
        <v>GAL</v>
      </c>
      <c r="O236" s="5">
        <v>135</v>
      </c>
      <c r="Q236" t="str">
        <f t="shared" si="36"/>
        <v>REPACK02</v>
      </c>
      <c r="R236" t="str">
        <f t="shared" si="37"/>
        <v>Repack: Penterra</v>
      </c>
      <c r="S236" s="32">
        <f t="shared" si="38"/>
        <v>135</v>
      </c>
      <c r="U236" t="s">
        <v>590</v>
      </c>
      <c r="V236" s="32">
        <v>135</v>
      </c>
    </row>
    <row r="237" spans="2:22" x14ac:dyDescent="0.25">
      <c r="B237" s="1" t="s">
        <v>88</v>
      </c>
      <c r="C237" s="2" t="s">
        <v>89</v>
      </c>
      <c r="D237" s="2" t="s">
        <v>591</v>
      </c>
      <c r="E237" s="2" t="s">
        <v>592</v>
      </c>
      <c r="F237" s="3">
        <f>DATE(2022,11,3)</f>
        <v>44868</v>
      </c>
      <c r="G237" s="4">
        <f t="shared" si="33"/>
        <v>11</v>
      </c>
      <c r="H237" s="4">
        <f t="shared" si="34"/>
        <v>2022</v>
      </c>
      <c r="I237" s="2" t="s">
        <v>4</v>
      </c>
      <c r="J237" s="2" t="s">
        <v>593</v>
      </c>
      <c r="K237" s="2" t="s">
        <v>126</v>
      </c>
      <c r="L237" s="2" t="s">
        <v>127</v>
      </c>
      <c r="M237" s="2" t="s">
        <v>106</v>
      </c>
      <c r="N237" s="4" t="str">
        <f t="shared" si="35"/>
        <v>LBS</v>
      </c>
      <c r="O237" s="5">
        <v>45380</v>
      </c>
      <c r="Q237" t="str">
        <f t="shared" si="36"/>
        <v>NPKPHOS75</v>
      </c>
      <c r="R237" t="str">
        <f t="shared" si="37"/>
        <v>Phosphoric Acid 75%</v>
      </c>
      <c r="S237" s="32">
        <f t="shared" si="38"/>
        <v>97420</v>
      </c>
      <c r="U237" t="s">
        <v>127</v>
      </c>
      <c r="V237" s="32">
        <v>97420</v>
      </c>
    </row>
    <row r="238" spans="2:22" x14ac:dyDescent="0.25">
      <c r="B238" s="1" t="s">
        <v>88</v>
      </c>
      <c r="C238" s="2" t="s">
        <v>89</v>
      </c>
      <c r="D238" s="2" t="s">
        <v>594</v>
      </c>
      <c r="E238" s="2" t="s">
        <v>595</v>
      </c>
      <c r="F238" s="3">
        <f>DATE(2022,11,4)</f>
        <v>44869</v>
      </c>
      <c r="G238" s="4">
        <f t="shared" si="33"/>
        <v>11</v>
      </c>
      <c r="H238" s="4">
        <f t="shared" si="34"/>
        <v>2022</v>
      </c>
      <c r="I238" s="2" t="s">
        <v>4</v>
      </c>
      <c r="J238" s="2" t="s">
        <v>596</v>
      </c>
      <c r="K238" s="2" t="s">
        <v>597</v>
      </c>
      <c r="L238" s="2" t="s">
        <v>598</v>
      </c>
      <c r="M238" s="2" t="s">
        <v>599</v>
      </c>
      <c r="N238" s="4" t="str">
        <f t="shared" si="35"/>
        <v>GAL</v>
      </c>
      <c r="O238" s="5">
        <v>5</v>
      </c>
      <c r="Q238" t="str">
        <f t="shared" si="36"/>
        <v>DYNASURF02</v>
      </c>
      <c r="R238" t="str">
        <f t="shared" si="37"/>
        <v>Dynasurf</v>
      </c>
      <c r="S238" s="32">
        <f t="shared" si="38"/>
        <v>5</v>
      </c>
      <c r="U238" t="s">
        <v>598</v>
      </c>
      <c r="V238" s="32">
        <v>5</v>
      </c>
    </row>
    <row r="239" spans="2:22" x14ac:dyDescent="0.25">
      <c r="B239" s="1" t="s">
        <v>88</v>
      </c>
      <c r="C239" s="2" t="s">
        <v>89</v>
      </c>
      <c r="D239" s="2" t="s">
        <v>507</v>
      </c>
      <c r="E239" s="2" t="s">
        <v>600</v>
      </c>
      <c r="F239" s="3">
        <f>DATE(2022,11,8)</f>
        <v>44873</v>
      </c>
      <c r="G239" s="4">
        <f t="shared" si="33"/>
        <v>11</v>
      </c>
      <c r="H239" s="4">
        <f t="shared" si="34"/>
        <v>2022</v>
      </c>
      <c r="I239" s="2" t="s">
        <v>4</v>
      </c>
      <c r="J239" s="2" t="s">
        <v>601</v>
      </c>
      <c r="K239" s="2" t="s">
        <v>560</v>
      </c>
      <c r="L239" s="2" t="s">
        <v>602</v>
      </c>
      <c r="M239" s="2" t="s">
        <v>41</v>
      </c>
      <c r="N239" s="4" t="str">
        <f t="shared" si="35"/>
        <v>GAL</v>
      </c>
      <c r="O239" s="5">
        <v>1500</v>
      </c>
      <c r="Q239" t="str">
        <f t="shared" si="36"/>
        <v>GOLDBOR10250</v>
      </c>
      <c r="R239" t="str">
        <f t="shared" si="37"/>
        <v>Dyna Boron 10%</v>
      </c>
      <c r="S239" s="32">
        <f t="shared" si="38"/>
        <v>1500</v>
      </c>
      <c r="U239" t="s">
        <v>602</v>
      </c>
      <c r="V239" s="32">
        <v>1500</v>
      </c>
    </row>
    <row r="240" spans="2:22" x14ac:dyDescent="0.25">
      <c r="B240" s="6" t="s">
        <v>88</v>
      </c>
      <c r="C240" s="7" t="s">
        <v>89</v>
      </c>
      <c r="D240" s="8" t="s">
        <v>96</v>
      </c>
      <c r="E240" s="8" t="s">
        <v>96</v>
      </c>
      <c r="F240" s="9">
        <f>DATE(2022,11,11)</f>
        <v>44876</v>
      </c>
      <c r="G240" s="10">
        <f t="shared" si="33"/>
        <v>11</v>
      </c>
      <c r="H240" s="10">
        <f t="shared" si="34"/>
        <v>2022</v>
      </c>
      <c r="I240" s="8" t="s">
        <v>4</v>
      </c>
      <c r="J240" s="7" t="s">
        <v>603</v>
      </c>
      <c r="K240" s="8" t="s">
        <v>98</v>
      </c>
      <c r="L240" s="8" t="s">
        <v>99</v>
      </c>
      <c r="M240" s="8" t="s">
        <v>100</v>
      </c>
      <c r="N240" s="10" t="str">
        <f t="shared" si="35"/>
        <v>GAL</v>
      </c>
      <c r="O240" s="11">
        <v>2684</v>
      </c>
      <c r="Q240" t="str">
        <f t="shared" si="36"/>
        <v>FLO1137000</v>
      </c>
      <c r="R240" t="str">
        <f t="shared" si="37"/>
        <v>Dyna Flo 11-37-0</v>
      </c>
      <c r="S240" s="32">
        <f t="shared" si="38"/>
        <v>14997</v>
      </c>
      <c r="U240" t="s">
        <v>99</v>
      </c>
      <c r="V240" s="32">
        <v>14997</v>
      </c>
    </row>
    <row r="241" spans="2:22" x14ac:dyDescent="0.25">
      <c r="B241" s="1" t="s">
        <v>88</v>
      </c>
      <c r="C241" s="2" t="s">
        <v>89</v>
      </c>
      <c r="D241" s="2" t="s">
        <v>604</v>
      </c>
      <c r="E241" s="2" t="s">
        <v>102</v>
      </c>
      <c r="F241" s="3">
        <f>DATE(2022,11,15)</f>
        <v>44880</v>
      </c>
      <c r="G241" s="4">
        <f t="shared" si="33"/>
        <v>11</v>
      </c>
      <c r="H241" s="4">
        <f t="shared" si="34"/>
        <v>2022</v>
      </c>
      <c r="I241" s="2" t="s">
        <v>4</v>
      </c>
      <c r="J241" s="2" t="s">
        <v>605</v>
      </c>
      <c r="K241" s="2" t="s">
        <v>606</v>
      </c>
      <c r="L241" s="2" t="s">
        <v>607</v>
      </c>
      <c r="M241" s="2" t="s">
        <v>106</v>
      </c>
      <c r="N241" s="4" t="str">
        <f t="shared" si="35"/>
        <v>LBS</v>
      </c>
      <c r="O241" s="5">
        <v>2647.5</v>
      </c>
      <c r="Q241" t="str">
        <f t="shared" si="36"/>
        <v>CHEGLUCOGR50250</v>
      </c>
      <c r="R241" t="str">
        <f t="shared" si="37"/>
        <v>Glucoheptonate GR-50 NVM consignment CDI in 250</v>
      </c>
      <c r="S241" s="32">
        <f t="shared" si="38"/>
        <v>2647.5</v>
      </c>
      <c r="U241" t="s">
        <v>607</v>
      </c>
      <c r="V241" s="32">
        <v>2647.5</v>
      </c>
    </row>
    <row r="242" spans="2:22" x14ac:dyDescent="0.25">
      <c r="B242" s="1" t="s">
        <v>88</v>
      </c>
      <c r="C242" s="2" t="s">
        <v>89</v>
      </c>
      <c r="D242" s="2" t="s">
        <v>146</v>
      </c>
      <c r="E242" s="2" t="s">
        <v>147</v>
      </c>
      <c r="F242" s="3">
        <f>DATE(2022,11,15)</f>
        <v>44880</v>
      </c>
      <c r="G242" s="4">
        <f t="shared" si="33"/>
        <v>11</v>
      </c>
      <c r="H242" s="4">
        <f t="shared" si="34"/>
        <v>2022</v>
      </c>
      <c r="I242" s="2" t="s">
        <v>4</v>
      </c>
      <c r="J242" s="2" t="s">
        <v>608</v>
      </c>
      <c r="K242" s="2" t="s">
        <v>149</v>
      </c>
      <c r="L242" s="2" t="s">
        <v>150</v>
      </c>
      <c r="M242" s="2" t="s">
        <v>21</v>
      </c>
      <c r="N242" s="4" t="str">
        <f t="shared" si="35"/>
        <v>GAL</v>
      </c>
      <c r="O242" s="5">
        <v>35</v>
      </c>
      <c r="Q242" t="str">
        <f t="shared" si="36"/>
        <v>FLO003002</v>
      </c>
      <c r="R242" t="str">
        <f t="shared" si="37"/>
        <v>Dyna Flo 0-0-30</v>
      </c>
      <c r="S242" s="32">
        <f t="shared" si="38"/>
        <v>325</v>
      </c>
      <c r="U242" t="s">
        <v>150</v>
      </c>
      <c r="V242" s="32">
        <v>325</v>
      </c>
    </row>
    <row r="243" spans="2:22" x14ac:dyDescent="0.25">
      <c r="B243" s="1" t="s">
        <v>88</v>
      </c>
      <c r="C243" s="2" t="s">
        <v>89</v>
      </c>
      <c r="D243" s="2" t="s">
        <v>146</v>
      </c>
      <c r="E243" s="2" t="s">
        <v>147</v>
      </c>
      <c r="F243" s="3">
        <f>DATE(2022,11,15)</f>
        <v>44880</v>
      </c>
      <c r="G243" s="4">
        <f t="shared" si="33"/>
        <v>11</v>
      </c>
      <c r="H243" s="4">
        <f t="shared" si="34"/>
        <v>2022</v>
      </c>
      <c r="I243" s="2" t="s">
        <v>4</v>
      </c>
      <c r="J243" s="2" t="s">
        <v>608</v>
      </c>
      <c r="K243" s="2" t="s">
        <v>609</v>
      </c>
      <c r="L243" s="2" t="s">
        <v>610</v>
      </c>
      <c r="M243" s="2" t="s">
        <v>611</v>
      </c>
      <c r="N243" s="4" t="str">
        <f t="shared" si="35"/>
        <v>GAL</v>
      </c>
      <c r="O243" s="5">
        <v>5</v>
      </c>
      <c r="Q243" t="str">
        <f t="shared" si="36"/>
        <v>PHYLO02</v>
      </c>
      <c r="R243" t="str">
        <f t="shared" si="37"/>
        <v>pHylo</v>
      </c>
      <c r="S243" s="32">
        <f t="shared" si="38"/>
        <v>560</v>
      </c>
      <c r="U243" t="s">
        <v>610</v>
      </c>
      <c r="V243" s="32">
        <v>560</v>
      </c>
    </row>
    <row r="244" spans="2:22" x14ac:dyDescent="0.25">
      <c r="B244" s="1" t="s">
        <v>88</v>
      </c>
      <c r="C244" s="2" t="s">
        <v>89</v>
      </c>
      <c r="D244" s="2" t="s">
        <v>114</v>
      </c>
      <c r="E244" s="2" t="s">
        <v>115</v>
      </c>
      <c r="F244" s="3">
        <f>DATE(2022,11,16)</f>
        <v>44881</v>
      </c>
      <c r="G244" s="4">
        <f t="shared" si="33"/>
        <v>11</v>
      </c>
      <c r="H244" s="4">
        <f t="shared" si="34"/>
        <v>2022</v>
      </c>
      <c r="I244" s="2" t="s">
        <v>4</v>
      </c>
      <c r="J244" s="2" t="s">
        <v>612</v>
      </c>
      <c r="K244" s="2" t="s">
        <v>117</v>
      </c>
      <c r="L244" s="2" t="s">
        <v>118</v>
      </c>
      <c r="M244" s="2" t="s">
        <v>119</v>
      </c>
      <c r="N244" s="4" t="str">
        <f t="shared" si="35"/>
        <v>TON</v>
      </c>
      <c r="O244" s="5">
        <v>2.4925000000000002</v>
      </c>
      <c r="Q244" t="str">
        <f t="shared" si="36"/>
        <v>MAC428YM8</v>
      </c>
      <c r="R244" t="str">
        <f t="shared" si="37"/>
        <v>Dyna Flo 4-2-8YM8</v>
      </c>
      <c r="S244" s="32">
        <f t="shared" si="38"/>
        <v>517.73950000000002</v>
      </c>
      <c r="U244" t="s">
        <v>118</v>
      </c>
      <c r="V244" s="32">
        <v>517.73950000000002</v>
      </c>
    </row>
    <row r="245" spans="2:22" x14ac:dyDescent="0.25">
      <c r="B245" s="1" t="s">
        <v>88</v>
      </c>
      <c r="C245" s="2" t="s">
        <v>89</v>
      </c>
      <c r="D245" s="2" t="s">
        <v>90</v>
      </c>
      <c r="E245" s="2" t="s">
        <v>91</v>
      </c>
      <c r="F245" s="3">
        <f>DATE(2022,11,19)</f>
        <v>44884</v>
      </c>
      <c r="G245" s="4">
        <f t="shared" si="33"/>
        <v>11</v>
      </c>
      <c r="H245" s="4">
        <f t="shared" si="34"/>
        <v>2022</v>
      </c>
      <c r="I245" s="2" t="s">
        <v>4</v>
      </c>
      <c r="J245" s="2" t="s">
        <v>613</v>
      </c>
      <c r="K245" s="2" t="s">
        <v>614</v>
      </c>
      <c r="L245" s="2" t="s">
        <v>615</v>
      </c>
      <c r="M245" s="2" t="s">
        <v>41</v>
      </c>
      <c r="N245" s="4" t="str">
        <f t="shared" si="35"/>
        <v>GAL</v>
      </c>
      <c r="O245" s="5">
        <v>250</v>
      </c>
      <c r="Q245" t="str">
        <f t="shared" si="36"/>
        <v>GOLD606250</v>
      </c>
      <c r="R245" t="str">
        <f t="shared" si="37"/>
        <v>Dyna Gold 6-0-6 w Minors</v>
      </c>
      <c r="S245" s="32">
        <f t="shared" si="38"/>
        <v>250</v>
      </c>
      <c r="U245" t="s">
        <v>615</v>
      </c>
      <c r="V245" s="32">
        <v>250</v>
      </c>
    </row>
    <row r="246" spans="2:22" x14ac:dyDescent="0.25">
      <c r="B246" s="1" t="s">
        <v>88</v>
      </c>
      <c r="C246" s="2" t="s">
        <v>89</v>
      </c>
      <c r="D246" s="2" t="s">
        <v>616</v>
      </c>
      <c r="E246" s="2" t="s">
        <v>617</v>
      </c>
      <c r="F246" s="3">
        <f>DATE(2022,11,30)</f>
        <v>44895</v>
      </c>
      <c r="G246" s="4">
        <f t="shared" si="33"/>
        <v>11</v>
      </c>
      <c r="H246" s="4">
        <f t="shared" si="34"/>
        <v>2022</v>
      </c>
      <c r="I246" s="2" t="s">
        <v>4</v>
      </c>
      <c r="J246" s="2" t="s">
        <v>618</v>
      </c>
      <c r="K246" s="2" t="s">
        <v>619</v>
      </c>
      <c r="L246" s="2" t="s">
        <v>620</v>
      </c>
      <c r="M246" s="2" t="s">
        <v>621</v>
      </c>
      <c r="N246" s="4" t="str">
        <f t="shared" si="35"/>
        <v>GAL</v>
      </c>
      <c r="O246" s="5">
        <v>360</v>
      </c>
      <c r="Q246" t="str">
        <f t="shared" si="36"/>
        <v>BEYETI02</v>
      </c>
      <c r="R246" t="str">
        <f t="shared" si="37"/>
        <v>Yeti Tracks</v>
      </c>
      <c r="S246" s="32">
        <f t="shared" si="38"/>
        <v>360</v>
      </c>
      <c r="U246" t="s">
        <v>620</v>
      </c>
      <c r="V246" s="32">
        <v>360</v>
      </c>
    </row>
    <row r="247" spans="2:22" x14ac:dyDescent="0.25">
      <c r="B247" s="1" t="s">
        <v>88</v>
      </c>
      <c r="C247" s="2" t="s">
        <v>89</v>
      </c>
      <c r="D247" s="2" t="s">
        <v>616</v>
      </c>
      <c r="E247" s="2" t="s">
        <v>617</v>
      </c>
      <c r="F247" s="3">
        <f>DATE(2022,11,30)</f>
        <v>44895</v>
      </c>
      <c r="G247" s="4">
        <f t="shared" si="33"/>
        <v>11</v>
      </c>
      <c r="H247" s="4">
        <f t="shared" si="34"/>
        <v>2022</v>
      </c>
      <c r="I247" s="2" t="s">
        <v>4</v>
      </c>
      <c r="J247" s="2" t="s">
        <v>622</v>
      </c>
      <c r="K247" s="2" t="s">
        <v>19</v>
      </c>
      <c r="L247" s="2" t="s">
        <v>565</v>
      </c>
      <c r="M247" s="2" t="s">
        <v>21</v>
      </c>
      <c r="N247" s="4" t="str">
        <f t="shared" si="35"/>
        <v>GAL</v>
      </c>
      <c r="O247" s="5">
        <v>100</v>
      </c>
      <c r="Q247" t="str">
        <f t="shared" si="36"/>
        <v>FLOKTS02</v>
      </c>
      <c r="R247" t="str">
        <f t="shared" si="37"/>
        <v>Dyna Flo  0-0-25 17</v>
      </c>
      <c r="S247" s="32">
        <f t="shared" si="38"/>
        <v>3780</v>
      </c>
      <c r="U247" t="s">
        <v>565</v>
      </c>
      <c r="V247" s="32">
        <v>3780</v>
      </c>
    </row>
    <row r="248" spans="2:22" x14ac:dyDescent="0.25">
      <c r="B248" s="1" t="s">
        <v>154</v>
      </c>
      <c r="C248" s="2" t="s">
        <v>155</v>
      </c>
      <c r="D248" s="2" t="s">
        <v>623</v>
      </c>
      <c r="E248" s="2" t="s">
        <v>624</v>
      </c>
      <c r="F248" s="3">
        <f>DATE(2022,11,1)</f>
        <v>44866</v>
      </c>
      <c r="G248" s="4">
        <f t="shared" si="33"/>
        <v>11</v>
      </c>
      <c r="H248" s="4">
        <f t="shared" si="34"/>
        <v>2022</v>
      </c>
      <c r="I248" s="2" t="s">
        <v>4</v>
      </c>
      <c r="J248" s="2" t="s">
        <v>625</v>
      </c>
      <c r="K248" s="2" t="s">
        <v>626</v>
      </c>
      <c r="L248" s="2" t="s">
        <v>627</v>
      </c>
      <c r="M248" s="2" t="s">
        <v>119</v>
      </c>
      <c r="N248" s="4" t="str">
        <f t="shared" si="35"/>
        <v>TON</v>
      </c>
      <c r="O248" s="5">
        <v>10</v>
      </c>
      <c r="Q248" t="str">
        <f t="shared" si="36"/>
        <v>MAC628YM5</v>
      </c>
      <c r="R248" t="str">
        <f t="shared" si="37"/>
        <v>Dyna Flo 6-2-8YM5 w/integrate 80</v>
      </c>
      <c r="S248" s="32">
        <f t="shared" si="38"/>
        <v>150.05249999999998</v>
      </c>
      <c r="U248" t="s">
        <v>627</v>
      </c>
      <c r="V248" s="32">
        <v>150.05249999999998</v>
      </c>
    </row>
    <row r="249" spans="2:22" x14ac:dyDescent="0.25">
      <c r="B249" s="1" t="s">
        <v>154</v>
      </c>
      <c r="C249" s="2" t="s">
        <v>155</v>
      </c>
      <c r="D249" s="2" t="s">
        <v>628</v>
      </c>
      <c r="E249" s="2" t="s">
        <v>629</v>
      </c>
      <c r="F249" s="3">
        <f>DATE(2022,11,2)</f>
        <v>44867</v>
      </c>
      <c r="G249" s="4">
        <f t="shared" si="33"/>
        <v>11</v>
      </c>
      <c r="H249" s="4">
        <f t="shared" si="34"/>
        <v>2022</v>
      </c>
      <c r="I249" s="2" t="s">
        <v>4</v>
      </c>
      <c r="J249" s="2" t="s">
        <v>630</v>
      </c>
      <c r="K249" s="2" t="s">
        <v>631</v>
      </c>
      <c r="L249" s="2" t="s">
        <v>632</v>
      </c>
      <c r="M249" s="2" t="s">
        <v>633</v>
      </c>
      <c r="N249" s="4" t="str">
        <f t="shared" si="35"/>
        <v>GAL</v>
      </c>
      <c r="O249" s="5">
        <v>250</v>
      </c>
      <c r="Q249" t="str">
        <f t="shared" si="36"/>
        <v>GRO1311619250</v>
      </c>
      <c r="R249" t="str">
        <f t="shared" si="37"/>
        <v>Citra Guard XP</v>
      </c>
      <c r="S249" s="32">
        <f t="shared" si="38"/>
        <v>3672.84</v>
      </c>
      <c r="U249" t="s">
        <v>632</v>
      </c>
      <c r="V249" s="32">
        <v>3672.84</v>
      </c>
    </row>
    <row r="250" spans="2:22" x14ac:dyDescent="0.25">
      <c r="B250" s="1" t="s">
        <v>154</v>
      </c>
      <c r="C250" s="2" t="s">
        <v>155</v>
      </c>
      <c r="D250" s="2" t="s">
        <v>623</v>
      </c>
      <c r="E250" s="2" t="s">
        <v>634</v>
      </c>
      <c r="F250" s="3">
        <f>DATE(2022,11,3)</f>
        <v>44868</v>
      </c>
      <c r="G250" s="4">
        <f t="shared" si="33"/>
        <v>11</v>
      </c>
      <c r="H250" s="4">
        <f t="shared" si="34"/>
        <v>2022</v>
      </c>
      <c r="I250" s="2" t="s">
        <v>4</v>
      </c>
      <c r="J250" s="2" t="s">
        <v>635</v>
      </c>
      <c r="K250" s="2" t="s">
        <v>626</v>
      </c>
      <c r="L250" s="2" t="s">
        <v>627</v>
      </c>
      <c r="M250" s="2" t="s">
        <v>119</v>
      </c>
      <c r="N250" s="4" t="str">
        <f t="shared" si="35"/>
        <v>TON</v>
      </c>
      <c r="O250" s="5">
        <v>20.015000000000001</v>
      </c>
      <c r="Q250" t="str">
        <f t="shared" si="36"/>
        <v>MAC628YM5</v>
      </c>
      <c r="R250" t="str">
        <f t="shared" si="37"/>
        <v>Dyna Flo 6-2-8YM5 w/integrate 80</v>
      </c>
      <c r="S250" s="32">
        <f t="shared" si="38"/>
        <v>150.05249999999998</v>
      </c>
      <c r="U250" t="s">
        <v>627</v>
      </c>
      <c r="V250" s="32">
        <v>150.05249999999998</v>
      </c>
    </row>
    <row r="251" spans="2:22" x14ac:dyDescent="0.25">
      <c r="B251" s="1" t="s">
        <v>154</v>
      </c>
      <c r="C251" s="2" t="s">
        <v>155</v>
      </c>
      <c r="D251" s="2" t="s">
        <v>161</v>
      </c>
      <c r="E251" s="2" t="s">
        <v>162</v>
      </c>
      <c r="F251" s="3">
        <f>DATE(2022,11,4)</f>
        <v>44869</v>
      </c>
      <c r="G251" s="4">
        <f t="shared" si="33"/>
        <v>11</v>
      </c>
      <c r="H251" s="4">
        <f t="shared" si="34"/>
        <v>2022</v>
      </c>
      <c r="I251" s="2" t="s">
        <v>4</v>
      </c>
      <c r="J251" s="2" t="s">
        <v>636</v>
      </c>
      <c r="K251" s="2" t="s">
        <v>185</v>
      </c>
      <c r="L251" s="2" t="s">
        <v>165</v>
      </c>
      <c r="M251" s="2" t="s">
        <v>166</v>
      </c>
      <c r="N251" s="4" t="str">
        <f t="shared" si="35"/>
        <v>GAL</v>
      </c>
      <c r="O251" s="5">
        <v>500</v>
      </c>
      <c r="Q251" t="str">
        <f t="shared" si="36"/>
        <v>GOLDMZF250</v>
      </c>
      <c r="R251" t="str">
        <f t="shared" si="37"/>
        <v>Dyna Gold MZF</v>
      </c>
      <c r="S251" s="32">
        <f t="shared" si="38"/>
        <v>2780</v>
      </c>
      <c r="U251" t="s">
        <v>165</v>
      </c>
      <c r="V251" s="32">
        <v>2780</v>
      </c>
    </row>
    <row r="252" spans="2:22" x14ac:dyDescent="0.25">
      <c r="B252" s="1" t="s">
        <v>154</v>
      </c>
      <c r="C252" s="2" t="s">
        <v>155</v>
      </c>
      <c r="D252" s="2" t="s">
        <v>623</v>
      </c>
      <c r="E252" s="2" t="s">
        <v>624</v>
      </c>
      <c r="F252" s="3">
        <f>DATE(2022,11,5)</f>
        <v>44870</v>
      </c>
      <c r="G252" s="4">
        <f t="shared" si="33"/>
        <v>11</v>
      </c>
      <c r="H252" s="4">
        <f t="shared" si="34"/>
        <v>2022</v>
      </c>
      <c r="I252" s="2" t="s">
        <v>4</v>
      </c>
      <c r="J252" s="2" t="s">
        <v>637</v>
      </c>
      <c r="K252" s="2" t="s">
        <v>626</v>
      </c>
      <c r="L252" s="2" t="s">
        <v>627</v>
      </c>
      <c r="M252" s="2" t="s">
        <v>119</v>
      </c>
      <c r="N252" s="4" t="str">
        <f t="shared" si="35"/>
        <v>TON</v>
      </c>
      <c r="O252" s="5">
        <v>10</v>
      </c>
      <c r="Q252" t="str">
        <f t="shared" si="36"/>
        <v>MAC628YM5</v>
      </c>
      <c r="R252" t="str">
        <f t="shared" si="37"/>
        <v>Dyna Flo 6-2-8YM5 w/integrate 80</v>
      </c>
      <c r="S252" s="32">
        <f t="shared" si="38"/>
        <v>150.05249999999998</v>
      </c>
      <c r="U252" t="s">
        <v>627</v>
      </c>
      <c r="V252" s="32">
        <v>150.05249999999998</v>
      </c>
    </row>
    <row r="253" spans="2:22" x14ac:dyDescent="0.25">
      <c r="B253" s="1" t="s">
        <v>154</v>
      </c>
      <c r="C253" s="2" t="s">
        <v>155</v>
      </c>
      <c r="D253" s="2" t="s">
        <v>167</v>
      </c>
      <c r="E253" s="2" t="s">
        <v>168</v>
      </c>
      <c r="F253" s="3">
        <f>DATE(2022,11,7)</f>
        <v>44872</v>
      </c>
      <c r="G253" s="4">
        <f t="shared" si="33"/>
        <v>11</v>
      </c>
      <c r="H253" s="4">
        <f t="shared" si="34"/>
        <v>2022</v>
      </c>
      <c r="I253" s="2" t="s">
        <v>4</v>
      </c>
      <c r="J253" s="2" t="s">
        <v>638</v>
      </c>
      <c r="K253" s="2" t="s">
        <v>185</v>
      </c>
      <c r="L253" s="2" t="s">
        <v>165</v>
      </c>
      <c r="M253" s="2" t="s">
        <v>166</v>
      </c>
      <c r="N253" s="4" t="str">
        <f t="shared" si="35"/>
        <v>GAL</v>
      </c>
      <c r="O253" s="5">
        <v>250</v>
      </c>
      <c r="Q253" t="str">
        <f t="shared" si="36"/>
        <v>GOLDMZF250</v>
      </c>
      <c r="R253" t="str">
        <f t="shared" si="37"/>
        <v>Dyna Gold MZF</v>
      </c>
      <c r="S253" s="32">
        <f t="shared" si="38"/>
        <v>2780</v>
      </c>
      <c r="U253" t="s">
        <v>165</v>
      </c>
      <c r="V253" s="32">
        <v>2780</v>
      </c>
    </row>
    <row r="254" spans="2:22" x14ac:dyDescent="0.25">
      <c r="B254" s="1" t="s">
        <v>154</v>
      </c>
      <c r="C254" s="2" t="s">
        <v>155</v>
      </c>
      <c r="D254" s="2" t="s">
        <v>639</v>
      </c>
      <c r="E254" s="2" t="s">
        <v>640</v>
      </c>
      <c r="F254" s="3">
        <f>DATE(2022,11,14)</f>
        <v>44879</v>
      </c>
      <c r="G254" s="4">
        <f t="shared" si="33"/>
        <v>11</v>
      </c>
      <c r="H254" s="4">
        <f t="shared" si="34"/>
        <v>2022</v>
      </c>
      <c r="I254" s="2" t="s">
        <v>4</v>
      </c>
      <c r="J254" s="2" t="s">
        <v>641</v>
      </c>
      <c r="K254" s="2" t="s">
        <v>642</v>
      </c>
      <c r="L254" s="2" t="s">
        <v>111</v>
      </c>
      <c r="M254" s="2" t="s">
        <v>112</v>
      </c>
      <c r="N254" s="4" t="str">
        <f t="shared" si="35"/>
        <v>GAL</v>
      </c>
      <c r="O254" s="5">
        <v>360</v>
      </c>
      <c r="Q254" t="str">
        <f t="shared" si="36"/>
        <v>MRCCCN02</v>
      </c>
      <c r="R254" t="str">
        <f t="shared" si="37"/>
        <v>Copper Count N</v>
      </c>
      <c r="S254" s="32">
        <f t="shared" si="38"/>
        <v>1685</v>
      </c>
      <c r="U254" t="s">
        <v>111</v>
      </c>
      <c r="V254" s="32">
        <v>1685</v>
      </c>
    </row>
    <row r="255" spans="2:22" x14ac:dyDescent="0.25">
      <c r="B255" s="1" t="s">
        <v>154</v>
      </c>
      <c r="C255" s="2" t="s">
        <v>155</v>
      </c>
      <c r="D255" s="2" t="s">
        <v>161</v>
      </c>
      <c r="E255" s="2" t="s">
        <v>162</v>
      </c>
      <c r="F255" s="3">
        <f>DATE(2022,11,17)</f>
        <v>44882</v>
      </c>
      <c r="G255" s="4">
        <f t="shared" si="33"/>
        <v>11</v>
      </c>
      <c r="H255" s="4">
        <f t="shared" si="34"/>
        <v>2022</v>
      </c>
      <c r="I255" s="2" t="s">
        <v>4</v>
      </c>
      <c r="J255" s="2" t="s">
        <v>643</v>
      </c>
      <c r="K255" s="2" t="s">
        <v>164</v>
      </c>
      <c r="L255" s="2" t="s">
        <v>165</v>
      </c>
      <c r="M255" s="2" t="s">
        <v>166</v>
      </c>
      <c r="N255" s="4" t="str">
        <f t="shared" si="35"/>
        <v>GAL</v>
      </c>
      <c r="O255" s="5">
        <v>180</v>
      </c>
      <c r="Q255" t="str">
        <f t="shared" si="36"/>
        <v>GOLDMZF02</v>
      </c>
      <c r="R255" t="str">
        <f t="shared" si="37"/>
        <v>Dyna Gold MZF</v>
      </c>
      <c r="S255" s="32">
        <f t="shared" si="38"/>
        <v>2780</v>
      </c>
      <c r="U255" t="s">
        <v>165</v>
      </c>
      <c r="V255" s="32">
        <v>2780</v>
      </c>
    </row>
    <row r="256" spans="2:22" x14ac:dyDescent="0.25">
      <c r="B256" s="1" t="s">
        <v>154</v>
      </c>
      <c r="C256" s="2" t="s">
        <v>155</v>
      </c>
      <c r="D256" s="2" t="s">
        <v>107</v>
      </c>
      <c r="E256" s="2" t="s">
        <v>108</v>
      </c>
      <c r="F256" s="3">
        <f>DATE(2022,11,17)</f>
        <v>44882</v>
      </c>
      <c r="G256" s="4">
        <f t="shared" si="33"/>
        <v>11</v>
      </c>
      <c r="H256" s="4">
        <f t="shared" si="34"/>
        <v>2022</v>
      </c>
      <c r="I256" s="2" t="s">
        <v>4</v>
      </c>
      <c r="J256" s="2" t="s">
        <v>644</v>
      </c>
      <c r="K256" s="2" t="s">
        <v>171</v>
      </c>
      <c r="L256" s="2" t="s">
        <v>172</v>
      </c>
      <c r="M256" s="2" t="s">
        <v>27</v>
      </c>
      <c r="N256" s="4" t="str">
        <f t="shared" si="35"/>
        <v>GAL</v>
      </c>
      <c r="O256" s="5">
        <v>30</v>
      </c>
      <c r="Q256" t="str">
        <f t="shared" si="36"/>
        <v>SOARCIT02</v>
      </c>
      <c r="R256" t="str">
        <f t="shared" si="37"/>
        <v>Soar Citrus Mix</v>
      </c>
      <c r="S256" s="32">
        <f t="shared" si="38"/>
        <v>210</v>
      </c>
      <c r="U256" t="s">
        <v>172</v>
      </c>
      <c r="V256" s="32">
        <v>210</v>
      </c>
    </row>
    <row r="257" spans="2:22" x14ac:dyDescent="0.25">
      <c r="B257" s="1" t="s">
        <v>154</v>
      </c>
      <c r="C257" s="2" t="s">
        <v>155</v>
      </c>
      <c r="D257" s="2" t="s">
        <v>107</v>
      </c>
      <c r="E257" s="2" t="s">
        <v>108</v>
      </c>
      <c r="F257" s="3">
        <f>DATE(2022,11,17)</f>
        <v>44882</v>
      </c>
      <c r="G257" s="4">
        <f t="shared" si="33"/>
        <v>11</v>
      </c>
      <c r="H257" s="4">
        <f t="shared" si="34"/>
        <v>2022</v>
      </c>
      <c r="I257" s="2" t="s">
        <v>4</v>
      </c>
      <c r="J257" s="2" t="s">
        <v>644</v>
      </c>
      <c r="K257" s="2" t="s">
        <v>192</v>
      </c>
      <c r="L257" s="2" t="s">
        <v>193</v>
      </c>
      <c r="M257" s="2" t="s">
        <v>160</v>
      </c>
      <c r="N257" s="4" t="str">
        <f t="shared" si="35"/>
        <v>GAL</v>
      </c>
      <c r="O257" s="5">
        <v>500</v>
      </c>
      <c r="Q257" t="str">
        <f t="shared" si="36"/>
        <v>SOARPOT250</v>
      </c>
      <c r="R257" t="str">
        <f t="shared" si="37"/>
        <v>Soar Potato</v>
      </c>
      <c r="S257" s="32">
        <f t="shared" si="38"/>
        <v>1500</v>
      </c>
      <c r="U257" t="s">
        <v>193</v>
      </c>
      <c r="V257" s="32">
        <v>1500</v>
      </c>
    </row>
    <row r="258" spans="2:22" x14ac:dyDescent="0.25">
      <c r="B258" s="1" t="s">
        <v>645</v>
      </c>
      <c r="C258" s="2" t="s">
        <v>155</v>
      </c>
      <c r="D258" s="2" t="s">
        <v>646</v>
      </c>
      <c r="E258" s="2" t="s">
        <v>647</v>
      </c>
      <c r="F258" s="3">
        <f>DATE(2022,11,17)</f>
        <v>44882</v>
      </c>
      <c r="G258" s="4">
        <f t="shared" si="33"/>
        <v>11</v>
      </c>
      <c r="H258" s="4">
        <f t="shared" si="34"/>
        <v>2022</v>
      </c>
      <c r="I258" s="2" t="s">
        <v>4</v>
      </c>
      <c r="J258" s="2" t="s">
        <v>648</v>
      </c>
      <c r="K258" s="2" t="s">
        <v>649</v>
      </c>
      <c r="L258" s="2" t="s">
        <v>538</v>
      </c>
      <c r="M258" s="2" t="s">
        <v>539</v>
      </c>
      <c r="N258" s="4" t="str">
        <f t="shared" si="35"/>
        <v>GAL</v>
      </c>
      <c r="O258" s="5">
        <v>2000</v>
      </c>
      <c r="Q258" t="str">
        <f t="shared" si="36"/>
        <v>SORCA250</v>
      </c>
      <c r="R258" t="str">
        <f t="shared" si="37"/>
        <v>Dyna Cal 10.25%</v>
      </c>
      <c r="S258" s="32">
        <f t="shared" si="38"/>
        <v>4610</v>
      </c>
      <c r="U258" t="s">
        <v>538</v>
      </c>
      <c r="V258" s="32">
        <v>4610</v>
      </c>
    </row>
    <row r="259" spans="2:22" x14ac:dyDescent="0.25">
      <c r="B259" s="1" t="s">
        <v>154</v>
      </c>
      <c r="C259" s="2" t="s">
        <v>155</v>
      </c>
      <c r="D259" s="2" t="s">
        <v>167</v>
      </c>
      <c r="E259" s="2" t="s">
        <v>168</v>
      </c>
      <c r="F259" s="3">
        <f>DATE(2022,11,23)</f>
        <v>44888</v>
      </c>
      <c r="G259" s="4">
        <f t="shared" ref="G259:G322" si="41">+MONTH(F259)</f>
        <v>11</v>
      </c>
      <c r="H259" s="4">
        <f t="shared" ref="H259:H322" si="42">+YEAR(F259)</f>
        <v>2022</v>
      </c>
      <c r="I259" s="2" t="s">
        <v>4</v>
      </c>
      <c r="J259" s="2" t="s">
        <v>650</v>
      </c>
      <c r="K259" s="2" t="s">
        <v>164</v>
      </c>
      <c r="L259" s="2" t="s">
        <v>165</v>
      </c>
      <c r="M259" s="2" t="s">
        <v>166</v>
      </c>
      <c r="N259" s="4" t="str">
        <f t="shared" ref="N259:N322" si="43">+LEFT(M259,3)</f>
        <v>GAL</v>
      </c>
      <c r="O259" s="5">
        <v>180</v>
      </c>
      <c r="Q259" t="str">
        <f t="shared" ref="Q259:Q322" si="44">K259</f>
        <v>GOLDMZF02</v>
      </c>
      <c r="R259" t="str">
        <f t="shared" ref="R259:R322" si="45">L259</f>
        <v>Dyna Gold MZF</v>
      </c>
      <c r="S259" s="32">
        <f t="shared" si="38"/>
        <v>2780</v>
      </c>
      <c r="U259" t="s">
        <v>165</v>
      </c>
      <c r="V259" s="32">
        <v>2780</v>
      </c>
    </row>
    <row r="260" spans="2:22" x14ac:dyDescent="0.25">
      <c r="B260" s="1" t="s">
        <v>645</v>
      </c>
      <c r="C260" s="2" t="s">
        <v>155</v>
      </c>
      <c r="D260" s="2" t="s">
        <v>646</v>
      </c>
      <c r="E260" s="2" t="s">
        <v>647</v>
      </c>
      <c r="F260" s="3">
        <f>DATE(2022,11,23)</f>
        <v>44888</v>
      </c>
      <c r="G260" s="4">
        <f t="shared" si="41"/>
        <v>11</v>
      </c>
      <c r="H260" s="4">
        <f t="shared" si="42"/>
        <v>2022</v>
      </c>
      <c r="I260" s="2" t="s">
        <v>4</v>
      </c>
      <c r="J260" s="2" t="s">
        <v>651</v>
      </c>
      <c r="K260" s="2" t="s">
        <v>158</v>
      </c>
      <c r="L260" s="2" t="s">
        <v>159</v>
      </c>
      <c r="M260" s="2" t="s">
        <v>160</v>
      </c>
      <c r="N260" s="4" t="str">
        <f t="shared" si="43"/>
        <v>GAL</v>
      </c>
      <c r="O260" s="5">
        <v>360</v>
      </c>
      <c r="Q260" t="str">
        <f t="shared" si="44"/>
        <v>SOARBLM02</v>
      </c>
      <c r="R260" t="str">
        <f t="shared" si="45"/>
        <v>Soar Bloom Spray</v>
      </c>
      <c r="S260" s="32">
        <f t="shared" ref="S260:S323" si="46">SUMIF($R$3:$R$885, $R260, $O$3:$O$885)</f>
        <v>2195</v>
      </c>
      <c r="U260" t="s">
        <v>159</v>
      </c>
      <c r="V260" s="32">
        <v>2195</v>
      </c>
    </row>
    <row r="261" spans="2:22" x14ac:dyDescent="0.25">
      <c r="B261" s="1" t="s">
        <v>154</v>
      </c>
      <c r="C261" s="2" t="s">
        <v>155</v>
      </c>
      <c r="D261" s="2" t="s">
        <v>623</v>
      </c>
      <c r="E261" s="2" t="s">
        <v>652</v>
      </c>
      <c r="F261" s="3">
        <f>DATE(2022,11,18)</f>
        <v>44883</v>
      </c>
      <c r="G261" s="4">
        <f t="shared" si="41"/>
        <v>11</v>
      </c>
      <c r="H261" s="4">
        <f t="shared" si="42"/>
        <v>2022</v>
      </c>
      <c r="I261" s="2" t="s">
        <v>4</v>
      </c>
      <c r="J261" s="2" t="s">
        <v>653</v>
      </c>
      <c r="K261" s="2" t="s">
        <v>626</v>
      </c>
      <c r="L261" s="2" t="s">
        <v>627</v>
      </c>
      <c r="M261" s="2" t="s">
        <v>119</v>
      </c>
      <c r="N261" s="4" t="str">
        <f t="shared" si="43"/>
        <v>TON</v>
      </c>
      <c r="O261" s="5">
        <v>20.002500000000001</v>
      </c>
      <c r="Q261" t="str">
        <f t="shared" si="44"/>
        <v>MAC628YM5</v>
      </c>
      <c r="R261" t="str">
        <f t="shared" si="45"/>
        <v>Dyna Flo 6-2-8YM5 w/integrate 80</v>
      </c>
      <c r="S261" s="32">
        <f t="shared" si="46"/>
        <v>150.05249999999998</v>
      </c>
      <c r="U261" t="s">
        <v>627</v>
      </c>
      <c r="V261" s="32">
        <v>150.05249999999998</v>
      </c>
    </row>
    <row r="262" spans="2:22" x14ac:dyDescent="0.25">
      <c r="B262" s="1" t="s">
        <v>154</v>
      </c>
      <c r="C262" s="2" t="s">
        <v>155</v>
      </c>
      <c r="D262" s="2" t="s">
        <v>178</v>
      </c>
      <c r="E262" s="2" t="s">
        <v>179</v>
      </c>
      <c r="F262" s="3">
        <f>DATE(2022,11,30)</f>
        <v>44895</v>
      </c>
      <c r="G262" s="4">
        <f t="shared" si="41"/>
        <v>11</v>
      </c>
      <c r="H262" s="4">
        <f t="shared" si="42"/>
        <v>2022</v>
      </c>
      <c r="I262" s="2" t="s">
        <v>4</v>
      </c>
      <c r="J262" s="2" t="s">
        <v>654</v>
      </c>
      <c r="K262" s="2" t="s">
        <v>25</v>
      </c>
      <c r="L262" s="2" t="s">
        <v>541</v>
      </c>
      <c r="M262" s="2" t="s">
        <v>27</v>
      </c>
      <c r="N262" s="4" t="str">
        <f t="shared" si="43"/>
        <v>GAL</v>
      </c>
      <c r="O262" s="5">
        <v>180</v>
      </c>
      <c r="Q262" t="str">
        <f t="shared" si="44"/>
        <v>GOLDCA02</v>
      </c>
      <c r="R262" t="str">
        <f t="shared" si="45"/>
        <v>Dyna Gold Calcium 8.25%</v>
      </c>
      <c r="S262" s="32">
        <f t="shared" si="46"/>
        <v>1280</v>
      </c>
      <c r="U262" t="s">
        <v>541</v>
      </c>
      <c r="V262" s="32">
        <v>1280</v>
      </c>
    </row>
    <row r="263" spans="2:22" x14ac:dyDescent="0.25">
      <c r="B263" s="1" t="s">
        <v>154</v>
      </c>
      <c r="C263" s="2" t="s">
        <v>155</v>
      </c>
      <c r="D263" s="2" t="s">
        <v>178</v>
      </c>
      <c r="E263" s="2" t="s">
        <v>179</v>
      </c>
      <c r="F263" s="3">
        <f>DATE(2022,11,30)</f>
        <v>44895</v>
      </c>
      <c r="G263" s="4">
        <f t="shared" si="41"/>
        <v>11</v>
      </c>
      <c r="H263" s="4">
        <f t="shared" si="42"/>
        <v>2022</v>
      </c>
      <c r="I263" s="2" t="s">
        <v>4</v>
      </c>
      <c r="J263" s="2" t="s">
        <v>654</v>
      </c>
      <c r="K263" s="2" t="s">
        <v>189</v>
      </c>
      <c r="L263" s="2" t="s">
        <v>190</v>
      </c>
      <c r="M263" s="2" t="s">
        <v>191</v>
      </c>
      <c r="N263" s="4" t="str">
        <f t="shared" si="43"/>
        <v>GAL</v>
      </c>
      <c r="O263" s="5">
        <v>180</v>
      </c>
      <c r="Q263" t="str">
        <f t="shared" si="44"/>
        <v>SOARMIC02</v>
      </c>
      <c r="R263" t="str">
        <f t="shared" si="45"/>
        <v>Soar Micronutrient Mix</v>
      </c>
      <c r="S263" s="32">
        <f t="shared" si="46"/>
        <v>360</v>
      </c>
      <c r="U263" t="s">
        <v>190</v>
      </c>
      <c r="V263" s="32">
        <v>360</v>
      </c>
    </row>
    <row r="264" spans="2:22" x14ac:dyDescent="0.25">
      <c r="B264" s="1" t="s">
        <v>154</v>
      </c>
      <c r="C264" s="2" t="s">
        <v>155</v>
      </c>
      <c r="D264" s="2" t="s">
        <v>623</v>
      </c>
      <c r="E264" s="2" t="s">
        <v>624</v>
      </c>
      <c r="F264" s="3">
        <f>DATE(2022,11,30)</f>
        <v>44895</v>
      </c>
      <c r="G264" s="4">
        <f t="shared" si="41"/>
        <v>11</v>
      </c>
      <c r="H264" s="4">
        <f t="shared" si="42"/>
        <v>2022</v>
      </c>
      <c r="I264" s="2" t="s">
        <v>4</v>
      </c>
      <c r="J264" s="2" t="s">
        <v>655</v>
      </c>
      <c r="K264" s="2" t="s">
        <v>626</v>
      </c>
      <c r="L264" s="2" t="s">
        <v>627</v>
      </c>
      <c r="M264" s="2" t="s">
        <v>119</v>
      </c>
      <c r="N264" s="4" t="str">
        <f t="shared" si="43"/>
        <v>TON</v>
      </c>
      <c r="O264" s="5">
        <v>15</v>
      </c>
      <c r="Q264" t="str">
        <f t="shared" si="44"/>
        <v>MAC628YM5</v>
      </c>
      <c r="R264" t="str">
        <f t="shared" si="45"/>
        <v>Dyna Flo 6-2-8YM5 w/integrate 80</v>
      </c>
      <c r="S264" s="32">
        <f t="shared" si="46"/>
        <v>150.05249999999998</v>
      </c>
      <c r="U264" t="s">
        <v>627</v>
      </c>
      <c r="V264" s="32">
        <v>150.05249999999998</v>
      </c>
    </row>
    <row r="265" spans="2:22" x14ac:dyDescent="0.25">
      <c r="B265" s="1" t="s">
        <v>195</v>
      </c>
      <c r="C265" s="2" t="s">
        <v>196</v>
      </c>
      <c r="D265" s="2" t="s">
        <v>276</v>
      </c>
      <c r="E265" s="2" t="s">
        <v>277</v>
      </c>
      <c r="F265" s="3">
        <f t="shared" ref="F265:F273" si="47">DATE(2022,11,1)</f>
        <v>44866</v>
      </c>
      <c r="G265" s="4">
        <f t="shared" si="41"/>
        <v>11</v>
      </c>
      <c r="H265" s="4">
        <f t="shared" si="42"/>
        <v>2022</v>
      </c>
      <c r="I265" s="2" t="s">
        <v>4</v>
      </c>
      <c r="J265" s="2" t="s">
        <v>656</v>
      </c>
      <c r="K265" s="2" t="s">
        <v>292</v>
      </c>
      <c r="L265" s="2" t="s">
        <v>293</v>
      </c>
      <c r="M265" s="2" t="s">
        <v>119</v>
      </c>
      <c r="N265" s="4" t="str">
        <f t="shared" si="43"/>
        <v>TON</v>
      </c>
      <c r="O265" s="5">
        <v>2.0049999999999999</v>
      </c>
      <c r="Q265" t="str">
        <f t="shared" si="44"/>
        <v>MAC608YB5</v>
      </c>
      <c r="R265" t="str">
        <f t="shared" si="45"/>
        <v>Dyna Flo 6-0-8 YB5</v>
      </c>
      <c r="S265" s="32">
        <f t="shared" si="46"/>
        <v>78.175000000000011</v>
      </c>
      <c r="U265" t="s">
        <v>293</v>
      </c>
      <c r="V265" s="32">
        <v>78.175000000000011</v>
      </c>
    </row>
    <row r="266" spans="2:22" x14ac:dyDescent="0.25">
      <c r="B266" s="1" t="s">
        <v>195</v>
      </c>
      <c r="C266" s="2" t="s">
        <v>196</v>
      </c>
      <c r="D266" s="2" t="s">
        <v>241</v>
      </c>
      <c r="E266" s="2" t="s">
        <v>258</v>
      </c>
      <c r="F266" s="3">
        <f t="shared" si="47"/>
        <v>44866</v>
      </c>
      <c r="G266" s="4">
        <f t="shared" si="41"/>
        <v>11</v>
      </c>
      <c r="H266" s="4">
        <f t="shared" si="42"/>
        <v>2022</v>
      </c>
      <c r="I266" s="2" t="s">
        <v>4</v>
      </c>
      <c r="J266" s="2" t="s">
        <v>657</v>
      </c>
      <c r="K266" s="2" t="s">
        <v>658</v>
      </c>
      <c r="L266" s="2" t="s">
        <v>659</v>
      </c>
      <c r="M266" s="2" t="s">
        <v>119</v>
      </c>
      <c r="N266" s="4" t="str">
        <f t="shared" si="43"/>
        <v>TON</v>
      </c>
      <c r="O266" s="5">
        <v>0.15</v>
      </c>
      <c r="Q266" t="str">
        <f t="shared" si="44"/>
        <v>MAC429L</v>
      </c>
      <c r="R266" t="str">
        <f t="shared" si="45"/>
        <v>Dyna Flo 4-2-9 L</v>
      </c>
      <c r="S266" s="32">
        <f t="shared" si="46"/>
        <v>0.15</v>
      </c>
      <c r="U266" t="s">
        <v>659</v>
      </c>
      <c r="V266" s="32">
        <v>0.15</v>
      </c>
    </row>
    <row r="267" spans="2:22" x14ac:dyDescent="0.25">
      <c r="B267" s="1" t="s">
        <v>195</v>
      </c>
      <c r="C267" s="2" t="s">
        <v>196</v>
      </c>
      <c r="D267" s="2" t="s">
        <v>660</v>
      </c>
      <c r="E267" s="2" t="s">
        <v>661</v>
      </c>
      <c r="F267" s="3">
        <f t="shared" si="47"/>
        <v>44866</v>
      </c>
      <c r="G267" s="4">
        <f t="shared" si="41"/>
        <v>11</v>
      </c>
      <c r="H267" s="4">
        <f t="shared" si="42"/>
        <v>2022</v>
      </c>
      <c r="I267" s="2" t="s">
        <v>4</v>
      </c>
      <c r="J267" s="2" t="s">
        <v>662</v>
      </c>
      <c r="K267" s="2" t="s">
        <v>329</v>
      </c>
      <c r="L267" s="2" t="s">
        <v>330</v>
      </c>
      <c r="M267" s="2" t="s">
        <v>119</v>
      </c>
      <c r="N267" s="4" t="str">
        <f t="shared" si="43"/>
        <v>TON</v>
      </c>
      <c r="O267" s="5">
        <v>2.5225</v>
      </c>
      <c r="Q267" t="str">
        <f t="shared" si="44"/>
        <v>MAC628YM8</v>
      </c>
      <c r="R267" t="str">
        <f t="shared" si="45"/>
        <v>Dyna Flo 6-2-8YM8</v>
      </c>
      <c r="S267" s="32">
        <f t="shared" si="46"/>
        <v>247.51499999999996</v>
      </c>
      <c r="U267" t="s">
        <v>330</v>
      </c>
      <c r="V267" s="32">
        <v>247.51499999999996</v>
      </c>
    </row>
    <row r="268" spans="2:22" x14ac:dyDescent="0.25">
      <c r="B268" s="1" t="s">
        <v>195</v>
      </c>
      <c r="C268" s="2" t="s">
        <v>196</v>
      </c>
      <c r="D268" s="2" t="s">
        <v>663</v>
      </c>
      <c r="E268" s="2" t="s">
        <v>222</v>
      </c>
      <c r="F268" s="3">
        <f t="shared" si="47"/>
        <v>44866</v>
      </c>
      <c r="G268" s="4">
        <f t="shared" si="41"/>
        <v>11</v>
      </c>
      <c r="H268" s="4">
        <f t="shared" si="42"/>
        <v>2022</v>
      </c>
      <c r="I268" s="2" t="s">
        <v>4</v>
      </c>
      <c r="J268" s="2" t="s">
        <v>664</v>
      </c>
      <c r="K268" s="2" t="s">
        <v>384</v>
      </c>
      <c r="L268" s="2" t="s">
        <v>385</v>
      </c>
      <c r="M268" s="2" t="s">
        <v>119</v>
      </c>
      <c r="N268" s="4" t="str">
        <f t="shared" si="43"/>
        <v>TON</v>
      </c>
      <c r="O268" s="5">
        <v>2.5</v>
      </c>
      <c r="Q268" t="str">
        <f t="shared" si="44"/>
        <v>MAC927YM5</v>
      </c>
      <c r="R268" t="str">
        <f t="shared" si="45"/>
        <v>Dyna Flo 9-2-7YM5 w/Merge</v>
      </c>
      <c r="S268" s="32">
        <f t="shared" si="46"/>
        <v>3.75</v>
      </c>
      <c r="U268" t="s">
        <v>385</v>
      </c>
      <c r="V268" s="32">
        <v>3.75</v>
      </c>
    </row>
    <row r="269" spans="2:22" x14ac:dyDescent="0.25">
      <c r="B269" s="1" t="s">
        <v>195</v>
      </c>
      <c r="C269" s="2" t="s">
        <v>196</v>
      </c>
      <c r="D269" s="2" t="s">
        <v>285</v>
      </c>
      <c r="E269" s="2" t="s">
        <v>297</v>
      </c>
      <c r="F269" s="3">
        <f t="shared" si="47"/>
        <v>44866</v>
      </c>
      <c r="G269" s="4">
        <f t="shared" si="41"/>
        <v>11</v>
      </c>
      <c r="H269" s="4">
        <f t="shared" si="42"/>
        <v>2022</v>
      </c>
      <c r="I269" s="2" t="s">
        <v>4</v>
      </c>
      <c r="J269" s="2" t="s">
        <v>665</v>
      </c>
      <c r="K269" s="2" t="s">
        <v>415</v>
      </c>
      <c r="L269" s="2" t="s">
        <v>416</v>
      </c>
      <c r="M269" s="2" t="s">
        <v>417</v>
      </c>
      <c r="N269" s="4" t="str">
        <f t="shared" si="43"/>
        <v>GAL</v>
      </c>
      <c r="O269" s="5">
        <v>90</v>
      </c>
      <c r="Q269" t="str">
        <f t="shared" si="44"/>
        <v>PHURYPHOS30</v>
      </c>
      <c r="R269" t="str">
        <f t="shared" si="45"/>
        <v>pHury Phos</v>
      </c>
      <c r="S269" s="32">
        <f t="shared" si="46"/>
        <v>510</v>
      </c>
      <c r="U269" t="s">
        <v>416</v>
      </c>
      <c r="V269" s="32">
        <v>510</v>
      </c>
    </row>
    <row r="270" spans="2:22" x14ac:dyDescent="0.25">
      <c r="B270" s="1" t="s">
        <v>195</v>
      </c>
      <c r="C270" s="2" t="s">
        <v>196</v>
      </c>
      <c r="D270" s="2" t="s">
        <v>273</v>
      </c>
      <c r="E270" s="2" t="s">
        <v>666</v>
      </c>
      <c r="F270" s="3">
        <f t="shared" si="47"/>
        <v>44866</v>
      </c>
      <c r="G270" s="4">
        <f t="shared" si="41"/>
        <v>11</v>
      </c>
      <c r="H270" s="4">
        <f t="shared" si="42"/>
        <v>2022</v>
      </c>
      <c r="I270" s="2" t="s">
        <v>4</v>
      </c>
      <c r="J270" s="2" t="s">
        <v>667</v>
      </c>
      <c r="K270" s="2" t="s">
        <v>205</v>
      </c>
      <c r="L270" s="2" t="s">
        <v>206</v>
      </c>
      <c r="M270" s="2" t="s">
        <v>119</v>
      </c>
      <c r="N270" s="4" t="str">
        <f t="shared" si="43"/>
        <v>TON</v>
      </c>
      <c r="O270" s="5">
        <v>2.5</v>
      </c>
      <c r="Q270" t="str">
        <f t="shared" si="44"/>
        <v>MAC927YM3</v>
      </c>
      <c r="R270" t="str">
        <f t="shared" si="45"/>
        <v>Dyna Flo 9-2-7YM3</v>
      </c>
      <c r="S270" s="32">
        <f t="shared" si="46"/>
        <v>284.6674999999999</v>
      </c>
      <c r="U270" t="s">
        <v>206</v>
      </c>
      <c r="V270" s="32">
        <v>284.6674999999999</v>
      </c>
    </row>
    <row r="271" spans="2:22" x14ac:dyDescent="0.25">
      <c r="B271" s="1" t="s">
        <v>195</v>
      </c>
      <c r="C271" s="2" t="s">
        <v>196</v>
      </c>
      <c r="D271" s="2" t="s">
        <v>303</v>
      </c>
      <c r="E271" s="2" t="s">
        <v>304</v>
      </c>
      <c r="F271" s="3">
        <f t="shared" si="47"/>
        <v>44866</v>
      </c>
      <c r="G271" s="4">
        <f t="shared" si="41"/>
        <v>11</v>
      </c>
      <c r="H271" s="4">
        <f t="shared" si="42"/>
        <v>2022</v>
      </c>
      <c r="I271" s="2" t="s">
        <v>4</v>
      </c>
      <c r="J271" s="2" t="s">
        <v>668</v>
      </c>
      <c r="K271" s="2" t="s">
        <v>122</v>
      </c>
      <c r="L271" s="2" t="s">
        <v>123</v>
      </c>
      <c r="M271" s="2" t="s">
        <v>119</v>
      </c>
      <c r="N271" s="4" t="str">
        <f t="shared" si="43"/>
        <v>TON</v>
      </c>
      <c r="O271" s="5">
        <v>10.02</v>
      </c>
      <c r="Q271" t="str">
        <f t="shared" si="44"/>
        <v>MAC528YZ</v>
      </c>
      <c r="R271" t="str">
        <f t="shared" si="45"/>
        <v>Dyna Flo 5-2-8 YZ</v>
      </c>
      <c r="S271" s="32">
        <f t="shared" si="46"/>
        <v>395.40750000000003</v>
      </c>
      <c r="U271" t="s">
        <v>123</v>
      </c>
      <c r="V271" s="32">
        <v>395.40750000000003</v>
      </c>
    </row>
    <row r="272" spans="2:22" x14ac:dyDescent="0.25">
      <c r="B272" s="1" t="s">
        <v>195</v>
      </c>
      <c r="C272" s="2" t="s">
        <v>196</v>
      </c>
      <c r="D272" s="2" t="s">
        <v>669</v>
      </c>
      <c r="E272" s="2" t="s">
        <v>670</v>
      </c>
      <c r="F272" s="3">
        <f t="shared" si="47"/>
        <v>44866</v>
      </c>
      <c r="G272" s="4">
        <f t="shared" si="41"/>
        <v>11</v>
      </c>
      <c r="H272" s="4">
        <f t="shared" si="42"/>
        <v>2022</v>
      </c>
      <c r="I272" s="2" t="s">
        <v>4</v>
      </c>
      <c r="J272" s="2" t="s">
        <v>671</v>
      </c>
      <c r="K272" s="2" t="s">
        <v>205</v>
      </c>
      <c r="L272" s="2" t="s">
        <v>206</v>
      </c>
      <c r="M272" s="2" t="s">
        <v>119</v>
      </c>
      <c r="N272" s="4" t="str">
        <f t="shared" si="43"/>
        <v>TON</v>
      </c>
      <c r="O272" s="5">
        <v>2.4925000000000002</v>
      </c>
      <c r="Q272" t="str">
        <f t="shared" si="44"/>
        <v>MAC927YM3</v>
      </c>
      <c r="R272" t="str">
        <f t="shared" si="45"/>
        <v>Dyna Flo 9-2-7YM3</v>
      </c>
      <c r="S272" s="32">
        <f t="shared" si="46"/>
        <v>284.6674999999999</v>
      </c>
      <c r="U272" t="s">
        <v>206</v>
      </c>
      <c r="V272" s="32">
        <v>284.6674999999999</v>
      </c>
    </row>
    <row r="273" spans="2:22" x14ac:dyDescent="0.25">
      <c r="B273" s="1" t="s">
        <v>195</v>
      </c>
      <c r="C273" s="2" t="s">
        <v>196</v>
      </c>
      <c r="D273" s="2" t="s">
        <v>672</v>
      </c>
      <c r="E273" s="2" t="s">
        <v>673</v>
      </c>
      <c r="F273" s="3">
        <f t="shared" si="47"/>
        <v>44866</v>
      </c>
      <c r="G273" s="4">
        <f t="shared" si="41"/>
        <v>11</v>
      </c>
      <c r="H273" s="4">
        <f t="shared" si="42"/>
        <v>2022</v>
      </c>
      <c r="I273" s="2" t="s">
        <v>4</v>
      </c>
      <c r="J273" s="2" t="s">
        <v>674</v>
      </c>
      <c r="K273" s="2" t="s">
        <v>675</v>
      </c>
      <c r="L273" s="2" t="s">
        <v>676</v>
      </c>
      <c r="M273" s="2" t="s">
        <v>119</v>
      </c>
      <c r="N273" s="4" t="str">
        <f t="shared" si="43"/>
        <v>TON</v>
      </c>
      <c r="O273" s="5">
        <v>5</v>
      </c>
      <c r="Q273" t="str">
        <f t="shared" si="44"/>
        <v>MAC527YM21M</v>
      </c>
      <c r="R273" t="str">
        <f t="shared" si="45"/>
        <v>Dyna Flo 5-2-7YM21M w/Merge</v>
      </c>
      <c r="S273" s="32">
        <f t="shared" si="46"/>
        <v>29.517499999999998</v>
      </c>
      <c r="U273" t="s">
        <v>676</v>
      </c>
      <c r="V273" s="32">
        <v>29.517499999999998</v>
      </c>
    </row>
    <row r="274" spans="2:22" x14ac:dyDescent="0.25">
      <c r="B274" s="1" t="s">
        <v>195</v>
      </c>
      <c r="C274" s="2" t="s">
        <v>196</v>
      </c>
      <c r="D274" s="2" t="s">
        <v>317</v>
      </c>
      <c r="E274" s="2" t="s">
        <v>677</v>
      </c>
      <c r="F274" s="3">
        <f t="shared" ref="F274:F287" si="48">DATE(2022,11,2)</f>
        <v>44867</v>
      </c>
      <c r="G274" s="4">
        <f t="shared" si="41"/>
        <v>11</v>
      </c>
      <c r="H274" s="4">
        <f t="shared" si="42"/>
        <v>2022</v>
      </c>
      <c r="I274" s="2" t="s">
        <v>4</v>
      </c>
      <c r="J274" s="2" t="s">
        <v>678</v>
      </c>
      <c r="K274" s="2" t="s">
        <v>117</v>
      </c>
      <c r="L274" s="2" t="s">
        <v>118</v>
      </c>
      <c r="M274" s="2" t="s">
        <v>119</v>
      </c>
      <c r="N274" s="4" t="str">
        <f t="shared" si="43"/>
        <v>TON</v>
      </c>
      <c r="O274" s="5">
        <v>10.015000000000001</v>
      </c>
      <c r="Q274" t="str">
        <f t="shared" si="44"/>
        <v>MAC428YM8</v>
      </c>
      <c r="R274" t="str">
        <f t="shared" si="45"/>
        <v>Dyna Flo 4-2-8YM8</v>
      </c>
      <c r="S274" s="32">
        <f t="shared" si="46"/>
        <v>517.73950000000002</v>
      </c>
      <c r="U274" t="s">
        <v>118</v>
      </c>
      <c r="V274" s="32">
        <v>517.73950000000002</v>
      </c>
    </row>
    <row r="275" spans="2:22" x14ac:dyDescent="0.25">
      <c r="B275" s="1" t="s">
        <v>195</v>
      </c>
      <c r="C275" s="2" t="s">
        <v>196</v>
      </c>
      <c r="D275" s="2" t="s">
        <v>679</v>
      </c>
      <c r="E275" s="2" t="s">
        <v>680</v>
      </c>
      <c r="F275" s="3">
        <f t="shared" si="48"/>
        <v>44867</v>
      </c>
      <c r="G275" s="4">
        <f t="shared" si="41"/>
        <v>11</v>
      </c>
      <c r="H275" s="4">
        <f t="shared" si="42"/>
        <v>2022</v>
      </c>
      <c r="I275" s="2" t="s">
        <v>4</v>
      </c>
      <c r="J275" s="2" t="s">
        <v>681</v>
      </c>
      <c r="K275" s="2" t="s">
        <v>122</v>
      </c>
      <c r="L275" s="2" t="s">
        <v>123</v>
      </c>
      <c r="M275" s="2" t="s">
        <v>119</v>
      </c>
      <c r="N275" s="4" t="str">
        <f t="shared" si="43"/>
        <v>TON</v>
      </c>
      <c r="O275" s="5">
        <v>2.5</v>
      </c>
      <c r="Q275" t="str">
        <f t="shared" si="44"/>
        <v>MAC528YZ</v>
      </c>
      <c r="R275" t="str">
        <f t="shared" si="45"/>
        <v>Dyna Flo 5-2-8 YZ</v>
      </c>
      <c r="S275" s="32">
        <f t="shared" si="46"/>
        <v>395.40750000000003</v>
      </c>
      <c r="U275" t="s">
        <v>123</v>
      </c>
      <c r="V275" s="32">
        <v>395.40750000000003</v>
      </c>
    </row>
    <row r="276" spans="2:22" x14ac:dyDescent="0.25">
      <c r="B276" s="1" t="s">
        <v>195</v>
      </c>
      <c r="C276" s="2" t="s">
        <v>196</v>
      </c>
      <c r="D276" s="2" t="s">
        <v>276</v>
      </c>
      <c r="E276" s="2" t="s">
        <v>682</v>
      </c>
      <c r="F276" s="3">
        <f t="shared" si="48"/>
        <v>44867</v>
      </c>
      <c r="G276" s="4">
        <f t="shared" si="41"/>
        <v>11</v>
      </c>
      <c r="H276" s="4">
        <f t="shared" si="42"/>
        <v>2022</v>
      </c>
      <c r="I276" s="2" t="s">
        <v>4</v>
      </c>
      <c r="J276" s="2" t="s">
        <v>683</v>
      </c>
      <c r="K276" s="2" t="s">
        <v>122</v>
      </c>
      <c r="L276" s="2" t="s">
        <v>123</v>
      </c>
      <c r="M276" s="2" t="s">
        <v>119</v>
      </c>
      <c r="N276" s="4" t="str">
        <f t="shared" si="43"/>
        <v>TON</v>
      </c>
      <c r="O276" s="5">
        <v>8.0250000000000004</v>
      </c>
      <c r="Q276" t="str">
        <f t="shared" si="44"/>
        <v>MAC528YZ</v>
      </c>
      <c r="R276" t="str">
        <f t="shared" si="45"/>
        <v>Dyna Flo 5-2-8 YZ</v>
      </c>
      <c r="S276" s="32">
        <f t="shared" si="46"/>
        <v>395.40750000000003</v>
      </c>
      <c r="U276" t="s">
        <v>123</v>
      </c>
      <c r="V276" s="32">
        <v>395.40750000000003</v>
      </c>
    </row>
    <row r="277" spans="2:22" x14ac:dyDescent="0.25">
      <c r="B277" s="1" t="s">
        <v>195</v>
      </c>
      <c r="C277" s="2" t="s">
        <v>196</v>
      </c>
      <c r="D277" s="2" t="s">
        <v>276</v>
      </c>
      <c r="E277" s="2" t="s">
        <v>684</v>
      </c>
      <c r="F277" s="3">
        <f t="shared" si="48"/>
        <v>44867</v>
      </c>
      <c r="G277" s="4">
        <f t="shared" si="41"/>
        <v>11</v>
      </c>
      <c r="H277" s="4">
        <f t="shared" si="42"/>
        <v>2022</v>
      </c>
      <c r="I277" s="2" t="s">
        <v>4</v>
      </c>
      <c r="J277" s="2" t="s">
        <v>685</v>
      </c>
      <c r="K277" s="2" t="s">
        <v>205</v>
      </c>
      <c r="L277" s="2" t="s">
        <v>206</v>
      </c>
      <c r="M277" s="2" t="s">
        <v>119</v>
      </c>
      <c r="N277" s="4" t="str">
        <f t="shared" si="43"/>
        <v>TON</v>
      </c>
      <c r="O277" s="5">
        <v>7</v>
      </c>
      <c r="Q277" t="str">
        <f t="shared" si="44"/>
        <v>MAC927YM3</v>
      </c>
      <c r="R277" t="str">
        <f t="shared" si="45"/>
        <v>Dyna Flo 9-2-7YM3</v>
      </c>
      <c r="S277" s="32">
        <f t="shared" si="46"/>
        <v>284.6674999999999</v>
      </c>
      <c r="U277" t="s">
        <v>206</v>
      </c>
      <c r="V277" s="32">
        <v>284.6674999999999</v>
      </c>
    </row>
    <row r="278" spans="2:22" x14ac:dyDescent="0.25">
      <c r="B278" s="1" t="s">
        <v>195</v>
      </c>
      <c r="C278" s="2" t="s">
        <v>196</v>
      </c>
      <c r="D278" s="2" t="s">
        <v>444</v>
      </c>
      <c r="E278" s="2" t="s">
        <v>686</v>
      </c>
      <c r="F278" s="3">
        <f t="shared" si="48"/>
        <v>44867</v>
      </c>
      <c r="G278" s="4">
        <f t="shared" si="41"/>
        <v>11</v>
      </c>
      <c r="H278" s="4">
        <f t="shared" si="42"/>
        <v>2022</v>
      </c>
      <c r="I278" s="2" t="s">
        <v>4</v>
      </c>
      <c r="J278" s="2" t="s">
        <v>687</v>
      </c>
      <c r="K278" s="2" t="s">
        <v>324</v>
      </c>
      <c r="L278" s="2" t="s">
        <v>325</v>
      </c>
      <c r="M278" s="2" t="s">
        <v>119</v>
      </c>
      <c r="N278" s="4" t="str">
        <f t="shared" si="43"/>
        <v>TON</v>
      </c>
      <c r="O278" s="5">
        <v>2.5024999999999999</v>
      </c>
      <c r="Q278" t="str">
        <f t="shared" si="44"/>
        <v>MAC737YM</v>
      </c>
      <c r="R278" t="str">
        <f t="shared" si="45"/>
        <v>Dyna Flo 7-3-7 YM</v>
      </c>
      <c r="S278" s="32">
        <f t="shared" si="46"/>
        <v>99.21250000000002</v>
      </c>
      <c r="U278" t="s">
        <v>325</v>
      </c>
      <c r="V278" s="32">
        <v>99.21250000000002</v>
      </c>
    </row>
    <row r="279" spans="2:22" x14ac:dyDescent="0.25">
      <c r="B279" s="1" t="s">
        <v>195</v>
      </c>
      <c r="C279" s="2" t="s">
        <v>196</v>
      </c>
      <c r="D279" s="2" t="s">
        <v>452</v>
      </c>
      <c r="E279" s="2" t="s">
        <v>222</v>
      </c>
      <c r="F279" s="3">
        <f t="shared" si="48"/>
        <v>44867</v>
      </c>
      <c r="G279" s="4">
        <f t="shared" si="41"/>
        <v>11</v>
      </c>
      <c r="H279" s="4">
        <f t="shared" si="42"/>
        <v>2022</v>
      </c>
      <c r="I279" s="2" t="s">
        <v>4</v>
      </c>
      <c r="J279" s="2" t="s">
        <v>688</v>
      </c>
      <c r="K279" s="2" t="s">
        <v>205</v>
      </c>
      <c r="L279" s="2" t="s">
        <v>206</v>
      </c>
      <c r="M279" s="2" t="s">
        <v>119</v>
      </c>
      <c r="N279" s="4" t="str">
        <f t="shared" si="43"/>
        <v>TON</v>
      </c>
      <c r="O279" s="5">
        <v>3</v>
      </c>
      <c r="Q279" t="str">
        <f t="shared" si="44"/>
        <v>MAC927YM3</v>
      </c>
      <c r="R279" t="str">
        <f t="shared" si="45"/>
        <v>Dyna Flo 9-2-7YM3</v>
      </c>
      <c r="S279" s="32">
        <f t="shared" si="46"/>
        <v>284.6674999999999</v>
      </c>
      <c r="U279" t="s">
        <v>206</v>
      </c>
      <c r="V279" s="32">
        <v>284.6674999999999</v>
      </c>
    </row>
    <row r="280" spans="2:22" x14ac:dyDescent="0.25">
      <c r="B280" s="1" t="s">
        <v>195</v>
      </c>
      <c r="C280" s="2" t="s">
        <v>196</v>
      </c>
      <c r="D280" s="2" t="s">
        <v>299</v>
      </c>
      <c r="E280" s="2" t="s">
        <v>689</v>
      </c>
      <c r="F280" s="3">
        <f t="shared" si="48"/>
        <v>44867</v>
      </c>
      <c r="G280" s="4">
        <f t="shared" si="41"/>
        <v>11</v>
      </c>
      <c r="H280" s="4">
        <f t="shared" si="42"/>
        <v>2022</v>
      </c>
      <c r="I280" s="2" t="s">
        <v>4</v>
      </c>
      <c r="J280" s="2" t="s">
        <v>690</v>
      </c>
      <c r="K280" s="2" t="s">
        <v>117</v>
      </c>
      <c r="L280" s="2" t="s">
        <v>118</v>
      </c>
      <c r="M280" s="2" t="s">
        <v>119</v>
      </c>
      <c r="N280" s="4" t="str">
        <f t="shared" si="43"/>
        <v>TON</v>
      </c>
      <c r="O280" s="5">
        <v>10</v>
      </c>
      <c r="Q280" t="str">
        <f t="shared" si="44"/>
        <v>MAC428YM8</v>
      </c>
      <c r="R280" t="str">
        <f t="shared" si="45"/>
        <v>Dyna Flo 4-2-8YM8</v>
      </c>
      <c r="S280" s="32">
        <f t="shared" si="46"/>
        <v>517.73950000000002</v>
      </c>
      <c r="U280" t="s">
        <v>118</v>
      </c>
      <c r="V280" s="32">
        <v>517.73950000000002</v>
      </c>
    </row>
    <row r="281" spans="2:22" x14ac:dyDescent="0.25">
      <c r="B281" s="1" t="s">
        <v>195</v>
      </c>
      <c r="C281" s="2" t="s">
        <v>196</v>
      </c>
      <c r="D281" s="2" t="s">
        <v>227</v>
      </c>
      <c r="E281" s="2" t="s">
        <v>357</v>
      </c>
      <c r="F281" s="3">
        <f t="shared" si="48"/>
        <v>44867</v>
      </c>
      <c r="G281" s="4">
        <f t="shared" si="41"/>
        <v>11</v>
      </c>
      <c r="H281" s="4">
        <f t="shared" si="42"/>
        <v>2022</v>
      </c>
      <c r="I281" s="2" t="s">
        <v>4</v>
      </c>
      <c r="J281" s="2" t="s">
        <v>691</v>
      </c>
      <c r="K281" s="2" t="s">
        <v>122</v>
      </c>
      <c r="L281" s="2" t="s">
        <v>123</v>
      </c>
      <c r="M281" s="2" t="s">
        <v>119</v>
      </c>
      <c r="N281" s="4" t="str">
        <f t="shared" si="43"/>
        <v>TON</v>
      </c>
      <c r="O281" s="5">
        <v>5</v>
      </c>
      <c r="Q281" t="str">
        <f t="shared" si="44"/>
        <v>MAC528YZ</v>
      </c>
      <c r="R281" t="str">
        <f t="shared" si="45"/>
        <v>Dyna Flo 5-2-8 YZ</v>
      </c>
      <c r="S281" s="32">
        <f t="shared" si="46"/>
        <v>395.40750000000003</v>
      </c>
      <c r="U281" t="s">
        <v>123</v>
      </c>
      <c r="V281" s="32">
        <v>395.40750000000003</v>
      </c>
    </row>
    <row r="282" spans="2:22" x14ac:dyDescent="0.25">
      <c r="B282" s="1" t="s">
        <v>195</v>
      </c>
      <c r="C282" s="2" t="s">
        <v>196</v>
      </c>
      <c r="D282" s="2" t="s">
        <v>276</v>
      </c>
      <c r="E282" s="2" t="s">
        <v>692</v>
      </c>
      <c r="F282" s="3">
        <f t="shared" si="48"/>
        <v>44867</v>
      </c>
      <c r="G282" s="4">
        <f t="shared" si="41"/>
        <v>11</v>
      </c>
      <c r="H282" s="4">
        <f t="shared" si="42"/>
        <v>2022</v>
      </c>
      <c r="I282" s="2" t="s">
        <v>4</v>
      </c>
      <c r="J282" s="2" t="s">
        <v>693</v>
      </c>
      <c r="K282" s="2" t="s">
        <v>122</v>
      </c>
      <c r="L282" s="2" t="s">
        <v>123</v>
      </c>
      <c r="M282" s="2" t="s">
        <v>119</v>
      </c>
      <c r="N282" s="4" t="str">
        <f t="shared" si="43"/>
        <v>TON</v>
      </c>
      <c r="O282" s="5">
        <v>9.9975000000000005</v>
      </c>
      <c r="Q282" t="str">
        <f t="shared" si="44"/>
        <v>MAC528YZ</v>
      </c>
      <c r="R282" t="str">
        <f t="shared" si="45"/>
        <v>Dyna Flo 5-2-8 YZ</v>
      </c>
      <c r="S282" s="32">
        <f t="shared" si="46"/>
        <v>395.40750000000003</v>
      </c>
      <c r="U282" t="s">
        <v>123</v>
      </c>
      <c r="V282" s="32">
        <v>395.40750000000003</v>
      </c>
    </row>
    <row r="283" spans="2:22" x14ac:dyDescent="0.25">
      <c r="B283" s="1" t="s">
        <v>195</v>
      </c>
      <c r="C283" s="2" t="s">
        <v>196</v>
      </c>
      <c r="D283" s="2" t="s">
        <v>437</v>
      </c>
      <c r="E283" s="2" t="s">
        <v>438</v>
      </c>
      <c r="F283" s="3">
        <f t="shared" si="48"/>
        <v>44867</v>
      </c>
      <c r="G283" s="4">
        <f t="shared" si="41"/>
        <v>11</v>
      </c>
      <c r="H283" s="4">
        <f t="shared" si="42"/>
        <v>2022</v>
      </c>
      <c r="I283" s="2" t="s">
        <v>4</v>
      </c>
      <c r="J283" s="2" t="s">
        <v>694</v>
      </c>
      <c r="K283" s="2" t="s">
        <v>205</v>
      </c>
      <c r="L283" s="2" t="s">
        <v>206</v>
      </c>
      <c r="M283" s="2" t="s">
        <v>119</v>
      </c>
      <c r="N283" s="4" t="str">
        <f t="shared" si="43"/>
        <v>TON</v>
      </c>
      <c r="O283" s="5">
        <v>2.4874999999999998</v>
      </c>
      <c r="Q283" t="str">
        <f t="shared" si="44"/>
        <v>MAC927YM3</v>
      </c>
      <c r="R283" t="str">
        <f t="shared" si="45"/>
        <v>Dyna Flo 9-2-7YM3</v>
      </c>
      <c r="S283" s="32">
        <f t="shared" si="46"/>
        <v>284.6674999999999</v>
      </c>
      <c r="U283" t="s">
        <v>206</v>
      </c>
      <c r="V283" s="32">
        <v>284.6674999999999</v>
      </c>
    </row>
    <row r="284" spans="2:22" x14ac:dyDescent="0.25">
      <c r="B284" s="1" t="s">
        <v>195</v>
      </c>
      <c r="C284" s="2" t="s">
        <v>196</v>
      </c>
      <c r="D284" s="2" t="s">
        <v>285</v>
      </c>
      <c r="E284" s="2" t="s">
        <v>695</v>
      </c>
      <c r="F284" s="3">
        <f t="shared" si="48"/>
        <v>44867</v>
      </c>
      <c r="G284" s="4">
        <f t="shared" si="41"/>
        <v>11</v>
      </c>
      <c r="H284" s="4">
        <f t="shared" si="42"/>
        <v>2022</v>
      </c>
      <c r="I284" s="2" t="s">
        <v>4</v>
      </c>
      <c r="J284" s="2" t="s">
        <v>696</v>
      </c>
      <c r="K284" s="2" t="s">
        <v>329</v>
      </c>
      <c r="L284" s="2" t="s">
        <v>330</v>
      </c>
      <c r="M284" s="2" t="s">
        <v>119</v>
      </c>
      <c r="N284" s="4" t="str">
        <f t="shared" si="43"/>
        <v>TON</v>
      </c>
      <c r="O284" s="5">
        <v>5.0274999999999999</v>
      </c>
      <c r="Q284" t="str">
        <f t="shared" si="44"/>
        <v>MAC628YM8</v>
      </c>
      <c r="R284" t="str">
        <f t="shared" si="45"/>
        <v>Dyna Flo 6-2-8YM8</v>
      </c>
      <c r="S284" s="32">
        <f t="shared" si="46"/>
        <v>247.51499999999996</v>
      </c>
      <c r="U284" t="s">
        <v>330</v>
      </c>
      <c r="V284" s="32">
        <v>247.51499999999996</v>
      </c>
    </row>
    <row r="285" spans="2:22" x14ac:dyDescent="0.25">
      <c r="B285" s="1" t="s">
        <v>195</v>
      </c>
      <c r="C285" s="2" t="s">
        <v>196</v>
      </c>
      <c r="D285" s="2" t="s">
        <v>321</v>
      </c>
      <c r="E285" s="2" t="s">
        <v>697</v>
      </c>
      <c r="F285" s="3">
        <f t="shared" si="48"/>
        <v>44867</v>
      </c>
      <c r="G285" s="4">
        <f t="shared" si="41"/>
        <v>11</v>
      </c>
      <c r="H285" s="4">
        <f t="shared" si="42"/>
        <v>2022</v>
      </c>
      <c r="I285" s="2" t="s">
        <v>4</v>
      </c>
      <c r="J285" s="2" t="s">
        <v>698</v>
      </c>
      <c r="K285" s="2" t="s">
        <v>324</v>
      </c>
      <c r="L285" s="2" t="s">
        <v>325</v>
      </c>
      <c r="M285" s="2" t="s">
        <v>119</v>
      </c>
      <c r="N285" s="4" t="str">
        <f t="shared" si="43"/>
        <v>TON</v>
      </c>
      <c r="O285" s="5">
        <v>10.029999999999999</v>
      </c>
      <c r="Q285" t="str">
        <f t="shared" si="44"/>
        <v>MAC737YM</v>
      </c>
      <c r="R285" t="str">
        <f t="shared" si="45"/>
        <v>Dyna Flo 7-3-7 YM</v>
      </c>
      <c r="S285" s="32">
        <f t="shared" si="46"/>
        <v>99.21250000000002</v>
      </c>
      <c r="U285" t="s">
        <v>325</v>
      </c>
      <c r="V285" s="32">
        <v>99.21250000000002</v>
      </c>
    </row>
    <row r="286" spans="2:22" x14ac:dyDescent="0.25">
      <c r="B286" s="1" t="s">
        <v>195</v>
      </c>
      <c r="C286" s="2" t="s">
        <v>196</v>
      </c>
      <c r="D286" s="2" t="s">
        <v>660</v>
      </c>
      <c r="E286" s="2" t="s">
        <v>699</v>
      </c>
      <c r="F286" s="3">
        <f t="shared" si="48"/>
        <v>44867</v>
      </c>
      <c r="G286" s="4">
        <f t="shared" si="41"/>
        <v>11</v>
      </c>
      <c r="H286" s="4">
        <f t="shared" si="42"/>
        <v>2022</v>
      </c>
      <c r="I286" s="2" t="s">
        <v>4</v>
      </c>
      <c r="J286" s="2" t="s">
        <v>700</v>
      </c>
      <c r="K286" s="2" t="s">
        <v>447</v>
      </c>
      <c r="L286" s="2" t="s">
        <v>448</v>
      </c>
      <c r="M286" s="2" t="s">
        <v>119</v>
      </c>
      <c r="N286" s="4" t="str">
        <f t="shared" si="43"/>
        <v>TON</v>
      </c>
      <c r="O286" s="5">
        <v>2.4950000000000001</v>
      </c>
      <c r="Q286" t="str">
        <f t="shared" si="44"/>
        <v>MAC727YM15</v>
      </c>
      <c r="R286" t="str">
        <f t="shared" si="45"/>
        <v>Dyna Flo 7-2-7YM15</v>
      </c>
      <c r="S286" s="32">
        <f t="shared" si="46"/>
        <v>113.6925</v>
      </c>
      <c r="U286" t="s">
        <v>448</v>
      </c>
      <c r="V286" s="32">
        <v>113.6925</v>
      </c>
    </row>
    <row r="287" spans="2:22" x14ac:dyDescent="0.25">
      <c r="B287" s="1" t="s">
        <v>195</v>
      </c>
      <c r="C287" s="2" t="s">
        <v>196</v>
      </c>
      <c r="D287" s="2" t="s">
        <v>215</v>
      </c>
      <c r="E287" s="2" t="s">
        <v>701</v>
      </c>
      <c r="F287" s="3">
        <f t="shared" si="48"/>
        <v>44867</v>
      </c>
      <c r="G287" s="4">
        <f t="shared" si="41"/>
        <v>11</v>
      </c>
      <c r="H287" s="4">
        <f t="shared" si="42"/>
        <v>2022</v>
      </c>
      <c r="I287" s="2" t="s">
        <v>4</v>
      </c>
      <c r="J287" s="2" t="s">
        <v>702</v>
      </c>
      <c r="K287" s="2" t="s">
        <v>447</v>
      </c>
      <c r="L287" s="2" t="s">
        <v>448</v>
      </c>
      <c r="M287" s="2" t="s">
        <v>119</v>
      </c>
      <c r="N287" s="4" t="str">
        <f t="shared" si="43"/>
        <v>TON</v>
      </c>
      <c r="O287" s="5">
        <v>5.0274999999999999</v>
      </c>
      <c r="Q287" t="str">
        <f t="shared" si="44"/>
        <v>MAC727YM15</v>
      </c>
      <c r="R287" t="str">
        <f t="shared" si="45"/>
        <v>Dyna Flo 7-2-7YM15</v>
      </c>
      <c r="S287" s="32">
        <f t="shared" si="46"/>
        <v>113.6925</v>
      </c>
      <c r="U287" t="s">
        <v>448</v>
      </c>
      <c r="V287" s="32">
        <v>113.6925</v>
      </c>
    </row>
    <row r="288" spans="2:22" x14ac:dyDescent="0.25">
      <c r="B288" s="1" t="s">
        <v>195</v>
      </c>
      <c r="C288" s="2" t="s">
        <v>196</v>
      </c>
      <c r="D288" s="2" t="s">
        <v>280</v>
      </c>
      <c r="E288" s="2" t="s">
        <v>281</v>
      </c>
      <c r="F288" s="3">
        <f t="shared" ref="F288:F297" si="49">DATE(2022,11,3)</f>
        <v>44868</v>
      </c>
      <c r="G288" s="4">
        <f t="shared" si="41"/>
        <v>11</v>
      </c>
      <c r="H288" s="4">
        <f t="shared" si="42"/>
        <v>2022</v>
      </c>
      <c r="I288" s="2" t="s">
        <v>4</v>
      </c>
      <c r="J288" s="2" t="s">
        <v>703</v>
      </c>
      <c r="K288" s="2" t="s">
        <v>117</v>
      </c>
      <c r="L288" s="2" t="s">
        <v>118</v>
      </c>
      <c r="M288" s="2" t="s">
        <v>119</v>
      </c>
      <c r="N288" s="4" t="str">
        <f t="shared" si="43"/>
        <v>TON</v>
      </c>
      <c r="O288" s="5">
        <v>14.5</v>
      </c>
      <c r="Q288" t="str">
        <f t="shared" si="44"/>
        <v>MAC428YM8</v>
      </c>
      <c r="R288" t="str">
        <f t="shared" si="45"/>
        <v>Dyna Flo 4-2-8YM8</v>
      </c>
      <c r="S288" s="32">
        <f t="shared" si="46"/>
        <v>517.73950000000002</v>
      </c>
      <c r="U288" t="s">
        <v>118</v>
      </c>
      <c r="V288" s="32">
        <v>517.73950000000002</v>
      </c>
    </row>
    <row r="289" spans="2:22" x14ac:dyDescent="0.25">
      <c r="B289" s="1" t="s">
        <v>195</v>
      </c>
      <c r="C289" s="2" t="s">
        <v>196</v>
      </c>
      <c r="D289" s="2" t="s">
        <v>704</v>
      </c>
      <c r="E289" s="2" t="s">
        <v>705</v>
      </c>
      <c r="F289" s="3">
        <f t="shared" si="49"/>
        <v>44868</v>
      </c>
      <c r="G289" s="4">
        <f t="shared" si="41"/>
        <v>11</v>
      </c>
      <c r="H289" s="4">
        <f t="shared" si="42"/>
        <v>2022</v>
      </c>
      <c r="I289" s="2" t="s">
        <v>4</v>
      </c>
      <c r="J289" s="2" t="s">
        <v>706</v>
      </c>
      <c r="K289" s="2" t="s">
        <v>324</v>
      </c>
      <c r="L289" s="2" t="s">
        <v>325</v>
      </c>
      <c r="M289" s="2" t="s">
        <v>119</v>
      </c>
      <c r="N289" s="4" t="str">
        <f t="shared" si="43"/>
        <v>TON</v>
      </c>
      <c r="O289" s="5">
        <v>10.012499999999999</v>
      </c>
      <c r="Q289" t="str">
        <f t="shared" si="44"/>
        <v>MAC737YM</v>
      </c>
      <c r="R289" t="str">
        <f t="shared" si="45"/>
        <v>Dyna Flo 7-3-7 YM</v>
      </c>
      <c r="S289" s="32">
        <f t="shared" si="46"/>
        <v>99.21250000000002</v>
      </c>
      <c r="U289" t="s">
        <v>325</v>
      </c>
      <c r="V289" s="32">
        <v>99.21250000000002</v>
      </c>
    </row>
    <row r="290" spans="2:22" x14ac:dyDescent="0.25">
      <c r="B290" s="1" t="s">
        <v>195</v>
      </c>
      <c r="C290" s="2" t="s">
        <v>196</v>
      </c>
      <c r="D290" s="2" t="s">
        <v>224</v>
      </c>
      <c r="E290" s="2" t="s">
        <v>707</v>
      </c>
      <c r="F290" s="3">
        <f t="shared" si="49"/>
        <v>44868</v>
      </c>
      <c r="G290" s="4">
        <f t="shared" si="41"/>
        <v>11</v>
      </c>
      <c r="H290" s="4">
        <f t="shared" si="42"/>
        <v>2022</v>
      </c>
      <c r="I290" s="2" t="s">
        <v>4</v>
      </c>
      <c r="J290" s="2" t="s">
        <v>708</v>
      </c>
      <c r="K290" s="2" t="s">
        <v>122</v>
      </c>
      <c r="L290" s="2" t="s">
        <v>123</v>
      </c>
      <c r="M290" s="2" t="s">
        <v>119</v>
      </c>
      <c r="N290" s="4" t="str">
        <f t="shared" si="43"/>
        <v>TON</v>
      </c>
      <c r="O290" s="5">
        <v>1.2175</v>
      </c>
      <c r="Q290" t="str">
        <f t="shared" si="44"/>
        <v>MAC528YZ</v>
      </c>
      <c r="R290" t="str">
        <f t="shared" si="45"/>
        <v>Dyna Flo 5-2-8 YZ</v>
      </c>
      <c r="S290" s="32">
        <f t="shared" si="46"/>
        <v>395.40750000000003</v>
      </c>
      <c r="U290" t="s">
        <v>123</v>
      </c>
      <c r="V290" s="32">
        <v>395.40750000000003</v>
      </c>
    </row>
    <row r="291" spans="2:22" x14ac:dyDescent="0.25">
      <c r="B291" s="1" t="s">
        <v>195</v>
      </c>
      <c r="C291" s="2" t="s">
        <v>196</v>
      </c>
      <c r="D291" s="2" t="s">
        <v>672</v>
      </c>
      <c r="E291" s="2" t="s">
        <v>699</v>
      </c>
      <c r="F291" s="3">
        <f t="shared" si="49"/>
        <v>44868</v>
      </c>
      <c r="G291" s="4">
        <f t="shared" si="41"/>
        <v>11</v>
      </c>
      <c r="H291" s="4">
        <f t="shared" si="42"/>
        <v>2022</v>
      </c>
      <c r="I291" s="2" t="s">
        <v>4</v>
      </c>
      <c r="J291" s="2" t="s">
        <v>709</v>
      </c>
      <c r="K291" s="2" t="s">
        <v>675</v>
      </c>
      <c r="L291" s="2" t="s">
        <v>676</v>
      </c>
      <c r="M291" s="2" t="s">
        <v>119</v>
      </c>
      <c r="N291" s="4" t="str">
        <f t="shared" si="43"/>
        <v>TON</v>
      </c>
      <c r="O291" s="5">
        <v>5.5</v>
      </c>
      <c r="Q291" t="str">
        <f t="shared" si="44"/>
        <v>MAC527YM21M</v>
      </c>
      <c r="R291" t="str">
        <f t="shared" si="45"/>
        <v>Dyna Flo 5-2-7YM21M w/Merge</v>
      </c>
      <c r="S291" s="32">
        <f t="shared" si="46"/>
        <v>29.517499999999998</v>
      </c>
      <c r="U291" t="s">
        <v>676</v>
      </c>
      <c r="V291" s="32">
        <v>29.517499999999998</v>
      </c>
    </row>
    <row r="292" spans="2:22" x14ac:dyDescent="0.25">
      <c r="B292" s="1" t="s">
        <v>195</v>
      </c>
      <c r="C292" s="2" t="s">
        <v>196</v>
      </c>
      <c r="D292" s="2" t="s">
        <v>374</v>
      </c>
      <c r="E292" s="2" t="s">
        <v>710</v>
      </c>
      <c r="F292" s="3">
        <f t="shared" si="49"/>
        <v>44868</v>
      </c>
      <c r="G292" s="4">
        <f t="shared" si="41"/>
        <v>11</v>
      </c>
      <c r="H292" s="4">
        <f t="shared" si="42"/>
        <v>2022</v>
      </c>
      <c r="I292" s="2" t="s">
        <v>4</v>
      </c>
      <c r="J292" s="2" t="s">
        <v>711</v>
      </c>
      <c r="K292" s="2" t="s">
        <v>122</v>
      </c>
      <c r="L292" s="2" t="s">
        <v>123</v>
      </c>
      <c r="M292" s="2" t="s">
        <v>119</v>
      </c>
      <c r="N292" s="4" t="str">
        <f t="shared" si="43"/>
        <v>TON</v>
      </c>
      <c r="O292" s="5">
        <v>4.0199999999999996</v>
      </c>
      <c r="Q292" t="str">
        <f t="shared" si="44"/>
        <v>MAC528YZ</v>
      </c>
      <c r="R292" t="str">
        <f t="shared" si="45"/>
        <v>Dyna Flo 5-2-8 YZ</v>
      </c>
      <c r="S292" s="32">
        <f t="shared" si="46"/>
        <v>395.40750000000003</v>
      </c>
      <c r="U292" t="s">
        <v>123</v>
      </c>
      <c r="V292" s="32">
        <v>395.40750000000003</v>
      </c>
    </row>
    <row r="293" spans="2:22" x14ac:dyDescent="0.25">
      <c r="B293" s="1" t="s">
        <v>195</v>
      </c>
      <c r="C293" s="2" t="s">
        <v>196</v>
      </c>
      <c r="D293" s="2" t="s">
        <v>317</v>
      </c>
      <c r="E293" s="2" t="s">
        <v>677</v>
      </c>
      <c r="F293" s="3">
        <f t="shared" si="49"/>
        <v>44868</v>
      </c>
      <c r="G293" s="4">
        <f t="shared" si="41"/>
        <v>11</v>
      </c>
      <c r="H293" s="4">
        <f t="shared" si="42"/>
        <v>2022</v>
      </c>
      <c r="I293" s="2" t="s">
        <v>4</v>
      </c>
      <c r="J293" s="2" t="s">
        <v>712</v>
      </c>
      <c r="K293" s="2" t="s">
        <v>117</v>
      </c>
      <c r="L293" s="2" t="s">
        <v>118</v>
      </c>
      <c r="M293" s="2" t="s">
        <v>119</v>
      </c>
      <c r="N293" s="4" t="str">
        <f t="shared" si="43"/>
        <v>TON</v>
      </c>
      <c r="O293" s="5">
        <v>5.0049999999999999</v>
      </c>
      <c r="Q293" t="str">
        <f t="shared" si="44"/>
        <v>MAC428YM8</v>
      </c>
      <c r="R293" t="str">
        <f t="shared" si="45"/>
        <v>Dyna Flo 4-2-8YM8</v>
      </c>
      <c r="S293" s="32">
        <f t="shared" si="46"/>
        <v>517.73950000000002</v>
      </c>
      <c r="U293" t="s">
        <v>118</v>
      </c>
      <c r="V293" s="32">
        <v>517.73950000000002</v>
      </c>
    </row>
    <row r="294" spans="2:22" x14ac:dyDescent="0.25">
      <c r="B294" s="1" t="s">
        <v>195</v>
      </c>
      <c r="C294" s="2" t="s">
        <v>196</v>
      </c>
      <c r="D294" s="2" t="s">
        <v>299</v>
      </c>
      <c r="E294" s="2" t="s">
        <v>713</v>
      </c>
      <c r="F294" s="3">
        <f t="shared" si="49"/>
        <v>44868</v>
      </c>
      <c r="G294" s="4">
        <f t="shared" si="41"/>
        <v>11</v>
      </c>
      <c r="H294" s="4">
        <f t="shared" si="42"/>
        <v>2022</v>
      </c>
      <c r="I294" s="2" t="s">
        <v>4</v>
      </c>
      <c r="J294" s="2" t="s">
        <v>714</v>
      </c>
      <c r="K294" s="2" t="s">
        <v>117</v>
      </c>
      <c r="L294" s="2" t="s">
        <v>118</v>
      </c>
      <c r="M294" s="2" t="s">
        <v>119</v>
      </c>
      <c r="N294" s="4" t="str">
        <f t="shared" si="43"/>
        <v>TON</v>
      </c>
      <c r="O294" s="5">
        <v>7.4974999999999996</v>
      </c>
      <c r="Q294" t="str">
        <f t="shared" si="44"/>
        <v>MAC428YM8</v>
      </c>
      <c r="R294" t="str">
        <f t="shared" si="45"/>
        <v>Dyna Flo 4-2-8YM8</v>
      </c>
      <c r="S294" s="32">
        <f t="shared" si="46"/>
        <v>517.73950000000002</v>
      </c>
      <c r="U294" t="s">
        <v>118</v>
      </c>
      <c r="V294" s="32">
        <v>517.73950000000002</v>
      </c>
    </row>
    <row r="295" spans="2:22" x14ac:dyDescent="0.25">
      <c r="B295" s="1" t="s">
        <v>195</v>
      </c>
      <c r="C295" s="2" t="s">
        <v>196</v>
      </c>
      <c r="D295" s="2" t="s">
        <v>715</v>
      </c>
      <c r="E295" s="2" t="s">
        <v>450</v>
      </c>
      <c r="F295" s="3">
        <f t="shared" si="49"/>
        <v>44868</v>
      </c>
      <c r="G295" s="4">
        <f t="shared" si="41"/>
        <v>11</v>
      </c>
      <c r="H295" s="4">
        <f t="shared" si="42"/>
        <v>2022</v>
      </c>
      <c r="I295" s="2" t="s">
        <v>4</v>
      </c>
      <c r="J295" s="2" t="s">
        <v>716</v>
      </c>
      <c r="K295" s="2" t="s">
        <v>329</v>
      </c>
      <c r="L295" s="2" t="s">
        <v>330</v>
      </c>
      <c r="M295" s="2" t="s">
        <v>119</v>
      </c>
      <c r="N295" s="4" t="str">
        <f t="shared" si="43"/>
        <v>TON</v>
      </c>
      <c r="O295" s="5">
        <v>7.5250000000000004</v>
      </c>
      <c r="Q295" t="str">
        <f t="shared" si="44"/>
        <v>MAC628YM8</v>
      </c>
      <c r="R295" t="str">
        <f t="shared" si="45"/>
        <v>Dyna Flo 6-2-8YM8</v>
      </c>
      <c r="S295" s="32">
        <f t="shared" si="46"/>
        <v>247.51499999999996</v>
      </c>
      <c r="U295" t="s">
        <v>330</v>
      </c>
      <c r="V295" s="32">
        <v>247.51499999999996</v>
      </c>
    </row>
    <row r="296" spans="2:22" x14ac:dyDescent="0.25">
      <c r="B296" s="1" t="s">
        <v>195</v>
      </c>
      <c r="C296" s="2" t="s">
        <v>196</v>
      </c>
      <c r="D296" s="2" t="s">
        <v>374</v>
      </c>
      <c r="E296" s="2" t="s">
        <v>717</v>
      </c>
      <c r="F296" s="3">
        <f t="shared" si="49"/>
        <v>44868</v>
      </c>
      <c r="G296" s="4">
        <f t="shared" si="41"/>
        <v>11</v>
      </c>
      <c r="H296" s="4">
        <f t="shared" si="42"/>
        <v>2022</v>
      </c>
      <c r="I296" s="2" t="s">
        <v>4</v>
      </c>
      <c r="J296" s="2" t="s">
        <v>718</v>
      </c>
      <c r="K296" s="2" t="s">
        <v>122</v>
      </c>
      <c r="L296" s="2" t="s">
        <v>123</v>
      </c>
      <c r="M296" s="2" t="s">
        <v>119</v>
      </c>
      <c r="N296" s="4" t="str">
        <f t="shared" si="43"/>
        <v>TON</v>
      </c>
      <c r="O296" s="5">
        <v>10.0275</v>
      </c>
      <c r="Q296" t="str">
        <f t="shared" si="44"/>
        <v>MAC528YZ</v>
      </c>
      <c r="R296" t="str">
        <f t="shared" si="45"/>
        <v>Dyna Flo 5-2-8 YZ</v>
      </c>
      <c r="S296" s="32">
        <f t="shared" si="46"/>
        <v>395.40750000000003</v>
      </c>
      <c r="U296" t="s">
        <v>123</v>
      </c>
      <c r="V296" s="32">
        <v>395.40750000000003</v>
      </c>
    </row>
    <row r="297" spans="2:22" x14ac:dyDescent="0.25">
      <c r="B297" s="1" t="s">
        <v>195</v>
      </c>
      <c r="C297" s="2" t="s">
        <v>196</v>
      </c>
      <c r="D297" s="2" t="s">
        <v>326</v>
      </c>
      <c r="E297" s="2" t="s">
        <v>719</v>
      </c>
      <c r="F297" s="3">
        <f t="shared" si="49"/>
        <v>44868</v>
      </c>
      <c r="G297" s="4">
        <f t="shared" si="41"/>
        <v>11</v>
      </c>
      <c r="H297" s="4">
        <f t="shared" si="42"/>
        <v>2022</v>
      </c>
      <c r="I297" s="2" t="s">
        <v>4</v>
      </c>
      <c r="J297" s="2" t="s">
        <v>720</v>
      </c>
      <c r="K297" s="2" t="s">
        <v>329</v>
      </c>
      <c r="L297" s="2" t="s">
        <v>330</v>
      </c>
      <c r="M297" s="2" t="s">
        <v>119</v>
      </c>
      <c r="N297" s="4" t="str">
        <f t="shared" si="43"/>
        <v>TON</v>
      </c>
      <c r="O297" s="5">
        <v>7.0025000000000004</v>
      </c>
      <c r="Q297" t="str">
        <f t="shared" si="44"/>
        <v>MAC628YM8</v>
      </c>
      <c r="R297" t="str">
        <f t="shared" si="45"/>
        <v>Dyna Flo 6-2-8YM8</v>
      </c>
      <c r="S297" s="32">
        <f t="shared" si="46"/>
        <v>247.51499999999996</v>
      </c>
      <c r="U297" t="s">
        <v>330</v>
      </c>
      <c r="V297" s="32">
        <v>247.51499999999996</v>
      </c>
    </row>
    <row r="298" spans="2:22" x14ac:dyDescent="0.25">
      <c r="B298" s="1" t="s">
        <v>195</v>
      </c>
      <c r="C298" s="2" t="s">
        <v>196</v>
      </c>
      <c r="D298" s="2" t="s">
        <v>721</v>
      </c>
      <c r="E298" s="2" t="s">
        <v>722</v>
      </c>
      <c r="F298" s="3">
        <f t="shared" ref="F298:F304" si="50">DATE(2022,11,4)</f>
        <v>44869</v>
      </c>
      <c r="G298" s="4">
        <f t="shared" si="41"/>
        <v>11</v>
      </c>
      <c r="H298" s="4">
        <f t="shared" si="42"/>
        <v>2022</v>
      </c>
      <c r="I298" s="2" t="s">
        <v>4</v>
      </c>
      <c r="J298" s="2" t="s">
        <v>723</v>
      </c>
      <c r="K298" s="2" t="s">
        <v>422</v>
      </c>
      <c r="L298" s="2" t="s">
        <v>423</v>
      </c>
      <c r="M298" s="2" t="s">
        <v>119</v>
      </c>
      <c r="N298" s="4" t="str">
        <f t="shared" si="43"/>
        <v>TON</v>
      </c>
      <c r="O298" s="5">
        <v>2.5</v>
      </c>
      <c r="Q298" t="str">
        <f t="shared" si="44"/>
        <v>MAC527YM18</v>
      </c>
      <c r="R298" t="str">
        <f t="shared" si="45"/>
        <v>Dyna Flo 5-2-7YM18</v>
      </c>
      <c r="S298" s="32">
        <f t="shared" si="46"/>
        <v>35.25</v>
      </c>
      <c r="U298" t="s">
        <v>423</v>
      </c>
      <c r="V298" s="32">
        <v>35.25</v>
      </c>
    </row>
    <row r="299" spans="2:22" x14ac:dyDescent="0.25">
      <c r="B299" s="1" t="s">
        <v>195</v>
      </c>
      <c r="C299" s="2" t="s">
        <v>196</v>
      </c>
      <c r="D299" s="2" t="s">
        <v>294</v>
      </c>
      <c r="E299" s="2" t="s">
        <v>295</v>
      </c>
      <c r="F299" s="3">
        <f t="shared" si="50"/>
        <v>44869</v>
      </c>
      <c r="G299" s="4">
        <f t="shared" si="41"/>
        <v>11</v>
      </c>
      <c r="H299" s="4">
        <f t="shared" si="42"/>
        <v>2022</v>
      </c>
      <c r="I299" s="2" t="s">
        <v>4</v>
      </c>
      <c r="J299" s="2" t="s">
        <v>724</v>
      </c>
      <c r="K299" s="2" t="s">
        <v>122</v>
      </c>
      <c r="L299" s="2" t="s">
        <v>123</v>
      </c>
      <c r="M299" s="2" t="s">
        <v>119</v>
      </c>
      <c r="N299" s="4" t="str">
        <f t="shared" si="43"/>
        <v>TON</v>
      </c>
      <c r="O299" s="5">
        <v>7.5075000000000003</v>
      </c>
      <c r="Q299" t="str">
        <f t="shared" si="44"/>
        <v>MAC528YZ</v>
      </c>
      <c r="R299" t="str">
        <f t="shared" si="45"/>
        <v>Dyna Flo 5-2-8 YZ</v>
      </c>
      <c r="S299" s="32">
        <f t="shared" si="46"/>
        <v>395.40750000000003</v>
      </c>
      <c r="U299" t="s">
        <v>123</v>
      </c>
      <c r="V299" s="32">
        <v>395.40750000000003</v>
      </c>
    </row>
    <row r="300" spans="2:22" x14ac:dyDescent="0.25">
      <c r="B300" s="1" t="s">
        <v>195</v>
      </c>
      <c r="C300" s="2" t="s">
        <v>196</v>
      </c>
      <c r="D300" s="2" t="s">
        <v>321</v>
      </c>
      <c r="E300" s="2" t="s">
        <v>725</v>
      </c>
      <c r="F300" s="3">
        <f t="shared" si="50"/>
        <v>44869</v>
      </c>
      <c r="G300" s="4">
        <f t="shared" si="41"/>
        <v>11</v>
      </c>
      <c r="H300" s="4">
        <f t="shared" si="42"/>
        <v>2022</v>
      </c>
      <c r="I300" s="2" t="s">
        <v>4</v>
      </c>
      <c r="J300" s="2" t="s">
        <v>726</v>
      </c>
      <c r="K300" s="2" t="s">
        <v>324</v>
      </c>
      <c r="L300" s="2" t="s">
        <v>325</v>
      </c>
      <c r="M300" s="2" t="s">
        <v>119</v>
      </c>
      <c r="N300" s="4" t="str">
        <f t="shared" si="43"/>
        <v>TON</v>
      </c>
      <c r="O300" s="5">
        <v>9.9924999999999997</v>
      </c>
      <c r="Q300" t="str">
        <f t="shared" si="44"/>
        <v>MAC737YM</v>
      </c>
      <c r="R300" t="str">
        <f t="shared" si="45"/>
        <v>Dyna Flo 7-3-7 YM</v>
      </c>
      <c r="S300" s="32">
        <f t="shared" si="46"/>
        <v>99.21250000000002</v>
      </c>
      <c r="U300" t="s">
        <v>325</v>
      </c>
      <c r="V300" s="32">
        <v>99.21250000000002</v>
      </c>
    </row>
    <row r="301" spans="2:22" x14ac:dyDescent="0.25">
      <c r="B301" s="1" t="s">
        <v>195</v>
      </c>
      <c r="C301" s="2" t="s">
        <v>196</v>
      </c>
      <c r="D301" s="2" t="s">
        <v>265</v>
      </c>
      <c r="E301" s="2" t="s">
        <v>266</v>
      </c>
      <c r="F301" s="3">
        <f t="shared" si="50"/>
        <v>44869</v>
      </c>
      <c r="G301" s="4">
        <f t="shared" si="41"/>
        <v>11</v>
      </c>
      <c r="H301" s="4">
        <f t="shared" si="42"/>
        <v>2022</v>
      </c>
      <c r="I301" s="2" t="s">
        <v>4</v>
      </c>
      <c r="J301" s="2" t="s">
        <v>727</v>
      </c>
      <c r="K301" s="2" t="s">
        <v>268</v>
      </c>
      <c r="L301" s="2" t="s">
        <v>269</v>
      </c>
      <c r="M301" s="2" t="s">
        <v>119</v>
      </c>
      <c r="N301" s="4" t="str">
        <f t="shared" si="43"/>
        <v>TON</v>
      </c>
      <c r="O301" s="5">
        <v>0.15</v>
      </c>
      <c r="Q301" t="str">
        <f t="shared" si="44"/>
        <v>MAC927YM1</v>
      </c>
      <c r="R301" t="str">
        <f t="shared" si="45"/>
        <v>Dyna Flo 9-2-7YM1</v>
      </c>
      <c r="S301" s="32">
        <f t="shared" si="46"/>
        <v>2.5249999999999995</v>
      </c>
      <c r="U301" t="s">
        <v>269</v>
      </c>
      <c r="V301" s="32">
        <v>2.5249999999999995</v>
      </c>
    </row>
    <row r="302" spans="2:22" x14ac:dyDescent="0.25">
      <c r="B302" s="1" t="s">
        <v>195</v>
      </c>
      <c r="C302" s="2" t="s">
        <v>196</v>
      </c>
      <c r="D302" s="2" t="s">
        <v>262</v>
      </c>
      <c r="E302" s="2" t="s">
        <v>728</v>
      </c>
      <c r="F302" s="3">
        <f t="shared" si="50"/>
        <v>44869</v>
      </c>
      <c r="G302" s="4">
        <f t="shared" si="41"/>
        <v>11</v>
      </c>
      <c r="H302" s="4">
        <f t="shared" si="42"/>
        <v>2022</v>
      </c>
      <c r="I302" s="2" t="s">
        <v>4</v>
      </c>
      <c r="J302" s="2" t="s">
        <v>729</v>
      </c>
      <c r="K302" s="2" t="s">
        <v>329</v>
      </c>
      <c r="L302" s="2" t="s">
        <v>330</v>
      </c>
      <c r="M302" s="2" t="s">
        <v>119</v>
      </c>
      <c r="N302" s="4" t="str">
        <f t="shared" si="43"/>
        <v>TON</v>
      </c>
      <c r="O302" s="5">
        <v>12.7525</v>
      </c>
      <c r="Q302" t="str">
        <f t="shared" si="44"/>
        <v>MAC628YM8</v>
      </c>
      <c r="R302" t="str">
        <f t="shared" si="45"/>
        <v>Dyna Flo 6-2-8YM8</v>
      </c>
      <c r="S302" s="32">
        <f t="shared" si="46"/>
        <v>247.51499999999996</v>
      </c>
      <c r="U302" t="s">
        <v>330</v>
      </c>
      <c r="V302" s="32">
        <v>247.51499999999996</v>
      </c>
    </row>
    <row r="303" spans="2:22" x14ac:dyDescent="0.25">
      <c r="B303" s="1" t="s">
        <v>195</v>
      </c>
      <c r="C303" s="2" t="s">
        <v>196</v>
      </c>
      <c r="D303" s="2" t="s">
        <v>114</v>
      </c>
      <c r="E303" s="2" t="s">
        <v>336</v>
      </c>
      <c r="F303" s="3">
        <f t="shared" si="50"/>
        <v>44869</v>
      </c>
      <c r="G303" s="4">
        <f t="shared" si="41"/>
        <v>11</v>
      </c>
      <c r="H303" s="4">
        <f t="shared" si="42"/>
        <v>2022</v>
      </c>
      <c r="I303" s="2" t="s">
        <v>4</v>
      </c>
      <c r="J303" s="2" t="s">
        <v>730</v>
      </c>
      <c r="K303" s="2" t="s">
        <v>117</v>
      </c>
      <c r="L303" s="2" t="s">
        <v>118</v>
      </c>
      <c r="M303" s="2" t="s">
        <v>119</v>
      </c>
      <c r="N303" s="4" t="str">
        <f t="shared" si="43"/>
        <v>TON</v>
      </c>
      <c r="O303" s="5">
        <v>7.5049999999999999</v>
      </c>
      <c r="Q303" t="str">
        <f t="shared" si="44"/>
        <v>MAC428YM8</v>
      </c>
      <c r="R303" t="str">
        <f t="shared" si="45"/>
        <v>Dyna Flo 4-2-8YM8</v>
      </c>
      <c r="S303" s="32">
        <f t="shared" si="46"/>
        <v>517.73950000000002</v>
      </c>
      <c r="U303" t="s">
        <v>118</v>
      </c>
      <c r="V303" s="32">
        <v>517.73950000000002</v>
      </c>
    </row>
    <row r="304" spans="2:22" x14ac:dyDescent="0.25">
      <c r="B304" s="1" t="s">
        <v>195</v>
      </c>
      <c r="C304" s="2" t="s">
        <v>196</v>
      </c>
      <c r="D304" s="2" t="s">
        <v>289</v>
      </c>
      <c r="E304" s="2" t="s">
        <v>290</v>
      </c>
      <c r="F304" s="3">
        <f t="shared" si="50"/>
        <v>44869</v>
      </c>
      <c r="G304" s="4">
        <f t="shared" si="41"/>
        <v>11</v>
      </c>
      <c r="H304" s="4">
        <f t="shared" si="42"/>
        <v>2022</v>
      </c>
      <c r="I304" s="2" t="s">
        <v>4</v>
      </c>
      <c r="J304" s="2" t="s">
        <v>731</v>
      </c>
      <c r="K304" s="2" t="s">
        <v>292</v>
      </c>
      <c r="L304" s="2" t="s">
        <v>293</v>
      </c>
      <c r="M304" s="2" t="s">
        <v>119</v>
      </c>
      <c r="N304" s="4" t="str">
        <f t="shared" si="43"/>
        <v>TON</v>
      </c>
      <c r="O304" s="5">
        <v>1.5</v>
      </c>
      <c r="Q304" t="str">
        <f t="shared" si="44"/>
        <v>MAC608YB5</v>
      </c>
      <c r="R304" t="str">
        <f t="shared" si="45"/>
        <v>Dyna Flo 6-0-8 YB5</v>
      </c>
      <c r="S304" s="32">
        <f t="shared" si="46"/>
        <v>78.175000000000011</v>
      </c>
      <c r="U304" t="s">
        <v>293</v>
      </c>
      <c r="V304" s="32">
        <v>78.175000000000011</v>
      </c>
    </row>
    <row r="305" spans="2:22" x14ac:dyDescent="0.25">
      <c r="B305" s="1" t="s">
        <v>195</v>
      </c>
      <c r="C305" s="2" t="s">
        <v>196</v>
      </c>
      <c r="D305" s="2" t="s">
        <v>440</v>
      </c>
      <c r="E305" s="2" t="s">
        <v>441</v>
      </c>
      <c r="F305" s="3">
        <f t="shared" ref="F305:F311" si="51">DATE(2022,11,5)</f>
        <v>44870</v>
      </c>
      <c r="G305" s="4">
        <f t="shared" si="41"/>
        <v>11</v>
      </c>
      <c r="H305" s="4">
        <f t="shared" si="42"/>
        <v>2022</v>
      </c>
      <c r="I305" s="2" t="s">
        <v>4</v>
      </c>
      <c r="J305" s="2" t="s">
        <v>732</v>
      </c>
      <c r="K305" s="2" t="s">
        <v>122</v>
      </c>
      <c r="L305" s="2" t="s">
        <v>123</v>
      </c>
      <c r="M305" s="2" t="s">
        <v>119</v>
      </c>
      <c r="N305" s="4" t="str">
        <f t="shared" si="43"/>
        <v>TON</v>
      </c>
      <c r="O305" s="5">
        <v>15.035</v>
      </c>
      <c r="Q305" t="str">
        <f t="shared" si="44"/>
        <v>MAC528YZ</v>
      </c>
      <c r="R305" t="str">
        <f t="shared" si="45"/>
        <v>Dyna Flo 5-2-8 YZ</v>
      </c>
      <c r="S305" s="32">
        <f t="shared" si="46"/>
        <v>395.40750000000003</v>
      </c>
      <c r="U305" t="s">
        <v>123</v>
      </c>
      <c r="V305" s="32">
        <v>395.40750000000003</v>
      </c>
    </row>
    <row r="306" spans="2:22" x14ac:dyDescent="0.25">
      <c r="B306" s="1" t="s">
        <v>195</v>
      </c>
      <c r="C306" s="2" t="s">
        <v>196</v>
      </c>
      <c r="D306" s="2" t="s">
        <v>227</v>
      </c>
      <c r="E306" s="2" t="s">
        <v>56</v>
      </c>
      <c r="F306" s="3">
        <f t="shared" si="51"/>
        <v>44870</v>
      </c>
      <c r="G306" s="4">
        <f t="shared" si="41"/>
        <v>11</v>
      </c>
      <c r="H306" s="4">
        <f t="shared" si="42"/>
        <v>2022</v>
      </c>
      <c r="I306" s="2" t="s">
        <v>4</v>
      </c>
      <c r="J306" s="2" t="s">
        <v>733</v>
      </c>
      <c r="K306" s="2" t="s">
        <v>329</v>
      </c>
      <c r="L306" s="2" t="s">
        <v>330</v>
      </c>
      <c r="M306" s="2" t="s">
        <v>119</v>
      </c>
      <c r="N306" s="4" t="str">
        <f t="shared" si="43"/>
        <v>TON</v>
      </c>
      <c r="O306" s="5">
        <v>1.0049999999999999</v>
      </c>
      <c r="Q306" t="str">
        <f t="shared" si="44"/>
        <v>MAC628YM8</v>
      </c>
      <c r="R306" t="str">
        <f t="shared" si="45"/>
        <v>Dyna Flo 6-2-8YM8</v>
      </c>
      <c r="S306" s="32">
        <f t="shared" si="46"/>
        <v>247.51499999999996</v>
      </c>
      <c r="U306" t="s">
        <v>330</v>
      </c>
      <c r="V306" s="32">
        <v>247.51499999999996</v>
      </c>
    </row>
    <row r="307" spans="2:22" x14ac:dyDescent="0.25">
      <c r="B307" s="1" t="s">
        <v>195</v>
      </c>
      <c r="C307" s="2" t="s">
        <v>196</v>
      </c>
      <c r="D307" s="2" t="s">
        <v>114</v>
      </c>
      <c r="E307" s="2" t="s">
        <v>402</v>
      </c>
      <c r="F307" s="3">
        <f t="shared" si="51"/>
        <v>44870</v>
      </c>
      <c r="G307" s="4">
        <f t="shared" si="41"/>
        <v>11</v>
      </c>
      <c r="H307" s="4">
        <f t="shared" si="42"/>
        <v>2022</v>
      </c>
      <c r="I307" s="2" t="s">
        <v>4</v>
      </c>
      <c r="J307" s="2" t="s">
        <v>734</v>
      </c>
      <c r="K307" s="2" t="s">
        <v>117</v>
      </c>
      <c r="L307" s="2" t="s">
        <v>118</v>
      </c>
      <c r="M307" s="2" t="s">
        <v>119</v>
      </c>
      <c r="N307" s="4" t="str">
        <f t="shared" si="43"/>
        <v>TON</v>
      </c>
      <c r="O307" s="5">
        <v>9.5024999999999995</v>
      </c>
      <c r="Q307" t="str">
        <f t="shared" si="44"/>
        <v>MAC428YM8</v>
      </c>
      <c r="R307" t="str">
        <f t="shared" si="45"/>
        <v>Dyna Flo 4-2-8YM8</v>
      </c>
      <c r="S307" s="32">
        <f t="shared" si="46"/>
        <v>517.73950000000002</v>
      </c>
      <c r="U307" t="s">
        <v>118</v>
      </c>
      <c r="V307" s="32">
        <v>517.73950000000002</v>
      </c>
    </row>
    <row r="308" spans="2:22" x14ac:dyDescent="0.25">
      <c r="B308" s="1" t="s">
        <v>195</v>
      </c>
      <c r="C308" s="2" t="s">
        <v>196</v>
      </c>
      <c r="D308" s="2" t="s">
        <v>248</v>
      </c>
      <c r="E308" s="2" t="s">
        <v>735</v>
      </c>
      <c r="F308" s="3">
        <f t="shared" si="51"/>
        <v>44870</v>
      </c>
      <c r="G308" s="4">
        <f t="shared" si="41"/>
        <v>11</v>
      </c>
      <c r="H308" s="4">
        <f t="shared" si="42"/>
        <v>2022</v>
      </c>
      <c r="I308" s="2" t="s">
        <v>4</v>
      </c>
      <c r="J308" s="2" t="s">
        <v>736</v>
      </c>
      <c r="K308" s="2" t="s">
        <v>339</v>
      </c>
      <c r="L308" s="2" t="s">
        <v>340</v>
      </c>
      <c r="M308" s="2" t="s">
        <v>119</v>
      </c>
      <c r="N308" s="4" t="str">
        <f t="shared" si="43"/>
        <v>TON</v>
      </c>
      <c r="O308" s="5">
        <v>14.987500000000001</v>
      </c>
      <c r="Q308" t="str">
        <f t="shared" si="44"/>
        <v>MAC523YP1</v>
      </c>
      <c r="R308" t="str">
        <f t="shared" si="45"/>
        <v>Dyna Flo 5-2-3 YP1</v>
      </c>
      <c r="S308" s="32">
        <f t="shared" si="46"/>
        <v>58.015000000000001</v>
      </c>
      <c r="U308" t="s">
        <v>340</v>
      </c>
      <c r="V308" s="32">
        <v>58.015000000000001</v>
      </c>
    </row>
    <row r="309" spans="2:22" x14ac:dyDescent="0.25">
      <c r="B309" s="1" t="s">
        <v>195</v>
      </c>
      <c r="C309" s="2" t="s">
        <v>196</v>
      </c>
      <c r="D309" s="2" t="s">
        <v>310</v>
      </c>
      <c r="E309" s="2" t="s">
        <v>355</v>
      </c>
      <c r="F309" s="3">
        <f t="shared" si="51"/>
        <v>44870</v>
      </c>
      <c r="G309" s="4">
        <f t="shared" si="41"/>
        <v>11</v>
      </c>
      <c r="H309" s="4">
        <f t="shared" si="42"/>
        <v>2022</v>
      </c>
      <c r="I309" s="2" t="s">
        <v>4</v>
      </c>
      <c r="J309" s="2" t="s">
        <v>737</v>
      </c>
      <c r="K309" s="2" t="s">
        <v>329</v>
      </c>
      <c r="L309" s="2" t="s">
        <v>330</v>
      </c>
      <c r="M309" s="2" t="s">
        <v>119</v>
      </c>
      <c r="N309" s="4" t="str">
        <f t="shared" si="43"/>
        <v>TON</v>
      </c>
      <c r="O309" s="5">
        <v>1.9850000000000001</v>
      </c>
      <c r="Q309" t="str">
        <f t="shared" si="44"/>
        <v>MAC628YM8</v>
      </c>
      <c r="R309" t="str">
        <f t="shared" si="45"/>
        <v>Dyna Flo 6-2-8YM8</v>
      </c>
      <c r="S309" s="32">
        <f t="shared" si="46"/>
        <v>247.51499999999996</v>
      </c>
      <c r="U309" t="s">
        <v>330</v>
      </c>
      <c r="V309" s="32">
        <v>247.51499999999996</v>
      </c>
    </row>
    <row r="310" spans="2:22" x14ac:dyDescent="0.25">
      <c r="B310" s="1" t="s">
        <v>195</v>
      </c>
      <c r="C310" s="2" t="s">
        <v>196</v>
      </c>
      <c r="D310" s="2" t="s">
        <v>437</v>
      </c>
      <c r="E310" s="2" t="s">
        <v>738</v>
      </c>
      <c r="F310" s="3">
        <f t="shared" si="51"/>
        <v>44870</v>
      </c>
      <c r="G310" s="4">
        <f t="shared" si="41"/>
        <v>11</v>
      </c>
      <c r="H310" s="4">
        <f t="shared" si="42"/>
        <v>2022</v>
      </c>
      <c r="I310" s="2" t="s">
        <v>4</v>
      </c>
      <c r="J310" s="2" t="s">
        <v>739</v>
      </c>
      <c r="K310" s="2" t="s">
        <v>205</v>
      </c>
      <c r="L310" s="2" t="s">
        <v>206</v>
      </c>
      <c r="M310" s="2" t="s">
        <v>119</v>
      </c>
      <c r="N310" s="4" t="str">
        <f t="shared" si="43"/>
        <v>TON</v>
      </c>
      <c r="O310" s="5">
        <v>2.5125000000000002</v>
      </c>
      <c r="Q310" t="str">
        <f t="shared" si="44"/>
        <v>MAC927YM3</v>
      </c>
      <c r="R310" t="str">
        <f t="shared" si="45"/>
        <v>Dyna Flo 9-2-7YM3</v>
      </c>
      <c r="S310" s="32">
        <f t="shared" si="46"/>
        <v>284.6674999999999</v>
      </c>
      <c r="U310" t="s">
        <v>206</v>
      </c>
      <c r="V310" s="32">
        <v>284.6674999999999</v>
      </c>
    </row>
    <row r="311" spans="2:22" x14ac:dyDescent="0.25">
      <c r="B311" s="1" t="s">
        <v>195</v>
      </c>
      <c r="C311" s="2" t="s">
        <v>196</v>
      </c>
      <c r="D311" s="2" t="s">
        <v>232</v>
      </c>
      <c r="E311" s="2" t="s">
        <v>233</v>
      </c>
      <c r="F311" s="3">
        <f t="shared" si="51"/>
        <v>44870</v>
      </c>
      <c r="G311" s="4">
        <f t="shared" si="41"/>
        <v>11</v>
      </c>
      <c r="H311" s="4">
        <f t="shared" si="42"/>
        <v>2022</v>
      </c>
      <c r="I311" s="2" t="s">
        <v>4</v>
      </c>
      <c r="J311" s="2" t="s">
        <v>740</v>
      </c>
      <c r="K311" s="2" t="s">
        <v>205</v>
      </c>
      <c r="L311" s="2" t="s">
        <v>206</v>
      </c>
      <c r="M311" s="2" t="s">
        <v>119</v>
      </c>
      <c r="N311" s="4" t="str">
        <f t="shared" si="43"/>
        <v>TON</v>
      </c>
      <c r="O311" s="5">
        <v>5</v>
      </c>
      <c r="Q311" t="str">
        <f t="shared" si="44"/>
        <v>MAC927YM3</v>
      </c>
      <c r="R311" t="str">
        <f t="shared" si="45"/>
        <v>Dyna Flo 9-2-7YM3</v>
      </c>
      <c r="S311" s="32">
        <f t="shared" si="46"/>
        <v>284.6674999999999</v>
      </c>
      <c r="U311" t="s">
        <v>206</v>
      </c>
      <c r="V311" s="32">
        <v>284.6674999999999</v>
      </c>
    </row>
    <row r="312" spans="2:22" x14ac:dyDescent="0.25">
      <c r="B312" s="1" t="s">
        <v>195</v>
      </c>
      <c r="C312" s="2" t="s">
        <v>196</v>
      </c>
      <c r="D312" s="2" t="s">
        <v>270</v>
      </c>
      <c r="E312" s="2" t="s">
        <v>699</v>
      </c>
      <c r="F312" s="3">
        <f>DATE(2022,11,7)</f>
        <v>44872</v>
      </c>
      <c r="G312" s="4">
        <f t="shared" si="41"/>
        <v>11</v>
      </c>
      <c r="H312" s="4">
        <f t="shared" si="42"/>
        <v>2022</v>
      </c>
      <c r="I312" s="2" t="s">
        <v>4</v>
      </c>
      <c r="J312" s="2" t="s">
        <v>741</v>
      </c>
      <c r="K312" s="2" t="s">
        <v>205</v>
      </c>
      <c r="L312" s="2" t="s">
        <v>206</v>
      </c>
      <c r="M312" s="2" t="s">
        <v>119</v>
      </c>
      <c r="N312" s="4" t="str">
        <f t="shared" si="43"/>
        <v>TON</v>
      </c>
      <c r="O312" s="5">
        <v>2.25</v>
      </c>
      <c r="Q312" t="str">
        <f t="shared" si="44"/>
        <v>MAC927YM3</v>
      </c>
      <c r="R312" t="str">
        <f t="shared" si="45"/>
        <v>Dyna Flo 9-2-7YM3</v>
      </c>
      <c r="S312" s="32">
        <f t="shared" si="46"/>
        <v>284.6674999999999</v>
      </c>
      <c r="U312" t="s">
        <v>206</v>
      </c>
      <c r="V312" s="32">
        <v>284.6674999999999</v>
      </c>
    </row>
    <row r="313" spans="2:22" x14ac:dyDescent="0.25">
      <c r="B313" s="1" t="s">
        <v>195</v>
      </c>
      <c r="C313" s="2" t="s">
        <v>196</v>
      </c>
      <c r="D313" s="2" t="s">
        <v>114</v>
      </c>
      <c r="E313" s="2" t="s">
        <v>369</v>
      </c>
      <c r="F313" s="3">
        <f>DATE(2022,11,7)</f>
        <v>44872</v>
      </c>
      <c r="G313" s="4">
        <f t="shared" si="41"/>
        <v>11</v>
      </c>
      <c r="H313" s="4">
        <f t="shared" si="42"/>
        <v>2022</v>
      </c>
      <c r="I313" s="2" t="s">
        <v>4</v>
      </c>
      <c r="J313" s="2" t="s">
        <v>742</v>
      </c>
      <c r="K313" s="2" t="s">
        <v>117</v>
      </c>
      <c r="L313" s="2" t="s">
        <v>118</v>
      </c>
      <c r="M313" s="2" t="s">
        <v>119</v>
      </c>
      <c r="N313" s="4" t="str">
        <f t="shared" si="43"/>
        <v>TON</v>
      </c>
      <c r="O313" s="5">
        <v>10</v>
      </c>
      <c r="Q313" t="str">
        <f t="shared" si="44"/>
        <v>MAC428YM8</v>
      </c>
      <c r="R313" t="str">
        <f t="shared" si="45"/>
        <v>Dyna Flo 4-2-8YM8</v>
      </c>
      <c r="S313" s="32">
        <f t="shared" si="46"/>
        <v>517.73950000000002</v>
      </c>
      <c r="U313" t="s">
        <v>118</v>
      </c>
      <c r="V313" s="32">
        <v>517.73950000000002</v>
      </c>
    </row>
    <row r="314" spans="2:22" x14ac:dyDescent="0.25">
      <c r="B314" s="1" t="s">
        <v>195</v>
      </c>
      <c r="C314" s="2" t="s">
        <v>196</v>
      </c>
      <c r="D314" s="2" t="s">
        <v>114</v>
      </c>
      <c r="E314" s="2" t="s">
        <v>274</v>
      </c>
      <c r="F314" s="3">
        <f>DATE(2022,11,7)</f>
        <v>44872</v>
      </c>
      <c r="G314" s="4">
        <f t="shared" si="41"/>
        <v>11</v>
      </c>
      <c r="H314" s="4">
        <f t="shared" si="42"/>
        <v>2022</v>
      </c>
      <c r="I314" s="2" t="s">
        <v>4</v>
      </c>
      <c r="J314" s="2" t="s">
        <v>743</v>
      </c>
      <c r="K314" s="2" t="s">
        <v>117</v>
      </c>
      <c r="L314" s="2" t="s">
        <v>118</v>
      </c>
      <c r="M314" s="2" t="s">
        <v>119</v>
      </c>
      <c r="N314" s="4" t="str">
        <f t="shared" si="43"/>
        <v>TON</v>
      </c>
      <c r="O314" s="5">
        <v>4</v>
      </c>
      <c r="Q314" t="str">
        <f t="shared" si="44"/>
        <v>MAC428YM8</v>
      </c>
      <c r="R314" t="str">
        <f t="shared" si="45"/>
        <v>Dyna Flo 4-2-8YM8</v>
      </c>
      <c r="S314" s="32">
        <f t="shared" si="46"/>
        <v>517.73950000000002</v>
      </c>
      <c r="U314" t="s">
        <v>118</v>
      </c>
      <c r="V314" s="32">
        <v>517.73950000000002</v>
      </c>
    </row>
    <row r="315" spans="2:22" x14ac:dyDescent="0.25">
      <c r="B315" s="1" t="s">
        <v>195</v>
      </c>
      <c r="C315" s="2" t="s">
        <v>196</v>
      </c>
      <c r="D315" s="2" t="s">
        <v>317</v>
      </c>
      <c r="E315" s="2" t="s">
        <v>744</v>
      </c>
      <c r="F315" s="3">
        <f>DATE(2022,11,7)</f>
        <v>44872</v>
      </c>
      <c r="G315" s="4">
        <f t="shared" si="41"/>
        <v>11</v>
      </c>
      <c r="H315" s="4">
        <f t="shared" si="42"/>
        <v>2022</v>
      </c>
      <c r="I315" s="2" t="s">
        <v>4</v>
      </c>
      <c r="J315" s="2" t="s">
        <v>745</v>
      </c>
      <c r="K315" s="2" t="s">
        <v>117</v>
      </c>
      <c r="L315" s="2" t="s">
        <v>118</v>
      </c>
      <c r="M315" s="2" t="s">
        <v>119</v>
      </c>
      <c r="N315" s="4" t="str">
        <f t="shared" si="43"/>
        <v>TON</v>
      </c>
      <c r="O315" s="5">
        <v>5.0049999999999999</v>
      </c>
      <c r="Q315" t="str">
        <f t="shared" si="44"/>
        <v>MAC428YM8</v>
      </c>
      <c r="R315" t="str">
        <f t="shared" si="45"/>
        <v>Dyna Flo 4-2-8YM8</v>
      </c>
      <c r="S315" s="32">
        <f t="shared" si="46"/>
        <v>517.73950000000002</v>
      </c>
      <c r="U315" t="s">
        <v>118</v>
      </c>
      <c r="V315" s="32">
        <v>517.73950000000002</v>
      </c>
    </row>
    <row r="316" spans="2:22" x14ac:dyDescent="0.25">
      <c r="B316" s="1" t="s">
        <v>195</v>
      </c>
      <c r="C316" s="2" t="s">
        <v>196</v>
      </c>
      <c r="D316" s="2" t="s">
        <v>227</v>
      </c>
      <c r="E316" s="2" t="s">
        <v>228</v>
      </c>
      <c r="F316" s="3">
        <f>DATE(2022,11,7)</f>
        <v>44872</v>
      </c>
      <c r="G316" s="4">
        <f t="shared" si="41"/>
        <v>11</v>
      </c>
      <c r="H316" s="4">
        <f t="shared" si="42"/>
        <v>2022</v>
      </c>
      <c r="I316" s="2" t="s">
        <v>4</v>
      </c>
      <c r="J316" s="2" t="s">
        <v>746</v>
      </c>
      <c r="K316" s="2" t="s">
        <v>329</v>
      </c>
      <c r="L316" s="2" t="s">
        <v>330</v>
      </c>
      <c r="M316" s="2" t="s">
        <v>119</v>
      </c>
      <c r="N316" s="4" t="str">
        <f t="shared" si="43"/>
        <v>TON</v>
      </c>
      <c r="O316" s="5">
        <v>5</v>
      </c>
      <c r="Q316" t="str">
        <f t="shared" si="44"/>
        <v>MAC628YM8</v>
      </c>
      <c r="R316" t="str">
        <f t="shared" si="45"/>
        <v>Dyna Flo 6-2-8YM8</v>
      </c>
      <c r="S316" s="32">
        <f t="shared" si="46"/>
        <v>247.51499999999996</v>
      </c>
      <c r="U316" t="s">
        <v>330</v>
      </c>
      <c r="V316" s="32">
        <v>247.51499999999996</v>
      </c>
    </row>
    <row r="317" spans="2:22" x14ac:dyDescent="0.25">
      <c r="B317" s="1" t="s">
        <v>195</v>
      </c>
      <c r="C317" s="2" t="s">
        <v>196</v>
      </c>
      <c r="D317" s="2" t="s">
        <v>262</v>
      </c>
      <c r="E317" s="2" t="s">
        <v>747</v>
      </c>
      <c r="F317" s="3">
        <f t="shared" ref="F317:F323" si="52">DATE(2022,11,8)</f>
        <v>44873</v>
      </c>
      <c r="G317" s="4">
        <f t="shared" si="41"/>
        <v>11</v>
      </c>
      <c r="H317" s="4">
        <f t="shared" si="42"/>
        <v>2022</v>
      </c>
      <c r="I317" s="2" t="s">
        <v>4</v>
      </c>
      <c r="J317" s="2" t="s">
        <v>748</v>
      </c>
      <c r="K317" s="2" t="s">
        <v>329</v>
      </c>
      <c r="L317" s="2" t="s">
        <v>330</v>
      </c>
      <c r="M317" s="2" t="s">
        <v>119</v>
      </c>
      <c r="N317" s="4" t="str">
        <f t="shared" si="43"/>
        <v>TON</v>
      </c>
      <c r="O317" s="5">
        <v>8.5374999999999996</v>
      </c>
      <c r="Q317" t="str">
        <f t="shared" si="44"/>
        <v>MAC628YM8</v>
      </c>
      <c r="R317" t="str">
        <f t="shared" si="45"/>
        <v>Dyna Flo 6-2-8YM8</v>
      </c>
      <c r="S317" s="32">
        <f t="shared" si="46"/>
        <v>247.51499999999996</v>
      </c>
      <c r="U317" t="s">
        <v>330</v>
      </c>
      <c r="V317" s="32">
        <v>247.51499999999996</v>
      </c>
    </row>
    <row r="318" spans="2:22" x14ac:dyDescent="0.25">
      <c r="B318" s="1" t="s">
        <v>195</v>
      </c>
      <c r="C318" s="2" t="s">
        <v>196</v>
      </c>
      <c r="D318" s="2" t="s">
        <v>299</v>
      </c>
      <c r="E318" s="2" t="s">
        <v>300</v>
      </c>
      <c r="F318" s="3">
        <f t="shared" si="52"/>
        <v>44873</v>
      </c>
      <c r="G318" s="4">
        <f t="shared" si="41"/>
        <v>11</v>
      </c>
      <c r="H318" s="4">
        <f t="shared" si="42"/>
        <v>2022</v>
      </c>
      <c r="I318" s="2" t="s">
        <v>4</v>
      </c>
      <c r="J318" s="2" t="s">
        <v>749</v>
      </c>
      <c r="K318" s="2" t="s">
        <v>117</v>
      </c>
      <c r="L318" s="2" t="s">
        <v>118</v>
      </c>
      <c r="M318" s="2" t="s">
        <v>119</v>
      </c>
      <c r="N318" s="4" t="str">
        <f t="shared" si="43"/>
        <v>TON</v>
      </c>
      <c r="O318" s="5">
        <v>10.02</v>
      </c>
      <c r="Q318" t="str">
        <f t="shared" si="44"/>
        <v>MAC428YM8</v>
      </c>
      <c r="R318" t="str">
        <f t="shared" si="45"/>
        <v>Dyna Flo 4-2-8YM8</v>
      </c>
      <c r="S318" s="32">
        <f t="shared" si="46"/>
        <v>517.73950000000002</v>
      </c>
      <c r="U318" t="s">
        <v>118</v>
      </c>
      <c r="V318" s="32">
        <v>517.73950000000002</v>
      </c>
    </row>
    <row r="319" spans="2:22" x14ac:dyDescent="0.25">
      <c r="B319" s="1" t="s">
        <v>195</v>
      </c>
      <c r="C319" s="2" t="s">
        <v>196</v>
      </c>
      <c r="D319" s="2" t="s">
        <v>669</v>
      </c>
      <c r="E319" s="2" t="s">
        <v>56</v>
      </c>
      <c r="F319" s="3">
        <f t="shared" si="52"/>
        <v>44873</v>
      </c>
      <c r="G319" s="4">
        <f t="shared" si="41"/>
        <v>11</v>
      </c>
      <c r="H319" s="4">
        <f t="shared" si="42"/>
        <v>2022</v>
      </c>
      <c r="I319" s="2" t="s">
        <v>4</v>
      </c>
      <c r="J319" s="2" t="s">
        <v>750</v>
      </c>
      <c r="K319" s="2" t="s">
        <v>205</v>
      </c>
      <c r="L319" s="2" t="s">
        <v>206</v>
      </c>
      <c r="M319" s="2" t="s">
        <v>119</v>
      </c>
      <c r="N319" s="4" t="str">
        <f t="shared" si="43"/>
        <v>TON</v>
      </c>
      <c r="O319" s="5">
        <v>6.5049999999999999</v>
      </c>
      <c r="Q319" t="str">
        <f t="shared" si="44"/>
        <v>MAC927YM3</v>
      </c>
      <c r="R319" t="str">
        <f t="shared" si="45"/>
        <v>Dyna Flo 9-2-7YM3</v>
      </c>
      <c r="S319" s="32">
        <f t="shared" si="46"/>
        <v>284.6674999999999</v>
      </c>
      <c r="U319" t="s">
        <v>206</v>
      </c>
      <c r="V319" s="32">
        <v>284.6674999999999</v>
      </c>
    </row>
    <row r="320" spans="2:22" x14ac:dyDescent="0.25">
      <c r="B320" s="1" t="s">
        <v>195</v>
      </c>
      <c r="C320" s="2" t="s">
        <v>196</v>
      </c>
      <c r="D320" s="2" t="s">
        <v>449</v>
      </c>
      <c r="E320" s="2" t="s">
        <v>751</v>
      </c>
      <c r="F320" s="3">
        <f t="shared" si="52"/>
        <v>44873</v>
      </c>
      <c r="G320" s="4">
        <f t="shared" si="41"/>
        <v>11</v>
      </c>
      <c r="H320" s="4">
        <f t="shared" si="42"/>
        <v>2022</v>
      </c>
      <c r="I320" s="2" t="s">
        <v>4</v>
      </c>
      <c r="J320" s="2" t="s">
        <v>752</v>
      </c>
      <c r="K320" s="2" t="s">
        <v>329</v>
      </c>
      <c r="L320" s="2" t="s">
        <v>330</v>
      </c>
      <c r="M320" s="2" t="s">
        <v>119</v>
      </c>
      <c r="N320" s="4" t="str">
        <f t="shared" si="43"/>
        <v>TON</v>
      </c>
      <c r="O320" s="5">
        <v>2.5125000000000002</v>
      </c>
      <c r="Q320" t="str">
        <f t="shared" si="44"/>
        <v>MAC628YM8</v>
      </c>
      <c r="R320" t="str">
        <f t="shared" si="45"/>
        <v>Dyna Flo 6-2-8YM8</v>
      </c>
      <c r="S320" s="32">
        <f t="shared" si="46"/>
        <v>247.51499999999996</v>
      </c>
      <c r="U320" t="s">
        <v>330</v>
      </c>
      <c r="V320" s="32">
        <v>247.51499999999996</v>
      </c>
    </row>
    <row r="321" spans="2:22" x14ac:dyDescent="0.25">
      <c r="B321" s="1" t="s">
        <v>195</v>
      </c>
      <c r="C321" s="2" t="s">
        <v>196</v>
      </c>
      <c r="D321" s="2" t="s">
        <v>114</v>
      </c>
      <c r="E321" s="2" t="s">
        <v>336</v>
      </c>
      <c r="F321" s="3">
        <f t="shared" si="52"/>
        <v>44873</v>
      </c>
      <c r="G321" s="4">
        <f t="shared" si="41"/>
        <v>11</v>
      </c>
      <c r="H321" s="4">
        <f t="shared" si="42"/>
        <v>2022</v>
      </c>
      <c r="I321" s="2" t="s">
        <v>4</v>
      </c>
      <c r="J321" s="2" t="s">
        <v>753</v>
      </c>
      <c r="K321" s="2" t="s">
        <v>117</v>
      </c>
      <c r="L321" s="2" t="s">
        <v>118</v>
      </c>
      <c r="M321" s="2" t="s">
        <v>119</v>
      </c>
      <c r="N321" s="4" t="str">
        <f t="shared" si="43"/>
        <v>TON</v>
      </c>
      <c r="O321" s="5">
        <v>4.5</v>
      </c>
      <c r="Q321" t="str">
        <f t="shared" si="44"/>
        <v>MAC428YM8</v>
      </c>
      <c r="R321" t="str">
        <f t="shared" si="45"/>
        <v>Dyna Flo 4-2-8YM8</v>
      </c>
      <c r="S321" s="32">
        <f t="shared" si="46"/>
        <v>517.73950000000002</v>
      </c>
      <c r="U321" t="s">
        <v>118</v>
      </c>
      <c r="V321" s="32">
        <v>517.73950000000002</v>
      </c>
    </row>
    <row r="322" spans="2:22" x14ac:dyDescent="0.25">
      <c r="B322" s="1" t="s">
        <v>195</v>
      </c>
      <c r="C322" s="2" t="s">
        <v>196</v>
      </c>
      <c r="D322" s="2" t="s">
        <v>321</v>
      </c>
      <c r="E322" s="2" t="s">
        <v>407</v>
      </c>
      <c r="F322" s="3">
        <f t="shared" si="52"/>
        <v>44873</v>
      </c>
      <c r="G322" s="4">
        <f t="shared" si="41"/>
        <v>11</v>
      </c>
      <c r="H322" s="4">
        <f t="shared" si="42"/>
        <v>2022</v>
      </c>
      <c r="I322" s="2" t="s">
        <v>4</v>
      </c>
      <c r="J322" s="2" t="s">
        <v>754</v>
      </c>
      <c r="K322" s="2" t="s">
        <v>324</v>
      </c>
      <c r="L322" s="2" t="s">
        <v>325</v>
      </c>
      <c r="M322" s="2" t="s">
        <v>119</v>
      </c>
      <c r="N322" s="4" t="str">
        <f t="shared" si="43"/>
        <v>TON</v>
      </c>
      <c r="O322" s="5">
        <v>2.5049999999999999</v>
      </c>
      <c r="Q322" t="str">
        <f t="shared" si="44"/>
        <v>MAC737YM</v>
      </c>
      <c r="R322" t="str">
        <f t="shared" si="45"/>
        <v>Dyna Flo 7-3-7 YM</v>
      </c>
      <c r="S322" s="32">
        <f t="shared" si="46"/>
        <v>99.21250000000002</v>
      </c>
      <c r="U322" t="s">
        <v>325</v>
      </c>
      <c r="V322" s="32">
        <v>99.21250000000002</v>
      </c>
    </row>
    <row r="323" spans="2:22" x14ac:dyDescent="0.25">
      <c r="B323" s="1" t="s">
        <v>195</v>
      </c>
      <c r="C323" s="2" t="s">
        <v>196</v>
      </c>
      <c r="D323" s="2" t="s">
        <v>444</v>
      </c>
      <c r="E323" s="2" t="s">
        <v>445</v>
      </c>
      <c r="F323" s="3">
        <f t="shared" si="52"/>
        <v>44873</v>
      </c>
      <c r="G323" s="4">
        <f t="shared" ref="G323:G386" si="53">+MONTH(F323)</f>
        <v>11</v>
      </c>
      <c r="H323" s="4">
        <f t="shared" ref="H323:H386" si="54">+YEAR(F323)</f>
        <v>2022</v>
      </c>
      <c r="I323" s="2" t="s">
        <v>4</v>
      </c>
      <c r="J323" s="2" t="s">
        <v>755</v>
      </c>
      <c r="K323" s="2" t="s">
        <v>324</v>
      </c>
      <c r="L323" s="2" t="s">
        <v>325</v>
      </c>
      <c r="M323" s="2" t="s">
        <v>119</v>
      </c>
      <c r="N323" s="4" t="str">
        <f t="shared" ref="N323:N386" si="55">+LEFT(M323,3)</f>
        <v>TON</v>
      </c>
      <c r="O323" s="5">
        <v>2.5074999999999998</v>
      </c>
      <c r="Q323" t="str">
        <f t="shared" ref="Q323:Q386" si="56">K323</f>
        <v>MAC737YM</v>
      </c>
      <c r="R323" t="str">
        <f t="shared" ref="R323:R386" si="57">L323</f>
        <v>Dyna Flo 7-3-7 YM</v>
      </c>
      <c r="S323" s="32">
        <f t="shared" si="46"/>
        <v>99.21250000000002</v>
      </c>
      <c r="U323" t="s">
        <v>325</v>
      </c>
      <c r="V323" s="32">
        <v>99.21250000000002</v>
      </c>
    </row>
    <row r="324" spans="2:22" x14ac:dyDescent="0.25">
      <c r="B324" s="1" t="s">
        <v>195</v>
      </c>
      <c r="C324" s="2" t="s">
        <v>196</v>
      </c>
      <c r="D324" s="2" t="s">
        <v>321</v>
      </c>
      <c r="E324" s="2" t="s">
        <v>353</v>
      </c>
      <c r="F324" s="3">
        <f t="shared" ref="F324:F334" si="58">DATE(2022,11,9)</f>
        <v>44874</v>
      </c>
      <c r="G324" s="4">
        <f t="shared" si="53"/>
        <v>11</v>
      </c>
      <c r="H324" s="4">
        <f t="shared" si="54"/>
        <v>2022</v>
      </c>
      <c r="I324" s="2" t="s">
        <v>4</v>
      </c>
      <c r="J324" s="2" t="s">
        <v>756</v>
      </c>
      <c r="K324" s="2" t="s">
        <v>324</v>
      </c>
      <c r="L324" s="2" t="s">
        <v>325</v>
      </c>
      <c r="M324" s="2" t="s">
        <v>119</v>
      </c>
      <c r="N324" s="4" t="str">
        <f t="shared" si="55"/>
        <v>TON</v>
      </c>
      <c r="O324" s="5">
        <v>10.0175</v>
      </c>
      <c r="Q324" t="str">
        <f t="shared" si="56"/>
        <v>MAC737YM</v>
      </c>
      <c r="R324" t="str">
        <f t="shared" si="57"/>
        <v>Dyna Flo 7-3-7 YM</v>
      </c>
      <c r="S324" s="32">
        <f t="shared" ref="S324:S387" si="59">SUMIF($R$3:$R$885, $R324, $O$3:$O$885)</f>
        <v>99.21250000000002</v>
      </c>
      <c r="U324" t="s">
        <v>325</v>
      </c>
      <c r="V324" s="32">
        <v>99.21250000000002</v>
      </c>
    </row>
    <row r="325" spans="2:22" x14ac:dyDescent="0.25">
      <c r="B325" s="1" t="s">
        <v>195</v>
      </c>
      <c r="C325" s="2" t="s">
        <v>196</v>
      </c>
      <c r="D325" s="2" t="s">
        <v>227</v>
      </c>
      <c r="E325" s="2" t="s">
        <v>757</v>
      </c>
      <c r="F325" s="3">
        <f t="shared" si="58"/>
        <v>44874</v>
      </c>
      <c r="G325" s="4">
        <f t="shared" si="53"/>
        <v>11</v>
      </c>
      <c r="H325" s="4">
        <f t="shared" si="54"/>
        <v>2022</v>
      </c>
      <c r="I325" s="2" t="s">
        <v>4</v>
      </c>
      <c r="J325" s="2" t="s">
        <v>758</v>
      </c>
      <c r="K325" s="2" t="s">
        <v>122</v>
      </c>
      <c r="L325" s="2" t="s">
        <v>123</v>
      </c>
      <c r="M325" s="2" t="s">
        <v>119</v>
      </c>
      <c r="N325" s="4" t="str">
        <f t="shared" si="55"/>
        <v>TON</v>
      </c>
      <c r="O325" s="5">
        <v>4.9850000000000003</v>
      </c>
      <c r="Q325" t="str">
        <f t="shared" si="56"/>
        <v>MAC528YZ</v>
      </c>
      <c r="R325" t="str">
        <f t="shared" si="57"/>
        <v>Dyna Flo 5-2-8 YZ</v>
      </c>
      <c r="S325" s="32">
        <f t="shared" si="59"/>
        <v>395.40750000000003</v>
      </c>
      <c r="U325" t="s">
        <v>123</v>
      </c>
      <c r="V325" s="32">
        <v>395.40750000000003</v>
      </c>
    </row>
    <row r="326" spans="2:22" x14ac:dyDescent="0.25">
      <c r="B326" s="1" t="s">
        <v>195</v>
      </c>
      <c r="C326" s="2" t="s">
        <v>196</v>
      </c>
      <c r="D326" s="2" t="s">
        <v>285</v>
      </c>
      <c r="E326" s="2" t="s">
        <v>759</v>
      </c>
      <c r="F326" s="3">
        <f t="shared" si="58"/>
        <v>44874</v>
      </c>
      <c r="G326" s="4">
        <f t="shared" si="53"/>
        <v>11</v>
      </c>
      <c r="H326" s="4">
        <f t="shared" si="54"/>
        <v>2022</v>
      </c>
      <c r="I326" s="2" t="s">
        <v>4</v>
      </c>
      <c r="J326" s="2" t="s">
        <v>760</v>
      </c>
      <c r="K326" s="2" t="s">
        <v>205</v>
      </c>
      <c r="L326" s="2" t="s">
        <v>206</v>
      </c>
      <c r="M326" s="2" t="s">
        <v>119</v>
      </c>
      <c r="N326" s="4" t="str">
        <f t="shared" si="55"/>
        <v>TON</v>
      </c>
      <c r="O326" s="5">
        <v>10.015000000000001</v>
      </c>
      <c r="Q326" t="str">
        <f t="shared" si="56"/>
        <v>MAC927YM3</v>
      </c>
      <c r="R326" t="str">
        <f t="shared" si="57"/>
        <v>Dyna Flo 9-2-7YM3</v>
      </c>
      <c r="S326" s="32">
        <f t="shared" si="59"/>
        <v>284.6674999999999</v>
      </c>
      <c r="U326" t="s">
        <v>206</v>
      </c>
      <c r="V326" s="32">
        <v>284.6674999999999</v>
      </c>
    </row>
    <row r="327" spans="2:22" x14ac:dyDescent="0.25">
      <c r="B327" s="1" t="s">
        <v>195</v>
      </c>
      <c r="C327" s="2" t="s">
        <v>196</v>
      </c>
      <c r="D327" s="2" t="s">
        <v>207</v>
      </c>
      <c r="E327" s="2" t="s">
        <v>208</v>
      </c>
      <c r="F327" s="3">
        <f t="shared" si="58"/>
        <v>44874</v>
      </c>
      <c r="G327" s="4">
        <f t="shared" si="53"/>
        <v>11</v>
      </c>
      <c r="H327" s="4">
        <f t="shared" si="54"/>
        <v>2022</v>
      </c>
      <c r="I327" s="2" t="s">
        <v>4</v>
      </c>
      <c r="J327" s="2" t="s">
        <v>761</v>
      </c>
      <c r="K327" s="2" t="s">
        <v>205</v>
      </c>
      <c r="L327" s="2" t="s">
        <v>206</v>
      </c>
      <c r="M327" s="2" t="s">
        <v>119</v>
      </c>
      <c r="N327" s="4" t="str">
        <f t="shared" si="55"/>
        <v>TON</v>
      </c>
      <c r="O327" s="5">
        <v>2.25</v>
      </c>
      <c r="Q327" t="str">
        <f t="shared" si="56"/>
        <v>MAC927YM3</v>
      </c>
      <c r="R327" t="str">
        <f t="shared" si="57"/>
        <v>Dyna Flo 9-2-7YM3</v>
      </c>
      <c r="S327" s="32">
        <f t="shared" si="59"/>
        <v>284.6674999999999</v>
      </c>
      <c r="U327" t="s">
        <v>206</v>
      </c>
      <c r="V327" s="32">
        <v>284.6674999999999</v>
      </c>
    </row>
    <row r="328" spans="2:22" x14ac:dyDescent="0.25">
      <c r="B328" s="1" t="s">
        <v>195</v>
      </c>
      <c r="C328" s="2" t="s">
        <v>196</v>
      </c>
      <c r="D328" s="2" t="s">
        <v>207</v>
      </c>
      <c r="E328" s="2" t="s">
        <v>208</v>
      </c>
      <c r="F328" s="3">
        <f t="shared" si="58"/>
        <v>44874</v>
      </c>
      <c r="G328" s="4">
        <f t="shared" si="53"/>
        <v>11</v>
      </c>
      <c r="H328" s="4">
        <f t="shared" si="54"/>
        <v>2022</v>
      </c>
      <c r="I328" s="2" t="s">
        <v>4</v>
      </c>
      <c r="J328" s="2" t="s">
        <v>762</v>
      </c>
      <c r="K328" s="2" t="s">
        <v>236</v>
      </c>
      <c r="L328" s="2" t="s">
        <v>237</v>
      </c>
      <c r="M328" s="2" t="s">
        <v>119</v>
      </c>
      <c r="N328" s="4" t="str">
        <f t="shared" si="55"/>
        <v>TON</v>
      </c>
      <c r="O328" s="5">
        <v>2.4649999999999999</v>
      </c>
      <c r="Q328" t="str">
        <f t="shared" si="56"/>
        <v>MAC626YM11</v>
      </c>
      <c r="R328" t="str">
        <f t="shared" si="57"/>
        <v>Dyna Flo 6-2-6YM11</v>
      </c>
      <c r="S328" s="32">
        <f t="shared" si="59"/>
        <v>14.877500000000001</v>
      </c>
      <c r="U328" t="s">
        <v>237</v>
      </c>
      <c r="V328" s="32">
        <v>14.877500000000001</v>
      </c>
    </row>
    <row r="329" spans="2:22" x14ac:dyDescent="0.25">
      <c r="B329" s="1" t="s">
        <v>195</v>
      </c>
      <c r="C329" s="2" t="s">
        <v>196</v>
      </c>
      <c r="D329" s="2" t="s">
        <v>215</v>
      </c>
      <c r="E329" s="2" t="s">
        <v>315</v>
      </c>
      <c r="F329" s="3">
        <f t="shared" si="58"/>
        <v>44874</v>
      </c>
      <c r="G329" s="4">
        <f t="shared" si="53"/>
        <v>11</v>
      </c>
      <c r="H329" s="4">
        <f t="shared" si="54"/>
        <v>2022</v>
      </c>
      <c r="I329" s="2" t="s">
        <v>4</v>
      </c>
      <c r="J329" s="2" t="s">
        <v>763</v>
      </c>
      <c r="K329" s="2" t="s">
        <v>447</v>
      </c>
      <c r="L329" s="2" t="s">
        <v>448</v>
      </c>
      <c r="M329" s="2" t="s">
        <v>119</v>
      </c>
      <c r="N329" s="4" t="str">
        <f t="shared" si="55"/>
        <v>TON</v>
      </c>
      <c r="O329" s="5">
        <v>9.5075000000000003</v>
      </c>
      <c r="Q329" t="str">
        <f t="shared" si="56"/>
        <v>MAC727YM15</v>
      </c>
      <c r="R329" t="str">
        <f t="shared" si="57"/>
        <v>Dyna Flo 7-2-7YM15</v>
      </c>
      <c r="S329" s="32">
        <f t="shared" si="59"/>
        <v>113.6925</v>
      </c>
      <c r="U329" t="s">
        <v>448</v>
      </c>
      <c r="V329" s="32">
        <v>113.6925</v>
      </c>
    </row>
    <row r="330" spans="2:22" x14ac:dyDescent="0.25">
      <c r="B330" s="1" t="s">
        <v>195</v>
      </c>
      <c r="C330" s="2" t="s">
        <v>196</v>
      </c>
      <c r="D330" s="2" t="s">
        <v>197</v>
      </c>
      <c r="E330" s="2" t="s">
        <v>198</v>
      </c>
      <c r="F330" s="3">
        <f t="shared" si="58"/>
        <v>44874</v>
      </c>
      <c r="G330" s="4">
        <f t="shared" si="53"/>
        <v>11</v>
      </c>
      <c r="H330" s="4">
        <f t="shared" si="54"/>
        <v>2022</v>
      </c>
      <c r="I330" s="2" t="s">
        <v>4</v>
      </c>
      <c r="J330" s="2" t="s">
        <v>764</v>
      </c>
      <c r="K330" s="2" t="s">
        <v>307</v>
      </c>
      <c r="L330" s="2" t="s">
        <v>308</v>
      </c>
      <c r="M330" s="2" t="s">
        <v>119</v>
      </c>
      <c r="N330" s="4" t="str">
        <f t="shared" si="55"/>
        <v>TON</v>
      </c>
      <c r="O330" s="5">
        <v>3.4950000000000001</v>
      </c>
      <c r="Q330" t="str">
        <f t="shared" si="56"/>
        <v>MAC628YM8M</v>
      </c>
      <c r="R330" t="str">
        <f t="shared" si="57"/>
        <v>Dyna Flo 6-2-8YM8M w/Merge</v>
      </c>
      <c r="S330" s="32">
        <f t="shared" si="59"/>
        <v>19.502500000000001</v>
      </c>
      <c r="U330" t="s">
        <v>308</v>
      </c>
      <c r="V330" s="32">
        <v>19.502500000000001</v>
      </c>
    </row>
    <row r="331" spans="2:22" x14ac:dyDescent="0.25">
      <c r="B331" s="1" t="s">
        <v>195</v>
      </c>
      <c r="C331" s="2" t="s">
        <v>196</v>
      </c>
      <c r="D331" s="2" t="s">
        <v>374</v>
      </c>
      <c r="E331" s="2" t="s">
        <v>424</v>
      </c>
      <c r="F331" s="3">
        <f t="shared" si="58"/>
        <v>44874</v>
      </c>
      <c r="G331" s="4">
        <f t="shared" si="53"/>
        <v>11</v>
      </c>
      <c r="H331" s="4">
        <f t="shared" si="54"/>
        <v>2022</v>
      </c>
      <c r="I331" s="2" t="s">
        <v>4</v>
      </c>
      <c r="J331" s="2" t="s">
        <v>765</v>
      </c>
      <c r="K331" s="2" t="s">
        <v>329</v>
      </c>
      <c r="L331" s="2" t="s">
        <v>330</v>
      </c>
      <c r="M331" s="2" t="s">
        <v>119</v>
      </c>
      <c r="N331" s="4" t="str">
        <f t="shared" si="55"/>
        <v>TON</v>
      </c>
      <c r="O331" s="5">
        <v>4.0049999999999999</v>
      </c>
      <c r="Q331" t="str">
        <f t="shared" si="56"/>
        <v>MAC628YM8</v>
      </c>
      <c r="R331" t="str">
        <f t="shared" si="57"/>
        <v>Dyna Flo 6-2-8YM8</v>
      </c>
      <c r="S331" s="32">
        <f t="shared" si="59"/>
        <v>247.51499999999996</v>
      </c>
      <c r="U331" t="s">
        <v>330</v>
      </c>
      <c r="V331" s="32">
        <v>247.51499999999996</v>
      </c>
    </row>
    <row r="332" spans="2:22" x14ac:dyDescent="0.25">
      <c r="B332" s="1" t="s">
        <v>195</v>
      </c>
      <c r="C332" s="2" t="s">
        <v>196</v>
      </c>
      <c r="D332" s="2" t="s">
        <v>303</v>
      </c>
      <c r="E332" s="2" t="s">
        <v>501</v>
      </c>
      <c r="F332" s="3">
        <f t="shared" si="58"/>
        <v>44874</v>
      </c>
      <c r="G332" s="4">
        <f t="shared" si="53"/>
        <v>11</v>
      </c>
      <c r="H332" s="4">
        <f t="shared" si="54"/>
        <v>2022</v>
      </c>
      <c r="I332" s="2" t="s">
        <v>4</v>
      </c>
      <c r="J332" s="2" t="s">
        <v>766</v>
      </c>
      <c r="K332" s="2" t="s">
        <v>122</v>
      </c>
      <c r="L332" s="2" t="s">
        <v>123</v>
      </c>
      <c r="M332" s="2" t="s">
        <v>119</v>
      </c>
      <c r="N332" s="4" t="str">
        <f t="shared" si="55"/>
        <v>TON</v>
      </c>
      <c r="O332" s="5">
        <v>5</v>
      </c>
      <c r="Q332" t="str">
        <f t="shared" si="56"/>
        <v>MAC528YZ</v>
      </c>
      <c r="R332" t="str">
        <f t="shared" si="57"/>
        <v>Dyna Flo 5-2-8 YZ</v>
      </c>
      <c r="S332" s="32">
        <f t="shared" si="59"/>
        <v>395.40750000000003</v>
      </c>
      <c r="U332" t="s">
        <v>123</v>
      </c>
      <c r="V332" s="32">
        <v>395.40750000000003</v>
      </c>
    </row>
    <row r="333" spans="2:22" x14ac:dyDescent="0.25">
      <c r="B333" s="1" t="s">
        <v>195</v>
      </c>
      <c r="C333" s="2" t="s">
        <v>196</v>
      </c>
      <c r="D333" s="2" t="s">
        <v>276</v>
      </c>
      <c r="E333" s="2" t="s">
        <v>682</v>
      </c>
      <c r="F333" s="3">
        <f t="shared" si="58"/>
        <v>44874</v>
      </c>
      <c r="G333" s="4">
        <f t="shared" si="53"/>
        <v>11</v>
      </c>
      <c r="H333" s="4">
        <f t="shared" si="54"/>
        <v>2022</v>
      </c>
      <c r="I333" s="2" t="s">
        <v>4</v>
      </c>
      <c r="J333" s="2" t="s">
        <v>767</v>
      </c>
      <c r="K333" s="2" t="s">
        <v>122</v>
      </c>
      <c r="L333" s="2" t="s">
        <v>123</v>
      </c>
      <c r="M333" s="2" t="s">
        <v>119</v>
      </c>
      <c r="N333" s="4" t="str">
        <f t="shared" si="55"/>
        <v>TON</v>
      </c>
      <c r="O333" s="5">
        <v>8</v>
      </c>
      <c r="Q333" t="str">
        <f t="shared" si="56"/>
        <v>MAC528YZ</v>
      </c>
      <c r="R333" t="str">
        <f t="shared" si="57"/>
        <v>Dyna Flo 5-2-8 YZ</v>
      </c>
      <c r="S333" s="32">
        <f t="shared" si="59"/>
        <v>395.40750000000003</v>
      </c>
      <c r="U333" t="s">
        <v>123</v>
      </c>
      <c r="V333" s="32">
        <v>395.40750000000003</v>
      </c>
    </row>
    <row r="334" spans="2:22" x14ac:dyDescent="0.25">
      <c r="B334" s="1" t="s">
        <v>195</v>
      </c>
      <c r="C334" s="2" t="s">
        <v>196</v>
      </c>
      <c r="D334" s="2" t="s">
        <v>280</v>
      </c>
      <c r="E334" s="2" t="s">
        <v>254</v>
      </c>
      <c r="F334" s="3">
        <f t="shared" si="58"/>
        <v>44874</v>
      </c>
      <c r="G334" s="4">
        <f t="shared" si="53"/>
        <v>11</v>
      </c>
      <c r="H334" s="4">
        <f t="shared" si="54"/>
        <v>2022</v>
      </c>
      <c r="I334" s="2" t="s">
        <v>4</v>
      </c>
      <c r="J334" s="2" t="s">
        <v>768</v>
      </c>
      <c r="K334" s="2" t="s">
        <v>117</v>
      </c>
      <c r="L334" s="2" t="s">
        <v>118</v>
      </c>
      <c r="M334" s="2" t="s">
        <v>119</v>
      </c>
      <c r="N334" s="4" t="str">
        <f t="shared" si="55"/>
        <v>TON</v>
      </c>
      <c r="O334" s="5">
        <v>15</v>
      </c>
      <c r="Q334" t="str">
        <f t="shared" si="56"/>
        <v>MAC428YM8</v>
      </c>
      <c r="R334" t="str">
        <f t="shared" si="57"/>
        <v>Dyna Flo 4-2-8YM8</v>
      </c>
      <c r="S334" s="32">
        <f t="shared" si="59"/>
        <v>517.73950000000002</v>
      </c>
      <c r="U334" t="s">
        <v>118</v>
      </c>
      <c r="V334" s="32">
        <v>517.73950000000002</v>
      </c>
    </row>
    <row r="335" spans="2:22" x14ac:dyDescent="0.25">
      <c r="B335" s="1" t="s">
        <v>195</v>
      </c>
      <c r="C335" s="2" t="s">
        <v>196</v>
      </c>
      <c r="D335" s="2" t="s">
        <v>276</v>
      </c>
      <c r="E335" s="2" t="s">
        <v>359</v>
      </c>
      <c r="F335" s="3">
        <f>DATE(2022,11,10)</f>
        <v>44875</v>
      </c>
      <c r="G335" s="4">
        <f t="shared" si="53"/>
        <v>11</v>
      </c>
      <c r="H335" s="4">
        <f t="shared" si="54"/>
        <v>2022</v>
      </c>
      <c r="I335" s="2" t="s">
        <v>4</v>
      </c>
      <c r="J335" s="2" t="s">
        <v>769</v>
      </c>
      <c r="K335" s="2" t="s">
        <v>292</v>
      </c>
      <c r="L335" s="2" t="s">
        <v>293</v>
      </c>
      <c r="M335" s="2" t="s">
        <v>119</v>
      </c>
      <c r="N335" s="4" t="str">
        <f t="shared" si="55"/>
        <v>TON</v>
      </c>
      <c r="O335" s="5">
        <v>4.0025000000000004</v>
      </c>
      <c r="Q335" t="str">
        <f t="shared" si="56"/>
        <v>MAC608YB5</v>
      </c>
      <c r="R335" t="str">
        <f t="shared" si="57"/>
        <v>Dyna Flo 6-0-8 YB5</v>
      </c>
      <c r="S335" s="32">
        <f t="shared" si="59"/>
        <v>78.175000000000011</v>
      </c>
      <c r="U335" t="s">
        <v>293</v>
      </c>
      <c r="V335" s="32">
        <v>78.175000000000011</v>
      </c>
    </row>
    <row r="336" spans="2:22" x14ac:dyDescent="0.25">
      <c r="B336" s="1" t="s">
        <v>195</v>
      </c>
      <c r="C336" s="2" t="s">
        <v>196</v>
      </c>
      <c r="D336" s="2" t="s">
        <v>418</v>
      </c>
      <c r="E336" s="2" t="s">
        <v>770</v>
      </c>
      <c r="F336" s="3">
        <f>DATE(2022,11,9)</f>
        <v>44874</v>
      </c>
      <c r="G336" s="4">
        <f t="shared" si="53"/>
        <v>11</v>
      </c>
      <c r="H336" s="4">
        <f t="shared" si="54"/>
        <v>2022</v>
      </c>
      <c r="I336" s="2" t="s">
        <v>4</v>
      </c>
      <c r="J336" s="2" t="s">
        <v>771</v>
      </c>
      <c r="K336" s="2" t="s">
        <v>205</v>
      </c>
      <c r="L336" s="2" t="s">
        <v>206</v>
      </c>
      <c r="M336" s="2" t="s">
        <v>119</v>
      </c>
      <c r="N336" s="4" t="str">
        <f t="shared" si="55"/>
        <v>TON</v>
      </c>
      <c r="O336" s="5">
        <v>2.4900000000000002</v>
      </c>
      <c r="Q336" t="str">
        <f t="shared" si="56"/>
        <v>MAC927YM3</v>
      </c>
      <c r="R336" t="str">
        <f t="shared" si="57"/>
        <v>Dyna Flo 9-2-7YM3</v>
      </c>
      <c r="S336" s="32">
        <f t="shared" si="59"/>
        <v>284.6674999999999</v>
      </c>
      <c r="U336" t="s">
        <v>206</v>
      </c>
      <c r="V336" s="32">
        <v>284.6674999999999</v>
      </c>
    </row>
    <row r="337" spans="2:22" x14ac:dyDescent="0.25">
      <c r="B337" s="1" t="s">
        <v>195</v>
      </c>
      <c r="C337" s="2" t="s">
        <v>196</v>
      </c>
      <c r="D337" s="2" t="s">
        <v>452</v>
      </c>
      <c r="E337" s="2" t="s">
        <v>222</v>
      </c>
      <c r="F337" s="3">
        <f>DATE(2022,11,9)</f>
        <v>44874</v>
      </c>
      <c r="G337" s="4">
        <f t="shared" si="53"/>
        <v>11</v>
      </c>
      <c r="H337" s="4">
        <f t="shared" si="54"/>
        <v>2022</v>
      </c>
      <c r="I337" s="2" t="s">
        <v>4</v>
      </c>
      <c r="J337" s="2" t="s">
        <v>772</v>
      </c>
      <c r="K337" s="2" t="s">
        <v>205</v>
      </c>
      <c r="L337" s="2" t="s">
        <v>206</v>
      </c>
      <c r="M337" s="2" t="s">
        <v>119</v>
      </c>
      <c r="N337" s="4" t="str">
        <f t="shared" si="55"/>
        <v>TON</v>
      </c>
      <c r="O337" s="5">
        <v>2.4950000000000001</v>
      </c>
      <c r="Q337" t="str">
        <f t="shared" si="56"/>
        <v>MAC927YM3</v>
      </c>
      <c r="R337" t="str">
        <f t="shared" si="57"/>
        <v>Dyna Flo 9-2-7YM3</v>
      </c>
      <c r="S337" s="32">
        <f t="shared" si="59"/>
        <v>284.6674999999999</v>
      </c>
      <c r="U337" t="s">
        <v>206</v>
      </c>
      <c r="V337" s="32">
        <v>284.6674999999999</v>
      </c>
    </row>
    <row r="338" spans="2:22" x14ac:dyDescent="0.25">
      <c r="B338" s="1" t="s">
        <v>195</v>
      </c>
      <c r="C338" s="2" t="s">
        <v>196</v>
      </c>
      <c r="D338" s="2" t="s">
        <v>221</v>
      </c>
      <c r="E338" s="2" t="s">
        <v>332</v>
      </c>
      <c r="F338" s="3">
        <f>DATE(2022,11,10)</f>
        <v>44875</v>
      </c>
      <c r="G338" s="4">
        <f t="shared" si="53"/>
        <v>11</v>
      </c>
      <c r="H338" s="4">
        <f t="shared" si="54"/>
        <v>2022</v>
      </c>
      <c r="I338" s="2" t="s">
        <v>4</v>
      </c>
      <c r="J338" s="2" t="s">
        <v>773</v>
      </c>
      <c r="K338" s="2" t="s">
        <v>205</v>
      </c>
      <c r="L338" s="2" t="s">
        <v>206</v>
      </c>
      <c r="M338" s="2" t="s">
        <v>119</v>
      </c>
      <c r="N338" s="4" t="str">
        <f t="shared" si="55"/>
        <v>TON</v>
      </c>
      <c r="O338" s="5">
        <v>15.0275</v>
      </c>
      <c r="Q338" t="str">
        <f t="shared" si="56"/>
        <v>MAC927YM3</v>
      </c>
      <c r="R338" t="str">
        <f t="shared" si="57"/>
        <v>Dyna Flo 9-2-7YM3</v>
      </c>
      <c r="S338" s="32">
        <f t="shared" si="59"/>
        <v>284.6674999999999</v>
      </c>
      <c r="U338" t="s">
        <v>206</v>
      </c>
      <c r="V338" s="32">
        <v>284.6674999999999</v>
      </c>
    </row>
    <row r="339" spans="2:22" x14ac:dyDescent="0.25">
      <c r="B339" s="1" t="s">
        <v>195</v>
      </c>
      <c r="C339" s="2" t="s">
        <v>196</v>
      </c>
      <c r="D339" s="2" t="s">
        <v>215</v>
      </c>
      <c r="E339" s="2" t="s">
        <v>216</v>
      </c>
      <c r="F339" s="3">
        <f>DATE(2022,11,10)</f>
        <v>44875</v>
      </c>
      <c r="G339" s="4">
        <f t="shared" si="53"/>
        <v>11</v>
      </c>
      <c r="H339" s="4">
        <f t="shared" si="54"/>
        <v>2022</v>
      </c>
      <c r="I339" s="2" t="s">
        <v>4</v>
      </c>
      <c r="J339" s="2" t="s">
        <v>774</v>
      </c>
      <c r="K339" s="2" t="s">
        <v>69</v>
      </c>
      <c r="L339" s="2" t="s">
        <v>565</v>
      </c>
      <c r="M339" s="2" t="s">
        <v>21</v>
      </c>
      <c r="N339" s="4" t="str">
        <f t="shared" si="55"/>
        <v>GAL</v>
      </c>
      <c r="O339" s="5">
        <v>30</v>
      </c>
      <c r="Q339" t="str">
        <f t="shared" si="56"/>
        <v>FLOKTS30</v>
      </c>
      <c r="R339" t="str">
        <f t="shared" si="57"/>
        <v>Dyna Flo  0-0-25 17</v>
      </c>
      <c r="S339" s="32">
        <f t="shared" si="59"/>
        <v>3780</v>
      </c>
      <c r="U339" t="s">
        <v>565</v>
      </c>
      <c r="V339" s="32">
        <v>3780</v>
      </c>
    </row>
    <row r="340" spans="2:22" x14ac:dyDescent="0.25">
      <c r="B340" s="1" t="s">
        <v>195</v>
      </c>
      <c r="C340" s="2" t="s">
        <v>196</v>
      </c>
      <c r="D340" s="2" t="s">
        <v>215</v>
      </c>
      <c r="E340" s="2" t="s">
        <v>216</v>
      </c>
      <c r="F340" s="3">
        <f>DATE(2022,11,10)</f>
        <v>44875</v>
      </c>
      <c r="G340" s="4">
        <f t="shared" si="53"/>
        <v>11</v>
      </c>
      <c r="H340" s="4">
        <f t="shared" si="54"/>
        <v>2022</v>
      </c>
      <c r="I340" s="2" t="s">
        <v>4</v>
      </c>
      <c r="J340" s="2" t="s">
        <v>774</v>
      </c>
      <c r="K340" s="2" t="s">
        <v>775</v>
      </c>
      <c r="L340" s="2" t="s">
        <v>776</v>
      </c>
      <c r="M340" s="2" t="s">
        <v>82</v>
      </c>
      <c r="N340" s="4" t="str">
        <f t="shared" si="55"/>
        <v>GAL</v>
      </c>
      <c r="O340" s="5">
        <v>30</v>
      </c>
      <c r="Q340" t="str">
        <f t="shared" si="56"/>
        <v>FLOCATS30</v>
      </c>
      <c r="R340" t="str">
        <f t="shared" si="57"/>
        <v>Dyna Flo Calcium Thiosulfate</v>
      </c>
      <c r="S340" s="32">
        <f t="shared" si="59"/>
        <v>1280</v>
      </c>
      <c r="U340" t="s">
        <v>776</v>
      </c>
      <c r="V340" s="32">
        <v>1280</v>
      </c>
    </row>
    <row r="341" spans="2:22" x14ac:dyDescent="0.25">
      <c r="B341" s="1" t="s">
        <v>195</v>
      </c>
      <c r="C341" s="2" t="s">
        <v>196</v>
      </c>
      <c r="D341" s="2" t="s">
        <v>270</v>
      </c>
      <c r="E341" s="2" t="s">
        <v>400</v>
      </c>
      <c r="F341" s="3">
        <f>DATE(2022,11,10)</f>
        <v>44875</v>
      </c>
      <c r="G341" s="4">
        <f t="shared" si="53"/>
        <v>11</v>
      </c>
      <c r="H341" s="4">
        <f t="shared" si="54"/>
        <v>2022</v>
      </c>
      <c r="I341" s="2" t="s">
        <v>4</v>
      </c>
      <c r="J341" s="2" t="s">
        <v>777</v>
      </c>
      <c r="K341" s="2" t="s">
        <v>205</v>
      </c>
      <c r="L341" s="2" t="s">
        <v>206</v>
      </c>
      <c r="M341" s="2" t="s">
        <v>119</v>
      </c>
      <c r="N341" s="4" t="str">
        <f t="shared" si="55"/>
        <v>TON</v>
      </c>
      <c r="O341" s="5">
        <v>2</v>
      </c>
      <c r="Q341" t="str">
        <f t="shared" si="56"/>
        <v>MAC927YM3</v>
      </c>
      <c r="R341" t="str">
        <f t="shared" si="57"/>
        <v>Dyna Flo 9-2-7YM3</v>
      </c>
      <c r="S341" s="32">
        <f t="shared" si="59"/>
        <v>284.6674999999999</v>
      </c>
      <c r="U341" t="s">
        <v>206</v>
      </c>
      <c r="V341" s="32">
        <v>284.6674999999999</v>
      </c>
    </row>
    <row r="342" spans="2:22" x14ac:dyDescent="0.25">
      <c r="B342" s="1" t="s">
        <v>195</v>
      </c>
      <c r="C342" s="2" t="s">
        <v>196</v>
      </c>
      <c r="D342" s="2" t="s">
        <v>232</v>
      </c>
      <c r="E342" s="2" t="s">
        <v>778</v>
      </c>
      <c r="F342" s="3">
        <f t="shared" ref="F342:F350" si="60">DATE(2022,11,11)</f>
        <v>44876</v>
      </c>
      <c r="G342" s="4">
        <f t="shared" si="53"/>
        <v>11</v>
      </c>
      <c r="H342" s="4">
        <f t="shared" si="54"/>
        <v>2022</v>
      </c>
      <c r="I342" s="2" t="s">
        <v>4</v>
      </c>
      <c r="J342" s="2" t="s">
        <v>779</v>
      </c>
      <c r="K342" s="2" t="s">
        <v>329</v>
      </c>
      <c r="L342" s="2" t="s">
        <v>330</v>
      </c>
      <c r="M342" s="2" t="s">
        <v>119</v>
      </c>
      <c r="N342" s="4" t="str">
        <f t="shared" si="55"/>
        <v>TON</v>
      </c>
      <c r="O342" s="5">
        <v>4</v>
      </c>
      <c r="Q342" t="str">
        <f t="shared" si="56"/>
        <v>MAC628YM8</v>
      </c>
      <c r="R342" t="str">
        <f t="shared" si="57"/>
        <v>Dyna Flo 6-2-8YM8</v>
      </c>
      <c r="S342" s="32">
        <f t="shared" si="59"/>
        <v>247.51499999999996</v>
      </c>
      <c r="U342" t="s">
        <v>330</v>
      </c>
      <c r="V342" s="32">
        <v>247.51499999999996</v>
      </c>
    </row>
    <row r="343" spans="2:22" x14ac:dyDescent="0.25">
      <c r="B343" s="1" t="s">
        <v>195</v>
      </c>
      <c r="C343" s="2" t="s">
        <v>196</v>
      </c>
      <c r="D343" s="2" t="s">
        <v>449</v>
      </c>
      <c r="E343" s="2" t="s">
        <v>780</v>
      </c>
      <c r="F343" s="3">
        <f t="shared" si="60"/>
        <v>44876</v>
      </c>
      <c r="G343" s="4">
        <f t="shared" si="53"/>
        <v>11</v>
      </c>
      <c r="H343" s="4">
        <f t="shared" si="54"/>
        <v>2022</v>
      </c>
      <c r="I343" s="2" t="s">
        <v>4</v>
      </c>
      <c r="J343" s="2" t="s">
        <v>781</v>
      </c>
      <c r="K343" s="2" t="s">
        <v>329</v>
      </c>
      <c r="L343" s="2" t="s">
        <v>330</v>
      </c>
      <c r="M343" s="2" t="s">
        <v>119</v>
      </c>
      <c r="N343" s="4" t="str">
        <f t="shared" si="55"/>
        <v>TON</v>
      </c>
      <c r="O343" s="5">
        <v>2</v>
      </c>
      <c r="Q343" t="str">
        <f t="shared" si="56"/>
        <v>MAC628YM8</v>
      </c>
      <c r="R343" t="str">
        <f t="shared" si="57"/>
        <v>Dyna Flo 6-2-8YM8</v>
      </c>
      <c r="S343" s="32">
        <f t="shared" si="59"/>
        <v>247.51499999999996</v>
      </c>
      <c r="U343" t="s">
        <v>330</v>
      </c>
      <c r="V343" s="32">
        <v>247.51499999999996</v>
      </c>
    </row>
    <row r="344" spans="2:22" x14ac:dyDescent="0.25">
      <c r="B344" s="1" t="s">
        <v>195</v>
      </c>
      <c r="C344" s="2" t="s">
        <v>196</v>
      </c>
      <c r="D344" s="2" t="s">
        <v>238</v>
      </c>
      <c r="E344" s="2" t="s">
        <v>782</v>
      </c>
      <c r="F344" s="3">
        <f t="shared" si="60"/>
        <v>44876</v>
      </c>
      <c r="G344" s="4">
        <f t="shared" si="53"/>
        <v>11</v>
      </c>
      <c r="H344" s="4">
        <f t="shared" si="54"/>
        <v>2022</v>
      </c>
      <c r="I344" s="2" t="s">
        <v>4</v>
      </c>
      <c r="J344" s="2" t="s">
        <v>783</v>
      </c>
      <c r="K344" s="2" t="s">
        <v>122</v>
      </c>
      <c r="L344" s="2" t="s">
        <v>123</v>
      </c>
      <c r="M344" s="2" t="s">
        <v>119</v>
      </c>
      <c r="N344" s="4" t="str">
        <f t="shared" si="55"/>
        <v>TON</v>
      </c>
      <c r="O344" s="5">
        <v>8.0399999999999991</v>
      </c>
      <c r="Q344" t="str">
        <f t="shared" si="56"/>
        <v>MAC528YZ</v>
      </c>
      <c r="R344" t="str">
        <f t="shared" si="57"/>
        <v>Dyna Flo 5-2-8 YZ</v>
      </c>
      <c r="S344" s="32">
        <f t="shared" si="59"/>
        <v>395.40750000000003</v>
      </c>
      <c r="U344" t="s">
        <v>123</v>
      </c>
      <c r="V344" s="32">
        <v>395.40750000000003</v>
      </c>
    </row>
    <row r="345" spans="2:22" x14ac:dyDescent="0.25">
      <c r="B345" s="1" t="s">
        <v>195</v>
      </c>
      <c r="C345" s="2" t="s">
        <v>196</v>
      </c>
      <c r="D345" s="2" t="s">
        <v>374</v>
      </c>
      <c r="E345" s="2" t="s">
        <v>375</v>
      </c>
      <c r="F345" s="3">
        <f t="shared" si="60"/>
        <v>44876</v>
      </c>
      <c r="G345" s="4">
        <f t="shared" si="53"/>
        <v>11</v>
      </c>
      <c r="H345" s="4">
        <f t="shared" si="54"/>
        <v>2022</v>
      </c>
      <c r="I345" s="2" t="s">
        <v>4</v>
      </c>
      <c r="J345" s="2" t="s">
        <v>784</v>
      </c>
      <c r="K345" s="2" t="s">
        <v>329</v>
      </c>
      <c r="L345" s="2" t="s">
        <v>330</v>
      </c>
      <c r="M345" s="2" t="s">
        <v>119</v>
      </c>
      <c r="N345" s="4" t="str">
        <f t="shared" si="55"/>
        <v>TON</v>
      </c>
      <c r="O345" s="5">
        <v>6</v>
      </c>
      <c r="Q345" t="str">
        <f t="shared" si="56"/>
        <v>MAC628YM8</v>
      </c>
      <c r="R345" t="str">
        <f t="shared" si="57"/>
        <v>Dyna Flo 6-2-8YM8</v>
      </c>
      <c r="S345" s="32">
        <f t="shared" si="59"/>
        <v>247.51499999999996</v>
      </c>
      <c r="U345" t="s">
        <v>330</v>
      </c>
      <c r="V345" s="32">
        <v>247.51499999999996</v>
      </c>
    </row>
    <row r="346" spans="2:22" x14ac:dyDescent="0.25">
      <c r="B346" s="1" t="s">
        <v>195</v>
      </c>
      <c r="C346" s="2" t="s">
        <v>196</v>
      </c>
      <c r="D346" s="2" t="s">
        <v>248</v>
      </c>
      <c r="E346" s="2" t="s">
        <v>785</v>
      </c>
      <c r="F346" s="3">
        <f t="shared" si="60"/>
        <v>44876</v>
      </c>
      <c r="G346" s="4">
        <f t="shared" si="53"/>
        <v>11</v>
      </c>
      <c r="H346" s="4">
        <f t="shared" si="54"/>
        <v>2022</v>
      </c>
      <c r="I346" s="2" t="s">
        <v>4</v>
      </c>
      <c r="J346" s="2" t="s">
        <v>786</v>
      </c>
      <c r="K346" s="2" t="s">
        <v>339</v>
      </c>
      <c r="L346" s="2" t="s">
        <v>340</v>
      </c>
      <c r="M346" s="2" t="s">
        <v>119</v>
      </c>
      <c r="N346" s="4" t="str">
        <f t="shared" si="55"/>
        <v>TON</v>
      </c>
      <c r="O346" s="5">
        <v>15</v>
      </c>
      <c r="Q346" t="str">
        <f t="shared" si="56"/>
        <v>MAC523YP1</v>
      </c>
      <c r="R346" t="str">
        <f t="shared" si="57"/>
        <v>Dyna Flo 5-2-3 YP1</v>
      </c>
      <c r="S346" s="32">
        <f t="shared" si="59"/>
        <v>58.015000000000001</v>
      </c>
      <c r="U346" t="s">
        <v>340</v>
      </c>
      <c r="V346" s="32">
        <v>58.015000000000001</v>
      </c>
    </row>
    <row r="347" spans="2:22" x14ac:dyDescent="0.25">
      <c r="B347" s="1" t="s">
        <v>195</v>
      </c>
      <c r="C347" s="2" t="s">
        <v>196</v>
      </c>
      <c r="D347" s="2" t="s">
        <v>253</v>
      </c>
      <c r="E347" s="2" t="s">
        <v>254</v>
      </c>
      <c r="F347" s="3">
        <f t="shared" si="60"/>
        <v>44876</v>
      </c>
      <c r="G347" s="4">
        <f t="shared" si="53"/>
        <v>11</v>
      </c>
      <c r="H347" s="4">
        <f t="shared" si="54"/>
        <v>2022</v>
      </c>
      <c r="I347" s="2" t="s">
        <v>4</v>
      </c>
      <c r="J347" s="2" t="s">
        <v>787</v>
      </c>
      <c r="K347" s="2" t="s">
        <v>256</v>
      </c>
      <c r="L347" s="2" t="s">
        <v>257</v>
      </c>
      <c r="M347" s="2" t="s">
        <v>119</v>
      </c>
      <c r="N347" s="4" t="str">
        <f t="shared" si="55"/>
        <v>TON</v>
      </c>
      <c r="O347" s="5">
        <v>2.5</v>
      </c>
      <c r="Q347" t="str">
        <f t="shared" si="56"/>
        <v>MAC828YM5</v>
      </c>
      <c r="R347" t="str">
        <f t="shared" si="57"/>
        <v>Dyna Flo 8-2-8YM5</v>
      </c>
      <c r="S347" s="32">
        <f t="shared" si="59"/>
        <v>5</v>
      </c>
      <c r="U347" t="s">
        <v>257</v>
      </c>
      <c r="V347" s="32">
        <v>5</v>
      </c>
    </row>
    <row r="348" spans="2:22" x14ac:dyDescent="0.25">
      <c r="B348" s="1" t="s">
        <v>195</v>
      </c>
      <c r="C348" s="2" t="s">
        <v>196</v>
      </c>
      <c r="D348" s="2" t="s">
        <v>418</v>
      </c>
      <c r="E348" s="2" t="s">
        <v>770</v>
      </c>
      <c r="F348" s="3">
        <f t="shared" si="60"/>
        <v>44876</v>
      </c>
      <c r="G348" s="4">
        <f t="shared" si="53"/>
        <v>11</v>
      </c>
      <c r="H348" s="4">
        <f t="shared" si="54"/>
        <v>2022</v>
      </c>
      <c r="I348" s="2" t="s">
        <v>4</v>
      </c>
      <c r="J348" s="2" t="s">
        <v>788</v>
      </c>
      <c r="K348" s="2" t="s">
        <v>422</v>
      </c>
      <c r="L348" s="2" t="s">
        <v>423</v>
      </c>
      <c r="M348" s="2" t="s">
        <v>119</v>
      </c>
      <c r="N348" s="4" t="str">
        <f t="shared" si="55"/>
        <v>TON</v>
      </c>
      <c r="O348" s="5">
        <v>4.5049999999999999</v>
      </c>
      <c r="Q348" t="str">
        <f t="shared" si="56"/>
        <v>MAC527YM18</v>
      </c>
      <c r="R348" t="str">
        <f t="shared" si="57"/>
        <v>Dyna Flo 5-2-7YM18</v>
      </c>
      <c r="S348" s="32">
        <f t="shared" si="59"/>
        <v>35.25</v>
      </c>
      <c r="U348" t="s">
        <v>423</v>
      </c>
      <c r="V348" s="32">
        <v>35.25</v>
      </c>
    </row>
    <row r="349" spans="2:22" x14ac:dyDescent="0.25">
      <c r="B349" s="1" t="s">
        <v>195</v>
      </c>
      <c r="C349" s="2" t="s">
        <v>196</v>
      </c>
      <c r="D349" s="2" t="s">
        <v>326</v>
      </c>
      <c r="E349" s="2" t="s">
        <v>327</v>
      </c>
      <c r="F349" s="3">
        <f t="shared" si="60"/>
        <v>44876</v>
      </c>
      <c r="G349" s="4">
        <f t="shared" si="53"/>
        <v>11</v>
      </c>
      <c r="H349" s="4">
        <f t="shared" si="54"/>
        <v>2022</v>
      </c>
      <c r="I349" s="2" t="s">
        <v>4</v>
      </c>
      <c r="J349" s="2" t="s">
        <v>789</v>
      </c>
      <c r="K349" s="2" t="s">
        <v>329</v>
      </c>
      <c r="L349" s="2" t="s">
        <v>330</v>
      </c>
      <c r="M349" s="2" t="s">
        <v>119</v>
      </c>
      <c r="N349" s="4" t="str">
        <f t="shared" si="55"/>
        <v>TON</v>
      </c>
      <c r="O349" s="5">
        <v>2.5</v>
      </c>
      <c r="Q349" t="str">
        <f t="shared" si="56"/>
        <v>MAC628YM8</v>
      </c>
      <c r="R349" t="str">
        <f t="shared" si="57"/>
        <v>Dyna Flo 6-2-8YM8</v>
      </c>
      <c r="S349" s="32">
        <f t="shared" si="59"/>
        <v>247.51499999999996</v>
      </c>
      <c r="U349" t="s">
        <v>330</v>
      </c>
      <c r="V349" s="32">
        <v>247.51499999999996</v>
      </c>
    </row>
    <row r="350" spans="2:22" x14ac:dyDescent="0.25">
      <c r="B350" s="1" t="s">
        <v>195</v>
      </c>
      <c r="C350" s="2" t="s">
        <v>196</v>
      </c>
      <c r="D350" s="2" t="s">
        <v>790</v>
      </c>
      <c r="E350" s="2" t="s">
        <v>791</v>
      </c>
      <c r="F350" s="3">
        <f t="shared" si="60"/>
        <v>44876</v>
      </c>
      <c r="G350" s="4">
        <f t="shared" si="53"/>
        <v>11</v>
      </c>
      <c r="H350" s="4">
        <f t="shared" si="54"/>
        <v>2022</v>
      </c>
      <c r="I350" s="2" t="s">
        <v>4</v>
      </c>
      <c r="J350" s="2" t="s">
        <v>792</v>
      </c>
      <c r="K350" s="2" t="s">
        <v>122</v>
      </c>
      <c r="L350" s="2" t="s">
        <v>123</v>
      </c>
      <c r="M350" s="2" t="s">
        <v>119</v>
      </c>
      <c r="N350" s="4" t="str">
        <f t="shared" si="55"/>
        <v>TON</v>
      </c>
      <c r="O350" s="5">
        <v>13.5425</v>
      </c>
      <c r="Q350" t="str">
        <f t="shared" si="56"/>
        <v>MAC528YZ</v>
      </c>
      <c r="R350" t="str">
        <f t="shared" si="57"/>
        <v>Dyna Flo 5-2-8 YZ</v>
      </c>
      <c r="S350" s="32">
        <f t="shared" si="59"/>
        <v>395.40750000000003</v>
      </c>
      <c r="U350" t="s">
        <v>123</v>
      </c>
      <c r="V350" s="32">
        <v>395.40750000000003</v>
      </c>
    </row>
    <row r="351" spans="2:22" x14ac:dyDescent="0.25">
      <c r="B351" s="1" t="s">
        <v>195</v>
      </c>
      <c r="C351" s="2" t="s">
        <v>196</v>
      </c>
      <c r="D351" s="2" t="s">
        <v>227</v>
      </c>
      <c r="E351" s="2" t="s">
        <v>56</v>
      </c>
      <c r="F351" s="3">
        <f t="shared" ref="F351:F361" si="61">DATE(2022,11,14)</f>
        <v>44879</v>
      </c>
      <c r="G351" s="4">
        <f t="shared" si="53"/>
        <v>11</v>
      </c>
      <c r="H351" s="4">
        <f t="shared" si="54"/>
        <v>2022</v>
      </c>
      <c r="I351" s="2" t="s">
        <v>4</v>
      </c>
      <c r="J351" s="2" t="s">
        <v>793</v>
      </c>
      <c r="K351" s="2" t="s">
        <v>329</v>
      </c>
      <c r="L351" s="2" t="s">
        <v>330</v>
      </c>
      <c r="M351" s="2" t="s">
        <v>119</v>
      </c>
      <c r="N351" s="4" t="str">
        <f t="shared" si="55"/>
        <v>TON</v>
      </c>
      <c r="O351" s="5">
        <v>5.0075000000000003</v>
      </c>
      <c r="Q351" t="str">
        <f t="shared" si="56"/>
        <v>MAC628YM8</v>
      </c>
      <c r="R351" t="str">
        <f t="shared" si="57"/>
        <v>Dyna Flo 6-2-8YM8</v>
      </c>
      <c r="S351" s="32">
        <f t="shared" si="59"/>
        <v>247.51499999999996</v>
      </c>
      <c r="U351" t="s">
        <v>330</v>
      </c>
      <c r="V351" s="32">
        <v>247.51499999999996</v>
      </c>
    </row>
    <row r="352" spans="2:22" x14ac:dyDescent="0.25">
      <c r="B352" s="1" t="s">
        <v>195</v>
      </c>
      <c r="C352" s="2" t="s">
        <v>196</v>
      </c>
      <c r="D352" s="2" t="s">
        <v>285</v>
      </c>
      <c r="E352" s="2" t="s">
        <v>412</v>
      </c>
      <c r="F352" s="3">
        <f t="shared" si="61"/>
        <v>44879</v>
      </c>
      <c r="G352" s="4">
        <f t="shared" si="53"/>
        <v>11</v>
      </c>
      <c r="H352" s="4">
        <f t="shared" si="54"/>
        <v>2022</v>
      </c>
      <c r="I352" s="2" t="s">
        <v>4</v>
      </c>
      <c r="J352" s="2" t="s">
        <v>794</v>
      </c>
      <c r="K352" s="2" t="s">
        <v>292</v>
      </c>
      <c r="L352" s="2" t="s">
        <v>293</v>
      </c>
      <c r="M352" s="2" t="s">
        <v>119</v>
      </c>
      <c r="N352" s="4" t="str">
        <f t="shared" si="55"/>
        <v>TON</v>
      </c>
      <c r="O352" s="5">
        <v>7.0125000000000002</v>
      </c>
      <c r="Q352" t="str">
        <f t="shared" si="56"/>
        <v>MAC608YB5</v>
      </c>
      <c r="R352" t="str">
        <f t="shared" si="57"/>
        <v>Dyna Flo 6-0-8 YB5</v>
      </c>
      <c r="S352" s="32">
        <f t="shared" si="59"/>
        <v>78.175000000000011</v>
      </c>
      <c r="U352" t="s">
        <v>293</v>
      </c>
      <c r="V352" s="32">
        <v>78.175000000000011</v>
      </c>
    </row>
    <row r="353" spans="2:22" x14ac:dyDescent="0.25">
      <c r="B353" s="1" t="s">
        <v>195</v>
      </c>
      <c r="C353" s="2" t="s">
        <v>196</v>
      </c>
      <c r="D353" s="2" t="s">
        <v>114</v>
      </c>
      <c r="E353" s="2" t="s">
        <v>377</v>
      </c>
      <c r="F353" s="3">
        <f t="shared" si="61"/>
        <v>44879</v>
      </c>
      <c r="G353" s="4">
        <f t="shared" si="53"/>
        <v>11</v>
      </c>
      <c r="H353" s="4">
        <f t="shared" si="54"/>
        <v>2022</v>
      </c>
      <c r="I353" s="2" t="s">
        <v>4</v>
      </c>
      <c r="J353" s="2" t="s">
        <v>795</v>
      </c>
      <c r="K353" s="2" t="s">
        <v>117</v>
      </c>
      <c r="L353" s="2" t="s">
        <v>118</v>
      </c>
      <c r="M353" s="2" t="s">
        <v>119</v>
      </c>
      <c r="N353" s="4" t="str">
        <f t="shared" si="55"/>
        <v>TON</v>
      </c>
      <c r="O353" s="5">
        <v>4.9950000000000001</v>
      </c>
      <c r="Q353" t="str">
        <f t="shared" si="56"/>
        <v>MAC428YM8</v>
      </c>
      <c r="R353" t="str">
        <f t="shared" si="57"/>
        <v>Dyna Flo 4-2-8YM8</v>
      </c>
      <c r="S353" s="32">
        <f t="shared" si="59"/>
        <v>517.73950000000002</v>
      </c>
      <c r="U353" t="s">
        <v>118</v>
      </c>
      <c r="V353" s="32">
        <v>517.73950000000002</v>
      </c>
    </row>
    <row r="354" spans="2:22" x14ac:dyDescent="0.25">
      <c r="B354" s="1" t="s">
        <v>195</v>
      </c>
      <c r="C354" s="2" t="s">
        <v>196</v>
      </c>
      <c r="D354" s="2" t="s">
        <v>221</v>
      </c>
      <c r="E354" s="2" t="s">
        <v>271</v>
      </c>
      <c r="F354" s="3">
        <f t="shared" si="61"/>
        <v>44879</v>
      </c>
      <c r="G354" s="4">
        <f t="shared" si="53"/>
        <v>11</v>
      </c>
      <c r="H354" s="4">
        <f t="shared" si="54"/>
        <v>2022</v>
      </c>
      <c r="I354" s="2" t="s">
        <v>4</v>
      </c>
      <c r="J354" s="2" t="s">
        <v>796</v>
      </c>
      <c r="K354" s="2" t="s">
        <v>205</v>
      </c>
      <c r="L354" s="2" t="s">
        <v>206</v>
      </c>
      <c r="M354" s="2" t="s">
        <v>119</v>
      </c>
      <c r="N354" s="4" t="str">
        <f t="shared" si="55"/>
        <v>TON</v>
      </c>
      <c r="O354" s="5">
        <v>5</v>
      </c>
      <c r="Q354" t="str">
        <f t="shared" si="56"/>
        <v>MAC927YM3</v>
      </c>
      <c r="R354" t="str">
        <f t="shared" si="57"/>
        <v>Dyna Flo 9-2-7YM3</v>
      </c>
      <c r="S354" s="32">
        <f t="shared" si="59"/>
        <v>284.6674999999999</v>
      </c>
      <c r="U354" t="s">
        <v>206</v>
      </c>
      <c r="V354" s="32">
        <v>284.6674999999999</v>
      </c>
    </row>
    <row r="355" spans="2:22" x14ac:dyDescent="0.25">
      <c r="B355" s="1" t="s">
        <v>195</v>
      </c>
      <c r="C355" s="2" t="s">
        <v>196</v>
      </c>
      <c r="D355" s="2" t="s">
        <v>387</v>
      </c>
      <c r="E355" s="2" t="s">
        <v>797</v>
      </c>
      <c r="F355" s="3">
        <f t="shared" si="61"/>
        <v>44879</v>
      </c>
      <c r="G355" s="4">
        <f t="shared" si="53"/>
        <v>11</v>
      </c>
      <c r="H355" s="4">
        <f t="shared" si="54"/>
        <v>2022</v>
      </c>
      <c r="I355" s="2" t="s">
        <v>4</v>
      </c>
      <c r="J355" s="2" t="s">
        <v>798</v>
      </c>
      <c r="K355" s="2" t="s">
        <v>122</v>
      </c>
      <c r="L355" s="2" t="s">
        <v>123</v>
      </c>
      <c r="M355" s="2" t="s">
        <v>119</v>
      </c>
      <c r="N355" s="4" t="str">
        <f t="shared" si="55"/>
        <v>TON</v>
      </c>
      <c r="O355" s="5">
        <v>12</v>
      </c>
      <c r="Q355" t="str">
        <f t="shared" si="56"/>
        <v>MAC528YZ</v>
      </c>
      <c r="R355" t="str">
        <f t="shared" si="57"/>
        <v>Dyna Flo 5-2-8 YZ</v>
      </c>
      <c r="S355" s="32">
        <f t="shared" si="59"/>
        <v>395.40750000000003</v>
      </c>
      <c r="U355" t="s">
        <v>123</v>
      </c>
      <c r="V355" s="32">
        <v>395.40750000000003</v>
      </c>
    </row>
    <row r="356" spans="2:22" x14ac:dyDescent="0.25">
      <c r="B356" s="1" t="s">
        <v>195</v>
      </c>
      <c r="C356" s="2" t="s">
        <v>196</v>
      </c>
      <c r="D356" s="2" t="s">
        <v>241</v>
      </c>
      <c r="E356" s="2" t="s">
        <v>258</v>
      </c>
      <c r="F356" s="3">
        <f t="shared" si="61"/>
        <v>44879</v>
      </c>
      <c r="G356" s="4">
        <f t="shared" si="53"/>
        <v>11</v>
      </c>
      <c r="H356" s="4">
        <f t="shared" si="54"/>
        <v>2022</v>
      </c>
      <c r="I356" s="2" t="s">
        <v>4</v>
      </c>
      <c r="J356" s="2" t="s">
        <v>799</v>
      </c>
      <c r="K356" s="2" t="s">
        <v>260</v>
      </c>
      <c r="L356" s="2" t="s">
        <v>261</v>
      </c>
      <c r="M356" s="2" t="s">
        <v>119</v>
      </c>
      <c r="N356" s="4" t="str">
        <f t="shared" si="55"/>
        <v>TON</v>
      </c>
      <c r="O356" s="5">
        <v>1.9924999999999999</v>
      </c>
      <c r="Q356" t="str">
        <f t="shared" si="56"/>
        <v>MAC429YM</v>
      </c>
      <c r="R356" t="str">
        <f t="shared" si="57"/>
        <v>Dyna Flo 4-2-9YM</v>
      </c>
      <c r="S356" s="32">
        <f t="shared" si="59"/>
        <v>11.317500000000001</v>
      </c>
      <c r="U356" t="s">
        <v>261</v>
      </c>
      <c r="V356" s="32">
        <v>11.317500000000001</v>
      </c>
    </row>
    <row r="357" spans="2:22" x14ac:dyDescent="0.25">
      <c r="B357" s="1" t="s">
        <v>195</v>
      </c>
      <c r="C357" s="2" t="s">
        <v>196</v>
      </c>
      <c r="D357" s="2" t="s">
        <v>800</v>
      </c>
      <c r="E357" s="2" t="s">
        <v>801</v>
      </c>
      <c r="F357" s="3">
        <f t="shared" si="61"/>
        <v>44879</v>
      </c>
      <c r="G357" s="4">
        <f t="shared" si="53"/>
        <v>11</v>
      </c>
      <c r="H357" s="4">
        <f t="shared" si="54"/>
        <v>2022</v>
      </c>
      <c r="I357" s="2" t="s">
        <v>4</v>
      </c>
      <c r="J357" s="2" t="s">
        <v>802</v>
      </c>
      <c r="K357" s="2" t="s">
        <v>329</v>
      </c>
      <c r="L357" s="2" t="s">
        <v>330</v>
      </c>
      <c r="M357" s="2" t="s">
        <v>119</v>
      </c>
      <c r="N357" s="4" t="str">
        <f t="shared" si="55"/>
        <v>TON</v>
      </c>
      <c r="O357" s="5">
        <v>2</v>
      </c>
      <c r="Q357" t="str">
        <f t="shared" si="56"/>
        <v>MAC628YM8</v>
      </c>
      <c r="R357" t="str">
        <f t="shared" si="57"/>
        <v>Dyna Flo 6-2-8YM8</v>
      </c>
      <c r="S357" s="32">
        <f t="shared" si="59"/>
        <v>247.51499999999996</v>
      </c>
      <c r="U357" t="s">
        <v>330</v>
      </c>
      <c r="V357" s="32">
        <v>247.51499999999996</v>
      </c>
    </row>
    <row r="358" spans="2:22" x14ac:dyDescent="0.25">
      <c r="B358" s="1" t="s">
        <v>195</v>
      </c>
      <c r="C358" s="2" t="s">
        <v>196</v>
      </c>
      <c r="D358" s="2" t="s">
        <v>221</v>
      </c>
      <c r="E358" s="2" t="s">
        <v>141</v>
      </c>
      <c r="F358" s="3">
        <f t="shared" si="61"/>
        <v>44879</v>
      </c>
      <c r="G358" s="4">
        <f t="shared" si="53"/>
        <v>11</v>
      </c>
      <c r="H358" s="4">
        <f t="shared" si="54"/>
        <v>2022</v>
      </c>
      <c r="I358" s="2" t="s">
        <v>4</v>
      </c>
      <c r="J358" s="2" t="s">
        <v>803</v>
      </c>
      <c r="K358" s="2" t="s">
        <v>205</v>
      </c>
      <c r="L358" s="2" t="s">
        <v>206</v>
      </c>
      <c r="M358" s="2" t="s">
        <v>119</v>
      </c>
      <c r="N358" s="4" t="str">
        <f t="shared" si="55"/>
        <v>TON</v>
      </c>
      <c r="O358" s="5">
        <v>2.4950000000000001</v>
      </c>
      <c r="Q358" t="str">
        <f t="shared" si="56"/>
        <v>MAC927YM3</v>
      </c>
      <c r="R358" t="str">
        <f t="shared" si="57"/>
        <v>Dyna Flo 9-2-7YM3</v>
      </c>
      <c r="S358" s="32">
        <f t="shared" si="59"/>
        <v>284.6674999999999</v>
      </c>
      <c r="U358" t="s">
        <v>206</v>
      </c>
      <c r="V358" s="32">
        <v>284.6674999999999</v>
      </c>
    </row>
    <row r="359" spans="2:22" x14ac:dyDescent="0.25">
      <c r="B359" s="1" t="s">
        <v>195</v>
      </c>
      <c r="C359" s="2" t="s">
        <v>196</v>
      </c>
      <c r="D359" s="2" t="s">
        <v>437</v>
      </c>
      <c r="E359" s="2" t="s">
        <v>438</v>
      </c>
      <c r="F359" s="3">
        <f t="shared" si="61"/>
        <v>44879</v>
      </c>
      <c r="G359" s="4">
        <f t="shared" si="53"/>
        <v>11</v>
      </c>
      <c r="H359" s="4">
        <f t="shared" si="54"/>
        <v>2022</v>
      </c>
      <c r="I359" s="2" t="s">
        <v>4</v>
      </c>
      <c r="J359" s="2" t="s">
        <v>804</v>
      </c>
      <c r="K359" s="2" t="s">
        <v>447</v>
      </c>
      <c r="L359" s="2" t="s">
        <v>448</v>
      </c>
      <c r="M359" s="2" t="s">
        <v>119</v>
      </c>
      <c r="N359" s="4" t="str">
        <f t="shared" si="55"/>
        <v>TON</v>
      </c>
      <c r="O359" s="5">
        <v>5.0075000000000003</v>
      </c>
      <c r="Q359" t="str">
        <f t="shared" si="56"/>
        <v>MAC727YM15</v>
      </c>
      <c r="R359" t="str">
        <f t="shared" si="57"/>
        <v>Dyna Flo 7-2-7YM15</v>
      </c>
      <c r="S359" s="32">
        <f t="shared" si="59"/>
        <v>113.6925</v>
      </c>
      <c r="U359" t="s">
        <v>448</v>
      </c>
      <c r="V359" s="32">
        <v>113.6925</v>
      </c>
    </row>
    <row r="360" spans="2:22" x14ac:dyDescent="0.25">
      <c r="B360" s="1" t="s">
        <v>195</v>
      </c>
      <c r="C360" s="2" t="s">
        <v>196</v>
      </c>
      <c r="D360" s="2" t="s">
        <v>215</v>
      </c>
      <c r="E360" s="2" t="s">
        <v>313</v>
      </c>
      <c r="F360" s="3">
        <f t="shared" si="61"/>
        <v>44879</v>
      </c>
      <c r="G360" s="4">
        <f t="shared" si="53"/>
        <v>11</v>
      </c>
      <c r="H360" s="4">
        <f t="shared" si="54"/>
        <v>2022</v>
      </c>
      <c r="I360" s="2" t="s">
        <v>4</v>
      </c>
      <c r="J360" s="2" t="s">
        <v>805</v>
      </c>
      <c r="K360" s="2" t="s">
        <v>205</v>
      </c>
      <c r="L360" s="2" t="s">
        <v>206</v>
      </c>
      <c r="M360" s="2" t="s">
        <v>119</v>
      </c>
      <c r="N360" s="4" t="str">
        <f t="shared" si="55"/>
        <v>TON</v>
      </c>
      <c r="O360" s="5">
        <v>3.76</v>
      </c>
      <c r="Q360" t="str">
        <f t="shared" si="56"/>
        <v>MAC927YM3</v>
      </c>
      <c r="R360" t="str">
        <f t="shared" si="57"/>
        <v>Dyna Flo 9-2-7YM3</v>
      </c>
      <c r="S360" s="32">
        <f t="shared" si="59"/>
        <v>284.6674999999999</v>
      </c>
      <c r="U360" t="s">
        <v>206</v>
      </c>
      <c r="V360" s="32">
        <v>284.6674999999999</v>
      </c>
    </row>
    <row r="361" spans="2:22" x14ac:dyDescent="0.25">
      <c r="B361" s="1" t="s">
        <v>195</v>
      </c>
      <c r="C361" s="2" t="s">
        <v>196</v>
      </c>
      <c r="D361" s="2" t="s">
        <v>265</v>
      </c>
      <c r="E361" s="2" t="s">
        <v>266</v>
      </c>
      <c r="F361" s="3">
        <f t="shared" si="61"/>
        <v>44879</v>
      </c>
      <c r="G361" s="4">
        <f t="shared" si="53"/>
        <v>11</v>
      </c>
      <c r="H361" s="4">
        <f t="shared" si="54"/>
        <v>2022</v>
      </c>
      <c r="I361" s="2" t="s">
        <v>4</v>
      </c>
      <c r="J361" s="2" t="s">
        <v>806</v>
      </c>
      <c r="K361" s="2" t="s">
        <v>268</v>
      </c>
      <c r="L361" s="2" t="s">
        <v>269</v>
      </c>
      <c r="M361" s="2" t="s">
        <v>119</v>
      </c>
      <c r="N361" s="4" t="str">
        <f t="shared" si="55"/>
        <v>TON</v>
      </c>
      <c r="O361" s="5">
        <v>0.15</v>
      </c>
      <c r="Q361" t="str">
        <f t="shared" si="56"/>
        <v>MAC927YM1</v>
      </c>
      <c r="R361" t="str">
        <f t="shared" si="57"/>
        <v>Dyna Flo 9-2-7YM1</v>
      </c>
      <c r="S361" s="32">
        <f t="shared" si="59"/>
        <v>2.5249999999999995</v>
      </c>
      <c r="U361" t="s">
        <v>269</v>
      </c>
      <c r="V361" s="32">
        <v>2.5249999999999995</v>
      </c>
    </row>
    <row r="362" spans="2:22" x14ac:dyDescent="0.25">
      <c r="B362" s="1" t="s">
        <v>195</v>
      </c>
      <c r="C362" s="2" t="s">
        <v>196</v>
      </c>
      <c r="D362" s="2" t="s">
        <v>317</v>
      </c>
      <c r="E362" s="2" t="s">
        <v>807</v>
      </c>
      <c r="F362" s="3">
        <f>DATE(2022,11,15)</f>
        <v>44880</v>
      </c>
      <c r="G362" s="4">
        <f t="shared" si="53"/>
        <v>11</v>
      </c>
      <c r="H362" s="4">
        <f t="shared" si="54"/>
        <v>2022</v>
      </c>
      <c r="I362" s="2" t="s">
        <v>4</v>
      </c>
      <c r="J362" s="2" t="s">
        <v>808</v>
      </c>
      <c r="K362" s="2" t="s">
        <v>117</v>
      </c>
      <c r="L362" s="2" t="s">
        <v>118</v>
      </c>
      <c r="M362" s="2" t="s">
        <v>119</v>
      </c>
      <c r="N362" s="4" t="str">
        <f t="shared" si="55"/>
        <v>TON</v>
      </c>
      <c r="O362" s="5">
        <v>2.5</v>
      </c>
      <c r="Q362" t="str">
        <f t="shared" si="56"/>
        <v>MAC428YM8</v>
      </c>
      <c r="R362" t="str">
        <f t="shared" si="57"/>
        <v>Dyna Flo 4-2-8YM8</v>
      </c>
      <c r="S362" s="32">
        <f t="shared" si="59"/>
        <v>517.73950000000002</v>
      </c>
      <c r="U362" t="s">
        <v>118</v>
      </c>
      <c r="V362" s="32">
        <v>517.73950000000002</v>
      </c>
    </row>
    <row r="363" spans="2:22" x14ac:dyDescent="0.25">
      <c r="B363" s="1" t="s">
        <v>195</v>
      </c>
      <c r="C363" s="2" t="s">
        <v>196</v>
      </c>
      <c r="D363" s="2" t="s">
        <v>321</v>
      </c>
      <c r="E363" s="2" t="s">
        <v>697</v>
      </c>
      <c r="F363" s="3">
        <f>DATE(2022,11,15)</f>
        <v>44880</v>
      </c>
      <c r="G363" s="4">
        <f t="shared" si="53"/>
        <v>11</v>
      </c>
      <c r="H363" s="4">
        <f t="shared" si="54"/>
        <v>2022</v>
      </c>
      <c r="I363" s="2" t="s">
        <v>4</v>
      </c>
      <c r="J363" s="2" t="s">
        <v>809</v>
      </c>
      <c r="K363" s="2" t="s">
        <v>324</v>
      </c>
      <c r="L363" s="2" t="s">
        <v>325</v>
      </c>
      <c r="M363" s="2" t="s">
        <v>119</v>
      </c>
      <c r="N363" s="4" t="str">
        <f t="shared" si="55"/>
        <v>TON</v>
      </c>
      <c r="O363" s="5">
        <v>10.012499999999999</v>
      </c>
      <c r="Q363" t="str">
        <f t="shared" si="56"/>
        <v>MAC737YM</v>
      </c>
      <c r="R363" t="str">
        <f t="shared" si="57"/>
        <v>Dyna Flo 7-3-7 YM</v>
      </c>
      <c r="S363" s="32">
        <f t="shared" si="59"/>
        <v>99.21250000000002</v>
      </c>
      <c r="U363" t="s">
        <v>325</v>
      </c>
      <c r="V363" s="32">
        <v>99.21250000000002</v>
      </c>
    </row>
    <row r="364" spans="2:22" x14ac:dyDescent="0.25">
      <c r="B364" s="1" t="s">
        <v>195</v>
      </c>
      <c r="C364" s="2" t="s">
        <v>196</v>
      </c>
      <c r="D364" s="2" t="s">
        <v>224</v>
      </c>
      <c r="E364" s="2" t="s">
        <v>361</v>
      </c>
      <c r="F364" s="3">
        <f>DATE(2022,11,15)</f>
        <v>44880</v>
      </c>
      <c r="G364" s="4">
        <f t="shared" si="53"/>
        <v>11</v>
      </c>
      <c r="H364" s="4">
        <f t="shared" si="54"/>
        <v>2022</v>
      </c>
      <c r="I364" s="2" t="s">
        <v>4</v>
      </c>
      <c r="J364" s="2" t="s">
        <v>810</v>
      </c>
      <c r="K364" s="2" t="s">
        <v>122</v>
      </c>
      <c r="L364" s="2" t="s">
        <v>123</v>
      </c>
      <c r="M364" s="2" t="s">
        <v>119</v>
      </c>
      <c r="N364" s="4" t="str">
        <f t="shared" si="55"/>
        <v>TON</v>
      </c>
      <c r="O364" s="5">
        <v>5</v>
      </c>
      <c r="Q364" t="str">
        <f t="shared" si="56"/>
        <v>MAC528YZ</v>
      </c>
      <c r="R364" t="str">
        <f t="shared" si="57"/>
        <v>Dyna Flo 5-2-8 YZ</v>
      </c>
      <c r="S364" s="32">
        <f t="shared" si="59"/>
        <v>395.40750000000003</v>
      </c>
      <c r="U364" t="s">
        <v>123</v>
      </c>
      <c r="V364" s="32">
        <v>395.40750000000003</v>
      </c>
    </row>
    <row r="365" spans="2:22" x14ac:dyDescent="0.25">
      <c r="B365" s="1" t="s">
        <v>195</v>
      </c>
      <c r="C365" s="2" t="s">
        <v>196</v>
      </c>
      <c r="D365" s="2" t="s">
        <v>280</v>
      </c>
      <c r="E365" s="2" t="s">
        <v>811</v>
      </c>
      <c r="F365" s="3">
        <f>DATE(2022,11,15)</f>
        <v>44880</v>
      </c>
      <c r="G365" s="4">
        <f t="shared" si="53"/>
        <v>11</v>
      </c>
      <c r="H365" s="4">
        <f t="shared" si="54"/>
        <v>2022</v>
      </c>
      <c r="I365" s="2" t="s">
        <v>4</v>
      </c>
      <c r="J365" s="2" t="s">
        <v>812</v>
      </c>
      <c r="K365" s="2" t="s">
        <v>117</v>
      </c>
      <c r="L365" s="2" t="s">
        <v>118</v>
      </c>
      <c r="M365" s="2" t="s">
        <v>119</v>
      </c>
      <c r="N365" s="4" t="str">
        <f t="shared" si="55"/>
        <v>TON</v>
      </c>
      <c r="O365" s="5">
        <v>12.54</v>
      </c>
      <c r="Q365" t="str">
        <f t="shared" si="56"/>
        <v>MAC428YM8</v>
      </c>
      <c r="R365" t="str">
        <f t="shared" si="57"/>
        <v>Dyna Flo 4-2-8YM8</v>
      </c>
      <c r="S365" s="32">
        <f t="shared" si="59"/>
        <v>517.73950000000002</v>
      </c>
      <c r="U365" t="s">
        <v>118</v>
      </c>
      <c r="V365" s="32">
        <v>517.73950000000002</v>
      </c>
    </row>
    <row r="366" spans="2:22" x14ac:dyDescent="0.25">
      <c r="B366" s="1" t="s">
        <v>195</v>
      </c>
      <c r="C366" s="2" t="s">
        <v>196</v>
      </c>
      <c r="D366" s="2" t="s">
        <v>280</v>
      </c>
      <c r="E366" s="2" t="s">
        <v>371</v>
      </c>
      <c r="F366" s="3">
        <f>DATE(2022,11,15)</f>
        <v>44880</v>
      </c>
      <c r="G366" s="4">
        <f t="shared" si="53"/>
        <v>11</v>
      </c>
      <c r="H366" s="4">
        <f t="shared" si="54"/>
        <v>2022</v>
      </c>
      <c r="I366" s="2" t="s">
        <v>4</v>
      </c>
      <c r="J366" s="2" t="s">
        <v>813</v>
      </c>
      <c r="K366" s="2" t="s">
        <v>117</v>
      </c>
      <c r="L366" s="2" t="s">
        <v>118</v>
      </c>
      <c r="M366" s="2" t="s">
        <v>119</v>
      </c>
      <c r="N366" s="4" t="str">
        <f t="shared" si="55"/>
        <v>TON</v>
      </c>
      <c r="O366" s="5">
        <v>12.026999999999999</v>
      </c>
      <c r="Q366" t="str">
        <f t="shared" si="56"/>
        <v>MAC428YM8</v>
      </c>
      <c r="R366" t="str">
        <f t="shared" si="57"/>
        <v>Dyna Flo 4-2-8YM8</v>
      </c>
      <c r="S366" s="32">
        <f t="shared" si="59"/>
        <v>517.73950000000002</v>
      </c>
      <c r="U366" t="s">
        <v>118</v>
      </c>
      <c r="V366" s="32">
        <v>517.73950000000002</v>
      </c>
    </row>
    <row r="367" spans="2:22" x14ac:dyDescent="0.25">
      <c r="B367" s="1" t="s">
        <v>195</v>
      </c>
      <c r="C367" s="2" t="s">
        <v>196</v>
      </c>
      <c r="D367" s="2" t="s">
        <v>321</v>
      </c>
      <c r="E367" s="2" t="s">
        <v>322</v>
      </c>
      <c r="F367" s="3">
        <f t="shared" ref="F367:F382" si="62">DATE(2022,11,16)</f>
        <v>44881</v>
      </c>
      <c r="G367" s="4">
        <f t="shared" si="53"/>
        <v>11</v>
      </c>
      <c r="H367" s="4">
        <f t="shared" si="54"/>
        <v>2022</v>
      </c>
      <c r="I367" s="2" t="s">
        <v>4</v>
      </c>
      <c r="J367" s="2" t="s">
        <v>814</v>
      </c>
      <c r="K367" s="2" t="s">
        <v>324</v>
      </c>
      <c r="L367" s="2" t="s">
        <v>325</v>
      </c>
      <c r="M367" s="2" t="s">
        <v>119</v>
      </c>
      <c r="N367" s="4" t="str">
        <f t="shared" si="55"/>
        <v>TON</v>
      </c>
      <c r="O367" s="5">
        <v>5.0549999999999997</v>
      </c>
      <c r="Q367" t="str">
        <f t="shared" si="56"/>
        <v>MAC737YM</v>
      </c>
      <c r="R367" t="str">
        <f t="shared" si="57"/>
        <v>Dyna Flo 7-3-7 YM</v>
      </c>
      <c r="S367" s="32">
        <f t="shared" si="59"/>
        <v>99.21250000000002</v>
      </c>
      <c r="U367" t="s">
        <v>325</v>
      </c>
      <c r="V367" s="32">
        <v>99.21250000000002</v>
      </c>
    </row>
    <row r="368" spans="2:22" x14ac:dyDescent="0.25">
      <c r="B368" s="6" t="s">
        <v>195</v>
      </c>
      <c r="C368" s="7" t="s">
        <v>196</v>
      </c>
      <c r="D368" s="8" t="s">
        <v>663</v>
      </c>
      <c r="E368" s="8" t="s">
        <v>102</v>
      </c>
      <c r="F368" s="9">
        <f t="shared" si="62"/>
        <v>44881</v>
      </c>
      <c r="G368" s="10">
        <f t="shared" si="53"/>
        <v>11</v>
      </c>
      <c r="H368" s="10">
        <f t="shared" si="54"/>
        <v>2022</v>
      </c>
      <c r="I368" s="8" t="s">
        <v>4</v>
      </c>
      <c r="J368" s="7" t="s">
        <v>815</v>
      </c>
      <c r="K368" s="8" t="s">
        <v>36</v>
      </c>
      <c r="L368" s="8" t="s">
        <v>511</v>
      </c>
      <c r="M368" s="8" t="s">
        <v>38</v>
      </c>
      <c r="N368" s="10" t="str">
        <f t="shared" si="55"/>
        <v>GAL</v>
      </c>
      <c r="O368" s="11">
        <v>5</v>
      </c>
      <c r="Q368" t="str">
        <f t="shared" si="56"/>
        <v>FLO3181802</v>
      </c>
      <c r="R368" t="str">
        <f t="shared" si="57"/>
        <v>Dyna Flo 3-18-18</v>
      </c>
      <c r="S368" s="32">
        <f t="shared" si="59"/>
        <v>575</v>
      </c>
      <c r="U368" t="s">
        <v>511</v>
      </c>
      <c r="V368" s="32">
        <v>575</v>
      </c>
    </row>
    <row r="369" spans="2:22" x14ac:dyDescent="0.25">
      <c r="B369" s="1" t="s">
        <v>195</v>
      </c>
      <c r="C369" s="2" t="s">
        <v>196</v>
      </c>
      <c r="D369" s="2" t="s">
        <v>663</v>
      </c>
      <c r="E369" s="2" t="s">
        <v>102</v>
      </c>
      <c r="F369" s="3">
        <f t="shared" si="62"/>
        <v>44881</v>
      </c>
      <c r="G369" s="4">
        <f t="shared" si="53"/>
        <v>11</v>
      </c>
      <c r="H369" s="4">
        <f t="shared" si="54"/>
        <v>2022</v>
      </c>
      <c r="I369" s="2" t="s">
        <v>4</v>
      </c>
      <c r="J369" s="2" t="s">
        <v>815</v>
      </c>
      <c r="K369" s="2" t="s">
        <v>25</v>
      </c>
      <c r="L369" s="2" t="s">
        <v>541</v>
      </c>
      <c r="M369" s="2" t="s">
        <v>27</v>
      </c>
      <c r="N369" s="4" t="str">
        <f t="shared" si="55"/>
        <v>GAL</v>
      </c>
      <c r="O369" s="5">
        <v>5</v>
      </c>
      <c r="Q369" t="str">
        <f t="shared" si="56"/>
        <v>GOLDCA02</v>
      </c>
      <c r="R369" t="str">
        <f t="shared" si="57"/>
        <v>Dyna Gold Calcium 8.25%</v>
      </c>
      <c r="S369" s="32">
        <f t="shared" si="59"/>
        <v>1280</v>
      </c>
      <c r="U369" t="s">
        <v>541</v>
      </c>
      <c r="V369" s="32">
        <v>1280</v>
      </c>
    </row>
    <row r="370" spans="2:22" x14ac:dyDescent="0.25">
      <c r="B370" s="1" t="s">
        <v>195</v>
      </c>
      <c r="C370" s="2" t="s">
        <v>196</v>
      </c>
      <c r="D370" s="2" t="s">
        <v>663</v>
      </c>
      <c r="E370" s="2" t="s">
        <v>102</v>
      </c>
      <c r="F370" s="3">
        <f t="shared" si="62"/>
        <v>44881</v>
      </c>
      <c r="G370" s="4">
        <f t="shared" si="53"/>
        <v>11</v>
      </c>
      <c r="H370" s="4">
        <f t="shared" si="54"/>
        <v>2022</v>
      </c>
      <c r="I370" s="2" t="s">
        <v>4</v>
      </c>
      <c r="J370" s="2" t="s">
        <v>815</v>
      </c>
      <c r="K370" s="2" t="s">
        <v>816</v>
      </c>
      <c r="L370" s="2" t="s">
        <v>545</v>
      </c>
      <c r="M370" s="2" t="s">
        <v>67</v>
      </c>
      <c r="N370" s="4" t="str">
        <f t="shared" si="55"/>
        <v>GAL</v>
      </c>
      <c r="O370" s="5">
        <v>5</v>
      </c>
      <c r="Q370" t="str">
        <f t="shared" si="56"/>
        <v>GOLDMG02</v>
      </c>
      <c r="R370" t="str">
        <f t="shared" si="57"/>
        <v>Dyna Gold Magnesium 4%</v>
      </c>
      <c r="S370" s="32">
        <f t="shared" si="59"/>
        <v>115</v>
      </c>
      <c r="U370" t="s">
        <v>545</v>
      </c>
      <c r="V370" s="32">
        <v>115</v>
      </c>
    </row>
    <row r="371" spans="2:22" x14ac:dyDescent="0.25">
      <c r="B371" s="1" t="s">
        <v>195</v>
      </c>
      <c r="C371" s="2" t="s">
        <v>196</v>
      </c>
      <c r="D371" s="2" t="s">
        <v>663</v>
      </c>
      <c r="E371" s="2" t="s">
        <v>102</v>
      </c>
      <c r="F371" s="3">
        <f t="shared" si="62"/>
        <v>44881</v>
      </c>
      <c r="G371" s="4">
        <f t="shared" si="53"/>
        <v>11</v>
      </c>
      <c r="H371" s="4">
        <f t="shared" si="54"/>
        <v>2022</v>
      </c>
      <c r="I371" s="2" t="s">
        <v>4</v>
      </c>
      <c r="J371" s="2" t="s">
        <v>815</v>
      </c>
      <c r="K371" s="2" t="s">
        <v>817</v>
      </c>
      <c r="L371" s="2" t="s">
        <v>818</v>
      </c>
      <c r="M371" s="2" t="s">
        <v>556</v>
      </c>
      <c r="N371" s="4" t="str">
        <f t="shared" si="55"/>
        <v>GAL</v>
      </c>
      <c r="O371" s="5">
        <v>5</v>
      </c>
      <c r="Q371" t="str">
        <f t="shared" si="56"/>
        <v>GOLDZN02</v>
      </c>
      <c r="R371" t="str">
        <f t="shared" si="57"/>
        <v>Dyna Gold Zinc 7%</v>
      </c>
      <c r="S371" s="32">
        <f t="shared" si="59"/>
        <v>5</v>
      </c>
      <c r="U371" t="s">
        <v>818</v>
      </c>
      <c r="V371" s="32">
        <v>5</v>
      </c>
    </row>
    <row r="372" spans="2:22" x14ac:dyDescent="0.25">
      <c r="B372" s="1" t="s">
        <v>195</v>
      </c>
      <c r="C372" s="2" t="s">
        <v>196</v>
      </c>
      <c r="D372" s="2" t="s">
        <v>672</v>
      </c>
      <c r="E372" s="2" t="s">
        <v>673</v>
      </c>
      <c r="F372" s="3">
        <f t="shared" si="62"/>
        <v>44881</v>
      </c>
      <c r="G372" s="4">
        <f t="shared" si="53"/>
        <v>11</v>
      </c>
      <c r="H372" s="4">
        <f t="shared" si="54"/>
        <v>2022</v>
      </c>
      <c r="I372" s="2" t="s">
        <v>4</v>
      </c>
      <c r="J372" s="2" t="s">
        <v>819</v>
      </c>
      <c r="K372" s="2" t="s">
        <v>820</v>
      </c>
      <c r="L372" s="2" t="s">
        <v>416</v>
      </c>
      <c r="M372" s="2" t="s">
        <v>417</v>
      </c>
      <c r="N372" s="4" t="str">
        <f t="shared" si="55"/>
        <v>GAL</v>
      </c>
      <c r="O372" s="5">
        <v>30</v>
      </c>
      <c r="Q372" t="str">
        <f t="shared" si="56"/>
        <v>PHURYPHOS02</v>
      </c>
      <c r="R372" t="str">
        <f t="shared" si="57"/>
        <v>pHury Phos</v>
      </c>
      <c r="S372" s="32">
        <f t="shared" si="59"/>
        <v>510</v>
      </c>
      <c r="U372" t="s">
        <v>416</v>
      </c>
      <c r="V372" s="32">
        <v>510</v>
      </c>
    </row>
    <row r="373" spans="2:22" x14ac:dyDescent="0.25">
      <c r="B373" s="1" t="s">
        <v>195</v>
      </c>
      <c r="C373" s="2" t="s">
        <v>196</v>
      </c>
      <c r="D373" s="2" t="s">
        <v>672</v>
      </c>
      <c r="E373" s="2" t="s">
        <v>673</v>
      </c>
      <c r="F373" s="3">
        <f t="shared" si="62"/>
        <v>44881</v>
      </c>
      <c r="G373" s="4">
        <f t="shared" si="53"/>
        <v>11</v>
      </c>
      <c r="H373" s="4">
        <f t="shared" si="54"/>
        <v>2022</v>
      </c>
      <c r="I373" s="2" t="s">
        <v>4</v>
      </c>
      <c r="J373" s="2" t="s">
        <v>819</v>
      </c>
      <c r="K373" s="2" t="s">
        <v>415</v>
      </c>
      <c r="L373" s="2" t="s">
        <v>416</v>
      </c>
      <c r="M373" s="2" t="s">
        <v>417</v>
      </c>
      <c r="N373" s="4" t="str">
        <f t="shared" si="55"/>
        <v>GAL</v>
      </c>
      <c r="O373" s="5">
        <v>180</v>
      </c>
      <c r="Q373" t="str">
        <f t="shared" si="56"/>
        <v>PHURYPHOS30</v>
      </c>
      <c r="R373" t="str">
        <f t="shared" si="57"/>
        <v>pHury Phos</v>
      </c>
      <c r="S373" s="32">
        <f t="shared" si="59"/>
        <v>510</v>
      </c>
      <c r="U373" t="s">
        <v>416</v>
      </c>
      <c r="V373" s="32">
        <v>510</v>
      </c>
    </row>
    <row r="374" spans="2:22" x14ac:dyDescent="0.25">
      <c r="B374" s="1" t="s">
        <v>195</v>
      </c>
      <c r="C374" s="2" t="s">
        <v>196</v>
      </c>
      <c r="D374" s="2" t="s">
        <v>227</v>
      </c>
      <c r="E374" s="2" t="s">
        <v>357</v>
      </c>
      <c r="F374" s="3">
        <f t="shared" si="62"/>
        <v>44881</v>
      </c>
      <c r="G374" s="4">
        <f t="shared" si="53"/>
        <v>11</v>
      </c>
      <c r="H374" s="4">
        <f t="shared" si="54"/>
        <v>2022</v>
      </c>
      <c r="I374" s="2" t="s">
        <v>4</v>
      </c>
      <c r="J374" s="2" t="s">
        <v>821</v>
      </c>
      <c r="K374" s="2" t="s">
        <v>822</v>
      </c>
      <c r="L374" s="2" t="s">
        <v>565</v>
      </c>
      <c r="M374" s="2" t="s">
        <v>21</v>
      </c>
      <c r="N374" s="4" t="str">
        <f t="shared" si="55"/>
        <v>GAL</v>
      </c>
      <c r="O374" s="5">
        <v>500</v>
      </c>
      <c r="Q374" t="str">
        <f t="shared" si="56"/>
        <v>FLOKTS250</v>
      </c>
      <c r="R374" t="str">
        <f t="shared" si="57"/>
        <v>Dyna Flo  0-0-25 17</v>
      </c>
      <c r="S374" s="32">
        <f t="shared" si="59"/>
        <v>3780</v>
      </c>
      <c r="U374" t="s">
        <v>565</v>
      </c>
      <c r="V374" s="32">
        <v>3780</v>
      </c>
    </row>
    <row r="375" spans="2:22" x14ac:dyDescent="0.25">
      <c r="B375" s="1" t="s">
        <v>195</v>
      </c>
      <c r="C375" s="2" t="s">
        <v>196</v>
      </c>
      <c r="D375" s="2" t="s">
        <v>227</v>
      </c>
      <c r="E375" s="2" t="s">
        <v>357</v>
      </c>
      <c r="F375" s="3">
        <f t="shared" si="62"/>
        <v>44881</v>
      </c>
      <c r="G375" s="4">
        <f t="shared" si="53"/>
        <v>11</v>
      </c>
      <c r="H375" s="4">
        <f t="shared" si="54"/>
        <v>2022</v>
      </c>
      <c r="I375" s="2" t="s">
        <v>4</v>
      </c>
      <c r="J375" s="2" t="s">
        <v>821</v>
      </c>
      <c r="K375" s="2" t="s">
        <v>823</v>
      </c>
      <c r="L375" s="2" t="s">
        <v>776</v>
      </c>
      <c r="M375" s="2" t="s">
        <v>82</v>
      </c>
      <c r="N375" s="4" t="str">
        <f t="shared" si="55"/>
        <v>GAL</v>
      </c>
      <c r="O375" s="5">
        <v>500</v>
      </c>
      <c r="Q375" t="str">
        <f t="shared" si="56"/>
        <v>FLOCATS250</v>
      </c>
      <c r="R375" t="str">
        <f t="shared" si="57"/>
        <v>Dyna Flo Calcium Thiosulfate</v>
      </c>
      <c r="S375" s="32">
        <f t="shared" si="59"/>
        <v>1280</v>
      </c>
      <c r="U375" t="s">
        <v>776</v>
      </c>
      <c r="V375" s="32">
        <v>1280</v>
      </c>
    </row>
    <row r="376" spans="2:22" x14ac:dyDescent="0.25">
      <c r="B376" s="1" t="s">
        <v>195</v>
      </c>
      <c r="C376" s="2" t="s">
        <v>196</v>
      </c>
      <c r="D376" s="2" t="s">
        <v>210</v>
      </c>
      <c r="E376" s="2" t="s">
        <v>824</v>
      </c>
      <c r="F376" s="3">
        <f t="shared" si="62"/>
        <v>44881</v>
      </c>
      <c r="G376" s="4">
        <f t="shared" si="53"/>
        <v>11</v>
      </c>
      <c r="H376" s="4">
        <f t="shared" si="54"/>
        <v>2022</v>
      </c>
      <c r="I376" s="2" t="s">
        <v>4</v>
      </c>
      <c r="J376" s="2" t="s">
        <v>825</v>
      </c>
      <c r="K376" s="2" t="s">
        <v>489</v>
      </c>
      <c r="L376" s="2" t="s">
        <v>490</v>
      </c>
      <c r="M376" s="2" t="s">
        <v>119</v>
      </c>
      <c r="N376" s="4" t="str">
        <f t="shared" si="55"/>
        <v>TON</v>
      </c>
      <c r="O376" s="5">
        <v>10.012499999999999</v>
      </c>
      <c r="Q376" t="str">
        <f t="shared" si="56"/>
        <v>MAC646YM</v>
      </c>
      <c r="R376" t="str">
        <f t="shared" si="57"/>
        <v>Dyna Flo 6-4-6 YM</v>
      </c>
      <c r="S376" s="32">
        <f t="shared" si="59"/>
        <v>40.067499999999995</v>
      </c>
      <c r="U376" t="s">
        <v>490</v>
      </c>
      <c r="V376" s="32">
        <v>40.067499999999995</v>
      </c>
    </row>
    <row r="377" spans="2:22" x14ac:dyDescent="0.25">
      <c r="B377" s="1" t="s">
        <v>195</v>
      </c>
      <c r="C377" s="2" t="s">
        <v>196</v>
      </c>
      <c r="D377" s="2" t="s">
        <v>215</v>
      </c>
      <c r="E377" s="2" t="s">
        <v>216</v>
      </c>
      <c r="F377" s="3">
        <f t="shared" si="62"/>
        <v>44881</v>
      </c>
      <c r="G377" s="4">
        <f t="shared" si="53"/>
        <v>11</v>
      </c>
      <c r="H377" s="4">
        <f t="shared" si="54"/>
        <v>2022</v>
      </c>
      <c r="I377" s="2" t="s">
        <v>4</v>
      </c>
      <c r="J377" s="2" t="s">
        <v>826</v>
      </c>
      <c r="K377" s="2" t="s">
        <v>329</v>
      </c>
      <c r="L377" s="2" t="s">
        <v>330</v>
      </c>
      <c r="M377" s="2" t="s">
        <v>119</v>
      </c>
      <c r="N377" s="4" t="str">
        <f t="shared" si="55"/>
        <v>TON</v>
      </c>
      <c r="O377" s="5">
        <v>1.25</v>
      </c>
      <c r="Q377" t="str">
        <f t="shared" si="56"/>
        <v>MAC628YM8</v>
      </c>
      <c r="R377" t="str">
        <f t="shared" si="57"/>
        <v>Dyna Flo 6-2-8YM8</v>
      </c>
      <c r="S377" s="32">
        <f t="shared" si="59"/>
        <v>247.51499999999996</v>
      </c>
      <c r="U377" t="s">
        <v>330</v>
      </c>
      <c r="V377" s="32">
        <v>247.51499999999996</v>
      </c>
    </row>
    <row r="378" spans="2:22" x14ac:dyDescent="0.25">
      <c r="B378" s="1" t="s">
        <v>195</v>
      </c>
      <c r="C378" s="2" t="s">
        <v>196</v>
      </c>
      <c r="D378" s="2" t="s">
        <v>210</v>
      </c>
      <c r="E378" s="2" t="s">
        <v>827</v>
      </c>
      <c r="F378" s="3">
        <f t="shared" si="62"/>
        <v>44881</v>
      </c>
      <c r="G378" s="4">
        <f t="shared" si="53"/>
        <v>11</v>
      </c>
      <c r="H378" s="4">
        <f t="shared" si="54"/>
        <v>2022</v>
      </c>
      <c r="I378" s="2" t="s">
        <v>4</v>
      </c>
      <c r="J378" s="2" t="s">
        <v>828</v>
      </c>
      <c r="K378" s="2" t="s">
        <v>351</v>
      </c>
      <c r="L378" s="2" t="s">
        <v>352</v>
      </c>
      <c r="M378" s="2" t="s">
        <v>119</v>
      </c>
      <c r="N378" s="4" t="str">
        <f t="shared" si="55"/>
        <v>TON</v>
      </c>
      <c r="O378" s="5">
        <v>5</v>
      </c>
      <c r="Q378" t="str">
        <f t="shared" si="56"/>
        <v>MAC734XH</v>
      </c>
      <c r="R378" t="str">
        <f t="shared" si="57"/>
        <v>Dyna Flo 7-3-4XH</v>
      </c>
      <c r="S378" s="32">
        <f t="shared" si="59"/>
        <v>6.25</v>
      </c>
      <c r="U378" t="s">
        <v>352</v>
      </c>
      <c r="V378" s="32">
        <v>6.25</v>
      </c>
    </row>
    <row r="379" spans="2:22" x14ac:dyDescent="0.25">
      <c r="B379" s="1" t="s">
        <v>195</v>
      </c>
      <c r="C379" s="2" t="s">
        <v>196</v>
      </c>
      <c r="D379" s="2" t="s">
        <v>317</v>
      </c>
      <c r="E379" s="2" t="s">
        <v>829</v>
      </c>
      <c r="F379" s="3">
        <f t="shared" si="62"/>
        <v>44881</v>
      </c>
      <c r="G379" s="4">
        <f t="shared" si="53"/>
        <v>11</v>
      </c>
      <c r="H379" s="4">
        <f t="shared" si="54"/>
        <v>2022</v>
      </c>
      <c r="I379" s="2" t="s">
        <v>4</v>
      </c>
      <c r="J379" s="2" t="s">
        <v>830</v>
      </c>
      <c r="K379" s="2" t="s">
        <v>117</v>
      </c>
      <c r="L379" s="2" t="s">
        <v>118</v>
      </c>
      <c r="M379" s="2" t="s">
        <v>119</v>
      </c>
      <c r="N379" s="4" t="str">
        <f t="shared" si="55"/>
        <v>TON</v>
      </c>
      <c r="O379" s="5">
        <v>15.035</v>
      </c>
      <c r="Q379" t="str">
        <f t="shared" si="56"/>
        <v>MAC428YM8</v>
      </c>
      <c r="R379" t="str">
        <f t="shared" si="57"/>
        <v>Dyna Flo 4-2-8YM8</v>
      </c>
      <c r="S379" s="32">
        <f t="shared" si="59"/>
        <v>517.73950000000002</v>
      </c>
      <c r="U379" t="s">
        <v>118</v>
      </c>
      <c r="V379" s="32">
        <v>517.73950000000002</v>
      </c>
    </row>
    <row r="380" spans="2:22" x14ac:dyDescent="0.25">
      <c r="B380" s="1" t="s">
        <v>195</v>
      </c>
      <c r="C380" s="2" t="s">
        <v>196</v>
      </c>
      <c r="D380" s="2" t="s">
        <v>299</v>
      </c>
      <c r="E380" s="2" t="s">
        <v>300</v>
      </c>
      <c r="F380" s="3">
        <f t="shared" si="62"/>
        <v>44881</v>
      </c>
      <c r="G380" s="4">
        <f t="shared" si="53"/>
        <v>11</v>
      </c>
      <c r="H380" s="4">
        <f t="shared" si="54"/>
        <v>2022</v>
      </c>
      <c r="I380" s="2" t="s">
        <v>4</v>
      </c>
      <c r="J380" s="2" t="s">
        <v>831</v>
      </c>
      <c r="K380" s="2" t="s">
        <v>117</v>
      </c>
      <c r="L380" s="2" t="s">
        <v>118</v>
      </c>
      <c r="M380" s="2" t="s">
        <v>119</v>
      </c>
      <c r="N380" s="4" t="str">
        <f t="shared" si="55"/>
        <v>TON</v>
      </c>
      <c r="O380" s="5">
        <v>15.01</v>
      </c>
      <c r="Q380" t="str">
        <f t="shared" si="56"/>
        <v>MAC428YM8</v>
      </c>
      <c r="R380" t="str">
        <f t="shared" si="57"/>
        <v>Dyna Flo 4-2-8YM8</v>
      </c>
      <c r="S380" s="32">
        <f t="shared" si="59"/>
        <v>517.73950000000002</v>
      </c>
      <c r="U380" t="s">
        <v>118</v>
      </c>
      <c r="V380" s="32">
        <v>517.73950000000002</v>
      </c>
    </row>
    <row r="381" spans="2:22" x14ac:dyDescent="0.25">
      <c r="B381" s="1" t="s">
        <v>195</v>
      </c>
      <c r="C381" s="2" t="s">
        <v>196</v>
      </c>
      <c r="D381" s="2" t="s">
        <v>348</v>
      </c>
      <c r="E381" s="2" t="s">
        <v>349</v>
      </c>
      <c r="F381" s="3">
        <f t="shared" si="62"/>
        <v>44881</v>
      </c>
      <c r="G381" s="4">
        <f t="shared" si="53"/>
        <v>11</v>
      </c>
      <c r="H381" s="4">
        <f t="shared" si="54"/>
        <v>2022</v>
      </c>
      <c r="I381" s="2" t="s">
        <v>4</v>
      </c>
      <c r="J381" s="2" t="s">
        <v>832</v>
      </c>
      <c r="K381" s="2" t="s">
        <v>823</v>
      </c>
      <c r="L381" s="2" t="s">
        <v>776</v>
      </c>
      <c r="M381" s="2" t="s">
        <v>82</v>
      </c>
      <c r="N381" s="4" t="str">
        <f t="shared" si="55"/>
        <v>GAL</v>
      </c>
      <c r="O381" s="5">
        <v>250</v>
      </c>
      <c r="Q381" t="str">
        <f t="shared" si="56"/>
        <v>FLOCATS250</v>
      </c>
      <c r="R381" t="str">
        <f t="shared" si="57"/>
        <v>Dyna Flo Calcium Thiosulfate</v>
      </c>
      <c r="S381" s="32">
        <f t="shared" si="59"/>
        <v>1280</v>
      </c>
      <c r="U381" t="s">
        <v>776</v>
      </c>
      <c r="V381" s="32">
        <v>1280</v>
      </c>
    </row>
    <row r="382" spans="2:22" x14ac:dyDescent="0.25">
      <c r="B382" s="1" t="s">
        <v>195</v>
      </c>
      <c r="C382" s="2" t="s">
        <v>196</v>
      </c>
      <c r="D382" s="2" t="s">
        <v>294</v>
      </c>
      <c r="E382" s="2" t="s">
        <v>295</v>
      </c>
      <c r="F382" s="3">
        <f t="shared" si="62"/>
        <v>44881</v>
      </c>
      <c r="G382" s="4">
        <f t="shared" si="53"/>
        <v>11</v>
      </c>
      <c r="H382" s="4">
        <f t="shared" si="54"/>
        <v>2022</v>
      </c>
      <c r="I382" s="2" t="s">
        <v>4</v>
      </c>
      <c r="J382" s="2" t="s">
        <v>833</v>
      </c>
      <c r="K382" s="2" t="s">
        <v>834</v>
      </c>
      <c r="L382" s="2" t="s">
        <v>835</v>
      </c>
      <c r="M382" s="2" t="s">
        <v>119</v>
      </c>
      <c r="N382" s="4" t="str">
        <f t="shared" si="55"/>
        <v>TON</v>
      </c>
      <c r="O382" s="5">
        <v>1.25</v>
      </c>
      <c r="Q382" t="str">
        <f t="shared" si="56"/>
        <v>MAC306X</v>
      </c>
      <c r="R382" t="str">
        <f t="shared" si="57"/>
        <v>Dyna Flo  3-0-6</v>
      </c>
      <c r="S382" s="32">
        <f t="shared" si="59"/>
        <v>3.75</v>
      </c>
      <c r="U382" t="s">
        <v>835</v>
      </c>
      <c r="V382" s="32">
        <v>3.75</v>
      </c>
    </row>
    <row r="383" spans="2:22" x14ac:dyDescent="0.25">
      <c r="B383" s="1" t="s">
        <v>195</v>
      </c>
      <c r="C383" s="2" t="s">
        <v>196</v>
      </c>
      <c r="D383" s="2" t="s">
        <v>331</v>
      </c>
      <c r="E383" s="2" t="s">
        <v>332</v>
      </c>
      <c r="F383" s="3">
        <f t="shared" ref="F383:F396" si="63">DATE(2022,11,17)</f>
        <v>44882</v>
      </c>
      <c r="G383" s="4">
        <f t="shared" si="53"/>
        <v>11</v>
      </c>
      <c r="H383" s="4">
        <f t="shared" si="54"/>
        <v>2022</v>
      </c>
      <c r="I383" s="2" t="s">
        <v>4</v>
      </c>
      <c r="J383" s="2" t="s">
        <v>836</v>
      </c>
      <c r="K383" s="2" t="s">
        <v>334</v>
      </c>
      <c r="L383" s="2" t="s">
        <v>335</v>
      </c>
      <c r="M383" s="2" t="s">
        <v>119</v>
      </c>
      <c r="N383" s="4" t="str">
        <f t="shared" si="55"/>
        <v>TON</v>
      </c>
      <c r="O383" s="5">
        <v>10.005000000000001</v>
      </c>
      <c r="Q383" t="str">
        <f t="shared" si="56"/>
        <v>MAC628YZ1</v>
      </c>
      <c r="R383" t="str">
        <f t="shared" si="57"/>
        <v>Dyna Flo 6-2-8YZ1</v>
      </c>
      <c r="S383" s="32">
        <f t="shared" si="59"/>
        <v>68.62</v>
      </c>
      <c r="U383" t="s">
        <v>335</v>
      </c>
      <c r="V383" s="32">
        <v>68.62</v>
      </c>
    </row>
    <row r="384" spans="2:22" x14ac:dyDescent="0.25">
      <c r="B384" s="1" t="s">
        <v>195</v>
      </c>
      <c r="C384" s="2" t="s">
        <v>196</v>
      </c>
      <c r="D384" s="2" t="s">
        <v>837</v>
      </c>
      <c r="E384" s="2" t="s">
        <v>102</v>
      </c>
      <c r="F384" s="3">
        <f t="shared" si="63"/>
        <v>44882</v>
      </c>
      <c r="G384" s="4">
        <f t="shared" si="53"/>
        <v>11</v>
      </c>
      <c r="H384" s="4">
        <f t="shared" si="54"/>
        <v>2022</v>
      </c>
      <c r="I384" s="2" t="s">
        <v>4</v>
      </c>
      <c r="J384" s="2" t="s">
        <v>838</v>
      </c>
      <c r="K384" s="2" t="s">
        <v>268</v>
      </c>
      <c r="L384" s="2" t="s">
        <v>269</v>
      </c>
      <c r="M384" s="2" t="s">
        <v>119</v>
      </c>
      <c r="N384" s="4" t="str">
        <f t="shared" si="55"/>
        <v>TON</v>
      </c>
      <c r="O384" s="5">
        <v>0.15</v>
      </c>
      <c r="Q384" t="str">
        <f t="shared" si="56"/>
        <v>MAC927YM1</v>
      </c>
      <c r="R384" t="str">
        <f t="shared" si="57"/>
        <v>Dyna Flo 9-2-7YM1</v>
      </c>
      <c r="S384" s="32">
        <f t="shared" si="59"/>
        <v>2.5249999999999995</v>
      </c>
      <c r="U384" t="s">
        <v>269</v>
      </c>
      <c r="V384" s="32">
        <v>2.5249999999999995</v>
      </c>
    </row>
    <row r="385" spans="2:22" x14ac:dyDescent="0.25">
      <c r="B385" s="1" t="s">
        <v>195</v>
      </c>
      <c r="C385" s="2" t="s">
        <v>196</v>
      </c>
      <c r="D385" s="2" t="s">
        <v>303</v>
      </c>
      <c r="E385" s="2" t="s">
        <v>501</v>
      </c>
      <c r="F385" s="3">
        <f t="shared" si="63"/>
        <v>44882</v>
      </c>
      <c r="G385" s="4">
        <f t="shared" si="53"/>
        <v>11</v>
      </c>
      <c r="H385" s="4">
        <f t="shared" si="54"/>
        <v>2022</v>
      </c>
      <c r="I385" s="2" t="s">
        <v>4</v>
      </c>
      <c r="J385" s="2" t="s">
        <v>839</v>
      </c>
      <c r="K385" s="2" t="s">
        <v>122</v>
      </c>
      <c r="L385" s="2" t="s">
        <v>123</v>
      </c>
      <c r="M385" s="2" t="s">
        <v>119</v>
      </c>
      <c r="N385" s="4" t="str">
        <f t="shared" si="55"/>
        <v>TON</v>
      </c>
      <c r="O385" s="5">
        <v>5.03</v>
      </c>
      <c r="Q385" t="str">
        <f t="shared" si="56"/>
        <v>MAC528YZ</v>
      </c>
      <c r="R385" t="str">
        <f t="shared" si="57"/>
        <v>Dyna Flo 5-2-8 YZ</v>
      </c>
      <c r="S385" s="32">
        <f t="shared" si="59"/>
        <v>395.40750000000003</v>
      </c>
      <c r="U385" t="s">
        <v>123</v>
      </c>
      <c r="V385" s="32">
        <v>395.40750000000003</v>
      </c>
    </row>
    <row r="386" spans="2:22" x14ac:dyDescent="0.25">
      <c r="B386" s="1" t="s">
        <v>195</v>
      </c>
      <c r="C386" s="2" t="s">
        <v>196</v>
      </c>
      <c r="D386" s="2" t="s">
        <v>790</v>
      </c>
      <c r="E386" s="2" t="s">
        <v>840</v>
      </c>
      <c r="F386" s="3">
        <f t="shared" si="63"/>
        <v>44882</v>
      </c>
      <c r="G386" s="4">
        <f t="shared" si="53"/>
        <v>11</v>
      </c>
      <c r="H386" s="4">
        <f t="shared" si="54"/>
        <v>2022</v>
      </c>
      <c r="I386" s="2" t="s">
        <v>4</v>
      </c>
      <c r="J386" s="2" t="s">
        <v>841</v>
      </c>
      <c r="K386" s="2" t="s">
        <v>842</v>
      </c>
      <c r="L386" s="2" t="s">
        <v>843</v>
      </c>
      <c r="M386" s="2" t="s">
        <v>844</v>
      </c>
      <c r="N386" s="4" t="str">
        <f t="shared" si="55"/>
        <v>GAL</v>
      </c>
      <c r="O386" s="5">
        <v>250</v>
      </c>
      <c r="Q386" t="str">
        <f t="shared" si="56"/>
        <v>FLOATS250</v>
      </c>
      <c r="R386" t="str">
        <f t="shared" si="57"/>
        <v>Dyna Flo Ammonium Thiosulfate</v>
      </c>
      <c r="S386" s="32">
        <f t="shared" si="59"/>
        <v>415</v>
      </c>
      <c r="U386" t="s">
        <v>843</v>
      </c>
      <c r="V386" s="32">
        <v>415</v>
      </c>
    </row>
    <row r="387" spans="2:22" x14ac:dyDescent="0.25">
      <c r="B387" s="1" t="s">
        <v>195</v>
      </c>
      <c r="C387" s="2" t="s">
        <v>196</v>
      </c>
      <c r="D387" s="2" t="s">
        <v>790</v>
      </c>
      <c r="E387" s="2" t="s">
        <v>840</v>
      </c>
      <c r="F387" s="3">
        <f t="shared" si="63"/>
        <v>44882</v>
      </c>
      <c r="G387" s="4">
        <f t="shared" ref="G387:G450" si="64">+MONTH(F387)</f>
        <v>11</v>
      </c>
      <c r="H387" s="4">
        <f t="shared" ref="H387:H450" si="65">+YEAR(F387)</f>
        <v>2022</v>
      </c>
      <c r="I387" s="2" t="s">
        <v>4</v>
      </c>
      <c r="J387" s="2" t="s">
        <v>841</v>
      </c>
      <c r="K387" s="2" t="s">
        <v>845</v>
      </c>
      <c r="L387" s="2" t="s">
        <v>843</v>
      </c>
      <c r="M387" s="2" t="s">
        <v>844</v>
      </c>
      <c r="N387" s="4" t="str">
        <f t="shared" ref="N387:N450" si="66">+LEFT(M387,3)</f>
        <v>GAL</v>
      </c>
      <c r="O387" s="5">
        <v>110</v>
      </c>
      <c r="Q387" t="str">
        <f t="shared" ref="Q387:Q450" si="67">K387</f>
        <v>FLOATS55</v>
      </c>
      <c r="R387" t="str">
        <f t="shared" ref="R387:R450" si="68">L387</f>
        <v>Dyna Flo Ammonium Thiosulfate</v>
      </c>
      <c r="S387" s="32">
        <f t="shared" si="59"/>
        <v>415</v>
      </c>
      <c r="U387" t="s">
        <v>843</v>
      </c>
      <c r="V387" s="32">
        <v>415</v>
      </c>
    </row>
    <row r="388" spans="2:22" x14ac:dyDescent="0.25">
      <c r="B388" s="1" t="s">
        <v>195</v>
      </c>
      <c r="C388" s="2" t="s">
        <v>196</v>
      </c>
      <c r="D388" s="2" t="s">
        <v>285</v>
      </c>
      <c r="E388" s="2" t="s">
        <v>297</v>
      </c>
      <c r="F388" s="3">
        <f t="shared" si="63"/>
        <v>44882</v>
      </c>
      <c r="G388" s="4">
        <f t="shared" si="64"/>
        <v>11</v>
      </c>
      <c r="H388" s="4">
        <f t="shared" si="65"/>
        <v>2022</v>
      </c>
      <c r="I388" s="2" t="s">
        <v>4</v>
      </c>
      <c r="J388" s="2" t="s">
        <v>846</v>
      </c>
      <c r="K388" s="2" t="s">
        <v>329</v>
      </c>
      <c r="L388" s="2" t="s">
        <v>330</v>
      </c>
      <c r="M388" s="2" t="s">
        <v>119</v>
      </c>
      <c r="N388" s="4" t="str">
        <f t="shared" si="66"/>
        <v>TON</v>
      </c>
      <c r="O388" s="5">
        <v>10.0275</v>
      </c>
      <c r="Q388" t="str">
        <f t="shared" si="67"/>
        <v>MAC628YM8</v>
      </c>
      <c r="R388" t="str">
        <f t="shared" si="68"/>
        <v>Dyna Flo 6-2-8YM8</v>
      </c>
      <c r="S388" s="32">
        <f t="shared" ref="S388:S451" si="69">SUMIF($R$3:$R$885, $R388, $O$3:$O$885)</f>
        <v>247.51499999999996</v>
      </c>
      <c r="U388" t="s">
        <v>330</v>
      </c>
      <c r="V388" s="32">
        <v>247.51499999999996</v>
      </c>
    </row>
    <row r="389" spans="2:22" x14ac:dyDescent="0.25">
      <c r="B389" s="1" t="s">
        <v>195</v>
      </c>
      <c r="C389" s="2" t="s">
        <v>196</v>
      </c>
      <c r="D389" s="2" t="s">
        <v>285</v>
      </c>
      <c r="E389" s="2" t="s">
        <v>297</v>
      </c>
      <c r="F389" s="3">
        <f t="shared" si="63"/>
        <v>44882</v>
      </c>
      <c r="G389" s="4">
        <f t="shared" si="64"/>
        <v>11</v>
      </c>
      <c r="H389" s="4">
        <f t="shared" si="65"/>
        <v>2022</v>
      </c>
      <c r="I389" s="2" t="s">
        <v>4</v>
      </c>
      <c r="J389" s="2" t="s">
        <v>847</v>
      </c>
      <c r="K389" s="2" t="s">
        <v>205</v>
      </c>
      <c r="L389" s="2" t="s">
        <v>206</v>
      </c>
      <c r="M389" s="2" t="s">
        <v>119</v>
      </c>
      <c r="N389" s="4" t="str">
        <f t="shared" si="66"/>
        <v>TON</v>
      </c>
      <c r="O389" s="5">
        <v>5.0025000000000004</v>
      </c>
      <c r="Q389" t="str">
        <f t="shared" si="67"/>
        <v>MAC927YM3</v>
      </c>
      <c r="R389" t="str">
        <f t="shared" si="68"/>
        <v>Dyna Flo 9-2-7YM3</v>
      </c>
      <c r="S389" s="32">
        <f t="shared" si="69"/>
        <v>284.6674999999999</v>
      </c>
      <c r="U389" t="s">
        <v>206</v>
      </c>
      <c r="V389" s="32">
        <v>284.6674999999999</v>
      </c>
    </row>
    <row r="390" spans="2:22" x14ac:dyDescent="0.25">
      <c r="B390" s="1" t="s">
        <v>195</v>
      </c>
      <c r="C390" s="2" t="s">
        <v>196</v>
      </c>
      <c r="D390" s="2" t="s">
        <v>848</v>
      </c>
      <c r="E390" s="2" t="s">
        <v>102</v>
      </c>
      <c r="F390" s="3">
        <f t="shared" si="63"/>
        <v>44882</v>
      </c>
      <c r="G390" s="4">
        <f t="shared" si="64"/>
        <v>11</v>
      </c>
      <c r="H390" s="4">
        <f t="shared" si="65"/>
        <v>2022</v>
      </c>
      <c r="I390" s="2" t="s">
        <v>4</v>
      </c>
      <c r="J390" s="2" t="s">
        <v>849</v>
      </c>
      <c r="K390" s="2" t="s">
        <v>334</v>
      </c>
      <c r="L390" s="2" t="s">
        <v>335</v>
      </c>
      <c r="M390" s="2" t="s">
        <v>119</v>
      </c>
      <c r="N390" s="4" t="str">
        <f t="shared" si="66"/>
        <v>TON</v>
      </c>
      <c r="O390" s="5">
        <v>1</v>
      </c>
      <c r="Q390" t="str">
        <f t="shared" si="67"/>
        <v>MAC628YZ1</v>
      </c>
      <c r="R390" t="str">
        <f t="shared" si="68"/>
        <v>Dyna Flo 6-2-8YZ1</v>
      </c>
      <c r="S390" s="32">
        <f t="shared" si="69"/>
        <v>68.62</v>
      </c>
      <c r="U390" t="s">
        <v>335</v>
      </c>
      <c r="V390" s="32">
        <v>68.62</v>
      </c>
    </row>
    <row r="391" spans="2:22" x14ac:dyDescent="0.25">
      <c r="B391" s="1" t="s">
        <v>195</v>
      </c>
      <c r="C391" s="2" t="s">
        <v>196</v>
      </c>
      <c r="D391" s="2" t="s">
        <v>120</v>
      </c>
      <c r="E391" s="2" t="s">
        <v>850</v>
      </c>
      <c r="F391" s="3">
        <f t="shared" si="63"/>
        <v>44882</v>
      </c>
      <c r="G391" s="4">
        <f t="shared" si="64"/>
        <v>11</v>
      </c>
      <c r="H391" s="4">
        <f t="shared" si="65"/>
        <v>2022</v>
      </c>
      <c r="I391" s="2" t="s">
        <v>4</v>
      </c>
      <c r="J391" s="2" t="s">
        <v>851</v>
      </c>
      <c r="K391" s="2" t="s">
        <v>329</v>
      </c>
      <c r="L391" s="2" t="s">
        <v>330</v>
      </c>
      <c r="M391" s="2" t="s">
        <v>119</v>
      </c>
      <c r="N391" s="4" t="str">
        <f t="shared" si="66"/>
        <v>TON</v>
      </c>
      <c r="O391" s="5">
        <v>1.25</v>
      </c>
      <c r="Q391" t="str">
        <f t="shared" si="67"/>
        <v>MAC628YM8</v>
      </c>
      <c r="R391" t="str">
        <f t="shared" si="68"/>
        <v>Dyna Flo 6-2-8YM8</v>
      </c>
      <c r="S391" s="32">
        <f t="shared" si="69"/>
        <v>247.51499999999996</v>
      </c>
      <c r="U391" t="s">
        <v>330</v>
      </c>
      <c r="V391" s="32">
        <v>247.51499999999996</v>
      </c>
    </row>
    <row r="392" spans="2:22" x14ac:dyDescent="0.25">
      <c r="B392" s="1" t="s">
        <v>195</v>
      </c>
      <c r="C392" s="2" t="s">
        <v>196</v>
      </c>
      <c r="D392" s="2" t="s">
        <v>310</v>
      </c>
      <c r="E392" s="2" t="s">
        <v>311</v>
      </c>
      <c r="F392" s="3">
        <f t="shared" si="63"/>
        <v>44882</v>
      </c>
      <c r="G392" s="4">
        <f t="shared" si="64"/>
        <v>11</v>
      </c>
      <c r="H392" s="4">
        <f t="shared" si="65"/>
        <v>2022</v>
      </c>
      <c r="I392" s="2" t="s">
        <v>4</v>
      </c>
      <c r="J392" s="2" t="s">
        <v>852</v>
      </c>
      <c r="K392" s="2" t="s">
        <v>205</v>
      </c>
      <c r="L392" s="2" t="s">
        <v>206</v>
      </c>
      <c r="M392" s="2" t="s">
        <v>119</v>
      </c>
      <c r="N392" s="4" t="str">
        <f t="shared" si="66"/>
        <v>TON</v>
      </c>
      <c r="O392" s="5">
        <v>2.0049999999999999</v>
      </c>
      <c r="Q392" t="str">
        <f t="shared" si="67"/>
        <v>MAC927YM3</v>
      </c>
      <c r="R392" t="str">
        <f t="shared" si="68"/>
        <v>Dyna Flo 9-2-7YM3</v>
      </c>
      <c r="S392" s="32">
        <f t="shared" si="69"/>
        <v>284.6674999999999</v>
      </c>
      <c r="U392" t="s">
        <v>206</v>
      </c>
      <c r="V392" s="32">
        <v>284.6674999999999</v>
      </c>
    </row>
    <row r="393" spans="2:22" x14ac:dyDescent="0.25">
      <c r="B393" s="1" t="s">
        <v>195</v>
      </c>
      <c r="C393" s="2" t="s">
        <v>196</v>
      </c>
      <c r="D393" s="2" t="s">
        <v>452</v>
      </c>
      <c r="E393" s="2" t="s">
        <v>453</v>
      </c>
      <c r="F393" s="3">
        <f t="shared" si="63"/>
        <v>44882</v>
      </c>
      <c r="G393" s="4">
        <f t="shared" si="64"/>
        <v>11</v>
      </c>
      <c r="H393" s="4">
        <f t="shared" si="65"/>
        <v>2022</v>
      </c>
      <c r="I393" s="2" t="s">
        <v>4</v>
      </c>
      <c r="J393" s="2" t="s">
        <v>853</v>
      </c>
      <c r="K393" s="2" t="s">
        <v>447</v>
      </c>
      <c r="L393" s="2" t="s">
        <v>448</v>
      </c>
      <c r="M393" s="2" t="s">
        <v>119</v>
      </c>
      <c r="N393" s="4" t="str">
        <f t="shared" si="66"/>
        <v>TON</v>
      </c>
      <c r="O393" s="5">
        <v>2.5099999999999998</v>
      </c>
      <c r="Q393" t="str">
        <f t="shared" si="67"/>
        <v>MAC727YM15</v>
      </c>
      <c r="R393" t="str">
        <f t="shared" si="68"/>
        <v>Dyna Flo 7-2-7YM15</v>
      </c>
      <c r="S393" s="32">
        <f t="shared" si="69"/>
        <v>113.6925</v>
      </c>
      <c r="U393" t="s">
        <v>448</v>
      </c>
      <c r="V393" s="32">
        <v>113.6925</v>
      </c>
    </row>
    <row r="394" spans="2:22" x14ac:dyDescent="0.25">
      <c r="B394" s="1" t="s">
        <v>195</v>
      </c>
      <c r="C394" s="2" t="s">
        <v>196</v>
      </c>
      <c r="D394" s="2" t="s">
        <v>114</v>
      </c>
      <c r="E394" s="2" t="s">
        <v>274</v>
      </c>
      <c r="F394" s="3">
        <f t="shared" si="63"/>
        <v>44882</v>
      </c>
      <c r="G394" s="4">
        <f t="shared" si="64"/>
        <v>11</v>
      </c>
      <c r="H394" s="4">
        <f t="shared" si="65"/>
        <v>2022</v>
      </c>
      <c r="I394" s="2" t="s">
        <v>4</v>
      </c>
      <c r="J394" s="2" t="s">
        <v>854</v>
      </c>
      <c r="K394" s="2" t="s">
        <v>117</v>
      </c>
      <c r="L394" s="2" t="s">
        <v>118</v>
      </c>
      <c r="M394" s="2" t="s">
        <v>119</v>
      </c>
      <c r="N394" s="4" t="str">
        <f t="shared" si="66"/>
        <v>TON</v>
      </c>
      <c r="O394" s="5">
        <v>8.7550000000000008</v>
      </c>
      <c r="Q394" t="str">
        <f t="shared" si="67"/>
        <v>MAC428YM8</v>
      </c>
      <c r="R394" t="str">
        <f t="shared" si="68"/>
        <v>Dyna Flo 4-2-8YM8</v>
      </c>
      <c r="S394" s="32">
        <f t="shared" si="69"/>
        <v>517.73950000000002</v>
      </c>
      <c r="U394" t="s">
        <v>118</v>
      </c>
      <c r="V394" s="32">
        <v>517.73950000000002</v>
      </c>
    </row>
    <row r="395" spans="2:22" x14ac:dyDescent="0.25">
      <c r="B395" s="1" t="s">
        <v>195</v>
      </c>
      <c r="C395" s="2" t="s">
        <v>196</v>
      </c>
      <c r="D395" s="2" t="s">
        <v>248</v>
      </c>
      <c r="E395" s="2" t="s">
        <v>249</v>
      </c>
      <c r="F395" s="3">
        <f t="shared" si="63"/>
        <v>44882</v>
      </c>
      <c r="G395" s="4">
        <f t="shared" si="64"/>
        <v>11</v>
      </c>
      <c r="H395" s="4">
        <f t="shared" si="65"/>
        <v>2022</v>
      </c>
      <c r="I395" s="2" t="s">
        <v>4</v>
      </c>
      <c r="J395" s="2" t="s">
        <v>855</v>
      </c>
      <c r="K395" s="2" t="s">
        <v>117</v>
      </c>
      <c r="L395" s="2" t="s">
        <v>118</v>
      </c>
      <c r="M395" s="2" t="s">
        <v>119</v>
      </c>
      <c r="N395" s="4" t="str">
        <f t="shared" si="66"/>
        <v>TON</v>
      </c>
      <c r="O395" s="5">
        <v>15.0075</v>
      </c>
      <c r="Q395" t="str">
        <f t="shared" si="67"/>
        <v>MAC428YM8</v>
      </c>
      <c r="R395" t="str">
        <f t="shared" si="68"/>
        <v>Dyna Flo 4-2-8YM8</v>
      </c>
      <c r="S395" s="32">
        <f t="shared" si="69"/>
        <v>517.73950000000002</v>
      </c>
      <c r="U395" t="s">
        <v>118</v>
      </c>
      <c r="V395" s="32">
        <v>517.73950000000002</v>
      </c>
    </row>
    <row r="396" spans="2:22" x14ac:dyDescent="0.25">
      <c r="B396" s="1" t="s">
        <v>195</v>
      </c>
      <c r="C396" s="2" t="s">
        <v>196</v>
      </c>
      <c r="D396" s="2" t="s">
        <v>444</v>
      </c>
      <c r="E396" s="2" t="s">
        <v>445</v>
      </c>
      <c r="F396" s="3">
        <f t="shared" si="63"/>
        <v>44882</v>
      </c>
      <c r="G396" s="4">
        <f t="shared" si="64"/>
        <v>11</v>
      </c>
      <c r="H396" s="4">
        <f t="shared" si="65"/>
        <v>2022</v>
      </c>
      <c r="I396" s="2" t="s">
        <v>4</v>
      </c>
      <c r="J396" s="2" t="s">
        <v>856</v>
      </c>
      <c r="K396" s="2" t="s">
        <v>324</v>
      </c>
      <c r="L396" s="2" t="s">
        <v>325</v>
      </c>
      <c r="M396" s="2" t="s">
        <v>119</v>
      </c>
      <c r="N396" s="4" t="str">
        <f t="shared" si="66"/>
        <v>TON</v>
      </c>
      <c r="O396" s="5">
        <v>5.0025000000000004</v>
      </c>
      <c r="Q396" t="str">
        <f t="shared" si="67"/>
        <v>MAC737YM</v>
      </c>
      <c r="R396" t="str">
        <f t="shared" si="68"/>
        <v>Dyna Flo 7-3-7 YM</v>
      </c>
      <c r="S396" s="32">
        <f t="shared" si="69"/>
        <v>99.21250000000002</v>
      </c>
      <c r="U396" t="s">
        <v>325</v>
      </c>
      <c r="V396" s="32">
        <v>99.21250000000002</v>
      </c>
    </row>
    <row r="397" spans="2:22" x14ac:dyDescent="0.25">
      <c r="B397" s="1" t="s">
        <v>195</v>
      </c>
      <c r="C397" s="2" t="s">
        <v>196</v>
      </c>
      <c r="D397" s="2" t="s">
        <v>232</v>
      </c>
      <c r="E397" s="2" t="s">
        <v>778</v>
      </c>
      <c r="F397" s="3">
        <f>DATE(2022,11,18)</f>
        <v>44883</v>
      </c>
      <c r="G397" s="4">
        <f t="shared" si="64"/>
        <v>11</v>
      </c>
      <c r="H397" s="4">
        <f t="shared" si="65"/>
        <v>2022</v>
      </c>
      <c r="I397" s="2" t="s">
        <v>4</v>
      </c>
      <c r="J397" s="2" t="s">
        <v>857</v>
      </c>
      <c r="K397" s="2" t="s">
        <v>329</v>
      </c>
      <c r="L397" s="2" t="s">
        <v>330</v>
      </c>
      <c r="M397" s="2" t="s">
        <v>119</v>
      </c>
      <c r="N397" s="4" t="str">
        <f t="shared" si="66"/>
        <v>TON</v>
      </c>
      <c r="O397" s="5">
        <v>5</v>
      </c>
      <c r="Q397" t="str">
        <f t="shared" si="67"/>
        <v>MAC628YM8</v>
      </c>
      <c r="R397" t="str">
        <f t="shared" si="68"/>
        <v>Dyna Flo 6-2-8YM8</v>
      </c>
      <c r="S397" s="32">
        <f t="shared" si="69"/>
        <v>247.51499999999996</v>
      </c>
      <c r="U397" t="s">
        <v>330</v>
      </c>
      <c r="V397" s="32">
        <v>247.51499999999996</v>
      </c>
    </row>
    <row r="398" spans="2:22" x14ac:dyDescent="0.25">
      <c r="B398" s="1" t="s">
        <v>195</v>
      </c>
      <c r="C398" s="2" t="s">
        <v>196</v>
      </c>
      <c r="D398" s="2" t="s">
        <v>215</v>
      </c>
      <c r="E398" s="2" t="s">
        <v>858</v>
      </c>
      <c r="F398" s="3">
        <f>DATE(2022,11,18)</f>
        <v>44883</v>
      </c>
      <c r="G398" s="4">
        <f t="shared" si="64"/>
        <v>11</v>
      </c>
      <c r="H398" s="4">
        <f t="shared" si="65"/>
        <v>2022</v>
      </c>
      <c r="I398" s="2" t="s">
        <v>4</v>
      </c>
      <c r="J398" s="2" t="s">
        <v>859</v>
      </c>
      <c r="K398" s="2" t="s">
        <v>205</v>
      </c>
      <c r="L398" s="2" t="s">
        <v>206</v>
      </c>
      <c r="M398" s="2" t="s">
        <v>119</v>
      </c>
      <c r="N398" s="4" t="str">
        <f t="shared" si="66"/>
        <v>TON</v>
      </c>
      <c r="O398" s="5">
        <v>5.0025000000000004</v>
      </c>
      <c r="Q398" t="str">
        <f t="shared" si="67"/>
        <v>MAC927YM3</v>
      </c>
      <c r="R398" t="str">
        <f t="shared" si="68"/>
        <v>Dyna Flo 9-2-7YM3</v>
      </c>
      <c r="S398" s="32">
        <f t="shared" si="69"/>
        <v>284.6674999999999</v>
      </c>
      <c r="U398" t="s">
        <v>206</v>
      </c>
      <c r="V398" s="32">
        <v>284.6674999999999</v>
      </c>
    </row>
    <row r="399" spans="2:22" x14ac:dyDescent="0.25">
      <c r="B399" s="1" t="s">
        <v>195</v>
      </c>
      <c r="C399" s="2" t="s">
        <v>196</v>
      </c>
      <c r="D399" s="2" t="s">
        <v>262</v>
      </c>
      <c r="E399" s="2" t="s">
        <v>728</v>
      </c>
      <c r="F399" s="3">
        <f>DATE(2022,11,18)</f>
        <v>44883</v>
      </c>
      <c r="G399" s="4">
        <f t="shared" si="64"/>
        <v>11</v>
      </c>
      <c r="H399" s="4">
        <f t="shared" si="65"/>
        <v>2022</v>
      </c>
      <c r="I399" s="2" t="s">
        <v>4</v>
      </c>
      <c r="J399" s="2" t="s">
        <v>860</v>
      </c>
      <c r="K399" s="2" t="s">
        <v>329</v>
      </c>
      <c r="L399" s="2" t="s">
        <v>330</v>
      </c>
      <c r="M399" s="2" t="s">
        <v>119</v>
      </c>
      <c r="N399" s="4" t="str">
        <f t="shared" si="66"/>
        <v>TON</v>
      </c>
      <c r="O399" s="5">
        <v>13.5</v>
      </c>
      <c r="Q399" t="str">
        <f t="shared" si="67"/>
        <v>MAC628YM8</v>
      </c>
      <c r="R399" t="str">
        <f t="shared" si="68"/>
        <v>Dyna Flo 6-2-8YM8</v>
      </c>
      <c r="S399" s="32">
        <f t="shared" si="69"/>
        <v>247.51499999999996</v>
      </c>
      <c r="U399" t="s">
        <v>330</v>
      </c>
      <c r="V399" s="32">
        <v>247.51499999999996</v>
      </c>
    </row>
    <row r="400" spans="2:22" x14ac:dyDescent="0.25">
      <c r="B400" s="1" t="s">
        <v>195</v>
      </c>
      <c r="C400" s="2" t="s">
        <v>196</v>
      </c>
      <c r="D400" s="2" t="s">
        <v>669</v>
      </c>
      <c r="E400" s="2" t="s">
        <v>861</v>
      </c>
      <c r="F400" s="3">
        <f>DATE(2022,11,18)</f>
        <v>44883</v>
      </c>
      <c r="G400" s="4">
        <f t="shared" si="64"/>
        <v>11</v>
      </c>
      <c r="H400" s="4">
        <f t="shared" si="65"/>
        <v>2022</v>
      </c>
      <c r="I400" s="2" t="s">
        <v>4</v>
      </c>
      <c r="J400" s="2" t="s">
        <v>862</v>
      </c>
      <c r="K400" s="2" t="s">
        <v>205</v>
      </c>
      <c r="L400" s="2" t="s">
        <v>206</v>
      </c>
      <c r="M400" s="2" t="s">
        <v>119</v>
      </c>
      <c r="N400" s="4" t="str">
        <f t="shared" si="66"/>
        <v>TON</v>
      </c>
      <c r="O400" s="5">
        <v>2.0125000000000002</v>
      </c>
      <c r="Q400" t="str">
        <f t="shared" si="67"/>
        <v>MAC927YM3</v>
      </c>
      <c r="R400" t="str">
        <f t="shared" si="68"/>
        <v>Dyna Flo 9-2-7YM3</v>
      </c>
      <c r="S400" s="32">
        <f t="shared" si="69"/>
        <v>284.6674999999999</v>
      </c>
      <c r="U400" t="s">
        <v>206</v>
      </c>
      <c r="V400" s="32">
        <v>284.6674999999999</v>
      </c>
    </row>
    <row r="401" spans="2:22" x14ac:dyDescent="0.25">
      <c r="B401" s="1" t="s">
        <v>195</v>
      </c>
      <c r="C401" s="2" t="s">
        <v>196</v>
      </c>
      <c r="D401" s="2" t="s">
        <v>114</v>
      </c>
      <c r="E401" s="2" t="s">
        <v>369</v>
      </c>
      <c r="F401" s="3">
        <f>DATE(2022,11,18)</f>
        <v>44883</v>
      </c>
      <c r="G401" s="4">
        <f t="shared" si="64"/>
        <v>11</v>
      </c>
      <c r="H401" s="4">
        <f t="shared" si="65"/>
        <v>2022</v>
      </c>
      <c r="I401" s="2" t="s">
        <v>4</v>
      </c>
      <c r="J401" s="2" t="s">
        <v>863</v>
      </c>
      <c r="K401" s="2" t="s">
        <v>117</v>
      </c>
      <c r="L401" s="2" t="s">
        <v>118</v>
      </c>
      <c r="M401" s="2" t="s">
        <v>119</v>
      </c>
      <c r="N401" s="4" t="str">
        <f t="shared" si="66"/>
        <v>TON</v>
      </c>
      <c r="O401" s="5">
        <v>11.515000000000001</v>
      </c>
      <c r="Q401" t="str">
        <f t="shared" si="67"/>
        <v>MAC428YM8</v>
      </c>
      <c r="R401" t="str">
        <f t="shared" si="68"/>
        <v>Dyna Flo 4-2-8YM8</v>
      </c>
      <c r="S401" s="32">
        <f t="shared" si="69"/>
        <v>517.73950000000002</v>
      </c>
      <c r="U401" t="s">
        <v>118</v>
      </c>
      <c r="V401" s="32">
        <v>517.73950000000002</v>
      </c>
    </row>
    <row r="402" spans="2:22" x14ac:dyDescent="0.25">
      <c r="B402" s="1" t="s">
        <v>195</v>
      </c>
      <c r="C402" s="2" t="s">
        <v>196</v>
      </c>
      <c r="D402" s="2" t="s">
        <v>289</v>
      </c>
      <c r="E402" s="2" t="s">
        <v>290</v>
      </c>
      <c r="F402" s="3">
        <f>DATE(2022,11,21)</f>
        <v>44886</v>
      </c>
      <c r="G402" s="4">
        <f t="shared" si="64"/>
        <v>11</v>
      </c>
      <c r="H402" s="4">
        <f t="shared" si="65"/>
        <v>2022</v>
      </c>
      <c r="I402" s="2" t="s">
        <v>4</v>
      </c>
      <c r="J402" s="2" t="s">
        <v>864</v>
      </c>
      <c r="K402" s="2" t="s">
        <v>865</v>
      </c>
      <c r="L402" s="2" t="s">
        <v>866</v>
      </c>
      <c r="M402" s="2" t="s">
        <v>119</v>
      </c>
      <c r="N402" s="4" t="str">
        <f t="shared" si="66"/>
        <v>TON</v>
      </c>
      <c r="O402" s="5">
        <v>1</v>
      </c>
      <c r="Q402" t="str">
        <f t="shared" si="67"/>
        <v>MAC727YM5</v>
      </c>
      <c r="R402" t="str">
        <f t="shared" si="68"/>
        <v>Dyna Flo 7-2-7YM5</v>
      </c>
      <c r="S402" s="32">
        <f t="shared" si="69"/>
        <v>3.25</v>
      </c>
      <c r="U402" t="s">
        <v>866</v>
      </c>
      <c r="V402" s="32">
        <v>3.25</v>
      </c>
    </row>
    <row r="403" spans="2:22" x14ac:dyDescent="0.25">
      <c r="B403" s="1" t="s">
        <v>195</v>
      </c>
      <c r="C403" s="2" t="s">
        <v>196</v>
      </c>
      <c r="D403" s="2" t="s">
        <v>280</v>
      </c>
      <c r="E403" s="2" t="s">
        <v>281</v>
      </c>
      <c r="F403" s="3">
        <f>DATE(2022,11,18)</f>
        <v>44883</v>
      </c>
      <c r="G403" s="4">
        <f t="shared" si="64"/>
        <v>11</v>
      </c>
      <c r="H403" s="4">
        <f t="shared" si="65"/>
        <v>2022</v>
      </c>
      <c r="I403" s="2" t="s">
        <v>4</v>
      </c>
      <c r="J403" s="2" t="s">
        <v>867</v>
      </c>
      <c r="K403" s="2" t="s">
        <v>117</v>
      </c>
      <c r="L403" s="2" t="s">
        <v>118</v>
      </c>
      <c r="M403" s="2" t="s">
        <v>119</v>
      </c>
      <c r="N403" s="4" t="str">
        <f t="shared" si="66"/>
        <v>TON</v>
      </c>
      <c r="O403" s="5">
        <v>14.54</v>
      </c>
      <c r="Q403" t="str">
        <f t="shared" si="67"/>
        <v>MAC428YM8</v>
      </c>
      <c r="R403" t="str">
        <f t="shared" si="68"/>
        <v>Dyna Flo 4-2-8YM8</v>
      </c>
      <c r="S403" s="32">
        <f t="shared" si="69"/>
        <v>517.73950000000002</v>
      </c>
      <c r="U403" t="s">
        <v>118</v>
      </c>
      <c r="V403" s="32">
        <v>517.73950000000002</v>
      </c>
    </row>
    <row r="404" spans="2:22" x14ac:dyDescent="0.25">
      <c r="B404" s="1" t="s">
        <v>195</v>
      </c>
      <c r="C404" s="2" t="s">
        <v>196</v>
      </c>
      <c r="D404" s="2" t="s">
        <v>280</v>
      </c>
      <c r="E404" s="2" t="s">
        <v>868</v>
      </c>
      <c r="F404" s="3">
        <f>DATE(2022,11,18)</f>
        <v>44883</v>
      </c>
      <c r="G404" s="4">
        <f t="shared" si="64"/>
        <v>11</v>
      </c>
      <c r="H404" s="4">
        <f t="shared" si="65"/>
        <v>2022</v>
      </c>
      <c r="I404" s="2" t="s">
        <v>4</v>
      </c>
      <c r="J404" s="2" t="s">
        <v>869</v>
      </c>
      <c r="K404" s="2" t="s">
        <v>117</v>
      </c>
      <c r="L404" s="2" t="s">
        <v>118</v>
      </c>
      <c r="M404" s="2" t="s">
        <v>119</v>
      </c>
      <c r="N404" s="4" t="str">
        <f t="shared" si="66"/>
        <v>TON</v>
      </c>
      <c r="O404" s="5">
        <v>5.0525000000000002</v>
      </c>
      <c r="Q404" t="str">
        <f t="shared" si="67"/>
        <v>MAC428YM8</v>
      </c>
      <c r="R404" t="str">
        <f t="shared" si="68"/>
        <v>Dyna Flo 4-2-8YM8</v>
      </c>
      <c r="S404" s="32">
        <f t="shared" si="69"/>
        <v>517.73950000000002</v>
      </c>
      <c r="U404" t="s">
        <v>118</v>
      </c>
      <c r="V404" s="32">
        <v>517.73950000000002</v>
      </c>
    </row>
    <row r="405" spans="2:22" x14ac:dyDescent="0.25">
      <c r="B405" s="1" t="s">
        <v>195</v>
      </c>
      <c r="C405" s="2" t="s">
        <v>196</v>
      </c>
      <c r="D405" s="2" t="s">
        <v>387</v>
      </c>
      <c r="E405" s="2" t="s">
        <v>797</v>
      </c>
      <c r="F405" s="3">
        <f>DATE(2022,11,18)</f>
        <v>44883</v>
      </c>
      <c r="G405" s="4">
        <f t="shared" si="64"/>
        <v>11</v>
      </c>
      <c r="H405" s="4">
        <f t="shared" si="65"/>
        <v>2022</v>
      </c>
      <c r="I405" s="2" t="s">
        <v>4</v>
      </c>
      <c r="J405" s="2" t="s">
        <v>870</v>
      </c>
      <c r="K405" s="2" t="s">
        <v>871</v>
      </c>
      <c r="L405" s="2" t="s">
        <v>872</v>
      </c>
      <c r="M405" s="2" t="s">
        <v>119</v>
      </c>
      <c r="N405" s="4" t="str">
        <f t="shared" si="66"/>
        <v>TON</v>
      </c>
      <c r="O405" s="5">
        <v>10.01</v>
      </c>
      <c r="Q405" t="str">
        <f t="shared" si="67"/>
        <v>MAC406YB12</v>
      </c>
      <c r="R405" t="str">
        <f t="shared" si="68"/>
        <v>Dyna Flo 4-0-6YB12</v>
      </c>
      <c r="S405" s="32">
        <f t="shared" si="69"/>
        <v>20.02</v>
      </c>
      <c r="U405" t="s">
        <v>872</v>
      </c>
      <c r="V405" s="32">
        <v>20.02</v>
      </c>
    </row>
    <row r="406" spans="2:22" x14ac:dyDescent="0.25">
      <c r="B406" s="1" t="s">
        <v>195</v>
      </c>
      <c r="C406" s="2" t="s">
        <v>196</v>
      </c>
      <c r="D406" s="2" t="s">
        <v>672</v>
      </c>
      <c r="E406" s="2" t="s">
        <v>699</v>
      </c>
      <c r="F406" s="3">
        <f t="shared" ref="F406:F419" si="70">DATE(2022,11,21)</f>
        <v>44886</v>
      </c>
      <c r="G406" s="4">
        <f t="shared" si="64"/>
        <v>11</v>
      </c>
      <c r="H406" s="4">
        <f t="shared" si="65"/>
        <v>2022</v>
      </c>
      <c r="I406" s="2" t="s">
        <v>4</v>
      </c>
      <c r="J406" s="2" t="s">
        <v>873</v>
      </c>
      <c r="K406" s="2" t="s">
        <v>675</v>
      </c>
      <c r="L406" s="2" t="s">
        <v>676</v>
      </c>
      <c r="M406" s="2" t="s">
        <v>119</v>
      </c>
      <c r="N406" s="4" t="str">
        <f t="shared" si="66"/>
        <v>TON</v>
      </c>
      <c r="O406" s="5">
        <v>4</v>
      </c>
      <c r="Q406" t="str">
        <f t="shared" si="67"/>
        <v>MAC527YM21M</v>
      </c>
      <c r="R406" t="str">
        <f t="shared" si="68"/>
        <v>Dyna Flo 5-2-7YM21M w/Merge</v>
      </c>
      <c r="S406" s="32">
        <f t="shared" si="69"/>
        <v>29.517499999999998</v>
      </c>
      <c r="U406" t="s">
        <v>676</v>
      </c>
      <c r="V406" s="32">
        <v>29.517499999999998</v>
      </c>
    </row>
    <row r="407" spans="2:22" x14ac:dyDescent="0.25">
      <c r="B407" s="1" t="s">
        <v>195</v>
      </c>
      <c r="C407" s="2" t="s">
        <v>196</v>
      </c>
      <c r="D407" s="2" t="s">
        <v>280</v>
      </c>
      <c r="E407" s="2" t="s">
        <v>254</v>
      </c>
      <c r="F407" s="3">
        <f t="shared" si="70"/>
        <v>44886</v>
      </c>
      <c r="G407" s="4">
        <f t="shared" si="64"/>
        <v>11</v>
      </c>
      <c r="H407" s="4">
        <f t="shared" si="65"/>
        <v>2022</v>
      </c>
      <c r="I407" s="2" t="s">
        <v>4</v>
      </c>
      <c r="J407" s="2" t="s">
        <v>874</v>
      </c>
      <c r="K407" s="2" t="s">
        <v>117</v>
      </c>
      <c r="L407" s="2" t="s">
        <v>118</v>
      </c>
      <c r="M407" s="2" t="s">
        <v>119</v>
      </c>
      <c r="N407" s="4" t="str">
        <f t="shared" si="66"/>
        <v>TON</v>
      </c>
      <c r="O407" s="5">
        <v>5</v>
      </c>
      <c r="Q407" t="str">
        <f t="shared" si="67"/>
        <v>MAC428YM8</v>
      </c>
      <c r="R407" t="str">
        <f t="shared" si="68"/>
        <v>Dyna Flo 4-2-8YM8</v>
      </c>
      <c r="S407" s="32">
        <f t="shared" si="69"/>
        <v>517.73950000000002</v>
      </c>
      <c r="U407" t="s">
        <v>118</v>
      </c>
      <c r="V407" s="32">
        <v>517.73950000000002</v>
      </c>
    </row>
    <row r="408" spans="2:22" x14ac:dyDescent="0.25">
      <c r="B408" s="1" t="s">
        <v>195</v>
      </c>
      <c r="C408" s="2" t="s">
        <v>196</v>
      </c>
      <c r="D408" s="2" t="s">
        <v>270</v>
      </c>
      <c r="E408" s="2" t="s">
        <v>875</v>
      </c>
      <c r="F408" s="3">
        <f t="shared" si="70"/>
        <v>44886</v>
      </c>
      <c r="G408" s="4">
        <f t="shared" si="64"/>
        <v>11</v>
      </c>
      <c r="H408" s="4">
        <f t="shared" si="65"/>
        <v>2022</v>
      </c>
      <c r="I408" s="2" t="s">
        <v>4</v>
      </c>
      <c r="J408" s="2" t="s">
        <v>876</v>
      </c>
      <c r="K408" s="2" t="s">
        <v>205</v>
      </c>
      <c r="L408" s="2" t="s">
        <v>206</v>
      </c>
      <c r="M408" s="2" t="s">
        <v>119</v>
      </c>
      <c r="N408" s="4" t="str">
        <f t="shared" si="66"/>
        <v>TON</v>
      </c>
      <c r="O408" s="5">
        <v>1.25</v>
      </c>
      <c r="Q408" t="str">
        <f t="shared" si="67"/>
        <v>MAC927YM3</v>
      </c>
      <c r="R408" t="str">
        <f t="shared" si="68"/>
        <v>Dyna Flo 9-2-7YM3</v>
      </c>
      <c r="S408" s="32">
        <f t="shared" si="69"/>
        <v>284.6674999999999</v>
      </c>
      <c r="U408" t="s">
        <v>206</v>
      </c>
      <c r="V408" s="32">
        <v>284.6674999999999</v>
      </c>
    </row>
    <row r="409" spans="2:22" x14ac:dyDescent="0.25">
      <c r="B409" s="1" t="s">
        <v>195</v>
      </c>
      <c r="C409" s="2" t="s">
        <v>196</v>
      </c>
      <c r="D409" s="2" t="s">
        <v>303</v>
      </c>
      <c r="E409" s="2" t="s">
        <v>304</v>
      </c>
      <c r="F409" s="3">
        <f t="shared" si="70"/>
        <v>44886</v>
      </c>
      <c r="G409" s="4">
        <f t="shared" si="64"/>
        <v>11</v>
      </c>
      <c r="H409" s="4">
        <f t="shared" si="65"/>
        <v>2022</v>
      </c>
      <c r="I409" s="2" t="s">
        <v>4</v>
      </c>
      <c r="J409" s="2" t="s">
        <v>877</v>
      </c>
      <c r="K409" s="2" t="s">
        <v>122</v>
      </c>
      <c r="L409" s="2" t="s">
        <v>123</v>
      </c>
      <c r="M409" s="2" t="s">
        <v>119</v>
      </c>
      <c r="N409" s="4" t="str">
        <f t="shared" si="66"/>
        <v>TON</v>
      </c>
      <c r="O409" s="5">
        <v>7.5</v>
      </c>
      <c r="Q409" t="str">
        <f t="shared" si="67"/>
        <v>MAC528YZ</v>
      </c>
      <c r="R409" t="str">
        <f t="shared" si="68"/>
        <v>Dyna Flo 5-2-8 YZ</v>
      </c>
      <c r="S409" s="32">
        <f t="shared" si="69"/>
        <v>395.40750000000003</v>
      </c>
      <c r="U409" t="s">
        <v>123</v>
      </c>
      <c r="V409" s="32">
        <v>395.40750000000003</v>
      </c>
    </row>
    <row r="410" spans="2:22" x14ac:dyDescent="0.25">
      <c r="B410" s="1" t="s">
        <v>195</v>
      </c>
      <c r="C410" s="2" t="s">
        <v>196</v>
      </c>
      <c r="D410" s="2" t="s">
        <v>276</v>
      </c>
      <c r="E410" s="2" t="s">
        <v>878</v>
      </c>
      <c r="F410" s="3">
        <f t="shared" si="70"/>
        <v>44886</v>
      </c>
      <c r="G410" s="4">
        <f t="shared" si="64"/>
        <v>11</v>
      </c>
      <c r="H410" s="4">
        <f t="shared" si="65"/>
        <v>2022</v>
      </c>
      <c r="I410" s="2" t="s">
        <v>4</v>
      </c>
      <c r="J410" s="2" t="s">
        <v>879</v>
      </c>
      <c r="K410" s="2" t="s">
        <v>205</v>
      </c>
      <c r="L410" s="2" t="s">
        <v>206</v>
      </c>
      <c r="M410" s="2" t="s">
        <v>119</v>
      </c>
      <c r="N410" s="4" t="str">
        <f t="shared" si="66"/>
        <v>TON</v>
      </c>
      <c r="O410" s="5">
        <v>5</v>
      </c>
      <c r="Q410" t="str">
        <f t="shared" si="67"/>
        <v>MAC927YM3</v>
      </c>
      <c r="R410" t="str">
        <f t="shared" si="68"/>
        <v>Dyna Flo 9-2-7YM3</v>
      </c>
      <c r="S410" s="32">
        <f t="shared" si="69"/>
        <v>284.6674999999999</v>
      </c>
      <c r="U410" t="s">
        <v>206</v>
      </c>
      <c r="V410" s="32">
        <v>284.6674999999999</v>
      </c>
    </row>
    <row r="411" spans="2:22" x14ac:dyDescent="0.25">
      <c r="B411" s="1" t="s">
        <v>195</v>
      </c>
      <c r="C411" s="2" t="s">
        <v>196</v>
      </c>
      <c r="D411" s="2" t="s">
        <v>452</v>
      </c>
      <c r="E411" s="2" t="s">
        <v>222</v>
      </c>
      <c r="F411" s="3">
        <f t="shared" si="70"/>
        <v>44886</v>
      </c>
      <c r="G411" s="4">
        <f t="shared" si="64"/>
        <v>11</v>
      </c>
      <c r="H411" s="4">
        <f t="shared" si="65"/>
        <v>2022</v>
      </c>
      <c r="I411" s="2" t="s">
        <v>4</v>
      </c>
      <c r="J411" s="2" t="s">
        <v>880</v>
      </c>
      <c r="K411" s="2" t="s">
        <v>205</v>
      </c>
      <c r="L411" s="2" t="s">
        <v>206</v>
      </c>
      <c r="M411" s="2" t="s">
        <v>119</v>
      </c>
      <c r="N411" s="4" t="str">
        <f t="shared" si="66"/>
        <v>TON</v>
      </c>
      <c r="O411" s="5">
        <v>3.75</v>
      </c>
      <c r="Q411" t="str">
        <f t="shared" si="67"/>
        <v>MAC927YM3</v>
      </c>
      <c r="R411" t="str">
        <f t="shared" si="68"/>
        <v>Dyna Flo 9-2-7YM3</v>
      </c>
      <c r="S411" s="32">
        <f t="shared" si="69"/>
        <v>284.6674999999999</v>
      </c>
      <c r="U411" t="s">
        <v>206</v>
      </c>
      <c r="V411" s="32">
        <v>284.6674999999999</v>
      </c>
    </row>
    <row r="412" spans="2:22" x14ac:dyDescent="0.25">
      <c r="B412" s="1" t="s">
        <v>195</v>
      </c>
      <c r="C412" s="2" t="s">
        <v>196</v>
      </c>
      <c r="D412" s="2" t="s">
        <v>721</v>
      </c>
      <c r="E412" s="2" t="s">
        <v>881</v>
      </c>
      <c r="F412" s="3">
        <f t="shared" si="70"/>
        <v>44886</v>
      </c>
      <c r="G412" s="4">
        <f t="shared" si="64"/>
        <v>11</v>
      </c>
      <c r="H412" s="4">
        <f t="shared" si="65"/>
        <v>2022</v>
      </c>
      <c r="I412" s="2" t="s">
        <v>4</v>
      </c>
      <c r="J412" s="2" t="s">
        <v>882</v>
      </c>
      <c r="K412" s="2" t="s">
        <v>422</v>
      </c>
      <c r="L412" s="2" t="s">
        <v>423</v>
      </c>
      <c r="M412" s="2" t="s">
        <v>119</v>
      </c>
      <c r="N412" s="4" t="str">
        <f t="shared" si="66"/>
        <v>TON</v>
      </c>
      <c r="O412" s="5">
        <v>2.5</v>
      </c>
      <c r="Q412" t="str">
        <f t="shared" si="67"/>
        <v>MAC527YM18</v>
      </c>
      <c r="R412" t="str">
        <f t="shared" si="68"/>
        <v>Dyna Flo 5-2-7YM18</v>
      </c>
      <c r="S412" s="32">
        <f t="shared" si="69"/>
        <v>35.25</v>
      </c>
      <c r="U412" t="s">
        <v>423</v>
      </c>
      <c r="V412" s="32">
        <v>35.25</v>
      </c>
    </row>
    <row r="413" spans="2:22" x14ac:dyDescent="0.25">
      <c r="B413" s="1" t="s">
        <v>195</v>
      </c>
      <c r="C413" s="2" t="s">
        <v>196</v>
      </c>
      <c r="D413" s="2" t="s">
        <v>227</v>
      </c>
      <c r="E413" s="2" t="s">
        <v>357</v>
      </c>
      <c r="F413" s="3">
        <f t="shared" si="70"/>
        <v>44886</v>
      </c>
      <c r="G413" s="4">
        <f t="shared" si="64"/>
        <v>11</v>
      </c>
      <c r="H413" s="4">
        <f t="shared" si="65"/>
        <v>2022</v>
      </c>
      <c r="I413" s="2" t="s">
        <v>4</v>
      </c>
      <c r="J413" s="2" t="s">
        <v>883</v>
      </c>
      <c r="K413" s="2" t="s">
        <v>334</v>
      </c>
      <c r="L413" s="2" t="s">
        <v>335</v>
      </c>
      <c r="M413" s="2" t="s">
        <v>119</v>
      </c>
      <c r="N413" s="4" t="str">
        <f t="shared" si="66"/>
        <v>TON</v>
      </c>
      <c r="O413" s="5">
        <v>5.0175000000000001</v>
      </c>
      <c r="Q413" t="str">
        <f t="shared" si="67"/>
        <v>MAC628YZ1</v>
      </c>
      <c r="R413" t="str">
        <f t="shared" si="68"/>
        <v>Dyna Flo 6-2-8YZ1</v>
      </c>
      <c r="S413" s="32">
        <f t="shared" si="69"/>
        <v>68.62</v>
      </c>
      <c r="U413" t="s">
        <v>335</v>
      </c>
      <c r="V413" s="32">
        <v>68.62</v>
      </c>
    </row>
    <row r="414" spans="2:22" x14ac:dyDescent="0.25">
      <c r="B414" s="1" t="s">
        <v>195</v>
      </c>
      <c r="C414" s="2" t="s">
        <v>196</v>
      </c>
      <c r="D414" s="2" t="s">
        <v>884</v>
      </c>
      <c r="E414" s="2" t="s">
        <v>141</v>
      </c>
      <c r="F414" s="3">
        <f t="shared" si="70"/>
        <v>44886</v>
      </c>
      <c r="G414" s="4">
        <f t="shared" si="64"/>
        <v>11</v>
      </c>
      <c r="H414" s="4">
        <f t="shared" si="65"/>
        <v>2022</v>
      </c>
      <c r="I414" s="2" t="s">
        <v>4</v>
      </c>
      <c r="J414" s="2" t="s">
        <v>885</v>
      </c>
      <c r="K414" s="2" t="s">
        <v>25</v>
      </c>
      <c r="L414" s="2" t="s">
        <v>541</v>
      </c>
      <c r="M414" s="2" t="s">
        <v>27</v>
      </c>
      <c r="N414" s="4" t="str">
        <f t="shared" si="66"/>
        <v>GAL</v>
      </c>
      <c r="O414" s="5">
        <v>15</v>
      </c>
      <c r="Q414" t="str">
        <f t="shared" si="67"/>
        <v>GOLDCA02</v>
      </c>
      <c r="R414" t="str">
        <f t="shared" si="68"/>
        <v>Dyna Gold Calcium 8.25%</v>
      </c>
      <c r="S414" s="32">
        <f t="shared" si="69"/>
        <v>1280</v>
      </c>
      <c r="U414" t="s">
        <v>541</v>
      </c>
      <c r="V414" s="32">
        <v>1280</v>
      </c>
    </row>
    <row r="415" spans="2:22" x14ac:dyDescent="0.25">
      <c r="B415" s="1" t="s">
        <v>195</v>
      </c>
      <c r="C415" s="2" t="s">
        <v>196</v>
      </c>
      <c r="D415" s="2" t="s">
        <v>227</v>
      </c>
      <c r="E415" s="2" t="s">
        <v>757</v>
      </c>
      <c r="F415" s="3">
        <f t="shared" si="70"/>
        <v>44886</v>
      </c>
      <c r="G415" s="4">
        <f t="shared" si="64"/>
        <v>11</v>
      </c>
      <c r="H415" s="4">
        <f t="shared" si="65"/>
        <v>2022</v>
      </c>
      <c r="I415" s="2" t="s">
        <v>4</v>
      </c>
      <c r="J415" s="2" t="s">
        <v>886</v>
      </c>
      <c r="K415" s="2" t="s">
        <v>122</v>
      </c>
      <c r="L415" s="2" t="s">
        <v>123</v>
      </c>
      <c r="M415" s="2" t="s">
        <v>119</v>
      </c>
      <c r="N415" s="4" t="str">
        <f t="shared" si="66"/>
        <v>TON</v>
      </c>
      <c r="O415" s="5">
        <v>2.4775</v>
      </c>
      <c r="Q415" t="str">
        <f t="shared" si="67"/>
        <v>MAC528YZ</v>
      </c>
      <c r="R415" t="str">
        <f t="shared" si="68"/>
        <v>Dyna Flo 5-2-8 YZ</v>
      </c>
      <c r="S415" s="32">
        <f t="shared" si="69"/>
        <v>395.40750000000003</v>
      </c>
      <c r="U415" t="s">
        <v>123</v>
      </c>
      <c r="V415" s="32">
        <v>395.40750000000003</v>
      </c>
    </row>
    <row r="416" spans="2:22" x14ac:dyDescent="0.25">
      <c r="B416" s="1" t="s">
        <v>195</v>
      </c>
      <c r="C416" s="2" t="s">
        <v>196</v>
      </c>
      <c r="D416" s="2" t="s">
        <v>299</v>
      </c>
      <c r="E416" s="2" t="s">
        <v>398</v>
      </c>
      <c r="F416" s="3">
        <f t="shared" si="70"/>
        <v>44886</v>
      </c>
      <c r="G416" s="4">
        <f t="shared" si="64"/>
        <v>11</v>
      </c>
      <c r="H416" s="4">
        <f t="shared" si="65"/>
        <v>2022</v>
      </c>
      <c r="I416" s="2" t="s">
        <v>4</v>
      </c>
      <c r="J416" s="2" t="s">
        <v>887</v>
      </c>
      <c r="K416" s="2" t="s">
        <v>117</v>
      </c>
      <c r="L416" s="2" t="s">
        <v>118</v>
      </c>
      <c r="M416" s="2" t="s">
        <v>119</v>
      </c>
      <c r="N416" s="4" t="str">
        <f t="shared" si="66"/>
        <v>TON</v>
      </c>
      <c r="O416" s="5">
        <v>2.9874999999999998</v>
      </c>
      <c r="Q416" t="str">
        <f t="shared" si="67"/>
        <v>MAC428YM8</v>
      </c>
      <c r="R416" t="str">
        <f t="shared" si="68"/>
        <v>Dyna Flo 4-2-8YM8</v>
      </c>
      <c r="S416" s="32">
        <f t="shared" si="69"/>
        <v>517.73950000000002</v>
      </c>
      <c r="U416" t="s">
        <v>118</v>
      </c>
      <c r="V416" s="32">
        <v>517.73950000000002</v>
      </c>
    </row>
    <row r="417" spans="2:22" x14ac:dyDescent="0.25">
      <c r="B417" s="1" t="s">
        <v>195</v>
      </c>
      <c r="C417" s="2" t="s">
        <v>196</v>
      </c>
      <c r="D417" s="2" t="s">
        <v>888</v>
      </c>
      <c r="E417" s="2" t="s">
        <v>888</v>
      </c>
      <c r="F417" s="3">
        <f t="shared" si="70"/>
        <v>44886</v>
      </c>
      <c r="G417" s="4">
        <f t="shared" si="64"/>
        <v>11</v>
      </c>
      <c r="H417" s="4">
        <f t="shared" si="65"/>
        <v>2022</v>
      </c>
      <c r="I417" s="2" t="s">
        <v>4</v>
      </c>
      <c r="J417" s="2" t="s">
        <v>889</v>
      </c>
      <c r="K417" s="2" t="s">
        <v>268</v>
      </c>
      <c r="L417" s="2" t="s">
        <v>269</v>
      </c>
      <c r="M417" s="2" t="s">
        <v>119</v>
      </c>
      <c r="N417" s="4" t="str">
        <f t="shared" si="66"/>
        <v>TON</v>
      </c>
      <c r="O417" s="5">
        <v>0.3</v>
      </c>
      <c r="Q417" t="str">
        <f t="shared" si="67"/>
        <v>MAC927YM1</v>
      </c>
      <c r="R417" t="str">
        <f t="shared" si="68"/>
        <v>Dyna Flo 9-2-7YM1</v>
      </c>
      <c r="S417" s="32">
        <f t="shared" si="69"/>
        <v>2.5249999999999995</v>
      </c>
      <c r="U417" t="s">
        <v>269</v>
      </c>
      <c r="V417" s="32">
        <v>2.5249999999999995</v>
      </c>
    </row>
    <row r="418" spans="2:22" x14ac:dyDescent="0.25">
      <c r="B418" s="1" t="s">
        <v>195</v>
      </c>
      <c r="C418" s="2" t="s">
        <v>196</v>
      </c>
      <c r="D418" s="2" t="s">
        <v>890</v>
      </c>
      <c r="E418" s="2" t="s">
        <v>891</v>
      </c>
      <c r="F418" s="3">
        <f t="shared" si="70"/>
        <v>44886</v>
      </c>
      <c r="G418" s="4">
        <f t="shared" si="64"/>
        <v>11</v>
      </c>
      <c r="H418" s="4">
        <f t="shared" si="65"/>
        <v>2022</v>
      </c>
      <c r="I418" s="2" t="s">
        <v>4</v>
      </c>
      <c r="J418" s="2" t="s">
        <v>892</v>
      </c>
      <c r="K418" s="2" t="s">
        <v>205</v>
      </c>
      <c r="L418" s="2" t="s">
        <v>206</v>
      </c>
      <c r="M418" s="2" t="s">
        <v>119</v>
      </c>
      <c r="N418" s="4" t="str">
        <f t="shared" si="66"/>
        <v>TON</v>
      </c>
      <c r="O418" s="5">
        <v>7.0225</v>
      </c>
      <c r="Q418" t="str">
        <f t="shared" si="67"/>
        <v>MAC927YM3</v>
      </c>
      <c r="R418" t="str">
        <f t="shared" si="68"/>
        <v>Dyna Flo 9-2-7YM3</v>
      </c>
      <c r="S418" s="32">
        <f t="shared" si="69"/>
        <v>284.6674999999999</v>
      </c>
      <c r="U418" t="s">
        <v>206</v>
      </c>
      <c r="V418" s="32">
        <v>284.6674999999999</v>
      </c>
    </row>
    <row r="419" spans="2:22" x14ac:dyDescent="0.25">
      <c r="B419" s="1" t="s">
        <v>195</v>
      </c>
      <c r="C419" s="2" t="s">
        <v>196</v>
      </c>
      <c r="D419" s="2" t="s">
        <v>715</v>
      </c>
      <c r="E419" s="2" t="s">
        <v>893</v>
      </c>
      <c r="F419" s="3">
        <f t="shared" si="70"/>
        <v>44886</v>
      </c>
      <c r="G419" s="4">
        <f t="shared" si="64"/>
        <v>11</v>
      </c>
      <c r="H419" s="4">
        <f t="shared" si="65"/>
        <v>2022</v>
      </c>
      <c r="I419" s="2" t="s">
        <v>4</v>
      </c>
      <c r="J419" s="2" t="s">
        <v>894</v>
      </c>
      <c r="K419" s="2" t="s">
        <v>329</v>
      </c>
      <c r="L419" s="2" t="s">
        <v>330</v>
      </c>
      <c r="M419" s="2" t="s">
        <v>119</v>
      </c>
      <c r="N419" s="4" t="str">
        <f t="shared" si="66"/>
        <v>TON</v>
      </c>
      <c r="O419" s="5">
        <v>2.5074999999999998</v>
      </c>
      <c r="Q419" t="str">
        <f t="shared" si="67"/>
        <v>MAC628YM8</v>
      </c>
      <c r="R419" t="str">
        <f t="shared" si="68"/>
        <v>Dyna Flo 6-2-8YM8</v>
      </c>
      <c r="S419" s="32">
        <f t="shared" si="69"/>
        <v>247.51499999999996</v>
      </c>
      <c r="U419" t="s">
        <v>330</v>
      </c>
      <c r="V419" s="32">
        <v>247.51499999999996</v>
      </c>
    </row>
    <row r="420" spans="2:22" x14ac:dyDescent="0.25">
      <c r="B420" s="1" t="s">
        <v>195</v>
      </c>
      <c r="C420" s="2" t="s">
        <v>196</v>
      </c>
      <c r="D420" s="2" t="s">
        <v>224</v>
      </c>
      <c r="E420" s="2" t="s">
        <v>895</v>
      </c>
      <c r="F420" s="3">
        <f t="shared" ref="F420:F434" si="71">DATE(2022,11,22)</f>
        <v>44887</v>
      </c>
      <c r="G420" s="4">
        <f t="shared" si="64"/>
        <v>11</v>
      </c>
      <c r="H420" s="4">
        <f t="shared" si="65"/>
        <v>2022</v>
      </c>
      <c r="I420" s="2" t="s">
        <v>4</v>
      </c>
      <c r="J420" s="2" t="s">
        <v>896</v>
      </c>
      <c r="K420" s="2" t="s">
        <v>122</v>
      </c>
      <c r="L420" s="2" t="s">
        <v>123</v>
      </c>
      <c r="M420" s="2" t="s">
        <v>119</v>
      </c>
      <c r="N420" s="4" t="str">
        <f t="shared" si="66"/>
        <v>TON</v>
      </c>
      <c r="O420" s="5">
        <v>5.03</v>
      </c>
      <c r="Q420" t="str">
        <f t="shared" si="67"/>
        <v>MAC528YZ</v>
      </c>
      <c r="R420" t="str">
        <f t="shared" si="68"/>
        <v>Dyna Flo 5-2-8 YZ</v>
      </c>
      <c r="S420" s="32">
        <f t="shared" si="69"/>
        <v>395.40750000000003</v>
      </c>
      <c r="U420" t="s">
        <v>123</v>
      </c>
      <c r="V420" s="32">
        <v>395.40750000000003</v>
      </c>
    </row>
    <row r="421" spans="2:22" x14ac:dyDescent="0.25">
      <c r="B421" s="1" t="s">
        <v>195</v>
      </c>
      <c r="C421" s="2" t="s">
        <v>196</v>
      </c>
      <c r="D421" s="2" t="s">
        <v>437</v>
      </c>
      <c r="E421" s="2" t="s">
        <v>438</v>
      </c>
      <c r="F421" s="3">
        <f t="shared" si="71"/>
        <v>44887</v>
      </c>
      <c r="G421" s="4">
        <f t="shared" si="64"/>
        <v>11</v>
      </c>
      <c r="H421" s="4">
        <f t="shared" si="65"/>
        <v>2022</v>
      </c>
      <c r="I421" s="2" t="s">
        <v>4</v>
      </c>
      <c r="J421" s="2" t="s">
        <v>897</v>
      </c>
      <c r="K421" s="2" t="s">
        <v>447</v>
      </c>
      <c r="L421" s="2" t="s">
        <v>448</v>
      </c>
      <c r="M421" s="2" t="s">
        <v>119</v>
      </c>
      <c r="N421" s="4" t="str">
        <f t="shared" si="66"/>
        <v>TON</v>
      </c>
      <c r="O421" s="5">
        <v>5.0225</v>
      </c>
      <c r="Q421" t="str">
        <f t="shared" si="67"/>
        <v>MAC727YM15</v>
      </c>
      <c r="R421" t="str">
        <f t="shared" si="68"/>
        <v>Dyna Flo 7-2-7YM15</v>
      </c>
      <c r="S421" s="32">
        <f t="shared" si="69"/>
        <v>113.6925</v>
      </c>
      <c r="U421" t="s">
        <v>448</v>
      </c>
      <c r="V421" s="32">
        <v>113.6925</v>
      </c>
    </row>
    <row r="422" spans="2:22" x14ac:dyDescent="0.25">
      <c r="B422" s="1" t="s">
        <v>195</v>
      </c>
      <c r="C422" s="2" t="s">
        <v>196</v>
      </c>
      <c r="D422" s="2" t="s">
        <v>898</v>
      </c>
      <c r="E422" s="2" t="s">
        <v>102</v>
      </c>
      <c r="F422" s="3">
        <f t="shared" si="71"/>
        <v>44887</v>
      </c>
      <c r="G422" s="4">
        <f t="shared" si="64"/>
        <v>11</v>
      </c>
      <c r="H422" s="4">
        <f t="shared" si="65"/>
        <v>2022</v>
      </c>
      <c r="I422" s="2" t="s">
        <v>4</v>
      </c>
      <c r="J422" s="2" t="s">
        <v>899</v>
      </c>
      <c r="K422" s="2" t="s">
        <v>447</v>
      </c>
      <c r="L422" s="2" t="s">
        <v>448</v>
      </c>
      <c r="M422" s="2" t="s">
        <v>119</v>
      </c>
      <c r="N422" s="4" t="str">
        <f t="shared" si="66"/>
        <v>TON</v>
      </c>
      <c r="O422" s="5">
        <v>15.02</v>
      </c>
      <c r="Q422" t="str">
        <f t="shared" si="67"/>
        <v>MAC727YM15</v>
      </c>
      <c r="R422" t="str">
        <f t="shared" si="68"/>
        <v>Dyna Flo 7-2-7YM15</v>
      </c>
      <c r="S422" s="32">
        <f t="shared" si="69"/>
        <v>113.6925</v>
      </c>
      <c r="U422" t="s">
        <v>448</v>
      </c>
      <c r="V422" s="32">
        <v>113.6925</v>
      </c>
    </row>
    <row r="423" spans="2:22" x14ac:dyDescent="0.25">
      <c r="B423" s="1" t="s">
        <v>195</v>
      </c>
      <c r="C423" s="2" t="s">
        <v>196</v>
      </c>
      <c r="D423" s="2" t="s">
        <v>262</v>
      </c>
      <c r="E423" s="2" t="s">
        <v>290</v>
      </c>
      <c r="F423" s="3">
        <f t="shared" si="71"/>
        <v>44887</v>
      </c>
      <c r="G423" s="4">
        <f t="shared" si="64"/>
        <v>11</v>
      </c>
      <c r="H423" s="4">
        <f t="shared" si="65"/>
        <v>2022</v>
      </c>
      <c r="I423" s="2" t="s">
        <v>4</v>
      </c>
      <c r="J423" s="2" t="s">
        <v>900</v>
      </c>
      <c r="K423" s="2" t="s">
        <v>329</v>
      </c>
      <c r="L423" s="2" t="s">
        <v>330</v>
      </c>
      <c r="M423" s="2" t="s">
        <v>119</v>
      </c>
      <c r="N423" s="4" t="str">
        <f t="shared" si="66"/>
        <v>TON</v>
      </c>
      <c r="O423" s="5">
        <v>6.0049999999999999</v>
      </c>
      <c r="Q423" t="str">
        <f t="shared" si="67"/>
        <v>MAC628YM8</v>
      </c>
      <c r="R423" t="str">
        <f t="shared" si="68"/>
        <v>Dyna Flo 6-2-8YM8</v>
      </c>
      <c r="S423" s="32">
        <f t="shared" si="69"/>
        <v>247.51499999999996</v>
      </c>
      <c r="U423" t="s">
        <v>330</v>
      </c>
      <c r="V423" s="32">
        <v>247.51499999999996</v>
      </c>
    </row>
    <row r="424" spans="2:22" x14ac:dyDescent="0.25">
      <c r="B424" s="1" t="s">
        <v>195</v>
      </c>
      <c r="C424" s="2" t="s">
        <v>196</v>
      </c>
      <c r="D424" s="2" t="s">
        <v>280</v>
      </c>
      <c r="E424" s="2" t="s">
        <v>254</v>
      </c>
      <c r="F424" s="3">
        <f t="shared" si="71"/>
        <v>44887</v>
      </c>
      <c r="G424" s="4">
        <f t="shared" si="64"/>
        <v>11</v>
      </c>
      <c r="H424" s="4">
        <f t="shared" si="65"/>
        <v>2022</v>
      </c>
      <c r="I424" s="2" t="s">
        <v>4</v>
      </c>
      <c r="J424" s="2" t="s">
        <v>901</v>
      </c>
      <c r="K424" s="2" t="s">
        <v>390</v>
      </c>
      <c r="L424" s="2" t="s">
        <v>391</v>
      </c>
      <c r="M424" s="2" t="s">
        <v>119</v>
      </c>
      <c r="N424" s="4" t="str">
        <f t="shared" si="66"/>
        <v>TON</v>
      </c>
      <c r="O424" s="5">
        <v>15.01</v>
      </c>
      <c r="Q424" t="str">
        <f t="shared" si="67"/>
        <v>MAC426YM2</v>
      </c>
      <c r="R424" t="str">
        <f t="shared" si="68"/>
        <v>Dyna Flo 4-2-6YM2</v>
      </c>
      <c r="S424" s="32">
        <f t="shared" si="69"/>
        <v>415.88999999999976</v>
      </c>
      <c r="U424" t="s">
        <v>391</v>
      </c>
      <c r="V424" s="32">
        <v>415.88999999999976</v>
      </c>
    </row>
    <row r="425" spans="2:22" x14ac:dyDescent="0.25">
      <c r="B425" s="1" t="s">
        <v>195</v>
      </c>
      <c r="C425" s="2" t="s">
        <v>196</v>
      </c>
      <c r="D425" s="2" t="s">
        <v>207</v>
      </c>
      <c r="E425" s="2" t="s">
        <v>208</v>
      </c>
      <c r="F425" s="3">
        <f t="shared" si="71"/>
        <v>44887</v>
      </c>
      <c r="G425" s="4">
        <f t="shared" si="64"/>
        <v>11</v>
      </c>
      <c r="H425" s="4">
        <f t="shared" si="65"/>
        <v>2022</v>
      </c>
      <c r="I425" s="2" t="s">
        <v>4</v>
      </c>
      <c r="J425" s="2" t="s">
        <v>902</v>
      </c>
      <c r="K425" s="2" t="s">
        <v>205</v>
      </c>
      <c r="L425" s="2" t="s">
        <v>206</v>
      </c>
      <c r="M425" s="2" t="s">
        <v>119</v>
      </c>
      <c r="N425" s="4" t="str">
        <f t="shared" si="66"/>
        <v>TON</v>
      </c>
      <c r="O425" s="5">
        <v>2</v>
      </c>
      <c r="Q425" t="str">
        <f t="shared" si="67"/>
        <v>MAC927YM3</v>
      </c>
      <c r="R425" t="str">
        <f t="shared" si="68"/>
        <v>Dyna Flo 9-2-7YM3</v>
      </c>
      <c r="S425" s="32">
        <f t="shared" si="69"/>
        <v>284.6674999999999</v>
      </c>
      <c r="U425" t="s">
        <v>206</v>
      </c>
      <c r="V425" s="32">
        <v>284.6674999999999</v>
      </c>
    </row>
    <row r="426" spans="2:22" x14ac:dyDescent="0.25">
      <c r="B426" s="1" t="s">
        <v>195</v>
      </c>
      <c r="C426" s="2" t="s">
        <v>196</v>
      </c>
      <c r="D426" s="2" t="s">
        <v>721</v>
      </c>
      <c r="E426" s="2" t="s">
        <v>141</v>
      </c>
      <c r="F426" s="3">
        <f t="shared" si="71"/>
        <v>44887</v>
      </c>
      <c r="G426" s="4">
        <f t="shared" si="64"/>
        <v>11</v>
      </c>
      <c r="H426" s="4">
        <f t="shared" si="65"/>
        <v>2022</v>
      </c>
      <c r="I426" s="2" t="s">
        <v>4</v>
      </c>
      <c r="J426" s="2" t="s">
        <v>903</v>
      </c>
      <c r="K426" s="2" t="s">
        <v>25</v>
      </c>
      <c r="L426" s="2" t="s">
        <v>541</v>
      </c>
      <c r="M426" s="2" t="s">
        <v>27</v>
      </c>
      <c r="N426" s="4" t="str">
        <f t="shared" si="66"/>
        <v>GAL</v>
      </c>
      <c r="O426" s="5">
        <v>25</v>
      </c>
      <c r="Q426" t="str">
        <f t="shared" si="67"/>
        <v>GOLDCA02</v>
      </c>
      <c r="R426" t="str">
        <f t="shared" si="68"/>
        <v>Dyna Gold Calcium 8.25%</v>
      </c>
      <c r="S426" s="32">
        <f t="shared" si="69"/>
        <v>1280</v>
      </c>
      <c r="U426" t="s">
        <v>541</v>
      </c>
      <c r="V426" s="32">
        <v>1280</v>
      </c>
    </row>
    <row r="427" spans="2:22" x14ac:dyDescent="0.25">
      <c r="B427" s="1" t="s">
        <v>195</v>
      </c>
      <c r="C427" s="2" t="s">
        <v>196</v>
      </c>
      <c r="D427" s="2" t="s">
        <v>721</v>
      </c>
      <c r="E427" s="2" t="s">
        <v>141</v>
      </c>
      <c r="F427" s="3">
        <f t="shared" si="71"/>
        <v>44887</v>
      </c>
      <c r="G427" s="4">
        <f t="shared" si="64"/>
        <v>11</v>
      </c>
      <c r="H427" s="4">
        <f t="shared" si="65"/>
        <v>2022</v>
      </c>
      <c r="I427" s="2" t="s">
        <v>4</v>
      </c>
      <c r="J427" s="2" t="s">
        <v>903</v>
      </c>
      <c r="K427" s="2" t="s">
        <v>531</v>
      </c>
      <c r="L427" s="2" t="s">
        <v>201</v>
      </c>
      <c r="M427" s="2" t="s">
        <v>202</v>
      </c>
      <c r="N427" s="4" t="str">
        <f t="shared" si="66"/>
        <v>GAL</v>
      </c>
      <c r="O427" s="5">
        <v>60</v>
      </c>
      <c r="Q427" t="str">
        <f t="shared" si="67"/>
        <v>FLO15001630</v>
      </c>
      <c r="R427" t="str">
        <f t="shared" si="68"/>
        <v>Vented pHury</v>
      </c>
      <c r="S427" s="32">
        <f t="shared" si="69"/>
        <v>965</v>
      </c>
      <c r="U427" t="s">
        <v>201</v>
      </c>
      <c r="V427" s="32">
        <v>965</v>
      </c>
    </row>
    <row r="428" spans="2:22" x14ac:dyDescent="0.25">
      <c r="B428" s="1" t="s">
        <v>195</v>
      </c>
      <c r="C428" s="2" t="s">
        <v>196</v>
      </c>
      <c r="D428" s="2" t="s">
        <v>904</v>
      </c>
      <c r="E428" s="2" t="s">
        <v>141</v>
      </c>
      <c r="F428" s="3">
        <f t="shared" si="71"/>
        <v>44887</v>
      </c>
      <c r="G428" s="4">
        <f t="shared" si="64"/>
        <v>11</v>
      </c>
      <c r="H428" s="4">
        <f t="shared" si="65"/>
        <v>2022</v>
      </c>
      <c r="I428" s="2" t="s">
        <v>4</v>
      </c>
      <c r="J428" s="2" t="s">
        <v>905</v>
      </c>
      <c r="K428" s="2" t="s">
        <v>415</v>
      </c>
      <c r="L428" s="2" t="s">
        <v>416</v>
      </c>
      <c r="M428" s="2" t="s">
        <v>417</v>
      </c>
      <c r="N428" s="4" t="str">
        <f t="shared" si="66"/>
        <v>GAL</v>
      </c>
      <c r="O428" s="5">
        <v>120</v>
      </c>
      <c r="Q428" t="str">
        <f t="shared" si="67"/>
        <v>PHURYPHOS30</v>
      </c>
      <c r="R428" t="str">
        <f t="shared" si="68"/>
        <v>pHury Phos</v>
      </c>
      <c r="S428" s="32">
        <f t="shared" si="69"/>
        <v>510</v>
      </c>
      <c r="U428" t="s">
        <v>416</v>
      </c>
      <c r="V428" s="32">
        <v>510</v>
      </c>
    </row>
    <row r="429" spans="2:22" x14ac:dyDescent="0.25">
      <c r="B429" s="1" t="s">
        <v>195</v>
      </c>
      <c r="C429" s="2" t="s">
        <v>196</v>
      </c>
      <c r="D429" s="2" t="s">
        <v>299</v>
      </c>
      <c r="E429" s="2" t="s">
        <v>300</v>
      </c>
      <c r="F429" s="3">
        <f t="shared" si="71"/>
        <v>44887</v>
      </c>
      <c r="G429" s="4">
        <f t="shared" si="64"/>
        <v>11</v>
      </c>
      <c r="H429" s="4">
        <f t="shared" si="65"/>
        <v>2022</v>
      </c>
      <c r="I429" s="2" t="s">
        <v>4</v>
      </c>
      <c r="J429" s="2" t="s">
        <v>906</v>
      </c>
      <c r="K429" s="2" t="s">
        <v>390</v>
      </c>
      <c r="L429" s="2" t="s">
        <v>391</v>
      </c>
      <c r="M429" s="2" t="s">
        <v>119</v>
      </c>
      <c r="N429" s="4" t="str">
        <f t="shared" si="66"/>
        <v>TON</v>
      </c>
      <c r="O429" s="5">
        <v>14.525</v>
      </c>
      <c r="Q429" t="str">
        <f t="shared" si="67"/>
        <v>MAC426YM2</v>
      </c>
      <c r="R429" t="str">
        <f t="shared" si="68"/>
        <v>Dyna Flo 4-2-6YM2</v>
      </c>
      <c r="S429" s="32">
        <f t="shared" si="69"/>
        <v>415.88999999999976</v>
      </c>
      <c r="U429" t="s">
        <v>391</v>
      </c>
      <c r="V429" s="32">
        <v>415.88999999999976</v>
      </c>
    </row>
    <row r="430" spans="2:22" x14ac:dyDescent="0.25">
      <c r="B430" s="1" t="s">
        <v>195</v>
      </c>
      <c r="C430" s="2" t="s">
        <v>196</v>
      </c>
      <c r="D430" s="2" t="s">
        <v>800</v>
      </c>
      <c r="E430" s="2" t="s">
        <v>907</v>
      </c>
      <c r="F430" s="3">
        <f t="shared" si="71"/>
        <v>44887</v>
      </c>
      <c r="G430" s="4">
        <f t="shared" si="64"/>
        <v>11</v>
      </c>
      <c r="H430" s="4">
        <f t="shared" si="65"/>
        <v>2022</v>
      </c>
      <c r="I430" s="2" t="s">
        <v>4</v>
      </c>
      <c r="J430" s="2" t="s">
        <v>908</v>
      </c>
      <c r="K430" s="2" t="s">
        <v>329</v>
      </c>
      <c r="L430" s="2" t="s">
        <v>330</v>
      </c>
      <c r="M430" s="2" t="s">
        <v>119</v>
      </c>
      <c r="N430" s="4" t="str">
        <f t="shared" si="66"/>
        <v>TON</v>
      </c>
      <c r="O430" s="5">
        <v>3.0049999999999999</v>
      </c>
      <c r="Q430" t="str">
        <f t="shared" si="67"/>
        <v>MAC628YM8</v>
      </c>
      <c r="R430" t="str">
        <f t="shared" si="68"/>
        <v>Dyna Flo 6-2-8YM8</v>
      </c>
      <c r="S430" s="32">
        <f t="shared" si="69"/>
        <v>247.51499999999996</v>
      </c>
      <c r="U430" t="s">
        <v>330</v>
      </c>
      <c r="V430" s="32">
        <v>247.51499999999996</v>
      </c>
    </row>
    <row r="431" spans="2:22" x14ac:dyDescent="0.25">
      <c r="B431" s="1" t="s">
        <v>195</v>
      </c>
      <c r="C431" s="2" t="s">
        <v>196</v>
      </c>
      <c r="D431" s="2" t="s">
        <v>884</v>
      </c>
      <c r="E431" s="2" t="s">
        <v>909</v>
      </c>
      <c r="F431" s="3">
        <f t="shared" si="71"/>
        <v>44887</v>
      </c>
      <c r="G431" s="4">
        <f t="shared" si="64"/>
        <v>11</v>
      </c>
      <c r="H431" s="4">
        <f t="shared" si="65"/>
        <v>2022</v>
      </c>
      <c r="I431" s="2" t="s">
        <v>4</v>
      </c>
      <c r="J431" s="2" t="s">
        <v>910</v>
      </c>
      <c r="K431" s="2" t="s">
        <v>422</v>
      </c>
      <c r="L431" s="2" t="s">
        <v>423</v>
      </c>
      <c r="M431" s="2" t="s">
        <v>119</v>
      </c>
      <c r="N431" s="4" t="str">
        <f t="shared" si="66"/>
        <v>TON</v>
      </c>
      <c r="O431" s="5">
        <v>2.5</v>
      </c>
      <c r="Q431" t="str">
        <f t="shared" si="67"/>
        <v>MAC527YM18</v>
      </c>
      <c r="R431" t="str">
        <f t="shared" si="68"/>
        <v>Dyna Flo 5-2-7YM18</v>
      </c>
      <c r="S431" s="32">
        <f t="shared" si="69"/>
        <v>35.25</v>
      </c>
      <c r="U431" t="s">
        <v>423</v>
      </c>
      <c r="V431" s="32">
        <v>35.25</v>
      </c>
    </row>
    <row r="432" spans="2:22" x14ac:dyDescent="0.25">
      <c r="B432" s="1" t="s">
        <v>195</v>
      </c>
      <c r="C432" s="2" t="s">
        <v>196</v>
      </c>
      <c r="D432" s="2" t="s">
        <v>800</v>
      </c>
      <c r="E432" s="2" t="s">
        <v>911</v>
      </c>
      <c r="F432" s="3">
        <f t="shared" si="71"/>
        <v>44887</v>
      </c>
      <c r="G432" s="4">
        <f t="shared" si="64"/>
        <v>11</v>
      </c>
      <c r="H432" s="4">
        <f t="shared" si="65"/>
        <v>2022</v>
      </c>
      <c r="I432" s="2" t="s">
        <v>4</v>
      </c>
      <c r="J432" s="2" t="s">
        <v>912</v>
      </c>
      <c r="K432" s="2" t="s">
        <v>329</v>
      </c>
      <c r="L432" s="2" t="s">
        <v>330</v>
      </c>
      <c r="M432" s="2" t="s">
        <v>119</v>
      </c>
      <c r="N432" s="4" t="str">
        <f t="shared" si="66"/>
        <v>TON</v>
      </c>
      <c r="O432" s="5">
        <v>0.99750000000000005</v>
      </c>
      <c r="Q432" t="str">
        <f t="shared" si="67"/>
        <v>MAC628YM8</v>
      </c>
      <c r="R432" t="str">
        <f t="shared" si="68"/>
        <v>Dyna Flo 6-2-8YM8</v>
      </c>
      <c r="S432" s="32">
        <f t="shared" si="69"/>
        <v>247.51499999999996</v>
      </c>
      <c r="U432" t="s">
        <v>330</v>
      </c>
      <c r="V432" s="32">
        <v>247.51499999999996</v>
      </c>
    </row>
    <row r="433" spans="2:22" x14ac:dyDescent="0.25">
      <c r="B433" s="1" t="s">
        <v>195</v>
      </c>
      <c r="C433" s="2" t="s">
        <v>196</v>
      </c>
      <c r="D433" s="2" t="s">
        <v>800</v>
      </c>
      <c r="E433" s="2" t="s">
        <v>911</v>
      </c>
      <c r="F433" s="3">
        <f t="shared" si="71"/>
        <v>44887</v>
      </c>
      <c r="G433" s="4">
        <f t="shared" si="64"/>
        <v>11</v>
      </c>
      <c r="H433" s="4">
        <f t="shared" si="65"/>
        <v>2022</v>
      </c>
      <c r="I433" s="2" t="s">
        <v>4</v>
      </c>
      <c r="J433" s="2" t="s">
        <v>913</v>
      </c>
      <c r="K433" s="2" t="s">
        <v>122</v>
      </c>
      <c r="L433" s="2" t="s">
        <v>123</v>
      </c>
      <c r="M433" s="2" t="s">
        <v>119</v>
      </c>
      <c r="N433" s="4" t="str">
        <f t="shared" si="66"/>
        <v>TON</v>
      </c>
      <c r="O433" s="5">
        <v>1.0049999999999999</v>
      </c>
      <c r="Q433" t="str">
        <f t="shared" si="67"/>
        <v>MAC528YZ</v>
      </c>
      <c r="R433" t="str">
        <f t="shared" si="68"/>
        <v>Dyna Flo 5-2-8 YZ</v>
      </c>
      <c r="S433" s="32">
        <f t="shared" si="69"/>
        <v>395.40750000000003</v>
      </c>
      <c r="U433" t="s">
        <v>123</v>
      </c>
      <c r="V433" s="32">
        <v>395.40750000000003</v>
      </c>
    </row>
    <row r="434" spans="2:22" x14ac:dyDescent="0.25">
      <c r="B434" s="1" t="s">
        <v>195</v>
      </c>
      <c r="C434" s="2" t="s">
        <v>196</v>
      </c>
      <c r="D434" s="2" t="s">
        <v>227</v>
      </c>
      <c r="E434" s="2" t="s">
        <v>757</v>
      </c>
      <c r="F434" s="3">
        <f t="shared" si="71"/>
        <v>44887</v>
      </c>
      <c r="G434" s="4">
        <f t="shared" si="64"/>
        <v>11</v>
      </c>
      <c r="H434" s="4">
        <f t="shared" si="65"/>
        <v>2022</v>
      </c>
      <c r="I434" s="2" t="s">
        <v>4</v>
      </c>
      <c r="J434" s="2" t="s">
        <v>914</v>
      </c>
      <c r="K434" s="2" t="s">
        <v>915</v>
      </c>
      <c r="L434" s="2" t="s">
        <v>916</v>
      </c>
      <c r="M434" s="2" t="s">
        <v>917</v>
      </c>
      <c r="N434" s="4" t="str">
        <f t="shared" si="66"/>
        <v>GAL</v>
      </c>
      <c r="O434" s="5">
        <v>60</v>
      </c>
      <c r="Q434" t="str">
        <f t="shared" si="67"/>
        <v>GROCA30</v>
      </c>
      <c r="R434" t="str">
        <f t="shared" si="68"/>
        <v>Dyna Gro Calcium 11%</v>
      </c>
      <c r="S434" s="32">
        <f t="shared" si="69"/>
        <v>95</v>
      </c>
      <c r="U434" t="s">
        <v>916</v>
      </c>
      <c r="V434" s="32">
        <v>95</v>
      </c>
    </row>
    <row r="435" spans="2:22" x14ac:dyDescent="0.25">
      <c r="B435" s="1" t="s">
        <v>195</v>
      </c>
      <c r="C435" s="2" t="s">
        <v>196</v>
      </c>
      <c r="D435" s="2" t="s">
        <v>317</v>
      </c>
      <c r="E435" s="2" t="s">
        <v>677</v>
      </c>
      <c r="F435" s="3">
        <f t="shared" ref="F435:F449" si="72">DATE(2022,11,23)</f>
        <v>44888</v>
      </c>
      <c r="G435" s="4">
        <f t="shared" si="64"/>
        <v>11</v>
      </c>
      <c r="H435" s="4">
        <f t="shared" si="65"/>
        <v>2022</v>
      </c>
      <c r="I435" s="2" t="s">
        <v>4</v>
      </c>
      <c r="J435" s="2" t="s">
        <v>918</v>
      </c>
      <c r="K435" s="2" t="s">
        <v>390</v>
      </c>
      <c r="L435" s="2" t="s">
        <v>391</v>
      </c>
      <c r="M435" s="2" t="s">
        <v>119</v>
      </c>
      <c r="N435" s="4" t="str">
        <f t="shared" si="66"/>
        <v>TON</v>
      </c>
      <c r="O435" s="5">
        <v>10.0175</v>
      </c>
      <c r="Q435" t="str">
        <f t="shared" si="67"/>
        <v>MAC426YM2</v>
      </c>
      <c r="R435" t="str">
        <f t="shared" si="68"/>
        <v>Dyna Flo 4-2-6YM2</v>
      </c>
      <c r="S435" s="32">
        <f t="shared" si="69"/>
        <v>415.88999999999976</v>
      </c>
      <c r="U435" t="s">
        <v>391</v>
      </c>
      <c r="V435" s="32">
        <v>415.88999999999976</v>
      </c>
    </row>
    <row r="436" spans="2:22" x14ac:dyDescent="0.25">
      <c r="B436" s="1" t="s">
        <v>195</v>
      </c>
      <c r="C436" s="2" t="s">
        <v>196</v>
      </c>
      <c r="D436" s="2" t="s">
        <v>475</v>
      </c>
      <c r="E436" s="2" t="s">
        <v>476</v>
      </c>
      <c r="F436" s="3">
        <f t="shared" si="72"/>
        <v>44888</v>
      </c>
      <c r="G436" s="4">
        <f t="shared" si="64"/>
        <v>11</v>
      </c>
      <c r="H436" s="4">
        <f t="shared" si="65"/>
        <v>2022</v>
      </c>
      <c r="I436" s="2" t="s">
        <v>4</v>
      </c>
      <c r="J436" s="2" t="s">
        <v>919</v>
      </c>
      <c r="K436" s="2" t="s">
        <v>478</v>
      </c>
      <c r="L436" s="2" t="s">
        <v>479</v>
      </c>
      <c r="M436" s="2" t="s">
        <v>119</v>
      </c>
      <c r="N436" s="4" t="str">
        <f t="shared" si="66"/>
        <v>TON</v>
      </c>
      <c r="O436" s="5">
        <v>5</v>
      </c>
      <c r="Q436" t="str">
        <f t="shared" si="67"/>
        <v>MAC628YM19</v>
      </c>
      <c r="R436" t="str">
        <f t="shared" si="68"/>
        <v>Dyna Flo 6-2-8YM19</v>
      </c>
      <c r="S436" s="32">
        <f t="shared" si="69"/>
        <v>25.032499999999999</v>
      </c>
      <c r="U436" t="s">
        <v>479</v>
      </c>
      <c r="V436" s="32">
        <v>25.032499999999999</v>
      </c>
    </row>
    <row r="437" spans="2:22" x14ac:dyDescent="0.25">
      <c r="B437" s="1" t="s">
        <v>195</v>
      </c>
      <c r="C437" s="2" t="s">
        <v>196</v>
      </c>
      <c r="D437" s="2" t="s">
        <v>294</v>
      </c>
      <c r="E437" s="2" t="s">
        <v>295</v>
      </c>
      <c r="F437" s="3">
        <f t="shared" si="72"/>
        <v>44888</v>
      </c>
      <c r="G437" s="4">
        <f t="shared" si="64"/>
        <v>11</v>
      </c>
      <c r="H437" s="4">
        <f t="shared" si="65"/>
        <v>2022</v>
      </c>
      <c r="I437" s="2" t="s">
        <v>4</v>
      </c>
      <c r="J437" s="2" t="s">
        <v>920</v>
      </c>
      <c r="K437" s="2" t="s">
        <v>122</v>
      </c>
      <c r="L437" s="2" t="s">
        <v>123</v>
      </c>
      <c r="M437" s="2" t="s">
        <v>119</v>
      </c>
      <c r="N437" s="4" t="str">
        <f t="shared" si="66"/>
        <v>TON</v>
      </c>
      <c r="O437" s="5">
        <v>7.5324999999999998</v>
      </c>
      <c r="Q437" t="str">
        <f t="shared" si="67"/>
        <v>MAC528YZ</v>
      </c>
      <c r="R437" t="str">
        <f t="shared" si="68"/>
        <v>Dyna Flo 5-2-8 YZ</v>
      </c>
      <c r="S437" s="32">
        <f t="shared" si="69"/>
        <v>395.40750000000003</v>
      </c>
      <c r="U437" t="s">
        <v>123</v>
      </c>
      <c r="V437" s="32">
        <v>395.40750000000003</v>
      </c>
    </row>
    <row r="438" spans="2:22" x14ac:dyDescent="0.25">
      <c r="B438" s="1" t="s">
        <v>195</v>
      </c>
      <c r="C438" s="2" t="s">
        <v>196</v>
      </c>
      <c r="D438" s="2" t="s">
        <v>232</v>
      </c>
      <c r="E438" s="2" t="s">
        <v>778</v>
      </c>
      <c r="F438" s="3">
        <f t="shared" si="72"/>
        <v>44888</v>
      </c>
      <c r="G438" s="4">
        <f t="shared" si="64"/>
        <v>11</v>
      </c>
      <c r="H438" s="4">
        <f t="shared" si="65"/>
        <v>2022</v>
      </c>
      <c r="I438" s="2" t="s">
        <v>4</v>
      </c>
      <c r="J438" s="2" t="s">
        <v>921</v>
      </c>
      <c r="K438" s="2" t="s">
        <v>329</v>
      </c>
      <c r="L438" s="2" t="s">
        <v>330</v>
      </c>
      <c r="M438" s="2" t="s">
        <v>119</v>
      </c>
      <c r="N438" s="4" t="str">
        <f t="shared" si="66"/>
        <v>TON</v>
      </c>
      <c r="O438" s="5">
        <v>2.5</v>
      </c>
      <c r="Q438" t="str">
        <f t="shared" si="67"/>
        <v>MAC628YM8</v>
      </c>
      <c r="R438" t="str">
        <f t="shared" si="68"/>
        <v>Dyna Flo 6-2-8YM8</v>
      </c>
      <c r="S438" s="32">
        <f t="shared" si="69"/>
        <v>247.51499999999996</v>
      </c>
      <c r="U438" t="s">
        <v>330</v>
      </c>
      <c r="V438" s="32">
        <v>247.51499999999996</v>
      </c>
    </row>
    <row r="439" spans="2:22" x14ac:dyDescent="0.25">
      <c r="B439" s="6" t="s">
        <v>195</v>
      </c>
      <c r="C439" s="7" t="s">
        <v>196</v>
      </c>
      <c r="D439" s="8" t="s">
        <v>253</v>
      </c>
      <c r="E439" s="8" t="s">
        <v>922</v>
      </c>
      <c r="F439" s="9">
        <f t="shared" si="72"/>
        <v>44888</v>
      </c>
      <c r="G439" s="10">
        <f t="shared" si="64"/>
        <v>11</v>
      </c>
      <c r="H439" s="10">
        <f t="shared" si="65"/>
        <v>2022</v>
      </c>
      <c r="I439" s="8" t="s">
        <v>4</v>
      </c>
      <c r="J439" s="7" t="s">
        <v>923</v>
      </c>
      <c r="K439" s="8" t="s">
        <v>924</v>
      </c>
      <c r="L439" s="8" t="s">
        <v>925</v>
      </c>
      <c r="M439" s="8" t="s">
        <v>119</v>
      </c>
      <c r="N439" s="10" t="str">
        <f t="shared" si="66"/>
        <v>TON</v>
      </c>
      <c r="O439" s="11">
        <v>1.9875</v>
      </c>
      <c r="Q439" t="str">
        <f t="shared" si="67"/>
        <v>MAC327YY</v>
      </c>
      <c r="R439" t="str">
        <f t="shared" si="68"/>
        <v>Dyna Flo 3-2-7YY</v>
      </c>
      <c r="S439" s="32">
        <f t="shared" si="69"/>
        <v>4.0075000000000003</v>
      </c>
      <c r="U439" t="s">
        <v>925</v>
      </c>
      <c r="V439" s="32">
        <v>4.0075000000000003</v>
      </c>
    </row>
    <row r="440" spans="2:22" x14ac:dyDescent="0.25">
      <c r="B440" s="1" t="s">
        <v>195</v>
      </c>
      <c r="C440" s="2" t="s">
        <v>196</v>
      </c>
      <c r="D440" s="2" t="s">
        <v>253</v>
      </c>
      <c r="E440" s="2" t="s">
        <v>922</v>
      </c>
      <c r="F440" s="3">
        <f t="shared" si="72"/>
        <v>44888</v>
      </c>
      <c r="G440" s="4">
        <f t="shared" si="64"/>
        <v>11</v>
      </c>
      <c r="H440" s="4">
        <f t="shared" si="65"/>
        <v>2022</v>
      </c>
      <c r="I440" s="2" t="s">
        <v>4</v>
      </c>
      <c r="J440" s="2" t="s">
        <v>923</v>
      </c>
      <c r="K440" s="2" t="s">
        <v>143</v>
      </c>
      <c r="L440" s="2" t="s">
        <v>926</v>
      </c>
      <c r="M440" s="2" t="s">
        <v>145</v>
      </c>
      <c r="N440" s="4" t="str">
        <f t="shared" si="66"/>
        <v>GAL</v>
      </c>
      <c r="O440" s="5">
        <v>400</v>
      </c>
      <c r="Q440" t="str">
        <f t="shared" si="67"/>
        <v>REPACK02</v>
      </c>
      <c r="R440" t="str">
        <f t="shared" si="68"/>
        <v>Repack: Dyna Flo 3-2-7YY</v>
      </c>
      <c r="S440" s="32">
        <f t="shared" si="69"/>
        <v>800</v>
      </c>
      <c r="U440" t="s">
        <v>926</v>
      </c>
      <c r="V440" s="32">
        <v>800</v>
      </c>
    </row>
    <row r="441" spans="2:22" x14ac:dyDescent="0.25">
      <c r="B441" s="1" t="s">
        <v>195</v>
      </c>
      <c r="C441" s="2" t="s">
        <v>196</v>
      </c>
      <c r="D441" s="2" t="s">
        <v>114</v>
      </c>
      <c r="E441" s="2" t="s">
        <v>927</v>
      </c>
      <c r="F441" s="3">
        <f t="shared" si="72"/>
        <v>44888</v>
      </c>
      <c r="G441" s="4">
        <f t="shared" si="64"/>
        <v>11</v>
      </c>
      <c r="H441" s="4">
        <f t="shared" si="65"/>
        <v>2022</v>
      </c>
      <c r="I441" s="2" t="s">
        <v>4</v>
      </c>
      <c r="J441" s="2" t="s">
        <v>928</v>
      </c>
      <c r="K441" s="2" t="s">
        <v>390</v>
      </c>
      <c r="L441" s="2" t="s">
        <v>391</v>
      </c>
      <c r="M441" s="2" t="s">
        <v>119</v>
      </c>
      <c r="N441" s="4" t="str">
        <f t="shared" si="66"/>
        <v>TON</v>
      </c>
      <c r="O441" s="5">
        <v>8.0075000000000003</v>
      </c>
      <c r="Q441" t="str">
        <f t="shared" si="67"/>
        <v>MAC426YM2</v>
      </c>
      <c r="R441" t="str">
        <f t="shared" si="68"/>
        <v>Dyna Flo 4-2-6YM2</v>
      </c>
      <c r="S441" s="32">
        <f t="shared" si="69"/>
        <v>415.88999999999976</v>
      </c>
      <c r="U441" t="s">
        <v>391</v>
      </c>
      <c r="V441" s="32">
        <v>415.88999999999976</v>
      </c>
    </row>
    <row r="442" spans="2:22" x14ac:dyDescent="0.25">
      <c r="B442" s="1" t="s">
        <v>195</v>
      </c>
      <c r="C442" s="2" t="s">
        <v>196</v>
      </c>
      <c r="D442" s="2" t="s">
        <v>114</v>
      </c>
      <c r="E442" s="2" t="s">
        <v>402</v>
      </c>
      <c r="F442" s="3">
        <f t="shared" si="72"/>
        <v>44888</v>
      </c>
      <c r="G442" s="4">
        <f t="shared" si="64"/>
        <v>11</v>
      </c>
      <c r="H442" s="4">
        <f t="shared" si="65"/>
        <v>2022</v>
      </c>
      <c r="I442" s="2" t="s">
        <v>4</v>
      </c>
      <c r="J442" s="2" t="s">
        <v>929</v>
      </c>
      <c r="K442" s="2" t="s">
        <v>390</v>
      </c>
      <c r="L442" s="2" t="s">
        <v>391</v>
      </c>
      <c r="M442" s="2" t="s">
        <v>119</v>
      </c>
      <c r="N442" s="4" t="str">
        <f t="shared" si="66"/>
        <v>TON</v>
      </c>
      <c r="O442" s="5">
        <v>4.4024999999999999</v>
      </c>
      <c r="Q442" t="str">
        <f t="shared" si="67"/>
        <v>MAC426YM2</v>
      </c>
      <c r="R442" t="str">
        <f t="shared" si="68"/>
        <v>Dyna Flo 4-2-6YM2</v>
      </c>
      <c r="S442" s="32">
        <f t="shared" si="69"/>
        <v>415.88999999999976</v>
      </c>
      <c r="U442" t="s">
        <v>391</v>
      </c>
      <c r="V442" s="32">
        <v>415.88999999999976</v>
      </c>
    </row>
    <row r="443" spans="2:22" x14ac:dyDescent="0.25">
      <c r="B443" s="1" t="s">
        <v>195</v>
      </c>
      <c r="C443" s="2" t="s">
        <v>196</v>
      </c>
      <c r="D443" s="2" t="s">
        <v>321</v>
      </c>
      <c r="E443" s="2" t="s">
        <v>725</v>
      </c>
      <c r="F443" s="3">
        <f t="shared" si="72"/>
        <v>44888</v>
      </c>
      <c r="G443" s="4">
        <f t="shared" si="64"/>
        <v>11</v>
      </c>
      <c r="H443" s="4">
        <f t="shared" si="65"/>
        <v>2022</v>
      </c>
      <c r="I443" s="2" t="s">
        <v>4</v>
      </c>
      <c r="J443" s="2" t="s">
        <v>930</v>
      </c>
      <c r="K443" s="2" t="s">
        <v>394</v>
      </c>
      <c r="L443" s="2" t="s">
        <v>395</v>
      </c>
      <c r="M443" s="2" t="s">
        <v>119</v>
      </c>
      <c r="N443" s="4" t="str">
        <f t="shared" si="66"/>
        <v>TON</v>
      </c>
      <c r="O443" s="5">
        <v>12.5</v>
      </c>
      <c r="Q443" t="str">
        <f t="shared" si="67"/>
        <v>MAC707YB13</v>
      </c>
      <c r="R443" t="str">
        <f t="shared" si="68"/>
        <v>Dyna Flo 7-0-7YB13</v>
      </c>
      <c r="S443" s="32">
        <f t="shared" si="69"/>
        <v>51.2575</v>
      </c>
      <c r="U443" t="s">
        <v>395</v>
      </c>
      <c r="V443" s="32">
        <v>51.2575</v>
      </c>
    </row>
    <row r="444" spans="2:22" x14ac:dyDescent="0.25">
      <c r="B444" s="1" t="s">
        <v>195</v>
      </c>
      <c r="C444" s="2" t="s">
        <v>196</v>
      </c>
      <c r="D444" s="2" t="s">
        <v>241</v>
      </c>
      <c r="E444" s="2" t="s">
        <v>242</v>
      </c>
      <c r="F444" s="3">
        <f t="shared" si="72"/>
        <v>44888</v>
      </c>
      <c r="G444" s="4">
        <f t="shared" si="64"/>
        <v>11</v>
      </c>
      <c r="H444" s="4">
        <f t="shared" si="65"/>
        <v>2022</v>
      </c>
      <c r="I444" s="2" t="s">
        <v>4</v>
      </c>
      <c r="J444" s="2" t="s">
        <v>931</v>
      </c>
      <c r="K444" s="2" t="s">
        <v>39</v>
      </c>
      <c r="L444" s="2" t="s">
        <v>932</v>
      </c>
      <c r="M444" s="2" t="s">
        <v>41</v>
      </c>
      <c r="N444" s="4" t="str">
        <f t="shared" si="66"/>
        <v>GAL</v>
      </c>
      <c r="O444" s="5">
        <v>5</v>
      </c>
      <c r="Q444" t="str">
        <f t="shared" si="67"/>
        <v>FLOU3202</v>
      </c>
      <c r="R444" t="str">
        <f t="shared" si="68"/>
        <v>Vented Dyna Flo 32-0-0</v>
      </c>
      <c r="S444" s="32">
        <f t="shared" si="69"/>
        <v>5</v>
      </c>
      <c r="U444" t="s">
        <v>932</v>
      </c>
      <c r="V444" s="32">
        <v>5</v>
      </c>
    </row>
    <row r="445" spans="2:22" x14ac:dyDescent="0.25">
      <c r="B445" s="6" t="s">
        <v>195</v>
      </c>
      <c r="C445" s="7" t="s">
        <v>196</v>
      </c>
      <c r="D445" s="8" t="s">
        <v>241</v>
      </c>
      <c r="E445" s="8" t="s">
        <v>242</v>
      </c>
      <c r="F445" s="9">
        <f t="shared" si="72"/>
        <v>44888</v>
      </c>
      <c r="G445" s="10">
        <f t="shared" si="64"/>
        <v>11</v>
      </c>
      <c r="H445" s="10">
        <f t="shared" si="65"/>
        <v>2022</v>
      </c>
      <c r="I445" s="8" t="s">
        <v>4</v>
      </c>
      <c r="J445" s="7" t="s">
        <v>933</v>
      </c>
      <c r="K445" s="8" t="s">
        <v>934</v>
      </c>
      <c r="L445" s="8" t="s">
        <v>935</v>
      </c>
      <c r="M445" s="8" t="s">
        <v>119</v>
      </c>
      <c r="N445" s="10" t="str">
        <f t="shared" si="66"/>
        <v>TON</v>
      </c>
      <c r="O445" s="11">
        <v>0.05</v>
      </c>
      <c r="Q445" t="str">
        <f t="shared" si="67"/>
        <v>MAC329YM2</v>
      </c>
      <c r="R445" t="str">
        <f t="shared" si="68"/>
        <v>Dyna Flo 3-2-9YM2</v>
      </c>
      <c r="S445" s="32">
        <f t="shared" si="69"/>
        <v>0.05</v>
      </c>
      <c r="U445" t="s">
        <v>935</v>
      </c>
      <c r="V445" s="32">
        <v>0.05</v>
      </c>
    </row>
    <row r="446" spans="2:22" x14ac:dyDescent="0.25">
      <c r="B446" s="1" t="s">
        <v>195</v>
      </c>
      <c r="C446" s="2" t="s">
        <v>196</v>
      </c>
      <c r="D446" s="2" t="s">
        <v>241</v>
      </c>
      <c r="E446" s="2" t="s">
        <v>242</v>
      </c>
      <c r="F446" s="3">
        <f t="shared" si="72"/>
        <v>44888</v>
      </c>
      <c r="G446" s="4">
        <f t="shared" si="64"/>
        <v>11</v>
      </c>
      <c r="H446" s="4">
        <f t="shared" si="65"/>
        <v>2022</v>
      </c>
      <c r="I446" s="2" t="s">
        <v>4</v>
      </c>
      <c r="J446" s="2" t="s">
        <v>936</v>
      </c>
      <c r="K446" s="2" t="s">
        <v>260</v>
      </c>
      <c r="L446" s="2" t="s">
        <v>261</v>
      </c>
      <c r="M446" s="2" t="s">
        <v>119</v>
      </c>
      <c r="N446" s="4" t="str">
        <f t="shared" si="66"/>
        <v>TON</v>
      </c>
      <c r="O446" s="5">
        <v>0.3</v>
      </c>
      <c r="Q446" t="str">
        <f t="shared" si="67"/>
        <v>MAC429YM</v>
      </c>
      <c r="R446" t="str">
        <f t="shared" si="68"/>
        <v>Dyna Flo 4-2-9YM</v>
      </c>
      <c r="S446" s="32">
        <f t="shared" si="69"/>
        <v>11.317500000000001</v>
      </c>
      <c r="U446" t="s">
        <v>261</v>
      </c>
      <c r="V446" s="32">
        <v>11.317500000000001</v>
      </c>
    </row>
    <row r="447" spans="2:22" x14ac:dyDescent="0.25">
      <c r="B447" s="1" t="s">
        <v>195</v>
      </c>
      <c r="C447" s="2" t="s">
        <v>196</v>
      </c>
      <c r="D447" s="2" t="s">
        <v>452</v>
      </c>
      <c r="E447" s="2" t="s">
        <v>453</v>
      </c>
      <c r="F447" s="3">
        <f t="shared" si="72"/>
        <v>44888</v>
      </c>
      <c r="G447" s="4">
        <f t="shared" si="64"/>
        <v>11</v>
      </c>
      <c r="H447" s="4">
        <f t="shared" si="65"/>
        <v>2022</v>
      </c>
      <c r="I447" s="2" t="s">
        <v>4</v>
      </c>
      <c r="J447" s="2" t="s">
        <v>937</v>
      </c>
      <c r="K447" s="2" t="s">
        <v>117</v>
      </c>
      <c r="L447" s="2" t="s">
        <v>118</v>
      </c>
      <c r="M447" s="2" t="s">
        <v>119</v>
      </c>
      <c r="N447" s="4" t="str">
        <f t="shared" si="66"/>
        <v>TON</v>
      </c>
      <c r="O447" s="5">
        <v>2.5</v>
      </c>
      <c r="Q447" t="str">
        <f t="shared" si="67"/>
        <v>MAC428YM8</v>
      </c>
      <c r="R447" t="str">
        <f t="shared" si="68"/>
        <v>Dyna Flo 4-2-8YM8</v>
      </c>
      <c r="S447" s="32">
        <f t="shared" si="69"/>
        <v>517.73950000000002</v>
      </c>
      <c r="U447" t="s">
        <v>118</v>
      </c>
      <c r="V447" s="32">
        <v>517.73950000000002</v>
      </c>
    </row>
    <row r="448" spans="2:22" x14ac:dyDescent="0.25">
      <c r="B448" s="1" t="s">
        <v>195</v>
      </c>
      <c r="C448" s="2" t="s">
        <v>196</v>
      </c>
      <c r="D448" s="2" t="s">
        <v>310</v>
      </c>
      <c r="E448" s="2" t="s">
        <v>426</v>
      </c>
      <c r="F448" s="3">
        <f t="shared" si="72"/>
        <v>44888</v>
      </c>
      <c r="G448" s="4">
        <f t="shared" si="64"/>
        <v>11</v>
      </c>
      <c r="H448" s="4">
        <f t="shared" si="65"/>
        <v>2022</v>
      </c>
      <c r="I448" s="2" t="s">
        <v>4</v>
      </c>
      <c r="J448" s="2" t="s">
        <v>938</v>
      </c>
      <c r="K448" s="2" t="s">
        <v>205</v>
      </c>
      <c r="L448" s="2" t="s">
        <v>206</v>
      </c>
      <c r="M448" s="2" t="s">
        <v>119</v>
      </c>
      <c r="N448" s="4" t="str">
        <f t="shared" si="66"/>
        <v>TON</v>
      </c>
      <c r="O448" s="5">
        <v>1</v>
      </c>
      <c r="Q448" t="str">
        <f t="shared" si="67"/>
        <v>MAC927YM3</v>
      </c>
      <c r="R448" t="str">
        <f t="shared" si="68"/>
        <v>Dyna Flo 9-2-7YM3</v>
      </c>
      <c r="S448" s="32">
        <f t="shared" si="69"/>
        <v>284.6674999999999</v>
      </c>
      <c r="U448" t="s">
        <v>206</v>
      </c>
      <c r="V448" s="32">
        <v>284.6674999999999</v>
      </c>
    </row>
    <row r="449" spans="2:22" x14ac:dyDescent="0.25">
      <c r="B449" s="1" t="s">
        <v>195</v>
      </c>
      <c r="C449" s="2" t="s">
        <v>196</v>
      </c>
      <c r="D449" s="2" t="s">
        <v>440</v>
      </c>
      <c r="E449" s="2" t="s">
        <v>441</v>
      </c>
      <c r="F449" s="3">
        <f t="shared" si="72"/>
        <v>44888</v>
      </c>
      <c r="G449" s="4">
        <f t="shared" si="64"/>
        <v>11</v>
      </c>
      <c r="H449" s="4">
        <f t="shared" si="65"/>
        <v>2022</v>
      </c>
      <c r="I449" s="2" t="s">
        <v>4</v>
      </c>
      <c r="J449" s="2" t="s">
        <v>939</v>
      </c>
      <c r="K449" s="2" t="s">
        <v>390</v>
      </c>
      <c r="L449" s="2" t="s">
        <v>391</v>
      </c>
      <c r="M449" s="2" t="s">
        <v>119</v>
      </c>
      <c r="N449" s="4" t="str">
        <f t="shared" si="66"/>
        <v>TON</v>
      </c>
      <c r="O449" s="5">
        <v>2.5125000000000002</v>
      </c>
      <c r="Q449" t="str">
        <f t="shared" si="67"/>
        <v>MAC426YM2</v>
      </c>
      <c r="R449" t="str">
        <f t="shared" si="68"/>
        <v>Dyna Flo 4-2-6YM2</v>
      </c>
      <c r="S449" s="32">
        <f t="shared" si="69"/>
        <v>415.88999999999976</v>
      </c>
      <c r="U449" t="s">
        <v>391</v>
      </c>
      <c r="V449" s="32">
        <v>415.88999999999976</v>
      </c>
    </row>
    <row r="450" spans="2:22" x14ac:dyDescent="0.25">
      <c r="B450" s="1" t="s">
        <v>195</v>
      </c>
      <c r="C450" s="2" t="s">
        <v>196</v>
      </c>
      <c r="D450" s="2" t="s">
        <v>248</v>
      </c>
      <c r="E450" s="2" t="s">
        <v>409</v>
      </c>
      <c r="F450" s="3">
        <f>DATE(2022,11,28)</f>
        <v>44893</v>
      </c>
      <c r="G450" s="4">
        <f t="shared" si="64"/>
        <v>11</v>
      </c>
      <c r="H450" s="4">
        <f t="shared" si="65"/>
        <v>2022</v>
      </c>
      <c r="I450" s="2" t="s">
        <v>4</v>
      </c>
      <c r="J450" s="2" t="s">
        <v>940</v>
      </c>
      <c r="K450" s="2" t="s">
        <v>117</v>
      </c>
      <c r="L450" s="2" t="s">
        <v>118</v>
      </c>
      <c r="M450" s="2" t="s">
        <v>119</v>
      </c>
      <c r="N450" s="4" t="str">
        <f t="shared" si="66"/>
        <v>TON</v>
      </c>
      <c r="O450" s="5">
        <v>10</v>
      </c>
      <c r="Q450" t="str">
        <f t="shared" si="67"/>
        <v>MAC428YM8</v>
      </c>
      <c r="R450" t="str">
        <f t="shared" si="68"/>
        <v>Dyna Flo 4-2-8YM8</v>
      </c>
      <c r="S450" s="32">
        <f t="shared" si="69"/>
        <v>517.73950000000002</v>
      </c>
      <c r="U450" t="s">
        <v>118</v>
      </c>
      <c r="V450" s="32">
        <v>517.73950000000002</v>
      </c>
    </row>
    <row r="451" spans="2:22" x14ac:dyDescent="0.25">
      <c r="B451" s="1" t="s">
        <v>195</v>
      </c>
      <c r="C451" s="2" t="s">
        <v>196</v>
      </c>
      <c r="D451" s="2" t="s">
        <v>215</v>
      </c>
      <c r="E451" s="2" t="s">
        <v>313</v>
      </c>
      <c r="F451" s="3">
        <f>DATE(2022,11,28)</f>
        <v>44893</v>
      </c>
      <c r="G451" s="4">
        <f t="shared" ref="G451:G514" si="73">+MONTH(F451)</f>
        <v>11</v>
      </c>
      <c r="H451" s="4">
        <f t="shared" ref="H451:H514" si="74">+YEAR(F451)</f>
        <v>2022</v>
      </c>
      <c r="I451" s="2" t="s">
        <v>4</v>
      </c>
      <c r="J451" s="2" t="s">
        <v>941</v>
      </c>
      <c r="K451" s="2" t="s">
        <v>329</v>
      </c>
      <c r="L451" s="2" t="s">
        <v>330</v>
      </c>
      <c r="M451" s="2" t="s">
        <v>119</v>
      </c>
      <c r="N451" s="4" t="str">
        <f t="shared" ref="N451:N514" si="75">+LEFT(M451,3)</f>
        <v>TON</v>
      </c>
      <c r="O451" s="5">
        <v>3.75</v>
      </c>
      <c r="Q451" t="str">
        <f t="shared" ref="Q451:Q514" si="76">K451</f>
        <v>MAC628YM8</v>
      </c>
      <c r="R451" t="str">
        <f t="shared" ref="R451:R514" si="77">L451</f>
        <v>Dyna Flo 6-2-8YM8</v>
      </c>
      <c r="S451" s="32">
        <f t="shared" si="69"/>
        <v>247.51499999999996</v>
      </c>
      <c r="U451" t="s">
        <v>330</v>
      </c>
      <c r="V451" s="32">
        <v>247.51499999999996</v>
      </c>
    </row>
    <row r="452" spans="2:22" x14ac:dyDescent="0.25">
      <c r="B452" s="1" t="s">
        <v>195</v>
      </c>
      <c r="C452" s="2" t="s">
        <v>196</v>
      </c>
      <c r="D452" s="2" t="s">
        <v>221</v>
      </c>
      <c r="E452" s="2" t="s">
        <v>942</v>
      </c>
      <c r="F452" s="3">
        <f>DATE(2022,11,28)</f>
        <v>44893</v>
      </c>
      <c r="G452" s="4">
        <f t="shared" si="73"/>
        <v>11</v>
      </c>
      <c r="H452" s="4">
        <f t="shared" si="74"/>
        <v>2022</v>
      </c>
      <c r="I452" s="2" t="s">
        <v>4</v>
      </c>
      <c r="J452" s="2" t="s">
        <v>943</v>
      </c>
      <c r="K452" s="2" t="s">
        <v>205</v>
      </c>
      <c r="L452" s="2" t="s">
        <v>206</v>
      </c>
      <c r="M452" s="2" t="s">
        <v>119</v>
      </c>
      <c r="N452" s="4" t="str">
        <f t="shared" si="75"/>
        <v>TON</v>
      </c>
      <c r="O452" s="5">
        <v>7.5125000000000002</v>
      </c>
      <c r="Q452" t="str">
        <f t="shared" si="76"/>
        <v>MAC927YM3</v>
      </c>
      <c r="R452" t="str">
        <f t="shared" si="77"/>
        <v>Dyna Flo 9-2-7YM3</v>
      </c>
      <c r="S452" s="32">
        <f t="shared" ref="S452:S515" si="78">SUMIF($R$3:$R$885, $R452, $O$3:$O$885)</f>
        <v>284.6674999999999</v>
      </c>
      <c r="U452" t="s">
        <v>206</v>
      </c>
      <c r="V452" s="32">
        <v>284.6674999999999</v>
      </c>
    </row>
    <row r="453" spans="2:22" x14ac:dyDescent="0.25">
      <c r="B453" s="1" t="s">
        <v>195</v>
      </c>
      <c r="C453" s="2" t="s">
        <v>196</v>
      </c>
      <c r="D453" s="2" t="s">
        <v>387</v>
      </c>
      <c r="E453" s="2" t="s">
        <v>797</v>
      </c>
      <c r="F453" s="3">
        <f>DATE(2022,11,23)</f>
        <v>44888</v>
      </c>
      <c r="G453" s="4">
        <f t="shared" si="73"/>
        <v>11</v>
      </c>
      <c r="H453" s="4">
        <f t="shared" si="74"/>
        <v>2022</v>
      </c>
      <c r="I453" s="2" t="s">
        <v>4</v>
      </c>
      <c r="J453" s="2" t="s">
        <v>944</v>
      </c>
      <c r="K453" s="2" t="s">
        <v>390</v>
      </c>
      <c r="L453" s="2" t="s">
        <v>391</v>
      </c>
      <c r="M453" s="2" t="s">
        <v>119</v>
      </c>
      <c r="N453" s="4" t="str">
        <f t="shared" si="75"/>
        <v>TON</v>
      </c>
      <c r="O453" s="5">
        <v>15</v>
      </c>
      <c r="Q453" t="str">
        <f t="shared" si="76"/>
        <v>MAC426YM2</v>
      </c>
      <c r="R453" t="str">
        <f t="shared" si="77"/>
        <v>Dyna Flo 4-2-6YM2</v>
      </c>
      <c r="S453" s="32">
        <f t="shared" si="78"/>
        <v>415.88999999999976</v>
      </c>
      <c r="U453" t="s">
        <v>391</v>
      </c>
      <c r="V453" s="32">
        <v>415.88999999999976</v>
      </c>
    </row>
    <row r="454" spans="2:22" x14ac:dyDescent="0.25">
      <c r="B454" s="1" t="s">
        <v>195</v>
      </c>
      <c r="C454" s="2" t="s">
        <v>196</v>
      </c>
      <c r="D454" s="2" t="s">
        <v>285</v>
      </c>
      <c r="E454" s="2" t="s">
        <v>759</v>
      </c>
      <c r="F454" s="3">
        <f>DATE(2022,11,23)</f>
        <v>44888</v>
      </c>
      <c r="G454" s="4">
        <f t="shared" si="73"/>
        <v>11</v>
      </c>
      <c r="H454" s="4">
        <f t="shared" si="74"/>
        <v>2022</v>
      </c>
      <c r="I454" s="2" t="s">
        <v>4</v>
      </c>
      <c r="J454" s="2" t="s">
        <v>945</v>
      </c>
      <c r="K454" s="2" t="s">
        <v>205</v>
      </c>
      <c r="L454" s="2" t="s">
        <v>206</v>
      </c>
      <c r="M454" s="2" t="s">
        <v>119</v>
      </c>
      <c r="N454" s="4" t="str">
        <f t="shared" si="75"/>
        <v>TON</v>
      </c>
      <c r="O454" s="5">
        <v>15.022500000000001</v>
      </c>
      <c r="Q454" t="str">
        <f t="shared" si="76"/>
        <v>MAC927YM3</v>
      </c>
      <c r="R454" t="str">
        <f t="shared" si="77"/>
        <v>Dyna Flo 9-2-7YM3</v>
      </c>
      <c r="S454" s="32">
        <f t="shared" si="78"/>
        <v>284.6674999999999</v>
      </c>
      <c r="U454" t="s">
        <v>206</v>
      </c>
      <c r="V454" s="32">
        <v>284.6674999999999</v>
      </c>
    </row>
    <row r="455" spans="2:22" x14ac:dyDescent="0.25">
      <c r="B455" s="1" t="s">
        <v>195</v>
      </c>
      <c r="C455" s="2" t="s">
        <v>196</v>
      </c>
      <c r="D455" s="2" t="s">
        <v>207</v>
      </c>
      <c r="E455" s="2" t="s">
        <v>208</v>
      </c>
      <c r="F455" s="3">
        <f>DATE(2022,11,23)</f>
        <v>44888</v>
      </c>
      <c r="G455" s="4">
        <f t="shared" si="73"/>
        <v>11</v>
      </c>
      <c r="H455" s="4">
        <f t="shared" si="74"/>
        <v>2022</v>
      </c>
      <c r="I455" s="2" t="s">
        <v>4</v>
      </c>
      <c r="J455" s="2" t="s">
        <v>946</v>
      </c>
      <c r="K455" s="2" t="s">
        <v>236</v>
      </c>
      <c r="L455" s="2" t="s">
        <v>237</v>
      </c>
      <c r="M455" s="2" t="s">
        <v>119</v>
      </c>
      <c r="N455" s="4" t="str">
        <f t="shared" si="75"/>
        <v>TON</v>
      </c>
      <c r="O455" s="5">
        <v>2.5125000000000002</v>
      </c>
      <c r="Q455" t="str">
        <f t="shared" si="76"/>
        <v>MAC626YM11</v>
      </c>
      <c r="R455" t="str">
        <f t="shared" si="77"/>
        <v>Dyna Flo 6-2-6YM11</v>
      </c>
      <c r="S455" s="32">
        <f t="shared" si="78"/>
        <v>14.877500000000001</v>
      </c>
      <c r="U455" t="s">
        <v>237</v>
      </c>
      <c r="V455" s="32">
        <v>14.877500000000001</v>
      </c>
    </row>
    <row r="456" spans="2:22" x14ac:dyDescent="0.25">
      <c r="B456" s="1" t="s">
        <v>195</v>
      </c>
      <c r="C456" s="2" t="s">
        <v>196</v>
      </c>
      <c r="D456" s="2" t="s">
        <v>721</v>
      </c>
      <c r="E456" s="2" t="s">
        <v>721</v>
      </c>
      <c r="F456" s="3">
        <f t="shared" ref="F456:F467" si="79">DATE(2022,11,28)</f>
        <v>44893</v>
      </c>
      <c r="G456" s="4">
        <f t="shared" si="73"/>
        <v>11</v>
      </c>
      <c r="H456" s="4">
        <f t="shared" si="74"/>
        <v>2022</v>
      </c>
      <c r="I456" s="2" t="s">
        <v>4</v>
      </c>
      <c r="J456" s="2" t="s">
        <v>947</v>
      </c>
      <c r="K456" s="2" t="s">
        <v>200</v>
      </c>
      <c r="L456" s="2" t="s">
        <v>201</v>
      </c>
      <c r="M456" s="2" t="s">
        <v>202</v>
      </c>
      <c r="N456" s="4" t="str">
        <f t="shared" si="75"/>
        <v>GAL</v>
      </c>
      <c r="O456" s="5">
        <v>10</v>
      </c>
      <c r="Q456" t="str">
        <f t="shared" si="76"/>
        <v>FLO15001602</v>
      </c>
      <c r="R456" t="str">
        <f t="shared" si="77"/>
        <v>Vented pHury</v>
      </c>
      <c r="S456" s="32">
        <f t="shared" si="78"/>
        <v>965</v>
      </c>
      <c r="U456" t="s">
        <v>201</v>
      </c>
      <c r="V456" s="32">
        <v>965</v>
      </c>
    </row>
    <row r="457" spans="2:22" x14ac:dyDescent="0.25">
      <c r="B457" s="1" t="s">
        <v>195</v>
      </c>
      <c r="C457" s="2" t="s">
        <v>196</v>
      </c>
      <c r="D457" s="2" t="s">
        <v>280</v>
      </c>
      <c r="E457" s="2" t="s">
        <v>254</v>
      </c>
      <c r="F457" s="3">
        <f t="shared" si="79"/>
        <v>44893</v>
      </c>
      <c r="G457" s="4">
        <f t="shared" si="73"/>
        <v>11</v>
      </c>
      <c r="H457" s="4">
        <f t="shared" si="74"/>
        <v>2022</v>
      </c>
      <c r="I457" s="2" t="s">
        <v>4</v>
      </c>
      <c r="J457" s="2" t="s">
        <v>948</v>
      </c>
      <c r="K457" s="2" t="s">
        <v>390</v>
      </c>
      <c r="L457" s="2" t="s">
        <v>391</v>
      </c>
      <c r="M457" s="2" t="s">
        <v>119</v>
      </c>
      <c r="N457" s="4" t="str">
        <f t="shared" si="75"/>
        <v>TON</v>
      </c>
      <c r="O457" s="5">
        <v>5</v>
      </c>
      <c r="Q457" t="str">
        <f t="shared" si="76"/>
        <v>MAC426YM2</v>
      </c>
      <c r="R457" t="str">
        <f t="shared" si="77"/>
        <v>Dyna Flo 4-2-6YM2</v>
      </c>
      <c r="S457" s="32">
        <f t="shared" si="78"/>
        <v>415.88999999999976</v>
      </c>
      <c r="U457" t="s">
        <v>391</v>
      </c>
      <c r="V457" s="32">
        <v>415.88999999999976</v>
      </c>
    </row>
    <row r="458" spans="2:22" x14ac:dyDescent="0.25">
      <c r="B458" s="1" t="s">
        <v>195</v>
      </c>
      <c r="C458" s="2" t="s">
        <v>196</v>
      </c>
      <c r="D458" s="2" t="s">
        <v>321</v>
      </c>
      <c r="E458" s="2" t="s">
        <v>725</v>
      </c>
      <c r="F458" s="3">
        <f t="shared" si="79"/>
        <v>44893</v>
      </c>
      <c r="G458" s="4">
        <f t="shared" si="73"/>
        <v>11</v>
      </c>
      <c r="H458" s="4">
        <f t="shared" si="74"/>
        <v>2022</v>
      </c>
      <c r="I458" s="2" t="s">
        <v>4</v>
      </c>
      <c r="J458" s="2" t="s">
        <v>949</v>
      </c>
      <c r="K458" s="2" t="s">
        <v>394</v>
      </c>
      <c r="L458" s="2" t="s">
        <v>395</v>
      </c>
      <c r="M458" s="2" t="s">
        <v>119</v>
      </c>
      <c r="N458" s="4" t="str">
        <f t="shared" si="75"/>
        <v>TON</v>
      </c>
      <c r="O458" s="5">
        <v>10</v>
      </c>
      <c r="Q458" t="str">
        <f t="shared" si="76"/>
        <v>MAC707YB13</v>
      </c>
      <c r="R458" t="str">
        <f t="shared" si="77"/>
        <v>Dyna Flo 7-0-7YB13</v>
      </c>
      <c r="S458" s="32">
        <f t="shared" si="78"/>
        <v>51.2575</v>
      </c>
      <c r="U458" t="s">
        <v>395</v>
      </c>
      <c r="V458" s="32">
        <v>51.2575</v>
      </c>
    </row>
    <row r="459" spans="2:22" x14ac:dyDescent="0.25">
      <c r="B459" s="1" t="s">
        <v>195</v>
      </c>
      <c r="C459" s="2" t="s">
        <v>196</v>
      </c>
      <c r="D459" s="2" t="s">
        <v>224</v>
      </c>
      <c r="E459" s="2" t="s">
        <v>361</v>
      </c>
      <c r="F459" s="3">
        <f t="shared" si="79"/>
        <v>44893</v>
      </c>
      <c r="G459" s="4">
        <f t="shared" si="73"/>
        <v>11</v>
      </c>
      <c r="H459" s="4">
        <f t="shared" si="74"/>
        <v>2022</v>
      </c>
      <c r="I459" s="2" t="s">
        <v>4</v>
      </c>
      <c r="J459" s="2" t="s">
        <v>950</v>
      </c>
      <c r="K459" s="2" t="s">
        <v>122</v>
      </c>
      <c r="L459" s="2" t="s">
        <v>123</v>
      </c>
      <c r="M459" s="2" t="s">
        <v>119</v>
      </c>
      <c r="N459" s="4" t="str">
        <f t="shared" si="75"/>
        <v>TON</v>
      </c>
      <c r="O459" s="5">
        <v>5</v>
      </c>
      <c r="Q459" t="str">
        <f t="shared" si="76"/>
        <v>MAC528YZ</v>
      </c>
      <c r="R459" t="str">
        <f t="shared" si="77"/>
        <v>Dyna Flo 5-2-8 YZ</v>
      </c>
      <c r="S459" s="32">
        <f t="shared" si="78"/>
        <v>395.40750000000003</v>
      </c>
      <c r="U459" t="s">
        <v>123</v>
      </c>
      <c r="V459" s="32">
        <v>395.40750000000003</v>
      </c>
    </row>
    <row r="460" spans="2:22" x14ac:dyDescent="0.25">
      <c r="B460" s="1" t="s">
        <v>195</v>
      </c>
      <c r="C460" s="2" t="s">
        <v>196</v>
      </c>
      <c r="D460" s="2" t="s">
        <v>215</v>
      </c>
      <c r="E460" s="2" t="s">
        <v>315</v>
      </c>
      <c r="F460" s="3">
        <f t="shared" si="79"/>
        <v>44893</v>
      </c>
      <c r="G460" s="4">
        <f t="shared" si="73"/>
        <v>11</v>
      </c>
      <c r="H460" s="4">
        <f t="shared" si="74"/>
        <v>2022</v>
      </c>
      <c r="I460" s="2" t="s">
        <v>4</v>
      </c>
      <c r="J460" s="2" t="s">
        <v>951</v>
      </c>
      <c r="K460" s="2" t="s">
        <v>447</v>
      </c>
      <c r="L460" s="2" t="s">
        <v>448</v>
      </c>
      <c r="M460" s="2" t="s">
        <v>119</v>
      </c>
      <c r="N460" s="4" t="str">
        <f t="shared" si="75"/>
        <v>TON</v>
      </c>
      <c r="O460" s="5">
        <v>8</v>
      </c>
      <c r="Q460" t="str">
        <f t="shared" si="76"/>
        <v>MAC727YM15</v>
      </c>
      <c r="R460" t="str">
        <f t="shared" si="77"/>
        <v>Dyna Flo 7-2-7YM15</v>
      </c>
      <c r="S460" s="32">
        <f t="shared" si="78"/>
        <v>113.6925</v>
      </c>
      <c r="U460" t="s">
        <v>448</v>
      </c>
      <c r="V460" s="32">
        <v>113.6925</v>
      </c>
    </row>
    <row r="461" spans="2:22" x14ac:dyDescent="0.25">
      <c r="B461" s="1" t="s">
        <v>195</v>
      </c>
      <c r="C461" s="2" t="s">
        <v>196</v>
      </c>
      <c r="D461" s="2" t="s">
        <v>294</v>
      </c>
      <c r="E461" s="2" t="s">
        <v>295</v>
      </c>
      <c r="F461" s="3">
        <f t="shared" si="79"/>
        <v>44893</v>
      </c>
      <c r="G461" s="4">
        <f t="shared" si="73"/>
        <v>11</v>
      </c>
      <c r="H461" s="4">
        <f t="shared" si="74"/>
        <v>2022</v>
      </c>
      <c r="I461" s="2" t="s">
        <v>4</v>
      </c>
      <c r="J461" s="2" t="s">
        <v>952</v>
      </c>
      <c r="K461" s="2" t="s">
        <v>834</v>
      </c>
      <c r="L461" s="2" t="s">
        <v>835</v>
      </c>
      <c r="M461" s="2" t="s">
        <v>119</v>
      </c>
      <c r="N461" s="4" t="str">
        <f t="shared" si="75"/>
        <v>TON</v>
      </c>
      <c r="O461" s="5">
        <v>1.25</v>
      </c>
      <c r="Q461" t="str">
        <f t="shared" si="76"/>
        <v>MAC306X</v>
      </c>
      <c r="R461" t="str">
        <f t="shared" si="77"/>
        <v>Dyna Flo  3-0-6</v>
      </c>
      <c r="S461" s="32">
        <f t="shared" si="78"/>
        <v>3.75</v>
      </c>
      <c r="U461" t="s">
        <v>835</v>
      </c>
      <c r="V461" s="32">
        <v>3.75</v>
      </c>
    </row>
    <row r="462" spans="2:22" x14ac:dyDescent="0.25">
      <c r="B462" s="1" t="s">
        <v>195</v>
      </c>
      <c r="C462" s="2" t="s">
        <v>196</v>
      </c>
      <c r="D462" s="2" t="s">
        <v>790</v>
      </c>
      <c r="E462" s="2" t="s">
        <v>791</v>
      </c>
      <c r="F462" s="3">
        <f t="shared" si="79"/>
        <v>44893</v>
      </c>
      <c r="G462" s="4">
        <f t="shared" si="73"/>
        <v>11</v>
      </c>
      <c r="H462" s="4">
        <f t="shared" si="74"/>
        <v>2022</v>
      </c>
      <c r="I462" s="2" t="s">
        <v>4</v>
      </c>
      <c r="J462" s="2" t="s">
        <v>953</v>
      </c>
      <c r="K462" s="2" t="s">
        <v>122</v>
      </c>
      <c r="L462" s="2" t="s">
        <v>123</v>
      </c>
      <c r="M462" s="2" t="s">
        <v>119</v>
      </c>
      <c r="N462" s="4" t="str">
        <f t="shared" si="75"/>
        <v>TON</v>
      </c>
      <c r="O462" s="5">
        <v>5.0199999999999996</v>
      </c>
      <c r="Q462" t="str">
        <f t="shared" si="76"/>
        <v>MAC528YZ</v>
      </c>
      <c r="R462" t="str">
        <f t="shared" si="77"/>
        <v>Dyna Flo 5-2-8 YZ</v>
      </c>
      <c r="S462" s="32">
        <f t="shared" si="78"/>
        <v>395.40750000000003</v>
      </c>
      <c r="U462" t="s">
        <v>123</v>
      </c>
      <c r="V462" s="32">
        <v>395.40750000000003</v>
      </c>
    </row>
    <row r="463" spans="2:22" x14ac:dyDescent="0.25">
      <c r="B463" s="1" t="s">
        <v>195</v>
      </c>
      <c r="C463" s="2" t="s">
        <v>196</v>
      </c>
      <c r="D463" s="2" t="s">
        <v>331</v>
      </c>
      <c r="E463" s="2" t="s">
        <v>432</v>
      </c>
      <c r="F463" s="3">
        <f t="shared" si="79"/>
        <v>44893</v>
      </c>
      <c r="G463" s="4">
        <f t="shared" si="73"/>
        <v>11</v>
      </c>
      <c r="H463" s="4">
        <f t="shared" si="74"/>
        <v>2022</v>
      </c>
      <c r="I463" s="2" t="s">
        <v>4</v>
      </c>
      <c r="J463" s="2" t="s">
        <v>954</v>
      </c>
      <c r="K463" s="2" t="s">
        <v>334</v>
      </c>
      <c r="L463" s="2" t="s">
        <v>335</v>
      </c>
      <c r="M463" s="2" t="s">
        <v>119</v>
      </c>
      <c r="N463" s="4" t="str">
        <f t="shared" si="75"/>
        <v>TON</v>
      </c>
      <c r="O463" s="5">
        <v>5.0125000000000002</v>
      </c>
      <c r="Q463" t="str">
        <f t="shared" si="76"/>
        <v>MAC628YZ1</v>
      </c>
      <c r="R463" t="str">
        <f t="shared" si="77"/>
        <v>Dyna Flo 6-2-8YZ1</v>
      </c>
      <c r="S463" s="32">
        <f t="shared" si="78"/>
        <v>68.62</v>
      </c>
      <c r="U463" t="s">
        <v>335</v>
      </c>
      <c r="V463" s="32">
        <v>68.62</v>
      </c>
    </row>
    <row r="464" spans="2:22" x14ac:dyDescent="0.25">
      <c r="B464" s="1" t="s">
        <v>195</v>
      </c>
      <c r="C464" s="2" t="s">
        <v>196</v>
      </c>
      <c r="D464" s="2" t="s">
        <v>215</v>
      </c>
      <c r="E464" s="2" t="s">
        <v>858</v>
      </c>
      <c r="F464" s="3">
        <f t="shared" si="79"/>
        <v>44893</v>
      </c>
      <c r="G464" s="4">
        <f t="shared" si="73"/>
        <v>11</v>
      </c>
      <c r="H464" s="4">
        <f t="shared" si="74"/>
        <v>2022</v>
      </c>
      <c r="I464" s="2" t="s">
        <v>4</v>
      </c>
      <c r="J464" s="2" t="s">
        <v>955</v>
      </c>
      <c r="K464" s="2" t="s">
        <v>447</v>
      </c>
      <c r="L464" s="2" t="s">
        <v>448</v>
      </c>
      <c r="M464" s="2" t="s">
        <v>119</v>
      </c>
      <c r="N464" s="4" t="str">
        <f t="shared" si="75"/>
        <v>TON</v>
      </c>
      <c r="O464" s="5">
        <v>3.9975000000000001</v>
      </c>
      <c r="Q464" t="str">
        <f t="shared" si="76"/>
        <v>MAC727YM15</v>
      </c>
      <c r="R464" t="str">
        <f t="shared" si="77"/>
        <v>Dyna Flo 7-2-7YM15</v>
      </c>
      <c r="S464" s="32">
        <f t="shared" si="78"/>
        <v>113.6925</v>
      </c>
      <c r="U464" t="s">
        <v>448</v>
      </c>
      <c r="V464" s="32">
        <v>113.6925</v>
      </c>
    </row>
    <row r="465" spans="2:22" x14ac:dyDescent="0.25">
      <c r="B465" s="1" t="s">
        <v>195</v>
      </c>
      <c r="C465" s="2" t="s">
        <v>196</v>
      </c>
      <c r="D465" s="2" t="s">
        <v>374</v>
      </c>
      <c r="E465" s="2" t="s">
        <v>375</v>
      </c>
      <c r="F465" s="3">
        <f t="shared" si="79"/>
        <v>44893</v>
      </c>
      <c r="G465" s="4">
        <f t="shared" si="73"/>
        <v>11</v>
      </c>
      <c r="H465" s="4">
        <f t="shared" si="74"/>
        <v>2022</v>
      </c>
      <c r="I465" s="2" t="s">
        <v>4</v>
      </c>
      <c r="J465" s="2" t="s">
        <v>956</v>
      </c>
      <c r="K465" s="2" t="s">
        <v>205</v>
      </c>
      <c r="L465" s="2" t="s">
        <v>206</v>
      </c>
      <c r="M465" s="2" t="s">
        <v>119</v>
      </c>
      <c r="N465" s="4" t="str">
        <f t="shared" si="75"/>
        <v>TON</v>
      </c>
      <c r="O465" s="5">
        <v>5.0125000000000002</v>
      </c>
      <c r="Q465" t="str">
        <f t="shared" si="76"/>
        <v>MAC927YM3</v>
      </c>
      <c r="R465" t="str">
        <f t="shared" si="77"/>
        <v>Dyna Flo 9-2-7YM3</v>
      </c>
      <c r="S465" s="32">
        <f t="shared" si="78"/>
        <v>284.6674999999999</v>
      </c>
      <c r="U465" t="s">
        <v>206</v>
      </c>
      <c r="V465" s="32">
        <v>284.6674999999999</v>
      </c>
    </row>
    <row r="466" spans="2:22" x14ac:dyDescent="0.25">
      <c r="B466" s="1" t="s">
        <v>195</v>
      </c>
      <c r="C466" s="2" t="s">
        <v>196</v>
      </c>
      <c r="D466" s="2" t="s">
        <v>197</v>
      </c>
      <c r="E466" s="2" t="s">
        <v>198</v>
      </c>
      <c r="F466" s="3">
        <f t="shared" si="79"/>
        <v>44893</v>
      </c>
      <c r="G466" s="4">
        <f t="shared" si="73"/>
        <v>11</v>
      </c>
      <c r="H466" s="4">
        <f t="shared" si="74"/>
        <v>2022</v>
      </c>
      <c r="I466" s="2" t="s">
        <v>4</v>
      </c>
      <c r="J466" s="2" t="s">
        <v>957</v>
      </c>
      <c r="K466" s="2" t="s">
        <v>307</v>
      </c>
      <c r="L466" s="2" t="s">
        <v>308</v>
      </c>
      <c r="M466" s="2" t="s">
        <v>119</v>
      </c>
      <c r="N466" s="4" t="str">
        <f t="shared" si="75"/>
        <v>TON</v>
      </c>
      <c r="O466" s="5">
        <v>4.0075000000000003</v>
      </c>
      <c r="Q466" t="str">
        <f t="shared" si="76"/>
        <v>MAC628YM8M</v>
      </c>
      <c r="R466" t="str">
        <f t="shared" si="77"/>
        <v>Dyna Flo 6-2-8YM8M w/Merge</v>
      </c>
      <c r="S466" s="32">
        <f t="shared" si="78"/>
        <v>19.502500000000001</v>
      </c>
      <c r="U466" t="s">
        <v>308</v>
      </c>
      <c r="V466" s="32">
        <v>19.502500000000001</v>
      </c>
    </row>
    <row r="467" spans="2:22" x14ac:dyDescent="0.25">
      <c r="B467" s="1" t="s">
        <v>195</v>
      </c>
      <c r="C467" s="2" t="s">
        <v>196</v>
      </c>
      <c r="D467" s="2" t="s">
        <v>672</v>
      </c>
      <c r="E467" s="2" t="s">
        <v>673</v>
      </c>
      <c r="F467" s="3">
        <f t="shared" si="79"/>
        <v>44893</v>
      </c>
      <c r="G467" s="4">
        <f t="shared" si="73"/>
        <v>11</v>
      </c>
      <c r="H467" s="4">
        <f t="shared" si="74"/>
        <v>2022</v>
      </c>
      <c r="I467" s="2" t="s">
        <v>4</v>
      </c>
      <c r="J467" s="2" t="s">
        <v>958</v>
      </c>
      <c r="K467" s="2" t="s">
        <v>675</v>
      </c>
      <c r="L467" s="2" t="s">
        <v>676</v>
      </c>
      <c r="M467" s="2" t="s">
        <v>119</v>
      </c>
      <c r="N467" s="4" t="str">
        <f t="shared" si="75"/>
        <v>TON</v>
      </c>
      <c r="O467" s="5">
        <v>5.0049999999999999</v>
      </c>
      <c r="Q467" t="str">
        <f t="shared" si="76"/>
        <v>MAC527YM21M</v>
      </c>
      <c r="R467" t="str">
        <f t="shared" si="77"/>
        <v>Dyna Flo 5-2-7YM21M w/Merge</v>
      </c>
      <c r="S467" s="32">
        <f t="shared" si="78"/>
        <v>29.517499999999998</v>
      </c>
      <c r="U467" t="s">
        <v>676</v>
      </c>
      <c r="V467" s="32">
        <v>29.517499999999998</v>
      </c>
    </row>
    <row r="468" spans="2:22" x14ac:dyDescent="0.25">
      <c r="B468" s="1" t="s">
        <v>195</v>
      </c>
      <c r="C468" s="2" t="s">
        <v>196</v>
      </c>
      <c r="D468" s="2" t="s">
        <v>285</v>
      </c>
      <c r="E468" s="2" t="s">
        <v>297</v>
      </c>
      <c r="F468" s="3">
        <f t="shared" ref="F468:F481" si="80">DATE(2022,11,29)</f>
        <v>44894</v>
      </c>
      <c r="G468" s="4">
        <f t="shared" si="73"/>
        <v>11</v>
      </c>
      <c r="H468" s="4">
        <f t="shared" si="74"/>
        <v>2022</v>
      </c>
      <c r="I468" s="2" t="s">
        <v>4</v>
      </c>
      <c r="J468" s="2" t="s">
        <v>959</v>
      </c>
      <c r="K468" s="2" t="s">
        <v>292</v>
      </c>
      <c r="L468" s="2" t="s">
        <v>293</v>
      </c>
      <c r="M468" s="2" t="s">
        <v>119</v>
      </c>
      <c r="N468" s="4" t="str">
        <f t="shared" si="75"/>
        <v>TON</v>
      </c>
      <c r="O468" s="5">
        <v>10</v>
      </c>
      <c r="Q468" t="str">
        <f t="shared" si="76"/>
        <v>MAC608YB5</v>
      </c>
      <c r="R468" t="str">
        <f t="shared" si="77"/>
        <v>Dyna Flo 6-0-8 YB5</v>
      </c>
      <c r="S468" s="32">
        <f t="shared" si="78"/>
        <v>78.175000000000011</v>
      </c>
      <c r="U468" t="s">
        <v>293</v>
      </c>
      <c r="V468" s="32">
        <v>78.175000000000011</v>
      </c>
    </row>
    <row r="469" spans="2:22" x14ac:dyDescent="0.25">
      <c r="B469" s="1" t="s">
        <v>195</v>
      </c>
      <c r="C469" s="2" t="s">
        <v>196</v>
      </c>
      <c r="D469" s="2" t="s">
        <v>285</v>
      </c>
      <c r="E469" s="2" t="s">
        <v>759</v>
      </c>
      <c r="F469" s="3">
        <f t="shared" si="80"/>
        <v>44894</v>
      </c>
      <c r="G469" s="4">
        <f t="shared" si="73"/>
        <v>11</v>
      </c>
      <c r="H469" s="4">
        <f t="shared" si="74"/>
        <v>2022</v>
      </c>
      <c r="I469" s="2" t="s">
        <v>4</v>
      </c>
      <c r="J469" s="2" t="s">
        <v>960</v>
      </c>
      <c r="K469" s="2" t="s">
        <v>205</v>
      </c>
      <c r="L469" s="2" t="s">
        <v>206</v>
      </c>
      <c r="M469" s="2" t="s">
        <v>119</v>
      </c>
      <c r="N469" s="4" t="str">
        <f t="shared" si="75"/>
        <v>TON</v>
      </c>
      <c r="O469" s="5">
        <v>2.5024999999999999</v>
      </c>
      <c r="Q469" t="str">
        <f t="shared" si="76"/>
        <v>MAC927YM3</v>
      </c>
      <c r="R469" t="str">
        <f t="shared" si="77"/>
        <v>Dyna Flo 9-2-7YM3</v>
      </c>
      <c r="S469" s="32">
        <f t="shared" si="78"/>
        <v>284.6674999999999</v>
      </c>
      <c r="U469" t="s">
        <v>206</v>
      </c>
      <c r="V469" s="32">
        <v>284.6674999999999</v>
      </c>
    </row>
    <row r="470" spans="2:22" x14ac:dyDescent="0.25">
      <c r="B470" s="1" t="s">
        <v>195</v>
      </c>
      <c r="C470" s="2" t="s">
        <v>196</v>
      </c>
      <c r="D470" s="2" t="s">
        <v>285</v>
      </c>
      <c r="E470" s="2" t="s">
        <v>297</v>
      </c>
      <c r="F470" s="3">
        <f t="shared" si="80"/>
        <v>44894</v>
      </c>
      <c r="G470" s="4">
        <f t="shared" si="73"/>
        <v>11</v>
      </c>
      <c r="H470" s="4">
        <f t="shared" si="74"/>
        <v>2022</v>
      </c>
      <c r="I470" s="2" t="s">
        <v>4</v>
      </c>
      <c r="J470" s="2" t="s">
        <v>961</v>
      </c>
      <c r="K470" s="2" t="s">
        <v>205</v>
      </c>
      <c r="L470" s="2" t="s">
        <v>206</v>
      </c>
      <c r="M470" s="2" t="s">
        <v>119</v>
      </c>
      <c r="N470" s="4" t="str">
        <f t="shared" si="75"/>
        <v>TON</v>
      </c>
      <c r="O470" s="5">
        <v>2.5</v>
      </c>
      <c r="Q470" t="str">
        <f t="shared" si="76"/>
        <v>MAC927YM3</v>
      </c>
      <c r="R470" t="str">
        <f t="shared" si="77"/>
        <v>Dyna Flo 9-2-7YM3</v>
      </c>
      <c r="S470" s="32">
        <f t="shared" si="78"/>
        <v>284.6674999999999</v>
      </c>
      <c r="U470" t="s">
        <v>206</v>
      </c>
      <c r="V470" s="32">
        <v>284.6674999999999</v>
      </c>
    </row>
    <row r="471" spans="2:22" x14ac:dyDescent="0.25">
      <c r="B471" s="1" t="s">
        <v>195</v>
      </c>
      <c r="C471" s="2" t="s">
        <v>196</v>
      </c>
      <c r="D471" s="2" t="s">
        <v>210</v>
      </c>
      <c r="E471" s="2" t="s">
        <v>962</v>
      </c>
      <c r="F471" s="3">
        <f t="shared" si="80"/>
        <v>44894</v>
      </c>
      <c r="G471" s="4">
        <f t="shared" si="73"/>
        <v>11</v>
      </c>
      <c r="H471" s="4">
        <f t="shared" si="74"/>
        <v>2022</v>
      </c>
      <c r="I471" s="2" t="s">
        <v>4</v>
      </c>
      <c r="J471" s="2" t="s">
        <v>963</v>
      </c>
      <c r="K471" s="2" t="s">
        <v>489</v>
      </c>
      <c r="L471" s="2" t="s">
        <v>490</v>
      </c>
      <c r="M471" s="2" t="s">
        <v>119</v>
      </c>
      <c r="N471" s="4" t="str">
        <f t="shared" si="75"/>
        <v>TON</v>
      </c>
      <c r="O471" s="5">
        <v>15.0425</v>
      </c>
      <c r="Q471" t="str">
        <f t="shared" si="76"/>
        <v>MAC646YM</v>
      </c>
      <c r="R471" t="str">
        <f t="shared" si="77"/>
        <v>Dyna Flo 6-4-6 YM</v>
      </c>
      <c r="S471" s="32">
        <f t="shared" si="78"/>
        <v>40.067499999999995</v>
      </c>
      <c r="U471" t="s">
        <v>490</v>
      </c>
      <c r="V471" s="32">
        <v>40.067499999999995</v>
      </c>
    </row>
    <row r="472" spans="2:22" x14ac:dyDescent="0.25">
      <c r="B472" s="1" t="s">
        <v>195</v>
      </c>
      <c r="C472" s="2" t="s">
        <v>196</v>
      </c>
      <c r="D472" s="2" t="s">
        <v>321</v>
      </c>
      <c r="E472" s="2" t="s">
        <v>392</v>
      </c>
      <c r="F472" s="3">
        <f t="shared" si="80"/>
        <v>44894</v>
      </c>
      <c r="G472" s="4">
        <f t="shared" si="73"/>
        <v>11</v>
      </c>
      <c r="H472" s="4">
        <f t="shared" si="74"/>
        <v>2022</v>
      </c>
      <c r="I472" s="2" t="s">
        <v>4</v>
      </c>
      <c r="J472" s="2" t="s">
        <v>964</v>
      </c>
      <c r="K472" s="2" t="s">
        <v>394</v>
      </c>
      <c r="L472" s="2" t="s">
        <v>395</v>
      </c>
      <c r="M472" s="2" t="s">
        <v>119</v>
      </c>
      <c r="N472" s="4" t="str">
        <f t="shared" si="75"/>
        <v>TON</v>
      </c>
      <c r="O472" s="5">
        <v>1.25</v>
      </c>
      <c r="Q472" t="str">
        <f t="shared" si="76"/>
        <v>MAC707YB13</v>
      </c>
      <c r="R472" t="str">
        <f t="shared" si="77"/>
        <v>Dyna Flo 7-0-7YB13</v>
      </c>
      <c r="S472" s="32">
        <f t="shared" si="78"/>
        <v>51.2575</v>
      </c>
      <c r="U472" t="s">
        <v>395</v>
      </c>
      <c r="V472" s="32">
        <v>51.2575</v>
      </c>
    </row>
    <row r="473" spans="2:22" x14ac:dyDescent="0.25">
      <c r="B473" s="1" t="s">
        <v>195</v>
      </c>
      <c r="C473" s="2" t="s">
        <v>196</v>
      </c>
      <c r="D473" s="2" t="s">
        <v>321</v>
      </c>
      <c r="E473" s="2" t="s">
        <v>697</v>
      </c>
      <c r="F473" s="3">
        <f t="shared" si="80"/>
        <v>44894</v>
      </c>
      <c r="G473" s="4">
        <f t="shared" si="73"/>
        <v>11</v>
      </c>
      <c r="H473" s="4">
        <f t="shared" si="74"/>
        <v>2022</v>
      </c>
      <c r="I473" s="2" t="s">
        <v>4</v>
      </c>
      <c r="J473" s="2" t="s">
        <v>965</v>
      </c>
      <c r="K473" s="2" t="s">
        <v>394</v>
      </c>
      <c r="L473" s="2" t="s">
        <v>395</v>
      </c>
      <c r="M473" s="2" t="s">
        <v>119</v>
      </c>
      <c r="N473" s="4" t="str">
        <f t="shared" si="75"/>
        <v>TON</v>
      </c>
      <c r="O473" s="5">
        <v>10</v>
      </c>
      <c r="Q473" t="str">
        <f t="shared" si="76"/>
        <v>MAC707YB13</v>
      </c>
      <c r="R473" t="str">
        <f t="shared" si="77"/>
        <v>Dyna Flo 7-0-7YB13</v>
      </c>
      <c r="S473" s="32">
        <f t="shared" si="78"/>
        <v>51.2575</v>
      </c>
      <c r="U473" t="s">
        <v>395</v>
      </c>
      <c r="V473" s="32">
        <v>51.2575</v>
      </c>
    </row>
    <row r="474" spans="2:22" x14ac:dyDescent="0.25">
      <c r="B474" s="1" t="s">
        <v>195</v>
      </c>
      <c r="C474" s="2" t="s">
        <v>196</v>
      </c>
      <c r="D474" s="2" t="s">
        <v>299</v>
      </c>
      <c r="E474" s="2" t="s">
        <v>713</v>
      </c>
      <c r="F474" s="3">
        <f t="shared" si="80"/>
        <v>44894</v>
      </c>
      <c r="G474" s="4">
        <f t="shared" si="73"/>
        <v>11</v>
      </c>
      <c r="H474" s="4">
        <f t="shared" si="74"/>
        <v>2022</v>
      </c>
      <c r="I474" s="2" t="s">
        <v>4</v>
      </c>
      <c r="J474" s="2" t="s">
        <v>966</v>
      </c>
      <c r="K474" s="2" t="s">
        <v>390</v>
      </c>
      <c r="L474" s="2" t="s">
        <v>391</v>
      </c>
      <c r="M474" s="2" t="s">
        <v>119</v>
      </c>
      <c r="N474" s="4" t="str">
        <f t="shared" si="75"/>
        <v>TON</v>
      </c>
      <c r="O474" s="5">
        <v>15</v>
      </c>
      <c r="Q474" t="str">
        <f t="shared" si="76"/>
        <v>MAC426YM2</v>
      </c>
      <c r="R474" t="str">
        <f t="shared" si="77"/>
        <v>Dyna Flo 4-2-6YM2</v>
      </c>
      <c r="S474" s="32">
        <f t="shared" si="78"/>
        <v>415.88999999999976</v>
      </c>
      <c r="U474" t="s">
        <v>391</v>
      </c>
      <c r="V474" s="32">
        <v>415.88999999999976</v>
      </c>
    </row>
    <row r="475" spans="2:22" x14ac:dyDescent="0.25">
      <c r="B475" s="1" t="s">
        <v>195</v>
      </c>
      <c r="C475" s="2" t="s">
        <v>196</v>
      </c>
      <c r="D475" s="2" t="s">
        <v>285</v>
      </c>
      <c r="E475" s="2" t="s">
        <v>412</v>
      </c>
      <c r="F475" s="3">
        <f t="shared" si="80"/>
        <v>44894</v>
      </c>
      <c r="G475" s="4">
        <f t="shared" si="73"/>
        <v>11</v>
      </c>
      <c r="H475" s="4">
        <f t="shared" si="74"/>
        <v>2022</v>
      </c>
      <c r="I475" s="2" t="s">
        <v>4</v>
      </c>
      <c r="J475" s="2" t="s">
        <v>967</v>
      </c>
      <c r="K475" s="2" t="s">
        <v>292</v>
      </c>
      <c r="L475" s="2" t="s">
        <v>293</v>
      </c>
      <c r="M475" s="2" t="s">
        <v>119</v>
      </c>
      <c r="N475" s="4" t="str">
        <f t="shared" si="75"/>
        <v>TON</v>
      </c>
      <c r="O475" s="5">
        <v>10</v>
      </c>
      <c r="Q475" t="str">
        <f t="shared" si="76"/>
        <v>MAC608YB5</v>
      </c>
      <c r="R475" t="str">
        <f t="shared" si="77"/>
        <v>Dyna Flo 6-0-8 YB5</v>
      </c>
      <c r="S475" s="32">
        <f t="shared" si="78"/>
        <v>78.175000000000011</v>
      </c>
      <c r="U475" t="s">
        <v>293</v>
      </c>
      <c r="V475" s="32">
        <v>78.175000000000011</v>
      </c>
    </row>
    <row r="476" spans="2:22" x14ac:dyDescent="0.25">
      <c r="B476" s="1" t="s">
        <v>195</v>
      </c>
      <c r="C476" s="2" t="s">
        <v>196</v>
      </c>
      <c r="D476" s="2" t="s">
        <v>285</v>
      </c>
      <c r="E476" s="2" t="s">
        <v>695</v>
      </c>
      <c r="F476" s="3">
        <f t="shared" si="80"/>
        <v>44894</v>
      </c>
      <c r="G476" s="4">
        <f t="shared" si="73"/>
        <v>11</v>
      </c>
      <c r="H476" s="4">
        <f t="shared" si="74"/>
        <v>2022</v>
      </c>
      <c r="I476" s="2" t="s">
        <v>4</v>
      </c>
      <c r="J476" s="2" t="s">
        <v>968</v>
      </c>
      <c r="K476" s="2" t="s">
        <v>292</v>
      </c>
      <c r="L476" s="2" t="s">
        <v>293</v>
      </c>
      <c r="M476" s="2" t="s">
        <v>119</v>
      </c>
      <c r="N476" s="4" t="str">
        <f t="shared" si="75"/>
        <v>TON</v>
      </c>
      <c r="O476" s="5">
        <v>4</v>
      </c>
      <c r="Q476" t="str">
        <f t="shared" si="76"/>
        <v>MAC608YB5</v>
      </c>
      <c r="R476" t="str">
        <f t="shared" si="77"/>
        <v>Dyna Flo 6-0-8 YB5</v>
      </c>
      <c r="S476" s="32">
        <f t="shared" si="78"/>
        <v>78.175000000000011</v>
      </c>
      <c r="U476" t="s">
        <v>293</v>
      </c>
      <c r="V476" s="32">
        <v>78.175000000000011</v>
      </c>
    </row>
    <row r="477" spans="2:22" x14ac:dyDescent="0.25">
      <c r="B477" s="1" t="s">
        <v>195</v>
      </c>
      <c r="C477" s="2" t="s">
        <v>196</v>
      </c>
      <c r="D477" s="2" t="s">
        <v>449</v>
      </c>
      <c r="E477" s="2" t="s">
        <v>969</v>
      </c>
      <c r="F477" s="3">
        <f t="shared" si="80"/>
        <v>44894</v>
      </c>
      <c r="G477" s="4">
        <f t="shared" si="73"/>
        <v>11</v>
      </c>
      <c r="H477" s="4">
        <f t="shared" si="74"/>
        <v>2022</v>
      </c>
      <c r="I477" s="2" t="s">
        <v>4</v>
      </c>
      <c r="J477" s="2" t="s">
        <v>970</v>
      </c>
      <c r="K477" s="2" t="s">
        <v>329</v>
      </c>
      <c r="L477" s="2" t="s">
        <v>330</v>
      </c>
      <c r="M477" s="2" t="s">
        <v>119</v>
      </c>
      <c r="N477" s="4" t="str">
        <f t="shared" si="75"/>
        <v>TON</v>
      </c>
      <c r="O477" s="5">
        <v>7.51</v>
      </c>
      <c r="Q477" t="str">
        <f t="shared" si="76"/>
        <v>MAC628YM8</v>
      </c>
      <c r="R477" t="str">
        <f t="shared" si="77"/>
        <v>Dyna Flo 6-2-8YM8</v>
      </c>
      <c r="S477" s="32">
        <f t="shared" si="78"/>
        <v>247.51499999999996</v>
      </c>
      <c r="U477" t="s">
        <v>330</v>
      </c>
      <c r="V477" s="32">
        <v>247.51499999999996</v>
      </c>
    </row>
    <row r="478" spans="2:22" x14ac:dyDescent="0.25">
      <c r="B478" s="1" t="s">
        <v>195</v>
      </c>
      <c r="C478" s="2" t="s">
        <v>196</v>
      </c>
      <c r="D478" s="2" t="s">
        <v>715</v>
      </c>
      <c r="E478" s="2" t="s">
        <v>971</v>
      </c>
      <c r="F478" s="3">
        <f t="shared" si="80"/>
        <v>44894</v>
      </c>
      <c r="G478" s="4">
        <f t="shared" si="73"/>
        <v>11</v>
      </c>
      <c r="H478" s="4">
        <f t="shared" si="74"/>
        <v>2022</v>
      </c>
      <c r="I478" s="2" t="s">
        <v>4</v>
      </c>
      <c r="J478" s="2" t="s">
        <v>972</v>
      </c>
      <c r="K478" s="2" t="s">
        <v>329</v>
      </c>
      <c r="L478" s="2" t="s">
        <v>330</v>
      </c>
      <c r="M478" s="2" t="s">
        <v>119</v>
      </c>
      <c r="N478" s="4" t="str">
        <f t="shared" si="75"/>
        <v>TON</v>
      </c>
      <c r="O478" s="5">
        <v>2.5150000000000001</v>
      </c>
      <c r="Q478" t="str">
        <f t="shared" si="76"/>
        <v>MAC628YM8</v>
      </c>
      <c r="R478" t="str">
        <f t="shared" si="77"/>
        <v>Dyna Flo 6-2-8YM8</v>
      </c>
      <c r="S478" s="32">
        <f t="shared" si="78"/>
        <v>247.51499999999996</v>
      </c>
      <c r="U478" t="s">
        <v>330</v>
      </c>
      <c r="V478" s="32">
        <v>247.51499999999996</v>
      </c>
    </row>
    <row r="479" spans="2:22" x14ac:dyDescent="0.25">
      <c r="B479" s="1" t="s">
        <v>195</v>
      </c>
      <c r="C479" s="2" t="s">
        <v>196</v>
      </c>
      <c r="D479" s="2" t="s">
        <v>973</v>
      </c>
      <c r="E479" s="2" t="s">
        <v>974</v>
      </c>
      <c r="F479" s="3">
        <f t="shared" si="80"/>
        <v>44894</v>
      </c>
      <c r="G479" s="4">
        <f t="shared" si="73"/>
        <v>11</v>
      </c>
      <c r="H479" s="4">
        <f t="shared" si="74"/>
        <v>2022</v>
      </c>
      <c r="I479" s="2" t="s">
        <v>4</v>
      </c>
      <c r="J479" s="2" t="s">
        <v>975</v>
      </c>
      <c r="K479" s="2" t="s">
        <v>122</v>
      </c>
      <c r="L479" s="2" t="s">
        <v>123</v>
      </c>
      <c r="M479" s="2" t="s">
        <v>119</v>
      </c>
      <c r="N479" s="4" t="str">
        <f t="shared" si="75"/>
        <v>TON</v>
      </c>
      <c r="O479" s="5">
        <v>1.0449999999999999</v>
      </c>
      <c r="Q479" t="str">
        <f t="shared" si="76"/>
        <v>MAC528YZ</v>
      </c>
      <c r="R479" t="str">
        <f t="shared" si="77"/>
        <v>Dyna Flo 5-2-8 YZ</v>
      </c>
      <c r="S479" s="32">
        <f t="shared" si="78"/>
        <v>395.40750000000003</v>
      </c>
      <c r="U479" t="s">
        <v>123</v>
      </c>
      <c r="V479" s="32">
        <v>395.40750000000003</v>
      </c>
    </row>
    <row r="480" spans="2:22" x14ac:dyDescent="0.25">
      <c r="B480" s="1" t="s">
        <v>195</v>
      </c>
      <c r="C480" s="2" t="s">
        <v>196</v>
      </c>
      <c r="D480" s="2" t="s">
        <v>273</v>
      </c>
      <c r="E480" s="2" t="s">
        <v>976</v>
      </c>
      <c r="F480" s="3">
        <f t="shared" si="80"/>
        <v>44894</v>
      </c>
      <c r="G480" s="4">
        <f t="shared" si="73"/>
        <v>11</v>
      </c>
      <c r="H480" s="4">
        <f t="shared" si="74"/>
        <v>2022</v>
      </c>
      <c r="I480" s="2" t="s">
        <v>4</v>
      </c>
      <c r="J480" s="2" t="s">
        <v>977</v>
      </c>
      <c r="K480" s="2" t="s">
        <v>205</v>
      </c>
      <c r="L480" s="2" t="s">
        <v>206</v>
      </c>
      <c r="M480" s="2" t="s">
        <v>119</v>
      </c>
      <c r="N480" s="4" t="str">
        <f t="shared" si="75"/>
        <v>TON</v>
      </c>
      <c r="O480" s="5">
        <v>2.4975000000000001</v>
      </c>
      <c r="Q480" t="str">
        <f t="shared" si="76"/>
        <v>MAC927YM3</v>
      </c>
      <c r="R480" t="str">
        <f t="shared" si="77"/>
        <v>Dyna Flo 9-2-7YM3</v>
      </c>
      <c r="S480" s="32">
        <f t="shared" si="78"/>
        <v>284.6674999999999</v>
      </c>
      <c r="U480" t="s">
        <v>206</v>
      </c>
      <c r="V480" s="32">
        <v>284.6674999999999</v>
      </c>
    </row>
    <row r="481" spans="2:22" x14ac:dyDescent="0.25">
      <c r="B481" s="1" t="s">
        <v>195</v>
      </c>
      <c r="C481" s="2" t="s">
        <v>196</v>
      </c>
      <c r="D481" s="2" t="s">
        <v>452</v>
      </c>
      <c r="E481" s="2" t="s">
        <v>222</v>
      </c>
      <c r="F481" s="3">
        <f t="shared" si="80"/>
        <v>44894</v>
      </c>
      <c r="G481" s="4">
        <f t="shared" si="73"/>
        <v>11</v>
      </c>
      <c r="H481" s="4">
        <f t="shared" si="74"/>
        <v>2022</v>
      </c>
      <c r="I481" s="2" t="s">
        <v>4</v>
      </c>
      <c r="J481" s="2" t="s">
        <v>978</v>
      </c>
      <c r="K481" s="2" t="s">
        <v>447</v>
      </c>
      <c r="L481" s="2" t="s">
        <v>448</v>
      </c>
      <c r="M481" s="2" t="s">
        <v>119</v>
      </c>
      <c r="N481" s="4" t="str">
        <f t="shared" si="75"/>
        <v>TON</v>
      </c>
      <c r="O481" s="5">
        <v>2.5150000000000001</v>
      </c>
      <c r="Q481" t="str">
        <f t="shared" si="76"/>
        <v>MAC727YM15</v>
      </c>
      <c r="R481" t="str">
        <f t="shared" si="77"/>
        <v>Dyna Flo 7-2-7YM15</v>
      </c>
      <c r="S481" s="32">
        <f t="shared" si="78"/>
        <v>113.6925</v>
      </c>
      <c r="U481" t="s">
        <v>448</v>
      </c>
      <c r="V481" s="32">
        <v>113.6925</v>
      </c>
    </row>
    <row r="482" spans="2:22" x14ac:dyDescent="0.25">
      <c r="B482" s="1" t="s">
        <v>195</v>
      </c>
      <c r="C482" s="2" t="s">
        <v>196</v>
      </c>
      <c r="D482" s="2" t="s">
        <v>276</v>
      </c>
      <c r="E482" s="2" t="s">
        <v>682</v>
      </c>
      <c r="F482" s="3">
        <f>DATE(2022,11,30)</f>
        <v>44895</v>
      </c>
      <c r="G482" s="4">
        <f t="shared" si="73"/>
        <v>11</v>
      </c>
      <c r="H482" s="4">
        <f t="shared" si="74"/>
        <v>2022</v>
      </c>
      <c r="I482" s="2" t="s">
        <v>4</v>
      </c>
      <c r="J482" s="2" t="s">
        <v>979</v>
      </c>
      <c r="K482" s="2" t="s">
        <v>122</v>
      </c>
      <c r="L482" s="2" t="s">
        <v>123</v>
      </c>
      <c r="M482" s="2" t="s">
        <v>119</v>
      </c>
      <c r="N482" s="4" t="str">
        <f t="shared" si="75"/>
        <v>TON</v>
      </c>
      <c r="O482" s="5">
        <v>15</v>
      </c>
      <c r="Q482" t="str">
        <f t="shared" si="76"/>
        <v>MAC528YZ</v>
      </c>
      <c r="R482" t="str">
        <f t="shared" si="77"/>
        <v>Dyna Flo 5-2-8 YZ</v>
      </c>
      <c r="S482" s="32">
        <f t="shared" si="78"/>
        <v>395.40750000000003</v>
      </c>
      <c r="U482" t="s">
        <v>123</v>
      </c>
      <c r="V482" s="32">
        <v>395.40750000000003</v>
      </c>
    </row>
    <row r="483" spans="2:22" x14ac:dyDescent="0.25">
      <c r="B483" s="1" t="s">
        <v>195</v>
      </c>
      <c r="C483" s="2" t="s">
        <v>196</v>
      </c>
      <c r="D483" s="2" t="s">
        <v>262</v>
      </c>
      <c r="E483" s="2" t="s">
        <v>263</v>
      </c>
      <c r="F483" s="3">
        <f>DATE(2022,11,30)</f>
        <v>44895</v>
      </c>
      <c r="G483" s="4">
        <f t="shared" si="73"/>
        <v>11</v>
      </c>
      <c r="H483" s="4">
        <f t="shared" si="74"/>
        <v>2022</v>
      </c>
      <c r="I483" s="2" t="s">
        <v>4</v>
      </c>
      <c r="J483" s="2" t="s">
        <v>980</v>
      </c>
      <c r="K483" s="2" t="s">
        <v>292</v>
      </c>
      <c r="L483" s="2" t="s">
        <v>293</v>
      </c>
      <c r="M483" s="2" t="s">
        <v>119</v>
      </c>
      <c r="N483" s="4" t="str">
        <f t="shared" si="75"/>
        <v>TON</v>
      </c>
      <c r="O483" s="5">
        <v>4.5225</v>
      </c>
      <c r="Q483" t="str">
        <f t="shared" si="76"/>
        <v>MAC608YB5</v>
      </c>
      <c r="R483" t="str">
        <f t="shared" si="77"/>
        <v>Dyna Flo 6-0-8 YB5</v>
      </c>
      <c r="S483" s="32">
        <f t="shared" si="78"/>
        <v>78.175000000000011</v>
      </c>
      <c r="U483" t="s">
        <v>293</v>
      </c>
      <c r="V483" s="32">
        <v>78.175000000000011</v>
      </c>
    </row>
    <row r="484" spans="2:22" x14ac:dyDescent="0.25">
      <c r="B484" s="1" t="s">
        <v>195</v>
      </c>
      <c r="C484" s="2" t="s">
        <v>196</v>
      </c>
      <c r="D484" s="2" t="s">
        <v>303</v>
      </c>
      <c r="E484" s="2" t="s">
        <v>981</v>
      </c>
      <c r="F484" s="3">
        <f>DATE(2022,11,30)</f>
        <v>44895</v>
      </c>
      <c r="G484" s="4">
        <f t="shared" si="73"/>
        <v>11</v>
      </c>
      <c r="H484" s="4">
        <f t="shared" si="74"/>
        <v>2022</v>
      </c>
      <c r="I484" s="2" t="s">
        <v>4</v>
      </c>
      <c r="J484" s="2" t="s">
        <v>982</v>
      </c>
      <c r="K484" s="2" t="s">
        <v>122</v>
      </c>
      <c r="L484" s="2" t="s">
        <v>123</v>
      </c>
      <c r="M484" s="2" t="s">
        <v>119</v>
      </c>
      <c r="N484" s="4" t="str">
        <f t="shared" si="75"/>
        <v>TON</v>
      </c>
      <c r="O484" s="5">
        <v>7.4824999999999999</v>
      </c>
      <c r="Q484" t="str">
        <f t="shared" si="76"/>
        <v>MAC528YZ</v>
      </c>
      <c r="R484" t="str">
        <f t="shared" si="77"/>
        <v>Dyna Flo 5-2-8 YZ</v>
      </c>
      <c r="S484" s="32">
        <f t="shared" si="78"/>
        <v>395.40750000000003</v>
      </c>
      <c r="U484" t="s">
        <v>123</v>
      </c>
      <c r="V484" s="32">
        <v>395.40750000000003</v>
      </c>
    </row>
    <row r="485" spans="2:22" x14ac:dyDescent="0.25">
      <c r="B485" s="1" t="s">
        <v>195</v>
      </c>
      <c r="C485" s="2" t="s">
        <v>196</v>
      </c>
      <c r="D485" s="2" t="s">
        <v>276</v>
      </c>
      <c r="E485" s="2" t="s">
        <v>878</v>
      </c>
      <c r="F485" s="3">
        <f>DATE(2022,11,30)</f>
        <v>44895</v>
      </c>
      <c r="G485" s="4">
        <f t="shared" si="73"/>
        <v>11</v>
      </c>
      <c r="H485" s="4">
        <f t="shared" si="74"/>
        <v>2022</v>
      </c>
      <c r="I485" s="2" t="s">
        <v>4</v>
      </c>
      <c r="J485" s="2" t="s">
        <v>983</v>
      </c>
      <c r="K485" s="2" t="s">
        <v>205</v>
      </c>
      <c r="L485" s="2" t="s">
        <v>206</v>
      </c>
      <c r="M485" s="2" t="s">
        <v>119</v>
      </c>
      <c r="N485" s="4" t="str">
        <f t="shared" si="75"/>
        <v>TON</v>
      </c>
      <c r="O485" s="5">
        <v>8.0024999999999995</v>
      </c>
      <c r="Q485" t="str">
        <f t="shared" si="76"/>
        <v>MAC927YM3</v>
      </c>
      <c r="R485" t="str">
        <f t="shared" si="77"/>
        <v>Dyna Flo 9-2-7YM3</v>
      </c>
      <c r="S485" s="32">
        <f t="shared" si="78"/>
        <v>284.6674999999999</v>
      </c>
      <c r="U485" t="s">
        <v>206</v>
      </c>
      <c r="V485" s="32">
        <v>284.6674999999999</v>
      </c>
    </row>
    <row r="486" spans="2:22" x14ac:dyDescent="0.25">
      <c r="B486" s="1" t="s">
        <v>382</v>
      </c>
      <c r="C486" s="2" t="s">
        <v>506</v>
      </c>
      <c r="D486" s="2" t="s">
        <v>507</v>
      </c>
      <c r="E486" s="2" t="s">
        <v>508</v>
      </c>
      <c r="F486" s="3">
        <f>DATE(2022,11,2)</f>
        <v>44867</v>
      </c>
      <c r="G486" s="4">
        <f t="shared" si="73"/>
        <v>11</v>
      </c>
      <c r="H486" s="4">
        <f t="shared" si="74"/>
        <v>2022</v>
      </c>
      <c r="I486" s="2" t="s">
        <v>4</v>
      </c>
      <c r="J486" s="2" t="s">
        <v>984</v>
      </c>
      <c r="K486" s="2" t="s">
        <v>329</v>
      </c>
      <c r="L486" s="2" t="s">
        <v>330</v>
      </c>
      <c r="M486" s="2" t="s">
        <v>119</v>
      </c>
      <c r="N486" s="4" t="str">
        <f t="shared" si="75"/>
        <v>TON</v>
      </c>
      <c r="O486" s="5">
        <v>1.25</v>
      </c>
      <c r="Q486" t="str">
        <f t="shared" si="76"/>
        <v>MAC628YM8</v>
      </c>
      <c r="R486" t="str">
        <f t="shared" si="77"/>
        <v>Dyna Flo 6-2-8YM8</v>
      </c>
      <c r="S486" s="32">
        <f t="shared" si="78"/>
        <v>247.51499999999996</v>
      </c>
      <c r="U486" t="s">
        <v>330</v>
      </c>
      <c r="V486" s="32">
        <v>247.51499999999996</v>
      </c>
    </row>
    <row r="487" spans="2:22" x14ac:dyDescent="0.25">
      <c r="B487" s="1" t="s">
        <v>382</v>
      </c>
      <c r="C487" s="2" t="s">
        <v>506</v>
      </c>
      <c r="D487" s="2" t="s">
        <v>515</v>
      </c>
      <c r="E487" s="2" t="s">
        <v>516</v>
      </c>
      <c r="F487" s="3">
        <f>DATE(2022,11,4)</f>
        <v>44869</v>
      </c>
      <c r="G487" s="4">
        <f t="shared" si="73"/>
        <v>11</v>
      </c>
      <c r="H487" s="4">
        <f t="shared" si="74"/>
        <v>2022</v>
      </c>
      <c r="I487" s="2" t="s">
        <v>4</v>
      </c>
      <c r="J487" s="2" t="s">
        <v>985</v>
      </c>
      <c r="K487" s="2" t="s">
        <v>149</v>
      </c>
      <c r="L487" s="2" t="s">
        <v>150</v>
      </c>
      <c r="M487" s="2" t="s">
        <v>21</v>
      </c>
      <c r="N487" s="4" t="str">
        <f t="shared" si="75"/>
        <v>GAL</v>
      </c>
      <c r="O487" s="5">
        <v>180</v>
      </c>
      <c r="Q487" t="str">
        <f t="shared" si="76"/>
        <v>FLO003002</v>
      </c>
      <c r="R487" t="str">
        <f t="shared" si="77"/>
        <v>Dyna Flo 0-0-30</v>
      </c>
      <c r="S487" s="32">
        <f t="shared" si="78"/>
        <v>325</v>
      </c>
      <c r="U487" t="s">
        <v>150</v>
      </c>
      <c r="V487" s="32">
        <v>325</v>
      </c>
    </row>
    <row r="488" spans="2:22" x14ac:dyDescent="0.25">
      <c r="B488" s="1" t="s">
        <v>382</v>
      </c>
      <c r="C488" s="2" t="s">
        <v>506</v>
      </c>
      <c r="D488" s="2" t="s">
        <v>515</v>
      </c>
      <c r="E488" s="2" t="s">
        <v>516</v>
      </c>
      <c r="F488" s="3">
        <f>DATE(2022,11,4)</f>
        <v>44869</v>
      </c>
      <c r="G488" s="4">
        <f t="shared" si="73"/>
        <v>11</v>
      </c>
      <c r="H488" s="4">
        <f t="shared" si="74"/>
        <v>2022</v>
      </c>
      <c r="I488" s="2" t="s">
        <v>4</v>
      </c>
      <c r="J488" s="2" t="s">
        <v>985</v>
      </c>
      <c r="K488" s="2" t="s">
        <v>986</v>
      </c>
      <c r="L488" s="2" t="s">
        <v>987</v>
      </c>
      <c r="M488" s="2" t="s">
        <v>988</v>
      </c>
      <c r="N488" s="4" t="str">
        <f t="shared" si="75"/>
        <v>GAL</v>
      </c>
      <c r="O488" s="5">
        <v>60</v>
      </c>
      <c r="Q488" t="str">
        <f t="shared" si="76"/>
        <v>FLOQKST02</v>
      </c>
      <c r="R488" t="str">
        <f t="shared" si="77"/>
        <v>Dyna Flo Quik Start 8-31-3</v>
      </c>
      <c r="S488" s="32">
        <f t="shared" si="78"/>
        <v>60</v>
      </c>
      <c r="U488" t="s">
        <v>987</v>
      </c>
      <c r="V488" s="32">
        <v>60</v>
      </c>
    </row>
    <row r="489" spans="2:22" x14ac:dyDescent="0.25">
      <c r="B489" s="1" t="s">
        <v>382</v>
      </c>
      <c r="C489" s="2" t="s">
        <v>506</v>
      </c>
      <c r="D489" s="2" t="s">
        <v>515</v>
      </c>
      <c r="E489" s="2" t="s">
        <v>516</v>
      </c>
      <c r="F489" s="3">
        <f>DATE(2022,11,4)</f>
        <v>44869</v>
      </c>
      <c r="G489" s="4">
        <f t="shared" si="73"/>
        <v>11</v>
      </c>
      <c r="H489" s="4">
        <f t="shared" si="74"/>
        <v>2022</v>
      </c>
      <c r="I489" s="2" t="s">
        <v>4</v>
      </c>
      <c r="J489" s="2" t="s">
        <v>985</v>
      </c>
      <c r="K489" s="2" t="s">
        <v>25</v>
      </c>
      <c r="L489" s="2" t="s">
        <v>541</v>
      </c>
      <c r="M489" s="2" t="s">
        <v>27</v>
      </c>
      <c r="N489" s="4" t="str">
        <f t="shared" si="75"/>
        <v>GAL</v>
      </c>
      <c r="O489" s="5">
        <v>180</v>
      </c>
      <c r="Q489" t="str">
        <f t="shared" si="76"/>
        <v>GOLDCA02</v>
      </c>
      <c r="R489" t="str">
        <f t="shared" si="77"/>
        <v>Dyna Gold Calcium 8.25%</v>
      </c>
      <c r="S489" s="32">
        <f t="shared" si="78"/>
        <v>1280</v>
      </c>
      <c r="U489" t="s">
        <v>541</v>
      </c>
      <c r="V489" s="32">
        <v>1280</v>
      </c>
    </row>
    <row r="490" spans="2:22" x14ac:dyDescent="0.25">
      <c r="B490" s="1" t="s">
        <v>382</v>
      </c>
      <c r="C490" s="2" t="s">
        <v>506</v>
      </c>
      <c r="D490" s="2" t="s">
        <v>989</v>
      </c>
      <c r="E490" s="2" t="s">
        <v>990</v>
      </c>
      <c r="F490" s="3">
        <f>DATE(2022,11,8)</f>
        <v>44873</v>
      </c>
      <c r="G490" s="4">
        <f t="shared" si="73"/>
        <v>11</v>
      </c>
      <c r="H490" s="4">
        <f t="shared" si="74"/>
        <v>2022</v>
      </c>
      <c r="I490" s="2" t="s">
        <v>4</v>
      </c>
      <c r="J490" s="2" t="s">
        <v>991</v>
      </c>
      <c r="K490" s="2" t="s">
        <v>609</v>
      </c>
      <c r="L490" s="2" t="s">
        <v>610</v>
      </c>
      <c r="M490" s="2" t="s">
        <v>611</v>
      </c>
      <c r="N490" s="4" t="str">
        <f t="shared" si="75"/>
        <v>GAL</v>
      </c>
      <c r="O490" s="5">
        <v>15</v>
      </c>
      <c r="Q490" t="str">
        <f t="shared" si="76"/>
        <v>PHYLO02</v>
      </c>
      <c r="R490" t="str">
        <f t="shared" si="77"/>
        <v>pHylo</v>
      </c>
      <c r="S490" s="32">
        <f t="shared" si="78"/>
        <v>560</v>
      </c>
      <c r="U490" t="s">
        <v>610</v>
      </c>
      <c r="V490" s="32">
        <v>560</v>
      </c>
    </row>
    <row r="491" spans="2:22" x14ac:dyDescent="0.25">
      <c r="B491" s="1" t="s">
        <v>382</v>
      </c>
      <c r="C491" s="2" t="s">
        <v>506</v>
      </c>
      <c r="D491" s="2" t="s">
        <v>507</v>
      </c>
      <c r="E491" s="2" t="s">
        <v>508</v>
      </c>
      <c r="F491" s="3">
        <f>DATE(2022,11,8)</f>
        <v>44873</v>
      </c>
      <c r="G491" s="4">
        <f t="shared" si="73"/>
        <v>11</v>
      </c>
      <c r="H491" s="4">
        <f t="shared" si="74"/>
        <v>2022</v>
      </c>
      <c r="I491" s="2" t="s">
        <v>4</v>
      </c>
      <c r="J491" s="2" t="s">
        <v>992</v>
      </c>
      <c r="K491" s="2" t="s">
        <v>25</v>
      </c>
      <c r="L491" s="2" t="s">
        <v>541</v>
      </c>
      <c r="M491" s="2" t="s">
        <v>27</v>
      </c>
      <c r="N491" s="4" t="str">
        <f t="shared" si="75"/>
        <v>GAL</v>
      </c>
      <c r="O491" s="5">
        <v>100</v>
      </c>
      <c r="Q491" t="str">
        <f t="shared" si="76"/>
        <v>GOLDCA02</v>
      </c>
      <c r="R491" t="str">
        <f t="shared" si="77"/>
        <v>Dyna Gold Calcium 8.25%</v>
      </c>
      <c r="S491" s="32">
        <f t="shared" si="78"/>
        <v>1280</v>
      </c>
      <c r="U491" t="s">
        <v>541</v>
      </c>
      <c r="V491" s="32">
        <v>1280</v>
      </c>
    </row>
    <row r="492" spans="2:22" x14ac:dyDescent="0.25">
      <c r="B492" s="1" t="s">
        <v>382</v>
      </c>
      <c r="C492" s="2" t="s">
        <v>506</v>
      </c>
      <c r="D492" s="2" t="s">
        <v>507</v>
      </c>
      <c r="E492" s="2" t="s">
        <v>993</v>
      </c>
      <c r="F492" s="3">
        <f>DATE(2022,11,15)</f>
        <v>44880</v>
      </c>
      <c r="G492" s="4">
        <f t="shared" si="73"/>
        <v>11</v>
      </c>
      <c r="H492" s="4">
        <f t="shared" si="74"/>
        <v>2022</v>
      </c>
      <c r="I492" s="2" t="s">
        <v>4</v>
      </c>
      <c r="J492" s="2" t="s">
        <v>994</v>
      </c>
      <c r="K492" s="2" t="s">
        <v>158</v>
      </c>
      <c r="L492" s="2" t="s">
        <v>159</v>
      </c>
      <c r="M492" s="2" t="s">
        <v>160</v>
      </c>
      <c r="N492" s="4" t="str">
        <f t="shared" si="75"/>
        <v>GAL</v>
      </c>
      <c r="O492" s="5">
        <v>360</v>
      </c>
      <c r="Q492" t="str">
        <f t="shared" si="76"/>
        <v>SOARBLM02</v>
      </c>
      <c r="R492" t="str">
        <f t="shared" si="77"/>
        <v>Soar Bloom Spray</v>
      </c>
      <c r="S492" s="32">
        <f t="shared" si="78"/>
        <v>2195</v>
      </c>
      <c r="U492" t="s">
        <v>159</v>
      </c>
      <c r="V492" s="32">
        <v>2195</v>
      </c>
    </row>
    <row r="493" spans="2:22" x14ac:dyDescent="0.25">
      <c r="B493" s="1" t="s">
        <v>382</v>
      </c>
      <c r="C493" s="2" t="s">
        <v>506</v>
      </c>
      <c r="D493" s="2" t="s">
        <v>995</v>
      </c>
      <c r="E493" s="2" t="s">
        <v>996</v>
      </c>
      <c r="F493" s="3">
        <f>DATE(2022,11,16)</f>
        <v>44881</v>
      </c>
      <c r="G493" s="4">
        <f t="shared" si="73"/>
        <v>11</v>
      </c>
      <c r="H493" s="4">
        <f t="shared" si="74"/>
        <v>2022</v>
      </c>
      <c r="I493" s="2" t="s">
        <v>4</v>
      </c>
      <c r="J493" s="2" t="s">
        <v>997</v>
      </c>
      <c r="K493" s="2" t="s">
        <v>998</v>
      </c>
      <c r="L493" s="2" t="s">
        <v>999</v>
      </c>
      <c r="M493" s="2" t="s">
        <v>1000</v>
      </c>
      <c r="N493" s="4" t="str">
        <f t="shared" si="75"/>
        <v>GAL</v>
      </c>
      <c r="O493" s="5">
        <v>250</v>
      </c>
      <c r="Q493" t="str">
        <f t="shared" si="76"/>
        <v>FLOMOLA250</v>
      </c>
      <c r="R493" t="str">
        <f t="shared" si="77"/>
        <v>Dyna Flo Molasses</v>
      </c>
      <c r="S493" s="32">
        <f t="shared" si="78"/>
        <v>525</v>
      </c>
      <c r="U493" t="s">
        <v>999</v>
      </c>
      <c r="V493" s="32">
        <v>525</v>
      </c>
    </row>
    <row r="494" spans="2:22" x14ac:dyDescent="0.25">
      <c r="B494" s="1" t="s">
        <v>382</v>
      </c>
      <c r="C494" s="2" t="s">
        <v>506</v>
      </c>
      <c r="D494" s="2" t="s">
        <v>1001</v>
      </c>
      <c r="E494" s="2" t="s">
        <v>1002</v>
      </c>
      <c r="F494" s="3">
        <f>DATE(2022,11,17)</f>
        <v>44882</v>
      </c>
      <c r="G494" s="4">
        <f t="shared" si="73"/>
        <v>11</v>
      </c>
      <c r="H494" s="4">
        <f t="shared" si="74"/>
        <v>2022</v>
      </c>
      <c r="I494" s="2" t="s">
        <v>4</v>
      </c>
      <c r="J494" s="2" t="s">
        <v>1003</v>
      </c>
      <c r="K494" s="2" t="s">
        <v>642</v>
      </c>
      <c r="L494" s="2" t="s">
        <v>111</v>
      </c>
      <c r="M494" s="2" t="s">
        <v>112</v>
      </c>
      <c r="N494" s="4" t="str">
        <f t="shared" si="75"/>
        <v>GAL</v>
      </c>
      <c r="O494" s="5">
        <v>5</v>
      </c>
      <c r="Q494" t="str">
        <f t="shared" si="76"/>
        <v>MRCCCN02</v>
      </c>
      <c r="R494" t="str">
        <f t="shared" si="77"/>
        <v>Copper Count N</v>
      </c>
      <c r="S494" s="32">
        <f t="shared" si="78"/>
        <v>1685</v>
      </c>
      <c r="U494" t="s">
        <v>111</v>
      </c>
      <c r="V494" s="32">
        <v>1685</v>
      </c>
    </row>
    <row r="495" spans="2:22" x14ac:dyDescent="0.25">
      <c r="B495" s="6" t="s">
        <v>382</v>
      </c>
      <c r="C495" s="7" t="s">
        <v>506</v>
      </c>
      <c r="D495" s="8" t="s">
        <v>1001</v>
      </c>
      <c r="E495" s="8" t="s">
        <v>1002</v>
      </c>
      <c r="F495" s="9">
        <f>DATE(2022,11,17)</f>
        <v>44882</v>
      </c>
      <c r="G495" s="10">
        <f t="shared" si="73"/>
        <v>11</v>
      </c>
      <c r="H495" s="10">
        <f t="shared" si="74"/>
        <v>2022</v>
      </c>
      <c r="I495" s="8" t="s">
        <v>4</v>
      </c>
      <c r="J495" s="7" t="s">
        <v>1003</v>
      </c>
      <c r="K495" s="8" t="s">
        <v>36</v>
      </c>
      <c r="L495" s="8" t="s">
        <v>511</v>
      </c>
      <c r="M495" s="8" t="s">
        <v>38</v>
      </c>
      <c r="N495" s="10" t="str">
        <f t="shared" si="75"/>
        <v>GAL</v>
      </c>
      <c r="O495" s="11">
        <v>70</v>
      </c>
      <c r="Q495" t="str">
        <f t="shared" si="76"/>
        <v>FLO3181802</v>
      </c>
      <c r="R495" t="str">
        <f t="shared" si="77"/>
        <v>Dyna Flo 3-18-18</v>
      </c>
      <c r="S495" s="32">
        <f t="shared" si="78"/>
        <v>575</v>
      </c>
      <c r="U495" t="s">
        <v>511</v>
      </c>
      <c r="V495" s="32">
        <v>575</v>
      </c>
    </row>
    <row r="496" spans="2:22" x14ac:dyDescent="0.25">
      <c r="B496" s="1" t="s">
        <v>382</v>
      </c>
      <c r="C496" s="2" t="s">
        <v>506</v>
      </c>
      <c r="D496" s="2" t="s">
        <v>507</v>
      </c>
      <c r="E496" s="2" t="s">
        <v>508</v>
      </c>
      <c r="F496" s="3">
        <f>DATE(2022,11,18)</f>
        <v>44883</v>
      </c>
      <c r="G496" s="4">
        <f t="shared" si="73"/>
        <v>11</v>
      </c>
      <c r="H496" s="4">
        <f t="shared" si="74"/>
        <v>2022</v>
      </c>
      <c r="I496" s="2" t="s">
        <v>4</v>
      </c>
      <c r="J496" s="2" t="s">
        <v>1004</v>
      </c>
      <c r="K496" s="2" t="s">
        <v>329</v>
      </c>
      <c r="L496" s="2" t="s">
        <v>330</v>
      </c>
      <c r="M496" s="2" t="s">
        <v>119</v>
      </c>
      <c r="N496" s="4" t="str">
        <f t="shared" si="75"/>
        <v>TON</v>
      </c>
      <c r="O496" s="5">
        <v>1.2350000000000001</v>
      </c>
      <c r="Q496" t="str">
        <f t="shared" si="76"/>
        <v>MAC628YM8</v>
      </c>
      <c r="R496" t="str">
        <f t="shared" si="77"/>
        <v>Dyna Flo 6-2-8YM8</v>
      </c>
      <c r="S496" s="32">
        <f t="shared" si="78"/>
        <v>247.51499999999996</v>
      </c>
      <c r="U496" t="s">
        <v>330</v>
      </c>
      <c r="V496" s="32">
        <v>247.51499999999996</v>
      </c>
    </row>
    <row r="497" spans="2:22" x14ac:dyDescent="0.25">
      <c r="B497" s="1" t="s">
        <v>382</v>
      </c>
      <c r="C497" s="2" t="s">
        <v>506</v>
      </c>
      <c r="D497" s="2" t="s">
        <v>507</v>
      </c>
      <c r="E497" s="2" t="s">
        <v>508</v>
      </c>
      <c r="F497" s="3">
        <f>DATE(2022,11,23)</f>
        <v>44888</v>
      </c>
      <c r="G497" s="4">
        <f t="shared" si="73"/>
        <v>11</v>
      </c>
      <c r="H497" s="4">
        <f t="shared" si="74"/>
        <v>2022</v>
      </c>
      <c r="I497" s="2" t="s">
        <v>4</v>
      </c>
      <c r="J497" s="2" t="s">
        <v>1005</v>
      </c>
      <c r="K497" s="2" t="s">
        <v>329</v>
      </c>
      <c r="L497" s="2" t="s">
        <v>330</v>
      </c>
      <c r="M497" s="2" t="s">
        <v>119</v>
      </c>
      <c r="N497" s="4" t="str">
        <f t="shared" si="75"/>
        <v>TON</v>
      </c>
      <c r="O497" s="5">
        <v>1.25</v>
      </c>
      <c r="Q497" t="str">
        <f t="shared" si="76"/>
        <v>MAC628YM8</v>
      </c>
      <c r="R497" t="str">
        <f t="shared" si="77"/>
        <v>Dyna Flo 6-2-8YM8</v>
      </c>
      <c r="S497" s="32">
        <f t="shared" si="78"/>
        <v>247.51499999999996</v>
      </c>
      <c r="U497" t="s">
        <v>330</v>
      </c>
      <c r="V497" s="32">
        <v>247.51499999999996</v>
      </c>
    </row>
    <row r="498" spans="2:22" x14ac:dyDescent="0.25">
      <c r="B498" s="1" t="s">
        <v>382</v>
      </c>
      <c r="C498" s="2" t="s">
        <v>506</v>
      </c>
      <c r="D498" s="2" t="s">
        <v>1006</v>
      </c>
      <c r="E498" s="2" t="s">
        <v>1007</v>
      </c>
      <c r="F498" s="3">
        <f>DATE(2022,11,23)</f>
        <v>44888</v>
      </c>
      <c r="G498" s="4">
        <f t="shared" si="73"/>
        <v>11</v>
      </c>
      <c r="H498" s="4">
        <f t="shared" si="74"/>
        <v>2022</v>
      </c>
      <c r="I498" s="2" t="s">
        <v>4</v>
      </c>
      <c r="J498" s="2" t="s">
        <v>1008</v>
      </c>
      <c r="K498" s="2" t="s">
        <v>1009</v>
      </c>
      <c r="L498" s="2" t="s">
        <v>1010</v>
      </c>
      <c r="M498" s="2" t="s">
        <v>13</v>
      </c>
      <c r="N498" s="4" t="str">
        <f t="shared" si="75"/>
        <v>GAL</v>
      </c>
      <c r="O498" s="5">
        <v>180</v>
      </c>
      <c r="Q498" t="str">
        <f t="shared" si="76"/>
        <v>FLO1200602</v>
      </c>
      <c r="R498" t="str">
        <f t="shared" si="77"/>
        <v>Vented Dyna Flo 12-0-0 6Fe</v>
      </c>
      <c r="S498" s="32">
        <f t="shared" si="78"/>
        <v>180</v>
      </c>
      <c r="U498" t="s">
        <v>1010</v>
      </c>
      <c r="V498" s="32">
        <v>180</v>
      </c>
    </row>
    <row r="499" spans="2:22" x14ac:dyDescent="0.25">
      <c r="B499" s="1" t="s">
        <v>382</v>
      </c>
      <c r="C499" s="2" t="s">
        <v>506</v>
      </c>
      <c r="D499" s="2" t="s">
        <v>995</v>
      </c>
      <c r="E499" s="2" t="s">
        <v>1011</v>
      </c>
      <c r="F499" s="3">
        <f>DATE(2022,11,28)</f>
        <v>44893</v>
      </c>
      <c r="G499" s="4">
        <f t="shared" si="73"/>
        <v>11</v>
      </c>
      <c r="H499" s="4">
        <f t="shared" si="74"/>
        <v>2022</v>
      </c>
      <c r="I499" s="2" t="s">
        <v>4</v>
      </c>
      <c r="J499" s="2" t="s">
        <v>1012</v>
      </c>
      <c r="K499" s="2" t="s">
        <v>998</v>
      </c>
      <c r="L499" s="2" t="s">
        <v>999</v>
      </c>
      <c r="M499" s="2" t="s">
        <v>1000</v>
      </c>
      <c r="N499" s="4" t="str">
        <f t="shared" si="75"/>
        <v>GAL</v>
      </c>
      <c r="O499" s="5">
        <v>250</v>
      </c>
      <c r="Q499" t="str">
        <f t="shared" si="76"/>
        <v>FLOMOLA250</v>
      </c>
      <c r="R499" t="str">
        <f t="shared" si="77"/>
        <v>Dyna Flo Molasses</v>
      </c>
      <c r="S499" s="32">
        <f t="shared" si="78"/>
        <v>525</v>
      </c>
      <c r="U499" t="s">
        <v>999</v>
      </c>
      <c r="V499" s="32">
        <v>525</v>
      </c>
    </row>
    <row r="500" spans="2:22" x14ac:dyDescent="0.25">
      <c r="B500" s="1" t="s">
        <v>382</v>
      </c>
      <c r="C500" s="2" t="s">
        <v>506</v>
      </c>
      <c r="D500" s="2" t="s">
        <v>515</v>
      </c>
      <c r="E500" s="2" t="s">
        <v>516</v>
      </c>
      <c r="F500" s="3">
        <f>DATE(2022,11,30)</f>
        <v>44895</v>
      </c>
      <c r="G500" s="4">
        <f t="shared" si="73"/>
        <v>11</v>
      </c>
      <c r="H500" s="4">
        <f t="shared" si="74"/>
        <v>2022</v>
      </c>
      <c r="I500" s="2" t="s">
        <v>4</v>
      </c>
      <c r="J500" s="2" t="s">
        <v>1013</v>
      </c>
      <c r="K500" s="2" t="s">
        <v>642</v>
      </c>
      <c r="L500" s="2" t="s">
        <v>111</v>
      </c>
      <c r="M500" s="2" t="s">
        <v>112</v>
      </c>
      <c r="N500" s="4" t="str">
        <f t="shared" si="75"/>
        <v>GAL</v>
      </c>
      <c r="O500" s="5">
        <v>30</v>
      </c>
      <c r="Q500" t="str">
        <f t="shared" si="76"/>
        <v>MRCCCN02</v>
      </c>
      <c r="R500" t="str">
        <f t="shared" si="77"/>
        <v>Copper Count N</v>
      </c>
      <c r="S500" s="32">
        <f t="shared" si="78"/>
        <v>1685</v>
      </c>
      <c r="U500" t="s">
        <v>111</v>
      </c>
      <c r="V500" s="32">
        <v>1685</v>
      </c>
    </row>
    <row r="501" spans="2:22" x14ac:dyDescent="0.25">
      <c r="B501" s="1" t="s">
        <v>382</v>
      </c>
      <c r="C501" s="2" t="s">
        <v>506</v>
      </c>
      <c r="D501" s="2" t="s">
        <v>515</v>
      </c>
      <c r="E501" s="2" t="s">
        <v>516</v>
      </c>
      <c r="F501" s="3">
        <f>DATE(2022,11,30)</f>
        <v>44895</v>
      </c>
      <c r="G501" s="4">
        <f t="shared" si="73"/>
        <v>11</v>
      </c>
      <c r="H501" s="4">
        <f t="shared" si="74"/>
        <v>2022</v>
      </c>
      <c r="I501" s="2" t="s">
        <v>4</v>
      </c>
      <c r="J501" s="2" t="s">
        <v>1013</v>
      </c>
      <c r="K501" s="2" t="s">
        <v>25</v>
      </c>
      <c r="L501" s="2" t="s">
        <v>541</v>
      </c>
      <c r="M501" s="2" t="s">
        <v>27</v>
      </c>
      <c r="N501" s="4" t="str">
        <f t="shared" si="75"/>
        <v>GAL</v>
      </c>
      <c r="O501" s="5">
        <v>360</v>
      </c>
      <c r="Q501" t="str">
        <f t="shared" si="76"/>
        <v>GOLDCA02</v>
      </c>
      <c r="R501" t="str">
        <f t="shared" si="77"/>
        <v>Dyna Gold Calcium 8.25%</v>
      </c>
      <c r="S501" s="32">
        <f t="shared" si="78"/>
        <v>1280</v>
      </c>
      <c r="U501" t="s">
        <v>541</v>
      </c>
      <c r="V501" s="32">
        <v>1280</v>
      </c>
    </row>
    <row r="502" spans="2:22" x14ac:dyDescent="0.25">
      <c r="B502" s="1" t="s">
        <v>382</v>
      </c>
      <c r="C502" s="2" t="s">
        <v>506</v>
      </c>
      <c r="D502" s="2" t="s">
        <v>515</v>
      </c>
      <c r="E502" s="2" t="s">
        <v>516</v>
      </c>
      <c r="F502" s="3">
        <f>DATE(2022,11,30)</f>
        <v>44895</v>
      </c>
      <c r="G502" s="4">
        <f t="shared" si="73"/>
        <v>11</v>
      </c>
      <c r="H502" s="4">
        <f t="shared" si="74"/>
        <v>2022</v>
      </c>
      <c r="I502" s="2" t="s">
        <v>4</v>
      </c>
      <c r="J502" s="2" t="s">
        <v>1013</v>
      </c>
      <c r="K502" s="2" t="s">
        <v>1014</v>
      </c>
      <c r="L502" s="2" t="s">
        <v>472</v>
      </c>
      <c r="M502" s="2" t="s">
        <v>473</v>
      </c>
      <c r="N502" s="4" t="str">
        <f t="shared" si="75"/>
        <v>GAL</v>
      </c>
      <c r="O502" s="5">
        <v>30</v>
      </c>
      <c r="Q502" t="str">
        <f t="shared" si="76"/>
        <v>OMFISHEM02</v>
      </c>
      <c r="R502" t="str">
        <f t="shared" si="77"/>
        <v>Omega Grow Fish Emulsion Protein 5-1-1</v>
      </c>
      <c r="S502" s="32">
        <f t="shared" si="78"/>
        <v>305</v>
      </c>
      <c r="U502" t="s">
        <v>472</v>
      </c>
      <c r="V502" s="32">
        <v>305</v>
      </c>
    </row>
    <row r="503" spans="2:22" x14ac:dyDescent="0.25">
      <c r="B503" s="1" t="s">
        <v>382</v>
      </c>
      <c r="C503" s="2" t="s">
        <v>506</v>
      </c>
      <c r="D503" s="2" t="s">
        <v>515</v>
      </c>
      <c r="E503" s="2" t="s">
        <v>516</v>
      </c>
      <c r="F503" s="3">
        <f>DATE(2022,11,30)</f>
        <v>44895</v>
      </c>
      <c r="G503" s="4">
        <f t="shared" si="73"/>
        <v>11</v>
      </c>
      <c r="H503" s="4">
        <f t="shared" si="74"/>
        <v>2022</v>
      </c>
      <c r="I503" s="2" t="s">
        <v>4</v>
      </c>
      <c r="J503" s="2" t="s">
        <v>1015</v>
      </c>
      <c r="K503" s="2" t="s">
        <v>83</v>
      </c>
      <c r="L503" s="2" t="s">
        <v>518</v>
      </c>
      <c r="M503" s="2" t="s">
        <v>85</v>
      </c>
      <c r="N503" s="4" t="str">
        <f t="shared" si="75"/>
        <v>GAL</v>
      </c>
      <c r="O503" s="5">
        <v>900</v>
      </c>
      <c r="Q503" t="str">
        <f t="shared" si="76"/>
        <v>ZON183602</v>
      </c>
      <c r="R503" t="str">
        <f t="shared" si="77"/>
        <v>Dyna Zone 18-3-6</v>
      </c>
      <c r="S503" s="32">
        <f t="shared" si="78"/>
        <v>2090</v>
      </c>
      <c r="U503" t="s">
        <v>518</v>
      </c>
      <c r="V503" s="32">
        <v>2090</v>
      </c>
    </row>
    <row r="504" spans="2:22" x14ac:dyDescent="0.25">
      <c r="B504" s="1" t="s">
        <v>382</v>
      </c>
      <c r="C504" s="2" t="s">
        <v>506</v>
      </c>
      <c r="D504" s="2" t="s">
        <v>507</v>
      </c>
      <c r="E504" s="2" t="s">
        <v>993</v>
      </c>
      <c r="F504" s="3">
        <f>DATE(2022,11,30)</f>
        <v>44895</v>
      </c>
      <c r="G504" s="4">
        <f t="shared" si="73"/>
        <v>11</v>
      </c>
      <c r="H504" s="4">
        <f t="shared" si="74"/>
        <v>2022</v>
      </c>
      <c r="I504" s="2" t="s">
        <v>4</v>
      </c>
      <c r="J504" s="2" t="s">
        <v>1016</v>
      </c>
      <c r="K504" s="2" t="s">
        <v>609</v>
      </c>
      <c r="L504" s="2" t="s">
        <v>610</v>
      </c>
      <c r="M504" s="2" t="s">
        <v>611</v>
      </c>
      <c r="N504" s="4" t="str">
        <f t="shared" si="75"/>
        <v>GAL</v>
      </c>
      <c r="O504" s="5">
        <v>180</v>
      </c>
      <c r="Q504" t="str">
        <f t="shared" si="76"/>
        <v>PHYLO02</v>
      </c>
      <c r="R504" t="str">
        <f t="shared" si="77"/>
        <v>pHylo</v>
      </c>
      <c r="S504" s="32">
        <f t="shared" si="78"/>
        <v>560</v>
      </c>
      <c r="U504" t="s">
        <v>610</v>
      </c>
      <c r="V504" s="32">
        <v>560</v>
      </c>
    </row>
    <row r="505" spans="2:22" x14ac:dyDescent="0.25">
      <c r="B505" s="1" t="s">
        <v>1017</v>
      </c>
      <c r="C505" s="2" t="s">
        <v>1018</v>
      </c>
      <c r="D505" s="2" t="s">
        <v>1019</v>
      </c>
      <c r="E505" s="2" t="s">
        <v>1020</v>
      </c>
      <c r="F505" s="3">
        <f>DATE(2022,11,17)</f>
        <v>44882</v>
      </c>
      <c r="G505" s="4">
        <f t="shared" si="73"/>
        <v>11</v>
      </c>
      <c r="H505" s="4">
        <f t="shared" si="74"/>
        <v>2022</v>
      </c>
      <c r="I505" s="2" t="s">
        <v>4</v>
      </c>
      <c r="J505" s="2" t="s">
        <v>1021</v>
      </c>
      <c r="K505" s="2" t="s">
        <v>1022</v>
      </c>
      <c r="L505" s="2" t="s">
        <v>1023</v>
      </c>
      <c r="M505" s="2" t="s">
        <v>1024</v>
      </c>
      <c r="N505" s="4" t="str">
        <f t="shared" si="75"/>
        <v>GAL</v>
      </c>
      <c r="O505" s="5">
        <v>500</v>
      </c>
      <c r="Q505" t="str">
        <f t="shared" si="76"/>
        <v>GOLDFE250</v>
      </c>
      <c r="R505" t="str">
        <f t="shared" si="77"/>
        <v>Dyna Gold Iron 5%</v>
      </c>
      <c r="S505" s="32">
        <f t="shared" si="78"/>
        <v>625</v>
      </c>
      <c r="U505" t="s">
        <v>1023</v>
      </c>
      <c r="V505" s="32">
        <v>625</v>
      </c>
    </row>
    <row r="506" spans="2:22" x14ac:dyDescent="0.25">
      <c r="B506" s="1" t="s">
        <v>495</v>
      </c>
      <c r="C506" s="2" t="s">
        <v>1025</v>
      </c>
      <c r="D506" s="2" t="s">
        <v>1026</v>
      </c>
      <c r="E506" s="2" t="s">
        <v>102</v>
      </c>
      <c r="F506" s="3">
        <f>DATE(2022,11,30)</f>
        <v>44895</v>
      </c>
      <c r="G506" s="4">
        <f t="shared" si="73"/>
        <v>11</v>
      </c>
      <c r="H506" s="4">
        <f t="shared" si="74"/>
        <v>2022</v>
      </c>
      <c r="I506" s="2" t="s">
        <v>4</v>
      </c>
      <c r="J506" s="2" t="s">
        <v>1027</v>
      </c>
      <c r="K506" s="2" t="s">
        <v>1028</v>
      </c>
      <c r="L506" s="2" t="s">
        <v>1029</v>
      </c>
      <c r="M506" s="2" t="s">
        <v>106</v>
      </c>
      <c r="N506" s="4" t="str">
        <f t="shared" si="75"/>
        <v>LBS</v>
      </c>
      <c r="O506" s="5">
        <v>22239</v>
      </c>
      <c r="Q506" t="str">
        <f t="shared" si="76"/>
        <v>CHEGLUCOGR50CDI</v>
      </c>
      <c r="R506" t="str">
        <f t="shared" si="77"/>
        <v>Sodium Glucoheptonate</v>
      </c>
      <c r="S506" s="32">
        <f t="shared" si="78"/>
        <v>22239</v>
      </c>
      <c r="U506" t="s">
        <v>1029</v>
      </c>
      <c r="V506" s="32">
        <v>22239</v>
      </c>
    </row>
    <row r="507" spans="2:22" x14ac:dyDescent="0.25">
      <c r="B507" s="1" t="s">
        <v>524</v>
      </c>
      <c r="C507" s="2" t="s">
        <v>525</v>
      </c>
      <c r="D507" s="2" t="s">
        <v>124</v>
      </c>
      <c r="E507" s="2" t="s">
        <v>526</v>
      </c>
      <c r="F507" s="3">
        <f>DATE(2022,11,1)</f>
        <v>44866</v>
      </c>
      <c r="G507" s="4">
        <f t="shared" si="73"/>
        <v>11</v>
      </c>
      <c r="H507" s="4">
        <f t="shared" si="74"/>
        <v>2022</v>
      </c>
      <c r="I507" s="2" t="s">
        <v>4</v>
      </c>
      <c r="J507" s="2" t="s">
        <v>1030</v>
      </c>
      <c r="K507" s="2" t="s">
        <v>1031</v>
      </c>
      <c r="L507" s="2" t="s">
        <v>1032</v>
      </c>
      <c r="M507" s="2" t="s">
        <v>119</v>
      </c>
      <c r="N507" s="4" t="str">
        <f t="shared" si="75"/>
        <v>TON</v>
      </c>
      <c r="O507" s="5">
        <v>12</v>
      </c>
      <c r="Q507" t="str">
        <f t="shared" si="76"/>
        <v>MAC845YX</v>
      </c>
      <c r="R507" t="str">
        <f t="shared" si="77"/>
        <v>Dyna Flo 8-4-5 YX</v>
      </c>
      <c r="S507" s="32">
        <f t="shared" si="78"/>
        <v>12</v>
      </c>
      <c r="U507" t="s">
        <v>1032</v>
      </c>
      <c r="V507" s="32">
        <v>12</v>
      </c>
    </row>
    <row r="508" spans="2:22" x14ac:dyDescent="0.25">
      <c r="B508" s="6" t="s">
        <v>524</v>
      </c>
      <c r="C508" s="7" t="s">
        <v>525</v>
      </c>
      <c r="D508" s="8" t="s">
        <v>124</v>
      </c>
      <c r="E508" s="8" t="s">
        <v>526</v>
      </c>
      <c r="F508" s="9">
        <f>DATE(2022,11,7)</f>
        <v>44872</v>
      </c>
      <c r="G508" s="10">
        <f t="shared" si="73"/>
        <v>11</v>
      </c>
      <c r="H508" s="10">
        <f t="shared" si="74"/>
        <v>2022</v>
      </c>
      <c r="I508" s="8" t="s">
        <v>4</v>
      </c>
      <c r="J508" s="7" t="s">
        <v>1033</v>
      </c>
      <c r="K508" s="8" t="s">
        <v>1034</v>
      </c>
      <c r="L508" s="8" t="s">
        <v>1035</v>
      </c>
      <c r="M508" s="8" t="s">
        <v>119</v>
      </c>
      <c r="N508" s="10" t="str">
        <f t="shared" si="75"/>
        <v>TON</v>
      </c>
      <c r="O508" s="11">
        <v>5</v>
      </c>
      <c r="Q508" t="str">
        <f t="shared" si="76"/>
        <v>MAC3410W</v>
      </c>
      <c r="R508" t="str">
        <f t="shared" si="77"/>
        <v>Dyna Flo 3-4-10 W</v>
      </c>
      <c r="S508" s="32">
        <f t="shared" si="78"/>
        <v>5</v>
      </c>
      <c r="U508" t="s">
        <v>1035</v>
      </c>
      <c r="V508" s="32">
        <v>5</v>
      </c>
    </row>
    <row r="509" spans="2:22" x14ac:dyDescent="0.25">
      <c r="B509" s="1" t="s">
        <v>524</v>
      </c>
      <c r="C509" s="2" t="s">
        <v>525</v>
      </c>
      <c r="D509" s="2" t="s">
        <v>628</v>
      </c>
      <c r="E509" s="2" t="s">
        <v>1036</v>
      </c>
      <c r="F509" s="3">
        <f>DATE(2022,11,8)</f>
        <v>44873</v>
      </c>
      <c r="G509" s="4">
        <f t="shared" si="73"/>
        <v>11</v>
      </c>
      <c r="H509" s="4">
        <f t="shared" si="74"/>
        <v>2022</v>
      </c>
      <c r="I509" s="2" t="s">
        <v>4</v>
      </c>
      <c r="J509" s="2" t="s">
        <v>1037</v>
      </c>
      <c r="K509" s="2" t="s">
        <v>422</v>
      </c>
      <c r="L509" s="2" t="s">
        <v>423</v>
      </c>
      <c r="M509" s="2" t="s">
        <v>119</v>
      </c>
      <c r="N509" s="4" t="str">
        <f t="shared" si="75"/>
        <v>TON</v>
      </c>
      <c r="O509" s="5">
        <v>1.25</v>
      </c>
      <c r="Q509" t="str">
        <f t="shared" si="76"/>
        <v>MAC527YM18</v>
      </c>
      <c r="R509" t="str">
        <f t="shared" si="77"/>
        <v>Dyna Flo 5-2-7YM18</v>
      </c>
      <c r="S509" s="32">
        <f t="shared" si="78"/>
        <v>35.25</v>
      </c>
      <c r="U509" t="s">
        <v>423</v>
      </c>
      <c r="V509" s="32">
        <v>35.25</v>
      </c>
    </row>
    <row r="510" spans="2:22" x14ac:dyDescent="0.25">
      <c r="B510" s="1" t="s">
        <v>524</v>
      </c>
      <c r="C510" s="2" t="s">
        <v>525</v>
      </c>
      <c r="D510" s="2" t="s">
        <v>628</v>
      </c>
      <c r="E510" s="2" t="s">
        <v>1036</v>
      </c>
      <c r="F510" s="3">
        <f>DATE(2022,11,11)</f>
        <v>44876</v>
      </c>
      <c r="G510" s="4">
        <f t="shared" si="73"/>
        <v>11</v>
      </c>
      <c r="H510" s="4">
        <f t="shared" si="74"/>
        <v>2022</v>
      </c>
      <c r="I510" s="2" t="s">
        <v>4</v>
      </c>
      <c r="J510" s="2" t="s">
        <v>1038</v>
      </c>
      <c r="K510" s="2" t="s">
        <v>158</v>
      </c>
      <c r="L510" s="2" t="s">
        <v>159</v>
      </c>
      <c r="M510" s="2" t="s">
        <v>160</v>
      </c>
      <c r="N510" s="4" t="str">
        <f t="shared" si="75"/>
        <v>GAL</v>
      </c>
      <c r="O510" s="5">
        <v>180</v>
      </c>
      <c r="Q510" t="str">
        <f t="shared" si="76"/>
        <v>SOARBLM02</v>
      </c>
      <c r="R510" t="str">
        <f t="shared" si="77"/>
        <v>Soar Bloom Spray</v>
      </c>
      <c r="S510" s="32">
        <f t="shared" si="78"/>
        <v>2195</v>
      </c>
      <c r="U510" t="s">
        <v>159</v>
      </c>
      <c r="V510" s="32">
        <v>2195</v>
      </c>
    </row>
    <row r="511" spans="2:22" x14ac:dyDescent="0.25">
      <c r="B511" s="1" t="s">
        <v>524</v>
      </c>
      <c r="C511" s="2" t="s">
        <v>525</v>
      </c>
      <c r="D511" s="2" t="s">
        <v>507</v>
      </c>
      <c r="E511" s="2" t="s">
        <v>508</v>
      </c>
      <c r="F511" s="3">
        <f>DATE(2022,11,15)</f>
        <v>44880</v>
      </c>
      <c r="G511" s="4">
        <f t="shared" si="73"/>
        <v>11</v>
      </c>
      <c r="H511" s="4">
        <f t="shared" si="74"/>
        <v>2022</v>
      </c>
      <c r="I511" s="2" t="s">
        <v>4</v>
      </c>
      <c r="J511" s="2" t="s">
        <v>1039</v>
      </c>
      <c r="K511" s="2" t="s">
        <v>158</v>
      </c>
      <c r="L511" s="2" t="s">
        <v>159</v>
      </c>
      <c r="M511" s="2" t="s">
        <v>160</v>
      </c>
      <c r="N511" s="4" t="str">
        <f t="shared" si="75"/>
        <v>GAL</v>
      </c>
      <c r="O511" s="5">
        <v>360</v>
      </c>
      <c r="Q511" t="str">
        <f t="shared" si="76"/>
        <v>SOARBLM02</v>
      </c>
      <c r="R511" t="str">
        <f t="shared" si="77"/>
        <v>Soar Bloom Spray</v>
      </c>
      <c r="S511" s="32">
        <f t="shared" si="78"/>
        <v>2195</v>
      </c>
      <c r="U511" t="s">
        <v>159</v>
      </c>
      <c r="V511" s="32">
        <v>2195</v>
      </c>
    </row>
    <row r="512" spans="2:22" x14ac:dyDescent="0.25">
      <c r="B512" s="1" t="s">
        <v>524</v>
      </c>
      <c r="C512" s="2" t="s">
        <v>525</v>
      </c>
      <c r="D512" s="2" t="s">
        <v>628</v>
      </c>
      <c r="E512" s="2" t="s">
        <v>1036</v>
      </c>
      <c r="F512" s="3">
        <f>DATE(2022,11,17)</f>
        <v>44882</v>
      </c>
      <c r="G512" s="4">
        <f t="shared" si="73"/>
        <v>11</v>
      </c>
      <c r="H512" s="4">
        <f t="shared" si="74"/>
        <v>2022</v>
      </c>
      <c r="I512" s="2" t="s">
        <v>4</v>
      </c>
      <c r="J512" s="2" t="s">
        <v>1040</v>
      </c>
      <c r="K512" s="2" t="s">
        <v>1041</v>
      </c>
      <c r="L512" s="2" t="s">
        <v>1042</v>
      </c>
      <c r="M512" s="2" t="s">
        <v>106</v>
      </c>
      <c r="N512" s="4" t="str">
        <f t="shared" si="75"/>
        <v>LBS</v>
      </c>
      <c r="O512" s="5">
        <v>1000</v>
      </c>
      <c r="Q512" t="str">
        <f t="shared" si="76"/>
        <v>CHECITRIC</v>
      </c>
      <c r="R512" t="str">
        <f t="shared" si="77"/>
        <v>Citric Acid</v>
      </c>
      <c r="S512" s="32">
        <f t="shared" si="78"/>
        <v>1000</v>
      </c>
      <c r="U512" t="s">
        <v>1042</v>
      </c>
      <c r="V512" s="32">
        <v>1000</v>
      </c>
    </row>
    <row r="513" spans="2:22" x14ac:dyDescent="0.25">
      <c r="B513" s="1" t="s">
        <v>524</v>
      </c>
      <c r="C513" s="2" t="s">
        <v>525</v>
      </c>
      <c r="D513" s="2" t="s">
        <v>628</v>
      </c>
      <c r="E513" s="2" t="s">
        <v>1036</v>
      </c>
      <c r="F513" s="3">
        <f>DATE(2022,11,17)</f>
        <v>44882</v>
      </c>
      <c r="G513" s="4">
        <f t="shared" si="73"/>
        <v>11</v>
      </c>
      <c r="H513" s="4">
        <f t="shared" si="74"/>
        <v>2022</v>
      </c>
      <c r="I513" s="2" t="s">
        <v>4</v>
      </c>
      <c r="J513" s="2" t="s">
        <v>1040</v>
      </c>
      <c r="K513" s="2" t="s">
        <v>609</v>
      </c>
      <c r="L513" s="2" t="s">
        <v>610</v>
      </c>
      <c r="M513" s="2" t="s">
        <v>611</v>
      </c>
      <c r="N513" s="4" t="str">
        <f t="shared" si="75"/>
        <v>GAL</v>
      </c>
      <c r="O513" s="5">
        <v>180</v>
      </c>
      <c r="Q513" t="str">
        <f t="shared" si="76"/>
        <v>PHYLO02</v>
      </c>
      <c r="R513" t="str">
        <f t="shared" si="77"/>
        <v>pHylo</v>
      </c>
      <c r="S513" s="32">
        <f t="shared" si="78"/>
        <v>560</v>
      </c>
      <c r="U513" t="s">
        <v>610</v>
      </c>
      <c r="V513" s="32">
        <v>560</v>
      </c>
    </row>
    <row r="514" spans="2:22" x14ac:dyDescent="0.25">
      <c r="B514" s="1" t="s">
        <v>524</v>
      </c>
      <c r="C514" s="2" t="s">
        <v>525</v>
      </c>
      <c r="D514" s="2" t="s">
        <v>628</v>
      </c>
      <c r="E514" s="2" t="s">
        <v>1036</v>
      </c>
      <c r="F514" s="3">
        <f>DATE(2022,11,30)</f>
        <v>44895</v>
      </c>
      <c r="G514" s="4">
        <f t="shared" si="73"/>
        <v>11</v>
      </c>
      <c r="H514" s="4">
        <f t="shared" si="74"/>
        <v>2022</v>
      </c>
      <c r="I514" s="2" t="s">
        <v>4</v>
      </c>
      <c r="J514" s="2" t="s">
        <v>1043</v>
      </c>
      <c r="K514" s="2" t="s">
        <v>1044</v>
      </c>
      <c r="L514" s="2" t="s">
        <v>1045</v>
      </c>
      <c r="M514" s="2" t="s">
        <v>1046</v>
      </c>
      <c r="N514" s="4" t="str">
        <f t="shared" si="75"/>
        <v>GAL</v>
      </c>
      <c r="O514" s="5">
        <v>60</v>
      </c>
      <c r="Q514" t="str">
        <f t="shared" si="76"/>
        <v>DYNABERRY30</v>
      </c>
      <c r="R514" t="str">
        <f t="shared" si="77"/>
        <v>Dyna Berry</v>
      </c>
      <c r="S514" s="32">
        <f t="shared" si="78"/>
        <v>60</v>
      </c>
      <c r="U514" t="s">
        <v>1045</v>
      </c>
      <c r="V514" s="32">
        <v>60</v>
      </c>
    </row>
    <row r="515" spans="2:22" x14ac:dyDescent="0.25">
      <c r="B515" s="1" t="s">
        <v>532</v>
      </c>
      <c r="C515" s="2" t="s">
        <v>533</v>
      </c>
      <c r="D515" s="2" t="s">
        <v>1047</v>
      </c>
      <c r="E515" s="2" t="s">
        <v>1048</v>
      </c>
      <c r="F515" s="3">
        <f>DATE(2022,11,1)</f>
        <v>44866</v>
      </c>
      <c r="G515" s="4">
        <f t="shared" ref="G515:G578" si="81">+MONTH(F515)</f>
        <v>11</v>
      </c>
      <c r="H515" s="4">
        <f t="shared" ref="H515:H578" si="82">+YEAR(F515)</f>
        <v>2022</v>
      </c>
      <c r="I515" s="2" t="s">
        <v>4</v>
      </c>
      <c r="J515" s="2" t="s">
        <v>1049</v>
      </c>
      <c r="K515" s="2" t="s">
        <v>83</v>
      </c>
      <c r="L515" s="2" t="s">
        <v>518</v>
      </c>
      <c r="M515" s="2" t="s">
        <v>85</v>
      </c>
      <c r="N515" s="4" t="str">
        <f t="shared" ref="N515:N578" si="83">+LEFT(M515,3)</f>
        <v>GAL</v>
      </c>
      <c r="O515" s="5">
        <v>40</v>
      </c>
      <c r="Q515" t="str">
        <f t="shared" ref="Q515:Q578" si="84">K515</f>
        <v>ZON183602</v>
      </c>
      <c r="R515" t="str">
        <f t="shared" ref="R515:R578" si="85">L515</f>
        <v>Dyna Zone 18-3-6</v>
      </c>
      <c r="S515" s="32">
        <f t="shared" si="78"/>
        <v>2090</v>
      </c>
      <c r="U515" t="s">
        <v>518</v>
      </c>
      <c r="V515" s="32">
        <v>2090</v>
      </c>
    </row>
    <row r="516" spans="2:22" x14ac:dyDescent="0.25">
      <c r="B516" s="1" t="s">
        <v>1050</v>
      </c>
      <c r="C516" s="2" t="s">
        <v>533</v>
      </c>
      <c r="D516" s="2" t="s">
        <v>562</v>
      </c>
      <c r="E516" s="2" t="s">
        <v>1051</v>
      </c>
      <c r="F516" s="3">
        <f>DATE(2022,11,2)</f>
        <v>44867</v>
      </c>
      <c r="G516" s="4">
        <f t="shared" si="81"/>
        <v>11</v>
      </c>
      <c r="H516" s="4">
        <f t="shared" si="82"/>
        <v>2022</v>
      </c>
      <c r="I516" s="2" t="s">
        <v>4</v>
      </c>
      <c r="J516" s="2" t="s">
        <v>1052</v>
      </c>
      <c r="K516" s="2" t="s">
        <v>822</v>
      </c>
      <c r="L516" s="2" t="s">
        <v>565</v>
      </c>
      <c r="M516" s="2" t="s">
        <v>21</v>
      </c>
      <c r="N516" s="4" t="str">
        <f t="shared" si="83"/>
        <v>GAL</v>
      </c>
      <c r="O516" s="5">
        <v>750</v>
      </c>
      <c r="Q516" t="str">
        <f t="shared" si="84"/>
        <v>FLOKTS250</v>
      </c>
      <c r="R516" t="str">
        <f t="shared" si="85"/>
        <v>Dyna Flo  0-0-25 17</v>
      </c>
      <c r="S516" s="32">
        <f t="shared" ref="S516:S579" si="86">SUMIF($R$3:$R$885, $R516, $O$3:$O$885)</f>
        <v>3780</v>
      </c>
      <c r="U516" t="s">
        <v>565</v>
      </c>
      <c r="V516" s="32">
        <v>3780</v>
      </c>
    </row>
    <row r="517" spans="2:22" x14ac:dyDescent="0.25">
      <c r="B517" s="1" t="s">
        <v>1050</v>
      </c>
      <c r="C517" s="2" t="s">
        <v>533</v>
      </c>
      <c r="D517" s="2" t="s">
        <v>562</v>
      </c>
      <c r="E517" s="2" t="s">
        <v>1051</v>
      </c>
      <c r="F517" s="3">
        <f>DATE(2022,11,7)</f>
        <v>44872</v>
      </c>
      <c r="G517" s="4">
        <f t="shared" si="81"/>
        <v>11</v>
      </c>
      <c r="H517" s="4">
        <f t="shared" si="82"/>
        <v>2022</v>
      </c>
      <c r="I517" s="2" t="s">
        <v>4</v>
      </c>
      <c r="J517" s="2" t="s">
        <v>1053</v>
      </c>
      <c r="K517" s="2" t="s">
        <v>822</v>
      </c>
      <c r="L517" s="2" t="s">
        <v>565</v>
      </c>
      <c r="M517" s="2" t="s">
        <v>21</v>
      </c>
      <c r="N517" s="4" t="str">
        <f t="shared" si="83"/>
        <v>GAL</v>
      </c>
      <c r="O517" s="5">
        <v>1000</v>
      </c>
      <c r="Q517" t="str">
        <f t="shared" si="84"/>
        <v>FLOKTS250</v>
      </c>
      <c r="R517" t="str">
        <f t="shared" si="85"/>
        <v>Dyna Flo  0-0-25 17</v>
      </c>
      <c r="S517" s="32">
        <f t="shared" si="86"/>
        <v>3780</v>
      </c>
      <c r="U517" t="s">
        <v>565</v>
      </c>
      <c r="V517" s="32">
        <v>3780</v>
      </c>
    </row>
    <row r="518" spans="2:22" x14ac:dyDescent="0.25">
      <c r="B518" s="1" t="s">
        <v>88</v>
      </c>
      <c r="C518" s="2" t="s">
        <v>533</v>
      </c>
      <c r="D518" s="2" t="s">
        <v>557</v>
      </c>
      <c r="E518" s="2" t="s">
        <v>1054</v>
      </c>
      <c r="F518" s="3">
        <f>DATE(2022,11,11)</f>
        <v>44876</v>
      </c>
      <c r="G518" s="4">
        <f t="shared" si="81"/>
        <v>11</v>
      </c>
      <c r="H518" s="4">
        <f t="shared" si="82"/>
        <v>2022</v>
      </c>
      <c r="I518" s="2" t="s">
        <v>4</v>
      </c>
      <c r="J518" s="2" t="s">
        <v>1055</v>
      </c>
      <c r="K518" s="2" t="s">
        <v>1056</v>
      </c>
      <c r="L518" s="2" t="s">
        <v>1057</v>
      </c>
      <c r="M518" s="2" t="s">
        <v>1058</v>
      </c>
      <c r="N518" s="4" t="str">
        <f t="shared" si="83"/>
        <v>GAL</v>
      </c>
      <c r="O518" s="5">
        <v>3710</v>
      </c>
      <c r="Q518" t="str">
        <f t="shared" si="84"/>
        <v>FLO8216250</v>
      </c>
      <c r="R518" t="str">
        <f t="shared" si="85"/>
        <v>Thrive 8-21-6</v>
      </c>
      <c r="S518" s="32">
        <f t="shared" si="86"/>
        <v>7420</v>
      </c>
      <c r="U518" t="s">
        <v>1057</v>
      </c>
      <c r="V518" s="32">
        <v>7420</v>
      </c>
    </row>
    <row r="519" spans="2:22" x14ac:dyDescent="0.25">
      <c r="B519" s="1" t="s">
        <v>1050</v>
      </c>
      <c r="C519" s="2" t="s">
        <v>533</v>
      </c>
      <c r="D519" s="2" t="s">
        <v>557</v>
      </c>
      <c r="E519" s="2" t="s">
        <v>1059</v>
      </c>
      <c r="F519" s="3">
        <f>DATE(2022,11,11)</f>
        <v>44876</v>
      </c>
      <c r="G519" s="4">
        <f t="shared" si="81"/>
        <v>11</v>
      </c>
      <c r="H519" s="4">
        <f t="shared" si="82"/>
        <v>2022</v>
      </c>
      <c r="I519" s="2" t="s">
        <v>4</v>
      </c>
      <c r="J519" s="2" t="s">
        <v>1060</v>
      </c>
      <c r="K519" s="2" t="s">
        <v>1056</v>
      </c>
      <c r="L519" s="2" t="s">
        <v>1057</v>
      </c>
      <c r="M519" s="2" t="s">
        <v>1058</v>
      </c>
      <c r="N519" s="4" t="str">
        <f t="shared" si="83"/>
        <v>GAL</v>
      </c>
      <c r="O519" s="5">
        <v>3710</v>
      </c>
      <c r="Q519" t="str">
        <f t="shared" si="84"/>
        <v>FLO8216250</v>
      </c>
      <c r="R519" t="str">
        <f t="shared" si="85"/>
        <v>Thrive 8-21-6</v>
      </c>
      <c r="S519" s="32">
        <f t="shared" si="86"/>
        <v>7420</v>
      </c>
      <c r="U519" t="s">
        <v>1057</v>
      </c>
      <c r="V519" s="32">
        <v>7420</v>
      </c>
    </row>
    <row r="520" spans="2:22" x14ac:dyDescent="0.25">
      <c r="B520" s="1" t="s">
        <v>532</v>
      </c>
      <c r="C520" s="2" t="s">
        <v>533</v>
      </c>
      <c r="D520" s="2" t="s">
        <v>557</v>
      </c>
      <c r="E520" s="2" t="s">
        <v>141</v>
      </c>
      <c r="F520" s="3">
        <f>DATE(2022,11,18)</f>
        <v>44883</v>
      </c>
      <c r="G520" s="4">
        <f t="shared" si="81"/>
        <v>11</v>
      </c>
      <c r="H520" s="4">
        <f t="shared" si="82"/>
        <v>2022</v>
      </c>
      <c r="I520" s="2" t="s">
        <v>4</v>
      </c>
      <c r="J520" s="2" t="s">
        <v>1061</v>
      </c>
      <c r="K520" s="2" t="s">
        <v>569</v>
      </c>
      <c r="L520" s="2" t="s">
        <v>570</v>
      </c>
      <c r="M520" s="2" t="s">
        <v>106</v>
      </c>
      <c r="N520" s="4" t="str">
        <f t="shared" si="83"/>
        <v>LBS</v>
      </c>
      <c r="O520" s="5">
        <v>1500</v>
      </c>
      <c r="Q520" t="str">
        <f t="shared" si="84"/>
        <v>NPKAWAKEN</v>
      </c>
      <c r="R520" t="str">
        <f t="shared" si="85"/>
        <v>Awaken 16-0-2</v>
      </c>
      <c r="S520" s="32">
        <f t="shared" si="86"/>
        <v>7500</v>
      </c>
      <c r="U520" t="s">
        <v>570</v>
      </c>
      <c r="V520" s="32">
        <v>7500</v>
      </c>
    </row>
    <row r="521" spans="2:22" x14ac:dyDescent="0.25">
      <c r="B521" s="1" t="s">
        <v>645</v>
      </c>
      <c r="C521" s="2" t="s">
        <v>533</v>
      </c>
      <c r="D521" s="2" t="s">
        <v>604</v>
      </c>
      <c r="E521" s="2" t="s">
        <v>102</v>
      </c>
      <c r="F521" s="3">
        <f>DATE(2022,11,28)</f>
        <v>44893</v>
      </c>
      <c r="G521" s="4">
        <f t="shared" si="81"/>
        <v>11</v>
      </c>
      <c r="H521" s="4">
        <f t="shared" si="82"/>
        <v>2022</v>
      </c>
      <c r="I521" s="2" t="s">
        <v>4</v>
      </c>
      <c r="J521" s="2" t="s">
        <v>1062</v>
      </c>
      <c r="K521" s="2" t="s">
        <v>606</v>
      </c>
      <c r="L521" s="2" t="s">
        <v>1063</v>
      </c>
      <c r="M521" s="2" t="s">
        <v>106</v>
      </c>
      <c r="N521" s="4" t="str">
        <f t="shared" si="83"/>
        <v>LBS</v>
      </c>
      <c r="O521" s="5">
        <v>500</v>
      </c>
      <c r="Q521" t="str">
        <f t="shared" si="84"/>
        <v>CHEGLUCOGR50250</v>
      </c>
      <c r="R521" t="str">
        <f t="shared" si="85"/>
        <v>Glucoheptonate GR-50 NVM</v>
      </c>
      <c r="S521" s="32">
        <f t="shared" si="86"/>
        <v>500</v>
      </c>
      <c r="U521" t="s">
        <v>1063</v>
      </c>
      <c r="V521" s="32">
        <v>500</v>
      </c>
    </row>
    <row r="522" spans="2:22" x14ac:dyDescent="0.25">
      <c r="B522" s="1" t="s">
        <v>0</v>
      </c>
      <c r="C522" s="2" t="s">
        <v>1</v>
      </c>
      <c r="D522" s="2" t="s">
        <v>2</v>
      </c>
      <c r="E522" s="2" t="s">
        <v>42</v>
      </c>
      <c r="F522" s="3">
        <v>44901</v>
      </c>
      <c r="G522" s="4">
        <f t="shared" si="81"/>
        <v>12</v>
      </c>
      <c r="H522" s="4">
        <f t="shared" si="82"/>
        <v>2022</v>
      </c>
      <c r="I522" s="2" t="s">
        <v>4</v>
      </c>
      <c r="J522" s="2" t="s">
        <v>1064</v>
      </c>
      <c r="K522" s="2" t="s">
        <v>19</v>
      </c>
      <c r="L522" s="2" t="s">
        <v>20</v>
      </c>
      <c r="M522" s="2" t="s">
        <v>21</v>
      </c>
      <c r="N522" s="4" t="str">
        <f t="shared" si="83"/>
        <v>GAL</v>
      </c>
      <c r="O522" s="5">
        <v>120</v>
      </c>
      <c r="Q522" t="str">
        <f t="shared" si="84"/>
        <v>FLOKTS02</v>
      </c>
      <c r="R522" t="str">
        <f t="shared" si="85"/>
        <v>Excel 0-0-25</v>
      </c>
      <c r="S522" s="32">
        <f t="shared" si="86"/>
        <v>690</v>
      </c>
      <c r="U522" t="s">
        <v>20</v>
      </c>
      <c r="V522" s="32">
        <v>690</v>
      </c>
    </row>
    <row r="523" spans="2:22" x14ac:dyDescent="0.25">
      <c r="B523" s="1" t="s">
        <v>0</v>
      </c>
      <c r="C523" s="2" t="s">
        <v>1</v>
      </c>
      <c r="D523" s="2" t="s">
        <v>2</v>
      </c>
      <c r="E523" s="2" t="s">
        <v>42</v>
      </c>
      <c r="F523" s="3">
        <v>44901</v>
      </c>
      <c r="G523" s="4">
        <f t="shared" si="81"/>
        <v>12</v>
      </c>
      <c r="H523" s="4">
        <f t="shared" si="82"/>
        <v>2022</v>
      </c>
      <c r="I523" s="2" t="s">
        <v>4</v>
      </c>
      <c r="J523" s="2" t="s">
        <v>1064</v>
      </c>
      <c r="K523" s="2" t="s">
        <v>44</v>
      </c>
      <c r="L523" s="2" t="s">
        <v>45</v>
      </c>
      <c r="M523" s="2" t="s">
        <v>46</v>
      </c>
      <c r="N523" s="4" t="str">
        <f t="shared" si="83"/>
        <v>GAL</v>
      </c>
      <c r="O523" s="5">
        <v>30</v>
      </c>
      <c r="Q523" t="str">
        <f t="shared" si="84"/>
        <v>FLO824802</v>
      </c>
      <c r="R523" t="str">
        <f t="shared" si="85"/>
        <v>Mega Green Starter</v>
      </c>
      <c r="S523" s="32">
        <f t="shared" si="86"/>
        <v>60</v>
      </c>
      <c r="U523" t="s">
        <v>45</v>
      </c>
      <c r="V523" s="32">
        <v>60</v>
      </c>
    </row>
    <row r="524" spans="2:22" x14ac:dyDescent="0.25">
      <c r="B524" s="1" t="s">
        <v>0</v>
      </c>
      <c r="C524" s="2" t="s">
        <v>1</v>
      </c>
      <c r="D524" s="2" t="s">
        <v>2</v>
      </c>
      <c r="E524" s="2" t="s">
        <v>42</v>
      </c>
      <c r="F524" s="3">
        <v>44901</v>
      </c>
      <c r="G524" s="4">
        <f t="shared" si="81"/>
        <v>12</v>
      </c>
      <c r="H524" s="4">
        <f t="shared" si="82"/>
        <v>2022</v>
      </c>
      <c r="I524" s="2" t="s">
        <v>4</v>
      </c>
      <c r="J524" s="2" t="s">
        <v>1064</v>
      </c>
      <c r="K524" s="2" t="s">
        <v>47</v>
      </c>
      <c r="L524" s="2" t="s">
        <v>48</v>
      </c>
      <c r="M524" s="2" t="s">
        <v>49</v>
      </c>
      <c r="N524" s="4" t="str">
        <f t="shared" si="83"/>
        <v>GAL</v>
      </c>
      <c r="O524" s="5">
        <v>60</v>
      </c>
      <c r="Q524" t="str">
        <f t="shared" si="84"/>
        <v>GROMG602</v>
      </c>
      <c r="R524" t="str">
        <f t="shared" si="85"/>
        <v>Mega Mix Mg</v>
      </c>
      <c r="S524" s="32">
        <f t="shared" si="86"/>
        <v>150</v>
      </c>
      <c r="U524" t="s">
        <v>48</v>
      </c>
      <c r="V524" s="32">
        <v>150</v>
      </c>
    </row>
    <row r="525" spans="2:22" x14ac:dyDescent="0.25">
      <c r="B525" s="1" t="s">
        <v>0</v>
      </c>
      <c r="C525" s="2" t="s">
        <v>1</v>
      </c>
      <c r="D525" s="2" t="s">
        <v>2</v>
      </c>
      <c r="E525" s="2" t="s">
        <v>42</v>
      </c>
      <c r="F525" s="3">
        <v>44901</v>
      </c>
      <c r="G525" s="4">
        <f t="shared" si="81"/>
        <v>12</v>
      </c>
      <c r="H525" s="4">
        <f t="shared" si="82"/>
        <v>2022</v>
      </c>
      <c r="I525" s="2" t="s">
        <v>4</v>
      </c>
      <c r="J525" s="2" t="s">
        <v>1064</v>
      </c>
      <c r="K525" s="2" t="s">
        <v>578</v>
      </c>
      <c r="L525" s="2" t="s">
        <v>72</v>
      </c>
      <c r="M525" s="2" t="s">
        <v>73</v>
      </c>
      <c r="N525" s="4" t="str">
        <f t="shared" si="83"/>
        <v>GAL</v>
      </c>
      <c r="O525" s="5">
        <v>30</v>
      </c>
      <c r="Q525" t="str">
        <f t="shared" si="84"/>
        <v>GROMN02</v>
      </c>
      <c r="R525" t="str">
        <f t="shared" si="85"/>
        <v>Mega Mix Mn</v>
      </c>
      <c r="S525" s="32">
        <f t="shared" si="86"/>
        <v>110</v>
      </c>
      <c r="U525" t="s">
        <v>72</v>
      </c>
      <c r="V525" s="32">
        <v>110</v>
      </c>
    </row>
    <row r="526" spans="2:22" x14ac:dyDescent="0.25">
      <c r="B526" s="1" t="s">
        <v>0</v>
      </c>
      <c r="C526" s="2" t="s">
        <v>1</v>
      </c>
      <c r="D526" s="2" t="s">
        <v>2</v>
      </c>
      <c r="E526" s="2" t="s">
        <v>42</v>
      </c>
      <c r="F526" s="3">
        <v>44901</v>
      </c>
      <c r="G526" s="4">
        <f t="shared" si="81"/>
        <v>12</v>
      </c>
      <c r="H526" s="4">
        <f t="shared" si="82"/>
        <v>2022</v>
      </c>
      <c r="I526" s="2" t="s">
        <v>4</v>
      </c>
      <c r="J526" s="2" t="s">
        <v>1064</v>
      </c>
      <c r="K526" s="2" t="s">
        <v>83</v>
      </c>
      <c r="L526" s="2" t="s">
        <v>84</v>
      </c>
      <c r="M526" s="2" t="s">
        <v>85</v>
      </c>
      <c r="N526" s="4" t="str">
        <f t="shared" si="83"/>
        <v>GAL</v>
      </c>
      <c r="O526" s="5">
        <v>60</v>
      </c>
      <c r="Q526" t="str">
        <f t="shared" si="84"/>
        <v>ZON183602</v>
      </c>
      <c r="R526" t="str">
        <f t="shared" si="85"/>
        <v>Pro Long</v>
      </c>
      <c r="S526" s="32">
        <f t="shared" si="86"/>
        <v>180</v>
      </c>
      <c r="U526" t="s">
        <v>84</v>
      </c>
      <c r="V526" s="32">
        <v>180</v>
      </c>
    </row>
    <row r="527" spans="2:22" x14ac:dyDescent="0.25">
      <c r="B527" s="1" t="s">
        <v>0</v>
      </c>
      <c r="C527" s="2" t="s">
        <v>1</v>
      </c>
      <c r="D527" s="2" t="s">
        <v>2</v>
      </c>
      <c r="E527" s="2" t="s">
        <v>42</v>
      </c>
      <c r="F527" s="3">
        <v>44901</v>
      </c>
      <c r="G527" s="4">
        <f t="shared" si="81"/>
        <v>12</v>
      </c>
      <c r="H527" s="4">
        <f t="shared" si="82"/>
        <v>2022</v>
      </c>
      <c r="I527" s="2" t="s">
        <v>4</v>
      </c>
      <c r="J527" s="2" t="s">
        <v>1064</v>
      </c>
      <c r="K527" s="2" t="s">
        <v>50</v>
      </c>
      <c r="L527" s="2" t="s">
        <v>51</v>
      </c>
      <c r="M527" s="2" t="s">
        <v>52</v>
      </c>
      <c r="N527" s="4" t="str">
        <f t="shared" si="83"/>
        <v>GAL</v>
      </c>
      <c r="O527" s="5">
        <v>60</v>
      </c>
      <c r="Q527" t="str">
        <f t="shared" si="84"/>
        <v>ZONN2802</v>
      </c>
      <c r="R527" t="str">
        <f t="shared" si="85"/>
        <v>Ultra Green 28-0-0</v>
      </c>
      <c r="S527" s="32">
        <f t="shared" si="86"/>
        <v>180</v>
      </c>
      <c r="U527" t="s">
        <v>51</v>
      </c>
      <c r="V527" s="32">
        <v>180</v>
      </c>
    </row>
    <row r="528" spans="2:22" x14ac:dyDescent="0.25">
      <c r="B528" s="1" t="s">
        <v>0</v>
      </c>
      <c r="C528" s="2" t="s">
        <v>1</v>
      </c>
      <c r="D528" s="2" t="s">
        <v>2</v>
      </c>
      <c r="E528" s="2" t="s">
        <v>42</v>
      </c>
      <c r="F528" s="3">
        <v>44901</v>
      </c>
      <c r="G528" s="4">
        <f t="shared" si="81"/>
        <v>12</v>
      </c>
      <c r="H528" s="4">
        <f t="shared" si="82"/>
        <v>2022</v>
      </c>
      <c r="I528" s="2" t="s">
        <v>4</v>
      </c>
      <c r="J528" s="2" t="s">
        <v>1064</v>
      </c>
      <c r="K528" s="2" t="s">
        <v>28</v>
      </c>
      <c r="L528" s="2" t="s">
        <v>29</v>
      </c>
      <c r="M528" s="2" t="s">
        <v>30</v>
      </c>
      <c r="N528" s="4" t="str">
        <f t="shared" si="83"/>
        <v>GAL</v>
      </c>
      <c r="O528" s="5">
        <v>120</v>
      </c>
      <c r="Q528" t="str">
        <f t="shared" si="84"/>
        <v>USCBIOPX02</v>
      </c>
      <c r="R528" t="str">
        <f t="shared" si="85"/>
        <v>Vented Bio Plex</v>
      </c>
      <c r="S528" s="32">
        <f t="shared" si="86"/>
        <v>510</v>
      </c>
      <c r="U528" t="s">
        <v>29</v>
      </c>
      <c r="V528" s="32">
        <v>510</v>
      </c>
    </row>
    <row r="529" spans="2:22" x14ac:dyDescent="0.25">
      <c r="B529" s="1" t="s">
        <v>0</v>
      </c>
      <c r="C529" s="2" t="s">
        <v>1</v>
      </c>
      <c r="D529" s="2" t="s">
        <v>2</v>
      </c>
      <c r="E529" s="2" t="s">
        <v>42</v>
      </c>
      <c r="F529" s="3">
        <v>44901</v>
      </c>
      <c r="G529" s="4">
        <f t="shared" si="81"/>
        <v>12</v>
      </c>
      <c r="H529" s="4">
        <f t="shared" si="82"/>
        <v>2022</v>
      </c>
      <c r="I529" s="2" t="s">
        <v>4</v>
      </c>
      <c r="J529" s="2" t="s">
        <v>1064</v>
      </c>
      <c r="K529" s="2" t="s">
        <v>16</v>
      </c>
      <c r="L529" s="2" t="s">
        <v>7</v>
      </c>
      <c r="M529" s="2" t="s">
        <v>8</v>
      </c>
      <c r="N529" s="4" t="str">
        <f t="shared" si="83"/>
        <v>GAL</v>
      </c>
      <c r="O529" s="5">
        <v>120</v>
      </c>
      <c r="Q529" t="str">
        <f t="shared" si="84"/>
        <v>USCMANPLX+02</v>
      </c>
      <c r="R529" t="str">
        <f t="shared" si="85"/>
        <v>Vented Manga Plex Plus</v>
      </c>
      <c r="S529" s="32">
        <f t="shared" si="86"/>
        <v>1060</v>
      </c>
      <c r="U529" t="s">
        <v>7</v>
      </c>
      <c r="V529" s="32">
        <v>1060</v>
      </c>
    </row>
    <row r="530" spans="2:22" x14ac:dyDescent="0.25">
      <c r="B530" s="1" t="s">
        <v>0</v>
      </c>
      <c r="C530" s="2" t="s">
        <v>1</v>
      </c>
      <c r="D530" s="2" t="s">
        <v>2</v>
      </c>
      <c r="E530" s="2" t="s">
        <v>63</v>
      </c>
      <c r="F530" s="3">
        <v>44914</v>
      </c>
      <c r="G530" s="4">
        <f t="shared" si="81"/>
        <v>12</v>
      </c>
      <c r="H530" s="4">
        <f t="shared" si="82"/>
        <v>2022</v>
      </c>
      <c r="I530" s="2" t="s">
        <v>4</v>
      </c>
      <c r="J530" s="2" t="s">
        <v>1065</v>
      </c>
      <c r="K530" s="2" t="s">
        <v>65</v>
      </c>
      <c r="L530" s="2" t="s">
        <v>66</v>
      </c>
      <c r="M530" s="2" t="s">
        <v>67</v>
      </c>
      <c r="N530" s="4" t="str">
        <f t="shared" si="83"/>
        <v>GAL</v>
      </c>
      <c r="O530" s="5">
        <v>30</v>
      </c>
      <c r="Q530" t="str">
        <f t="shared" si="84"/>
        <v>USC8FE30</v>
      </c>
      <c r="R530" t="str">
        <f t="shared" si="85"/>
        <v>8 Iron</v>
      </c>
      <c r="S530" s="32">
        <f t="shared" si="86"/>
        <v>185</v>
      </c>
      <c r="U530" t="s">
        <v>66</v>
      </c>
      <c r="V530" s="32">
        <v>185</v>
      </c>
    </row>
    <row r="531" spans="2:22" x14ac:dyDescent="0.25">
      <c r="B531" s="1" t="s">
        <v>0</v>
      </c>
      <c r="C531" s="2" t="s">
        <v>1</v>
      </c>
      <c r="D531" s="2" t="s">
        <v>2</v>
      </c>
      <c r="E531" s="2" t="s">
        <v>63</v>
      </c>
      <c r="F531" s="3">
        <v>44914</v>
      </c>
      <c r="G531" s="4">
        <f t="shared" si="81"/>
        <v>12</v>
      </c>
      <c r="H531" s="4">
        <f t="shared" si="82"/>
        <v>2022</v>
      </c>
      <c r="I531" s="2" t="s">
        <v>4</v>
      </c>
      <c r="J531" s="2" t="s">
        <v>1065</v>
      </c>
      <c r="K531" s="2" t="s">
        <v>68</v>
      </c>
      <c r="L531" s="2" t="s">
        <v>34</v>
      </c>
      <c r="M531" s="2" t="s">
        <v>35</v>
      </c>
      <c r="N531" s="4" t="str">
        <f t="shared" si="83"/>
        <v>GAL</v>
      </c>
      <c r="O531" s="5">
        <v>30</v>
      </c>
      <c r="Q531" t="str">
        <f t="shared" si="84"/>
        <v>ZON1501030</v>
      </c>
      <c r="R531" t="str">
        <f t="shared" si="85"/>
        <v>Ever-Green 15-0-10</v>
      </c>
      <c r="S531" s="32">
        <f t="shared" si="86"/>
        <v>140</v>
      </c>
      <c r="U531" t="s">
        <v>34</v>
      </c>
      <c r="V531" s="32">
        <v>140</v>
      </c>
    </row>
    <row r="532" spans="2:22" x14ac:dyDescent="0.25">
      <c r="B532" s="1" t="s">
        <v>0</v>
      </c>
      <c r="C532" s="2" t="s">
        <v>1</v>
      </c>
      <c r="D532" s="2" t="s">
        <v>2</v>
      </c>
      <c r="E532" s="2" t="s">
        <v>63</v>
      </c>
      <c r="F532" s="3">
        <v>44914</v>
      </c>
      <c r="G532" s="4">
        <f t="shared" si="81"/>
        <v>12</v>
      </c>
      <c r="H532" s="4">
        <f t="shared" si="82"/>
        <v>2022</v>
      </c>
      <c r="I532" s="2" t="s">
        <v>4</v>
      </c>
      <c r="J532" s="2" t="s">
        <v>1065</v>
      </c>
      <c r="K532" s="2" t="s">
        <v>69</v>
      </c>
      <c r="L532" s="2" t="s">
        <v>20</v>
      </c>
      <c r="M532" s="2" t="s">
        <v>21</v>
      </c>
      <c r="N532" s="4" t="str">
        <f t="shared" si="83"/>
        <v>GAL</v>
      </c>
      <c r="O532" s="5">
        <v>30</v>
      </c>
      <c r="Q532" t="str">
        <f t="shared" si="84"/>
        <v>FLOKTS30</v>
      </c>
      <c r="R532" t="str">
        <f t="shared" si="85"/>
        <v>Excel 0-0-25</v>
      </c>
      <c r="S532" s="32">
        <f t="shared" si="86"/>
        <v>690</v>
      </c>
      <c r="U532" t="s">
        <v>20</v>
      </c>
      <c r="V532" s="32">
        <v>690</v>
      </c>
    </row>
    <row r="533" spans="2:22" x14ac:dyDescent="0.25">
      <c r="B533" s="1" t="s">
        <v>0</v>
      </c>
      <c r="C533" s="2" t="s">
        <v>1</v>
      </c>
      <c r="D533" s="2" t="s">
        <v>2</v>
      </c>
      <c r="E533" s="2" t="s">
        <v>63</v>
      </c>
      <c r="F533" s="3">
        <v>44914</v>
      </c>
      <c r="G533" s="4">
        <f t="shared" si="81"/>
        <v>12</v>
      </c>
      <c r="H533" s="4">
        <f t="shared" si="82"/>
        <v>2022</v>
      </c>
      <c r="I533" s="2" t="s">
        <v>4</v>
      </c>
      <c r="J533" s="2" t="s">
        <v>1065</v>
      </c>
      <c r="K533" s="2" t="s">
        <v>70</v>
      </c>
      <c r="L533" s="2" t="s">
        <v>48</v>
      </c>
      <c r="M533" s="2" t="s">
        <v>49</v>
      </c>
      <c r="N533" s="4" t="str">
        <f t="shared" si="83"/>
        <v>GAL</v>
      </c>
      <c r="O533" s="5">
        <v>30</v>
      </c>
      <c r="Q533" t="str">
        <f t="shared" si="84"/>
        <v>GROMG630</v>
      </c>
      <c r="R533" t="str">
        <f t="shared" si="85"/>
        <v>Mega Mix Mg</v>
      </c>
      <c r="S533" s="32">
        <f t="shared" si="86"/>
        <v>150</v>
      </c>
      <c r="U533" t="s">
        <v>48</v>
      </c>
      <c r="V533" s="32">
        <v>150</v>
      </c>
    </row>
    <row r="534" spans="2:22" x14ac:dyDescent="0.25">
      <c r="B534" s="1" t="s">
        <v>0</v>
      </c>
      <c r="C534" s="2" t="s">
        <v>1</v>
      </c>
      <c r="D534" s="2" t="s">
        <v>2</v>
      </c>
      <c r="E534" s="2" t="s">
        <v>63</v>
      </c>
      <c r="F534" s="3">
        <v>44914</v>
      </c>
      <c r="G534" s="4">
        <f t="shared" si="81"/>
        <v>12</v>
      </c>
      <c r="H534" s="4">
        <f t="shared" si="82"/>
        <v>2022</v>
      </c>
      <c r="I534" s="2" t="s">
        <v>4</v>
      </c>
      <c r="J534" s="2" t="s">
        <v>1065</v>
      </c>
      <c r="K534" s="2" t="s">
        <v>71</v>
      </c>
      <c r="L534" s="2" t="s">
        <v>72</v>
      </c>
      <c r="M534" s="2" t="s">
        <v>73</v>
      </c>
      <c r="N534" s="4" t="str">
        <f t="shared" si="83"/>
        <v>GAL</v>
      </c>
      <c r="O534" s="5">
        <v>30</v>
      </c>
      <c r="Q534" t="str">
        <f t="shared" si="84"/>
        <v>GROMN30</v>
      </c>
      <c r="R534" t="str">
        <f t="shared" si="85"/>
        <v>Mega Mix Mn</v>
      </c>
      <c r="S534" s="32">
        <f t="shared" si="86"/>
        <v>110</v>
      </c>
      <c r="U534" t="s">
        <v>72</v>
      </c>
      <c r="V534" s="32">
        <v>110</v>
      </c>
    </row>
    <row r="535" spans="2:22" x14ac:dyDescent="0.25">
      <c r="B535" s="1" t="s">
        <v>0</v>
      </c>
      <c r="C535" s="2" t="s">
        <v>1</v>
      </c>
      <c r="D535" s="2" t="s">
        <v>2</v>
      </c>
      <c r="E535" s="2" t="s">
        <v>63</v>
      </c>
      <c r="F535" s="3">
        <v>44914</v>
      </c>
      <c r="G535" s="4">
        <f t="shared" si="81"/>
        <v>12</v>
      </c>
      <c r="H535" s="4">
        <f t="shared" si="82"/>
        <v>2022</v>
      </c>
      <c r="I535" s="2" t="s">
        <v>4</v>
      </c>
      <c r="J535" s="2" t="s">
        <v>1065</v>
      </c>
      <c r="K535" s="2" t="s">
        <v>74</v>
      </c>
      <c r="L535" s="2" t="s">
        <v>75</v>
      </c>
      <c r="M535" s="2" t="s">
        <v>76</v>
      </c>
      <c r="N535" s="4" t="str">
        <f t="shared" si="83"/>
        <v>GAL</v>
      </c>
      <c r="O535" s="5">
        <v>30</v>
      </c>
      <c r="Q535" t="str">
        <f t="shared" si="84"/>
        <v>USCMICRO+30</v>
      </c>
      <c r="R535" t="str">
        <f t="shared" si="85"/>
        <v>Micro Plus</v>
      </c>
      <c r="S535" s="32">
        <f t="shared" si="86"/>
        <v>70</v>
      </c>
      <c r="U535" t="s">
        <v>75</v>
      </c>
      <c r="V535" s="32">
        <v>70</v>
      </c>
    </row>
    <row r="536" spans="2:22" x14ac:dyDescent="0.25">
      <c r="B536" s="1" t="s">
        <v>0</v>
      </c>
      <c r="C536" s="2" t="s">
        <v>1</v>
      </c>
      <c r="D536" s="2" t="s">
        <v>2</v>
      </c>
      <c r="E536" s="2" t="s">
        <v>63</v>
      </c>
      <c r="F536" s="3">
        <v>44914</v>
      </c>
      <c r="G536" s="4">
        <f t="shared" si="81"/>
        <v>12</v>
      </c>
      <c r="H536" s="4">
        <f t="shared" si="82"/>
        <v>2022</v>
      </c>
      <c r="I536" s="2" t="s">
        <v>4</v>
      </c>
      <c r="J536" s="2" t="s">
        <v>1065</v>
      </c>
      <c r="K536" s="2" t="s">
        <v>77</v>
      </c>
      <c r="L536" s="2" t="s">
        <v>7</v>
      </c>
      <c r="M536" s="2" t="s">
        <v>8</v>
      </c>
      <c r="N536" s="4" t="str">
        <f t="shared" si="83"/>
        <v>GAL</v>
      </c>
      <c r="O536" s="5">
        <v>30</v>
      </c>
      <c r="Q536" t="str">
        <f t="shared" si="84"/>
        <v>USCMANPLX+30</v>
      </c>
      <c r="R536" t="str">
        <f t="shared" si="85"/>
        <v>Vented Manga Plex Plus</v>
      </c>
      <c r="S536" s="32">
        <f t="shared" si="86"/>
        <v>1060</v>
      </c>
      <c r="U536" t="s">
        <v>7</v>
      </c>
      <c r="V536" s="32">
        <v>1060</v>
      </c>
    </row>
    <row r="537" spans="2:22" x14ac:dyDescent="0.25">
      <c r="B537" s="1" t="s">
        <v>0</v>
      </c>
      <c r="C537" s="2" t="s">
        <v>1</v>
      </c>
      <c r="D537" s="2" t="s">
        <v>2</v>
      </c>
      <c r="E537" s="2" t="s">
        <v>3</v>
      </c>
      <c r="F537" s="3">
        <v>44914</v>
      </c>
      <c r="G537" s="4">
        <f t="shared" si="81"/>
        <v>12</v>
      </c>
      <c r="H537" s="4">
        <f t="shared" si="82"/>
        <v>2022</v>
      </c>
      <c r="I537" s="2" t="s">
        <v>4</v>
      </c>
      <c r="J537" s="2" t="s">
        <v>1066</v>
      </c>
      <c r="K537" s="2" t="s">
        <v>566</v>
      </c>
      <c r="L537" s="2" t="s">
        <v>20</v>
      </c>
      <c r="M537" s="2" t="s">
        <v>21</v>
      </c>
      <c r="N537" s="4" t="str">
        <f t="shared" si="83"/>
        <v>GAL</v>
      </c>
      <c r="O537" s="5">
        <v>55</v>
      </c>
      <c r="Q537" t="str">
        <f t="shared" si="84"/>
        <v>FLOKTS55</v>
      </c>
      <c r="R537" t="str">
        <f t="shared" si="85"/>
        <v>Excel 0-0-25</v>
      </c>
      <c r="S537" s="32">
        <f t="shared" si="86"/>
        <v>690</v>
      </c>
      <c r="U537" t="s">
        <v>20</v>
      </c>
      <c r="V537" s="32">
        <v>690</v>
      </c>
    </row>
    <row r="538" spans="2:22" x14ac:dyDescent="0.25">
      <c r="B538" s="1" t="s">
        <v>0</v>
      </c>
      <c r="C538" s="2" t="s">
        <v>1</v>
      </c>
      <c r="D538" s="2" t="s">
        <v>2</v>
      </c>
      <c r="E538" s="2" t="s">
        <v>1067</v>
      </c>
      <c r="F538" s="3">
        <v>44914</v>
      </c>
      <c r="G538" s="4">
        <f t="shared" si="81"/>
        <v>12</v>
      </c>
      <c r="H538" s="4">
        <f t="shared" si="82"/>
        <v>2022</v>
      </c>
      <c r="I538" s="2" t="s">
        <v>4</v>
      </c>
      <c r="J538" s="2" t="s">
        <v>1068</v>
      </c>
      <c r="K538" s="2" t="s">
        <v>574</v>
      </c>
      <c r="L538" s="2" t="s">
        <v>66</v>
      </c>
      <c r="M538" s="2" t="s">
        <v>67</v>
      </c>
      <c r="N538" s="4" t="str">
        <f t="shared" si="83"/>
        <v>GAL</v>
      </c>
      <c r="O538" s="5">
        <v>5</v>
      </c>
      <c r="Q538" t="str">
        <f t="shared" si="84"/>
        <v>USC8FE02</v>
      </c>
      <c r="R538" t="str">
        <f t="shared" si="85"/>
        <v>8 Iron</v>
      </c>
      <c r="S538" s="32">
        <f t="shared" si="86"/>
        <v>185</v>
      </c>
      <c r="U538" t="s">
        <v>66</v>
      </c>
      <c r="V538" s="32">
        <v>185</v>
      </c>
    </row>
    <row r="539" spans="2:22" x14ac:dyDescent="0.25">
      <c r="B539" s="1" t="s">
        <v>0</v>
      </c>
      <c r="C539" s="2" t="s">
        <v>1</v>
      </c>
      <c r="D539" s="2" t="s">
        <v>2</v>
      </c>
      <c r="E539" s="2" t="s">
        <v>1067</v>
      </c>
      <c r="F539" s="3">
        <v>44914</v>
      </c>
      <c r="G539" s="4">
        <f t="shared" si="81"/>
        <v>12</v>
      </c>
      <c r="H539" s="4">
        <f t="shared" si="82"/>
        <v>2022</v>
      </c>
      <c r="I539" s="2" t="s">
        <v>4</v>
      </c>
      <c r="J539" s="2" t="s">
        <v>1068</v>
      </c>
      <c r="K539" s="2" t="s">
        <v>19</v>
      </c>
      <c r="L539" s="2" t="s">
        <v>20</v>
      </c>
      <c r="M539" s="2" t="s">
        <v>21</v>
      </c>
      <c r="N539" s="4" t="str">
        <f t="shared" si="83"/>
        <v>GAL</v>
      </c>
      <c r="O539" s="5">
        <v>10</v>
      </c>
      <c r="Q539" t="str">
        <f t="shared" si="84"/>
        <v>FLOKTS02</v>
      </c>
      <c r="R539" t="str">
        <f t="shared" si="85"/>
        <v>Excel 0-0-25</v>
      </c>
      <c r="S539" s="32">
        <f t="shared" si="86"/>
        <v>690</v>
      </c>
      <c r="U539" t="s">
        <v>20</v>
      </c>
      <c r="V539" s="32">
        <v>690</v>
      </c>
    </row>
    <row r="540" spans="2:22" x14ac:dyDescent="0.25">
      <c r="B540" s="1" t="s">
        <v>0</v>
      </c>
      <c r="C540" s="2" t="s">
        <v>1</v>
      </c>
      <c r="D540" s="2" t="s">
        <v>2</v>
      </c>
      <c r="E540" s="2" t="s">
        <v>1067</v>
      </c>
      <c r="F540" s="3">
        <v>44914</v>
      </c>
      <c r="G540" s="4">
        <f t="shared" si="81"/>
        <v>12</v>
      </c>
      <c r="H540" s="4">
        <f t="shared" si="82"/>
        <v>2022</v>
      </c>
      <c r="I540" s="2" t="s">
        <v>4</v>
      </c>
      <c r="J540" s="2" t="s">
        <v>1068</v>
      </c>
      <c r="K540" s="2" t="s">
        <v>1069</v>
      </c>
      <c r="L540" s="2" t="s">
        <v>1070</v>
      </c>
      <c r="M540" s="2" t="s">
        <v>1071</v>
      </c>
      <c r="N540" s="4" t="str">
        <f t="shared" si="83"/>
        <v>GAL</v>
      </c>
      <c r="O540" s="5">
        <v>5</v>
      </c>
      <c r="Q540" t="str">
        <f t="shared" si="84"/>
        <v>FLO164802</v>
      </c>
      <c r="R540" t="str">
        <f t="shared" si="85"/>
        <v>Instant Green +</v>
      </c>
      <c r="S540" s="32">
        <f t="shared" si="86"/>
        <v>5</v>
      </c>
      <c r="U540" t="s">
        <v>1070</v>
      </c>
      <c r="V540" s="32">
        <v>5</v>
      </c>
    </row>
    <row r="541" spans="2:22" x14ac:dyDescent="0.25">
      <c r="B541" s="1" t="s">
        <v>0</v>
      </c>
      <c r="C541" s="2" t="s">
        <v>1</v>
      </c>
      <c r="D541" s="2" t="s">
        <v>2</v>
      </c>
      <c r="E541" s="2" t="s">
        <v>1067</v>
      </c>
      <c r="F541" s="3">
        <v>44914</v>
      </c>
      <c r="G541" s="4">
        <f t="shared" si="81"/>
        <v>12</v>
      </c>
      <c r="H541" s="4">
        <f t="shared" si="82"/>
        <v>2022</v>
      </c>
      <c r="I541" s="2" t="s">
        <v>4</v>
      </c>
      <c r="J541" s="2" t="s">
        <v>1068</v>
      </c>
      <c r="K541" s="2" t="s">
        <v>1072</v>
      </c>
      <c r="L541" s="2" t="s">
        <v>75</v>
      </c>
      <c r="M541" s="2" t="s">
        <v>76</v>
      </c>
      <c r="N541" s="4" t="str">
        <f t="shared" si="83"/>
        <v>GAL</v>
      </c>
      <c r="O541" s="5">
        <v>10</v>
      </c>
      <c r="Q541" t="str">
        <f t="shared" si="84"/>
        <v>USCMICRO+02</v>
      </c>
      <c r="R541" t="str">
        <f t="shared" si="85"/>
        <v>Micro Plus</v>
      </c>
      <c r="S541" s="32">
        <f t="shared" si="86"/>
        <v>70</v>
      </c>
      <c r="U541" t="s">
        <v>75</v>
      </c>
      <c r="V541" s="32">
        <v>70</v>
      </c>
    </row>
    <row r="542" spans="2:22" x14ac:dyDescent="0.25">
      <c r="B542" s="1" t="s">
        <v>0</v>
      </c>
      <c r="C542" s="2" t="s">
        <v>1</v>
      </c>
      <c r="D542" s="2" t="s">
        <v>2</v>
      </c>
      <c r="E542" s="2" t="s">
        <v>1067</v>
      </c>
      <c r="F542" s="3">
        <v>44914</v>
      </c>
      <c r="G542" s="4">
        <f t="shared" si="81"/>
        <v>12</v>
      </c>
      <c r="H542" s="4">
        <f t="shared" si="82"/>
        <v>2022</v>
      </c>
      <c r="I542" s="2" t="s">
        <v>4</v>
      </c>
      <c r="J542" s="2" t="s">
        <v>1068</v>
      </c>
      <c r="K542" s="2" t="s">
        <v>25</v>
      </c>
      <c r="L542" s="2" t="s">
        <v>26</v>
      </c>
      <c r="M542" s="2" t="s">
        <v>27</v>
      </c>
      <c r="N542" s="4" t="str">
        <f t="shared" si="83"/>
        <v>GAL</v>
      </c>
      <c r="O542" s="5">
        <v>10</v>
      </c>
      <c r="Q542" t="str">
        <f t="shared" si="84"/>
        <v>GOLDCA02</v>
      </c>
      <c r="R542" t="str">
        <f t="shared" si="85"/>
        <v>Neutra Soil</v>
      </c>
      <c r="S542" s="32">
        <f t="shared" si="86"/>
        <v>470</v>
      </c>
      <c r="U542" t="s">
        <v>26</v>
      </c>
      <c r="V542" s="32">
        <v>470</v>
      </c>
    </row>
    <row r="543" spans="2:22" x14ac:dyDescent="0.25">
      <c r="B543" s="1" t="s">
        <v>0</v>
      </c>
      <c r="C543" s="2" t="s">
        <v>1</v>
      </c>
      <c r="D543" s="2" t="s">
        <v>2</v>
      </c>
      <c r="E543" s="2" t="s">
        <v>78</v>
      </c>
      <c r="F543" s="3">
        <v>44916</v>
      </c>
      <c r="G543" s="4">
        <f t="shared" si="81"/>
        <v>12</v>
      </c>
      <c r="H543" s="4">
        <f t="shared" si="82"/>
        <v>2022</v>
      </c>
      <c r="I543" s="2" t="s">
        <v>4</v>
      </c>
      <c r="J543" s="2" t="s">
        <v>1073</v>
      </c>
      <c r="K543" s="2" t="s">
        <v>22</v>
      </c>
      <c r="L543" s="2" t="s">
        <v>23</v>
      </c>
      <c r="M543" s="2" t="s">
        <v>24</v>
      </c>
      <c r="N543" s="4" t="str">
        <f t="shared" si="83"/>
        <v>GAL</v>
      </c>
      <c r="O543" s="5">
        <v>60</v>
      </c>
      <c r="Q543" t="str">
        <f t="shared" si="84"/>
        <v>GPHUMIC02</v>
      </c>
      <c r="R543" t="str">
        <f t="shared" si="85"/>
        <v>Humic Soil Rebuilder</v>
      </c>
      <c r="S543" s="32">
        <f t="shared" si="86"/>
        <v>180</v>
      </c>
      <c r="U543" t="s">
        <v>23</v>
      </c>
      <c r="V543" s="32">
        <v>180</v>
      </c>
    </row>
    <row r="544" spans="2:22" x14ac:dyDescent="0.25">
      <c r="B544" s="1" t="s">
        <v>0</v>
      </c>
      <c r="C544" s="2" t="s">
        <v>1</v>
      </c>
      <c r="D544" s="2" t="s">
        <v>2</v>
      </c>
      <c r="E544" s="2" t="s">
        <v>78</v>
      </c>
      <c r="F544" s="3">
        <v>44916</v>
      </c>
      <c r="G544" s="4">
        <f t="shared" si="81"/>
        <v>12</v>
      </c>
      <c r="H544" s="4">
        <f t="shared" si="82"/>
        <v>2022</v>
      </c>
      <c r="I544" s="2" t="s">
        <v>4</v>
      </c>
      <c r="J544" s="2" t="s">
        <v>1073</v>
      </c>
      <c r="K544" s="2" t="s">
        <v>36</v>
      </c>
      <c r="L544" s="2" t="s">
        <v>37</v>
      </c>
      <c r="M544" s="2" t="s">
        <v>38</v>
      </c>
      <c r="N544" s="4" t="str">
        <f t="shared" si="83"/>
        <v>GAL</v>
      </c>
      <c r="O544" s="5">
        <v>60</v>
      </c>
      <c r="Q544" t="str">
        <f t="shared" si="84"/>
        <v>FLO3181802</v>
      </c>
      <c r="R544" t="str">
        <f t="shared" si="85"/>
        <v>Mega Feed 3-18-18</v>
      </c>
      <c r="S544" s="32">
        <f t="shared" si="86"/>
        <v>260</v>
      </c>
      <c r="U544" t="s">
        <v>37</v>
      </c>
      <c r="V544" s="32">
        <v>260</v>
      </c>
    </row>
    <row r="545" spans="2:22" x14ac:dyDescent="0.25">
      <c r="B545" s="1" t="s">
        <v>0</v>
      </c>
      <c r="C545" s="2" t="s">
        <v>1</v>
      </c>
      <c r="D545" s="2" t="s">
        <v>2</v>
      </c>
      <c r="E545" s="2" t="s">
        <v>78</v>
      </c>
      <c r="F545" s="3">
        <v>44916</v>
      </c>
      <c r="G545" s="4">
        <f t="shared" si="81"/>
        <v>12</v>
      </c>
      <c r="H545" s="4">
        <f t="shared" si="82"/>
        <v>2022</v>
      </c>
      <c r="I545" s="2" t="s">
        <v>4</v>
      </c>
      <c r="J545" s="2" t="s">
        <v>1073</v>
      </c>
      <c r="K545" s="2" t="s">
        <v>80</v>
      </c>
      <c r="L545" s="2" t="s">
        <v>81</v>
      </c>
      <c r="M545" s="2" t="s">
        <v>82</v>
      </c>
      <c r="N545" s="4" t="str">
        <f t="shared" si="83"/>
        <v>GAL</v>
      </c>
      <c r="O545" s="5">
        <v>120</v>
      </c>
      <c r="Q545" t="str">
        <f t="shared" si="84"/>
        <v>USCMICMIX02</v>
      </c>
      <c r="R545" t="str">
        <f t="shared" si="85"/>
        <v>Micro Mix with Humic</v>
      </c>
      <c r="S545" s="32">
        <f t="shared" si="86"/>
        <v>180</v>
      </c>
      <c r="U545" t="s">
        <v>81</v>
      </c>
      <c r="V545" s="32">
        <v>180</v>
      </c>
    </row>
    <row r="546" spans="2:22" x14ac:dyDescent="0.25">
      <c r="B546" s="1" t="s">
        <v>0</v>
      </c>
      <c r="C546" s="2" t="s">
        <v>1</v>
      </c>
      <c r="D546" s="2" t="s">
        <v>2</v>
      </c>
      <c r="E546" s="2" t="s">
        <v>78</v>
      </c>
      <c r="F546" s="3">
        <v>44916</v>
      </c>
      <c r="G546" s="4">
        <f t="shared" si="81"/>
        <v>12</v>
      </c>
      <c r="H546" s="4">
        <f t="shared" si="82"/>
        <v>2022</v>
      </c>
      <c r="I546" s="2" t="s">
        <v>4</v>
      </c>
      <c r="J546" s="2" t="s">
        <v>1073</v>
      </c>
      <c r="K546" s="2" t="s">
        <v>25</v>
      </c>
      <c r="L546" s="2" t="s">
        <v>26</v>
      </c>
      <c r="M546" s="2" t="s">
        <v>27</v>
      </c>
      <c r="N546" s="4" t="str">
        <f t="shared" si="83"/>
        <v>GAL</v>
      </c>
      <c r="O546" s="5">
        <v>120</v>
      </c>
      <c r="Q546" t="str">
        <f t="shared" si="84"/>
        <v>GOLDCA02</v>
      </c>
      <c r="R546" t="str">
        <f t="shared" si="85"/>
        <v>Neutra Soil</v>
      </c>
      <c r="S546" s="32">
        <f t="shared" si="86"/>
        <v>470</v>
      </c>
      <c r="U546" t="s">
        <v>26</v>
      </c>
      <c r="V546" s="32">
        <v>470</v>
      </c>
    </row>
    <row r="547" spans="2:22" x14ac:dyDescent="0.25">
      <c r="B547" s="1" t="s">
        <v>0</v>
      </c>
      <c r="C547" s="2" t="s">
        <v>1</v>
      </c>
      <c r="D547" s="2" t="s">
        <v>2</v>
      </c>
      <c r="E547" s="2" t="s">
        <v>78</v>
      </c>
      <c r="F547" s="3">
        <v>44916</v>
      </c>
      <c r="G547" s="4">
        <f t="shared" si="81"/>
        <v>12</v>
      </c>
      <c r="H547" s="4">
        <f t="shared" si="82"/>
        <v>2022</v>
      </c>
      <c r="I547" s="2" t="s">
        <v>4</v>
      </c>
      <c r="J547" s="2" t="s">
        <v>1073</v>
      </c>
      <c r="K547" s="2" t="s">
        <v>16</v>
      </c>
      <c r="L547" s="2" t="s">
        <v>7</v>
      </c>
      <c r="M547" s="2" t="s">
        <v>8</v>
      </c>
      <c r="N547" s="4" t="str">
        <f t="shared" si="83"/>
        <v>GAL</v>
      </c>
      <c r="O547" s="5">
        <v>120</v>
      </c>
      <c r="Q547" t="str">
        <f t="shared" si="84"/>
        <v>USCMANPLX+02</v>
      </c>
      <c r="R547" t="str">
        <f t="shared" si="85"/>
        <v>Vented Manga Plex Plus</v>
      </c>
      <c r="S547" s="32">
        <f t="shared" si="86"/>
        <v>1060</v>
      </c>
      <c r="U547" t="s">
        <v>7</v>
      </c>
      <c r="V547" s="32">
        <v>1060</v>
      </c>
    </row>
    <row r="548" spans="2:22" x14ac:dyDescent="0.25">
      <c r="B548" s="1" t="s">
        <v>0</v>
      </c>
      <c r="C548" s="2" t="s">
        <v>1</v>
      </c>
      <c r="D548" s="2" t="s">
        <v>2</v>
      </c>
      <c r="E548" s="2" t="s">
        <v>3</v>
      </c>
      <c r="F548" s="3">
        <v>44916</v>
      </c>
      <c r="G548" s="4">
        <f t="shared" si="81"/>
        <v>12</v>
      </c>
      <c r="H548" s="4">
        <f t="shared" si="82"/>
        <v>2022</v>
      </c>
      <c r="I548" s="2" t="s">
        <v>4</v>
      </c>
      <c r="J548" s="2" t="s">
        <v>1074</v>
      </c>
      <c r="K548" s="2" t="s">
        <v>6</v>
      </c>
      <c r="L548" s="2" t="s">
        <v>7</v>
      </c>
      <c r="M548" s="2" t="s">
        <v>8</v>
      </c>
      <c r="N548" s="4" t="str">
        <f t="shared" si="83"/>
        <v>GAL</v>
      </c>
      <c r="O548" s="5">
        <v>55</v>
      </c>
      <c r="Q548" t="str">
        <f t="shared" si="84"/>
        <v>USCMANPLX+55</v>
      </c>
      <c r="R548" t="str">
        <f t="shared" si="85"/>
        <v>Vented Manga Plex Plus</v>
      </c>
      <c r="S548" s="32">
        <f t="shared" si="86"/>
        <v>1060</v>
      </c>
      <c r="U548" t="s">
        <v>7</v>
      </c>
      <c r="V548" s="32">
        <v>1060</v>
      </c>
    </row>
    <row r="549" spans="2:22" x14ac:dyDescent="0.25">
      <c r="B549" s="1" t="s">
        <v>0</v>
      </c>
      <c r="C549" s="2" t="s">
        <v>1</v>
      </c>
      <c r="D549" s="2" t="s">
        <v>2</v>
      </c>
      <c r="E549" s="2" t="s">
        <v>86</v>
      </c>
      <c r="F549" s="3">
        <v>44917</v>
      </c>
      <c r="G549" s="4">
        <f t="shared" si="81"/>
        <v>12</v>
      </c>
      <c r="H549" s="4">
        <f t="shared" si="82"/>
        <v>2022</v>
      </c>
      <c r="I549" s="2" t="s">
        <v>4</v>
      </c>
      <c r="J549" s="2" t="s">
        <v>1075</v>
      </c>
      <c r="K549" s="2" t="s">
        <v>11</v>
      </c>
      <c r="L549" s="2" t="s">
        <v>12</v>
      </c>
      <c r="M549" s="2" t="s">
        <v>13</v>
      </c>
      <c r="N549" s="4" t="str">
        <f t="shared" si="83"/>
        <v>GAL</v>
      </c>
      <c r="O549" s="5">
        <v>110</v>
      </c>
      <c r="Q549" t="str">
        <f t="shared" si="84"/>
        <v>FLO1200655</v>
      </c>
      <c r="R549" t="str">
        <f t="shared" si="85"/>
        <v>Green Master 12-0-0</v>
      </c>
      <c r="S549" s="32">
        <f t="shared" si="86"/>
        <v>440</v>
      </c>
      <c r="U549" t="s">
        <v>12</v>
      </c>
      <c r="V549" s="32">
        <v>440</v>
      </c>
    </row>
    <row r="550" spans="2:22" x14ac:dyDescent="0.25">
      <c r="B550" s="1" t="s">
        <v>0</v>
      </c>
      <c r="C550" s="2" t="s">
        <v>1</v>
      </c>
      <c r="D550" s="2" t="s">
        <v>2</v>
      </c>
      <c r="E550" s="2" t="s">
        <v>61</v>
      </c>
      <c r="F550" s="3">
        <v>44922</v>
      </c>
      <c r="G550" s="4">
        <f t="shared" si="81"/>
        <v>12</v>
      </c>
      <c r="H550" s="4">
        <f t="shared" si="82"/>
        <v>2022</v>
      </c>
      <c r="I550" s="2" t="s">
        <v>4</v>
      </c>
      <c r="J550" s="2" t="s">
        <v>1076</v>
      </c>
      <c r="K550" s="2" t="s">
        <v>19</v>
      </c>
      <c r="L550" s="2" t="s">
        <v>20</v>
      </c>
      <c r="M550" s="2" t="s">
        <v>21</v>
      </c>
      <c r="N550" s="4" t="str">
        <f t="shared" si="83"/>
        <v>GAL</v>
      </c>
      <c r="O550" s="5">
        <v>25</v>
      </c>
      <c r="Q550" t="str">
        <f t="shared" si="84"/>
        <v>FLOKTS02</v>
      </c>
      <c r="R550" t="str">
        <f t="shared" si="85"/>
        <v>Excel 0-0-25</v>
      </c>
      <c r="S550" s="32">
        <f t="shared" si="86"/>
        <v>690</v>
      </c>
      <c r="U550" t="s">
        <v>20</v>
      </c>
      <c r="V550" s="32">
        <v>690</v>
      </c>
    </row>
    <row r="551" spans="2:22" x14ac:dyDescent="0.25">
      <c r="B551" s="1" t="s">
        <v>0</v>
      </c>
      <c r="C551" s="2" t="s">
        <v>1</v>
      </c>
      <c r="D551" s="2" t="s">
        <v>2</v>
      </c>
      <c r="E551" s="2" t="s">
        <v>61</v>
      </c>
      <c r="F551" s="3">
        <v>44922</v>
      </c>
      <c r="G551" s="4">
        <f t="shared" si="81"/>
        <v>12</v>
      </c>
      <c r="H551" s="4">
        <f t="shared" si="82"/>
        <v>2022</v>
      </c>
      <c r="I551" s="2" t="s">
        <v>4</v>
      </c>
      <c r="J551" s="2" t="s">
        <v>1076</v>
      </c>
      <c r="K551" s="2" t="s">
        <v>25</v>
      </c>
      <c r="L551" s="2" t="s">
        <v>26</v>
      </c>
      <c r="M551" s="2" t="s">
        <v>27</v>
      </c>
      <c r="N551" s="4" t="str">
        <f t="shared" si="83"/>
        <v>GAL</v>
      </c>
      <c r="O551" s="5">
        <v>50</v>
      </c>
      <c r="Q551" t="str">
        <f t="shared" si="84"/>
        <v>GOLDCA02</v>
      </c>
      <c r="R551" t="str">
        <f t="shared" si="85"/>
        <v>Neutra Soil</v>
      </c>
      <c r="S551" s="32">
        <f t="shared" si="86"/>
        <v>470</v>
      </c>
      <c r="U551" t="s">
        <v>26</v>
      </c>
      <c r="V551" s="32">
        <v>470</v>
      </c>
    </row>
    <row r="552" spans="2:22" x14ac:dyDescent="0.25">
      <c r="B552" s="1" t="s">
        <v>0</v>
      </c>
      <c r="C552" s="2" t="s">
        <v>1</v>
      </c>
      <c r="D552" s="2" t="s">
        <v>2</v>
      </c>
      <c r="E552" s="2" t="s">
        <v>61</v>
      </c>
      <c r="F552" s="3">
        <v>44922</v>
      </c>
      <c r="G552" s="4">
        <f t="shared" si="81"/>
        <v>12</v>
      </c>
      <c r="H552" s="4">
        <f t="shared" si="82"/>
        <v>2022</v>
      </c>
      <c r="I552" s="2" t="s">
        <v>4</v>
      </c>
      <c r="J552" s="2" t="s">
        <v>1076</v>
      </c>
      <c r="K552" s="2" t="s">
        <v>28</v>
      </c>
      <c r="L552" s="2" t="s">
        <v>29</v>
      </c>
      <c r="M552" s="2" t="s">
        <v>30</v>
      </c>
      <c r="N552" s="4" t="str">
        <f t="shared" si="83"/>
        <v>GAL</v>
      </c>
      <c r="O552" s="5">
        <v>25</v>
      </c>
      <c r="Q552" t="str">
        <f t="shared" si="84"/>
        <v>USCBIOPX02</v>
      </c>
      <c r="R552" t="str">
        <f t="shared" si="85"/>
        <v>Vented Bio Plex</v>
      </c>
      <c r="S552" s="32">
        <f t="shared" si="86"/>
        <v>510</v>
      </c>
      <c r="U552" t="s">
        <v>29</v>
      </c>
      <c r="V552" s="32">
        <v>510</v>
      </c>
    </row>
    <row r="553" spans="2:22" x14ac:dyDescent="0.25">
      <c r="B553" s="1" t="s">
        <v>0</v>
      </c>
      <c r="C553" s="2" t="s">
        <v>1</v>
      </c>
      <c r="D553" s="2" t="s">
        <v>2</v>
      </c>
      <c r="E553" s="2" t="s">
        <v>61</v>
      </c>
      <c r="F553" s="3">
        <v>44922</v>
      </c>
      <c r="G553" s="4">
        <f t="shared" si="81"/>
        <v>12</v>
      </c>
      <c r="H553" s="4">
        <f t="shared" si="82"/>
        <v>2022</v>
      </c>
      <c r="I553" s="2" t="s">
        <v>4</v>
      </c>
      <c r="J553" s="2" t="s">
        <v>1076</v>
      </c>
      <c r="K553" s="2" t="s">
        <v>16</v>
      </c>
      <c r="L553" s="2" t="s">
        <v>7</v>
      </c>
      <c r="M553" s="2" t="s">
        <v>8</v>
      </c>
      <c r="N553" s="4" t="str">
        <f t="shared" si="83"/>
        <v>GAL</v>
      </c>
      <c r="O553" s="5">
        <v>50</v>
      </c>
      <c r="Q553" t="str">
        <f t="shared" si="84"/>
        <v>USCMANPLX+02</v>
      </c>
      <c r="R553" t="str">
        <f t="shared" si="85"/>
        <v>Vented Manga Plex Plus</v>
      </c>
      <c r="S553" s="32">
        <f t="shared" si="86"/>
        <v>1060</v>
      </c>
      <c r="U553" t="s">
        <v>7</v>
      </c>
      <c r="V553" s="32">
        <v>1060</v>
      </c>
    </row>
    <row r="554" spans="2:22" x14ac:dyDescent="0.25">
      <c r="B554" s="1" t="s">
        <v>88</v>
      </c>
      <c r="C554" s="2" t="s">
        <v>89</v>
      </c>
      <c r="D554" s="2" t="s">
        <v>107</v>
      </c>
      <c r="E554" s="2" t="s">
        <v>108</v>
      </c>
      <c r="F554" s="3">
        <v>44924</v>
      </c>
      <c r="G554" s="4">
        <f t="shared" si="81"/>
        <v>12</v>
      </c>
      <c r="H554" s="4">
        <f t="shared" si="82"/>
        <v>2022</v>
      </c>
      <c r="I554" s="2" t="s">
        <v>4</v>
      </c>
      <c r="J554" s="2" t="s">
        <v>1077</v>
      </c>
      <c r="K554" s="2" t="s">
        <v>1078</v>
      </c>
      <c r="L554" s="2" t="s">
        <v>1079</v>
      </c>
      <c r="M554" s="2" t="s">
        <v>1080</v>
      </c>
      <c r="N554" s="4" t="str">
        <f t="shared" si="83"/>
        <v>GAL</v>
      </c>
      <c r="O554" s="5">
        <v>890.92</v>
      </c>
      <c r="Q554" t="str">
        <f t="shared" si="84"/>
        <v>MISCAGTHR</v>
      </c>
      <c r="R554" t="str">
        <f t="shared" si="85"/>
        <v>Agro Thrive LFK 3-3-5 Consignment</v>
      </c>
      <c r="S554" s="32">
        <f t="shared" si="86"/>
        <v>3927.92</v>
      </c>
      <c r="U554" t="s">
        <v>1079</v>
      </c>
      <c r="V554" s="32">
        <v>3927.92</v>
      </c>
    </row>
    <row r="555" spans="2:22" x14ac:dyDescent="0.25">
      <c r="B555" s="1" t="s">
        <v>88</v>
      </c>
      <c r="C555" s="2" t="s">
        <v>89</v>
      </c>
      <c r="D555" s="2" t="s">
        <v>151</v>
      </c>
      <c r="E555" s="2" t="s">
        <v>152</v>
      </c>
      <c r="F555" s="3">
        <v>44896</v>
      </c>
      <c r="G555" s="4">
        <f t="shared" si="81"/>
        <v>12</v>
      </c>
      <c r="H555" s="4">
        <f t="shared" si="82"/>
        <v>2022</v>
      </c>
      <c r="I555" s="2" t="s">
        <v>4</v>
      </c>
      <c r="J555" s="2" t="s">
        <v>1081</v>
      </c>
      <c r="K555" s="2" t="s">
        <v>104</v>
      </c>
      <c r="L555" s="2" t="s">
        <v>105</v>
      </c>
      <c r="M555" s="2" t="s">
        <v>106</v>
      </c>
      <c r="N555" s="4" t="str">
        <f t="shared" si="83"/>
        <v>LBS</v>
      </c>
      <c r="O555" s="5">
        <v>8000</v>
      </c>
      <c r="Q555" t="str">
        <f t="shared" si="84"/>
        <v>NPKKOHDRY</v>
      </c>
      <c r="R555" t="str">
        <f t="shared" si="85"/>
        <v>Potassium Hydroxide KOH Dry 90%</v>
      </c>
      <c r="S555" s="32">
        <f t="shared" si="86"/>
        <v>16500</v>
      </c>
      <c r="U555" t="s">
        <v>105</v>
      </c>
      <c r="V555" s="32">
        <v>16500</v>
      </c>
    </row>
    <row r="556" spans="2:22" x14ac:dyDescent="0.25">
      <c r="B556" s="1" t="s">
        <v>88</v>
      </c>
      <c r="C556" s="2" t="s">
        <v>89</v>
      </c>
      <c r="D556" s="2" t="s">
        <v>1082</v>
      </c>
      <c r="E556" s="2" t="s">
        <v>1083</v>
      </c>
      <c r="F556" s="3">
        <v>44903</v>
      </c>
      <c r="G556" s="4">
        <f t="shared" si="81"/>
        <v>12</v>
      </c>
      <c r="H556" s="4">
        <f t="shared" si="82"/>
        <v>2022</v>
      </c>
      <c r="I556" s="2" t="s">
        <v>4</v>
      </c>
      <c r="J556" s="2" t="s">
        <v>1084</v>
      </c>
      <c r="K556" s="2" t="s">
        <v>1085</v>
      </c>
      <c r="L556" s="2" t="s">
        <v>999</v>
      </c>
      <c r="M556" s="2" t="s">
        <v>1000</v>
      </c>
      <c r="N556" s="4" t="str">
        <f t="shared" si="83"/>
        <v>GAL</v>
      </c>
      <c r="O556" s="5">
        <v>25</v>
      </c>
      <c r="Q556" t="str">
        <f t="shared" si="84"/>
        <v>FLOMOLA02</v>
      </c>
      <c r="R556" t="str">
        <f t="shared" si="85"/>
        <v>Dyna Flo Molasses</v>
      </c>
      <c r="S556" s="32">
        <f t="shared" si="86"/>
        <v>525</v>
      </c>
      <c r="U556" t="s">
        <v>999</v>
      </c>
      <c r="V556" s="32">
        <v>525</v>
      </c>
    </row>
    <row r="557" spans="2:22" x14ac:dyDescent="0.25">
      <c r="B557" s="1" t="s">
        <v>88</v>
      </c>
      <c r="C557" s="2" t="s">
        <v>89</v>
      </c>
      <c r="D557" s="2" t="s">
        <v>1082</v>
      </c>
      <c r="E557" s="2" t="s">
        <v>1083</v>
      </c>
      <c r="F557" s="3">
        <v>44903</v>
      </c>
      <c r="G557" s="4">
        <f t="shared" si="81"/>
        <v>12</v>
      </c>
      <c r="H557" s="4">
        <f t="shared" si="82"/>
        <v>2022</v>
      </c>
      <c r="I557" s="2" t="s">
        <v>4</v>
      </c>
      <c r="J557" s="2" t="s">
        <v>1084</v>
      </c>
      <c r="K557" s="2" t="s">
        <v>244</v>
      </c>
      <c r="L557" s="2" t="s">
        <v>182</v>
      </c>
      <c r="M557" s="2" t="s">
        <v>183</v>
      </c>
      <c r="N557" s="4" t="str">
        <f t="shared" si="83"/>
        <v>GAL</v>
      </c>
      <c r="O557" s="5">
        <v>50</v>
      </c>
      <c r="Q557" t="str">
        <f t="shared" si="84"/>
        <v>FLOPHOS02</v>
      </c>
      <c r="R557" t="str">
        <f t="shared" si="85"/>
        <v>Dyna Phos</v>
      </c>
      <c r="S557" s="32">
        <f t="shared" si="86"/>
        <v>295</v>
      </c>
      <c r="U557" t="s">
        <v>182</v>
      </c>
      <c r="V557" s="32">
        <v>295</v>
      </c>
    </row>
    <row r="558" spans="2:22" x14ac:dyDescent="0.25">
      <c r="B558" s="1" t="s">
        <v>88</v>
      </c>
      <c r="C558" s="2" t="s">
        <v>89</v>
      </c>
      <c r="D558" s="2" t="s">
        <v>616</v>
      </c>
      <c r="E558" s="2" t="s">
        <v>617</v>
      </c>
      <c r="F558" s="3">
        <v>44904</v>
      </c>
      <c r="G558" s="4">
        <f t="shared" si="81"/>
        <v>12</v>
      </c>
      <c r="H558" s="4">
        <f t="shared" si="82"/>
        <v>2022</v>
      </c>
      <c r="I558" s="2" t="s">
        <v>4</v>
      </c>
      <c r="J558" s="2" t="s">
        <v>1086</v>
      </c>
      <c r="K558" s="2" t="s">
        <v>50</v>
      </c>
      <c r="L558" s="2" t="s">
        <v>550</v>
      </c>
      <c r="M558" s="2" t="s">
        <v>52</v>
      </c>
      <c r="N558" s="4" t="str">
        <f t="shared" si="83"/>
        <v>GAL</v>
      </c>
      <c r="O558" s="5">
        <v>10</v>
      </c>
      <c r="Q558" t="str">
        <f t="shared" si="84"/>
        <v>ZONN2802</v>
      </c>
      <c r="R558" t="str">
        <f t="shared" si="85"/>
        <v>Dyna Zone N28</v>
      </c>
      <c r="S558" s="32">
        <f t="shared" si="86"/>
        <v>120</v>
      </c>
      <c r="U558" t="s">
        <v>550</v>
      </c>
      <c r="V558" s="32">
        <v>120</v>
      </c>
    </row>
    <row r="559" spans="2:22" x14ac:dyDescent="0.25">
      <c r="B559" s="1" t="s">
        <v>88</v>
      </c>
      <c r="C559" s="2" t="s">
        <v>89</v>
      </c>
      <c r="D559" s="2" t="s">
        <v>114</v>
      </c>
      <c r="E559" s="2" t="s">
        <v>115</v>
      </c>
      <c r="F559" s="3">
        <v>44904</v>
      </c>
      <c r="G559" s="4">
        <f t="shared" si="81"/>
        <v>12</v>
      </c>
      <c r="H559" s="4">
        <f t="shared" si="82"/>
        <v>2022</v>
      </c>
      <c r="I559" s="2" t="s">
        <v>4</v>
      </c>
      <c r="J559" s="2" t="s">
        <v>1087</v>
      </c>
      <c r="K559" s="2" t="s">
        <v>390</v>
      </c>
      <c r="L559" s="2" t="s">
        <v>391</v>
      </c>
      <c r="M559" s="2" t="s">
        <v>119</v>
      </c>
      <c r="N559" s="4" t="str">
        <f t="shared" si="83"/>
        <v>TON</v>
      </c>
      <c r="O559" s="5">
        <v>12.015000000000001</v>
      </c>
      <c r="Q559" t="str">
        <f t="shared" si="84"/>
        <v>MAC426YM2</v>
      </c>
      <c r="R559" t="str">
        <f t="shared" si="85"/>
        <v>Dyna Flo 4-2-6YM2</v>
      </c>
      <c r="S559" s="32">
        <f t="shared" si="86"/>
        <v>415.88999999999976</v>
      </c>
      <c r="U559" t="s">
        <v>391</v>
      </c>
      <c r="V559" s="32">
        <v>415.88999999999976</v>
      </c>
    </row>
    <row r="560" spans="2:22" x14ac:dyDescent="0.25">
      <c r="B560" s="1" t="s">
        <v>88</v>
      </c>
      <c r="C560" s="2" t="s">
        <v>89</v>
      </c>
      <c r="D560" s="2" t="s">
        <v>151</v>
      </c>
      <c r="E560" s="2" t="s">
        <v>152</v>
      </c>
      <c r="F560" s="3">
        <v>44909</v>
      </c>
      <c r="G560" s="4">
        <f t="shared" si="81"/>
        <v>12</v>
      </c>
      <c r="H560" s="4">
        <f t="shared" si="82"/>
        <v>2022</v>
      </c>
      <c r="I560" s="2" t="s">
        <v>4</v>
      </c>
      <c r="J560" s="2" t="s">
        <v>1088</v>
      </c>
      <c r="K560" s="2" t="s">
        <v>104</v>
      </c>
      <c r="L560" s="2" t="s">
        <v>105</v>
      </c>
      <c r="M560" s="2" t="s">
        <v>106</v>
      </c>
      <c r="N560" s="4" t="str">
        <f t="shared" si="83"/>
        <v>LBS</v>
      </c>
      <c r="O560" s="5">
        <v>6000</v>
      </c>
      <c r="Q560" t="str">
        <f t="shared" si="84"/>
        <v>NPKKOHDRY</v>
      </c>
      <c r="R560" t="str">
        <f t="shared" si="85"/>
        <v>Potassium Hydroxide KOH Dry 90%</v>
      </c>
      <c r="S560" s="32">
        <f t="shared" si="86"/>
        <v>16500</v>
      </c>
      <c r="U560" t="s">
        <v>105</v>
      </c>
      <c r="V560" s="32">
        <v>16500</v>
      </c>
    </row>
    <row r="561" spans="2:22" x14ac:dyDescent="0.25">
      <c r="B561" s="1" t="s">
        <v>88</v>
      </c>
      <c r="C561" s="2" t="s">
        <v>89</v>
      </c>
      <c r="D561" s="2" t="s">
        <v>114</v>
      </c>
      <c r="E561" s="2" t="s">
        <v>115</v>
      </c>
      <c r="F561" s="3">
        <v>44910</v>
      </c>
      <c r="G561" s="4">
        <f t="shared" si="81"/>
        <v>12</v>
      </c>
      <c r="H561" s="4">
        <f t="shared" si="82"/>
        <v>2022</v>
      </c>
      <c r="I561" s="2" t="s">
        <v>4</v>
      </c>
      <c r="J561" s="2" t="s">
        <v>1089</v>
      </c>
      <c r="K561" s="2" t="s">
        <v>390</v>
      </c>
      <c r="L561" s="2" t="s">
        <v>391</v>
      </c>
      <c r="M561" s="2" t="s">
        <v>119</v>
      </c>
      <c r="N561" s="4" t="str">
        <f t="shared" si="83"/>
        <v>TON</v>
      </c>
      <c r="O561" s="5">
        <v>2.5</v>
      </c>
      <c r="Q561" t="str">
        <f t="shared" si="84"/>
        <v>MAC426YM2</v>
      </c>
      <c r="R561" t="str">
        <f t="shared" si="85"/>
        <v>Dyna Flo 4-2-6YM2</v>
      </c>
      <c r="S561" s="32">
        <f t="shared" si="86"/>
        <v>415.88999999999976</v>
      </c>
      <c r="U561" t="s">
        <v>391</v>
      </c>
      <c r="V561" s="32">
        <v>415.88999999999976</v>
      </c>
    </row>
    <row r="562" spans="2:22" x14ac:dyDescent="0.25">
      <c r="B562" s="1" t="s">
        <v>88</v>
      </c>
      <c r="C562" s="2" t="s">
        <v>89</v>
      </c>
      <c r="D562" s="2" t="s">
        <v>557</v>
      </c>
      <c r="E562" s="2" t="s">
        <v>1090</v>
      </c>
      <c r="F562" s="3">
        <v>44911</v>
      </c>
      <c r="G562" s="4">
        <f t="shared" si="81"/>
        <v>12</v>
      </c>
      <c r="H562" s="4">
        <f t="shared" si="82"/>
        <v>2022</v>
      </c>
      <c r="I562" s="2" t="s">
        <v>4</v>
      </c>
      <c r="J562" s="2" t="s">
        <v>1091</v>
      </c>
      <c r="K562" s="2" t="s">
        <v>569</v>
      </c>
      <c r="L562" s="2" t="s">
        <v>570</v>
      </c>
      <c r="M562" s="2" t="s">
        <v>106</v>
      </c>
      <c r="N562" s="4" t="str">
        <f t="shared" si="83"/>
        <v>LBS</v>
      </c>
      <c r="O562" s="5">
        <v>3000</v>
      </c>
      <c r="Q562" t="str">
        <f t="shared" si="84"/>
        <v>NPKAWAKEN</v>
      </c>
      <c r="R562" t="str">
        <f t="shared" si="85"/>
        <v>Awaken 16-0-2</v>
      </c>
      <c r="S562" s="32">
        <f t="shared" si="86"/>
        <v>7500</v>
      </c>
      <c r="U562" t="s">
        <v>570</v>
      </c>
      <c r="V562" s="32">
        <v>7500</v>
      </c>
    </row>
    <row r="563" spans="2:22" x14ac:dyDescent="0.25">
      <c r="B563" s="1" t="s">
        <v>88</v>
      </c>
      <c r="C563" s="2" t="s">
        <v>89</v>
      </c>
      <c r="D563" s="2" t="s">
        <v>1092</v>
      </c>
      <c r="E563" s="2" t="s">
        <v>141</v>
      </c>
      <c r="F563" s="3">
        <v>44924</v>
      </c>
      <c r="G563" s="4">
        <f t="shared" si="81"/>
        <v>12</v>
      </c>
      <c r="H563" s="4">
        <f t="shared" si="82"/>
        <v>2022</v>
      </c>
      <c r="I563" s="2" t="s">
        <v>4</v>
      </c>
      <c r="J563" s="2" t="s">
        <v>1093</v>
      </c>
      <c r="K563" s="2" t="s">
        <v>1014</v>
      </c>
      <c r="L563" s="2" t="s">
        <v>472</v>
      </c>
      <c r="M563" s="2" t="s">
        <v>473</v>
      </c>
      <c r="N563" s="4" t="str">
        <f t="shared" si="83"/>
        <v>GAL</v>
      </c>
      <c r="O563" s="5">
        <v>25</v>
      </c>
      <c r="Q563" t="str">
        <f t="shared" si="84"/>
        <v>OMFISHEM02</v>
      </c>
      <c r="R563" t="str">
        <f t="shared" si="85"/>
        <v>Omega Grow Fish Emulsion Protein 5-1-1</v>
      </c>
      <c r="S563" s="32">
        <f t="shared" si="86"/>
        <v>305</v>
      </c>
      <c r="U563" t="s">
        <v>472</v>
      </c>
      <c r="V563" s="32">
        <v>305</v>
      </c>
    </row>
    <row r="564" spans="2:22" x14ac:dyDescent="0.25">
      <c r="B564" s="1" t="s">
        <v>154</v>
      </c>
      <c r="C564" s="2" t="s">
        <v>155</v>
      </c>
      <c r="D564" s="2" t="s">
        <v>623</v>
      </c>
      <c r="E564" s="2" t="s">
        <v>634</v>
      </c>
      <c r="F564" s="3">
        <v>44896</v>
      </c>
      <c r="G564" s="4">
        <f t="shared" si="81"/>
        <v>12</v>
      </c>
      <c r="H564" s="4">
        <f t="shared" si="82"/>
        <v>2022</v>
      </c>
      <c r="I564" s="2" t="s">
        <v>4</v>
      </c>
      <c r="J564" s="2" t="s">
        <v>1094</v>
      </c>
      <c r="K564" s="2" t="s">
        <v>626</v>
      </c>
      <c r="L564" s="2" t="s">
        <v>627</v>
      </c>
      <c r="M564" s="2" t="s">
        <v>119</v>
      </c>
      <c r="N564" s="4" t="str">
        <f t="shared" si="83"/>
        <v>TON</v>
      </c>
      <c r="O564" s="5">
        <v>15.0175</v>
      </c>
      <c r="Q564" t="str">
        <f t="shared" si="84"/>
        <v>MAC628YM5</v>
      </c>
      <c r="R564" t="str">
        <f t="shared" si="85"/>
        <v>Dyna Flo 6-2-8YM5 w/integrate 80</v>
      </c>
      <c r="S564" s="32">
        <f t="shared" si="86"/>
        <v>150.05249999999998</v>
      </c>
      <c r="U564" t="s">
        <v>627</v>
      </c>
      <c r="V564" s="32">
        <v>150.05249999999998</v>
      </c>
    </row>
    <row r="565" spans="2:22" x14ac:dyDescent="0.25">
      <c r="B565" s="1" t="s">
        <v>154</v>
      </c>
      <c r="C565" s="2" t="s">
        <v>155</v>
      </c>
      <c r="D565" s="2" t="s">
        <v>161</v>
      </c>
      <c r="E565" s="2" t="s">
        <v>162</v>
      </c>
      <c r="F565" s="3">
        <v>44903</v>
      </c>
      <c r="G565" s="4">
        <f t="shared" si="81"/>
        <v>12</v>
      </c>
      <c r="H565" s="4">
        <f t="shared" si="82"/>
        <v>2022</v>
      </c>
      <c r="I565" s="2" t="s">
        <v>4</v>
      </c>
      <c r="J565" s="2" t="s">
        <v>1095</v>
      </c>
      <c r="K565" s="2" t="s">
        <v>609</v>
      </c>
      <c r="L565" s="2" t="s">
        <v>610</v>
      </c>
      <c r="M565" s="2" t="s">
        <v>611</v>
      </c>
      <c r="N565" s="4" t="str">
        <f t="shared" si="83"/>
        <v>GAL</v>
      </c>
      <c r="O565" s="5">
        <v>180</v>
      </c>
      <c r="Q565" t="str">
        <f t="shared" si="84"/>
        <v>PHYLO02</v>
      </c>
      <c r="R565" t="str">
        <f t="shared" si="85"/>
        <v>pHylo</v>
      </c>
      <c r="S565" s="32">
        <f t="shared" si="86"/>
        <v>560</v>
      </c>
      <c r="U565" t="s">
        <v>610</v>
      </c>
      <c r="V565" s="32">
        <v>560</v>
      </c>
    </row>
    <row r="566" spans="2:22" x14ac:dyDescent="0.25">
      <c r="B566" s="1" t="s">
        <v>154</v>
      </c>
      <c r="C566" s="2" t="s">
        <v>155</v>
      </c>
      <c r="D566" s="2" t="s">
        <v>161</v>
      </c>
      <c r="E566" s="2" t="s">
        <v>162</v>
      </c>
      <c r="F566" s="3">
        <v>44901</v>
      </c>
      <c r="G566" s="4">
        <f t="shared" si="81"/>
        <v>12</v>
      </c>
      <c r="H566" s="4">
        <f t="shared" si="82"/>
        <v>2022</v>
      </c>
      <c r="I566" s="2" t="s">
        <v>4</v>
      </c>
      <c r="J566" s="2" t="s">
        <v>1096</v>
      </c>
      <c r="K566" s="2" t="s">
        <v>164</v>
      </c>
      <c r="L566" s="2" t="s">
        <v>165</v>
      </c>
      <c r="M566" s="2" t="s">
        <v>166</v>
      </c>
      <c r="N566" s="4" t="str">
        <f t="shared" si="83"/>
        <v>GAL</v>
      </c>
      <c r="O566" s="5">
        <v>180</v>
      </c>
      <c r="Q566" t="str">
        <f t="shared" si="84"/>
        <v>GOLDMZF02</v>
      </c>
      <c r="R566" t="str">
        <f t="shared" si="85"/>
        <v>Dyna Gold MZF</v>
      </c>
      <c r="S566" s="32">
        <f t="shared" si="86"/>
        <v>2780</v>
      </c>
      <c r="U566" t="s">
        <v>165</v>
      </c>
      <c r="V566" s="32">
        <v>2780</v>
      </c>
    </row>
    <row r="567" spans="2:22" x14ac:dyDescent="0.25">
      <c r="B567" s="1" t="s">
        <v>154</v>
      </c>
      <c r="C567" s="2" t="s">
        <v>155</v>
      </c>
      <c r="D567" s="2" t="s">
        <v>591</v>
      </c>
      <c r="E567" s="2" t="s">
        <v>592</v>
      </c>
      <c r="F567" s="3">
        <v>44902</v>
      </c>
      <c r="G567" s="4">
        <f t="shared" si="81"/>
        <v>12</v>
      </c>
      <c r="H567" s="4">
        <f t="shared" si="82"/>
        <v>2022</v>
      </c>
      <c r="I567" s="2" t="s">
        <v>4</v>
      </c>
      <c r="J567" s="2" t="s">
        <v>1097</v>
      </c>
      <c r="K567" s="2" t="s">
        <v>1098</v>
      </c>
      <c r="L567" s="2" t="s">
        <v>632</v>
      </c>
      <c r="M567" s="2" t="s">
        <v>633</v>
      </c>
      <c r="N567" s="4" t="str">
        <f t="shared" si="83"/>
        <v>GAL</v>
      </c>
      <c r="O567" s="5">
        <v>3402.84</v>
      </c>
      <c r="Q567" t="str">
        <f t="shared" si="84"/>
        <v>GRO131161900</v>
      </c>
      <c r="R567" t="str">
        <f t="shared" si="85"/>
        <v>Citra Guard XP</v>
      </c>
      <c r="S567" s="32">
        <f t="shared" si="86"/>
        <v>3672.84</v>
      </c>
      <c r="U567" t="s">
        <v>632</v>
      </c>
      <c r="V567" s="32">
        <v>3672.84</v>
      </c>
    </row>
    <row r="568" spans="2:22" x14ac:dyDescent="0.25">
      <c r="B568" s="1" t="s">
        <v>154</v>
      </c>
      <c r="C568" s="2" t="s">
        <v>155</v>
      </c>
      <c r="D568" s="2" t="s">
        <v>623</v>
      </c>
      <c r="E568" s="2" t="s">
        <v>1099</v>
      </c>
      <c r="F568" s="3">
        <v>44902</v>
      </c>
      <c r="G568" s="4">
        <f t="shared" si="81"/>
        <v>12</v>
      </c>
      <c r="H568" s="4">
        <f t="shared" si="82"/>
        <v>2022</v>
      </c>
      <c r="I568" s="2" t="s">
        <v>4</v>
      </c>
      <c r="J568" s="2" t="s">
        <v>1100</v>
      </c>
      <c r="K568" s="2" t="s">
        <v>626</v>
      </c>
      <c r="L568" s="2" t="s">
        <v>627</v>
      </c>
      <c r="M568" s="2" t="s">
        <v>119</v>
      </c>
      <c r="N568" s="4" t="str">
        <f t="shared" si="83"/>
        <v>TON</v>
      </c>
      <c r="O568" s="5">
        <v>19.989999999999998</v>
      </c>
      <c r="Q568" t="str">
        <f t="shared" si="84"/>
        <v>MAC628YM5</v>
      </c>
      <c r="R568" t="str">
        <f t="shared" si="85"/>
        <v>Dyna Flo 6-2-8YM5 w/integrate 80</v>
      </c>
      <c r="S568" s="32">
        <f t="shared" si="86"/>
        <v>150.05249999999998</v>
      </c>
      <c r="U568" t="s">
        <v>627</v>
      </c>
      <c r="V568" s="32">
        <v>150.05249999999998</v>
      </c>
    </row>
    <row r="569" spans="2:22" x14ac:dyDescent="0.25">
      <c r="B569" s="1" t="s">
        <v>154</v>
      </c>
      <c r="C569" s="2" t="s">
        <v>155</v>
      </c>
      <c r="D569" s="2" t="s">
        <v>562</v>
      </c>
      <c r="E569" s="2" t="s">
        <v>1101</v>
      </c>
      <c r="F569" s="3">
        <v>44902</v>
      </c>
      <c r="G569" s="4">
        <f t="shared" si="81"/>
        <v>12</v>
      </c>
      <c r="H569" s="4">
        <f t="shared" si="82"/>
        <v>2022</v>
      </c>
      <c r="I569" s="2" t="s">
        <v>4</v>
      </c>
      <c r="J569" s="2" t="s">
        <v>1102</v>
      </c>
      <c r="K569" s="2" t="s">
        <v>822</v>
      </c>
      <c r="L569" s="2" t="s">
        <v>565</v>
      </c>
      <c r="M569" s="2" t="s">
        <v>21</v>
      </c>
      <c r="N569" s="4" t="str">
        <f t="shared" si="83"/>
        <v>GAL</v>
      </c>
      <c r="O569" s="5">
        <v>500</v>
      </c>
      <c r="Q569" t="str">
        <f t="shared" si="84"/>
        <v>FLOKTS250</v>
      </c>
      <c r="R569" t="str">
        <f t="shared" si="85"/>
        <v>Dyna Flo  0-0-25 17</v>
      </c>
      <c r="S569" s="32">
        <f t="shared" si="86"/>
        <v>3780</v>
      </c>
      <c r="U569" t="s">
        <v>565</v>
      </c>
      <c r="V569" s="32">
        <v>3780</v>
      </c>
    </row>
    <row r="570" spans="2:22" x14ac:dyDescent="0.25">
      <c r="B570" s="1" t="s">
        <v>154</v>
      </c>
      <c r="C570" s="2" t="s">
        <v>155</v>
      </c>
      <c r="D570" s="2" t="s">
        <v>1103</v>
      </c>
      <c r="E570" s="2" t="s">
        <v>1104</v>
      </c>
      <c r="F570" s="3">
        <v>44903</v>
      </c>
      <c r="G570" s="4">
        <f t="shared" si="81"/>
        <v>12</v>
      </c>
      <c r="H570" s="4">
        <f t="shared" si="82"/>
        <v>2022</v>
      </c>
      <c r="I570" s="2" t="s">
        <v>4</v>
      </c>
      <c r="J570" s="2" t="s">
        <v>1105</v>
      </c>
      <c r="K570" s="2" t="s">
        <v>1106</v>
      </c>
      <c r="L570" s="2" t="s">
        <v>1107</v>
      </c>
      <c r="M570" s="2" t="s">
        <v>1108</v>
      </c>
      <c r="N570" s="4" t="str">
        <f t="shared" si="83"/>
        <v>GAL</v>
      </c>
      <c r="O570" s="5">
        <v>1500</v>
      </c>
      <c r="Q570" t="str">
        <f t="shared" si="84"/>
        <v>GRO1713036250</v>
      </c>
      <c r="R570" t="str">
        <f t="shared" si="85"/>
        <v>Citra Guard XP without Copper</v>
      </c>
      <c r="S570" s="32">
        <f t="shared" si="86"/>
        <v>1500</v>
      </c>
      <c r="U570" t="s">
        <v>1107</v>
      </c>
      <c r="V570" s="32">
        <v>1500</v>
      </c>
    </row>
    <row r="571" spans="2:22" x14ac:dyDescent="0.25">
      <c r="B571" s="1" t="s">
        <v>154</v>
      </c>
      <c r="C571" s="2" t="s">
        <v>155</v>
      </c>
      <c r="D571" s="2" t="s">
        <v>167</v>
      </c>
      <c r="E571" s="2" t="s">
        <v>168</v>
      </c>
      <c r="F571" s="3">
        <v>44903</v>
      </c>
      <c r="G571" s="4">
        <f t="shared" si="81"/>
        <v>12</v>
      </c>
      <c r="H571" s="4">
        <f t="shared" si="82"/>
        <v>2022</v>
      </c>
      <c r="I571" s="2" t="s">
        <v>4</v>
      </c>
      <c r="J571" s="2" t="s">
        <v>1109</v>
      </c>
      <c r="K571" s="2" t="s">
        <v>164</v>
      </c>
      <c r="L571" s="2" t="s">
        <v>165</v>
      </c>
      <c r="M571" s="2" t="s">
        <v>166</v>
      </c>
      <c r="N571" s="4" t="str">
        <f t="shared" si="83"/>
        <v>GAL</v>
      </c>
      <c r="O571" s="5">
        <v>180</v>
      </c>
      <c r="Q571" t="str">
        <f t="shared" si="84"/>
        <v>GOLDMZF02</v>
      </c>
      <c r="R571" t="str">
        <f t="shared" si="85"/>
        <v>Dyna Gold MZF</v>
      </c>
      <c r="S571" s="32">
        <f t="shared" si="86"/>
        <v>2780</v>
      </c>
      <c r="U571" t="s">
        <v>165</v>
      </c>
      <c r="V571" s="32">
        <v>2780</v>
      </c>
    </row>
    <row r="572" spans="2:22" x14ac:dyDescent="0.25">
      <c r="B572" s="1" t="s">
        <v>645</v>
      </c>
      <c r="C572" s="2" t="s">
        <v>155</v>
      </c>
      <c r="D572" s="2" t="s">
        <v>646</v>
      </c>
      <c r="E572" s="2" t="s">
        <v>647</v>
      </c>
      <c r="F572" s="3">
        <v>44904</v>
      </c>
      <c r="G572" s="4">
        <f t="shared" si="81"/>
        <v>12</v>
      </c>
      <c r="H572" s="4">
        <f t="shared" si="82"/>
        <v>2022</v>
      </c>
      <c r="I572" s="2" t="s">
        <v>4</v>
      </c>
      <c r="J572" s="2" t="s">
        <v>1110</v>
      </c>
      <c r="K572" s="2" t="s">
        <v>649</v>
      </c>
      <c r="L572" s="2" t="s">
        <v>538</v>
      </c>
      <c r="M572" s="2" t="s">
        <v>539</v>
      </c>
      <c r="N572" s="4" t="str">
        <f t="shared" si="83"/>
        <v>GAL</v>
      </c>
      <c r="O572" s="5">
        <v>1000</v>
      </c>
      <c r="Q572" t="str">
        <f t="shared" si="84"/>
        <v>SORCA250</v>
      </c>
      <c r="R572" t="str">
        <f t="shared" si="85"/>
        <v>Dyna Cal 10.25%</v>
      </c>
      <c r="S572" s="32">
        <f t="shared" si="86"/>
        <v>4610</v>
      </c>
      <c r="U572" t="s">
        <v>538</v>
      </c>
      <c r="V572" s="32">
        <v>4610</v>
      </c>
    </row>
    <row r="573" spans="2:22" x14ac:dyDescent="0.25">
      <c r="B573" s="1" t="s">
        <v>154</v>
      </c>
      <c r="C573" s="2" t="s">
        <v>155</v>
      </c>
      <c r="D573" s="2" t="s">
        <v>1111</v>
      </c>
      <c r="E573" s="2" t="s">
        <v>1112</v>
      </c>
      <c r="F573" s="3">
        <v>44904</v>
      </c>
      <c r="G573" s="4">
        <f t="shared" si="81"/>
        <v>12</v>
      </c>
      <c r="H573" s="4">
        <f t="shared" si="82"/>
        <v>2022</v>
      </c>
      <c r="I573" s="2" t="s">
        <v>4</v>
      </c>
      <c r="J573" s="2" t="s">
        <v>1113</v>
      </c>
      <c r="K573" s="2" t="s">
        <v>158</v>
      </c>
      <c r="L573" s="2" t="s">
        <v>159</v>
      </c>
      <c r="M573" s="2" t="s">
        <v>160</v>
      </c>
      <c r="N573" s="4" t="str">
        <f t="shared" si="83"/>
        <v>GAL</v>
      </c>
      <c r="O573" s="5">
        <v>180</v>
      </c>
      <c r="Q573" t="str">
        <f t="shared" si="84"/>
        <v>SOARBLM02</v>
      </c>
      <c r="R573" t="str">
        <f t="shared" si="85"/>
        <v>Soar Bloom Spray</v>
      </c>
      <c r="S573" s="32">
        <f t="shared" si="86"/>
        <v>2195</v>
      </c>
      <c r="U573" t="s">
        <v>159</v>
      </c>
      <c r="V573" s="32">
        <v>2195</v>
      </c>
    </row>
    <row r="574" spans="2:22" x14ac:dyDescent="0.25">
      <c r="B574" s="1" t="s">
        <v>645</v>
      </c>
      <c r="C574" s="2" t="s">
        <v>155</v>
      </c>
      <c r="D574" s="2" t="s">
        <v>646</v>
      </c>
      <c r="E574" s="2" t="s">
        <v>647</v>
      </c>
      <c r="F574" s="3">
        <v>44907</v>
      </c>
      <c r="G574" s="4">
        <f t="shared" si="81"/>
        <v>12</v>
      </c>
      <c r="H574" s="4">
        <f t="shared" si="82"/>
        <v>2022</v>
      </c>
      <c r="I574" s="2" t="s">
        <v>4</v>
      </c>
      <c r="J574" s="2" t="s">
        <v>1114</v>
      </c>
      <c r="K574" s="2" t="s">
        <v>158</v>
      </c>
      <c r="L574" s="2" t="s">
        <v>159</v>
      </c>
      <c r="M574" s="2" t="s">
        <v>160</v>
      </c>
      <c r="N574" s="4" t="str">
        <f t="shared" si="83"/>
        <v>GAL</v>
      </c>
      <c r="O574" s="5">
        <v>180</v>
      </c>
      <c r="Q574" t="str">
        <f t="shared" si="84"/>
        <v>SOARBLM02</v>
      </c>
      <c r="R574" t="str">
        <f t="shared" si="85"/>
        <v>Soar Bloom Spray</v>
      </c>
      <c r="S574" s="32">
        <f t="shared" si="86"/>
        <v>2195</v>
      </c>
      <c r="U574" t="s">
        <v>159</v>
      </c>
      <c r="V574" s="32">
        <v>2195</v>
      </c>
    </row>
    <row r="575" spans="2:22" x14ac:dyDescent="0.25">
      <c r="B575" s="1" t="s">
        <v>154</v>
      </c>
      <c r="C575" s="2" t="s">
        <v>155</v>
      </c>
      <c r="D575" s="2" t="s">
        <v>628</v>
      </c>
      <c r="E575" s="2" t="s">
        <v>1115</v>
      </c>
      <c r="F575" s="3">
        <v>44908</v>
      </c>
      <c r="G575" s="4">
        <f t="shared" si="81"/>
        <v>12</v>
      </c>
      <c r="H575" s="4">
        <f t="shared" si="82"/>
        <v>2022</v>
      </c>
      <c r="I575" s="2" t="s">
        <v>4</v>
      </c>
      <c r="J575" s="2" t="s">
        <v>1116</v>
      </c>
      <c r="K575" s="2" t="s">
        <v>422</v>
      </c>
      <c r="L575" s="2" t="s">
        <v>423</v>
      </c>
      <c r="M575" s="2" t="s">
        <v>119</v>
      </c>
      <c r="N575" s="4" t="str">
        <f t="shared" si="83"/>
        <v>TON</v>
      </c>
      <c r="O575" s="5">
        <v>2.4950000000000001</v>
      </c>
      <c r="Q575" t="str">
        <f t="shared" si="84"/>
        <v>MAC527YM18</v>
      </c>
      <c r="R575" t="str">
        <f t="shared" si="85"/>
        <v>Dyna Flo 5-2-7YM18</v>
      </c>
      <c r="S575" s="32">
        <f t="shared" si="86"/>
        <v>35.25</v>
      </c>
      <c r="U575" t="s">
        <v>423</v>
      </c>
      <c r="V575" s="32">
        <v>35.25</v>
      </c>
    </row>
    <row r="576" spans="2:22" x14ac:dyDescent="0.25">
      <c r="B576" s="1" t="s">
        <v>645</v>
      </c>
      <c r="C576" s="2" t="s">
        <v>155</v>
      </c>
      <c r="D576" s="2" t="s">
        <v>646</v>
      </c>
      <c r="E576" s="2" t="s">
        <v>647</v>
      </c>
      <c r="F576" s="3">
        <v>44909</v>
      </c>
      <c r="G576" s="4">
        <f t="shared" si="81"/>
        <v>12</v>
      </c>
      <c r="H576" s="4">
        <f t="shared" si="82"/>
        <v>2022</v>
      </c>
      <c r="I576" s="2" t="s">
        <v>4</v>
      </c>
      <c r="J576" s="2" t="s">
        <v>1117</v>
      </c>
      <c r="K576" s="2" t="s">
        <v>158</v>
      </c>
      <c r="L576" s="2" t="s">
        <v>159</v>
      </c>
      <c r="M576" s="2" t="s">
        <v>160</v>
      </c>
      <c r="N576" s="4" t="str">
        <f t="shared" si="83"/>
        <v>GAL</v>
      </c>
      <c r="O576" s="5">
        <v>540</v>
      </c>
      <c r="Q576" t="str">
        <f t="shared" si="84"/>
        <v>SOARBLM02</v>
      </c>
      <c r="R576" t="str">
        <f t="shared" si="85"/>
        <v>Soar Bloom Spray</v>
      </c>
      <c r="S576" s="32">
        <f t="shared" si="86"/>
        <v>2195</v>
      </c>
      <c r="U576" t="s">
        <v>159</v>
      </c>
      <c r="V576" s="32">
        <v>2195</v>
      </c>
    </row>
    <row r="577" spans="2:22" x14ac:dyDescent="0.25">
      <c r="B577" s="1" t="s">
        <v>154</v>
      </c>
      <c r="C577" s="2" t="s">
        <v>155</v>
      </c>
      <c r="D577" s="2" t="s">
        <v>107</v>
      </c>
      <c r="E577" s="2" t="s">
        <v>108</v>
      </c>
      <c r="F577" s="3">
        <v>44914</v>
      </c>
      <c r="G577" s="4">
        <f t="shared" si="81"/>
        <v>12</v>
      </c>
      <c r="H577" s="4">
        <f t="shared" si="82"/>
        <v>2022</v>
      </c>
      <c r="I577" s="2" t="s">
        <v>4</v>
      </c>
      <c r="J577" s="2" t="s">
        <v>1118</v>
      </c>
      <c r="K577" s="2" t="s">
        <v>1119</v>
      </c>
      <c r="L577" s="2" t="s">
        <v>1023</v>
      </c>
      <c r="M577" s="2" t="s">
        <v>1024</v>
      </c>
      <c r="N577" s="4" t="str">
        <f t="shared" si="83"/>
        <v>GAL</v>
      </c>
      <c r="O577" s="5">
        <v>125</v>
      </c>
      <c r="Q577" t="str">
        <f t="shared" si="84"/>
        <v>GOLDFE02</v>
      </c>
      <c r="R577" t="str">
        <f t="shared" si="85"/>
        <v>Dyna Gold Iron 5%</v>
      </c>
      <c r="S577" s="32">
        <f t="shared" si="86"/>
        <v>625</v>
      </c>
      <c r="U577" t="s">
        <v>1023</v>
      </c>
      <c r="V577" s="32">
        <v>625</v>
      </c>
    </row>
    <row r="578" spans="2:22" x14ac:dyDescent="0.25">
      <c r="B578" s="1" t="s">
        <v>154</v>
      </c>
      <c r="C578" s="2" t="s">
        <v>155</v>
      </c>
      <c r="D578" s="2" t="s">
        <v>107</v>
      </c>
      <c r="E578" s="2" t="s">
        <v>108</v>
      </c>
      <c r="F578" s="3">
        <v>44914</v>
      </c>
      <c r="G578" s="4">
        <f t="shared" si="81"/>
        <v>12</v>
      </c>
      <c r="H578" s="4">
        <f t="shared" si="82"/>
        <v>2022</v>
      </c>
      <c r="I578" s="2" t="s">
        <v>4</v>
      </c>
      <c r="J578" s="2" t="s">
        <v>1118</v>
      </c>
      <c r="K578" s="2" t="s">
        <v>1120</v>
      </c>
      <c r="L578" s="2" t="s">
        <v>1121</v>
      </c>
      <c r="M578" s="2" t="s">
        <v>131</v>
      </c>
      <c r="N578" s="4" t="str">
        <f t="shared" si="83"/>
        <v>GAL</v>
      </c>
      <c r="O578" s="5">
        <v>180</v>
      </c>
      <c r="Q578" t="str">
        <f t="shared" si="84"/>
        <v>GREMN02</v>
      </c>
      <c r="R578" t="str">
        <f t="shared" si="85"/>
        <v>Dyna Green Manganese 5%</v>
      </c>
      <c r="S578" s="32">
        <f t="shared" si="86"/>
        <v>180</v>
      </c>
      <c r="U578" t="s">
        <v>1121</v>
      </c>
      <c r="V578" s="32">
        <v>180</v>
      </c>
    </row>
    <row r="579" spans="2:22" x14ac:dyDescent="0.25">
      <c r="B579" s="1" t="s">
        <v>154</v>
      </c>
      <c r="C579" s="2" t="s">
        <v>155</v>
      </c>
      <c r="D579" s="2" t="s">
        <v>107</v>
      </c>
      <c r="E579" s="2" t="s">
        <v>108</v>
      </c>
      <c r="F579" s="3">
        <v>44914</v>
      </c>
      <c r="G579" s="4">
        <f t="shared" ref="G579:G642" si="87">+MONTH(F579)</f>
        <v>12</v>
      </c>
      <c r="H579" s="4">
        <f t="shared" ref="H579:H642" si="88">+YEAR(F579)</f>
        <v>2022</v>
      </c>
      <c r="I579" s="2" t="s">
        <v>4</v>
      </c>
      <c r="J579" s="2" t="s">
        <v>1118</v>
      </c>
      <c r="K579" s="2" t="s">
        <v>192</v>
      </c>
      <c r="L579" s="2" t="s">
        <v>193</v>
      </c>
      <c r="M579" s="2" t="s">
        <v>160</v>
      </c>
      <c r="N579" s="4" t="str">
        <f t="shared" ref="N579:N642" si="89">+LEFT(M579,3)</f>
        <v>GAL</v>
      </c>
      <c r="O579" s="5">
        <v>500</v>
      </c>
      <c r="Q579" t="str">
        <f t="shared" ref="Q579:Q642" si="90">K579</f>
        <v>SOARPOT250</v>
      </c>
      <c r="R579" t="str">
        <f t="shared" ref="R579:R642" si="91">L579</f>
        <v>Soar Potato</v>
      </c>
      <c r="S579" s="32">
        <f t="shared" si="86"/>
        <v>1500</v>
      </c>
      <c r="U579" t="s">
        <v>193</v>
      </c>
      <c r="V579" s="32">
        <v>1500</v>
      </c>
    </row>
    <row r="580" spans="2:22" x14ac:dyDescent="0.25">
      <c r="B580" s="1" t="s">
        <v>154</v>
      </c>
      <c r="C580" s="2" t="s">
        <v>155</v>
      </c>
      <c r="D580" s="2" t="s">
        <v>623</v>
      </c>
      <c r="E580" s="2" t="s">
        <v>624</v>
      </c>
      <c r="F580" s="3">
        <v>44917</v>
      </c>
      <c r="G580" s="4">
        <f t="shared" si="87"/>
        <v>12</v>
      </c>
      <c r="H580" s="4">
        <f t="shared" si="88"/>
        <v>2022</v>
      </c>
      <c r="I580" s="2" t="s">
        <v>4</v>
      </c>
      <c r="J580" s="2" t="s">
        <v>1122</v>
      </c>
      <c r="K580" s="2" t="s">
        <v>626</v>
      </c>
      <c r="L580" s="2" t="s">
        <v>627</v>
      </c>
      <c r="M580" s="2" t="s">
        <v>119</v>
      </c>
      <c r="N580" s="4" t="str">
        <f t="shared" si="89"/>
        <v>TON</v>
      </c>
      <c r="O580" s="5">
        <v>19.984999999999999</v>
      </c>
      <c r="Q580" t="str">
        <f t="shared" si="90"/>
        <v>MAC628YM5</v>
      </c>
      <c r="R580" t="str">
        <f t="shared" si="91"/>
        <v>Dyna Flo 6-2-8YM5 w/integrate 80</v>
      </c>
      <c r="S580" s="32">
        <f t="shared" ref="S580:S643" si="92">SUMIF($R$3:$R$885, $R580, $O$3:$O$885)</f>
        <v>150.05249999999998</v>
      </c>
      <c r="U580" t="s">
        <v>627</v>
      </c>
      <c r="V580" s="32">
        <v>150.05249999999998</v>
      </c>
    </row>
    <row r="581" spans="2:22" x14ac:dyDescent="0.25">
      <c r="B581" s="1" t="s">
        <v>154</v>
      </c>
      <c r="C581" s="2" t="s">
        <v>155</v>
      </c>
      <c r="D581" s="2" t="s">
        <v>623</v>
      </c>
      <c r="E581" s="2" t="s">
        <v>624</v>
      </c>
      <c r="F581" s="3">
        <v>44917</v>
      </c>
      <c r="G581" s="4">
        <f t="shared" si="87"/>
        <v>12</v>
      </c>
      <c r="H581" s="4">
        <f t="shared" si="88"/>
        <v>2022</v>
      </c>
      <c r="I581" s="2" t="s">
        <v>4</v>
      </c>
      <c r="J581" s="2" t="s">
        <v>1123</v>
      </c>
      <c r="K581" s="2" t="s">
        <v>626</v>
      </c>
      <c r="L581" s="2" t="s">
        <v>627</v>
      </c>
      <c r="M581" s="2" t="s">
        <v>119</v>
      </c>
      <c r="N581" s="4" t="str">
        <f t="shared" si="89"/>
        <v>TON</v>
      </c>
      <c r="O581" s="5">
        <v>15.035</v>
      </c>
      <c r="Q581" t="str">
        <f t="shared" si="90"/>
        <v>MAC628YM5</v>
      </c>
      <c r="R581" t="str">
        <f t="shared" si="91"/>
        <v>Dyna Flo 6-2-8YM5 w/integrate 80</v>
      </c>
      <c r="S581" s="32">
        <f t="shared" si="92"/>
        <v>150.05249999999998</v>
      </c>
      <c r="U581" t="s">
        <v>627</v>
      </c>
      <c r="V581" s="32">
        <v>150.05249999999998</v>
      </c>
    </row>
    <row r="582" spans="2:22" x14ac:dyDescent="0.25">
      <c r="B582" s="1" t="s">
        <v>154</v>
      </c>
      <c r="C582" s="2" t="s">
        <v>155</v>
      </c>
      <c r="D582" s="2" t="s">
        <v>639</v>
      </c>
      <c r="E582" s="2" t="s">
        <v>640</v>
      </c>
      <c r="F582" s="3">
        <v>44922</v>
      </c>
      <c r="G582" s="4">
        <f t="shared" si="87"/>
        <v>12</v>
      </c>
      <c r="H582" s="4">
        <f t="shared" si="88"/>
        <v>2022</v>
      </c>
      <c r="I582" s="2" t="s">
        <v>4</v>
      </c>
      <c r="J582" s="2" t="s">
        <v>1124</v>
      </c>
      <c r="K582" s="2" t="s">
        <v>642</v>
      </c>
      <c r="L582" s="2" t="s">
        <v>111</v>
      </c>
      <c r="M582" s="2" t="s">
        <v>112</v>
      </c>
      <c r="N582" s="4" t="str">
        <f t="shared" si="89"/>
        <v>GAL</v>
      </c>
      <c r="O582" s="5">
        <v>360</v>
      </c>
      <c r="Q582" t="str">
        <f t="shared" si="90"/>
        <v>MRCCCN02</v>
      </c>
      <c r="R582" t="str">
        <f t="shared" si="91"/>
        <v>Copper Count N</v>
      </c>
      <c r="S582" s="32">
        <f t="shared" si="92"/>
        <v>1685</v>
      </c>
      <c r="U582" t="s">
        <v>111</v>
      </c>
      <c r="V582" s="32">
        <v>1685</v>
      </c>
    </row>
    <row r="583" spans="2:22" x14ac:dyDescent="0.25">
      <c r="B583" s="1" t="s">
        <v>154</v>
      </c>
      <c r="C583" s="2" t="s">
        <v>155</v>
      </c>
      <c r="D583" s="2" t="s">
        <v>623</v>
      </c>
      <c r="E583" s="2" t="s">
        <v>624</v>
      </c>
      <c r="F583" s="3">
        <v>44924</v>
      </c>
      <c r="G583" s="4">
        <f t="shared" si="87"/>
        <v>12</v>
      </c>
      <c r="H583" s="4">
        <f t="shared" si="88"/>
        <v>2022</v>
      </c>
      <c r="I583" s="2" t="s">
        <v>4</v>
      </c>
      <c r="J583" s="2" t="s">
        <v>1125</v>
      </c>
      <c r="K583" s="2" t="s">
        <v>626</v>
      </c>
      <c r="L583" s="2" t="s">
        <v>627</v>
      </c>
      <c r="M583" s="2" t="s">
        <v>119</v>
      </c>
      <c r="N583" s="4" t="str">
        <f t="shared" si="89"/>
        <v>TON</v>
      </c>
      <c r="O583" s="5">
        <v>5.0075000000000003</v>
      </c>
      <c r="Q583" t="str">
        <f t="shared" si="90"/>
        <v>MAC628YM5</v>
      </c>
      <c r="R583" t="str">
        <f t="shared" si="91"/>
        <v>Dyna Flo 6-2-8YM5 w/integrate 80</v>
      </c>
      <c r="S583" s="32">
        <f t="shared" si="92"/>
        <v>150.05249999999998</v>
      </c>
      <c r="U583" t="s">
        <v>627</v>
      </c>
      <c r="V583" s="32">
        <v>150.05249999999998</v>
      </c>
    </row>
    <row r="584" spans="2:22" x14ac:dyDescent="0.25">
      <c r="B584" s="1" t="s">
        <v>645</v>
      </c>
      <c r="C584" s="2" t="s">
        <v>155</v>
      </c>
      <c r="D584" s="2" t="s">
        <v>646</v>
      </c>
      <c r="E584" s="2" t="s">
        <v>647</v>
      </c>
      <c r="F584" s="3">
        <v>44924</v>
      </c>
      <c r="G584" s="4">
        <f t="shared" si="87"/>
        <v>12</v>
      </c>
      <c r="H584" s="4">
        <f t="shared" si="88"/>
        <v>2022</v>
      </c>
      <c r="I584" s="2" t="s">
        <v>4</v>
      </c>
      <c r="J584" s="2" t="s">
        <v>1126</v>
      </c>
      <c r="K584" s="2" t="s">
        <v>649</v>
      </c>
      <c r="L584" s="2" t="s">
        <v>538</v>
      </c>
      <c r="M584" s="2" t="s">
        <v>539</v>
      </c>
      <c r="N584" s="4" t="str">
        <f t="shared" si="89"/>
        <v>GAL</v>
      </c>
      <c r="O584" s="5">
        <v>1500</v>
      </c>
      <c r="Q584" t="str">
        <f t="shared" si="90"/>
        <v>SORCA250</v>
      </c>
      <c r="R584" t="str">
        <f t="shared" si="91"/>
        <v>Dyna Cal 10.25%</v>
      </c>
      <c r="S584" s="32">
        <f t="shared" si="92"/>
        <v>4610</v>
      </c>
      <c r="U584" t="s">
        <v>538</v>
      </c>
      <c r="V584" s="32">
        <v>4610</v>
      </c>
    </row>
    <row r="585" spans="2:22" x14ac:dyDescent="0.25">
      <c r="B585" s="1" t="s">
        <v>154</v>
      </c>
      <c r="C585" s="2" t="s">
        <v>155</v>
      </c>
      <c r="D585" s="2" t="s">
        <v>1127</v>
      </c>
      <c r="E585" s="2" t="s">
        <v>1128</v>
      </c>
      <c r="F585" s="3">
        <v>44924</v>
      </c>
      <c r="G585" s="4">
        <f t="shared" si="87"/>
        <v>12</v>
      </c>
      <c r="H585" s="4">
        <f t="shared" si="88"/>
        <v>2022</v>
      </c>
      <c r="I585" s="2" t="s">
        <v>4</v>
      </c>
      <c r="J585" s="2" t="s">
        <v>1129</v>
      </c>
      <c r="K585" s="2" t="s">
        <v>1130</v>
      </c>
      <c r="L585" s="2" t="s">
        <v>632</v>
      </c>
      <c r="M585" s="2" t="s">
        <v>633</v>
      </c>
      <c r="N585" s="4" t="str">
        <f t="shared" si="89"/>
        <v>GAL</v>
      </c>
      <c r="O585" s="5">
        <v>20</v>
      </c>
      <c r="Q585" t="str">
        <f t="shared" si="90"/>
        <v>GRO131161902</v>
      </c>
      <c r="R585" t="str">
        <f t="shared" si="91"/>
        <v>Citra Guard XP</v>
      </c>
      <c r="S585" s="32">
        <f t="shared" si="92"/>
        <v>3672.84</v>
      </c>
      <c r="U585" t="s">
        <v>632</v>
      </c>
      <c r="V585" s="32">
        <v>3672.84</v>
      </c>
    </row>
    <row r="586" spans="2:22" x14ac:dyDescent="0.25">
      <c r="B586" s="1" t="s">
        <v>154</v>
      </c>
      <c r="C586" s="2" t="s">
        <v>155</v>
      </c>
      <c r="D586" s="2" t="s">
        <v>107</v>
      </c>
      <c r="E586" s="2" t="s">
        <v>108</v>
      </c>
      <c r="F586" s="3">
        <v>44914</v>
      </c>
      <c r="G586" s="4">
        <f t="shared" si="87"/>
        <v>12</v>
      </c>
      <c r="H586" s="4">
        <f t="shared" si="88"/>
        <v>2022</v>
      </c>
      <c r="I586" s="2" t="s">
        <v>4</v>
      </c>
      <c r="J586" s="2" t="s">
        <v>1131</v>
      </c>
      <c r="K586" s="2" t="s">
        <v>1078</v>
      </c>
      <c r="L586" s="2" t="s">
        <v>1079</v>
      </c>
      <c r="M586" s="2" t="s">
        <v>1080</v>
      </c>
      <c r="N586" s="4" t="str">
        <f t="shared" si="89"/>
        <v>GAL</v>
      </c>
      <c r="O586" s="5">
        <v>1000</v>
      </c>
      <c r="Q586" t="str">
        <f t="shared" si="90"/>
        <v>MISCAGTHR</v>
      </c>
      <c r="R586" t="str">
        <f t="shared" si="91"/>
        <v>Agro Thrive LFK 3-3-5 Consignment</v>
      </c>
      <c r="S586" s="32">
        <f t="shared" si="92"/>
        <v>3927.92</v>
      </c>
      <c r="U586" t="s">
        <v>1079</v>
      </c>
      <c r="V586" s="32">
        <v>3927.92</v>
      </c>
    </row>
    <row r="587" spans="2:22" x14ac:dyDescent="0.25">
      <c r="B587" s="1" t="s">
        <v>154</v>
      </c>
      <c r="C587" s="2" t="s">
        <v>155</v>
      </c>
      <c r="D587" s="2" t="s">
        <v>107</v>
      </c>
      <c r="E587" s="2" t="s">
        <v>1132</v>
      </c>
      <c r="F587" s="3">
        <v>44925</v>
      </c>
      <c r="G587" s="4">
        <f t="shared" si="87"/>
        <v>12</v>
      </c>
      <c r="H587" s="4">
        <f t="shared" si="88"/>
        <v>2022</v>
      </c>
      <c r="I587" s="2" t="s">
        <v>4</v>
      </c>
      <c r="J587" s="2" t="s">
        <v>1133</v>
      </c>
      <c r="K587" s="2" t="s">
        <v>1078</v>
      </c>
      <c r="L587" s="2" t="s">
        <v>1079</v>
      </c>
      <c r="M587" s="2" t="s">
        <v>1080</v>
      </c>
      <c r="N587" s="4" t="str">
        <f t="shared" si="89"/>
        <v>GAL</v>
      </c>
      <c r="O587" s="5">
        <v>2037</v>
      </c>
      <c r="Q587" t="str">
        <f t="shared" si="90"/>
        <v>MISCAGTHR</v>
      </c>
      <c r="R587" t="str">
        <f t="shared" si="91"/>
        <v>Agro Thrive LFK 3-3-5 Consignment</v>
      </c>
      <c r="S587" s="32">
        <f t="shared" si="92"/>
        <v>3927.92</v>
      </c>
      <c r="U587" t="s">
        <v>1079</v>
      </c>
      <c r="V587" s="32">
        <v>3927.92</v>
      </c>
    </row>
    <row r="588" spans="2:22" x14ac:dyDescent="0.25">
      <c r="B588" s="1" t="s">
        <v>195</v>
      </c>
      <c r="C588" s="2" t="s">
        <v>196</v>
      </c>
      <c r="D588" s="2" t="s">
        <v>800</v>
      </c>
      <c r="E588" s="2" t="s">
        <v>1134</v>
      </c>
      <c r="F588" s="3">
        <v>44896</v>
      </c>
      <c r="G588" s="4">
        <f t="shared" si="87"/>
        <v>12</v>
      </c>
      <c r="H588" s="4">
        <f t="shared" si="88"/>
        <v>2022</v>
      </c>
      <c r="I588" s="2" t="s">
        <v>4</v>
      </c>
      <c r="J588" s="2" t="s">
        <v>1135</v>
      </c>
      <c r="K588" s="2" t="s">
        <v>122</v>
      </c>
      <c r="L588" s="2" t="s">
        <v>123</v>
      </c>
      <c r="M588" s="2" t="s">
        <v>119</v>
      </c>
      <c r="N588" s="4" t="str">
        <f t="shared" si="89"/>
        <v>TON</v>
      </c>
      <c r="O588" s="5">
        <v>2</v>
      </c>
      <c r="Q588" t="str">
        <f t="shared" si="90"/>
        <v>MAC528YZ</v>
      </c>
      <c r="R588" t="str">
        <f t="shared" si="91"/>
        <v>Dyna Flo 5-2-8 YZ</v>
      </c>
      <c r="S588" s="32">
        <f t="shared" si="92"/>
        <v>395.40750000000003</v>
      </c>
      <c r="U588" t="s">
        <v>123</v>
      </c>
      <c r="V588" s="32">
        <v>395.40750000000003</v>
      </c>
    </row>
    <row r="589" spans="2:22" x14ac:dyDescent="0.25">
      <c r="B589" s="1" t="s">
        <v>195</v>
      </c>
      <c r="C589" s="2" t="s">
        <v>196</v>
      </c>
      <c r="D589" s="2" t="s">
        <v>241</v>
      </c>
      <c r="E589" s="2" t="s">
        <v>242</v>
      </c>
      <c r="F589" s="3">
        <v>44896</v>
      </c>
      <c r="G589" s="4">
        <f t="shared" si="87"/>
        <v>12</v>
      </c>
      <c r="H589" s="4">
        <f t="shared" si="88"/>
        <v>2022</v>
      </c>
      <c r="I589" s="2" t="s">
        <v>4</v>
      </c>
      <c r="J589" s="2" t="s">
        <v>1136</v>
      </c>
      <c r="K589" s="2" t="s">
        <v>260</v>
      </c>
      <c r="L589" s="2" t="s">
        <v>261</v>
      </c>
      <c r="M589" s="2" t="s">
        <v>119</v>
      </c>
      <c r="N589" s="4" t="str">
        <f t="shared" si="89"/>
        <v>TON</v>
      </c>
      <c r="O589" s="5">
        <v>2.5099999999999998</v>
      </c>
      <c r="Q589" t="str">
        <f t="shared" si="90"/>
        <v>MAC429YM</v>
      </c>
      <c r="R589" t="str">
        <f t="shared" si="91"/>
        <v>Dyna Flo 4-2-9YM</v>
      </c>
      <c r="S589" s="32">
        <f t="shared" si="92"/>
        <v>11.317500000000001</v>
      </c>
      <c r="U589" t="s">
        <v>261</v>
      </c>
      <c r="V589" s="32">
        <v>11.317500000000001</v>
      </c>
    </row>
    <row r="590" spans="2:22" x14ac:dyDescent="0.25">
      <c r="B590" s="1" t="s">
        <v>195</v>
      </c>
      <c r="C590" s="2" t="s">
        <v>196</v>
      </c>
      <c r="D590" s="2" t="s">
        <v>299</v>
      </c>
      <c r="E590" s="2" t="s">
        <v>300</v>
      </c>
      <c r="F590" s="3">
        <v>44896</v>
      </c>
      <c r="G590" s="4">
        <f t="shared" si="87"/>
        <v>12</v>
      </c>
      <c r="H590" s="4">
        <f t="shared" si="88"/>
        <v>2022</v>
      </c>
      <c r="I590" s="2" t="s">
        <v>4</v>
      </c>
      <c r="J590" s="2" t="s">
        <v>1137</v>
      </c>
      <c r="K590" s="2" t="s">
        <v>390</v>
      </c>
      <c r="L590" s="2" t="s">
        <v>391</v>
      </c>
      <c r="M590" s="2" t="s">
        <v>119</v>
      </c>
      <c r="N590" s="4" t="str">
        <f t="shared" si="89"/>
        <v>TON</v>
      </c>
      <c r="O590" s="5">
        <v>15</v>
      </c>
      <c r="Q590" t="str">
        <f t="shared" si="90"/>
        <v>MAC426YM2</v>
      </c>
      <c r="R590" t="str">
        <f t="shared" si="91"/>
        <v>Dyna Flo 4-2-6YM2</v>
      </c>
      <c r="S590" s="32">
        <f t="shared" si="92"/>
        <v>415.88999999999976</v>
      </c>
      <c r="U590" t="s">
        <v>391</v>
      </c>
      <c r="V590" s="32">
        <v>415.88999999999976</v>
      </c>
    </row>
    <row r="591" spans="2:22" x14ac:dyDescent="0.25">
      <c r="B591" s="1" t="s">
        <v>195</v>
      </c>
      <c r="C591" s="2" t="s">
        <v>196</v>
      </c>
      <c r="D591" s="2" t="s">
        <v>114</v>
      </c>
      <c r="E591" s="2" t="s">
        <v>377</v>
      </c>
      <c r="F591" s="3">
        <v>44896</v>
      </c>
      <c r="G591" s="4">
        <f t="shared" si="87"/>
        <v>12</v>
      </c>
      <c r="H591" s="4">
        <f t="shared" si="88"/>
        <v>2022</v>
      </c>
      <c r="I591" s="2" t="s">
        <v>4</v>
      </c>
      <c r="J591" s="2" t="s">
        <v>1138</v>
      </c>
      <c r="K591" s="2" t="s">
        <v>390</v>
      </c>
      <c r="L591" s="2" t="s">
        <v>391</v>
      </c>
      <c r="M591" s="2" t="s">
        <v>119</v>
      </c>
      <c r="N591" s="4" t="str">
        <f t="shared" si="89"/>
        <v>TON</v>
      </c>
      <c r="O591" s="5">
        <v>10.015000000000001</v>
      </c>
      <c r="Q591" t="str">
        <f t="shared" si="90"/>
        <v>MAC426YM2</v>
      </c>
      <c r="R591" t="str">
        <f t="shared" si="91"/>
        <v>Dyna Flo 4-2-6YM2</v>
      </c>
      <c r="S591" s="32">
        <f t="shared" si="92"/>
        <v>415.88999999999976</v>
      </c>
      <c r="U591" t="s">
        <v>391</v>
      </c>
      <c r="V591" s="32">
        <v>415.88999999999976</v>
      </c>
    </row>
    <row r="592" spans="2:22" x14ac:dyDescent="0.25">
      <c r="B592" s="1" t="s">
        <v>195</v>
      </c>
      <c r="C592" s="2" t="s">
        <v>196</v>
      </c>
      <c r="D592" s="2" t="s">
        <v>437</v>
      </c>
      <c r="E592" s="2" t="s">
        <v>738</v>
      </c>
      <c r="F592" s="3">
        <v>44896</v>
      </c>
      <c r="G592" s="4">
        <f t="shared" si="87"/>
        <v>12</v>
      </c>
      <c r="H592" s="4">
        <f t="shared" si="88"/>
        <v>2022</v>
      </c>
      <c r="I592" s="2" t="s">
        <v>4</v>
      </c>
      <c r="J592" s="2" t="s">
        <v>1139</v>
      </c>
      <c r="K592" s="2" t="s">
        <v>447</v>
      </c>
      <c r="L592" s="2" t="s">
        <v>448</v>
      </c>
      <c r="M592" s="2" t="s">
        <v>119</v>
      </c>
      <c r="N592" s="4" t="str">
        <f t="shared" si="89"/>
        <v>TON</v>
      </c>
      <c r="O592" s="5">
        <v>2.5</v>
      </c>
      <c r="Q592" t="str">
        <f t="shared" si="90"/>
        <v>MAC727YM15</v>
      </c>
      <c r="R592" t="str">
        <f t="shared" si="91"/>
        <v>Dyna Flo 7-2-7YM15</v>
      </c>
      <c r="S592" s="32">
        <f t="shared" si="92"/>
        <v>113.6925</v>
      </c>
      <c r="U592" t="s">
        <v>448</v>
      </c>
      <c r="V592" s="32">
        <v>113.6925</v>
      </c>
    </row>
    <row r="593" spans="2:22" x14ac:dyDescent="0.25">
      <c r="B593" s="1" t="s">
        <v>195</v>
      </c>
      <c r="C593" s="2" t="s">
        <v>196</v>
      </c>
      <c r="D593" s="2" t="s">
        <v>299</v>
      </c>
      <c r="E593" s="2" t="s">
        <v>1140</v>
      </c>
      <c r="F593" s="3">
        <v>44896</v>
      </c>
      <c r="G593" s="4">
        <f t="shared" si="87"/>
        <v>12</v>
      </c>
      <c r="H593" s="4">
        <f t="shared" si="88"/>
        <v>2022</v>
      </c>
      <c r="I593" s="2" t="s">
        <v>4</v>
      </c>
      <c r="J593" s="2" t="s">
        <v>1141</v>
      </c>
      <c r="K593" s="2" t="s">
        <v>390</v>
      </c>
      <c r="L593" s="2" t="s">
        <v>391</v>
      </c>
      <c r="M593" s="2" t="s">
        <v>119</v>
      </c>
      <c r="N593" s="4" t="str">
        <f t="shared" si="89"/>
        <v>TON</v>
      </c>
      <c r="O593" s="5">
        <v>2.5</v>
      </c>
      <c r="Q593" t="str">
        <f t="shared" si="90"/>
        <v>MAC426YM2</v>
      </c>
      <c r="R593" t="str">
        <f t="shared" si="91"/>
        <v>Dyna Flo 4-2-6YM2</v>
      </c>
      <c r="S593" s="32">
        <f t="shared" si="92"/>
        <v>415.88999999999976</v>
      </c>
      <c r="U593" t="s">
        <v>391</v>
      </c>
      <c r="V593" s="32">
        <v>415.88999999999976</v>
      </c>
    </row>
    <row r="594" spans="2:22" x14ac:dyDescent="0.25">
      <c r="B594" s="1" t="s">
        <v>195</v>
      </c>
      <c r="C594" s="2" t="s">
        <v>196</v>
      </c>
      <c r="D594" s="2" t="s">
        <v>310</v>
      </c>
      <c r="E594" s="2" t="s">
        <v>426</v>
      </c>
      <c r="F594" s="3">
        <v>44897</v>
      </c>
      <c r="G594" s="4">
        <f t="shared" si="87"/>
        <v>12</v>
      </c>
      <c r="H594" s="4">
        <f t="shared" si="88"/>
        <v>2022</v>
      </c>
      <c r="I594" s="2" t="s">
        <v>4</v>
      </c>
      <c r="J594" s="2" t="s">
        <v>1142</v>
      </c>
      <c r="K594" s="2" t="s">
        <v>428</v>
      </c>
      <c r="L594" s="2" t="s">
        <v>429</v>
      </c>
      <c r="M594" s="2" t="s">
        <v>119</v>
      </c>
      <c r="N594" s="4" t="str">
        <f t="shared" si="89"/>
        <v>TON</v>
      </c>
      <c r="O594" s="5">
        <v>3.0125000000000002</v>
      </c>
      <c r="Q594" t="str">
        <f t="shared" si="90"/>
        <v>MAC727YM3</v>
      </c>
      <c r="R594" t="str">
        <f t="shared" si="91"/>
        <v>Dyna Flo 7-2-7YM3</v>
      </c>
      <c r="S594" s="32">
        <f t="shared" si="92"/>
        <v>5.0125000000000002</v>
      </c>
      <c r="U594" t="s">
        <v>429</v>
      </c>
      <c r="V594" s="32">
        <v>5.0125000000000002</v>
      </c>
    </row>
    <row r="595" spans="2:22" x14ac:dyDescent="0.25">
      <c r="B595" s="1" t="s">
        <v>195</v>
      </c>
      <c r="C595" s="2" t="s">
        <v>196</v>
      </c>
      <c r="D595" s="2" t="s">
        <v>440</v>
      </c>
      <c r="E595" s="2" t="s">
        <v>441</v>
      </c>
      <c r="F595" s="3">
        <v>44897</v>
      </c>
      <c r="G595" s="4">
        <f t="shared" si="87"/>
        <v>12</v>
      </c>
      <c r="H595" s="4">
        <f t="shared" si="88"/>
        <v>2022</v>
      </c>
      <c r="I595" s="2" t="s">
        <v>4</v>
      </c>
      <c r="J595" s="2" t="s">
        <v>1143</v>
      </c>
      <c r="K595" s="2" t="s">
        <v>390</v>
      </c>
      <c r="L595" s="2" t="s">
        <v>391</v>
      </c>
      <c r="M595" s="2" t="s">
        <v>119</v>
      </c>
      <c r="N595" s="4" t="str">
        <f t="shared" si="89"/>
        <v>TON</v>
      </c>
      <c r="O595" s="5">
        <v>15.0075</v>
      </c>
      <c r="Q595" t="str">
        <f t="shared" si="90"/>
        <v>MAC426YM2</v>
      </c>
      <c r="R595" t="str">
        <f t="shared" si="91"/>
        <v>Dyna Flo 4-2-6YM2</v>
      </c>
      <c r="S595" s="32">
        <f t="shared" si="92"/>
        <v>415.88999999999976</v>
      </c>
      <c r="U595" t="s">
        <v>391</v>
      </c>
      <c r="V595" s="32">
        <v>415.88999999999976</v>
      </c>
    </row>
    <row r="596" spans="2:22" x14ac:dyDescent="0.25">
      <c r="B596" s="1" t="s">
        <v>195</v>
      </c>
      <c r="C596" s="2" t="s">
        <v>196</v>
      </c>
      <c r="D596" s="2" t="s">
        <v>276</v>
      </c>
      <c r="E596" s="2" t="s">
        <v>359</v>
      </c>
      <c r="F596" s="3">
        <v>44897</v>
      </c>
      <c r="G596" s="4">
        <f t="shared" si="87"/>
        <v>12</v>
      </c>
      <c r="H596" s="4">
        <f t="shared" si="88"/>
        <v>2022</v>
      </c>
      <c r="I596" s="2" t="s">
        <v>4</v>
      </c>
      <c r="J596" s="2" t="s">
        <v>1144</v>
      </c>
      <c r="K596" s="2" t="s">
        <v>292</v>
      </c>
      <c r="L596" s="2" t="s">
        <v>293</v>
      </c>
      <c r="M596" s="2" t="s">
        <v>119</v>
      </c>
      <c r="N596" s="4" t="str">
        <f t="shared" si="89"/>
        <v>TON</v>
      </c>
      <c r="O596" s="5">
        <v>2.0350000000000001</v>
      </c>
      <c r="Q596" t="str">
        <f t="shared" si="90"/>
        <v>MAC608YB5</v>
      </c>
      <c r="R596" t="str">
        <f t="shared" si="91"/>
        <v>Dyna Flo 6-0-8 YB5</v>
      </c>
      <c r="S596" s="32">
        <f t="shared" si="92"/>
        <v>78.175000000000011</v>
      </c>
      <c r="U596" t="s">
        <v>293</v>
      </c>
      <c r="V596" s="32">
        <v>78.175000000000011</v>
      </c>
    </row>
    <row r="597" spans="2:22" x14ac:dyDescent="0.25">
      <c r="B597" s="1" t="s">
        <v>195</v>
      </c>
      <c r="C597" s="2" t="s">
        <v>196</v>
      </c>
      <c r="D597" s="2" t="s">
        <v>276</v>
      </c>
      <c r="E597" s="2" t="s">
        <v>277</v>
      </c>
      <c r="F597" s="3">
        <v>44897</v>
      </c>
      <c r="G597" s="4">
        <f t="shared" si="87"/>
        <v>12</v>
      </c>
      <c r="H597" s="4">
        <f t="shared" si="88"/>
        <v>2022</v>
      </c>
      <c r="I597" s="2" t="s">
        <v>4</v>
      </c>
      <c r="J597" s="2" t="s">
        <v>1145</v>
      </c>
      <c r="K597" s="2" t="s">
        <v>292</v>
      </c>
      <c r="L597" s="2" t="s">
        <v>293</v>
      </c>
      <c r="M597" s="2" t="s">
        <v>119</v>
      </c>
      <c r="N597" s="4" t="str">
        <f t="shared" si="89"/>
        <v>TON</v>
      </c>
      <c r="O597" s="5">
        <v>2.0099999999999998</v>
      </c>
      <c r="Q597" t="str">
        <f t="shared" si="90"/>
        <v>MAC608YB5</v>
      </c>
      <c r="R597" t="str">
        <f t="shared" si="91"/>
        <v>Dyna Flo 6-0-8 YB5</v>
      </c>
      <c r="S597" s="32">
        <f t="shared" si="92"/>
        <v>78.175000000000011</v>
      </c>
      <c r="U597" t="s">
        <v>293</v>
      </c>
      <c r="V597" s="32">
        <v>78.175000000000011</v>
      </c>
    </row>
    <row r="598" spans="2:22" x14ac:dyDescent="0.25">
      <c r="B598" s="1" t="s">
        <v>195</v>
      </c>
      <c r="C598" s="2" t="s">
        <v>196</v>
      </c>
      <c r="D598" s="2" t="s">
        <v>276</v>
      </c>
      <c r="E598" s="2" t="s">
        <v>692</v>
      </c>
      <c r="F598" s="3">
        <v>44897</v>
      </c>
      <c r="G598" s="4">
        <f t="shared" si="87"/>
        <v>12</v>
      </c>
      <c r="H598" s="4">
        <f t="shared" si="88"/>
        <v>2022</v>
      </c>
      <c r="I598" s="2" t="s">
        <v>4</v>
      </c>
      <c r="J598" s="2" t="s">
        <v>1146</v>
      </c>
      <c r="K598" s="2" t="s">
        <v>122</v>
      </c>
      <c r="L598" s="2" t="s">
        <v>123</v>
      </c>
      <c r="M598" s="2" t="s">
        <v>119</v>
      </c>
      <c r="N598" s="4" t="str">
        <f t="shared" si="89"/>
        <v>TON</v>
      </c>
      <c r="O598" s="5">
        <v>10.045</v>
      </c>
      <c r="Q598" t="str">
        <f t="shared" si="90"/>
        <v>MAC528YZ</v>
      </c>
      <c r="R598" t="str">
        <f t="shared" si="91"/>
        <v>Dyna Flo 5-2-8 YZ</v>
      </c>
      <c r="S598" s="32">
        <f t="shared" si="92"/>
        <v>395.40750000000003</v>
      </c>
      <c r="U598" t="s">
        <v>123</v>
      </c>
      <c r="V598" s="32">
        <v>395.40750000000003</v>
      </c>
    </row>
    <row r="599" spans="2:22" x14ac:dyDescent="0.25">
      <c r="B599" s="1" t="s">
        <v>195</v>
      </c>
      <c r="C599" s="2" t="s">
        <v>196</v>
      </c>
      <c r="D599" s="2" t="s">
        <v>215</v>
      </c>
      <c r="E599" s="2" t="s">
        <v>858</v>
      </c>
      <c r="F599" s="3">
        <v>44897</v>
      </c>
      <c r="G599" s="4">
        <f t="shared" si="87"/>
        <v>12</v>
      </c>
      <c r="H599" s="4">
        <f t="shared" si="88"/>
        <v>2022</v>
      </c>
      <c r="I599" s="2" t="s">
        <v>4</v>
      </c>
      <c r="J599" s="2" t="s">
        <v>1147</v>
      </c>
      <c r="K599" s="2" t="s">
        <v>447</v>
      </c>
      <c r="L599" s="2" t="s">
        <v>448</v>
      </c>
      <c r="M599" s="2" t="s">
        <v>119</v>
      </c>
      <c r="N599" s="4" t="str">
        <f t="shared" si="89"/>
        <v>TON</v>
      </c>
      <c r="O599" s="5">
        <v>4.01</v>
      </c>
      <c r="Q599" t="str">
        <f t="shared" si="90"/>
        <v>MAC727YM15</v>
      </c>
      <c r="R599" t="str">
        <f t="shared" si="91"/>
        <v>Dyna Flo 7-2-7YM15</v>
      </c>
      <c r="S599" s="32">
        <f t="shared" si="92"/>
        <v>113.6925</v>
      </c>
      <c r="U599" t="s">
        <v>448</v>
      </c>
      <c r="V599" s="32">
        <v>113.6925</v>
      </c>
    </row>
    <row r="600" spans="2:22" x14ac:dyDescent="0.25">
      <c r="B600" s="1" t="s">
        <v>195</v>
      </c>
      <c r="C600" s="2" t="s">
        <v>196</v>
      </c>
      <c r="D600" s="2" t="s">
        <v>232</v>
      </c>
      <c r="E600" s="2" t="s">
        <v>778</v>
      </c>
      <c r="F600" s="3">
        <v>44897</v>
      </c>
      <c r="G600" s="4">
        <f t="shared" si="87"/>
        <v>12</v>
      </c>
      <c r="H600" s="4">
        <f t="shared" si="88"/>
        <v>2022</v>
      </c>
      <c r="I600" s="2" t="s">
        <v>4</v>
      </c>
      <c r="J600" s="2" t="s">
        <v>1148</v>
      </c>
      <c r="K600" s="2" t="s">
        <v>329</v>
      </c>
      <c r="L600" s="2" t="s">
        <v>330</v>
      </c>
      <c r="M600" s="2" t="s">
        <v>119</v>
      </c>
      <c r="N600" s="4" t="str">
        <f t="shared" si="89"/>
        <v>TON</v>
      </c>
      <c r="O600" s="5">
        <v>5</v>
      </c>
      <c r="Q600" t="str">
        <f t="shared" si="90"/>
        <v>MAC628YM8</v>
      </c>
      <c r="R600" t="str">
        <f t="shared" si="91"/>
        <v>Dyna Flo 6-2-8YM8</v>
      </c>
      <c r="S600" s="32">
        <f t="shared" si="92"/>
        <v>247.51499999999996</v>
      </c>
      <c r="U600" t="s">
        <v>330</v>
      </c>
      <c r="V600" s="32">
        <v>247.51499999999996</v>
      </c>
    </row>
    <row r="601" spans="2:22" x14ac:dyDescent="0.25">
      <c r="B601" s="1" t="s">
        <v>195</v>
      </c>
      <c r="C601" s="2" t="s">
        <v>196</v>
      </c>
      <c r="D601" s="2" t="s">
        <v>285</v>
      </c>
      <c r="E601" s="2" t="s">
        <v>141</v>
      </c>
      <c r="F601" s="3">
        <v>44897</v>
      </c>
      <c r="G601" s="4">
        <f t="shared" si="87"/>
        <v>12</v>
      </c>
      <c r="H601" s="4">
        <f t="shared" si="88"/>
        <v>2022</v>
      </c>
      <c r="I601" s="2" t="s">
        <v>4</v>
      </c>
      <c r="J601" s="2" t="s">
        <v>1149</v>
      </c>
      <c r="K601" s="2" t="s">
        <v>1150</v>
      </c>
      <c r="L601" s="2" t="s">
        <v>1151</v>
      </c>
      <c r="M601" s="2" t="s">
        <v>8</v>
      </c>
      <c r="N601" s="4" t="str">
        <f t="shared" si="89"/>
        <v>GAL</v>
      </c>
      <c r="O601" s="5">
        <v>60</v>
      </c>
      <c r="Q601" t="str">
        <f t="shared" si="90"/>
        <v>PHURYMG30</v>
      </c>
      <c r="R601" t="str">
        <f t="shared" si="91"/>
        <v>pHury w/Magnesium</v>
      </c>
      <c r="S601" s="32">
        <f t="shared" si="92"/>
        <v>810</v>
      </c>
      <c r="U601" t="s">
        <v>1151</v>
      </c>
      <c r="V601" s="32">
        <v>810</v>
      </c>
    </row>
    <row r="602" spans="2:22" x14ac:dyDescent="0.25">
      <c r="B602" s="1" t="s">
        <v>195</v>
      </c>
      <c r="C602" s="2" t="s">
        <v>196</v>
      </c>
      <c r="D602" s="2" t="s">
        <v>884</v>
      </c>
      <c r="E602" s="2" t="s">
        <v>141</v>
      </c>
      <c r="F602" s="3">
        <v>44900</v>
      </c>
      <c r="G602" s="4">
        <f t="shared" si="87"/>
        <v>12</v>
      </c>
      <c r="H602" s="4">
        <f t="shared" si="88"/>
        <v>2022</v>
      </c>
      <c r="I602" s="2" t="s">
        <v>4</v>
      </c>
      <c r="J602" s="2" t="s">
        <v>1152</v>
      </c>
      <c r="K602" s="2" t="s">
        <v>531</v>
      </c>
      <c r="L602" s="2" t="s">
        <v>201</v>
      </c>
      <c r="M602" s="2" t="s">
        <v>202</v>
      </c>
      <c r="N602" s="4" t="str">
        <f t="shared" si="89"/>
        <v>GAL</v>
      </c>
      <c r="O602" s="5">
        <v>30</v>
      </c>
      <c r="Q602" t="str">
        <f t="shared" si="90"/>
        <v>FLO15001630</v>
      </c>
      <c r="R602" t="str">
        <f t="shared" si="91"/>
        <v>Vented pHury</v>
      </c>
      <c r="S602" s="32">
        <f t="shared" si="92"/>
        <v>965</v>
      </c>
      <c r="U602" t="s">
        <v>201</v>
      </c>
      <c r="V602" s="32">
        <v>965</v>
      </c>
    </row>
    <row r="603" spans="2:22" x14ac:dyDescent="0.25">
      <c r="B603" s="1" t="s">
        <v>195</v>
      </c>
      <c r="C603" s="2" t="s">
        <v>196</v>
      </c>
      <c r="D603" s="2" t="s">
        <v>265</v>
      </c>
      <c r="E603" s="2" t="s">
        <v>266</v>
      </c>
      <c r="F603" s="3">
        <v>44897</v>
      </c>
      <c r="G603" s="4">
        <f t="shared" si="87"/>
        <v>12</v>
      </c>
      <c r="H603" s="4">
        <f t="shared" si="88"/>
        <v>2022</v>
      </c>
      <c r="I603" s="2" t="s">
        <v>4</v>
      </c>
      <c r="J603" s="2" t="s">
        <v>1153</v>
      </c>
      <c r="K603" s="2" t="s">
        <v>268</v>
      </c>
      <c r="L603" s="2" t="s">
        <v>269</v>
      </c>
      <c r="M603" s="2" t="s">
        <v>119</v>
      </c>
      <c r="N603" s="4" t="str">
        <f t="shared" si="89"/>
        <v>TON</v>
      </c>
      <c r="O603" s="5">
        <v>0.15</v>
      </c>
      <c r="Q603" t="str">
        <f t="shared" si="90"/>
        <v>MAC927YM1</v>
      </c>
      <c r="R603" t="str">
        <f t="shared" si="91"/>
        <v>Dyna Flo 9-2-7YM1</v>
      </c>
      <c r="S603" s="32">
        <f t="shared" si="92"/>
        <v>2.5249999999999995</v>
      </c>
      <c r="U603" t="s">
        <v>269</v>
      </c>
      <c r="V603" s="32">
        <v>2.5249999999999995</v>
      </c>
    </row>
    <row r="604" spans="2:22" x14ac:dyDescent="0.25">
      <c r="B604" s="1" t="s">
        <v>195</v>
      </c>
      <c r="C604" s="2" t="s">
        <v>196</v>
      </c>
      <c r="D604" s="2" t="s">
        <v>238</v>
      </c>
      <c r="E604" s="2" t="s">
        <v>1154</v>
      </c>
      <c r="F604" s="3">
        <v>44900</v>
      </c>
      <c r="G604" s="4">
        <f t="shared" si="87"/>
        <v>12</v>
      </c>
      <c r="H604" s="4">
        <f t="shared" si="88"/>
        <v>2022</v>
      </c>
      <c r="I604" s="2" t="s">
        <v>4</v>
      </c>
      <c r="J604" s="2" t="s">
        <v>1155</v>
      </c>
      <c r="K604" s="2" t="s">
        <v>122</v>
      </c>
      <c r="L604" s="2" t="s">
        <v>123</v>
      </c>
      <c r="M604" s="2" t="s">
        <v>119</v>
      </c>
      <c r="N604" s="4" t="str">
        <f t="shared" si="89"/>
        <v>TON</v>
      </c>
      <c r="O604" s="5">
        <v>2.9824999999999999</v>
      </c>
      <c r="Q604" t="str">
        <f t="shared" si="90"/>
        <v>MAC528YZ</v>
      </c>
      <c r="R604" t="str">
        <f t="shared" si="91"/>
        <v>Dyna Flo 5-2-8 YZ</v>
      </c>
      <c r="S604" s="32">
        <f t="shared" si="92"/>
        <v>395.40750000000003</v>
      </c>
      <c r="U604" t="s">
        <v>123</v>
      </c>
      <c r="V604" s="32">
        <v>395.40750000000003</v>
      </c>
    </row>
    <row r="605" spans="2:22" x14ac:dyDescent="0.25">
      <c r="B605" s="1" t="s">
        <v>195</v>
      </c>
      <c r="C605" s="2" t="s">
        <v>196</v>
      </c>
      <c r="D605" s="2" t="s">
        <v>238</v>
      </c>
      <c r="E605" s="2" t="s">
        <v>1156</v>
      </c>
      <c r="F605" s="3">
        <v>44900</v>
      </c>
      <c r="G605" s="4">
        <f t="shared" si="87"/>
        <v>12</v>
      </c>
      <c r="H605" s="4">
        <f t="shared" si="88"/>
        <v>2022</v>
      </c>
      <c r="I605" s="2" t="s">
        <v>4</v>
      </c>
      <c r="J605" s="2" t="s">
        <v>1157</v>
      </c>
      <c r="K605" s="2" t="s">
        <v>122</v>
      </c>
      <c r="L605" s="2" t="s">
        <v>123</v>
      </c>
      <c r="M605" s="2" t="s">
        <v>119</v>
      </c>
      <c r="N605" s="4" t="str">
        <f t="shared" si="89"/>
        <v>TON</v>
      </c>
      <c r="O605" s="5">
        <v>4.0075000000000003</v>
      </c>
      <c r="Q605" t="str">
        <f t="shared" si="90"/>
        <v>MAC528YZ</v>
      </c>
      <c r="R605" t="str">
        <f t="shared" si="91"/>
        <v>Dyna Flo 5-2-8 YZ</v>
      </c>
      <c r="S605" s="32">
        <f t="shared" si="92"/>
        <v>395.40750000000003</v>
      </c>
      <c r="U605" t="s">
        <v>123</v>
      </c>
      <c r="V605" s="32">
        <v>395.40750000000003</v>
      </c>
    </row>
    <row r="606" spans="2:22" x14ac:dyDescent="0.25">
      <c r="B606" s="1" t="s">
        <v>195</v>
      </c>
      <c r="C606" s="2" t="s">
        <v>196</v>
      </c>
      <c r="D606" s="2" t="s">
        <v>280</v>
      </c>
      <c r="E606" s="2" t="s">
        <v>868</v>
      </c>
      <c r="F606" s="3">
        <v>44900</v>
      </c>
      <c r="G606" s="4">
        <f t="shared" si="87"/>
        <v>12</v>
      </c>
      <c r="H606" s="4">
        <f t="shared" si="88"/>
        <v>2022</v>
      </c>
      <c r="I606" s="2" t="s">
        <v>4</v>
      </c>
      <c r="J606" s="2" t="s">
        <v>1158</v>
      </c>
      <c r="K606" s="2" t="s">
        <v>390</v>
      </c>
      <c r="L606" s="2" t="s">
        <v>391</v>
      </c>
      <c r="M606" s="2" t="s">
        <v>119</v>
      </c>
      <c r="N606" s="4" t="str">
        <f t="shared" si="89"/>
        <v>TON</v>
      </c>
      <c r="O606" s="5">
        <v>4.5125000000000002</v>
      </c>
      <c r="Q606" t="str">
        <f t="shared" si="90"/>
        <v>MAC426YM2</v>
      </c>
      <c r="R606" t="str">
        <f t="shared" si="91"/>
        <v>Dyna Flo 4-2-6YM2</v>
      </c>
      <c r="S606" s="32">
        <f t="shared" si="92"/>
        <v>415.88999999999976</v>
      </c>
      <c r="U606" t="s">
        <v>391</v>
      </c>
      <c r="V606" s="32">
        <v>415.88999999999976</v>
      </c>
    </row>
    <row r="607" spans="2:22" x14ac:dyDescent="0.25">
      <c r="B607" s="1" t="s">
        <v>195</v>
      </c>
      <c r="C607" s="2" t="s">
        <v>196</v>
      </c>
      <c r="D607" s="2" t="s">
        <v>790</v>
      </c>
      <c r="E607" s="2" t="s">
        <v>1159</v>
      </c>
      <c r="F607" s="3">
        <v>44900</v>
      </c>
      <c r="G607" s="4">
        <f t="shared" si="87"/>
        <v>12</v>
      </c>
      <c r="H607" s="4">
        <f t="shared" si="88"/>
        <v>2022</v>
      </c>
      <c r="I607" s="2" t="s">
        <v>4</v>
      </c>
      <c r="J607" s="2" t="s">
        <v>1160</v>
      </c>
      <c r="K607" s="2" t="s">
        <v>122</v>
      </c>
      <c r="L607" s="2" t="s">
        <v>123</v>
      </c>
      <c r="M607" s="2" t="s">
        <v>119</v>
      </c>
      <c r="N607" s="4" t="str">
        <f t="shared" si="89"/>
        <v>TON</v>
      </c>
      <c r="O607" s="5">
        <v>5.0350000000000001</v>
      </c>
      <c r="Q607" t="str">
        <f t="shared" si="90"/>
        <v>MAC528YZ</v>
      </c>
      <c r="R607" t="str">
        <f t="shared" si="91"/>
        <v>Dyna Flo 5-2-8 YZ</v>
      </c>
      <c r="S607" s="32">
        <f t="shared" si="92"/>
        <v>395.40750000000003</v>
      </c>
      <c r="U607" t="s">
        <v>123</v>
      </c>
      <c r="V607" s="32">
        <v>395.40750000000003</v>
      </c>
    </row>
    <row r="608" spans="2:22" x14ac:dyDescent="0.25">
      <c r="B608" s="1" t="s">
        <v>195</v>
      </c>
      <c r="C608" s="2" t="s">
        <v>196</v>
      </c>
      <c r="D608" s="2" t="s">
        <v>248</v>
      </c>
      <c r="E608" s="2" t="s">
        <v>249</v>
      </c>
      <c r="F608" s="3">
        <v>44898</v>
      </c>
      <c r="G608" s="4">
        <f t="shared" si="87"/>
        <v>12</v>
      </c>
      <c r="H608" s="4">
        <f t="shared" si="88"/>
        <v>2022</v>
      </c>
      <c r="I608" s="2" t="s">
        <v>4</v>
      </c>
      <c r="J608" s="2" t="s">
        <v>1161</v>
      </c>
      <c r="K608" s="2" t="s">
        <v>117</v>
      </c>
      <c r="L608" s="2" t="s">
        <v>118</v>
      </c>
      <c r="M608" s="2" t="s">
        <v>119</v>
      </c>
      <c r="N608" s="4" t="str">
        <f t="shared" si="89"/>
        <v>TON</v>
      </c>
      <c r="O608" s="5">
        <v>15.047499999999999</v>
      </c>
      <c r="Q608" t="str">
        <f t="shared" si="90"/>
        <v>MAC428YM8</v>
      </c>
      <c r="R608" t="str">
        <f t="shared" si="91"/>
        <v>Dyna Flo 4-2-8YM8</v>
      </c>
      <c r="S608" s="32">
        <f t="shared" si="92"/>
        <v>517.73950000000002</v>
      </c>
      <c r="U608" t="s">
        <v>118</v>
      </c>
      <c r="V608" s="32">
        <v>517.73950000000002</v>
      </c>
    </row>
    <row r="609" spans="2:22" x14ac:dyDescent="0.25">
      <c r="B609" s="1" t="s">
        <v>195</v>
      </c>
      <c r="C609" s="2" t="s">
        <v>196</v>
      </c>
      <c r="D609" s="2" t="s">
        <v>114</v>
      </c>
      <c r="E609" s="2" t="s">
        <v>274</v>
      </c>
      <c r="F609" s="3">
        <v>44898</v>
      </c>
      <c r="G609" s="4">
        <f t="shared" si="87"/>
        <v>12</v>
      </c>
      <c r="H609" s="4">
        <f t="shared" si="88"/>
        <v>2022</v>
      </c>
      <c r="I609" s="2" t="s">
        <v>4</v>
      </c>
      <c r="J609" s="2" t="s">
        <v>1162</v>
      </c>
      <c r="K609" s="2" t="s">
        <v>390</v>
      </c>
      <c r="L609" s="2" t="s">
        <v>391</v>
      </c>
      <c r="M609" s="2" t="s">
        <v>119</v>
      </c>
      <c r="N609" s="4" t="str">
        <f t="shared" si="89"/>
        <v>TON</v>
      </c>
      <c r="O609" s="5">
        <v>3.53</v>
      </c>
      <c r="Q609" t="str">
        <f t="shared" si="90"/>
        <v>MAC426YM2</v>
      </c>
      <c r="R609" t="str">
        <f t="shared" si="91"/>
        <v>Dyna Flo 4-2-6YM2</v>
      </c>
      <c r="S609" s="32">
        <f t="shared" si="92"/>
        <v>415.88999999999976</v>
      </c>
      <c r="U609" t="s">
        <v>391</v>
      </c>
      <c r="V609" s="32">
        <v>415.88999999999976</v>
      </c>
    </row>
    <row r="610" spans="2:22" x14ac:dyDescent="0.25">
      <c r="B610" s="1" t="s">
        <v>195</v>
      </c>
      <c r="C610" s="2" t="s">
        <v>196</v>
      </c>
      <c r="D610" s="2" t="s">
        <v>114</v>
      </c>
      <c r="E610" s="2" t="s">
        <v>336</v>
      </c>
      <c r="F610" s="3">
        <v>44898</v>
      </c>
      <c r="G610" s="4">
        <f t="shared" si="87"/>
        <v>12</v>
      </c>
      <c r="H610" s="4">
        <f t="shared" si="88"/>
        <v>2022</v>
      </c>
      <c r="I610" s="2" t="s">
        <v>4</v>
      </c>
      <c r="J610" s="2" t="s">
        <v>1163</v>
      </c>
      <c r="K610" s="2" t="s">
        <v>390</v>
      </c>
      <c r="L610" s="2" t="s">
        <v>391</v>
      </c>
      <c r="M610" s="2" t="s">
        <v>119</v>
      </c>
      <c r="N610" s="4" t="str">
        <f t="shared" si="89"/>
        <v>TON</v>
      </c>
      <c r="O610" s="5">
        <v>2.5525000000000002</v>
      </c>
      <c r="Q610" t="str">
        <f t="shared" si="90"/>
        <v>MAC426YM2</v>
      </c>
      <c r="R610" t="str">
        <f t="shared" si="91"/>
        <v>Dyna Flo 4-2-6YM2</v>
      </c>
      <c r="S610" s="32">
        <f t="shared" si="92"/>
        <v>415.88999999999976</v>
      </c>
      <c r="U610" t="s">
        <v>391</v>
      </c>
      <c r="V610" s="32">
        <v>415.88999999999976</v>
      </c>
    </row>
    <row r="611" spans="2:22" x14ac:dyDescent="0.25">
      <c r="B611" s="1" t="s">
        <v>195</v>
      </c>
      <c r="C611" s="2" t="s">
        <v>196</v>
      </c>
      <c r="D611" s="2" t="s">
        <v>114</v>
      </c>
      <c r="E611" s="2" t="s">
        <v>491</v>
      </c>
      <c r="F611" s="3">
        <v>44898</v>
      </c>
      <c r="G611" s="4">
        <f t="shared" si="87"/>
        <v>12</v>
      </c>
      <c r="H611" s="4">
        <f t="shared" si="88"/>
        <v>2022</v>
      </c>
      <c r="I611" s="2" t="s">
        <v>4</v>
      </c>
      <c r="J611" s="2" t="s">
        <v>1164</v>
      </c>
      <c r="K611" s="2" t="s">
        <v>390</v>
      </c>
      <c r="L611" s="2" t="s">
        <v>391</v>
      </c>
      <c r="M611" s="2" t="s">
        <v>119</v>
      </c>
      <c r="N611" s="4" t="str">
        <f t="shared" si="89"/>
        <v>TON</v>
      </c>
      <c r="O611" s="5">
        <v>2.9975000000000001</v>
      </c>
      <c r="Q611" t="str">
        <f t="shared" si="90"/>
        <v>MAC426YM2</v>
      </c>
      <c r="R611" t="str">
        <f t="shared" si="91"/>
        <v>Dyna Flo 4-2-6YM2</v>
      </c>
      <c r="S611" s="32">
        <f t="shared" si="92"/>
        <v>415.88999999999976</v>
      </c>
      <c r="U611" t="s">
        <v>391</v>
      </c>
      <c r="V611" s="32">
        <v>415.88999999999976</v>
      </c>
    </row>
    <row r="612" spans="2:22" x14ac:dyDescent="0.25">
      <c r="B612" s="1" t="s">
        <v>195</v>
      </c>
      <c r="C612" s="2" t="s">
        <v>196</v>
      </c>
      <c r="D612" s="2" t="s">
        <v>280</v>
      </c>
      <c r="E612" s="2" t="s">
        <v>254</v>
      </c>
      <c r="F612" s="3">
        <v>44898</v>
      </c>
      <c r="G612" s="4">
        <f t="shared" si="87"/>
        <v>12</v>
      </c>
      <c r="H612" s="4">
        <f t="shared" si="88"/>
        <v>2022</v>
      </c>
      <c r="I612" s="2" t="s">
        <v>4</v>
      </c>
      <c r="J612" s="2" t="s">
        <v>1165</v>
      </c>
      <c r="K612" s="2" t="s">
        <v>390</v>
      </c>
      <c r="L612" s="2" t="s">
        <v>391</v>
      </c>
      <c r="M612" s="2" t="s">
        <v>119</v>
      </c>
      <c r="N612" s="4" t="str">
        <f t="shared" si="89"/>
        <v>TON</v>
      </c>
      <c r="O612" s="5">
        <v>5.01</v>
      </c>
      <c r="Q612" t="str">
        <f t="shared" si="90"/>
        <v>MAC426YM2</v>
      </c>
      <c r="R612" t="str">
        <f t="shared" si="91"/>
        <v>Dyna Flo 4-2-6YM2</v>
      </c>
      <c r="S612" s="32">
        <f t="shared" si="92"/>
        <v>415.88999999999976</v>
      </c>
      <c r="U612" t="s">
        <v>391</v>
      </c>
      <c r="V612" s="32">
        <v>415.88999999999976</v>
      </c>
    </row>
    <row r="613" spans="2:22" x14ac:dyDescent="0.25">
      <c r="B613" s="1" t="s">
        <v>195</v>
      </c>
      <c r="C613" s="2" t="s">
        <v>196</v>
      </c>
      <c r="D613" s="2" t="s">
        <v>715</v>
      </c>
      <c r="E613" s="2" t="s">
        <v>971</v>
      </c>
      <c r="F613" s="3">
        <v>44900</v>
      </c>
      <c r="G613" s="4">
        <f t="shared" si="87"/>
        <v>12</v>
      </c>
      <c r="H613" s="4">
        <f t="shared" si="88"/>
        <v>2022</v>
      </c>
      <c r="I613" s="2" t="s">
        <v>4</v>
      </c>
      <c r="J613" s="2" t="s">
        <v>1166</v>
      </c>
      <c r="K613" s="2" t="s">
        <v>329</v>
      </c>
      <c r="L613" s="2" t="s">
        <v>330</v>
      </c>
      <c r="M613" s="2" t="s">
        <v>119</v>
      </c>
      <c r="N613" s="4" t="str">
        <f t="shared" si="89"/>
        <v>TON</v>
      </c>
      <c r="O613" s="5">
        <v>1.2450000000000001</v>
      </c>
      <c r="Q613" t="str">
        <f t="shared" si="90"/>
        <v>MAC628YM8</v>
      </c>
      <c r="R613" t="str">
        <f t="shared" si="91"/>
        <v>Dyna Flo 6-2-8YM8</v>
      </c>
      <c r="S613" s="32">
        <f t="shared" si="92"/>
        <v>247.51499999999996</v>
      </c>
      <c r="U613" t="s">
        <v>330</v>
      </c>
      <c r="V613" s="32">
        <v>247.51499999999996</v>
      </c>
    </row>
    <row r="614" spans="2:22" x14ac:dyDescent="0.25">
      <c r="B614" s="1" t="s">
        <v>195</v>
      </c>
      <c r="C614" s="2" t="s">
        <v>196</v>
      </c>
      <c r="D614" s="2" t="s">
        <v>452</v>
      </c>
      <c r="E614" s="2" t="s">
        <v>1167</v>
      </c>
      <c r="F614" s="3">
        <v>44900</v>
      </c>
      <c r="G614" s="4">
        <f t="shared" si="87"/>
        <v>12</v>
      </c>
      <c r="H614" s="4">
        <f t="shared" si="88"/>
        <v>2022</v>
      </c>
      <c r="I614" s="2" t="s">
        <v>4</v>
      </c>
      <c r="J614" s="2" t="s">
        <v>1168</v>
      </c>
      <c r="K614" s="2" t="s">
        <v>447</v>
      </c>
      <c r="L614" s="2" t="s">
        <v>448</v>
      </c>
      <c r="M614" s="2" t="s">
        <v>119</v>
      </c>
      <c r="N614" s="4" t="str">
        <f t="shared" si="89"/>
        <v>TON</v>
      </c>
      <c r="O614" s="5">
        <v>1.4824999999999999</v>
      </c>
      <c r="Q614" t="str">
        <f t="shared" si="90"/>
        <v>MAC727YM15</v>
      </c>
      <c r="R614" t="str">
        <f t="shared" si="91"/>
        <v>Dyna Flo 7-2-7YM15</v>
      </c>
      <c r="S614" s="32">
        <f t="shared" si="92"/>
        <v>113.6925</v>
      </c>
      <c r="U614" t="s">
        <v>448</v>
      </c>
      <c r="V614" s="32">
        <v>113.6925</v>
      </c>
    </row>
    <row r="615" spans="2:22" x14ac:dyDescent="0.25">
      <c r="B615" s="1" t="s">
        <v>195</v>
      </c>
      <c r="C615" s="2" t="s">
        <v>196</v>
      </c>
      <c r="D615" s="2" t="s">
        <v>452</v>
      </c>
      <c r="E615" s="2" t="s">
        <v>453</v>
      </c>
      <c r="F615" s="3">
        <v>44900</v>
      </c>
      <c r="G615" s="4">
        <f t="shared" si="87"/>
        <v>12</v>
      </c>
      <c r="H615" s="4">
        <f t="shared" si="88"/>
        <v>2022</v>
      </c>
      <c r="I615" s="2" t="s">
        <v>4</v>
      </c>
      <c r="J615" s="2" t="s">
        <v>1169</v>
      </c>
      <c r="K615" s="2" t="s">
        <v>117</v>
      </c>
      <c r="L615" s="2" t="s">
        <v>118</v>
      </c>
      <c r="M615" s="2" t="s">
        <v>119</v>
      </c>
      <c r="N615" s="4" t="str">
        <f t="shared" si="89"/>
        <v>TON</v>
      </c>
      <c r="O615" s="5">
        <v>2.5125000000000002</v>
      </c>
      <c r="Q615" t="str">
        <f t="shared" si="90"/>
        <v>MAC428YM8</v>
      </c>
      <c r="R615" t="str">
        <f t="shared" si="91"/>
        <v>Dyna Flo 4-2-8YM8</v>
      </c>
      <c r="S615" s="32">
        <f t="shared" si="92"/>
        <v>517.73950000000002</v>
      </c>
      <c r="U615" t="s">
        <v>118</v>
      </c>
      <c r="V615" s="32">
        <v>517.73950000000002</v>
      </c>
    </row>
    <row r="616" spans="2:22" x14ac:dyDescent="0.25">
      <c r="B616" s="1" t="s">
        <v>195</v>
      </c>
      <c r="C616" s="2" t="s">
        <v>196</v>
      </c>
      <c r="D616" s="2" t="s">
        <v>262</v>
      </c>
      <c r="E616" s="2" t="s">
        <v>1170</v>
      </c>
      <c r="F616" s="3">
        <v>44900</v>
      </c>
      <c r="G616" s="4">
        <f t="shared" si="87"/>
        <v>12</v>
      </c>
      <c r="H616" s="4">
        <f t="shared" si="88"/>
        <v>2022</v>
      </c>
      <c r="I616" s="2" t="s">
        <v>4</v>
      </c>
      <c r="J616" s="2" t="s">
        <v>1171</v>
      </c>
      <c r="K616" s="2" t="s">
        <v>329</v>
      </c>
      <c r="L616" s="2" t="s">
        <v>330</v>
      </c>
      <c r="M616" s="2" t="s">
        <v>119</v>
      </c>
      <c r="N616" s="4" t="str">
        <f t="shared" si="89"/>
        <v>TON</v>
      </c>
      <c r="O616" s="5">
        <v>15.0025</v>
      </c>
      <c r="Q616" t="str">
        <f t="shared" si="90"/>
        <v>MAC628YM8</v>
      </c>
      <c r="R616" t="str">
        <f t="shared" si="91"/>
        <v>Dyna Flo 6-2-8YM8</v>
      </c>
      <c r="S616" s="32">
        <f t="shared" si="92"/>
        <v>247.51499999999996</v>
      </c>
      <c r="U616" t="s">
        <v>330</v>
      </c>
      <c r="V616" s="32">
        <v>247.51499999999996</v>
      </c>
    </row>
    <row r="617" spans="2:22" x14ac:dyDescent="0.25">
      <c r="B617" s="1" t="s">
        <v>195</v>
      </c>
      <c r="C617" s="2" t="s">
        <v>196</v>
      </c>
      <c r="D617" s="2" t="s">
        <v>265</v>
      </c>
      <c r="E617" s="2" t="s">
        <v>1172</v>
      </c>
      <c r="F617" s="3">
        <v>44900</v>
      </c>
      <c r="G617" s="4">
        <f t="shared" si="87"/>
        <v>12</v>
      </c>
      <c r="H617" s="4">
        <f t="shared" si="88"/>
        <v>2022</v>
      </c>
      <c r="I617" s="2" t="s">
        <v>4</v>
      </c>
      <c r="J617" s="2" t="s">
        <v>1173</v>
      </c>
      <c r="K617" s="2" t="s">
        <v>268</v>
      </c>
      <c r="L617" s="2" t="s">
        <v>269</v>
      </c>
      <c r="M617" s="2" t="s">
        <v>119</v>
      </c>
      <c r="N617" s="4" t="str">
        <f t="shared" si="89"/>
        <v>TON</v>
      </c>
      <c r="O617" s="5">
        <v>1</v>
      </c>
      <c r="Q617" t="str">
        <f t="shared" si="90"/>
        <v>MAC927YM1</v>
      </c>
      <c r="R617" t="str">
        <f t="shared" si="91"/>
        <v>Dyna Flo 9-2-7YM1</v>
      </c>
      <c r="S617" s="32">
        <f t="shared" si="92"/>
        <v>2.5249999999999995</v>
      </c>
      <c r="U617" t="s">
        <v>269</v>
      </c>
      <c r="V617" s="32">
        <v>2.5249999999999995</v>
      </c>
    </row>
    <row r="618" spans="2:22" x14ac:dyDescent="0.25">
      <c r="B618" s="1" t="s">
        <v>195</v>
      </c>
      <c r="C618" s="2" t="s">
        <v>196</v>
      </c>
      <c r="D618" s="2" t="s">
        <v>317</v>
      </c>
      <c r="E618" s="2" t="s">
        <v>319</v>
      </c>
      <c r="F618" s="3">
        <v>44900</v>
      </c>
      <c r="G618" s="4">
        <f t="shared" si="87"/>
        <v>12</v>
      </c>
      <c r="H618" s="4">
        <f t="shared" si="88"/>
        <v>2022</v>
      </c>
      <c r="I618" s="2" t="s">
        <v>4</v>
      </c>
      <c r="J618" s="2" t="s">
        <v>1174</v>
      </c>
      <c r="K618" s="2" t="s">
        <v>390</v>
      </c>
      <c r="L618" s="2" t="s">
        <v>391</v>
      </c>
      <c r="M618" s="2" t="s">
        <v>119</v>
      </c>
      <c r="N618" s="4" t="str">
        <f t="shared" si="89"/>
        <v>TON</v>
      </c>
      <c r="O618" s="5">
        <v>10.01</v>
      </c>
      <c r="Q618" t="str">
        <f t="shared" si="90"/>
        <v>MAC426YM2</v>
      </c>
      <c r="R618" t="str">
        <f t="shared" si="91"/>
        <v>Dyna Flo 4-2-6YM2</v>
      </c>
      <c r="S618" s="32">
        <f t="shared" si="92"/>
        <v>415.88999999999976</v>
      </c>
      <c r="U618" t="s">
        <v>391</v>
      </c>
      <c r="V618" s="32">
        <v>415.88999999999976</v>
      </c>
    </row>
    <row r="619" spans="2:22" x14ac:dyDescent="0.25">
      <c r="B619" s="1" t="s">
        <v>195</v>
      </c>
      <c r="C619" s="2" t="s">
        <v>196</v>
      </c>
      <c r="D619" s="2" t="s">
        <v>289</v>
      </c>
      <c r="E619" s="2" t="s">
        <v>290</v>
      </c>
      <c r="F619" s="3">
        <v>44900</v>
      </c>
      <c r="G619" s="4">
        <f t="shared" si="87"/>
        <v>12</v>
      </c>
      <c r="H619" s="4">
        <f t="shared" si="88"/>
        <v>2022</v>
      </c>
      <c r="I619" s="2" t="s">
        <v>4</v>
      </c>
      <c r="J619" s="2" t="s">
        <v>1175</v>
      </c>
      <c r="K619" s="2" t="s">
        <v>865</v>
      </c>
      <c r="L619" s="2" t="s">
        <v>866</v>
      </c>
      <c r="M619" s="2" t="s">
        <v>119</v>
      </c>
      <c r="N619" s="4" t="str">
        <f t="shared" si="89"/>
        <v>TON</v>
      </c>
      <c r="O619" s="5">
        <v>1.25</v>
      </c>
      <c r="Q619" t="str">
        <f t="shared" si="90"/>
        <v>MAC727YM5</v>
      </c>
      <c r="R619" t="str">
        <f t="shared" si="91"/>
        <v>Dyna Flo 7-2-7YM5</v>
      </c>
      <c r="S619" s="32">
        <f t="shared" si="92"/>
        <v>3.25</v>
      </c>
      <c r="U619" t="s">
        <v>866</v>
      </c>
      <c r="V619" s="32">
        <v>3.25</v>
      </c>
    </row>
    <row r="620" spans="2:22" x14ac:dyDescent="0.25">
      <c r="B620" s="1" t="s">
        <v>195</v>
      </c>
      <c r="C620" s="2" t="s">
        <v>196</v>
      </c>
      <c r="D620" s="2" t="s">
        <v>280</v>
      </c>
      <c r="E620" s="2" t="s">
        <v>254</v>
      </c>
      <c r="F620" s="3">
        <v>44901</v>
      </c>
      <c r="G620" s="4">
        <f t="shared" si="87"/>
        <v>12</v>
      </c>
      <c r="H620" s="4">
        <f t="shared" si="88"/>
        <v>2022</v>
      </c>
      <c r="I620" s="2" t="s">
        <v>4</v>
      </c>
      <c r="J620" s="2" t="s">
        <v>1176</v>
      </c>
      <c r="K620" s="2" t="s">
        <v>390</v>
      </c>
      <c r="L620" s="2" t="s">
        <v>391</v>
      </c>
      <c r="M620" s="2" t="s">
        <v>119</v>
      </c>
      <c r="N620" s="4" t="str">
        <f t="shared" si="89"/>
        <v>TON</v>
      </c>
      <c r="O620" s="5">
        <v>15.0275</v>
      </c>
      <c r="Q620" t="str">
        <f t="shared" si="90"/>
        <v>MAC426YM2</v>
      </c>
      <c r="R620" t="str">
        <f t="shared" si="91"/>
        <v>Dyna Flo 4-2-6YM2</v>
      </c>
      <c r="S620" s="32">
        <f t="shared" si="92"/>
        <v>415.88999999999976</v>
      </c>
      <c r="U620" t="s">
        <v>391</v>
      </c>
      <c r="V620" s="32">
        <v>415.88999999999976</v>
      </c>
    </row>
    <row r="621" spans="2:22" x14ac:dyDescent="0.25">
      <c r="B621" s="1" t="s">
        <v>195</v>
      </c>
      <c r="C621" s="2" t="s">
        <v>196</v>
      </c>
      <c r="D621" s="2" t="s">
        <v>458</v>
      </c>
      <c r="E621" s="2" t="s">
        <v>1177</v>
      </c>
      <c r="F621" s="3">
        <v>44901</v>
      </c>
      <c r="G621" s="4">
        <f t="shared" si="87"/>
        <v>12</v>
      </c>
      <c r="H621" s="4">
        <f t="shared" si="88"/>
        <v>2022</v>
      </c>
      <c r="I621" s="2" t="s">
        <v>4</v>
      </c>
      <c r="J621" s="2" t="s">
        <v>1178</v>
      </c>
      <c r="K621" s="2" t="s">
        <v>329</v>
      </c>
      <c r="L621" s="2" t="s">
        <v>330</v>
      </c>
      <c r="M621" s="2" t="s">
        <v>119</v>
      </c>
      <c r="N621" s="4" t="str">
        <f t="shared" si="89"/>
        <v>TON</v>
      </c>
      <c r="O621" s="5">
        <v>4.0149999999999997</v>
      </c>
      <c r="Q621" t="str">
        <f t="shared" si="90"/>
        <v>MAC628YM8</v>
      </c>
      <c r="R621" t="str">
        <f t="shared" si="91"/>
        <v>Dyna Flo 6-2-8YM8</v>
      </c>
      <c r="S621" s="32">
        <f t="shared" si="92"/>
        <v>247.51499999999996</v>
      </c>
      <c r="U621" t="s">
        <v>330</v>
      </c>
      <c r="V621" s="32">
        <v>247.51499999999996</v>
      </c>
    </row>
    <row r="622" spans="2:22" x14ac:dyDescent="0.25">
      <c r="B622" s="1" t="s">
        <v>195</v>
      </c>
      <c r="C622" s="2" t="s">
        <v>196</v>
      </c>
      <c r="D622" s="2" t="s">
        <v>458</v>
      </c>
      <c r="E622" s="2" t="s">
        <v>699</v>
      </c>
      <c r="F622" s="3">
        <v>44901</v>
      </c>
      <c r="G622" s="4">
        <f t="shared" si="87"/>
        <v>12</v>
      </c>
      <c r="H622" s="4">
        <f t="shared" si="88"/>
        <v>2022</v>
      </c>
      <c r="I622" s="2" t="s">
        <v>4</v>
      </c>
      <c r="J622" s="2" t="s">
        <v>1179</v>
      </c>
      <c r="K622" s="2" t="s">
        <v>122</v>
      </c>
      <c r="L622" s="2" t="s">
        <v>123</v>
      </c>
      <c r="M622" s="2" t="s">
        <v>119</v>
      </c>
      <c r="N622" s="4" t="str">
        <f t="shared" si="89"/>
        <v>TON</v>
      </c>
      <c r="O622" s="5">
        <v>5.0125000000000002</v>
      </c>
      <c r="Q622" t="str">
        <f t="shared" si="90"/>
        <v>MAC528YZ</v>
      </c>
      <c r="R622" t="str">
        <f t="shared" si="91"/>
        <v>Dyna Flo 5-2-8 YZ</v>
      </c>
      <c r="S622" s="32">
        <f t="shared" si="92"/>
        <v>395.40750000000003</v>
      </c>
      <c r="U622" t="s">
        <v>123</v>
      </c>
      <c r="V622" s="32">
        <v>395.40750000000003</v>
      </c>
    </row>
    <row r="623" spans="2:22" x14ac:dyDescent="0.25">
      <c r="B623" s="1" t="s">
        <v>195</v>
      </c>
      <c r="C623" s="2" t="s">
        <v>196</v>
      </c>
      <c r="D623" s="2" t="s">
        <v>232</v>
      </c>
      <c r="E623" s="2" t="s">
        <v>233</v>
      </c>
      <c r="F623" s="3">
        <v>44901</v>
      </c>
      <c r="G623" s="4">
        <f t="shared" si="87"/>
        <v>12</v>
      </c>
      <c r="H623" s="4">
        <f t="shared" si="88"/>
        <v>2022</v>
      </c>
      <c r="I623" s="2" t="s">
        <v>4</v>
      </c>
      <c r="J623" s="2" t="s">
        <v>1180</v>
      </c>
      <c r="K623" s="2" t="s">
        <v>329</v>
      </c>
      <c r="L623" s="2" t="s">
        <v>330</v>
      </c>
      <c r="M623" s="2" t="s">
        <v>119</v>
      </c>
      <c r="N623" s="4" t="str">
        <f t="shared" si="89"/>
        <v>TON</v>
      </c>
      <c r="O623" s="5">
        <v>5</v>
      </c>
      <c r="Q623" t="str">
        <f t="shared" si="90"/>
        <v>MAC628YM8</v>
      </c>
      <c r="R623" t="str">
        <f t="shared" si="91"/>
        <v>Dyna Flo 6-2-8YM8</v>
      </c>
      <c r="S623" s="32">
        <f t="shared" si="92"/>
        <v>247.51499999999996</v>
      </c>
      <c r="U623" t="s">
        <v>330</v>
      </c>
      <c r="V623" s="32">
        <v>247.51499999999996</v>
      </c>
    </row>
    <row r="624" spans="2:22" x14ac:dyDescent="0.25">
      <c r="B624" s="1" t="s">
        <v>195</v>
      </c>
      <c r="C624" s="2" t="s">
        <v>196</v>
      </c>
      <c r="D624" s="2" t="s">
        <v>283</v>
      </c>
      <c r="E624" s="2" t="s">
        <v>382</v>
      </c>
      <c r="F624" s="3">
        <v>44901</v>
      </c>
      <c r="G624" s="4">
        <f t="shared" si="87"/>
        <v>12</v>
      </c>
      <c r="H624" s="4">
        <f t="shared" si="88"/>
        <v>2022</v>
      </c>
      <c r="I624" s="2" t="s">
        <v>4</v>
      </c>
      <c r="J624" s="2" t="s">
        <v>1181</v>
      </c>
      <c r="K624" s="2" t="s">
        <v>329</v>
      </c>
      <c r="L624" s="2" t="s">
        <v>330</v>
      </c>
      <c r="M624" s="2" t="s">
        <v>119</v>
      </c>
      <c r="N624" s="4" t="str">
        <f t="shared" si="89"/>
        <v>TON</v>
      </c>
      <c r="O624" s="5">
        <v>1.75</v>
      </c>
      <c r="Q624" t="str">
        <f t="shared" si="90"/>
        <v>MAC628YM8</v>
      </c>
      <c r="R624" t="str">
        <f t="shared" si="91"/>
        <v>Dyna Flo 6-2-8YM8</v>
      </c>
      <c r="S624" s="32">
        <f t="shared" si="92"/>
        <v>247.51499999999996</v>
      </c>
      <c r="U624" t="s">
        <v>330</v>
      </c>
      <c r="V624" s="32">
        <v>247.51499999999996</v>
      </c>
    </row>
    <row r="625" spans="2:22" x14ac:dyDescent="0.25">
      <c r="B625" s="1" t="s">
        <v>195</v>
      </c>
      <c r="C625" s="2" t="s">
        <v>196</v>
      </c>
      <c r="D625" s="2" t="s">
        <v>207</v>
      </c>
      <c r="E625" s="2" t="s">
        <v>208</v>
      </c>
      <c r="F625" s="3">
        <v>44901</v>
      </c>
      <c r="G625" s="4">
        <f t="shared" si="87"/>
        <v>12</v>
      </c>
      <c r="H625" s="4">
        <f t="shared" si="88"/>
        <v>2022</v>
      </c>
      <c r="I625" s="2" t="s">
        <v>4</v>
      </c>
      <c r="J625" s="2" t="s">
        <v>1182</v>
      </c>
      <c r="K625" s="2" t="s">
        <v>236</v>
      </c>
      <c r="L625" s="2" t="s">
        <v>237</v>
      </c>
      <c r="M625" s="2" t="s">
        <v>119</v>
      </c>
      <c r="N625" s="4" t="str">
        <f t="shared" si="89"/>
        <v>TON</v>
      </c>
      <c r="O625" s="5">
        <v>5</v>
      </c>
      <c r="Q625" t="str">
        <f t="shared" si="90"/>
        <v>MAC626YM11</v>
      </c>
      <c r="R625" t="str">
        <f t="shared" si="91"/>
        <v>Dyna Flo 6-2-6YM11</v>
      </c>
      <c r="S625" s="32">
        <f t="shared" si="92"/>
        <v>14.877500000000001</v>
      </c>
      <c r="U625" t="s">
        <v>237</v>
      </c>
      <c r="V625" s="32">
        <v>14.877500000000001</v>
      </c>
    </row>
    <row r="626" spans="2:22" x14ac:dyDescent="0.25">
      <c r="B626" s="1" t="s">
        <v>195</v>
      </c>
      <c r="C626" s="2" t="s">
        <v>196</v>
      </c>
      <c r="D626" s="2" t="s">
        <v>207</v>
      </c>
      <c r="E626" s="2" t="s">
        <v>208</v>
      </c>
      <c r="F626" s="3">
        <v>44901</v>
      </c>
      <c r="G626" s="4">
        <f t="shared" si="87"/>
        <v>12</v>
      </c>
      <c r="H626" s="4">
        <f t="shared" si="88"/>
        <v>2022</v>
      </c>
      <c r="I626" s="2" t="s">
        <v>4</v>
      </c>
      <c r="J626" s="2" t="s">
        <v>1183</v>
      </c>
      <c r="K626" s="2" t="s">
        <v>205</v>
      </c>
      <c r="L626" s="2" t="s">
        <v>206</v>
      </c>
      <c r="M626" s="2" t="s">
        <v>119</v>
      </c>
      <c r="N626" s="4" t="str">
        <f t="shared" si="89"/>
        <v>TON</v>
      </c>
      <c r="O626" s="5">
        <v>2.2650000000000001</v>
      </c>
      <c r="Q626" t="str">
        <f t="shared" si="90"/>
        <v>MAC927YM3</v>
      </c>
      <c r="R626" t="str">
        <f t="shared" si="91"/>
        <v>Dyna Flo 9-2-7YM3</v>
      </c>
      <c r="S626" s="32">
        <f t="shared" si="92"/>
        <v>284.6674999999999</v>
      </c>
      <c r="U626" t="s">
        <v>206</v>
      </c>
      <c r="V626" s="32">
        <v>284.6674999999999</v>
      </c>
    </row>
    <row r="627" spans="2:22" x14ac:dyDescent="0.25">
      <c r="B627" s="1" t="s">
        <v>195</v>
      </c>
      <c r="C627" s="2" t="s">
        <v>196</v>
      </c>
      <c r="D627" s="2" t="s">
        <v>276</v>
      </c>
      <c r="E627" s="2" t="s">
        <v>396</v>
      </c>
      <c r="F627" s="3">
        <v>44901</v>
      </c>
      <c r="G627" s="4">
        <f t="shared" si="87"/>
        <v>12</v>
      </c>
      <c r="H627" s="4">
        <f t="shared" si="88"/>
        <v>2022</v>
      </c>
      <c r="I627" s="2" t="s">
        <v>4</v>
      </c>
      <c r="J627" s="2" t="s">
        <v>1184</v>
      </c>
      <c r="K627" s="2" t="s">
        <v>292</v>
      </c>
      <c r="L627" s="2" t="s">
        <v>293</v>
      </c>
      <c r="M627" s="2" t="s">
        <v>119</v>
      </c>
      <c r="N627" s="4" t="str">
        <f t="shared" si="89"/>
        <v>TON</v>
      </c>
      <c r="O627" s="5">
        <v>2.0175000000000001</v>
      </c>
      <c r="Q627" t="str">
        <f t="shared" si="90"/>
        <v>MAC608YB5</v>
      </c>
      <c r="R627" t="str">
        <f t="shared" si="91"/>
        <v>Dyna Flo 6-0-8 YB5</v>
      </c>
      <c r="S627" s="32">
        <f t="shared" si="92"/>
        <v>78.175000000000011</v>
      </c>
      <c r="U627" t="s">
        <v>293</v>
      </c>
      <c r="V627" s="32">
        <v>78.175000000000011</v>
      </c>
    </row>
    <row r="628" spans="2:22" x14ac:dyDescent="0.25">
      <c r="B628" s="1" t="s">
        <v>195</v>
      </c>
      <c r="C628" s="2" t="s">
        <v>196</v>
      </c>
      <c r="D628" s="2" t="s">
        <v>114</v>
      </c>
      <c r="E628" s="2" t="s">
        <v>402</v>
      </c>
      <c r="F628" s="3">
        <v>44901</v>
      </c>
      <c r="G628" s="4">
        <f t="shared" si="87"/>
        <v>12</v>
      </c>
      <c r="H628" s="4">
        <f t="shared" si="88"/>
        <v>2022</v>
      </c>
      <c r="I628" s="2" t="s">
        <v>4</v>
      </c>
      <c r="J628" s="2" t="s">
        <v>1185</v>
      </c>
      <c r="K628" s="2" t="s">
        <v>390</v>
      </c>
      <c r="L628" s="2" t="s">
        <v>391</v>
      </c>
      <c r="M628" s="2" t="s">
        <v>119</v>
      </c>
      <c r="N628" s="4" t="str">
        <f t="shared" si="89"/>
        <v>TON</v>
      </c>
      <c r="O628" s="5">
        <v>4.5075000000000003</v>
      </c>
      <c r="Q628" t="str">
        <f t="shared" si="90"/>
        <v>MAC426YM2</v>
      </c>
      <c r="R628" t="str">
        <f t="shared" si="91"/>
        <v>Dyna Flo 4-2-6YM2</v>
      </c>
      <c r="S628" s="32">
        <f t="shared" si="92"/>
        <v>415.88999999999976</v>
      </c>
      <c r="U628" t="s">
        <v>391</v>
      </c>
      <c r="V628" s="32">
        <v>415.88999999999976</v>
      </c>
    </row>
    <row r="629" spans="2:22" x14ac:dyDescent="0.25">
      <c r="B629" s="1" t="s">
        <v>195</v>
      </c>
      <c r="C629" s="2" t="s">
        <v>196</v>
      </c>
      <c r="D629" s="2" t="s">
        <v>114</v>
      </c>
      <c r="E629" s="2" t="s">
        <v>369</v>
      </c>
      <c r="F629" s="3">
        <v>44901</v>
      </c>
      <c r="G629" s="4">
        <f t="shared" si="87"/>
        <v>12</v>
      </c>
      <c r="H629" s="4">
        <f t="shared" si="88"/>
        <v>2022</v>
      </c>
      <c r="I629" s="2" t="s">
        <v>4</v>
      </c>
      <c r="J629" s="2" t="s">
        <v>1186</v>
      </c>
      <c r="K629" s="2" t="s">
        <v>390</v>
      </c>
      <c r="L629" s="2" t="s">
        <v>391</v>
      </c>
      <c r="M629" s="2" t="s">
        <v>119</v>
      </c>
      <c r="N629" s="4" t="str">
        <f t="shared" si="89"/>
        <v>TON</v>
      </c>
      <c r="O629" s="5">
        <v>12.26</v>
      </c>
      <c r="Q629" t="str">
        <f t="shared" si="90"/>
        <v>MAC426YM2</v>
      </c>
      <c r="R629" t="str">
        <f t="shared" si="91"/>
        <v>Dyna Flo 4-2-6YM2</v>
      </c>
      <c r="S629" s="32">
        <f t="shared" si="92"/>
        <v>415.88999999999976</v>
      </c>
      <c r="U629" t="s">
        <v>391</v>
      </c>
      <c r="V629" s="32">
        <v>415.88999999999976</v>
      </c>
    </row>
    <row r="630" spans="2:22" x14ac:dyDescent="0.25">
      <c r="B630" s="1" t="s">
        <v>195</v>
      </c>
      <c r="C630" s="2" t="s">
        <v>196</v>
      </c>
      <c r="D630" s="2" t="s">
        <v>280</v>
      </c>
      <c r="E630" s="2" t="s">
        <v>141</v>
      </c>
      <c r="F630" s="3">
        <v>44901</v>
      </c>
      <c r="G630" s="4">
        <f t="shared" si="87"/>
        <v>12</v>
      </c>
      <c r="H630" s="4">
        <f t="shared" si="88"/>
        <v>2022</v>
      </c>
      <c r="I630" s="2" t="s">
        <v>4</v>
      </c>
      <c r="J630" s="2" t="s">
        <v>1187</v>
      </c>
      <c r="K630" s="2" t="s">
        <v>1188</v>
      </c>
      <c r="L630" s="2" t="s">
        <v>541</v>
      </c>
      <c r="M630" s="2" t="s">
        <v>27</v>
      </c>
      <c r="N630" s="4" t="str">
        <f t="shared" si="89"/>
        <v>GAL</v>
      </c>
      <c r="O630" s="5">
        <v>250</v>
      </c>
      <c r="Q630" t="str">
        <f t="shared" si="90"/>
        <v>GOLDCA250</v>
      </c>
      <c r="R630" t="str">
        <f t="shared" si="91"/>
        <v>Dyna Gold Calcium 8.25%</v>
      </c>
      <c r="S630" s="32">
        <f t="shared" si="92"/>
        <v>1280</v>
      </c>
      <c r="U630" t="s">
        <v>541</v>
      </c>
      <c r="V630" s="32">
        <v>1280</v>
      </c>
    </row>
    <row r="631" spans="2:22" x14ac:dyDescent="0.25">
      <c r="B631" s="1" t="s">
        <v>195</v>
      </c>
      <c r="C631" s="2" t="s">
        <v>196</v>
      </c>
      <c r="D631" s="2" t="s">
        <v>280</v>
      </c>
      <c r="E631" s="2" t="s">
        <v>141</v>
      </c>
      <c r="F631" s="3">
        <v>44901</v>
      </c>
      <c r="G631" s="4">
        <f t="shared" si="87"/>
        <v>12</v>
      </c>
      <c r="H631" s="4">
        <f t="shared" si="88"/>
        <v>2022</v>
      </c>
      <c r="I631" s="2" t="s">
        <v>4</v>
      </c>
      <c r="J631" s="2" t="s">
        <v>1187</v>
      </c>
      <c r="K631" s="2" t="s">
        <v>1189</v>
      </c>
      <c r="L631" s="2" t="s">
        <v>1190</v>
      </c>
      <c r="M631" s="2" t="s">
        <v>139</v>
      </c>
      <c r="N631" s="4" t="str">
        <f t="shared" si="89"/>
        <v>GAL</v>
      </c>
      <c r="O631" s="5">
        <v>250</v>
      </c>
      <c r="Q631" t="str">
        <f t="shared" si="90"/>
        <v>CAMMO250</v>
      </c>
      <c r="R631" t="str">
        <f t="shared" si="91"/>
        <v>Vented Cammo</v>
      </c>
      <c r="S631" s="32">
        <f t="shared" si="92"/>
        <v>250</v>
      </c>
      <c r="U631" t="s">
        <v>1190</v>
      </c>
      <c r="V631" s="32">
        <v>250</v>
      </c>
    </row>
    <row r="632" spans="2:22" x14ac:dyDescent="0.25">
      <c r="B632" s="1" t="s">
        <v>195</v>
      </c>
      <c r="C632" s="2" t="s">
        <v>196</v>
      </c>
      <c r="D632" s="2" t="s">
        <v>715</v>
      </c>
      <c r="E632" s="2" t="s">
        <v>893</v>
      </c>
      <c r="F632" s="3">
        <v>44901</v>
      </c>
      <c r="G632" s="4">
        <f t="shared" si="87"/>
        <v>12</v>
      </c>
      <c r="H632" s="4">
        <f t="shared" si="88"/>
        <v>2022</v>
      </c>
      <c r="I632" s="2" t="s">
        <v>4</v>
      </c>
      <c r="J632" s="2" t="s">
        <v>1191</v>
      </c>
      <c r="K632" s="2" t="s">
        <v>329</v>
      </c>
      <c r="L632" s="2" t="s">
        <v>330</v>
      </c>
      <c r="M632" s="2" t="s">
        <v>119</v>
      </c>
      <c r="N632" s="4" t="str">
        <f t="shared" si="89"/>
        <v>TON</v>
      </c>
      <c r="O632" s="5">
        <v>2.5049999999999999</v>
      </c>
      <c r="Q632" t="str">
        <f t="shared" si="90"/>
        <v>MAC628YM8</v>
      </c>
      <c r="R632" t="str">
        <f t="shared" si="91"/>
        <v>Dyna Flo 6-2-8YM8</v>
      </c>
      <c r="S632" s="32">
        <f t="shared" si="92"/>
        <v>247.51499999999996</v>
      </c>
      <c r="U632" t="s">
        <v>330</v>
      </c>
      <c r="V632" s="32">
        <v>247.51499999999996</v>
      </c>
    </row>
    <row r="633" spans="2:22" x14ac:dyDescent="0.25">
      <c r="B633" s="1" t="s">
        <v>195</v>
      </c>
      <c r="C633" s="2" t="s">
        <v>196</v>
      </c>
      <c r="D633" s="2" t="s">
        <v>660</v>
      </c>
      <c r="E633" s="2" t="s">
        <v>115</v>
      </c>
      <c r="F633" s="3">
        <v>44901</v>
      </c>
      <c r="G633" s="4">
        <f t="shared" si="87"/>
        <v>12</v>
      </c>
      <c r="H633" s="4">
        <f t="shared" si="88"/>
        <v>2022</v>
      </c>
      <c r="I633" s="2" t="s">
        <v>4</v>
      </c>
      <c r="J633" s="2" t="s">
        <v>1192</v>
      </c>
      <c r="K633" s="2" t="s">
        <v>122</v>
      </c>
      <c r="L633" s="2" t="s">
        <v>123</v>
      </c>
      <c r="M633" s="2" t="s">
        <v>119</v>
      </c>
      <c r="N633" s="4" t="str">
        <f t="shared" si="89"/>
        <v>TON</v>
      </c>
      <c r="O633" s="5">
        <v>2.9925000000000002</v>
      </c>
      <c r="Q633" t="str">
        <f t="shared" si="90"/>
        <v>MAC528YZ</v>
      </c>
      <c r="R633" t="str">
        <f t="shared" si="91"/>
        <v>Dyna Flo 5-2-8 YZ</v>
      </c>
      <c r="S633" s="32">
        <f t="shared" si="92"/>
        <v>395.40750000000003</v>
      </c>
      <c r="U633" t="s">
        <v>123</v>
      </c>
      <c r="V633" s="32">
        <v>395.40750000000003</v>
      </c>
    </row>
    <row r="634" spans="2:22" x14ac:dyDescent="0.25">
      <c r="B634" s="1" t="s">
        <v>195</v>
      </c>
      <c r="C634" s="2" t="s">
        <v>196</v>
      </c>
      <c r="D634" s="2" t="s">
        <v>672</v>
      </c>
      <c r="E634" s="2" t="s">
        <v>1193</v>
      </c>
      <c r="F634" s="3">
        <v>44901</v>
      </c>
      <c r="G634" s="4">
        <f t="shared" si="87"/>
        <v>12</v>
      </c>
      <c r="H634" s="4">
        <f t="shared" si="88"/>
        <v>2022</v>
      </c>
      <c r="I634" s="2" t="s">
        <v>4</v>
      </c>
      <c r="J634" s="2" t="s">
        <v>1194</v>
      </c>
      <c r="K634" s="2" t="s">
        <v>675</v>
      </c>
      <c r="L634" s="2" t="s">
        <v>676</v>
      </c>
      <c r="M634" s="2" t="s">
        <v>119</v>
      </c>
      <c r="N634" s="4" t="str">
        <f t="shared" si="89"/>
        <v>TON</v>
      </c>
      <c r="O634" s="5">
        <v>4.01</v>
      </c>
      <c r="Q634" t="str">
        <f t="shared" si="90"/>
        <v>MAC527YM21M</v>
      </c>
      <c r="R634" t="str">
        <f t="shared" si="91"/>
        <v>Dyna Flo 5-2-7YM21M w/Merge</v>
      </c>
      <c r="S634" s="32">
        <f t="shared" si="92"/>
        <v>29.517499999999998</v>
      </c>
      <c r="U634" t="s">
        <v>676</v>
      </c>
      <c r="V634" s="32">
        <v>29.517499999999998</v>
      </c>
    </row>
    <row r="635" spans="2:22" x14ac:dyDescent="0.25">
      <c r="B635" s="1" t="s">
        <v>195</v>
      </c>
      <c r="C635" s="2" t="s">
        <v>196</v>
      </c>
      <c r="D635" s="2" t="s">
        <v>280</v>
      </c>
      <c r="E635" s="2" t="s">
        <v>364</v>
      </c>
      <c r="F635" s="3">
        <v>44902</v>
      </c>
      <c r="G635" s="4">
        <f t="shared" si="87"/>
        <v>12</v>
      </c>
      <c r="H635" s="4">
        <f t="shared" si="88"/>
        <v>2022</v>
      </c>
      <c r="I635" s="2" t="s">
        <v>4</v>
      </c>
      <c r="J635" s="2" t="s">
        <v>1195</v>
      </c>
      <c r="K635" s="2" t="s">
        <v>390</v>
      </c>
      <c r="L635" s="2" t="s">
        <v>391</v>
      </c>
      <c r="M635" s="2" t="s">
        <v>119</v>
      </c>
      <c r="N635" s="4" t="str">
        <f t="shared" si="89"/>
        <v>TON</v>
      </c>
      <c r="O635" s="5">
        <v>9.5225000000000009</v>
      </c>
      <c r="Q635" t="str">
        <f t="shared" si="90"/>
        <v>MAC426YM2</v>
      </c>
      <c r="R635" t="str">
        <f t="shared" si="91"/>
        <v>Dyna Flo 4-2-6YM2</v>
      </c>
      <c r="S635" s="32">
        <f t="shared" si="92"/>
        <v>415.88999999999976</v>
      </c>
      <c r="U635" t="s">
        <v>391</v>
      </c>
      <c r="V635" s="32">
        <v>415.88999999999976</v>
      </c>
    </row>
    <row r="636" spans="2:22" x14ac:dyDescent="0.25">
      <c r="B636" s="1" t="s">
        <v>195</v>
      </c>
      <c r="C636" s="2" t="s">
        <v>196</v>
      </c>
      <c r="D636" s="2" t="s">
        <v>224</v>
      </c>
      <c r="E636" s="2" t="s">
        <v>361</v>
      </c>
      <c r="F636" s="3">
        <v>44902</v>
      </c>
      <c r="G636" s="4">
        <f t="shared" si="87"/>
        <v>12</v>
      </c>
      <c r="H636" s="4">
        <f t="shared" si="88"/>
        <v>2022</v>
      </c>
      <c r="I636" s="2" t="s">
        <v>4</v>
      </c>
      <c r="J636" s="2" t="s">
        <v>1196</v>
      </c>
      <c r="K636" s="2" t="s">
        <v>122</v>
      </c>
      <c r="L636" s="2" t="s">
        <v>123</v>
      </c>
      <c r="M636" s="2" t="s">
        <v>119</v>
      </c>
      <c r="N636" s="4" t="str">
        <f t="shared" si="89"/>
        <v>TON</v>
      </c>
      <c r="O636" s="5">
        <v>4.9874999999999998</v>
      </c>
      <c r="Q636" t="str">
        <f t="shared" si="90"/>
        <v>MAC528YZ</v>
      </c>
      <c r="R636" t="str">
        <f t="shared" si="91"/>
        <v>Dyna Flo 5-2-8 YZ</v>
      </c>
      <c r="S636" s="32">
        <f t="shared" si="92"/>
        <v>395.40750000000003</v>
      </c>
      <c r="U636" t="s">
        <v>123</v>
      </c>
      <c r="V636" s="32">
        <v>395.40750000000003</v>
      </c>
    </row>
    <row r="637" spans="2:22" x14ac:dyDescent="0.25">
      <c r="B637" s="1" t="s">
        <v>195</v>
      </c>
      <c r="C637" s="2" t="s">
        <v>196</v>
      </c>
      <c r="D637" s="2" t="s">
        <v>280</v>
      </c>
      <c r="E637" s="2" t="s">
        <v>281</v>
      </c>
      <c r="F637" s="3">
        <v>44902</v>
      </c>
      <c r="G637" s="4">
        <f t="shared" si="87"/>
        <v>12</v>
      </c>
      <c r="H637" s="4">
        <f t="shared" si="88"/>
        <v>2022</v>
      </c>
      <c r="I637" s="2" t="s">
        <v>4</v>
      </c>
      <c r="J637" s="2" t="s">
        <v>1197</v>
      </c>
      <c r="K637" s="2" t="s">
        <v>390</v>
      </c>
      <c r="L637" s="2" t="s">
        <v>391</v>
      </c>
      <c r="M637" s="2" t="s">
        <v>119</v>
      </c>
      <c r="N637" s="4" t="str">
        <f t="shared" si="89"/>
        <v>TON</v>
      </c>
      <c r="O637" s="5">
        <v>12.512499999999999</v>
      </c>
      <c r="Q637" t="str">
        <f t="shared" si="90"/>
        <v>MAC426YM2</v>
      </c>
      <c r="R637" t="str">
        <f t="shared" si="91"/>
        <v>Dyna Flo 4-2-6YM2</v>
      </c>
      <c r="S637" s="32">
        <f t="shared" si="92"/>
        <v>415.88999999999976</v>
      </c>
      <c r="U637" t="s">
        <v>391</v>
      </c>
      <c r="V637" s="32">
        <v>415.88999999999976</v>
      </c>
    </row>
    <row r="638" spans="2:22" x14ac:dyDescent="0.25">
      <c r="B638" s="6" t="s">
        <v>195</v>
      </c>
      <c r="C638" s="7" t="s">
        <v>196</v>
      </c>
      <c r="D638" s="8" t="s">
        <v>253</v>
      </c>
      <c r="E638" s="8" t="s">
        <v>922</v>
      </c>
      <c r="F638" s="12">
        <v>44902</v>
      </c>
      <c r="G638" s="10">
        <f t="shared" si="87"/>
        <v>12</v>
      </c>
      <c r="H638" s="10">
        <f t="shared" si="88"/>
        <v>2022</v>
      </c>
      <c r="I638" s="8" t="s">
        <v>4</v>
      </c>
      <c r="J638" s="7" t="s">
        <v>1198</v>
      </c>
      <c r="K638" s="8" t="s">
        <v>924</v>
      </c>
      <c r="L638" s="8" t="s">
        <v>925</v>
      </c>
      <c r="M638" s="8" t="s">
        <v>119</v>
      </c>
      <c r="N638" s="10" t="str">
        <f t="shared" si="89"/>
        <v>TON</v>
      </c>
      <c r="O638" s="11">
        <v>2.02</v>
      </c>
      <c r="Q638" t="str">
        <f t="shared" si="90"/>
        <v>MAC327YY</v>
      </c>
      <c r="R638" t="str">
        <f t="shared" si="91"/>
        <v>Dyna Flo 3-2-7YY</v>
      </c>
      <c r="S638" s="32">
        <f t="shared" si="92"/>
        <v>4.0075000000000003</v>
      </c>
      <c r="U638" t="s">
        <v>925</v>
      </c>
      <c r="V638" s="32">
        <v>4.0075000000000003</v>
      </c>
    </row>
    <row r="639" spans="2:22" x14ac:dyDescent="0.25">
      <c r="B639" s="1" t="s">
        <v>195</v>
      </c>
      <c r="C639" s="2" t="s">
        <v>196</v>
      </c>
      <c r="D639" s="2" t="s">
        <v>253</v>
      </c>
      <c r="E639" s="2" t="s">
        <v>922</v>
      </c>
      <c r="F639" s="3">
        <v>44902</v>
      </c>
      <c r="G639" s="4">
        <f t="shared" si="87"/>
        <v>12</v>
      </c>
      <c r="H639" s="4">
        <f t="shared" si="88"/>
        <v>2022</v>
      </c>
      <c r="I639" s="2" t="s">
        <v>4</v>
      </c>
      <c r="J639" s="2" t="s">
        <v>1198</v>
      </c>
      <c r="K639" s="2" t="s">
        <v>143</v>
      </c>
      <c r="L639" s="2" t="s">
        <v>926</v>
      </c>
      <c r="M639" s="2" t="s">
        <v>145</v>
      </c>
      <c r="N639" s="4" t="str">
        <f t="shared" si="89"/>
        <v>GAL</v>
      </c>
      <c r="O639" s="5">
        <v>400</v>
      </c>
      <c r="Q639" t="str">
        <f t="shared" si="90"/>
        <v>REPACK02</v>
      </c>
      <c r="R639" t="str">
        <f t="shared" si="91"/>
        <v>Repack: Dyna Flo 3-2-7YY</v>
      </c>
      <c r="S639" s="32">
        <f t="shared" si="92"/>
        <v>800</v>
      </c>
      <c r="U639" t="s">
        <v>926</v>
      </c>
      <c r="V639" s="32">
        <v>800</v>
      </c>
    </row>
    <row r="640" spans="2:22" x14ac:dyDescent="0.25">
      <c r="B640" s="1" t="s">
        <v>195</v>
      </c>
      <c r="C640" s="2" t="s">
        <v>196</v>
      </c>
      <c r="D640" s="2" t="s">
        <v>790</v>
      </c>
      <c r="E640" s="2" t="s">
        <v>791</v>
      </c>
      <c r="F640" s="3">
        <v>44902</v>
      </c>
      <c r="G640" s="4">
        <f t="shared" si="87"/>
        <v>12</v>
      </c>
      <c r="H640" s="4">
        <f t="shared" si="88"/>
        <v>2022</v>
      </c>
      <c r="I640" s="2" t="s">
        <v>4</v>
      </c>
      <c r="J640" s="2" t="s">
        <v>1199</v>
      </c>
      <c r="K640" s="2" t="s">
        <v>122</v>
      </c>
      <c r="L640" s="2" t="s">
        <v>123</v>
      </c>
      <c r="M640" s="2" t="s">
        <v>119</v>
      </c>
      <c r="N640" s="4" t="str">
        <f t="shared" si="89"/>
        <v>TON</v>
      </c>
      <c r="O640" s="5">
        <v>5.5425000000000004</v>
      </c>
      <c r="Q640" t="str">
        <f t="shared" si="90"/>
        <v>MAC528YZ</v>
      </c>
      <c r="R640" t="str">
        <f t="shared" si="91"/>
        <v>Dyna Flo 5-2-8 YZ</v>
      </c>
      <c r="S640" s="32">
        <f t="shared" si="92"/>
        <v>395.40750000000003</v>
      </c>
      <c r="U640" t="s">
        <v>123</v>
      </c>
      <c r="V640" s="32">
        <v>395.40750000000003</v>
      </c>
    </row>
    <row r="641" spans="2:22" x14ac:dyDescent="0.25">
      <c r="B641" s="1" t="s">
        <v>195</v>
      </c>
      <c r="C641" s="2" t="s">
        <v>196</v>
      </c>
      <c r="D641" s="2" t="s">
        <v>321</v>
      </c>
      <c r="E641" s="2" t="s">
        <v>1200</v>
      </c>
      <c r="F641" s="3">
        <v>44902</v>
      </c>
      <c r="G641" s="4">
        <f t="shared" si="87"/>
        <v>12</v>
      </c>
      <c r="H641" s="4">
        <f t="shared" si="88"/>
        <v>2022</v>
      </c>
      <c r="I641" s="2" t="s">
        <v>4</v>
      </c>
      <c r="J641" s="2" t="s">
        <v>1201</v>
      </c>
      <c r="K641" s="2" t="s">
        <v>394</v>
      </c>
      <c r="L641" s="2" t="s">
        <v>395</v>
      </c>
      <c r="M641" s="2" t="s">
        <v>119</v>
      </c>
      <c r="N641" s="4" t="str">
        <f t="shared" si="89"/>
        <v>TON</v>
      </c>
      <c r="O641" s="5">
        <v>2.5</v>
      </c>
      <c r="Q641" t="str">
        <f t="shared" si="90"/>
        <v>MAC707YB13</v>
      </c>
      <c r="R641" t="str">
        <f t="shared" si="91"/>
        <v>Dyna Flo 7-0-7YB13</v>
      </c>
      <c r="S641" s="32">
        <f t="shared" si="92"/>
        <v>51.2575</v>
      </c>
      <c r="U641" t="s">
        <v>395</v>
      </c>
      <c r="V641" s="32">
        <v>51.2575</v>
      </c>
    </row>
    <row r="642" spans="2:22" x14ac:dyDescent="0.25">
      <c r="B642" s="1" t="s">
        <v>195</v>
      </c>
      <c r="C642" s="2" t="s">
        <v>196</v>
      </c>
      <c r="D642" s="2" t="s">
        <v>321</v>
      </c>
      <c r="E642" s="2" t="s">
        <v>407</v>
      </c>
      <c r="F642" s="3">
        <v>44902</v>
      </c>
      <c r="G642" s="4">
        <f t="shared" si="87"/>
        <v>12</v>
      </c>
      <c r="H642" s="4">
        <f t="shared" si="88"/>
        <v>2022</v>
      </c>
      <c r="I642" s="2" t="s">
        <v>4</v>
      </c>
      <c r="J642" s="2" t="s">
        <v>1202</v>
      </c>
      <c r="K642" s="2" t="s">
        <v>394</v>
      </c>
      <c r="L642" s="2" t="s">
        <v>395</v>
      </c>
      <c r="M642" s="2" t="s">
        <v>119</v>
      </c>
      <c r="N642" s="4" t="str">
        <f t="shared" si="89"/>
        <v>TON</v>
      </c>
      <c r="O642" s="5">
        <v>2.5049999999999999</v>
      </c>
      <c r="Q642" t="str">
        <f t="shared" si="90"/>
        <v>MAC707YB13</v>
      </c>
      <c r="R642" t="str">
        <f t="shared" si="91"/>
        <v>Dyna Flo 7-0-7YB13</v>
      </c>
      <c r="S642" s="32">
        <f t="shared" si="92"/>
        <v>51.2575</v>
      </c>
      <c r="U642" t="s">
        <v>395</v>
      </c>
      <c r="V642" s="32">
        <v>51.2575</v>
      </c>
    </row>
    <row r="643" spans="2:22" x14ac:dyDescent="0.25">
      <c r="B643" s="1" t="s">
        <v>195</v>
      </c>
      <c r="C643" s="2" t="s">
        <v>196</v>
      </c>
      <c r="D643" s="2" t="s">
        <v>215</v>
      </c>
      <c r="E643" s="2" t="s">
        <v>315</v>
      </c>
      <c r="F643" s="3">
        <v>44902</v>
      </c>
      <c r="G643" s="4">
        <f t="shared" ref="G643:G706" si="93">+MONTH(F643)</f>
        <v>12</v>
      </c>
      <c r="H643" s="4">
        <f t="shared" ref="H643:H706" si="94">+YEAR(F643)</f>
        <v>2022</v>
      </c>
      <c r="I643" s="2" t="s">
        <v>4</v>
      </c>
      <c r="J643" s="2" t="s">
        <v>1203</v>
      </c>
      <c r="K643" s="2" t="s">
        <v>822</v>
      </c>
      <c r="L643" s="2" t="s">
        <v>565</v>
      </c>
      <c r="M643" s="2" t="s">
        <v>21</v>
      </c>
      <c r="N643" s="4" t="str">
        <f t="shared" ref="N643:N706" si="95">+LEFT(M643,3)</f>
        <v>GAL</v>
      </c>
      <c r="O643" s="5">
        <v>250</v>
      </c>
      <c r="Q643" t="str">
        <f t="shared" ref="Q643:Q706" si="96">K643</f>
        <v>FLOKTS250</v>
      </c>
      <c r="R643" t="str">
        <f t="shared" ref="R643:R706" si="97">L643</f>
        <v>Dyna Flo  0-0-25 17</v>
      </c>
      <c r="S643" s="32">
        <f t="shared" si="92"/>
        <v>3780</v>
      </c>
      <c r="U643" t="s">
        <v>565</v>
      </c>
      <c r="V643" s="32">
        <v>3780</v>
      </c>
    </row>
    <row r="644" spans="2:22" x14ac:dyDescent="0.25">
      <c r="B644" s="1" t="s">
        <v>195</v>
      </c>
      <c r="C644" s="2" t="s">
        <v>196</v>
      </c>
      <c r="D644" s="2" t="s">
        <v>215</v>
      </c>
      <c r="E644" s="2" t="s">
        <v>315</v>
      </c>
      <c r="F644" s="3">
        <v>44902</v>
      </c>
      <c r="G644" s="4">
        <f t="shared" si="93"/>
        <v>12</v>
      </c>
      <c r="H644" s="4">
        <f t="shared" si="94"/>
        <v>2022</v>
      </c>
      <c r="I644" s="2" t="s">
        <v>4</v>
      </c>
      <c r="J644" s="2" t="s">
        <v>1203</v>
      </c>
      <c r="K644" s="2" t="s">
        <v>823</v>
      </c>
      <c r="L644" s="2" t="s">
        <v>776</v>
      </c>
      <c r="M644" s="2" t="s">
        <v>82</v>
      </c>
      <c r="N644" s="4" t="str">
        <f t="shared" si="95"/>
        <v>GAL</v>
      </c>
      <c r="O644" s="5">
        <v>250</v>
      </c>
      <c r="Q644" t="str">
        <f t="shared" si="96"/>
        <v>FLOCATS250</v>
      </c>
      <c r="R644" t="str">
        <f t="shared" si="97"/>
        <v>Dyna Flo Calcium Thiosulfate</v>
      </c>
      <c r="S644" s="32">
        <f t="shared" ref="S644:S707" si="98">SUMIF($R$3:$R$885, $R644, $O$3:$O$885)</f>
        <v>1280</v>
      </c>
      <c r="U644" t="s">
        <v>776</v>
      </c>
      <c r="V644" s="32">
        <v>1280</v>
      </c>
    </row>
    <row r="645" spans="2:22" x14ac:dyDescent="0.25">
      <c r="B645" s="1" t="s">
        <v>195</v>
      </c>
      <c r="C645" s="2" t="s">
        <v>196</v>
      </c>
      <c r="D645" s="2" t="s">
        <v>215</v>
      </c>
      <c r="E645" s="2" t="s">
        <v>315</v>
      </c>
      <c r="F645" s="3">
        <v>44902</v>
      </c>
      <c r="G645" s="4">
        <f t="shared" si="93"/>
        <v>12</v>
      </c>
      <c r="H645" s="4">
        <f t="shared" si="94"/>
        <v>2022</v>
      </c>
      <c r="I645" s="2" t="s">
        <v>4</v>
      </c>
      <c r="J645" s="2" t="s">
        <v>1203</v>
      </c>
      <c r="K645" s="2" t="s">
        <v>1204</v>
      </c>
      <c r="L645" s="2" t="s">
        <v>1151</v>
      </c>
      <c r="M645" s="2" t="s">
        <v>8</v>
      </c>
      <c r="N645" s="4" t="str">
        <f t="shared" si="95"/>
        <v>GAL</v>
      </c>
      <c r="O645" s="5">
        <v>500</v>
      </c>
      <c r="Q645" t="str">
        <f t="shared" si="96"/>
        <v>PHURYMG250</v>
      </c>
      <c r="R645" t="str">
        <f t="shared" si="97"/>
        <v>pHury w/Magnesium</v>
      </c>
      <c r="S645" s="32">
        <f t="shared" si="98"/>
        <v>810</v>
      </c>
      <c r="U645" t="s">
        <v>1151</v>
      </c>
      <c r="V645" s="32">
        <v>810</v>
      </c>
    </row>
    <row r="646" spans="2:22" x14ac:dyDescent="0.25">
      <c r="B646" s="1" t="s">
        <v>195</v>
      </c>
      <c r="C646" s="2" t="s">
        <v>196</v>
      </c>
      <c r="D646" s="2" t="s">
        <v>790</v>
      </c>
      <c r="E646" s="2" t="s">
        <v>1205</v>
      </c>
      <c r="F646" s="3">
        <v>44902</v>
      </c>
      <c r="G646" s="4">
        <f t="shared" si="93"/>
        <v>12</v>
      </c>
      <c r="H646" s="4">
        <f t="shared" si="94"/>
        <v>2022</v>
      </c>
      <c r="I646" s="2" t="s">
        <v>4</v>
      </c>
      <c r="J646" s="2" t="s">
        <v>1206</v>
      </c>
      <c r="K646" s="2" t="s">
        <v>845</v>
      </c>
      <c r="L646" s="2" t="s">
        <v>843</v>
      </c>
      <c r="M646" s="2" t="s">
        <v>844</v>
      </c>
      <c r="N646" s="4" t="str">
        <f t="shared" si="95"/>
        <v>GAL</v>
      </c>
      <c r="O646" s="5">
        <v>55</v>
      </c>
      <c r="Q646" t="str">
        <f t="shared" si="96"/>
        <v>FLOATS55</v>
      </c>
      <c r="R646" t="str">
        <f t="shared" si="97"/>
        <v>Dyna Flo Ammonium Thiosulfate</v>
      </c>
      <c r="S646" s="32">
        <f t="shared" si="98"/>
        <v>415</v>
      </c>
      <c r="U646" t="s">
        <v>843</v>
      </c>
      <c r="V646" s="32">
        <v>415</v>
      </c>
    </row>
    <row r="647" spans="2:22" x14ac:dyDescent="0.25">
      <c r="B647" s="1" t="s">
        <v>195</v>
      </c>
      <c r="C647" s="2" t="s">
        <v>196</v>
      </c>
      <c r="D647" s="2" t="s">
        <v>299</v>
      </c>
      <c r="E647" s="2" t="s">
        <v>689</v>
      </c>
      <c r="F647" s="3">
        <v>44902</v>
      </c>
      <c r="G647" s="4">
        <f t="shared" si="93"/>
        <v>12</v>
      </c>
      <c r="H647" s="4">
        <f t="shared" si="94"/>
        <v>2022</v>
      </c>
      <c r="I647" s="2" t="s">
        <v>4</v>
      </c>
      <c r="J647" s="2" t="s">
        <v>1207</v>
      </c>
      <c r="K647" s="2" t="s">
        <v>390</v>
      </c>
      <c r="L647" s="2" t="s">
        <v>391</v>
      </c>
      <c r="M647" s="2" t="s">
        <v>119</v>
      </c>
      <c r="N647" s="4" t="str">
        <f t="shared" si="95"/>
        <v>TON</v>
      </c>
      <c r="O647" s="5">
        <v>10</v>
      </c>
      <c r="Q647" t="str">
        <f t="shared" si="96"/>
        <v>MAC426YM2</v>
      </c>
      <c r="R647" t="str">
        <f t="shared" si="97"/>
        <v>Dyna Flo 4-2-6YM2</v>
      </c>
      <c r="S647" s="32">
        <f t="shared" si="98"/>
        <v>415.88999999999976</v>
      </c>
      <c r="U647" t="s">
        <v>391</v>
      </c>
      <c r="V647" s="32">
        <v>415.88999999999976</v>
      </c>
    </row>
    <row r="648" spans="2:22" x14ac:dyDescent="0.25">
      <c r="B648" s="1" t="s">
        <v>195</v>
      </c>
      <c r="C648" s="2" t="s">
        <v>196</v>
      </c>
      <c r="D648" s="2" t="s">
        <v>331</v>
      </c>
      <c r="E648" s="2" t="s">
        <v>332</v>
      </c>
      <c r="F648" s="3">
        <v>44902</v>
      </c>
      <c r="G648" s="4">
        <f t="shared" si="93"/>
        <v>12</v>
      </c>
      <c r="H648" s="4">
        <f t="shared" si="94"/>
        <v>2022</v>
      </c>
      <c r="I648" s="2" t="s">
        <v>4</v>
      </c>
      <c r="J648" s="2" t="s">
        <v>1208</v>
      </c>
      <c r="K648" s="2" t="s">
        <v>334</v>
      </c>
      <c r="L648" s="2" t="s">
        <v>335</v>
      </c>
      <c r="M648" s="2" t="s">
        <v>119</v>
      </c>
      <c r="N648" s="4" t="str">
        <f t="shared" si="95"/>
        <v>TON</v>
      </c>
      <c r="O648" s="5">
        <v>10.015000000000001</v>
      </c>
      <c r="Q648" t="str">
        <f t="shared" si="96"/>
        <v>MAC628YZ1</v>
      </c>
      <c r="R648" t="str">
        <f t="shared" si="97"/>
        <v>Dyna Flo 6-2-8YZ1</v>
      </c>
      <c r="S648" s="32">
        <f t="shared" si="98"/>
        <v>68.62</v>
      </c>
      <c r="U648" t="s">
        <v>335</v>
      </c>
      <c r="V648" s="32">
        <v>68.62</v>
      </c>
    </row>
    <row r="649" spans="2:22" x14ac:dyDescent="0.25">
      <c r="B649" s="1" t="s">
        <v>195</v>
      </c>
      <c r="C649" s="2" t="s">
        <v>196</v>
      </c>
      <c r="D649" s="2" t="s">
        <v>387</v>
      </c>
      <c r="E649" s="2" t="s">
        <v>797</v>
      </c>
      <c r="F649" s="3">
        <v>44903</v>
      </c>
      <c r="G649" s="4">
        <f t="shared" si="93"/>
        <v>12</v>
      </c>
      <c r="H649" s="4">
        <f t="shared" si="94"/>
        <v>2022</v>
      </c>
      <c r="I649" s="2" t="s">
        <v>4</v>
      </c>
      <c r="J649" s="2" t="s">
        <v>1209</v>
      </c>
      <c r="K649" s="2" t="s">
        <v>390</v>
      </c>
      <c r="L649" s="2" t="s">
        <v>391</v>
      </c>
      <c r="M649" s="2" t="s">
        <v>119</v>
      </c>
      <c r="N649" s="4" t="str">
        <f t="shared" si="95"/>
        <v>TON</v>
      </c>
      <c r="O649" s="5">
        <v>15.0375</v>
      </c>
      <c r="Q649" t="str">
        <f t="shared" si="96"/>
        <v>MAC426YM2</v>
      </c>
      <c r="R649" t="str">
        <f t="shared" si="97"/>
        <v>Dyna Flo 4-2-6YM2</v>
      </c>
      <c r="S649" s="32">
        <f t="shared" si="98"/>
        <v>415.88999999999976</v>
      </c>
      <c r="U649" t="s">
        <v>391</v>
      </c>
      <c r="V649" s="32">
        <v>415.88999999999976</v>
      </c>
    </row>
    <row r="650" spans="2:22" x14ac:dyDescent="0.25">
      <c r="B650" s="1" t="s">
        <v>195</v>
      </c>
      <c r="C650" s="2" t="s">
        <v>196</v>
      </c>
      <c r="D650" s="2" t="s">
        <v>280</v>
      </c>
      <c r="E650" s="2" t="s">
        <v>464</v>
      </c>
      <c r="F650" s="3">
        <v>44902</v>
      </c>
      <c r="G650" s="4">
        <f t="shared" si="93"/>
        <v>12</v>
      </c>
      <c r="H650" s="4">
        <f t="shared" si="94"/>
        <v>2022</v>
      </c>
      <c r="I650" s="2" t="s">
        <v>4</v>
      </c>
      <c r="J650" s="2" t="s">
        <v>1210</v>
      </c>
      <c r="K650" s="2" t="s">
        <v>390</v>
      </c>
      <c r="L650" s="2" t="s">
        <v>391</v>
      </c>
      <c r="M650" s="2" t="s">
        <v>119</v>
      </c>
      <c r="N650" s="4" t="str">
        <f t="shared" si="95"/>
        <v>TON</v>
      </c>
      <c r="O650" s="5">
        <v>12.487500000000001</v>
      </c>
      <c r="Q650" t="str">
        <f t="shared" si="96"/>
        <v>MAC426YM2</v>
      </c>
      <c r="R650" t="str">
        <f t="shared" si="97"/>
        <v>Dyna Flo 4-2-6YM2</v>
      </c>
      <c r="S650" s="32">
        <f t="shared" si="98"/>
        <v>415.88999999999976</v>
      </c>
      <c r="U650" t="s">
        <v>391</v>
      </c>
      <c r="V650" s="32">
        <v>415.88999999999976</v>
      </c>
    </row>
    <row r="651" spans="2:22" x14ac:dyDescent="0.25">
      <c r="B651" s="1" t="s">
        <v>195</v>
      </c>
      <c r="C651" s="2" t="s">
        <v>196</v>
      </c>
      <c r="D651" s="2" t="s">
        <v>280</v>
      </c>
      <c r="E651" s="2" t="s">
        <v>462</v>
      </c>
      <c r="F651" s="3">
        <v>44903</v>
      </c>
      <c r="G651" s="4">
        <f t="shared" si="93"/>
        <v>12</v>
      </c>
      <c r="H651" s="4">
        <f t="shared" si="94"/>
        <v>2022</v>
      </c>
      <c r="I651" s="2" t="s">
        <v>4</v>
      </c>
      <c r="J651" s="2" t="s">
        <v>1211</v>
      </c>
      <c r="K651" s="2" t="s">
        <v>390</v>
      </c>
      <c r="L651" s="2" t="s">
        <v>391</v>
      </c>
      <c r="M651" s="2" t="s">
        <v>119</v>
      </c>
      <c r="N651" s="4" t="str">
        <f t="shared" si="95"/>
        <v>TON</v>
      </c>
      <c r="O651" s="5">
        <v>4.0025000000000004</v>
      </c>
      <c r="Q651" t="str">
        <f t="shared" si="96"/>
        <v>MAC426YM2</v>
      </c>
      <c r="R651" t="str">
        <f t="shared" si="97"/>
        <v>Dyna Flo 4-2-6YM2</v>
      </c>
      <c r="S651" s="32">
        <f t="shared" si="98"/>
        <v>415.88999999999976</v>
      </c>
      <c r="U651" t="s">
        <v>391</v>
      </c>
      <c r="V651" s="32">
        <v>415.88999999999976</v>
      </c>
    </row>
    <row r="652" spans="2:22" x14ac:dyDescent="0.25">
      <c r="B652" s="1" t="s">
        <v>195</v>
      </c>
      <c r="C652" s="2" t="s">
        <v>196</v>
      </c>
      <c r="D652" s="2" t="s">
        <v>800</v>
      </c>
      <c r="E652" s="2" t="s">
        <v>907</v>
      </c>
      <c r="F652" s="3">
        <v>44902</v>
      </c>
      <c r="G652" s="4">
        <f t="shared" si="93"/>
        <v>12</v>
      </c>
      <c r="H652" s="4">
        <f t="shared" si="94"/>
        <v>2022</v>
      </c>
      <c r="I652" s="2" t="s">
        <v>4</v>
      </c>
      <c r="J652" s="2" t="s">
        <v>1212</v>
      </c>
      <c r="K652" s="2" t="s">
        <v>122</v>
      </c>
      <c r="L652" s="2" t="s">
        <v>123</v>
      </c>
      <c r="M652" s="2" t="s">
        <v>119</v>
      </c>
      <c r="N652" s="4" t="str">
        <f t="shared" si="95"/>
        <v>TON</v>
      </c>
      <c r="O652" s="5">
        <v>2.9725000000000001</v>
      </c>
      <c r="Q652" t="str">
        <f t="shared" si="96"/>
        <v>MAC528YZ</v>
      </c>
      <c r="R652" t="str">
        <f t="shared" si="97"/>
        <v>Dyna Flo 5-2-8 YZ</v>
      </c>
      <c r="S652" s="32">
        <f t="shared" si="98"/>
        <v>395.40750000000003</v>
      </c>
      <c r="U652" t="s">
        <v>123</v>
      </c>
      <c r="V652" s="32">
        <v>395.40750000000003</v>
      </c>
    </row>
    <row r="653" spans="2:22" x14ac:dyDescent="0.25">
      <c r="B653" s="1" t="s">
        <v>195</v>
      </c>
      <c r="C653" s="2" t="s">
        <v>196</v>
      </c>
      <c r="D653" s="2" t="s">
        <v>704</v>
      </c>
      <c r="E653" s="2" t="s">
        <v>705</v>
      </c>
      <c r="F653" s="3">
        <v>44903</v>
      </c>
      <c r="G653" s="4">
        <f t="shared" si="93"/>
        <v>12</v>
      </c>
      <c r="H653" s="4">
        <f t="shared" si="94"/>
        <v>2022</v>
      </c>
      <c r="I653" s="2" t="s">
        <v>4</v>
      </c>
      <c r="J653" s="2" t="s">
        <v>1213</v>
      </c>
      <c r="K653" s="2" t="s">
        <v>324</v>
      </c>
      <c r="L653" s="2" t="s">
        <v>325</v>
      </c>
      <c r="M653" s="2" t="s">
        <v>119</v>
      </c>
      <c r="N653" s="4" t="str">
        <f t="shared" si="95"/>
        <v>TON</v>
      </c>
      <c r="O653" s="5">
        <v>9.0425000000000004</v>
      </c>
      <c r="Q653" t="str">
        <f t="shared" si="96"/>
        <v>MAC737YM</v>
      </c>
      <c r="R653" t="str">
        <f t="shared" si="97"/>
        <v>Dyna Flo 7-3-7 YM</v>
      </c>
      <c r="S653" s="32">
        <f t="shared" si="98"/>
        <v>99.21250000000002</v>
      </c>
      <c r="U653" t="s">
        <v>325</v>
      </c>
      <c r="V653" s="32">
        <v>99.21250000000002</v>
      </c>
    </row>
    <row r="654" spans="2:22" x14ac:dyDescent="0.25">
      <c r="B654" s="1" t="s">
        <v>195</v>
      </c>
      <c r="C654" s="2" t="s">
        <v>196</v>
      </c>
      <c r="D654" s="2" t="s">
        <v>248</v>
      </c>
      <c r="E654" s="2" t="s">
        <v>1214</v>
      </c>
      <c r="F654" s="3">
        <v>44902</v>
      </c>
      <c r="G654" s="4">
        <f t="shared" si="93"/>
        <v>12</v>
      </c>
      <c r="H654" s="4">
        <f t="shared" si="94"/>
        <v>2022</v>
      </c>
      <c r="I654" s="2" t="s">
        <v>4</v>
      </c>
      <c r="J654" s="2" t="s">
        <v>1215</v>
      </c>
      <c r="K654" s="2" t="s">
        <v>117</v>
      </c>
      <c r="L654" s="2" t="s">
        <v>118</v>
      </c>
      <c r="M654" s="2" t="s">
        <v>119</v>
      </c>
      <c r="N654" s="4" t="str">
        <f t="shared" si="95"/>
        <v>TON</v>
      </c>
      <c r="O654" s="5">
        <v>14.987500000000001</v>
      </c>
      <c r="Q654" t="str">
        <f t="shared" si="96"/>
        <v>MAC428YM8</v>
      </c>
      <c r="R654" t="str">
        <f t="shared" si="97"/>
        <v>Dyna Flo 4-2-8YM8</v>
      </c>
      <c r="S654" s="32">
        <f t="shared" si="98"/>
        <v>517.73950000000002</v>
      </c>
      <c r="U654" t="s">
        <v>118</v>
      </c>
      <c r="V654" s="32">
        <v>517.73950000000002</v>
      </c>
    </row>
    <row r="655" spans="2:22" x14ac:dyDescent="0.25">
      <c r="B655" s="1" t="s">
        <v>195</v>
      </c>
      <c r="C655" s="2" t="s">
        <v>196</v>
      </c>
      <c r="D655" s="2" t="s">
        <v>1216</v>
      </c>
      <c r="E655" s="2" t="s">
        <v>1217</v>
      </c>
      <c r="F655" s="3">
        <v>44903</v>
      </c>
      <c r="G655" s="4">
        <f t="shared" si="93"/>
        <v>12</v>
      </c>
      <c r="H655" s="4">
        <f t="shared" si="94"/>
        <v>2022</v>
      </c>
      <c r="I655" s="2" t="s">
        <v>4</v>
      </c>
      <c r="J655" s="2" t="s">
        <v>1218</v>
      </c>
      <c r="K655" s="2" t="s">
        <v>1219</v>
      </c>
      <c r="L655" s="2" t="s">
        <v>1220</v>
      </c>
      <c r="M655" s="2" t="s">
        <v>1221</v>
      </c>
      <c r="N655" s="4" t="str">
        <f t="shared" si="95"/>
        <v>GAL</v>
      </c>
      <c r="O655" s="5">
        <v>250</v>
      </c>
      <c r="Q655" t="str">
        <f t="shared" si="96"/>
        <v>PHURYFE250</v>
      </c>
      <c r="R655" t="str">
        <f t="shared" si="97"/>
        <v>pHury w/Iron</v>
      </c>
      <c r="S655" s="32">
        <f t="shared" si="98"/>
        <v>280</v>
      </c>
      <c r="U655" t="s">
        <v>1220</v>
      </c>
      <c r="V655" s="32">
        <v>280</v>
      </c>
    </row>
    <row r="656" spans="2:22" x14ac:dyDescent="0.25">
      <c r="B656" s="1" t="s">
        <v>195</v>
      </c>
      <c r="C656" s="2" t="s">
        <v>196</v>
      </c>
      <c r="D656" s="2" t="s">
        <v>1216</v>
      </c>
      <c r="E656" s="2" t="s">
        <v>1217</v>
      </c>
      <c r="F656" s="3">
        <v>44903</v>
      </c>
      <c r="G656" s="4">
        <f t="shared" si="93"/>
        <v>12</v>
      </c>
      <c r="H656" s="4">
        <f t="shared" si="94"/>
        <v>2022</v>
      </c>
      <c r="I656" s="2" t="s">
        <v>4</v>
      </c>
      <c r="J656" s="2" t="s">
        <v>1218</v>
      </c>
      <c r="K656" s="2" t="s">
        <v>1222</v>
      </c>
      <c r="L656" s="2" t="s">
        <v>1220</v>
      </c>
      <c r="M656" s="2" t="s">
        <v>1221</v>
      </c>
      <c r="N656" s="4" t="str">
        <f t="shared" si="95"/>
        <v>GAL</v>
      </c>
      <c r="O656" s="5">
        <v>30</v>
      </c>
      <c r="Q656" t="str">
        <f t="shared" si="96"/>
        <v>PHURYFE30</v>
      </c>
      <c r="R656" t="str">
        <f t="shared" si="97"/>
        <v>pHury w/Iron</v>
      </c>
      <c r="S656" s="32">
        <f t="shared" si="98"/>
        <v>280</v>
      </c>
      <c r="U656" t="s">
        <v>1220</v>
      </c>
      <c r="V656" s="32">
        <v>280</v>
      </c>
    </row>
    <row r="657" spans="2:22" x14ac:dyDescent="0.25">
      <c r="B657" s="1" t="s">
        <v>195</v>
      </c>
      <c r="C657" s="2" t="s">
        <v>196</v>
      </c>
      <c r="D657" s="2" t="s">
        <v>475</v>
      </c>
      <c r="E657" s="2" t="s">
        <v>476</v>
      </c>
      <c r="F657" s="3">
        <v>44903</v>
      </c>
      <c r="G657" s="4">
        <f t="shared" si="93"/>
        <v>12</v>
      </c>
      <c r="H657" s="4">
        <f t="shared" si="94"/>
        <v>2022</v>
      </c>
      <c r="I657" s="2" t="s">
        <v>4</v>
      </c>
      <c r="J657" s="2" t="s">
        <v>1223</v>
      </c>
      <c r="K657" s="2" t="s">
        <v>478</v>
      </c>
      <c r="L657" s="2" t="s">
        <v>479</v>
      </c>
      <c r="M657" s="2" t="s">
        <v>119</v>
      </c>
      <c r="N657" s="4" t="str">
        <f t="shared" si="95"/>
        <v>TON</v>
      </c>
      <c r="O657" s="5">
        <v>5.0199999999999996</v>
      </c>
      <c r="Q657" t="str">
        <f t="shared" si="96"/>
        <v>MAC628YM19</v>
      </c>
      <c r="R657" t="str">
        <f t="shared" si="97"/>
        <v>Dyna Flo 6-2-8YM19</v>
      </c>
      <c r="S657" s="32">
        <f t="shared" si="98"/>
        <v>25.032499999999999</v>
      </c>
      <c r="U657" t="s">
        <v>479</v>
      </c>
      <c r="V657" s="32">
        <v>25.032499999999999</v>
      </c>
    </row>
    <row r="658" spans="2:22" x14ac:dyDescent="0.25">
      <c r="B658" s="1" t="s">
        <v>195</v>
      </c>
      <c r="C658" s="2" t="s">
        <v>196</v>
      </c>
      <c r="D658" s="2" t="s">
        <v>221</v>
      </c>
      <c r="E658" s="2" t="s">
        <v>271</v>
      </c>
      <c r="F658" s="3">
        <v>44903</v>
      </c>
      <c r="G658" s="4">
        <f t="shared" si="93"/>
        <v>12</v>
      </c>
      <c r="H658" s="4">
        <f t="shared" si="94"/>
        <v>2022</v>
      </c>
      <c r="I658" s="2" t="s">
        <v>4</v>
      </c>
      <c r="J658" s="2" t="s">
        <v>1224</v>
      </c>
      <c r="K658" s="2" t="s">
        <v>334</v>
      </c>
      <c r="L658" s="2" t="s">
        <v>335</v>
      </c>
      <c r="M658" s="2" t="s">
        <v>119</v>
      </c>
      <c r="N658" s="4" t="str">
        <f t="shared" si="95"/>
        <v>TON</v>
      </c>
      <c r="O658" s="5">
        <v>5.0175000000000001</v>
      </c>
      <c r="Q658" t="str">
        <f t="shared" si="96"/>
        <v>MAC628YZ1</v>
      </c>
      <c r="R658" t="str">
        <f t="shared" si="97"/>
        <v>Dyna Flo 6-2-8YZ1</v>
      </c>
      <c r="S658" s="32">
        <f t="shared" si="98"/>
        <v>68.62</v>
      </c>
      <c r="U658" t="s">
        <v>335</v>
      </c>
      <c r="V658" s="32">
        <v>68.62</v>
      </c>
    </row>
    <row r="659" spans="2:22" x14ac:dyDescent="0.25">
      <c r="B659" s="1" t="s">
        <v>195</v>
      </c>
      <c r="C659" s="2" t="s">
        <v>196</v>
      </c>
      <c r="D659" s="2" t="s">
        <v>679</v>
      </c>
      <c r="E659" s="2" t="s">
        <v>680</v>
      </c>
      <c r="F659" s="3">
        <v>44903</v>
      </c>
      <c r="G659" s="4">
        <f t="shared" si="93"/>
        <v>12</v>
      </c>
      <c r="H659" s="4">
        <f t="shared" si="94"/>
        <v>2022</v>
      </c>
      <c r="I659" s="2" t="s">
        <v>4</v>
      </c>
      <c r="J659" s="2" t="s">
        <v>1225</v>
      </c>
      <c r="K659" s="2" t="s">
        <v>122</v>
      </c>
      <c r="L659" s="2" t="s">
        <v>123</v>
      </c>
      <c r="M659" s="2" t="s">
        <v>119</v>
      </c>
      <c r="N659" s="4" t="str">
        <f t="shared" si="95"/>
        <v>TON</v>
      </c>
      <c r="O659" s="5">
        <v>1.98</v>
      </c>
      <c r="Q659" t="str">
        <f t="shared" si="96"/>
        <v>MAC528YZ</v>
      </c>
      <c r="R659" t="str">
        <f t="shared" si="97"/>
        <v>Dyna Flo 5-2-8 YZ</v>
      </c>
      <c r="S659" s="32">
        <f t="shared" si="98"/>
        <v>395.40750000000003</v>
      </c>
      <c r="U659" t="s">
        <v>123</v>
      </c>
      <c r="V659" s="32">
        <v>395.40750000000003</v>
      </c>
    </row>
    <row r="660" spans="2:22" x14ac:dyDescent="0.25">
      <c r="B660" s="1" t="s">
        <v>195</v>
      </c>
      <c r="C660" s="2" t="s">
        <v>196</v>
      </c>
      <c r="D660" s="2" t="s">
        <v>262</v>
      </c>
      <c r="E660" s="2" t="s">
        <v>1226</v>
      </c>
      <c r="F660" s="3">
        <v>44904</v>
      </c>
      <c r="G660" s="4">
        <f t="shared" si="93"/>
        <v>12</v>
      </c>
      <c r="H660" s="4">
        <f t="shared" si="94"/>
        <v>2022</v>
      </c>
      <c r="I660" s="2" t="s">
        <v>4</v>
      </c>
      <c r="J660" s="2" t="s">
        <v>1227</v>
      </c>
      <c r="K660" s="2" t="s">
        <v>292</v>
      </c>
      <c r="L660" s="2" t="s">
        <v>293</v>
      </c>
      <c r="M660" s="2" t="s">
        <v>119</v>
      </c>
      <c r="N660" s="4" t="str">
        <f t="shared" si="95"/>
        <v>TON</v>
      </c>
      <c r="O660" s="5">
        <v>2.5724999999999998</v>
      </c>
      <c r="Q660" t="str">
        <f t="shared" si="96"/>
        <v>MAC608YB5</v>
      </c>
      <c r="R660" t="str">
        <f t="shared" si="97"/>
        <v>Dyna Flo 6-0-8 YB5</v>
      </c>
      <c r="S660" s="32">
        <f t="shared" si="98"/>
        <v>78.175000000000011</v>
      </c>
      <c r="U660" t="s">
        <v>293</v>
      </c>
      <c r="V660" s="32">
        <v>78.175000000000011</v>
      </c>
    </row>
    <row r="661" spans="2:22" x14ac:dyDescent="0.25">
      <c r="B661" s="1" t="s">
        <v>195</v>
      </c>
      <c r="C661" s="2" t="s">
        <v>196</v>
      </c>
      <c r="D661" s="2" t="s">
        <v>452</v>
      </c>
      <c r="E661" s="2" t="s">
        <v>453</v>
      </c>
      <c r="F661" s="3">
        <v>44904</v>
      </c>
      <c r="G661" s="4">
        <f t="shared" si="93"/>
        <v>12</v>
      </c>
      <c r="H661" s="4">
        <f t="shared" si="94"/>
        <v>2022</v>
      </c>
      <c r="I661" s="2" t="s">
        <v>4</v>
      </c>
      <c r="J661" s="2" t="s">
        <v>1228</v>
      </c>
      <c r="K661" s="2" t="s">
        <v>447</v>
      </c>
      <c r="L661" s="2" t="s">
        <v>448</v>
      </c>
      <c r="M661" s="2" t="s">
        <v>119</v>
      </c>
      <c r="N661" s="4" t="str">
        <f t="shared" si="95"/>
        <v>TON</v>
      </c>
      <c r="O661" s="5">
        <v>4.0075000000000003</v>
      </c>
      <c r="Q661" t="str">
        <f t="shared" si="96"/>
        <v>MAC727YM15</v>
      </c>
      <c r="R661" t="str">
        <f t="shared" si="97"/>
        <v>Dyna Flo 7-2-7YM15</v>
      </c>
      <c r="S661" s="32">
        <f t="shared" si="98"/>
        <v>113.6925</v>
      </c>
      <c r="U661" t="s">
        <v>448</v>
      </c>
      <c r="V661" s="32">
        <v>113.6925</v>
      </c>
    </row>
    <row r="662" spans="2:22" x14ac:dyDescent="0.25">
      <c r="B662" s="1" t="s">
        <v>195</v>
      </c>
      <c r="C662" s="2" t="s">
        <v>196</v>
      </c>
      <c r="D662" s="2" t="s">
        <v>285</v>
      </c>
      <c r="E662" s="2" t="s">
        <v>759</v>
      </c>
      <c r="F662" s="3">
        <v>44904</v>
      </c>
      <c r="G662" s="4">
        <f t="shared" si="93"/>
        <v>12</v>
      </c>
      <c r="H662" s="4">
        <f t="shared" si="94"/>
        <v>2022</v>
      </c>
      <c r="I662" s="2" t="s">
        <v>4</v>
      </c>
      <c r="J662" s="2" t="s">
        <v>1229</v>
      </c>
      <c r="K662" s="2" t="s">
        <v>205</v>
      </c>
      <c r="L662" s="2" t="s">
        <v>206</v>
      </c>
      <c r="M662" s="2" t="s">
        <v>119</v>
      </c>
      <c r="N662" s="4" t="str">
        <f t="shared" si="95"/>
        <v>TON</v>
      </c>
      <c r="O662" s="5">
        <v>15.005000000000001</v>
      </c>
      <c r="Q662" t="str">
        <f t="shared" si="96"/>
        <v>MAC927YM3</v>
      </c>
      <c r="R662" t="str">
        <f t="shared" si="97"/>
        <v>Dyna Flo 9-2-7YM3</v>
      </c>
      <c r="S662" s="32">
        <f t="shared" si="98"/>
        <v>284.6674999999999</v>
      </c>
      <c r="U662" t="s">
        <v>206</v>
      </c>
      <c r="V662" s="32">
        <v>284.6674999999999</v>
      </c>
    </row>
    <row r="663" spans="2:22" x14ac:dyDescent="0.25">
      <c r="B663" s="1" t="s">
        <v>195</v>
      </c>
      <c r="C663" s="2" t="s">
        <v>196</v>
      </c>
      <c r="D663" s="2" t="s">
        <v>321</v>
      </c>
      <c r="E663" s="2" t="s">
        <v>697</v>
      </c>
      <c r="F663" s="3">
        <v>44904</v>
      </c>
      <c r="G663" s="4">
        <f t="shared" si="93"/>
        <v>12</v>
      </c>
      <c r="H663" s="4">
        <f t="shared" si="94"/>
        <v>2022</v>
      </c>
      <c r="I663" s="2" t="s">
        <v>4</v>
      </c>
      <c r="J663" s="2" t="s">
        <v>1230</v>
      </c>
      <c r="K663" s="2" t="s">
        <v>394</v>
      </c>
      <c r="L663" s="2" t="s">
        <v>395</v>
      </c>
      <c r="M663" s="2" t="s">
        <v>119</v>
      </c>
      <c r="N663" s="4" t="str">
        <f t="shared" si="95"/>
        <v>TON</v>
      </c>
      <c r="O663" s="5">
        <v>10.0025</v>
      </c>
      <c r="Q663" t="str">
        <f t="shared" si="96"/>
        <v>MAC707YB13</v>
      </c>
      <c r="R663" t="str">
        <f t="shared" si="97"/>
        <v>Dyna Flo 7-0-7YB13</v>
      </c>
      <c r="S663" s="32">
        <f t="shared" si="98"/>
        <v>51.2575</v>
      </c>
      <c r="U663" t="s">
        <v>395</v>
      </c>
      <c r="V663" s="32">
        <v>51.2575</v>
      </c>
    </row>
    <row r="664" spans="2:22" x14ac:dyDescent="0.25">
      <c r="B664" s="1" t="s">
        <v>195</v>
      </c>
      <c r="C664" s="2" t="s">
        <v>196</v>
      </c>
      <c r="D664" s="2" t="s">
        <v>227</v>
      </c>
      <c r="E664" s="2" t="s">
        <v>757</v>
      </c>
      <c r="F664" s="3">
        <v>44904</v>
      </c>
      <c r="G664" s="4">
        <f t="shared" si="93"/>
        <v>12</v>
      </c>
      <c r="H664" s="4">
        <f t="shared" si="94"/>
        <v>2022</v>
      </c>
      <c r="I664" s="2" t="s">
        <v>4</v>
      </c>
      <c r="J664" s="2" t="s">
        <v>1231</v>
      </c>
      <c r="K664" s="2" t="s">
        <v>1232</v>
      </c>
      <c r="L664" s="2" t="s">
        <v>1233</v>
      </c>
      <c r="M664" s="2" t="s">
        <v>119</v>
      </c>
      <c r="N664" s="4" t="str">
        <f t="shared" si="95"/>
        <v>TON</v>
      </c>
      <c r="O664" s="5">
        <v>7.5149999999999997</v>
      </c>
      <c r="Q664" t="str">
        <f t="shared" si="96"/>
        <v>MAC508YF</v>
      </c>
      <c r="R664" t="str">
        <f t="shared" si="97"/>
        <v>Dyna Flo 5-0-8 YF</v>
      </c>
      <c r="S664" s="32">
        <f t="shared" si="98"/>
        <v>7.5149999999999997</v>
      </c>
      <c r="U664" t="s">
        <v>1233</v>
      </c>
      <c r="V664" s="32">
        <v>7.5149999999999997</v>
      </c>
    </row>
    <row r="665" spans="2:22" x14ac:dyDescent="0.25">
      <c r="B665" s="1" t="s">
        <v>195</v>
      </c>
      <c r="C665" s="2" t="s">
        <v>196</v>
      </c>
      <c r="D665" s="2" t="s">
        <v>669</v>
      </c>
      <c r="E665" s="2" t="s">
        <v>670</v>
      </c>
      <c r="F665" s="3">
        <v>44904</v>
      </c>
      <c r="G665" s="4">
        <f t="shared" si="93"/>
        <v>12</v>
      </c>
      <c r="H665" s="4">
        <f t="shared" si="94"/>
        <v>2022</v>
      </c>
      <c r="I665" s="2" t="s">
        <v>4</v>
      </c>
      <c r="J665" s="2" t="s">
        <v>1234</v>
      </c>
      <c r="K665" s="2" t="s">
        <v>205</v>
      </c>
      <c r="L665" s="2" t="s">
        <v>206</v>
      </c>
      <c r="M665" s="2" t="s">
        <v>119</v>
      </c>
      <c r="N665" s="4" t="str">
        <f t="shared" si="95"/>
        <v>TON</v>
      </c>
      <c r="O665" s="5">
        <v>3</v>
      </c>
      <c r="Q665" t="str">
        <f t="shared" si="96"/>
        <v>MAC927YM3</v>
      </c>
      <c r="R665" t="str">
        <f t="shared" si="97"/>
        <v>Dyna Flo 9-2-7YM3</v>
      </c>
      <c r="S665" s="32">
        <f t="shared" si="98"/>
        <v>284.6674999999999</v>
      </c>
      <c r="U665" t="s">
        <v>206</v>
      </c>
      <c r="V665" s="32">
        <v>284.6674999999999</v>
      </c>
    </row>
    <row r="666" spans="2:22" x14ac:dyDescent="0.25">
      <c r="B666" s="1" t="s">
        <v>195</v>
      </c>
      <c r="C666" s="2" t="s">
        <v>196</v>
      </c>
      <c r="D666" s="2" t="s">
        <v>270</v>
      </c>
      <c r="E666" s="2" t="s">
        <v>400</v>
      </c>
      <c r="F666" s="3">
        <v>44904</v>
      </c>
      <c r="G666" s="4">
        <f t="shared" si="93"/>
        <v>12</v>
      </c>
      <c r="H666" s="4">
        <f t="shared" si="94"/>
        <v>2022</v>
      </c>
      <c r="I666" s="2" t="s">
        <v>4</v>
      </c>
      <c r="J666" s="2" t="s">
        <v>1235</v>
      </c>
      <c r="K666" s="2" t="s">
        <v>329</v>
      </c>
      <c r="L666" s="2" t="s">
        <v>330</v>
      </c>
      <c r="M666" s="2" t="s">
        <v>119</v>
      </c>
      <c r="N666" s="4" t="str">
        <f t="shared" si="95"/>
        <v>TON</v>
      </c>
      <c r="O666" s="5">
        <v>3.5</v>
      </c>
      <c r="Q666" t="str">
        <f t="shared" si="96"/>
        <v>MAC628YM8</v>
      </c>
      <c r="R666" t="str">
        <f t="shared" si="97"/>
        <v>Dyna Flo 6-2-8YM8</v>
      </c>
      <c r="S666" s="32">
        <f t="shared" si="98"/>
        <v>247.51499999999996</v>
      </c>
      <c r="U666" t="s">
        <v>330</v>
      </c>
      <c r="V666" s="32">
        <v>247.51499999999996</v>
      </c>
    </row>
    <row r="667" spans="2:22" x14ac:dyDescent="0.25">
      <c r="B667" s="1" t="s">
        <v>195</v>
      </c>
      <c r="C667" s="2" t="s">
        <v>196</v>
      </c>
      <c r="D667" s="2" t="s">
        <v>224</v>
      </c>
      <c r="E667" s="2" t="s">
        <v>895</v>
      </c>
      <c r="F667" s="3">
        <v>44904</v>
      </c>
      <c r="G667" s="4">
        <f t="shared" si="93"/>
        <v>12</v>
      </c>
      <c r="H667" s="4">
        <f t="shared" si="94"/>
        <v>2022</v>
      </c>
      <c r="I667" s="2" t="s">
        <v>4</v>
      </c>
      <c r="J667" s="2" t="s">
        <v>1236</v>
      </c>
      <c r="K667" s="2" t="s">
        <v>122</v>
      </c>
      <c r="L667" s="2" t="s">
        <v>123</v>
      </c>
      <c r="M667" s="2" t="s">
        <v>119</v>
      </c>
      <c r="N667" s="4" t="str">
        <f t="shared" si="95"/>
        <v>TON</v>
      </c>
      <c r="O667" s="5">
        <v>5.0125000000000002</v>
      </c>
      <c r="Q667" t="str">
        <f t="shared" si="96"/>
        <v>MAC528YZ</v>
      </c>
      <c r="R667" t="str">
        <f t="shared" si="97"/>
        <v>Dyna Flo 5-2-8 YZ</v>
      </c>
      <c r="S667" s="32">
        <f t="shared" si="98"/>
        <v>395.40750000000003</v>
      </c>
      <c r="U667" t="s">
        <v>123</v>
      </c>
      <c r="V667" s="32">
        <v>395.40750000000003</v>
      </c>
    </row>
    <row r="668" spans="2:22" x14ac:dyDescent="0.25">
      <c r="B668" s="1" t="s">
        <v>195</v>
      </c>
      <c r="C668" s="2" t="s">
        <v>196</v>
      </c>
      <c r="D668" s="2" t="s">
        <v>437</v>
      </c>
      <c r="E668" s="2" t="s">
        <v>438</v>
      </c>
      <c r="F668" s="3">
        <v>44904</v>
      </c>
      <c r="G668" s="4">
        <f t="shared" si="93"/>
        <v>12</v>
      </c>
      <c r="H668" s="4">
        <f t="shared" si="94"/>
        <v>2022</v>
      </c>
      <c r="I668" s="2" t="s">
        <v>4</v>
      </c>
      <c r="J668" s="2" t="s">
        <v>1237</v>
      </c>
      <c r="K668" s="2" t="s">
        <v>292</v>
      </c>
      <c r="L668" s="2" t="s">
        <v>293</v>
      </c>
      <c r="M668" s="2" t="s">
        <v>119</v>
      </c>
      <c r="N668" s="4" t="str">
        <f t="shared" si="95"/>
        <v>TON</v>
      </c>
      <c r="O668" s="5">
        <v>2.5049999999999999</v>
      </c>
      <c r="Q668" t="str">
        <f t="shared" si="96"/>
        <v>MAC608YB5</v>
      </c>
      <c r="R668" t="str">
        <f t="shared" si="97"/>
        <v>Dyna Flo 6-0-8 YB5</v>
      </c>
      <c r="S668" s="32">
        <f t="shared" si="98"/>
        <v>78.175000000000011</v>
      </c>
      <c r="U668" t="s">
        <v>293</v>
      </c>
      <c r="V668" s="32">
        <v>78.175000000000011</v>
      </c>
    </row>
    <row r="669" spans="2:22" x14ac:dyDescent="0.25">
      <c r="B669" s="1" t="s">
        <v>195</v>
      </c>
      <c r="C669" s="2" t="s">
        <v>196</v>
      </c>
      <c r="D669" s="2" t="s">
        <v>888</v>
      </c>
      <c r="E669" s="2" t="s">
        <v>888</v>
      </c>
      <c r="F669" s="3">
        <v>44904</v>
      </c>
      <c r="G669" s="4">
        <f t="shared" si="93"/>
        <v>12</v>
      </c>
      <c r="H669" s="4">
        <f t="shared" si="94"/>
        <v>2022</v>
      </c>
      <c r="I669" s="2" t="s">
        <v>4</v>
      </c>
      <c r="J669" s="2" t="s">
        <v>1238</v>
      </c>
      <c r="K669" s="2" t="s">
        <v>1239</v>
      </c>
      <c r="L669" s="2" t="s">
        <v>916</v>
      </c>
      <c r="M669" s="2" t="s">
        <v>917</v>
      </c>
      <c r="N669" s="4" t="str">
        <f t="shared" si="95"/>
        <v>GAL</v>
      </c>
      <c r="O669" s="5">
        <v>5</v>
      </c>
      <c r="Q669" t="str">
        <f t="shared" si="96"/>
        <v>GROCA02</v>
      </c>
      <c r="R669" t="str">
        <f t="shared" si="97"/>
        <v>Dyna Gro Calcium 11%</v>
      </c>
      <c r="S669" s="32">
        <f t="shared" si="98"/>
        <v>95</v>
      </c>
      <c r="U669" t="s">
        <v>916</v>
      </c>
      <c r="V669" s="32">
        <v>95</v>
      </c>
    </row>
    <row r="670" spans="2:22" x14ac:dyDescent="0.25">
      <c r="B670" s="1" t="s">
        <v>195</v>
      </c>
      <c r="C670" s="2" t="s">
        <v>196</v>
      </c>
      <c r="D670" s="2" t="s">
        <v>888</v>
      </c>
      <c r="E670" s="2" t="s">
        <v>888</v>
      </c>
      <c r="F670" s="3">
        <v>44904</v>
      </c>
      <c r="G670" s="4">
        <f t="shared" si="93"/>
        <v>12</v>
      </c>
      <c r="H670" s="4">
        <f t="shared" si="94"/>
        <v>2022</v>
      </c>
      <c r="I670" s="2" t="s">
        <v>4</v>
      </c>
      <c r="J670" s="2" t="s">
        <v>1240</v>
      </c>
      <c r="K670" s="2" t="s">
        <v>268</v>
      </c>
      <c r="L670" s="2" t="s">
        <v>269</v>
      </c>
      <c r="M670" s="2" t="s">
        <v>119</v>
      </c>
      <c r="N670" s="4" t="str">
        <f t="shared" si="95"/>
        <v>TON</v>
      </c>
      <c r="O670" s="5">
        <v>0.3</v>
      </c>
      <c r="Q670" t="str">
        <f t="shared" si="96"/>
        <v>MAC927YM1</v>
      </c>
      <c r="R670" t="str">
        <f t="shared" si="97"/>
        <v>Dyna Flo 9-2-7YM1</v>
      </c>
      <c r="S670" s="32">
        <f t="shared" si="98"/>
        <v>2.5249999999999995</v>
      </c>
      <c r="U670" t="s">
        <v>269</v>
      </c>
      <c r="V670" s="32">
        <v>2.5249999999999995</v>
      </c>
    </row>
    <row r="671" spans="2:22" x14ac:dyDescent="0.25">
      <c r="B671" s="1" t="s">
        <v>195</v>
      </c>
      <c r="C671" s="2" t="s">
        <v>196</v>
      </c>
      <c r="D671" s="2" t="s">
        <v>374</v>
      </c>
      <c r="E671" s="2" t="s">
        <v>717</v>
      </c>
      <c r="F671" s="3">
        <v>44907</v>
      </c>
      <c r="G671" s="4">
        <f t="shared" si="93"/>
        <v>12</v>
      </c>
      <c r="H671" s="4">
        <f t="shared" si="94"/>
        <v>2022</v>
      </c>
      <c r="I671" s="2" t="s">
        <v>4</v>
      </c>
      <c r="J671" s="2" t="s">
        <v>1241</v>
      </c>
      <c r="K671" s="2" t="s">
        <v>122</v>
      </c>
      <c r="L671" s="2" t="s">
        <v>123</v>
      </c>
      <c r="M671" s="2" t="s">
        <v>119</v>
      </c>
      <c r="N671" s="4" t="str">
        <f t="shared" si="95"/>
        <v>TON</v>
      </c>
      <c r="O671" s="5">
        <v>8</v>
      </c>
      <c r="Q671" t="str">
        <f t="shared" si="96"/>
        <v>MAC528YZ</v>
      </c>
      <c r="R671" t="str">
        <f t="shared" si="97"/>
        <v>Dyna Flo 5-2-8 YZ</v>
      </c>
      <c r="S671" s="32">
        <f t="shared" si="98"/>
        <v>395.40750000000003</v>
      </c>
      <c r="U671" t="s">
        <v>123</v>
      </c>
      <c r="V671" s="32">
        <v>395.40750000000003</v>
      </c>
    </row>
    <row r="672" spans="2:22" x14ac:dyDescent="0.25">
      <c r="B672" s="1" t="s">
        <v>195</v>
      </c>
      <c r="C672" s="2" t="s">
        <v>196</v>
      </c>
      <c r="D672" s="2" t="s">
        <v>317</v>
      </c>
      <c r="E672" s="2" t="s">
        <v>807</v>
      </c>
      <c r="F672" s="3">
        <v>44907</v>
      </c>
      <c r="G672" s="4">
        <f t="shared" si="93"/>
        <v>12</v>
      </c>
      <c r="H672" s="4">
        <f t="shared" si="94"/>
        <v>2022</v>
      </c>
      <c r="I672" s="2" t="s">
        <v>4</v>
      </c>
      <c r="J672" s="2" t="s">
        <v>1242</v>
      </c>
      <c r="K672" s="2" t="s">
        <v>390</v>
      </c>
      <c r="L672" s="2" t="s">
        <v>391</v>
      </c>
      <c r="M672" s="2" t="s">
        <v>119</v>
      </c>
      <c r="N672" s="4" t="str">
        <f t="shared" si="95"/>
        <v>TON</v>
      </c>
      <c r="O672" s="5">
        <v>15</v>
      </c>
      <c r="Q672" t="str">
        <f t="shared" si="96"/>
        <v>MAC426YM2</v>
      </c>
      <c r="R672" t="str">
        <f t="shared" si="97"/>
        <v>Dyna Flo 4-2-6YM2</v>
      </c>
      <c r="S672" s="32">
        <f t="shared" si="98"/>
        <v>415.88999999999976</v>
      </c>
      <c r="U672" t="s">
        <v>391</v>
      </c>
      <c r="V672" s="32">
        <v>415.88999999999976</v>
      </c>
    </row>
    <row r="673" spans="2:22" x14ac:dyDescent="0.25">
      <c r="B673" s="1" t="s">
        <v>195</v>
      </c>
      <c r="C673" s="2" t="s">
        <v>196</v>
      </c>
      <c r="D673" s="2" t="s">
        <v>418</v>
      </c>
      <c r="E673" s="2" t="s">
        <v>1243</v>
      </c>
      <c r="F673" s="3">
        <v>44908</v>
      </c>
      <c r="G673" s="4">
        <f t="shared" si="93"/>
        <v>12</v>
      </c>
      <c r="H673" s="4">
        <f t="shared" si="94"/>
        <v>2022</v>
      </c>
      <c r="I673" s="2" t="s">
        <v>4</v>
      </c>
      <c r="J673" s="2" t="s">
        <v>1244</v>
      </c>
      <c r="K673" s="2" t="s">
        <v>422</v>
      </c>
      <c r="L673" s="2" t="s">
        <v>423</v>
      </c>
      <c r="M673" s="2" t="s">
        <v>119</v>
      </c>
      <c r="N673" s="4" t="str">
        <f t="shared" si="95"/>
        <v>TON</v>
      </c>
      <c r="O673" s="5">
        <v>12</v>
      </c>
      <c r="Q673" t="str">
        <f t="shared" si="96"/>
        <v>MAC527YM18</v>
      </c>
      <c r="R673" t="str">
        <f t="shared" si="97"/>
        <v>Dyna Flo 5-2-7YM18</v>
      </c>
      <c r="S673" s="32">
        <f t="shared" si="98"/>
        <v>35.25</v>
      </c>
      <c r="U673" t="s">
        <v>423</v>
      </c>
      <c r="V673" s="32">
        <v>35.25</v>
      </c>
    </row>
    <row r="674" spans="2:22" x14ac:dyDescent="0.25">
      <c r="B674" s="1" t="s">
        <v>195</v>
      </c>
      <c r="C674" s="2" t="s">
        <v>196</v>
      </c>
      <c r="D674" s="2" t="s">
        <v>303</v>
      </c>
      <c r="E674" s="2" t="s">
        <v>501</v>
      </c>
      <c r="F674" s="3">
        <v>44904</v>
      </c>
      <c r="G674" s="4">
        <f t="shared" si="93"/>
        <v>12</v>
      </c>
      <c r="H674" s="4">
        <f t="shared" si="94"/>
        <v>2022</v>
      </c>
      <c r="I674" s="2" t="s">
        <v>4</v>
      </c>
      <c r="J674" s="2" t="s">
        <v>1245</v>
      </c>
      <c r="K674" s="2" t="s">
        <v>122</v>
      </c>
      <c r="L674" s="2" t="s">
        <v>123</v>
      </c>
      <c r="M674" s="2" t="s">
        <v>119</v>
      </c>
      <c r="N674" s="4" t="str">
        <f t="shared" si="95"/>
        <v>TON</v>
      </c>
      <c r="O674" s="5">
        <v>5</v>
      </c>
      <c r="Q674" t="str">
        <f t="shared" si="96"/>
        <v>MAC528YZ</v>
      </c>
      <c r="R674" t="str">
        <f t="shared" si="97"/>
        <v>Dyna Flo 5-2-8 YZ</v>
      </c>
      <c r="S674" s="32">
        <f t="shared" si="98"/>
        <v>395.40750000000003</v>
      </c>
      <c r="U674" t="s">
        <v>123</v>
      </c>
      <c r="V674" s="32">
        <v>395.40750000000003</v>
      </c>
    </row>
    <row r="675" spans="2:22" x14ac:dyDescent="0.25">
      <c r="B675" s="1" t="s">
        <v>195</v>
      </c>
      <c r="C675" s="2" t="s">
        <v>196</v>
      </c>
      <c r="D675" s="2" t="s">
        <v>114</v>
      </c>
      <c r="E675" s="2" t="s">
        <v>274</v>
      </c>
      <c r="F675" s="3">
        <v>44904</v>
      </c>
      <c r="G675" s="4">
        <f t="shared" si="93"/>
        <v>12</v>
      </c>
      <c r="H675" s="4">
        <f t="shared" si="94"/>
        <v>2022</v>
      </c>
      <c r="I675" s="2" t="s">
        <v>4</v>
      </c>
      <c r="J675" s="2" t="s">
        <v>1246</v>
      </c>
      <c r="K675" s="2" t="s">
        <v>390</v>
      </c>
      <c r="L675" s="2" t="s">
        <v>391</v>
      </c>
      <c r="M675" s="2" t="s">
        <v>119</v>
      </c>
      <c r="N675" s="4" t="str">
        <f t="shared" si="95"/>
        <v>TON</v>
      </c>
      <c r="O675" s="5">
        <v>3.52</v>
      </c>
      <c r="Q675" t="str">
        <f t="shared" si="96"/>
        <v>MAC426YM2</v>
      </c>
      <c r="R675" t="str">
        <f t="shared" si="97"/>
        <v>Dyna Flo 4-2-6YM2</v>
      </c>
      <c r="S675" s="32">
        <f t="shared" si="98"/>
        <v>415.88999999999976</v>
      </c>
      <c r="U675" t="s">
        <v>391</v>
      </c>
      <c r="V675" s="32">
        <v>415.88999999999976</v>
      </c>
    </row>
    <row r="676" spans="2:22" x14ac:dyDescent="0.25">
      <c r="B676" s="1" t="s">
        <v>195</v>
      </c>
      <c r="C676" s="2" t="s">
        <v>196</v>
      </c>
      <c r="D676" s="2" t="s">
        <v>449</v>
      </c>
      <c r="E676" s="2" t="s">
        <v>751</v>
      </c>
      <c r="F676" s="3">
        <v>44907</v>
      </c>
      <c r="G676" s="4">
        <f t="shared" si="93"/>
        <v>12</v>
      </c>
      <c r="H676" s="4">
        <f t="shared" si="94"/>
        <v>2022</v>
      </c>
      <c r="I676" s="2" t="s">
        <v>4</v>
      </c>
      <c r="J676" s="2" t="s">
        <v>1247</v>
      </c>
      <c r="K676" s="2" t="s">
        <v>329</v>
      </c>
      <c r="L676" s="2" t="s">
        <v>330</v>
      </c>
      <c r="M676" s="2" t="s">
        <v>119</v>
      </c>
      <c r="N676" s="4" t="str">
        <f t="shared" si="95"/>
        <v>TON</v>
      </c>
      <c r="O676" s="5">
        <v>2.5</v>
      </c>
      <c r="Q676" t="str">
        <f t="shared" si="96"/>
        <v>MAC628YM8</v>
      </c>
      <c r="R676" t="str">
        <f t="shared" si="97"/>
        <v>Dyna Flo 6-2-8YM8</v>
      </c>
      <c r="S676" s="32">
        <f t="shared" si="98"/>
        <v>247.51499999999996</v>
      </c>
      <c r="U676" t="s">
        <v>330</v>
      </c>
      <c r="V676" s="32">
        <v>247.51499999999996</v>
      </c>
    </row>
    <row r="677" spans="2:22" x14ac:dyDescent="0.25">
      <c r="B677" s="1" t="s">
        <v>195</v>
      </c>
      <c r="C677" s="2" t="s">
        <v>196</v>
      </c>
      <c r="D677" s="2" t="s">
        <v>238</v>
      </c>
      <c r="E677" s="2" t="s">
        <v>141</v>
      </c>
      <c r="F677" s="3">
        <v>44908</v>
      </c>
      <c r="G677" s="4">
        <f t="shared" si="93"/>
        <v>12</v>
      </c>
      <c r="H677" s="4">
        <f t="shared" si="94"/>
        <v>2022</v>
      </c>
      <c r="I677" s="2" t="s">
        <v>4</v>
      </c>
      <c r="J677" s="2" t="s">
        <v>1248</v>
      </c>
      <c r="K677" s="2" t="s">
        <v>158</v>
      </c>
      <c r="L677" s="2" t="s">
        <v>159</v>
      </c>
      <c r="M677" s="2" t="s">
        <v>160</v>
      </c>
      <c r="N677" s="4" t="str">
        <f t="shared" si="95"/>
        <v>GAL</v>
      </c>
      <c r="O677" s="5">
        <v>20</v>
      </c>
      <c r="Q677" t="str">
        <f t="shared" si="96"/>
        <v>SOARBLM02</v>
      </c>
      <c r="R677" t="str">
        <f t="shared" si="97"/>
        <v>Soar Bloom Spray</v>
      </c>
      <c r="S677" s="32">
        <f t="shared" si="98"/>
        <v>2195</v>
      </c>
      <c r="U677" t="s">
        <v>159</v>
      </c>
      <c r="V677" s="32">
        <v>2195</v>
      </c>
    </row>
    <row r="678" spans="2:22" x14ac:dyDescent="0.25">
      <c r="B678" s="1" t="s">
        <v>195</v>
      </c>
      <c r="C678" s="2" t="s">
        <v>196</v>
      </c>
      <c r="D678" s="2" t="s">
        <v>227</v>
      </c>
      <c r="E678" s="2" t="s">
        <v>228</v>
      </c>
      <c r="F678" s="3">
        <v>44907</v>
      </c>
      <c r="G678" s="4">
        <f t="shared" si="93"/>
        <v>12</v>
      </c>
      <c r="H678" s="4">
        <f t="shared" si="94"/>
        <v>2022</v>
      </c>
      <c r="I678" s="2" t="s">
        <v>4</v>
      </c>
      <c r="J678" s="2" t="s">
        <v>1249</v>
      </c>
      <c r="K678" s="2" t="s">
        <v>329</v>
      </c>
      <c r="L678" s="2" t="s">
        <v>330</v>
      </c>
      <c r="M678" s="2" t="s">
        <v>119</v>
      </c>
      <c r="N678" s="4" t="str">
        <f t="shared" si="95"/>
        <v>TON</v>
      </c>
      <c r="O678" s="5">
        <v>4.9974999999999996</v>
      </c>
      <c r="Q678" t="str">
        <f t="shared" si="96"/>
        <v>MAC628YM8</v>
      </c>
      <c r="R678" t="str">
        <f t="shared" si="97"/>
        <v>Dyna Flo 6-2-8YM8</v>
      </c>
      <c r="S678" s="32">
        <f t="shared" si="98"/>
        <v>247.51499999999996</v>
      </c>
      <c r="U678" t="s">
        <v>330</v>
      </c>
      <c r="V678" s="32">
        <v>247.51499999999996</v>
      </c>
    </row>
    <row r="679" spans="2:22" x14ac:dyDescent="0.25">
      <c r="B679" s="1" t="s">
        <v>195</v>
      </c>
      <c r="C679" s="2" t="s">
        <v>196</v>
      </c>
      <c r="D679" s="2" t="s">
        <v>444</v>
      </c>
      <c r="E679" s="2" t="s">
        <v>445</v>
      </c>
      <c r="F679" s="3">
        <v>44907</v>
      </c>
      <c r="G679" s="4">
        <f t="shared" si="93"/>
        <v>12</v>
      </c>
      <c r="H679" s="4">
        <f t="shared" si="94"/>
        <v>2022</v>
      </c>
      <c r="I679" s="2" t="s">
        <v>4</v>
      </c>
      <c r="J679" s="2" t="s">
        <v>1250</v>
      </c>
      <c r="K679" s="2" t="s">
        <v>324</v>
      </c>
      <c r="L679" s="2" t="s">
        <v>325</v>
      </c>
      <c r="M679" s="2" t="s">
        <v>119</v>
      </c>
      <c r="N679" s="4" t="str">
        <f t="shared" si="95"/>
        <v>TON</v>
      </c>
      <c r="O679" s="5">
        <v>5.0049999999999999</v>
      </c>
      <c r="Q679" t="str">
        <f t="shared" si="96"/>
        <v>MAC737YM</v>
      </c>
      <c r="R679" t="str">
        <f t="shared" si="97"/>
        <v>Dyna Flo 7-3-7 YM</v>
      </c>
      <c r="S679" s="32">
        <f t="shared" si="98"/>
        <v>99.21250000000002</v>
      </c>
      <c r="U679" t="s">
        <v>325</v>
      </c>
      <c r="V679" s="32">
        <v>99.21250000000002</v>
      </c>
    </row>
    <row r="680" spans="2:22" x14ac:dyDescent="0.25">
      <c r="B680" s="1" t="s">
        <v>195</v>
      </c>
      <c r="C680" s="2" t="s">
        <v>196</v>
      </c>
      <c r="D680" s="2" t="s">
        <v>114</v>
      </c>
      <c r="E680" s="2" t="s">
        <v>927</v>
      </c>
      <c r="F680" s="3">
        <v>44907</v>
      </c>
      <c r="G680" s="4">
        <f t="shared" si="93"/>
        <v>12</v>
      </c>
      <c r="H680" s="4">
        <f t="shared" si="94"/>
        <v>2022</v>
      </c>
      <c r="I680" s="2" t="s">
        <v>4</v>
      </c>
      <c r="J680" s="2" t="s">
        <v>1251</v>
      </c>
      <c r="K680" s="2" t="s">
        <v>390</v>
      </c>
      <c r="L680" s="2" t="s">
        <v>391</v>
      </c>
      <c r="M680" s="2" t="s">
        <v>119</v>
      </c>
      <c r="N680" s="4" t="str">
        <f t="shared" si="95"/>
        <v>TON</v>
      </c>
      <c r="O680" s="5">
        <v>4.5149999999999997</v>
      </c>
      <c r="Q680" t="str">
        <f t="shared" si="96"/>
        <v>MAC426YM2</v>
      </c>
      <c r="R680" t="str">
        <f t="shared" si="97"/>
        <v>Dyna Flo 4-2-6YM2</v>
      </c>
      <c r="S680" s="32">
        <f t="shared" si="98"/>
        <v>415.88999999999976</v>
      </c>
      <c r="U680" t="s">
        <v>391</v>
      </c>
      <c r="V680" s="32">
        <v>415.88999999999976</v>
      </c>
    </row>
    <row r="681" spans="2:22" x14ac:dyDescent="0.25">
      <c r="B681" s="1" t="s">
        <v>195</v>
      </c>
      <c r="C681" s="2" t="s">
        <v>196</v>
      </c>
      <c r="D681" s="2" t="s">
        <v>294</v>
      </c>
      <c r="E681" s="2" t="s">
        <v>295</v>
      </c>
      <c r="F681" s="3">
        <v>44907</v>
      </c>
      <c r="G681" s="4">
        <f t="shared" si="93"/>
        <v>12</v>
      </c>
      <c r="H681" s="4">
        <f t="shared" si="94"/>
        <v>2022</v>
      </c>
      <c r="I681" s="2" t="s">
        <v>4</v>
      </c>
      <c r="J681" s="2" t="s">
        <v>1252</v>
      </c>
      <c r="K681" s="2" t="s">
        <v>122</v>
      </c>
      <c r="L681" s="2" t="s">
        <v>123</v>
      </c>
      <c r="M681" s="2" t="s">
        <v>119</v>
      </c>
      <c r="N681" s="4" t="str">
        <f t="shared" si="95"/>
        <v>TON</v>
      </c>
      <c r="O681" s="5">
        <v>7.5250000000000004</v>
      </c>
      <c r="Q681" t="str">
        <f t="shared" si="96"/>
        <v>MAC528YZ</v>
      </c>
      <c r="R681" t="str">
        <f t="shared" si="97"/>
        <v>Dyna Flo 5-2-8 YZ</v>
      </c>
      <c r="S681" s="32">
        <f t="shared" si="98"/>
        <v>395.40750000000003</v>
      </c>
      <c r="U681" t="s">
        <v>123</v>
      </c>
      <c r="V681" s="32">
        <v>395.40750000000003</v>
      </c>
    </row>
    <row r="682" spans="2:22" x14ac:dyDescent="0.25">
      <c r="B682" s="1" t="s">
        <v>195</v>
      </c>
      <c r="C682" s="2" t="s">
        <v>196</v>
      </c>
      <c r="D682" s="2" t="s">
        <v>452</v>
      </c>
      <c r="E682" s="2" t="s">
        <v>453</v>
      </c>
      <c r="F682" s="3">
        <v>44907</v>
      </c>
      <c r="G682" s="4">
        <f t="shared" si="93"/>
        <v>12</v>
      </c>
      <c r="H682" s="4">
        <f t="shared" si="94"/>
        <v>2022</v>
      </c>
      <c r="I682" s="2" t="s">
        <v>4</v>
      </c>
      <c r="J682" s="2" t="s">
        <v>1253</v>
      </c>
      <c r="K682" s="2" t="s">
        <v>117</v>
      </c>
      <c r="L682" s="2" t="s">
        <v>118</v>
      </c>
      <c r="M682" s="2" t="s">
        <v>119</v>
      </c>
      <c r="N682" s="4" t="str">
        <f t="shared" si="95"/>
        <v>TON</v>
      </c>
      <c r="O682" s="5">
        <v>3.4925000000000002</v>
      </c>
      <c r="Q682" t="str">
        <f t="shared" si="96"/>
        <v>MAC428YM8</v>
      </c>
      <c r="R682" t="str">
        <f t="shared" si="97"/>
        <v>Dyna Flo 4-2-8YM8</v>
      </c>
      <c r="S682" s="32">
        <f t="shared" si="98"/>
        <v>517.73950000000002</v>
      </c>
      <c r="U682" t="s">
        <v>118</v>
      </c>
      <c r="V682" s="32">
        <v>517.73950000000002</v>
      </c>
    </row>
    <row r="683" spans="2:22" x14ac:dyDescent="0.25">
      <c r="B683" s="1" t="s">
        <v>195</v>
      </c>
      <c r="C683" s="2" t="s">
        <v>196</v>
      </c>
      <c r="D683" s="2" t="s">
        <v>227</v>
      </c>
      <c r="E683" s="2" t="s">
        <v>757</v>
      </c>
      <c r="F683" s="3">
        <v>44907</v>
      </c>
      <c r="G683" s="4">
        <f t="shared" si="93"/>
        <v>12</v>
      </c>
      <c r="H683" s="4">
        <f t="shared" si="94"/>
        <v>2022</v>
      </c>
      <c r="I683" s="2" t="s">
        <v>4</v>
      </c>
      <c r="J683" s="2" t="s">
        <v>1254</v>
      </c>
      <c r="K683" s="2" t="s">
        <v>915</v>
      </c>
      <c r="L683" s="2" t="s">
        <v>916</v>
      </c>
      <c r="M683" s="2" t="s">
        <v>917</v>
      </c>
      <c r="N683" s="4" t="str">
        <f t="shared" si="95"/>
        <v>GAL</v>
      </c>
      <c r="O683" s="5">
        <v>30</v>
      </c>
      <c r="Q683" t="str">
        <f t="shared" si="96"/>
        <v>GROCA30</v>
      </c>
      <c r="R683" t="str">
        <f t="shared" si="97"/>
        <v>Dyna Gro Calcium 11%</v>
      </c>
      <c r="S683" s="32">
        <f t="shared" si="98"/>
        <v>95</v>
      </c>
      <c r="U683" t="s">
        <v>916</v>
      </c>
      <c r="V683" s="32">
        <v>95</v>
      </c>
    </row>
    <row r="684" spans="2:22" x14ac:dyDescent="0.25">
      <c r="B684" s="1" t="s">
        <v>195</v>
      </c>
      <c r="C684" s="2" t="s">
        <v>196</v>
      </c>
      <c r="D684" s="2" t="s">
        <v>227</v>
      </c>
      <c r="E684" s="2" t="s">
        <v>757</v>
      </c>
      <c r="F684" s="3">
        <v>44907</v>
      </c>
      <c r="G684" s="4">
        <f t="shared" si="93"/>
        <v>12</v>
      </c>
      <c r="H684" s="4">
        <f t="shared" si="94"/>
        <v>2022</v>
      </c>
      <c r="I684" s="2" t="s">
        <v>4</v>
      </c>
      <c r="J684" s="2" t="s">
        <v>1255</v>
      </c>
      <c r="K684" s="2" t="s">
        <v>220</v>
      </c>
      <c r="L684" s="2" t="s">
        <v>201</v>
      </c>
      <c r="M684" s="2" t="s">
        <v>202</v>
      </c>
      <c r="N684" s="4" t="str">
        <f t="shared" si="95"/>
        <v>GAL</v>
      </c>
      <c r="O684" s="5">
        <v>250</v>
      </c>
      <c r="Q684" t="str">
        <f t="shared" si="96"/>
        <v>FLO150016250</v>
      </c>
      <c r="R684" t="str">
        <f t="shared" si="97"/>
        <v>Vented pHury</v>
      </c>
      <c r="S684" s="32">
        <f t="shared" si="98"/>
        <v>965</v>
      </c>
      <c r="U684" t="s">
        <v>201</v>
      </c>
      <c r="V684" s="32">
        <v>965</v>
      </c>
    </row>
    <row r="685" spans="2:22" x14ac:dyDescent="0.25">
      <c r="B685" s="1" t="s">
        <v>195</v>
      </c>
      <c r="C685" s="2" t="s">
        <v>196</v>
      </c>
      <c r="D685" s="2" t="s">
        <v>210</v>
      </c>
      <c r="E685" s="2" t="s">
        <v>827</v>
      </c>
      <c r="F685" s="3">
        <v>44908</v>
      </c>
      <c r="G685" s="4">
        <f t="shared" si="93"/>
        <v>12</v>
      </c>
      <c r="H685" s="4">
        <f t="shared" si="94"/>
        <v>2022</v>
      </c>
      <c r="I685" s="2" t="s">
        <v>4</v>
      </c>
      <c r="J685" s="2" t="s">
        <v>1256</v>
      </c>
      <c r="K685" s="2" t="s">
        <v>213</v>
      </c>
      <c r="L685" s="2" t="s">
        <v>214</v>
      </c>
      <c r="M685" s="2" t="s">
        <v>119</v>
      </c>
      <c r="N685" s="4" t="str">
        <f t="shared" si="95"/>
        <v>TON</v>
      </c>
      <c r="O685" s="5">
        <v>15</v>
      </c>
      <c r="Q685" t="str">
        <f t="shared" si="96"/>
        <v>MAC626YM</v>
      </c>
      <c r="R685" t="str">
        <f t="shared" si="97"/>
        <v>Dyna Flo 6-2-6YM</v>
      </c>
      <c r="S685" s="32">
        <f t="shared" si="98"/>
        <v>30</v>
      </c>
      <c r="U685" t="s">
        <v>214</v>
      </c>
      <c r="V685" s="32">
        <v>30</v>
      </c>
    </row>
    <row r="686" spans="2:22" x14ac:dyDescent="0.25">
      <c r="B686" s="1" t="s">
        <v>195</v>
      </c>
      <c r="C686" s="2" t="s">
        <v>196</v>
      </c>
      <c r="D686" s="2" t="s">
        <v>1257</v>
      </c>
      <c r="E686" s="2" t="s">
        <v>102</v>
      </c>
      <c r="F686" s="3">
        <v>44908</v>
      </c>
      <c r="G686" s="4">
        <f t="shared" si="93"/>
        <v>12</v>
      </c>
      <c r="H686" s="4">
        <f t="shared" si="94"/>
        <v>2022</v>
      </c>
      <c r="I686" s="2" t="s">
        <v>4</v>
      </c>
      <c r="J686" s="2" t="s">
        <v>1258</v>
      </c>
      <c r="K686" s="2" t="s">
        <v>834</v>
      </c>
      <c r="L686" s="2" t="s">
        <v>835</v>
      </c>
      <c r="M686" s="2" t="s">
        <v>119</v>
      </c>
      <c r="N686" s="4" t="str">
        <f t="shared" si="95"/>
        <v>TON</v>
      </c>
      <c r="O686" s="5">
        <v>1.25</v>
      </c>
      <c r="Q686" t="str">
        <f t="shared" si="96"/>
        <v>MAC306X</v>
      </c>
      <c r="R686" t="str">
        <f t="shared" si="97"/>
        <v>Dyna Flo  3-0-6</v>
      </c>
      <c r="S686" s="32">
        <f t="shared" si="98"/>
        <v>3.75</v>
      </c>
      <c r="U686" t="s">
        <v>835</v>
      </c>
      <c r="V686" s="32">
        <v>3.75</v>
      </c>
    </row>
    <row r="687" spans="2:22" x14ac:dyDescent="0.25">
      <c r="B687" s="1" t="s">
        <v>195</v>
      </c>
      <c r="C687" s="2" t="s">
        <v>196</v>
      </c>
      <c r="D687" s="2" t="s">
        <v>270</v>
      </c>
      <c r="E687" s="2" t="s">
        <v>270</v>
      </c>
      <c r="F687" s="3">
        <v>44909</v>
      </c>
      <c r="G687" s="4">
        <f t="shared" si="93"/>
        <v>12</v>
      </c>
      <c r="H687" s="4">
        <f t="shared" si="94"/>
        <v>2022</v>
      </c>
      <c r="I687" s="2" t="s">
        <v>4</v>
      </c>
      <c r="J687" s="2" t="s">
        <v>1259</v>
      </c>
      <c r="K687" s="2" t="s">
        <v>531</v>
      </c>
      <c r="L687" s="2" t="s">
        <v>201</v>
      </c>
      <c r="M687" s="2" t="s">
        <v>202</v>
      </c>
      <c r="N687" s="4" t="str">
        <f t="shared" si="95"/>
        <v>GAL</v>
      </c>
      <c r="O687" s="5">
        <v>60</v>
      </c>
      <c r="Q687" t="str">
        <f t="shared" si="96"/>
        <v>FLO15001630</v>
      </c>
      <c r="R687" t="str">
        <f t="shared" si="97"/>
        <v>Vented pHury</v>
      </c>
      <c r="S687" s="32">
        <f t="shared" si="98"/>
        <v>965</v>
      </c>
      <c r="U687" t="s">
        <v>201</v>
      </c>
      <c r="V687" s="32">
        <v>965</v>
      </c>
    </row>
    <row r="688" spans="2:22" x14ac:dyDescent="0.25">
      <c r="B688" s="1" t="s">
        <v>195</v>
      </c>
      <c r="C688" s="2" t="s">
        <v>196</v>
      </c>
      <c r="D688" s="2" t="s">
        <v>215</v>
      </c>
      <c r="E688" s="2" t="s">
        <v>701</v>
      </c>
      <c r="F688" s="3">
        <v>44909</v>
      </c>
      <c r="G688" s="4">
        <f t="shared" si="93"/>
        <v>12</v>
      </c>
      <c r="H688" s="4">
        <f t="shared" si="94"/>
        <v>2022</v>
      </c>
      <c r="I688" s="2" t="s">
        <v>4</v>
      </c>
      <c r="J688" s="2" t="s">
        <v>1260</v>
      </c>
      <c r="K688" s="2" t="s">
        <v>447</v>
      </c>
      <c r="L688" s="2" t="s">
        <v>448</v>
      </c>
      <c r="M688" s="2" t="s">
        <v>119</v>
      </c>
      <c r="N688" s="4" t="str">
        <f t="shared" si="95"/>
        <v>TON</v>
      </c>
      <c r="O688" s="5">
        <v>10.0175</v>
      </c>
      <c r="Q688" t="str">
        <f t="shared" si="96"/>
        <v>MAC727YM15</v>
      </c>
      <c r="R688" t="str">
        <f t="shared" si="97"/>
        <v>Dyna Flo 7-2-7YM15</v>
      </c>
      <c r="S688" s="32">
        <f t="shared" si="98"/>
        <v>113.6925</v>
      </c>
      <c r="U688" t="s">
        <v>448</v>
      </c>
      <c r="V688" s="32">
        <v>113.6925</v>
      </c>
    </row>
    <row r="689" spans="2:22" x14ac:dyDescent="0.25">
      <c r="B689" s="1" t="s">
        <v>195</v>
      </c>
      <c r="C689" s="2" t="s">
        <v>196</v>
      </c>
      <c r="D689" s="2" t="s">
        <v>898</v>
      </c>
      <c r="E689" s="2" t="s">
        <v>102</v>
      </c>
      <c r="F689" s="3">
        <v>44909</v>
      </c>
      <c r="G689" s="4">
        <f t="shared" si="93"/>
        <v>12</v>
      </c>
      <c r="H689" s="4">
        <f t="shared" si="94"/>
        <v>2022</v>
      </c>
      <c r="I689" s="2" t="s">
        <v>4</v>
      </c>
      <c r="J689" s="2" t="s">
        <v>1261</v>
      </c>
      <c r="K689" s="2" t="s">
        <v>447</v>
      </c>
      <c r="L689" s="2" t="s">
        <v>448</v>
      </c>
      <c r="M689" s="2" t="s">
        <v>119</v>
      </c>
      <c r="N689" s="4" t="str">
        <f t="shared" si="95"/>
        <v>TON</v>
      </c>
      <c r="O689" s="5">
        <v>15.03</v>
      </c>
      <c r="Q689" t="str">
        <f t="shared" si="96"/>
        <v>MAC727YM15</v>
      </c>
      <c r="R689" t="str">
        <f t="shared" si="97"/>
        <v>Dyna Flo 7-2-7YM15</v>
      </c>
      <c r="S689" s="32">
        <f t="shared" si="98"/>
        <v>113.6925</v>
      </c>
      <c r="U689" t="s">
        <v>448</v>
      </c>
      <c r="V689" s="32">
        <v>113.6925</v>
      </c>
    </row>
    <row r="690" spans="2:22" x14ac:dyDescent="0.25">
      <c r="B690" s="1" t="s">
        <v>495</v>
      </c>
      <c r="C690" s="2" t="s">
        <v>196</v>
      </c>
      <c r="D690" s="2" t="s">
        <v>496</v>
      </c>
      <c r="E690" s="2" t="s">
        <v>497</v>
      </c>
      <c r="F690" s="3">
        <v>44909</v>
      </c>
      <c r="G690" s="4">
        <f t="shared" si="93"/>
        <v>12</v>
      </c>
      <c r="H690" s="4">
        <f t="shared" si="94"/>
        <v>2022</v>
      </c>
      <c r="I690" s="2" t="s">
        <v>4</v>
      </c>
      <c r="J690" s="2" t="s">
        <v>1262</v>
      </c>
      <c r="K690" s="2" t="s">
        <v>1263</v>
      </c>
      <c r="L690" s="2" t="s">
        <v>1264</v>
      </c>
      <c r="M690" s="2" t="s">
        <v>119</v>
      </c>
      <c r="N690" s="4" t="str">
        <f t="shared" si="95"/>
        <v>TON</v>
      </c>
      <c r="O690" s="5">
        <v>5.0025000000000004</v>
      </c>
      <c r="Q690" t="str">
        <f t="shared" si="96"/>
        <v>MAC608YB19</v>
      </c>
      <c r="R690" t="str">
        <f t="shared" si="97"/>
        <v>Dyna Flo 6-0-8 YB19</v>
      </c>
      <c r="S690" s="32">
        <f t="shared" si="98"/>
        <v>5.0025000000000004</v>
      </c>
      <c r="U690" t="s">
        <v>1264</v>
      </c>
      <c r="V690" s="32">
        <v>5.0025000000000004</v>
      </c>
    </row>
    <row r="691" spans="2:22" x14ac:dyDescent="0.25">
      <c r="B691" s="1" t="s">
        <v>495</v>
      </c>
      <c r="C691" s="2" t="s">
        <v>196</v>
      </c>
      <c r="D691" s="2" t="s">
        <v>496</v>
      </c>
      <c r="E691" s="2" t="s">
        <v>497</v>
      </c>
      <c r="F691" s="3">
        <v>44909</v>
      </c>
      <c r="G691" s="4">
        <f t="shared" si="93"/>
        <v>12</v>
      </c>
      <c r="H691" s="4">
        <f t="shared" si="94"/>
        <v>2022</v>
      </c>
      <c r="I691" s="2" t="s">
        <v>4</v>
      </c>
      <c r="J691" s="2" t="s">
        <v>1265</v>
      </c>
      <c r="K691" s="2" t="s">
        <v>1266</v>
      </c>
      <c r="L691" s="2" t="s">
        <v>1267</v>
      </c>
      <c r="M691" s="2" t="s">
        <v>191</v>
      </c>
      <c r="N691" s="4" t="str">
        <f t="shared" si="95"/>
        <v>GAL</v>
      </c>
      <c r="O691" s="5">
        <v>10</v>
      </c>
      <c r="Q691" t="str">
        <f t="shared" si="96"/>
        <v>GROMG6302</v>
      </c>
      <c r="R691" t="str">
        <f t="shared" si="97"/>
        <v>Dyna Gro Magnesium 6.3%</v>
      </c>
      <c r="S691" s="32">
        <f t="shared" si="98"/>
        <v>10</v>
      </c>
      <c r="U691" t="s">
        <v>1267</v>
      </c>
      <c r="V691" s="32">
        <v>10</v>
      </c>
    </row>
    <row r="692" spans="2:22" x14ac:dyDescent="0.25">
      <c r="B692" s="1" t="s">
        <v>195</v>
      </c>
      <c r="C692" s="2" t="s">
        <v>196</v>
      </c>
      <c r="D692" s="2" t="s">
        <v>276</v>
      </c>
      <c r="E692" s="2" t="s">
        <v>682</v>
      </c>
      <c r="F692" s="3">
        <v>44909</v>
      </c>
      <c r="G692" s="4">
        <f t="shared" si="93"/>
        <v>12</v>
      </c>
      <c r="H692" s="4">
        <f t="shared" si="94"/>
        <v>2022</v>
      </c>
      <c r="I692" s="2" t="s">
        <v>4</v>
      </c>
      <c r="J692" s="2" t="s">
        <v>1268</v>
      </c>
      <c r="K692" s="2" t="s">
        <v>122</v>
      </c>
      <c r="L692" s="2" t="s">
        <v>123</v>
      </c>
      <c r="M692" s="2" t="s">
        <v>119</v>
      </c>
      <c r="N692" s="4" t="str">
        <f t="shared" si="95"/>
        <v>TON</v>
      </c>
      <c r="O692" s="5">
        <v>15.03</v>
      </c>
      <c r="Q692" t="str">
        <f t="shared" si="96"/>
        <v>MAC528YZ</v>
      </c>
      <c r="R692" t="str">
        <f t="shared" si="97"/>
        <v>Dyna Flo 5-2-8 YZ</v>
      </c>
      <c r="S692" s="32">
        <f t="shared" si="98"/>
        <v>395.40750000000003</v>
      </c>
      <c r="U692" t="s">
        <v>123</v>
      </c>
      <c r="V692" s="32">
        <v>395.40750000000003</v>
      </c>
    </row>
    <row r="693" spans="2:22" x14ac:dyDescent="0.25">
      <c r="B693" s="1" t="s">
        <v>195</v>
      </c>
      <c r="C693" s="2" t="s">
        <v>196</v>
      </c>
      <c r="D693" s="2" t="s">
        <v>285</v>
      </c>
      <c r="E693" s="2" t="s">
        <v>297</v>
      </c>
      <c r="F693" s="3">
        <v>44911</v>
      </c>
      <c r="G693" s="4">
        <f t="shared" si="93"/>
        <v>12</v>
      </c>
      <c r="H693" s="4">
        <f t="shared" si="94"/>
        <v>2022</v>
      </c>
      <c r="I693" s="2" t="s">
        <v>4</v>
      </c>
      <c r="J693" s="2" t="s">
        <v>1269</v>
      </c>
      <c r="K693" s="2" t="s">
        <v>292</v>
      </c>
      <c r="L693" s="2" t="s">
        <v>293</v>
      </c>
      <c r="M693" s="2" t="s">
        <v>119</v>
      </c>
      <c r="N693" s="4" t="str">
        <f t="shared" si="95"/>
        <v>TON</v>
      </c>
      <c r="O693" s="5">
        <v>7.5</v>
      </c>
      <c r="Q693" t="str">
        <f t="shared" si="96"/>
        <v>MAC608YB5</v>
      </c>
      <c r="R693" t="str">
        <f t="shared" si="97"/>
        <v>Dyna Flo 6-0-8 YB5</v>
      </c>
      <c r="S693" s="32">
        <f t="shared" si="98"/>
        <v>78.175000000000011</v>
      </c>
      <c r="U693" t="s">
        <v>293</v>
      </c>
      <c r="V693" s="32">
        <v>78.175000000000011</v>
      </c>
    </row>
    <row r="694" spans="2:22" x14ac:dyDescent="0.25">
      <c r="B694" s="1" t="s">
        <v>195</v>
      </c>
      <c r="C694" s="2" t="s">
        <v>196</v>
      </c>
      <c r="D694" s="2" t="s">
        <v>238</v>
      </c>
      <c r="E694" s="2" t="s">
        <v>1270</v>
      </c>
      <c r="F694" s="3">
        <v>44909</v>
      </c>
      <c r="G694" s="4">
        <f t="shared" si="93"/>
        <v>12</v>
      </c>
      <c r="H694" s="4">
        <f t="shared" si="94"/>
        <v>2022</v>
      </c>
      <c r="I694" s="2" t="s">
        <v>4</v>
      </c>
      <c r="J694" s="2" t="s">
        <v>1271</v>
      </c>
      <c r="K694" s="2" t="s">
        <v>122</v>
      </c>
      <c r="L694" s="2" t="s">
        <v>123</v>
      </c>
      <c r="M694" s="2" t="s">
        <v>119</v>
      </c>
      <c r="N694" s="4" t="str">
        <f t="shared" si="95"/>
        <v>TON</v>
      </c>
      <c r="O694" s="5">
        <v>7</v>
      </c>
      <c r="Q694" t="str">
        <f t="shared" si="96"/>
        <v>MAC528YZ</v>
      </c>
      <c r="R694" t="str">
        <f t="shared" si="97"/>
        <v>Dyna Flo 5-2-8 YZ</v>
      </c>
      <c r="S694" s="32">
        <f t="shared" si="98"/>
        <v>395.40750000000003</v>
      </c>
      <c r="U694" t="s">
        <v>123</v>
      </c>
      <c r="V694" s="32">
        <v>395.40750000000003</v>
      </c>
    </row>
    <row r="695" spans="2:22" x14ac:dyDescent="0.25">
      <c r="B695" s="1" t="s">
        <v>195</v>
      </c>
      <c r="C695" s="2" t="s">
        <v>196</v>
      </c>
      <c r="D695" s="2" t="s">
        <v>224</v>
      </c>
      <c r="E695" s="2" t="s">
        <v>707</v>
      </c>
      <c r="F695" s="3">
        <v>44909</v>
      </c>
      <c r="G695" s="4">
        <f t="shared" si="93"/>
        <v>12</v>
      </c>
      <c r="H695" s="4">
        <f t="shared" si="94"/>
        <v>2022</v>
      </c>
      <c r="I695" s="2" t="s">
        <v>4</v>
      </c>
      <c r="J695" s="2" t="s">
        <v>1272</v>
      </c>
      <c r="K695" s="2" t="s">
        <v>122</v>
      </c>
      <c r="L695" s="2" t="s">
        <v>123</v>
      </c>
      <c r="M695" s="2" t="s">
        <v>119</v>
      </c>
      <c r="N695" s="4" t="str">
        <f t="shared" si="95"/>
        <v>TON</v>
      </c>
      <c r="O695" s="5">
        <v>1.25</v>
      </c>
      <c r="Q695" t="str">
        <f t="shared" si="96"/>
        <v>MAC528YZ</v>
      </c>
      <c r="R695" t="str">
        <f t="shared" si="97"/>
        <v>Dyna Flo 5-2-8 YZ</v>
      </c>
      <c r="S695" s="32">
        <f t="shared" si="98"/>
        <v>395.40750000000003</v>
      </c>
      <c r="U695" t="s">
        <v>123</v>
      </c>
      <c r="V695" s="32">
        <v>395.40750000000003</v>
      </c>
    </row>
    <row r="696" spans="2:22" x14ac:dyDescent="0.25">
      <c r="B696" s="1" t="s">
        <v>195</v>
      </c>
      <c r="C696" s="2" t="s">
        <v>196</v>
      </c>
      <c r="D696" s="2" t="s">
        <v>444</v>
      </c>
      <c r="E696" s="2" t="s">
        <v>686</v>
      </c>
      <c r="F696" s="3">
        <v>44909</v>
      </c>
      <c r="G696" s="4">
        <f t="shared" si="93"/>
        <v>12</v>
      </c>
      <c r="H696" s="4">
        <f t="shared" si="94"/>
        <v>2022</v>
      </c>
      <c r="I696" s="2" t="s">
        <v>4</v>
      </c>
      <c r="J696" s="2" t="s">
        <v>1273</v>
      </c>
      <c r="K696" s="2" t="s">
        <v>394</v>
      </c>
      <c r="L696" s="2" t="s">
        <v>395</v>
      </c>
      <c r="M696" s="2" t="s">
        <v>119</v>
      </c>
      <c r="N696" s="4" t="str">
        <f t="shared" si="95"/>
        <v>TON</v>
      </c>
      <c r="O696" s="5">
        <v>1.25</v>
      </c>
      <c r="Q696" t="str">
        <f t="shared" si="96"/>
        <v>MAC707YB13</v>
      </c>
      <c r="R696" t="str">
        <f t="shared" si="97"/>
        <v>Dyna Flo 7-0-7YB13</v>
      </c>
      <c r="S696" s="32">
        <f t="shared" si="98"/>
        <v>51.2575</v>
      </c>
      <c r="U696" t="s">
        <v>395</v>
      </c>
      <c r="V696" s="32">
        <v>51.2575</v>
      </c>
    </row>
    <row r="697" spans="2:22" x14ac:dyDescent="0.25">
      <c r="B697" s="1" t="s">
        <v>195</v>
      </c>
      <c r="C697" s="2" t="s">
        <v>196</v>
      </c>
      <c r="D697" s="2" t="s">
        <v>440</v>
      </c>
      <c r="E697" s="2" t="s">
        <v>1274</v>
      </c>
      <c r="F697" s="3">
        <v>44909</v>
      </c>
      <c r="G697" s="4">
        <f t="shared" si="93"/>
        <v>12</v>
      </c>
      <c r="H697" s="4">
        <f t="shared" si="94"/>
        <v>2022</v>
      </c>
      <c r="I697" s="2" t="s">
        <v>4</v>
      </c>
      <c r="J697" s="2" t="s">
        <v>1275</v>
      </c>
      <c r="K697" s="2" t="s">
        <v>390</v>
      </c>
      <c r="L697" s="2" t="s">
        <v>391</v>
      </c>
      <c r="M697" s="2" t="s">
        <v>119</v>
      </c>
      <c r="N697" s="4" t="str">
        <f t="shared" si="95"/>
        <v>TON</v>
      </c>
      <c r="O697" s="5">
        <v>9.9924999999999997</v>
      </c>
      <c r="Q697" t="str">
        <f t="shared" si="96"/>
        <v>MAC426YM2</v>
      </c>
      <c r="R697" t="str">
        <f t="shared" si="97"/>
        <v>Dyna Flo 4-2-6YM2</v>
      </c>
      <c r="S697" s="32">
        <f t="shared" si="98"/>
        <v>415.88999999999976</v>
      </c>
      <c r="U697" t="s">
        <v>391</v>
      </c>
      <c r="V697" s="32">
        <v>415.88999999999976</v>
      </c>
    </row>
    <row r="698" spans="2:22" x14ac:dyDescent="0.25">
      <c r="B698" s="1" t="s">
        <v>195</v>
      </c>
      <c r="C698" s="2" t="s">
        <v>196</v>
      </c>
      <c r="D698" s="2" t="s">
        <v>1276</v>
      </c>
      <c r="E698" s="2" t="s">
        <v>1277</v>
      </c>
      <c r="F698" s="3">
        <v>44909</v>
      </c>
      <c r="G698" s="4">
        <f t="shared" si="93"/>
        <v>12</v>
      </c>
      <c r="H698" s="4">
        <f t="shared" si="94"/>
        <v>2022</v>
      </c>
      <c r="I698" s="2" t="s">
        <v>4</v>
      </c>
      <c r="J698" s="2" t="s">
        <v>1278</v>
      </c>
      <c r="K698" s="2" t="s">
        <v>122</v>
      </c>
      <c r="L698" s="2" t="s">
        <v>123</v>
      </c>
      <c r="M698" s="2" t="s">
        <v>119</v>
      </c>
      <c r="N698" s="4" t="str">
        <f t="shared" si="95"/>
        <v>TON</v>
      </c>
      <c r="O698" s="5">
        <v>3.99</v>
      </c>
      <c r="Q698" t="str">
        <f t="shared" si="96"/>
        <v>MAC528YZ</v>
      </c>
      <c r="R698" t="str">
        <f t="shared" si="97"/>
        <v>Dyna Flo 5-2-8 YZ</v>
      </c>
      <c r="S698" s="32">
        <f t="shared" si="98"/>
        <v>395.40750000000003</v>
      </c>
      <c r="U698" t="s">
        <v>123</v>
      </c>
      <c r="V698" s="32">
        <v>395.40750000000003</v>
      </c>
    </row>
    <row r="699" spans="2:22" x14ac:dyDescent="0.25">
      <c r="B699" s="1" t="s">
        <v>195</v>
      </c>
      <c r="C699" s="2" t="s">
        <v>196</v>
      </c>
      <c r="D699" s="2" t="s">
        <v>317</v>
      </c>
      <c r="E699" s="2" t="s">
        <v>677</v>
      </c>
      <c r="F699" s="3">
        <v>44909</v>
      </c>
      <c r="G699" s="4">
        <f t="shared" si="93"/>
        <v>12</v>
      </c>
      <c r="H699" s="4">
        <f t="shared" si="94"/>
        <v>2022</v>
      </c>
      <c r="I699" s="2" t="s">
        <v>4</v>
      </c>
      <c r="J699" s="2" t="s">
        <v>1279</v>
      </c>
      <c r="K699" s="2" t="s">
        <v>390</v>
      </c>
      <c r="L699" s="2" t="s">
        <v>391</v>
      </c>
      <c r="M699" s="2" t="s">
        <v>119</v>
      </c>
      <c r="N699" s="4" t="str">
        <f t="shared" si="95"/>
        <v>TON</v>
      </c>
      <c r="O699" s="5">
        <v>5.0175000000000001</v>
      </c>
      <c r="Q699" t="str">
        <f t="shared" si="96"/>
        <v>MAC426YM2</v>
      </c>
      <c r="R699" t="str">
        <f t="shared" si="97"/>
        <v>Dyna Flo 4-2-6YM2</v>
      </c>
      <c r="S699" s="32">
        <f t="shared" si="98"/>
        <v>415.88999999999976</v>
      </c>
      <c r="U699" t="s">
        <v>391</v>
      </c>
      <c r="V699" s="32">
        <v>415.88999999999976</v>
      </c>
    </row>
    <row r="700" spans="2:22" x14ac:dyDescent="0.25">
      <c r="B700" s="1" t="s">
        <v>195</v>
      </c>
      <c r="C700" s="2" t="s">
        <v>196</v>
      </c>
      <c r="D700" s="2" t="s">
        <v>221</v>
      </c>
      <c r="E700" s="2" t="s">
        <v>332</v>
      </c>
      <c r="F700" s="3">
        <v>44909</v>
      </c>
      <c r="G700" s="4">
        <f t="shared" si="93"/>
        <v>12</v>
      </c>
      <c r="H700" s="4">
        <f t="shared" si="94"/>
        <v>2022</v>
      </c>
      <c r="I700" s="2" t="s">
        <v>4</v>
      </c>
      <c r="J700" s="2" t="s">
        <v>1280</v>
      </c>
      <c r="K700" s="2" t="s">
        <v>334</v>
      </c>
      <c r="L700" s="2" t="s">
        <v>335</v>
      </c>
      <c r="M700" s="2" t="s">
        <v>119</v>
      </c>
      <c r="N700" s="4" t="str">
        <f t="shared" si="95"/>
        <v>TON</v>
      </c>
      <c r="O700" s="5">
        <v>5.0250000000000004</v>
      </c>
      <c r="Q700" t="str">
        <f t="shared" si="96"/>
        <v>MAC628YZ1</v>
      </c>
      <c r="R700" t="str">
        <f t="shared" si="97"/>
        <v>Dyna Flo 6-2-8YZ1</v>
      </c>
      <c r="S700" s="32">
        <f t="shared" si="98"/>
        <v>68.62</v>
      </c>
      <c r="U700" t="s">
        <v>335</v>
      </c>
      <c r="V700" s="32">
        <v>68.62</v>
      </c>
    </row>
    <row r="701" spans="2:22" x14ac:dyDescent="0.25">
      <c r="B701" s="1" t="s">
        <v>195</v>
      </c>
      <c r="C701" s="2" t="s">
        <v>196</v>
      </c>
      <c r="D701" s="2" t="s">
        <v>326</v>
      </c>
      <c r="E701" s="2" t="s">
        <v>327</v>
      </c>
      <c r="F701" s="3">
        <v>44909</v>
      </c>
      <c r="G701" s="4">
        <f t="shared" si="93"/>
        <v>12</v>
      </c>
      <c r="H701" s="4">
        <f t="shared" si="94"/>
        <v>2022</v>
      </c>
      <c r="I701" s="2" t="s">
        <v>4</v>
      </c>
      <c r="J701" s="2" t="s">
        <v>1281</v>
      </c>
      <c r="K701" s="2" t="s">
        <v>329</v>
      </c>
      <c r="L701" s="2" t="s">
        <v>330</v>
      </c>
      <c r="M701" s="2" t="s">
        <v>119</v>
      </c>
      <c r="N701" s="4" t="str">
        <f t="shared" si="95"/>
        <v>TON</v>
      </c>
      <c r="O701" s="5">
        <v>2.0125000000000002</v>
      </c>
      <c r="Q701" t="str">
        <f t="shared" si="96"/>
        <v>MAC628YM8</v>
      </c>
      <c r="R701" t="str">
        <f t="shared" si="97"/>
        <v>Dyna Flo 6-2-8YM8</v>
      </c>
      <c r="S701" s="32">
        <f t="shared" si="98"/>
        <v>247.51499999999996</v>
      </c>
      <c r="U701" t="s">
        <v>330</v>
      </c>
      <c r="V701" s="32">
        <v>247.51499999999996</v>
      </c>
    </row>
    <row r="702" spans="2:22" x14ac:dyDescent="0.25">
      <c r="B702" s="1" t="s">
        <v>195</v>
      </c>
      <c r="C702" s="2" t="s">
        <v>196</v>
      </c>
      <c r="D702" s="2" t="s">
        <v>276</v>
      </c>
      <c r="E702" s="2" t="s">
        <v>878</v>
      </c>
      <c r="F702" s="3">
        <v>44909</v>
      </c>
      <c r="G702" s="4">
        <f t="shared" si="93"/>
        <v>12</v>
      </c>
      <c r="H702" s="4">
        <f t="shared" si="94"/>
        <v>2022</v>
      </c>
      <c r="I702" s="2" t="s">
        <v>4</v>
      </c>
      <c r="J702" s="2" t="s">
        <v>1282</v>
      </c>
      <c r="K702" s="2" t="s">
        <v>205</v>
      </c>
      <c r="L702" s="2" t="s">
        <v>206</v>
      </c>
      <c r="M702" s="2" t="s">
        <v>119</v>
      </c>
      <c r="N702" s="4" t="str">
        <f t="shared" si="95"/>
        <v>TON</v>
      </c>
      <c r="O702" s="5">
        <v>8.0075000000000003</v>
      </c>
      <c r="Q702" t="str">
        <f t="shared" si="96"/>
        <v>MAC927YM3</v>
      </c>
      <c r="R702" t="str">
        <f t="shared" si="97"/>
        <v>Dyna Flo 9-2-7YM3</v>
      </c>
      <c r="S702" s="32">
        <f t="shared" si="98"/>
        <v>284.6674999999999</v>
      </c>
      <c r="U702" t="s">
        <v>206</v>
      </c>
      <c r="V702" s="32">
        <v>284.6674999999999</v>
      </c>
    </row>
    <row r="703" spans="2:22" x14ac:dyDescent="0.25">
      <c r="B703" s="1" t="s">
        <v>195</v>
      </c>
      <c r="C703" s="2" t="s">
        <v>196</v>
      </c>
      <c r="D703" s="2" t="s">
        <v>672</v>
      </c>
      <c r="E703" s="2" t="s">
        <v>1283</v>
      </c>
      <c r="F703" s="3">
        <v>44910</v>
      </c>
      <c r="G703" s="4">
        <f t="shared" si="93"/>
        <v>12</v>
      </c>
      <c r="H703" s="4">
        <f t="shared" si="94"/>
        <v>2022</v>
      </c>
      <c r="I703" s="2" t="s">
        <v>4</v>
      </c>
      <c r="J703" s="2" t="s">
        <v>1284</v>
      </c>
      <c r="K703" s="2" t="s">
        <v>675</v>
      </c>
      <c r="L703" s="2" t="s">
        <v>676</v>
      </c>
      <c r="M703" s="2" t="s">
        <v>119</v>
      </c>
      <c r="N703" s="4" t="str">
        <f t="shared" si="95"/>
        <v>TON</v>
      </c>
      <c r="O703" s="5">
        <v>2.0049999999999999</v>
      </c>
      <c r="Q703" t="str">
        <f t="shared" si="96"/>
        <v>MAC527YM21M</v>
      </c>
      <c r="R703" t="str">
        <f t="shared" si="97"/>
        <v>Dyna Flo 5-2-7YM21M w/Merge</v>
      </c>
      <c r="S703" s="32">
        <f t="shared" si="98"/>
        <v>29.517499999999998</v>
      </c>
      <c r="U703" t="s">
        <v>676</v>
      </c>
      <c r="V703" s="32">
        <v>29.517499999999998</v>
      </c>
    </row>
    <row r="704" spans="2:22" x14ac:dyDescent="0.25">
      <c r="B704" s="1" t="s">
        <v>195</v>
      </c>
      <c r="C704" s="2" t="s">
        <v>196</v>
      </c>
      <c r="D704" s="2" t="s">
        <v>672</v>
      </c>
      <c r="E704" s="2" t="s">
        <v>699</v>
      </c>
      <c r="F704" s="3">
        <v>44911</v>
      </c>
      <c r="G704" s="4">
        <f t="shared" si="93"/>
        <v>12</v>
      </c>
      <c r="H704" s="4">
        <f t="shared" si="94"/>
        <v>2022</v>
      </c>
      <c r="I704" s="2" t="s">
        <v>4</v>
      </c>
      <c r="J704" s="2" t="s">
        <v>1285</v>
      </c>
      <c r="K704" s="2" t="s">
        <v>675</v>
      </c>
      <c r="L704" s="2" t="s">
        <v>676</v>
      </c>
      <c r="M704" s="2" t="s">
        <v>119</v>
      </c>
      <c r="N704" s="4" t="str">
        <f t="shared" si="95"/>
        <v>TON</v>
      </c>
      <c r="O704" s="5">
        <v>3.9975000000000001</v>
      </c>
      <c r="Q704" t="str">
        <f t="shared" si="96"/>
        <v>MAC527YM21M</v>
      </c>
      <c r="R704" t="str">
        <f t="shared" si="97"/>
        <v>Dyna Flo 5-2-7YM21M w/Merge</v>
      </c>
      <c r="S704" s="32">
        <f t="shared" si="98"/>
        <v>29.517499999999998</v>
      </c>
      <c r="U704" t="s">
        <v>676</v>
      </c>
      <c r="V704" s="32">
        <v>29.517499999999998</v>
      </c>
    </row>
    <row r="705" spans="2:22" x14ac:dyDescent="0.25">
      <c r="B705" s="1" t="s">
        <v>195</v>
      </c>
      <c r="C705" s="2" t="s">
        <v>196</v>
      </c>
      <c r="D705" s="2" t="s">
        <v>669</v>
      </c>
      <c r="E705" s="2" t="s">
        <v>56</v>
      </c>
      <c r="F705" s="3">
        <v>44910</v>
      </c>
      <c r="G705" s="4">
        <f t="shared" si="93"/>
        <v>12</v>
      </c>
      <c r="H705" s="4">
        <f t="shared" si="94"/>
        <v>2022</v>
      </c>
      <c r="I705" s="2" t="s">
        <v>4</v>
      </c>
      <c r="J705" s="2" t="s">
        <v>1286</v>
      </c>
      <c r="K705" s="2" t="s">
        <v>205</v>
      </c>
      <c r="L705" s="2" t="s">
        <v>206</v>
      </c>
      <c r="M705" s="2" t="s">
        <v>119</v>
      </c>
      <c r="N705" s="4" t="str">
        <f t="shared" si="95"/>
        <v>TON</v>
      </c>
      <c r="O705" s="5">
        <v>2.0299999999999998</v>
      </c>
      <c r="Q705" t="str">
        <f t="shared" si="96"/>
        <v>MAC927YM3</v>
      </c>
      <c r="R705" t="str">
        <f t="shared" si="97"/>
        <v>Dyna Flo 9-2-7YM3</v>
      </c>
      <c r="S705" s="32">
        <f t="shared" si="98"/>
        <v>284.6674999999999</v>
      </c>
      <c r="U705" t="s">
        <v>206</v>
      </c>
      <c r="V705" s="32">
        <v>284.6674999999999</v>
      </c>
    </row>
    <row r="706" spans="2:22" x14ac:dyDescent="0.25">
      <c r="B706" s="1" t="s">
        <v>195</v>
      </c>
      <c r="C706" s="2" t="s">
        <v>196</v>
      </c>
      <c r="D706" s="2" t="s">
        <v>248</v>
      </c>
      <c r="E706" s="2" t="s">
        <v>1287</v>
      </c>
      <c r="F706" s="3">
        <v>44910</v>
      </c>
      <c r="G706" s="4">
        <f t="shared" si="93"/>
        <v>12</v>
      </c>
      <c r="H706" s="4">
        <f t="shared" si="94"/>
        <v>2022</v>
      </c>
      <c r="I706" s="2" t="s">
        <v>4</v>
      </c>
      <c r="J706" s="2" t="s">
        <v>1288</v>
      </c>
      <c r="K706" s="2" t="s">
        <v>220</v>
      </c>
      <c r="L706" s="2" t="s">
        <v>201</v>
      </c>
      <c r="M706" s="2" t="s">
        <v>202</v>
      </c>
      <c r="N706" s="4" t="str">
        <f t="shared" si="95"/>
        <v>GAL</v>
      </c>
      <c r="O706" s="5">
        <v>250</v>
      </c>
      <c r="Q706" t="str">
        <f t="shared" si="96"/>
        <v>FLO150016250</v>
      </c>
      <c r="R706" t="str">
        <f t="shared" si="97"/>
        <v>Vented pHury</v>
      </c>
      <c r="S706" s="32">
        <f t="shared" si="98"/>
        <v>965</v>
      </c>
      <c r="U706" t="s">
        <v>201</v>
      </c>
      <c r="V706" s="32">
        <v>965</v>
      </c>
    </row>
    <row r="707" spans="2:22" x14ac:dyDescent="0.25">
      <c r="B707" s="1" t="s">
        <v>195</v>
      </c>
      <c r="C707" s="2" t="s">
        <v>196</v>
      </c>
      <c r="D707" s="2" t="s">
        <v>331</v>
      </c>
      <c r="E707" s="2" t="s">
        <v>432</v>
      </c>
      <c r="F707" s="3">
        <v>44910</v>
      </c>
      <c r="G707" s="4">
        <f t="shared" ref="G707:G770" si="99">+MONTH(F707)</f>
        <v>12</v>
      </c>
      <c r="H707" s="4">
        <f t="shared" ref="H707:H770" si="100">+YEAR(F707)</f>
        <v>2022</v>
      </c>
      <c r="I707" s="2" t="s">
        <v>4</v>
      </c>
      <c r="J707" s="2" t="s">
        <v>1289</v>
      </c>
      <c r="K707" s="2" t="s">
        <v>334</v>
      </c>
      <c r="L707" s="2" t="s">
        <v>335</v>
      </c>
      <c r="M707" s="2" t="s">
        <v>119</v>
      </c>
      <c r="N707" s="4" t="str">
        <f t="shared" ref="N707:N770" si="101">+LEFT(M707,3)</f>
        <v>TON</v>
      </c>
      <c r="O707" s="5">
        <v>5.0075000000000003</v>
      </c>
      <c r="Q707" t="str">
        <f t="shared" ref="Q707:Q740" si="102">K707</f>
        <v>MAC628YZ1</v>
      </c>
      <c r="R707" t="str">
        <f t="shared" ref="R707:R740" si="103">L707</f>
        <v>Dyna Flo 6-2-8YZ1</v>
      </c>
      <c r="S707" s="32">
        <f t="shared" si="98"/>
        <v>68.62</v>
      </c>
      <c r="U707" t="s">
        <v>335</v>
      </c>
      <c r="V707" s="32">
        <v>68.62</v>
      </c>
    </row>
    <row r="708" spans="2:22" x14ac:dyDescent="0.25">
      <c r="B708" s="1" t="s">
        <v>195</v>
      </c>
      <c r="C708" s="2" t="s">
        <v>196</v>
      </c>
      <c r="D708" s="2" t="s">
        <v>437</v>
      </c>
      <c r="E708" s="2" t="s">
        <v>738</v>
      </c>
      <c r="F708" s="3">
        <v>44910</v>
      </c>
      <c r="G708" s="4">
        <f t="shared" si="99"/>
        <v>12</v>
      </c>
      <c r="H708" s="4">
        <f t="shared" si="100"/>
        <v>2022</v>
      </c>
      <c r="I708" s="2" t="s">
        <v>4</v>
      </c>
      <c r="J708" s="2" t="s">
        <v>1290</v>
      </c>
      <c r="K708" s="2" t="s">
        <v>1291</v>
      </c>
      <c r="L708" s="2" t="s">
        <v>1292</v>
      </c>
      <c r="M708" s="2" t="s">
        <v>119</v>
      </c>
      <c r="N708" s="4" t="str">
        <f t="shared" si="101"/>
        <v>TON</v>
      </c>
      <c r="O708" s="5">
        <v>2.4975000000000001</v>
      </c>
      <c r="Q708" t="str">
        <f t="shared" si="102"/>
        <v>MAC508YF1</v>
      </c>
      <c r="R708" t="str">
        <f t="shared" si="103"/>
        <v>Dyna Flo 5-0-8 YF1</v>
      </c>
      <c r="S708" s="32">
        <f t="shared" ref="S708:S771" si="104">SUMIF($R$3:$R$885, $R708, $O$3:$O$885)</f>
        <v>2.4975000000000001</v>
      </c>
      <c r="U708" t="s">
        <v>1292</v>
      </c>
      <c r="V708" s="32">
        <v>2.4975000000000001</v>
      </c>
    </row>
    <row r="709" spans="2:22" x14ac:dyDescent="0.25">
      <c r="B709" s="1" t="s">
        <v>195</v>
      </c>
      <c r="C709" s="2" t="s">
        <v>196</v>
      </c>
      <c r="D709" s="2" t="s">
        <v>715</v>
      </c>
      <c r="E709" s="2" t="s">
        <v>1293</v>
      </c>
      <c r="F709" s="3">
        <v>44910</v>
      </c>
      <c r="G709" s="4">
        <f t="shared" si="99"/>
        <v>12</v>
      </c>
      <c r="H709" s="4">
        <f t="shared" si="100"/>
        <v>2022</v>
      </c>
      <c r="I709" s="2" t="s">
        <v>4</v>
      </c>
      <c r="J709" s="2" t="s">
        <v>1294</v>
      </c>
      <c r="K709" s="2" t="s">
        <v>329</v>
      </c>
      <c r="L709" s="2" t="s">
        <v>330</v>
      </c>
      <c r="M709" s="2" t="s">
        <v>119</v>
      </c>
      <c r="N709" s="4" t="str">
        <f t="shared" si="101"/>
        <v>TON</v>
      </c>
      <c r="O709" s="5">
        <v>2.4900000000000002</v>
      </c>
      <c r="Q709" t="str">
        <f t="shared" si="102"/>
        <v>MAC628YM8</v>
      </c>
      <c r="R709" t="str">
        <f t="shared" si="103"/>
        <v>Dyna Flo 6-2-8YM8</v>
      </c>
      <c r="S709" s="32">
        <f t="shared" si="104"/>
        <v>247.51499999999996</v>
      </c>
      <c r="U709" t="s">
        <v>330</v>
      </c>
      <c r="V709" s="32">
        <v>247.51499999999996</v>
      </c>
    </row>
    <row r="710" spans="2:22" x14ac:dyDescent="0.25">
      <c r="B710" s="1" t="s">
        <v>195</v>
      </c>
      <c r="C710" s="2" t="s">
        <v>196</v>
      </c>
      <c r="D710" s="2" t="s">
        <v>299</v>
      </c>
      <c r="E710" s="2" t="s">
        <v>713</v>
      </c>
      <c r="F710" s="3">
        <v>44911</v>
      </c>
      <c r="G710" s="4">
        <f t="shared" si="99"/>
        <v>12</v>
      </c>
      <c r="H710" s="4">
        <f t="shared" si="100"/>
        <v>2022</v>
      </c>
      <c r="I710" s="2" t="s">
        <v>4</v>
      </c>
      <c r="J710" s="2" t="s">
        <v>1295</v>
      </c>
      <c r="K710" s="2" t="s">
        <v>390</v>
      </c>
      <c r="L710" s="2" t="s">
        <v>391</v>
      </c>
      <c r="M710" s="2" t="s">
        <v>119</v>
      </c>
      <c r="N710" s="4" t="str">
        <f t="shared" si="101"/>
        <v>TON</v>
      </c>
      <c r="O710" s="5">
        <v>12.525</v>
      </c>
      <c r="Q710" t="str">
        <f t="shared" si="102"/>
        <v>MAC426YM2</v>
      </c>
      <c r="R710" t="str">
        <f t="shared" si="103"/>
        <v>Dyna Flo 4-2-6YM2</v>
      </c>
      <c r="S710" s="32">
        <f t="shared" si="104"/>
        <v>415.88999999999976</v>
      </c>
      <c r="U710" t="s">
        <v>391</v>
      </c>
      <c r="V710" s="32">
        <v>415.88999999999976</v>
      </c>
    </row>
    <row r="711" spans="2:22" x14ac:dyDescent="0.25">
      <c r="B711" s="1" t="s">
        <v>195</v>
      </c>
      <c r="C711" s="2" t="s">
        <v>196</v>
      </c>
      <c r="D711" s="2" t="s">
        <v>303</v>
      </c>
      <c r="E711" s="2" t="s">
        <v>981</v>
      </c>
      <c r="F711" s="3">
        <v>44911</v>
      </c>
      <c r="G711" s="4">
        <f t="shared" si="99"/>
        <v>12</v>
      </c>
      <c r="H711" s="4">
        <f t="shared" si="100"/>
        <v>2022</v>
      </c>
      <c r="I711" s="2" t="s">
        <v>4</v>
      </c>
      <c r="J711" s="2" t="s">
        <v>1296</v>
      </c>
      <c r="K711" s="2" t="s">
        <v>122</v>
      </c>
      <c r="L711" s="2" t="s">
        <v>123</v>
      </c>
      <c r="M711" s="2" t="s">
        <v>119</v>
      </c>
      <c r="N711" s="4" t="str">
        <f t="shared" si="101"/>
        <v>TON</v>
      </c>
      <c r="O711" s="5">
        <v>5</v>
      </c>
      <c r="Q711" t="str">
        <f t="shared" si="102"/>
        <v>MAC528YZ</v>
      </c>
      <c r="R711" t="str">
        <f t="shared" si="103"/>
        <v>Dyna Flo 5-2-8 YZ</v>
      </c>
      <c r="S711" s="32">
        <f t="shared" si="104"/>
        <v>395.40750000000003</v>
      </c>
      <c r="U711" t="s">
        <v>123</v>
      </c>
      <c r="V711" s="32">
        <v>395.40750000000003</v>
      </c>
    </row>
    <row r="712" spans="2:22" x14ac:dyDescent="0.25">
      <c r="B712" s="1" t="s">
        <v>195</v>
      </c>
      <c r="C712" s="2" t="s">
        <v>196</v>
      </c>
      <c r="D712" s="2" t="s">
        <v>197</v>
      </c>
      <c r="E712" s="2" t="s">
        <v>198</v>
      </c>
      <c r="F712" s="3">
        <v>44911</v>
      </c>
      <c r="G712" s="4">
        <f t="shared" si="99"/>
        <v>12</v>
      </c>
      <c r="H712" s="4">
        <f t="shared" si="100"/>
        <v>2022</v>
      </c>
      <c r="I712" s="2" t="s">
        <v>4</v>
      </c>
      <c r="J712" s="2" t="s">
        <v>1297</v>
      </c>
      <c r="K712" s="2" t="s">
        <v>307</v>
      </c>
      <c r="L712" s="2" t="s">
        <v>308</v>
      </c>
      <c r="M712" s="2" t="s">
        <v>119</v>
      </c>
      <c r="N712" s="4" t="str">
        <f t="shared" si="101"/>
        <v>TON</v>
      </c>
      <c r="O712" s="5">
        <v>4</v>
      </c>
      <c r="Q712" t="str">
        <f t="shared" si="102"/>
        <v>MAC628YM8M</v>
      </c>
      <c r="R712" t="str">
        <f t="shared" si="103"/>
        <v>Dyna Flo 6-2-8YM8M w/Merge</v>
      </c>
      <c r="S712" s="32">
        <f t="shared" si="104"/>
        <v>19.502500000000001</v>
      </c>
      <c r="U712" t="s">
        <v>308</v>
      </c>
      <c r="V712" s="32">
        <v>19.502500000000001</v>
      </c>
    </row>
    <row r="713" spans="2:22" x14ac:dyDescent="0.25">
      <c r="B713" s="1" t="s">
        <v>195</v>
      </c>
      <c r="C713" s="2" t="s">
        <v>196</v>
      </c>
      <c r="D713" s="2" t="s">
        <v>374</v>
      </c>
      <c r="E713" s="2" t="s">
        <v>379</v>
      </c>
      <c r="F713" s="3">
        <v>44911</v>
      </c>
      <c r="G713" s="4">
        <f t="shared" si="99"/>
        <v>12</v>
      </c>
      <c r="H713" s="4">
        <f t="shared" si="100"/>
        <v>2022</v>
      </c>
      <c r="I713" s="2" t="s">
        <v>4</v>
      </c>
      <c r="J713" s="2" t="s">
        <v>1298</v>
      </c>
      <c r="K713" s="2" t="s">
        <v>122</v>
      </c>
      <c r="L713" s="2" t="s">
        <v>123</v>
      </c>
      <c r="M713" s="2" t="s">
        <v>119</v>
      </c>
      <c r="N713" s="4" t="str">
        <f t="shared" si="101"/>
        <v>TON</v>
      </c>
      <c r="O713" s="5">
        <v>11</v>
      </c>
      <c r="Q713" t="str">
        <f t="shared" si="102"/>
        <v>MAC528YZ</v>
      </c>
      <c r="R713" t="str">
        <f t="shared" si="103"/>
        <v>Dyna Flo 5-2-8 YZ</v>
      </c>
      <c r="S713" s="32">
        <f t="shared" si="104"/>
        <v>395.40750000000003</v>
      </c>
      <c r="U713" t="s">
        <v>123</v>
      </c>
      <c r="V713" s="32">
        <v>395.40750000000003</v>
      </c>
    </row>
    <row r="714" spans="2:22" x14ac:dyDescent="0.25">
      <c r="B714" s="1" t="s">
        <v>195</v>
      </c>
      <c r="C714" s="2" t="s">
        <v>196</v>
      </c>
      <c r="D714" s="2" t="s">
        <v>387</v>
      </c>
      <c r="E714" s="2" t="s">
        <v>797</v>
      </c>
      <c r="F714" s="3">
        <v>44911</v>
      </c>
      <c r="G714" s="4">
        <f t="shared" si="99"/>
        <v>12</v>
      </c>
      <c r="H714" s="4">
        <f t="shared" si="100"/>
        <v>2022</v>
      </c>
      <c r="I714" s="2" t="s">
        <v>4</v>
      </c>
      <c r="J714" s="2" t="s">
        <v>1299</v>
      </c>
      <c r="K714" s="2" t="s">
        <v>871</v>
      </c>
      <c r="L714" s="2" t="s">
        <v>872</v>
      </c>
      <c r="M714" s="2" t="s">
        <v>119</v>
      </c>
      <c r="N714" s="4" t="str">
        <f t="shared" si="101"/>
        <v>TON</v>
      </c>
      <c r="O714" s="5">
        <v>10.01</v>
      </c>
      <c r="Q714" t="str">
        <f t="shared" si="102"/>
        <v>MAC406YB12</v>
      </c>
      <c r="R714" t="str">
        <f t="shared" si="103"/>
        <v>Dyna Flo 4-0-6YB12</v>
      </c>
      <c r="S714" s="32">
        <f t="shared" si="104"/>
        <v>20.02</v>
      </c>
      <c r="U714" t="s">
        <v>872</v>
      </c>
      <c r="V714" s="32">
        <v>20.02</v>
      </c>
    </row>
    <row r="715" spans="2:22" x14ac:dyDescent="0.25">
      <c r="B715" s="1" t="s">
        <v>195</v>
      </c>
      <c r="C715" s="2" t="s">
        <v>196</v>
      </c>
      <c r="D715" s="2" t="s">
        <v>374</v>
      </c>
      <c r="E715" s="2" t="s">
        <v>375</v>
      </c>
      <c r="F715" s="3">
        <v>44911</v>
      </c>
      <c r="G715" s="4">
        <f t="shared" si="99"/>
        <v>12</v>
      </c>
      <c r="H715" s="4">
        <f t="shared" si="100"/>
        <v>2022</v>
      </c>
      <c r="I715" s="2" t="s">
        <v>4</v>
      </c>
      <c r="J715" s="2" t="s">
        <v>1300</v>
      </c>
      <c r="K715" s="2" t="s">
        <v>1301</v>
      </c>
      <c r="L715" s="2" t="s">
        <v>1302</v>
      </c>
      <c r="M715" s="2" t="s">
        <v>119</v>
      </c>
      <c r="N715" s="4" t="str">
        <f t="shared" si="101"/>
        <v>TON</v>
      </c>
      <c r="O715" s="5">
        <v>4</v>
      </c>
      <c r="Q715" t="str">
        <f t="shared" si="102"/>
        <v>MAC907YB8</v>
      </c>
      <c r="R715" t="str">
        <f t="shared" si="103"/>
        <v>Dyna Flo 9-0-7YB8</v>
      </c>
      <c r="S715" s="32">
        <f t="shared" si="104"/>
        <v>4</v>
      </c>
      <c r="U715" t="s">
        <v>1302</v>
      </c>
      <c r="V715" s="32">
        <v>4</v>
      </c>
    </row>
    <row r="716" spans="2:22" x14ac:dyDescent="0.25">
      <c r="B716" s="1" t="s">
        <v>195</v>
      </c>
      <c r="C716" s="2" t="s">
        <v>196</v>
      </c>
      <c r="D716" s="2" t="s">
        <v>449</v>
      </c>
      <c r="E716" s="2" t="s">
        <v>780</v>
      </c>
      <c r="F716" s="3">
        <v>44911</v>
      </c>
      <c r="G716" s="4">
        <f t="shared" si="99"/>
        <v>12</v>
      </c>
      <c r="H716" s="4">
        <f t="shared" si="100"/>
        <v>2022</v>
      </c>
      <c r="I716" s="2" t="s">
        <v>4</v>
      </c>
      <c r="J716" s="2" t="s">
        <v>1303</v>
      </c>
      <c r="K716" s="2" t="s">
        <v>329</v>
      </c>
      <c r="L716" s="2" t="s">
        <v>330</v>
      </c>
      <c r="M716" s="2" t="s">
        <v>119</v>
      </c>
      <c r="N716" s="4" t="str">
        <f t="shared" si="101"/>
        <v>TON</v>
      </c>
      <c r="O716" s="5">
        <v>3.0225</v>
      </c>
      <c r="Q716" t="str">
        <f t="shared" si="102"/>
        <v>MAC628YM8</v>
      </c>
      <c r="R716" t="str">
        <f t="shared" si="103"/>
        <v>Dyna Flo 6-2-8YM8</v>
      </c>
      <c r="S716" s="32">
        <f t="shared" si="104"/>
        <v>247.51499999999996</v>
      </c>
      <c r="U716" t="s">
        <v>330</v>
      </c>
      <c r="V716" s="32">
        <v>247.51499999999996</v>
      </c>
    </row>
    <row r="717" spans="2:22" x14ac:dyDescent="0.25">
      <c r="B717" s="1" t="s">
        <v>195</v>
      </c>
      <c r="C717" s="2" t="s">
        <v>196</v>
      </c>
      <c r="D717" s="2" t="s">
        <v>114</v>
      </c>
      <c r="E717" s="2" t="s">
        <v>1304</v>
      </c>
      <c r="F717" s="3">
        <v>44911</v>
      </c>
      <c r="G717" s="4">
        <f t="shared" si="99"/>
        <v>12</v>
      </c>
      <c r="H717" s="4">
        <f t="shared" si="100"/>
        <v>2022</v>
      </c>
      <c r="I717" s="2" t="s">
        <v>4</v>
      </c>
      <c r="J717" s="2" t="s">
        <v>1305</v>
      </c>
      <c r="K717" s="2" t="s">
        <v>390</v>
      </c>
      <c r="L717" s="2" t="s">
        <v>391</v>
      </c>
      <c r="M717" s="2" t="s">
        <v>119</v>
      </c>
      <c r="N717" s="4" t="str">
        <f t="shared" si="101"/>
        <v>TON</v>
      </c>
      <c r="O717" s="5">
        <v>8.0024999999999995</v>
      </c>
      <c r="Q717" t="str">
        <f t="shared" si="102"/>
        <v>MAC426YM2</v>
      </c>
      <c r="R717" t="str">
        <f t="shared" si="103"/>
        <v>Dyna Flo 4-2-6YM2</v>
      </c>
      <c r="S717" s="32">
        <f t="shared" si="104"/>
        <v>415.88999999999976</v>
      </c>
      <c r="U717" t="s">
        <v>391</v>
      </c>
      <c r="V717" s="32">
        <v>415.88999999999976</v>
      </c>
    </row>
    <row r="718" spans="2:22" x14ac:dyDescent="0.25">
      <c r="B718" s="1" t="s">
        <v>195</v>
      </c>
      <c r="C718" s="2" t="s">
        <v>196</v>
      </c>
      <c r="D718" s="2" t="s">
        <v>215</v>
      </c>
      <c r="E718" s="2" t="s">
        <v>858</v>
      </c>
      <c r="F718" s="3">
        <v>44914</v>
      </c>
      <c r="G718" s="4">
        <f t="shared" si="99"/>
        <v>12</v>
      </c>
      <c r="H718" s="4">
        <f t="shared" si="100"/>
        <v>2022</v>
      </c>
      <c r="I718" s="2" t="s">
        <v>4</v>
      </c>
      <c r="J718" s="2" t="s">
        <v>1306</v>
      </c>
      <c r="K718" s="2" t="s">
        <v>822</v>
      </c>
      <c r="L718" s="2" t="s">
        <v>565</v>
      </c>
      <c r="M718" s="2" t="s">
        <v>21</v>
      </c>
      <c r="N718" s="4" t="str">
        <f t="shared" si="101"/>
        <v>GAL</v>
      </c>
      <c r="O718" s="5">
        <v>250</v>
      </c>
      <c r="Q718" t="str">
        <f t="shared" si="102"/>
        <v>FLOKTS250</v>
      </c>
      <c r="R718" t="str">
        <f t="shared" si="103"/>
        <v>Dyna Flo  0-0-25 17</v>
      </c>
      <c r="S718" s="32">
        <f t="shared" si="104"/>
        <v>3780</v>
      </c>
      <c r="U718" t="s">
        <v>565</v>
      </c>
      <c r="V718" s="32">
        <v>3780</v>
      </c>
    </row>
    <row r="719" spans="2:22" x14ac:dyDescent="0.25">
      <c r="B719" s="1" t="s">
        <v>195</v>
      </c>
      <c r="C719" s="2" t="s">
        <v>196</v>
      </c>
      <c r="D719" s="2" t="s">
        <v>215</v>
      </c>
      <c r="E719" s="2" t="s">
        <v>858</v>
      </c>
      <c r="F719" s="3">
        <v>44914</v>
      </c>
      <c r="G719" s="4">
        <f t="shared" si="99"/>
        <v>12</v>
      </c>
      <c r="H719" s="4">
        <f t="shared" si="100"/>
        <v>2022</v>
      </c>
      <c r="I719" s="2" t="s">
        <v>4</v>
      </c>
      <c r="J719" s="2" t="s">
        <v>1306</v>
      </c>
      <c r="K719" s="2" t="s">
        <v>823</v>
      </c>
      <c r="L719" s="2" t="s">
        <v>776</v>
      </c>
      <c r="M719" s="2" t="s">
        <v>82</v>
      </c>
      <c r="N719" s="4" t="str">
        <f t="shared" si="101"/>
        <v>GAL</v>
      </c>
      <c r="O719" s="5">
        <v>250</v>
      </c>
      <c r="Q719" t="str">
        <f t="shared" si="102"/>
        <v>FLOCATS250</v>
      </c>
      <c r="R719" t="str">
        <f t="shared" si="103"/>
        <v>Dyna Flo Calcium Thiosulfate</v>
      </c>
      <c r="S719" s="32">
        <f t="shared" si="104"/>
        <v>1280</v>
      </c>
      <c r="U719" t="s">
        <v>776</v>
      </c>
      <c r="V719" s="32">
        <v>1280</v>
      </c>
    </row>
    <row r="720" spans="2:22" x14ac:dyDescent="0.25">
      <c r="B720" s="1" t="s">
        <v>195</v>
      </c>
      <c r="C720" s="2" t="s">
        <v>196</v>
      </c>
      <c r="D720" s="2" t="s">
        <v>215</v>
      </c>
      <c r="E720" s="2" t="s">
        <v>858</v>
      </c>
      <c r="F720" s="3">
        <v>44914</v>
      </c>
      <c r="G720" s="4">
        <f t="shared" si="99"/>
        <v>12</v>
      </c>
      <c r="H720" s="4">
        <f t="shared" si="100"/>
        <v>2022</v>
      </c>
      <c r="I720" s="2" t="s">
        <v>4</v>
      </c>
      <c r="J720" s="2" t="s">
        <v>1306</v>
      </c>
      <c r="K720" s="2" t="s">
        <v>1204</v>
      </c>
      <c r="L720" s="2" t="s">
        <v>1151</v>
      </c>
      <c r="M720" s="2" t="s">
        <v>8</v>
      </c>
      <c r="N720" s="4" t="str">
        <f t="shared" si="101"/>
        <v>GAL</v>
      </c>
      <c r="O720" s="5">
        <v>250</v>
      </c>
      <c r="Q720" t="str">
        <f t="shared" si="102"/>
        <v>PHURYMG250</v>
      </c>
      <c r="R720" t="str">
        <f t="shared" si="103"/>
        <v>pHury w/Magnesium</v>
      </c>
      <c r="S720" s="32">
        <f t="shared" si="104"/>
        <v>810</v>
      </c>
      <c r="U720" t="s">
        <v>1151</v>
      </c>
      <c r="V720" s="32">
        <v>810</v>
      </c>
    </row>
    <row r="721" spans="2:22" x14ac:dyDescent="0.25">
      <c r="B721" s="1" t="s">
        <v>195</v>
      </c>
      <c r="C721" s="2" t="s">
        <v>196</v>
      </c>
      <c r="D721" s="2" t="s">
        <v>790</v>
      </c>
      <c r="E721" s="2" t="s">
        <v>1159</v>
      </c>
      <c r="F721" s="3">
        <v>44915</v>
      </c>
      <c r="G721" s="4">
        <f t="shared" si="99"/>
        <v>12</v>
      </c>
      <c r="H721" s="4">
        <f t="shared" si="100"/>
        <v>2022</v>
      </c>
      <c r="I721" s="2" t="s">
        <v>4</v>
      </c>
      <c r="J721" s="2" t="s">
        <v>1307</v>
      </c>
      <c r="K721" s="2" t="s">
        <v>122</v>
      </c>
      <c r="L721" s="2" t="s">
        <v>123</v>
      </c>
      <c r="M721" s="2" t="s">
        <v>119</v>
      </c>
      <c r="N721" s="4" t="str">
        <f t="shared" si="101"/>
        <v>TON</v>
      </c>
      <c r="O721" s="5">
        <v>7</v>
      </c>
      <c r="Q721" t="str">
        <f t="shared" si="102"/>
        <v>MAC528YZ</v>
      </c>
      <c r="R721" t="str">
        <f t="shared" si="103"/>
        <v>Dyna Flo 5-2-8 YZ</v>
      </c>
      <c r="S721" s="32">
        <f t="shared" si="104"/>
        <v>395.40750000000003</v>
      </c>
      <c r="U721" t="s">
        <v>123</v>
      </c>
      <c r="V721" s="32">
        <v>395.40750000000003</v>
      </c>
    </row>
    <row r="722" spans="2:22" x14ac:dyDescent="0.25">
      <c r="B722" s="1" t="s">
        <v>195</v>
      </c>
      <c r="C722" s="2" t="s">
        <v>196</v>
      </c>
      <c r="D722" s="2" t="s">
        <v>280</v>
      </c>
      <c r="E722" s="2" t="s">
        <v>1308</v>
      </c>
      <c r="F722" s="3">
        <v>44915</v>
      </c>
      <c r="G722" s="4">
        <f t="shared" si="99"/>
        <v>12</v>
      </c>
      <c r="H722" s="4">
        <f t="shared" si="100"/>
        <v>2022</v>
      </c>
      <c r="I722" s="2" t="s">
        <v>4</v>
      </c>
      <c r="J722" s="2" t="s">
        <v>1309</v>
      </c>
      <c r="K722" s="2" t="s">
        <v>390</v>
      </c>
      <c r="L722" s="2" t="s">
        <v>391</v>
      </c>
      <c r="M722" s="2" t="s">
        <v>119</v>
      </c>
      <c r="N722" s="4" t="str">
        <f t="shared" si="101"/>
        <v>TON</v>
      </c>
      <c r="O722" s="5">
        <v>5.0025000000000004</v>
      </c>
      <c r="Q722" t="str">
        <f t="shared" si="102"/>
        <v>MAC426YM2</v>
      </c>
      <c r="R722" t="str">
        <f t="shared" si="103"/>
        <v>Dyna Flo 4-2-6YM2</v>
      </c>
      <c r="S722" s="32">
        <f t="shared" si="104"/>
        <v>415.88999999999976</v>
      </c>
      <c r="U722" t="s">
        <v>391</v>
      </c>
      <c r="V722" s="32">
        <v>415.88999999999976</v>
      </c>
    </row>
    <row r="723" spans="2:22" x14ac:dyDescent="0.25">
      <c r="B723" s="1" t="s">
        <v>195</v>
      </c>
      <c r="C723" s="2" t="s">
        <v>196</v>
      </c>
      <c r="D723" s="2" t="s">
        <v>721</v>
      </c>
      <c r="E723" s="2" t="s">
        <v>141</v>
      </c>
      <c r="F723" s="3">
        <v>44896</v>
      </c>
      <c r="G723" s="4">
        <f t="shared" si="99"/>
        <v>12</v>
      </c>
      <c r="H723" s="4">
        <f t="shared" si="100"/>
        <v>2022</v>
      </c>
      <c r="I723" s="2" t="s">
        <v>4</v>
      </c>
      <c r="J723" s="2" t="s">
        <v>1310</v>
      </c>
      <c r="K723" s="2" t="s">
        <v>25</v>
      </c>
      <c r="L723" s="2" t="s">
        <v>1311</v>
      </c>
      <c r="M723" s="2" t="s">
        <v>27</v>
      </c>
      <c r="N723" s="4" t="str">
        <f t="shared" si="101"/>
        <v>GAL</v>
      </c>
      <c r="O723" s="5">
        <v>5</v>
      </c>
      <c r="Q723" t="str">
        <f t="shared" si="102"/>
        <v>GOLDCA02</v>
      </c>
      <c r="R723" t="str">
        <f t="shared" si="103"/>
        <v>Dyna Gold Calcium 8.25%il/Grizzly Fortitude/Green CaLite/Turf Cal 8.25</v>
      </c>
      <c r="S723" s="32">
        <f t="shared" si="104"/>
        <v>5</v>
      </c>
      <c r="U723" t="s">
        <v>1311</v>
      </c>
      <c r="V723" s="32">
        <v>5</v>
      </c>
    </row>
    <row r="724" spans="2:22" x14ac:dyDescent="0.25">
      <c r="B724" s="1" t="s">
        <v>195</v>
      </c>
      <c r="C724" s="2" t="s">
        <v>196</v>
      </c>
      <c r="D724" s="2" t="s">
        <v>114</v>
      </c>
      <c r="E724" s="2" t="s">
        <v>336</v>
      </c>
      <c r="F724" s="3">
        <v>44915</v>
      </c>
      <c r="G724" s="4">
        <f t="shared" si="99"/>
        <v>12</v>
      </c>
      <c r="H724" s="4">
        <f t="shared" si="100"/>
        <v>2022</v>
      </c>
      <c r="I724" s="2" t="s">
        <v>4</v>
      </c>
      <c r="J724" s="2" t="s">
        <v>1312</v>
      </c>
      <c r="K724" s="2" t="s">
        <v>390</v>
      </c>
      <c r="L724" s="2" t="s">
        <v>391</v>
      </c>
      <c r="M724" s="2" t="s">
        <v>119</v>
      </c>
      <c r="N724" s="4" t="str">
        <f t="shared" si="101"/>
        <v>TON</v>
      </c>
      <c r="O724" s="5">
        <v>7.5175000000000001</v>
      </c>
      <c r="Q724" t="str">
        <f t="shared" si="102"/>
        <v>MAC426YM2</v>
      </c>
      <c r="R724" t="str">
        <f t="shared" si="103"/>
        <v>Dyna Flo 4-2-6YM2</v>
      </c>
      <c r="S724" s="32">
        <f t="shared" si="104"/>
        <v>415.88999999999976</v>
      </c>
      <c r="U724" t="s">
        <v>391</v>
      </c>
      <c r="V724" s="32">
        <v>415.88999999999976</v>
      </c>
    </row>
    <row r="725" spans="2:22" x14ac:dyDescent="0.25">
      <c r="B725" s="1" t="s">
        <v>195</v>
      </c>
      <c r="C725" s="2" t="s">
        <v>196</v>
      </c>
      <c r="D725" s="2" t="s">
        <v>289</v>
      </c>
      <c r="E725" s="2" t="s">
        <v>290</v>
      </c>
      <c r="F725" s="3">
        <v>44915</v>
      </c>
      <c r="G725" s="4">
        <f t="shared" si="99"/>
        <v>12</v>
      </c>
      <c r="H725" s="4">
        <f t="shared" si="100"/>
        <v>2022</v>
      </c>
      <c r="I725" s="2" t="s">
        <v>4</v>
      </c>
      <c r="J725" s="2" t="s">
        <v>1313</v>
      </c>
      <c r="K725" s="2" t="s">
        <v>865</v>
      </c>
      <c r="L725" s="2" t="s">
        <v>866</v>
      </c>
      <c r="M725" s="2" t="s">
        <v>119</v>
      </c>
      <c r="N725" s="4" t="str">
        <f t="shared" si="101"/>
        <v>TON</v>
      </c>
      <c r="O725" s="5">
        <v>1</v>
      </c>
      <c r="Q725" t="str">
        <f t="shared" si="102"/>
        <v>MAC727YM5</v>
      </c>
      <c r="R725" t="str">
        <f t="shared" si="103"/>
        <v>Dyna Flo 7-2-7YM5</v>
      </c>
      <c r="S725" s="32">
        <f t="shared" si="104"/>
        <v>3.25</v>
      </c>
      <c r="U725" t="s">
        <v>866</v>
      </c>
      <c r="V725" s="32">
        <v>3.25</v>
      </c>
    </row>
    <row r="726" spans="2:22" x14ac:dyDescent="0.25">
      <c r="B726" s="1" t="s">
        <v>195</v>
      </c>
      <c r="C726" s="2" t="s">
        <v>196</v>
      </c>
      <c r="D726" s="2" t="s">
        <v>232</v>
      </c>
      <c r="E726" s="2" t="s">
        <v>778</v>
      </c>
      <c r="F726" s="3">
        <v>44915</v>
      </c>
      <c r="G726" s="4">
        <f t="shared" si="99"/>
        <v>12</v>
      </c>
      <c r="H726" s="4">
        <f t="shared" si="100"/>
        <v>2022</v>
      </c>
      <c r="I726" s="2" t="s">
        <v>4</v>
      </c>
      <c r="J726" s="2" t="s">
        <v>1314</v>
      </c>
      <c r="K726" s="2" t="s">
        <v>329</v>
      </c>
      <c r="L726" s="2" t="s">
        <v>330</v>
      </c>
      <c r="M726" s="2" t="s">
        <v>119</v>
      </c>
      <c r="N726" s="4" t="str">
        <f t="shared" si="101"/>
        <v>TON</v>
      </c>
      <c r="O726" s="5">
        <v>5</v>
      </c>
      <c r="Q726" t="str">
        <f t="shared" si="102"/>
        <v>MAC628YM8</v>
      </c>
      <c r="R726" t="str">
        <f t="shared" si="103"/>
        <v>Dyna Flo 6-2-8YM8</v>
      </c>
      <c r="S726" s="32">
        <f t="shared" si="104"/>
        <v>247.51499999999996</v>
      </c>
      <c r="U726" t="s">
        <v>330</v>
      </c>
      <c r="V726" s="32">
        <v>247.51499999999996</v>
      </c>
    </row>
    <row r="727" spans="2:22" x14ac:dyDescent="0.25">
      <c r="B727" s="1" t="s">
        <v>195</v>
      </c>
      <c r="C727" s="2" t="s">
        <v>196</v>
      </c>
      <c r="D727" s="2" t="s">
        <v>285</v>
      </c>
      <c r="E727" s="2" t="s">
        <v>695</v>
      </c>
      <c r="F727" s="3">
        <v>44915</v>
      </c>
      <c r="G727" s="4">
        <f t="shared" si="99"/>
        <v>12</v>
      </c>
      <c r="H727" s="4">
        <f t="shared" si="100"/>
        <v>2022</v>
      </c>
      <c r="I727" s="2" t="s">
        <v>4</v>
      </c>
      <c r="J727" s="2" t="s">
        <v>1315</v>
      </c>
      <c r="K727" s="2" t="s">
        <v>292</v>
      </c>
      <c r="L727" s="2" t="s">
        <v>293</v>
      </c>
      <c r="M727" s="2" t="s">
        <v>119</v>
      </c>
      <c r="N727" s="4" t="str">
        <f t="shared" si="101"/>
        <v>TON</v>
      </c>
      <c r="O727" s="5">
        <v>10.5025</v>
      </c>
      <c r="Q727" t="str">
        <f t="shared" si="102"/>
        <v>MAC608YB5</v>
      </c>
      <c r="R727" t="str">
        <f t="shared" si="103"/>
        <v>Dyna Flo 6-0-8 YB5</v>
      </c>
      <c r="S727" s="32">
        <f t="shared" si="104"/>
        <v>78.175000000000011</v>
      </c>
      <c r="U727" t="s">
        <v>293</v>
      </c>
      <c r="V727" s="32">
        <v>78.175000000000011</v>
      </c>
    </row>
    <row r="728" spans="2:22" x14ac:dyDescent="0.25">
      <c r="B728" s="1" t="s">
        <v>195</v>
      </c>
      <c r="C728" s="2" t="s">
        <v>196</v>
      </c>
      <c r="D728" s="2" t="s">
        <v>114</v>
      </c>
      <c r="E728" s="2" t="s">
        <v>377</v>
      </c>
      <c r="F728" s="3">
        <v>44916</v>
      </c>
      <c r="G728" s="4">
        <f t="shared" si="99"/>
        <v>12</v>
      </c>
      <c r="H728" s="4">
        <f t="shared" si="100"/>
        <v>2022</v>
      </c>
      <c r="I728" s="2" t="s">
        <v>4</v>
      </c>
      <c r="J728" s="2" t="s">
        <v>1316</v>
      </c>
      <c r="K728" s="2" t="s">
        <v>390</v>
      </c>
      <c r="L728" s="2" t="s">
        <v>391</v>
      </c>
      <c r="M728" s="2" t="s">
        <v>119</v>
      </c>
      <c r="N728" s="4" t="str">
        <f t="shared" si="101"/>
        <v>TON</v>
      </c>
      <c r="O728" s="5">
        <v>13.022500000000001</v>
      </c>
      <c r="Q728" t="str">
        <f t="shared" si="102"/>
        <v>MAC426YM2</v>
      </c>
      <c r="R728" t="str">
        <f t="shared" si="103"/>
        <v>Dyna Flo 4-2-6YM2</v>
      </c>
      <c r="S728" s="32">
        <f t="shared" si="104"/>
        <v>415.88999999999976</v>
      </c>
      <c r="U728" t="s">
        <v>391</v>
      </c>
      <c r="V728" s="32">
        <v>415.88999999999976</v>
      </c>
    </row>
    <row r="729" spans="2:22" x14ac:dyDescent="0.25">
      <c r="B729" s="1" t="s">
        <v>195</v>
      </c>
      <c r="C729" s="2" t="s">
        <v>196</v>
      </c>
      <c r="D729" s="2" t="s">
        <v>890</v>
      </c>
      <c r="E729" s="2" t="s">
        <v>891</v>
      </c>
      <c r="F729" s="3">
        <v>44916</v>
      </c>
      <c r="G729" s="4">
        <f t="shared" si="99"/>
        <v>12</v>
      </c>
      <c r="H729" s="4">
        <f t="shared" si="100"/>
        <v>2022</v>
      </c>
      <c r="I729" s="2" t="s">
        <v>4</v>
      </c>
      <c r="J729" s="2" t="s">
        <v>1317</v>
      </c>
      <c r="K729" s="2" t="s">
        <v>205</v>
      </c>
      <c r="L729" s="2" t="s">
        <v>206</v>
      </c>
      <c r="M729" s="2" t="s">
        <v>119</v>
      </c>
      <c r="N729" s="4" t="str">
        <f t="shared" si="101"/>
        <v>TON</v>
      </c>
      <c r="O729" s="5">
        <v>6.0250000000000004</v>
      </c>
      <c r="Q729" t="str">
        <f t="shared" si="102"/>
        <v>MAC927YM3</v>
      </c>
      <c r="R729" t="str">
        <f t="shared" si="103"/>
        <v>Dyna Flo 9-2-7YM3</v>
      </c>
      <c r="S729" s="32">
        <f t="shared" si="104"/>
        <v>284.6674999999999</v>
      </c>
      <c r="U729" t="s">
        <v>206</v>
      </c>
      <c r="V729" s="32">
        <v>284.6674999999999</v>
      </c>
    </row>
    <row r="730" spans="2:22" x14ac:dyDescent="0.25">
      <c r="B730" s="1" t="s">
        <v>195</v>
      </c>
      <c r="C730" s="2" t="s">
        <v>196</v>
      </c>
      <c r="D730" s="2" t="s">
        <v>276</v>
      </c>
      <c r="E730" s="2" t="s">
        <v>692</v>
      </c>
      <c r="F730" s="3">
        <v>44916</v>
      </c>
      <c r="G730" s="4">
        <f t="shared" si="99"/>
        <v>12</v>
      </c>
      <c r="H730" s="4">
        <f t="shared" si="100"/>
        <v>2022</v>
      </c>
      <c r="I730" s="2" t="s">
        <v>4</v>
      </c>
      <c r="J730" s="2" t="s">
        <v>1318</v>
      </c>
      <c r="K730" s="2" t="s">
        <v>122</v>
      </c>
      <c r="L730" s="2" t="s">
        <v>123</v>
      </c>
      <c r="M730" s="2" t="s">
        <v>119</v>
      </c>
      <c r="N730" s="4" t="str">
        <f t="shared" si="101"/>
        <v>TON</v>
      </c>
      <c r="O730" s="5">
        <v>10.0175</v>
      </c>
      <c r="Q730" t="str">
        <f t="shared" si="102"/>
        <v>MAC528YZ</v>
      </c>
      <c r="R730" t="str">
        <f t="shared" si="103"/>
        <v>Dyna Flo 5-2-8 YZ</v>
      </c>
      <c r="S730" s="32">
        <f t="shared" si="104"/>
        <v>395.40750000000003</v>
      </c>
      <c r="U730" t="s">
        <v>123</v>
      </c>
      <c r="V730" s="32">
        <v>395.40750000000003</v>
      </c>
    </row>
    <row r="731" spans="2:22" x14ac:dyDescent="0.25">
      <c r="B731" s="1" t="s">
        <v>195</v>
      </c>
      <c r="C731" s="2" t="s">
        <v>196</v>
      </c>
      <c r="D731" s="2" t="s">
        <v>317</v>
      </c>
      <c r="E731" s="2" t="s">
        <v>319</v>
      </c>
      <c r="F731" s="3">
        <v>44916</v>
      </c>
      <c r="G731" s="4">
        <f t="shared" si="99"/>
        <v>12</v>
      </c>
      <c r="H731" s="4">
        <f t="shared" si="100"/>
        <v>2022</v>
      </c>
      <c r="I731" s="2" t="s">
        <v>4</v>
      </c>
      <c r="J731" s="2" t="s">
        <v>1319</v>
      </c>
      <c r="K731" s="2" t="s">
        <v>390</v>
      </c>
      <c r="L731" s="2" t="s">
        <v>391</v>
      </c>
      <c r="M731" s="2" t="s">
        <v>119</v>
      </c>
      <c r="N731" s="4" t="str">
        <f t="shared" si="101"/>
        <v>TON</v>
      </c>
      <c r="O731" s="5">
        <v>15.02</v>
      </c>
      <c r="Q731" t="str">
        <f t="shared" si="102"/>
        <v>MAC426YM2</v>
      </c>
      <c r="R731" t="str">
        <f t="shared" si="103"/>
        <v>Dyna Flo 4-2-6YM2</v>
      </c>
      <c r="S731" s="32">
        <f t="shared" si="104"/>
        <v>415.88999999999976</v>
      </c>
      <c r="U731" t="s">
        <v>391</v>
      </c>
      <c r="V731" s="32">
        <v>415.88999999999976</v>
      </c>
    </row>
    <row r="732" spans="2:22" x14ac:dyDescent="0.25">
      <c r="B732" s="1" t="s">
        <v>195</v>
      </c>
      <c r="C732" s="2" t="s">
        <v>196</v>
      </c>
      <c r="D732" s="2" t="s">
        <v>248</v>
      </c>
      <c r="E732" s="2" t="s">
        <v>249</v>
      </c>
      <c r="F732" s="3">
        <v>44916</v>
      </c>
      <c r="G732" s="4">
        <f t="shared" si="99"/>
        <v>12</v>
      </c>
      <c r="H732" s="4">
        <f t="shared" si="100"/>
        <v>2022</v>
      </c>
      <c r="I732" s="2" t="s">
        <v>4</v>
      </c>
      <c r="J732" s="2" t="s">
        <v>1320</v>
      </c>
      <c r="K732" s="2" t="s">
        <v>117</v>
      </c>
      <c r="L732" s="2" t="s">
        <v>118</v>
      </c>
      <c r="M732" s="2" t="s">
        <v>119</v>
      </c>
      <c r="N732" s="4" t="str">
        <f t="shared" si="101"/>
        <v>TON</v>
      </c>
      <c r="O732" s="5">
        <v>15.02</v>
      </c>
      <c r="Q732" t="str">
        <f t="shared" si="102"/>
        <v>MAC428YM8</v>
      </c>
      <c r="R732" t="str">
        <f t="shared" si="103"/>
        <v>Dyna Flo 4-2-8YM8</v>
      </c>
      <c r="S732" s="32">
        <f t="shared" si="104"/>
        <v>517.73950000000002</v>
      </c>
      <c r="U732" t="s">
        <v>118</v>
      </c>
      <c r="V732" s="32">
        <v>517.73950000000002</v>
      </c>
    </row>
    <row r="733" spans="2:22" x14ac:dyDescent="0.25">
      <c r="B733" s="1" t="s">
        <v>195</v>
      </c>
      <c r="C733" s="2" t="s">
        <v>196</v>
      </c>
      <c r="D733" s="2" t="s">
        <v>215</v>
      </c>
      <c r="E733" s="2" t="s">
        <v>315</v>
      </c>
      <c r="F733" s="3">
        <v>44915</v>
      </c>
      <c r="G733" s="4">
        <f t="shared" si="99"/>
        <v>12</v>
      </c>
      <c r="H733" s="4">
        <f t="shared" si="100"/>
        <v>2022</v>
      </c>
      <c r="I733" s="2" t="s">
        <v>4</v>
      </c>
      <c r="J733" s="2" t="s">
        <v>1321</v>
      </c>
      <c r="K733" s="2" t="s">
        <v>447</v>
      </c>
      <c r="L733" s="2" t="s">
        <v>448</v>
      </c>
      <c r="M733" s="2" t="s">
        <v>119</v>
      </c>
      <c r="N733" s="4" t="str">
        <f t="shared" si="101"/>
        <v>TON</v>
      </c>
      <c r="O733" s="5">
        <v>5.0175000000000001</v>
      </c>
      <c r="Q733" t="str">
        <f t="shared" si="102"/>
        <v>MAC727YM15</v>
      </c>
      <c r="R733" t="str">
        <f t="shared" si="103"/>
        <v>Dyna Flo 7-2-7YM15</v>
      </c>
      <c r="S733" s="32">
        <f t="shared" si="104"/>
        <v>113.6925</v>
      </c>
      <c r="U733" t="s">
        <v>448</v>
      </c>
      <c r="V733" s="32">
        <v>113.6925</v>
      </c>
    </row>
    <row r="734" spans="2:22" x14ac:dyDescent="0.25">
      <c r="B734" s="1" t="s">
        <v>195</v>
      </c>
      <c r="C734" s="2" t="s">
        <v>196</v>
      </c>
      <c r="D734" s="2" t="s">
        <v>215</v>
      </c>
      <c r="E734" s="2" t="s">
        <v>313</v>
      </c>
      <c r="F734" s="3">
        <v>44915</v>
      </c>
      <c r="G734" s="4">
        <f t="shared" si="99"/>
        <v>12</v>
      </c>
      <c r="H734" s="4">
        <f t="shared" si="100"/>
        <v>2022</v>
      </c>
      <c r="I734" s="2" t="s">
        <v>4</v>
      </c>
      <c r="J734" s="2" t="s">
        <v>1322</v>
      </c>
      <c r="K734" s="2" t="s">
        <v>205</v>
      </c>
      <c r="L734" s="2" t="s">
        <v>206</v>
      </c>
      <c r="M734" s="2" t="s">
        <v>119</v>
      </c>
      <c r="N734" s="4" t="str">
        <f t="shared" si="101"/>
        <v>TON</v>
      </c>
      <c r="O734" s="5">
        <v>3.0150000000000001</v>
      </c>
      <c r="Q734" t="str">
        <f t="shared" si="102"/>
        <v>MAC927YM3</v>
      </c>
      <c r="R734" t="str">
        <f t="shared" si="103"/>
        <v>Dyna Flo 9-2-7YM3</v>
      </c>
      <c r="S734" s="32">
        <f t="shared" si="104"/>
        <v>284.6674999999999</v>
      </c>
      <c r="U734" t="s">
        <v>206</v>
      </c>
      <c r="V734" s="32">
        <v>284.6674999999999</v>
      </c>
    </row>
    <row r="735" spans="2:22" x14ac:dyDescent="0.25">
      <c r="B735" s="1" t="s">
        <v>195</v>
      </c>
      <c r="C735" s="2" t="s">
        <v>196</v>
      </c>
      <c r="D735" s="2" t="s">
        <v>262</v>
      </c>
      <c r="E735" s="2" t="s">
        <v>1170</v>
      </c>
      <c r="F735" s="3">
        <v>44915</v>
      </c>
      <c r="G735" s="4">
        <f t="shared" si="99"/>
        <v>12</v>
      </c>
      <c r="H735" s="4">
        <f t="shared" si="100"/>
        <v>2022</v>
      </c>
      <c r="I735" s="2" t="s">
        <v>4</v>
      </c>
      <c r="J735" s="2" t="s">
        <v>1323</v>
      </c>
      <c r="K735" s="2" t="s">
        <v>329</v>
      </c>
      <c r="L735" s="2" t="s">
        <v>330</v>
      </c>
      <c r="M735" s="2" t="s">
        <v>119</v>
      </c>
      <c r="N735" s="4" t="str">
        <f t="shared" si="101"/>
        <v>TON</v>
      </c>
      <c r="O735" s="5">
        <v>2.9950000000000001</v>
      </c>
      <c r="Q735" t="str">
        <f t="shared" si="102"/>
        <v>MAC628YM8</v>
      </c>
      <c r="R735" t="str">
        <f t="shared" si="103"/>
        <v>Dyna Flo 6-2-8YM8</v>
      </c>
      <c r="S735" s="32">
        <f t="shared" si="104"/>
        <v>247.51499999999996</v>
      </c>
      <c r="U735" t="s">
        <v>330</v>
      </c>
      <c r="V735" s="32">
        <v>247.51499999999996</v>
      </c>
    </row>
    <row r="736" spans="2:22" x14ac:dyDescent="0.25">
      <c r="B736" s="1" t="s">
        <v>195</v>
      </c>
      <c r="C736" s="2" t="s">
        <v>196</v>
      </c>
      <c r="D736" s="2" t="s">
        <v>248</v>
      </c>
      <c r="E736" s="2" t="s">
        <v>409</v>
      </c>
      <c r="F736" s="3">
        <v>44915</v>
      </c>
      <c r="G736" s="4">
        <f t="shared" si="99"/>
        <v>12</v>
      </c>
      <c r="H736" s="4">
        <f t="shared" si="100"/>
        <v>2022</v>
      </c>
      <c r="I736" s="2" t="s">
        <v>4</v>
      </c>
      <c r="J736" s="2" t="s">
        <v>1324</v>
      </c>
      <c r="K736" s="2" t="s">
        <v>117</v>
      </c>
      <c r="L736" s="2" t="s">
        <v>118</v>
      </c>
      <c r="M736" s="2" t="s">
        <v>119</v>
      </c>
      <c r="N736" s="4" t="str">
        <f t="shared" si="101"/>
        <v>TON</v>
      </c>
      <c r="O736" s="5">
        <v>15.0275</v>
      </c>
      <c r="Q736" t="str">
        <f t="shared" si="102"/>
        <v>MAC428YM8</v>
      </c>
      <c r="R736" t="str">
        <f t="shared" si="103"/>
        <v>Dyna Flo 4-2-8YM8</v>
      </c>
      <c r="S736" s="32">
        <f t="shared" si="104"/>
        <v>517.73950000000002</v>
      </c>
      <c r="U736" t="s">
        <v>118</v>
      </c>
      <c r="V736" s="32">
        <v>517.73950000000002</v>
      </c>
    </row>
    <row r="737" spans="2:22" x14ac:dyDescent="0.25">
      <c r="B737" s="1" t="s">
        <v>195</v>
      </c>
      <c r="C737" s="2" t="s">
        <v>196</v>
      </c>
      <c r="D737" s="2" t="s">
        <v>299</v>
      </c>
      <c r="E737" s="2" t="s">
        <v>713</v>
      </c>
      <c r="F737" s="3">
        <v>44916</v>
      </c>
      <c r="G737" s="4">
        <f t="shared" si="99"/>
        <v>12</v>
      </c>
      <c r="H737" s="4">
        <f t="shared" si="100"/>
        <v>2022</v>
      </c>
      <c r="I737" s="2" t="s">
        <v>4</v>
      </c>
      <c r="J737" s="2" t="s">
        <v>1325</v>
      </c>
      <c r="K737" s="2" t="s">
        <v>390</v>
      </c>
      <c r="L737" s="2" t="s">
        <v>391</v>
      </c>
      <c r="M737" s="2" t="s">
        <v>119</v>
      </c>
      <c r="N737" s="4" t="str">
        <f t="shared" si="101"/>
        <v>TON</v>
      </c>
      <c r="O737" s="5">
        <v>15.09</v>
      </c>
      <c r="Q737" t="str">
        <f t="shared" si="102"/>
        <v>MAC426YM2</v>
      </c>
      <c r="R737" t="str">
        <f t="shared" si="103"/>
        <v>Dyna Flo 4-2-6YM2</v>
      </c>
      <c r="S737" s="32">
        <f t="shared" si="104"/>
        <v>415.88999999999976</v>
      </c>
      <c r="U737" t="s">
        <v>391</v>
      </c>
      <c r="V737" s="32">
        <v>415.88999999999976</v>
      </c>
    </row>
    <row r="738" spans="2:22" x14ac:dyDescent="0.25">
      <c r="B738" s="1" t="s">
        <v>195</v>
      </c>
      <c r="C738" s="2" t="s">
        <v>196</v>
      </c>
      <c r="D738" s="2" t="s">
        <v>280</v>
      </c>
      <c r="E738" s="2" t="s">
        <v>254</v>
      </c>
      <c r="F738" s="3">
        <v>44916</v>
      </c>
      <c r="G738" s="4">
        <f t="shared" si="99"/>
        <v>12</v>
      </c>
      <c r="H738" s="4">
        <f t="shared" si="100"/>
        <v>2022</v>
      </c>
      <c r="I738" s="2" t="s">
        <v>4</v>
      </c>
      <c r="J738" s="2" t="s">
        <v>1326</v>
      </c>
      <c r="K738" s="2" t="s">
        <v>390</v>
      </c>
      <c r="L738" s="2" t="s">
        <v>391</v>
      </c>
      <c r="M738" s="2" t="s">
        <v>119</v>
      </c>
      <c r="N738" s="4" t="str">
        <f t="shared" si="101"/>
        <v>TON</v>
      </c>
      <c r="O738" s="5">
        <v>15.022500000000001</v>
      </c>
      <c r="Q738" t="str">
        <f t="shared" si="102"/>
        <v>MAC426YM2</v>
      </c>
      <c r="R738" t="str">
        <f t="shared" si="103"/>
        <v>Dyna Flo 4-2-6YM2</v>
      </c>
      <c r="S738" s="32">
        <f t="shared" si="104"/>
        <v>415.88999999999976</v>
      </c>
      <c r="U738" t="s">
        <v>391</v>
      </c>
      <c r="V738" s="32">
        <v>415.88999999999976</v>
      </c>
    </row>
    <row r="739" spans="2:22" x14ac:dyDescent="0.25">
      <c r="B739" s="1" t="s">
        <v>195</v>
      </c>
      <c r="C739" s="2" t="s">
        <v>196</v>
      </c>
      <c r="D739" s="2" t="s">
        <v>475</v>
      </c>
      <c r="E739" s="2" t="s">
        <v>476</v>
      </c>
      <c r="F739" s="3">
        <v>44916</v>
      </c>
      <c r="G739" s="4">
        <f t="shared" si="99"/>
        <v>12</v>
      </c>
      <c r="H739" s="4">
        <f t="shared" si="100"/>
        <v>2022</v>
      </c>
      <c r="I739" s="2" t="s">
        <v>4</v>
      </c>
      <c r="J739" s="2" t="s">
        <v>1327</v>
      </c>
      <c r="K739" s="2" t="s">
        <v>478</v>
      </c>
      <c r="L739" s="2" t="s">
        <v>479</v>
      </c>
      <c r="M739" s="2" t="s">
        <v>119</v>
      </c>
      <c r="N739" s="4" t="str">
        <f t="shared" si="101"/>
        <v>TON</v>
      </c>
      <c r="O739" s="5">
        <v>5.0075000000000003</v>
      </c>
      <c r="Q739" t="str">
        <f t="shared" si="102"/>
        <v>MAC628YM19</v>
      </c>
      <c r="R739" t="str">
        <f t="shared" si="103"/>
        <v>Dyna Flo 6-2-8YM19</v>
      </c>
      <c r="S739" s="32">
        <f t="shared" si="104"/>
        <v>25.032499999999999</v>
      </c>
      <c r="U739" t="s">
        <v>479</v>
      </c>
      <c r="V739" s="32">
        <v>25.032499999999999</v>
      </c>
    </row>
    <row r="740" spans="2:22" x14ac:dyDescent="0.25">
      <c r="B740" s="1" t="s">
        <v>195</v>
      </c>
      <c r="C740" s="2" t="s">
        <v>196</v>
      </c>
      <c r="D740" s="2" t="s">
        <v>280</v>
      </c>
      <c r="E740" s="2" t="s">
        <v>254</v>
      </c>
      <c r="F740" s="3">
        <v>44916</v>
      </c>
      <c r="G740" s="4">
        <f t="shared" si="99"/>
        <v>12</v>
      </c>
      <c r="H740" s="4">
        <f t="shared" si="100"/>
        <v>2022</v>
      </c>
      <c r="I740" s="2" t="s">
        <v>4</v>
      </c>
      <c r="J740" s="2" t="s">
        <v>1328</v>
      </c>
      <c r="K740" s="2" t="s">
        <v>390</v>
      </c>
      <c r="L740" s="2" t="s">
        <v>391</v>
      </c>
      <c r="M740" s="2" t="s">
        <v>119</v>
      </c>
      <c r="N740" s="4" t="str">
        <f t="shared" si="101"/>
        <v>TON</v>
      </c>
      <c r="O740" s="5">
        <v>5.01</v>
      </c>
      <c r="Q740" t="str">
        <f t="shared" si="102"/>
        <v>MAC426YM2</v>
      </c>
      <c r="R740" t="str">
        <f t="shared" si="103"/>
        <v>Dyna Flo 4-2-6YM2</v>
      </c>
      <c r="S740" s="32">
        <f t="shared" si="104"/>
        <v>415.88999999999976</v>
      </c>
      <c r="U740" t="s">
        <v>391</v>
      </c>
      <c r="V740" s="32">
        <v>415.88999999999976</v>
      </c>
    </row>
    <row r="741" spans="2:22" x14ac:dyDescent="0.25">
      <c r="B741" s="1" t="s">
        <v>195</v>
      </c>
      <c r="C741" s="2" t="s">
        <v>196</v>
      </c>
      <c r="D741" s="2" t="s">
        <v>374</v>
      </c>
      <c r="E741" s="2" t="s">
        <v>710</v>
      </c>
      <c r="F741" s="3">
        <v>44916</v>
      </c>
      <c r="G741" s="4">
        <f t="shared" si="99"/>
        <v>12</v>
      </c>
      <c r="H741" s="4">
        <f t="shared" si="100"/>
        <v>2022</v>
      </c>
      <c r="I741" s="2" t="s">
        <v>4</v>
      </c>
      <c r="J741" s="2" t="s">
        <v>1329</v>
      </c>
      <c r="K741" s="2" t="s">
        <v>122</v>
      </c>
      <c r="L741" s="2" t="s">
        <v>123</v>
      </c>
      <c r="M741" s="2" t="s">
        <v>119</v>
      </c>
      <c r="N741" s="4" t="str">
        <f t="shared" si="101"/>
        <v>TON</v>
      </c>
      <c r="O741" s="5">
        <v>3.9674999999999998</v>
      </c>
      <c r="S741" s="32">
        <f t="shared" si="104"/>
        <v>0</v>
      </c>
    </row>
    <row r="742" spans="2:22" x14ac:dyDescent="0.25">
      <c r="B742" s="1" t="s">
        <v>195</v>
      </c>
      <c r="C742" s="2" t="s">
        <v>196</v>
      </c>
      <c r="D742" s="2" t="s">
        <v>215</v>
      </c>
      <c r="E742" s="2" t="s">
        <v>858</v>
      </c>
      <c r="F742" s="3">
        <v>44916</v>
      </c>
      <c r="G742" s="4">
        <f t="shared" si="99"/>
        <v>12</v>
      </c>
      <c r="H742" s="4">
        <f t="shared" si="100"/>
        <v>2022</v>
      </c>
      <c r="I742" s="2" t="s">
        <v>4</v>
      </c>
      <c r="J742" s="2" t="s">
        <v>1330</v>
      </c>
      <c r="K742" s="2" t="s">
        <v>329</v>
      </c>
      <c r="L742" s="2" t="s">
        <v>330</v>
      </c>
      <c r="M742" s="2" t="s">
        <v>119</v>
      </c>
      <c r="N742" s="4" t="str">
        <f t="shared" si="101"/>
        <v>TON</v>
      </c>
      <c r="O742" s="5">
        <v>3.0074999999999998</v>
      </c>
      <c r="S742" s="32">
        <f t="shared" si="104"/>
        <v>0</v>
      </c>
    </row>
    <row r="743" spans="2:22" x14ac:dyDescent="0.25">
      <c r="B743" s="1" t="s">
        <v>195</v>
      </c>
      <c r="C743" s="2" t="s">
        <v>196</v>
      </c>
      <c r="D743" s="2" t="s">
        <v>262</v>
      </c>
      <c r="E743" s="2" t="s">
        <v>728</v>
      </c>
      <c r="F743" s="3">
        <v>44916</v>
      </c>
      <c r="G743" s="4">
        <f t="shared" si="99"/>
        <v>12</v>
      </c>
      <c r="H743" s="4">
        <f t="shared" si="100"/>
        <v>2022</v>
      </c>
      <c r="I743" s="2" t="s">
        <v>4</v>
      </c>
      <c r="J743" s="2" t="s">
        <v>1331</v>
      </c>
      <c r="K743" s="2" t="s">
        <v>329</v>
      </c>
      <c r="L743" s="2" t="s">
        <v>330</v>
      </c>
      <c r="M743" s="2" t="s">
        <v>119</v>
      </c>
      <c r="N743" s="4" t="str">
        <f t="shared" si="101"/>
        <v>TON</v>
      </c>
      <c r="O743" s="5">
        <v>14.0275</v>
      </c>
      <c r="S743" s="32">
        <f t="shared" si="104"/>
        <v>0</v>
      </c>
    </row>
    <row r="744" spans="2:22" x14ac:dyDescent="0.25">
      <c r="B744" s="1" t="s">
        <v>195</v>
      </c>
      <c r="C744" s="2" t="s">
        <v>196</v>
      </c>
      <c r="D744" s="2" t="s">
        <v>114</v>
      </c>
      <c r="E744" s="2" t="s">
        <v>1332</v>
      </c>
      <c r="F744" s="3">
        <v>44917</v>
      </c>
      <c r="G744" s="4">
        <f t="shared" si="99"/>
        <v>12</v>
      </c>
      <c r="H744" s="4">
        <f t="shared" si="100"/>
        <v>2022</v>
      </c>
      <c r="I744" s="2" t="s">
        <v>4</v>
      </c>
      <c r="J744" s="2" t="s">
        <v>1333</v>
      </c>
      <c r="K744" s="2" t="s">
        <v>390</v>
      </c>
      <c r="L744" s="2" t="s">
        <v>391</v>
      </c>
      <c r="M744" s="2" t="s">
        <v>119</v>
      </c>
      <c r="N744" s="4" t="str">
        <f t="shared" si="101"/>
        <v>TON</v>
      </c>
      <c r="O744" s="5">
        <v>12.5275</v>
      </c>
      <c r="S744" s="32">
        <f t="shared" si="104"/>
        <v>0</v>
      </c>
    </row>
    <row r="745" spans="2:22" x14ac:dyDescent="0.25">
      <c r="B745" s="1" t="s">
        <v>195</v>
      </c>
      <c r="C745" s="2" t="s">
        <v>196</v>
      </c>
      <c r="D745" s="2" t="s">
        <v>317</v>
      </c>
      <c r="E745" s="2" t="s">
        <v>829</v>
      </c>
      <c r="F745" s="3">
        <v>44917</v>
      </c>
      <c r="G745" s="4">
        <f t="shared" si="99"/>
        <v>12</v>
      </c>
      <c r="H745" s="4">
        <f t="shared" si="100"/>
        <v>2022</v>
      </c>
      <c r="I745" s="2" t="s">
        <v>4</v>
      </c>
      <c r="J745" s="2" t="s">
        <v>1334</v>
      </c>
      <c r="K745" s="2" t="s">
        <v>390</v>
      </c>
      <c r="L745" s="2" t="s">
        <v>391</v>
      </c>
      <c r="M745" s="2" t="s">
        <v>119</v>
      </c>
      <c r="N745" s="4" t="str">
        <f t="shared" si="101"/>
        <v>TON</v>
      </c>
      <c r="O745" s="5">
        <v>9.5</v>
      </c>
      <c r="S745" s="32">
        <f t="shared" si="104"/>
        <v>0</v>
      </c>
    </row>
    <row r="746" spans="2:22" x14ac:dyDescent="0.25">
      <c r="B746" s="1" t="s">
        <v>195</v>
      </c>
      <c r="C746" s="2" t="s">
        <v>196</v>
      </c>
      <c r="D746" s="2" t="s">
        <v>310</v>
      </c>
      <c r="E746" s="2" t="s">
        <v>426</v>
      </c>
      <c r="F746" s="3">
        <v>44917</v>
      </c>
      <c r="G746" s="4">
        <f t="shared" si="99"/>
        <v>12</v>
      </c>
      <c r="H746" s="4">
        <f t="shared" si="100"/>
        <v>2022</v>
      </c>
      <c r="I746" s="2" t="s">
        <v>4</v>
      </c>
      <c r="J746" s="2" t="s">
        <v>1335</v>
      </c>
      <c r="K746" s="2" t="s">
        <v>428</v>
      </c>
      <c r="L746" s="2" t="s">
        <v>429</v>
      </c>
      <c r="M746" s="2" t="s">
        <v>119</v>
      </c>
      <c r="N746" s="4" t="str">
        <f t="shared" si="101"/>
        <v>TON</v>
      </c>
      <c r="O746" s="5">
        <v>3.0024999999999999</v>
      </c>
      <c r="S746" s="32">
        <f t="shared" si="104"/>
        <v>0</v>
      </c>
    </row>
    <row r="747" spans="2:22" x14ac:dyDescent="0.25">
      <c r="B747" s="1" t="s">
        <v>195</v>
      </c>
      <c r="C747" s="2" t="s">
        <v>196</v>
      </c>
      <c r="D747" s="2" t="s">
        <v>669</v>
      </c>
      <c r="E747" s="2" t="s">
        <v>670</v>
      </c>
      <c r="F747" s="3">
        <v>44917</v>
      </c>
      <c r="G747" s="4">
        <f t="shared" si="99"/>
        <v>12</v>
      </c>
      <c r="H747" s="4">
        <f t="shared" si="100"/>
        <v>2022</v>
      </c>
      <c r="I747" s="2" t="s">
        <v>4</v>
      </c>
      <c r="J747" s="2" t="s">
        <v>1336</v>
      </c>
      <c r="K747" s="2" t="s">
        <v>384</v>
      </c>
      <c r="L747" s="2" t="s">
        <v>385</v>
      </c>
      <c r="M747" s="2" t="s">
        <v>119</v>
      </c>
      <c r="N747" s="4" t="str">
        <f t="shared" si="101"/>
        <v>TON</v>
      </c>
      <c r="O747" s="5">
        <v>7</v>
      </c>
      <c r="S747" s="32">
        <f t="shared" si="104"/>
        <v>0</v>
      </c>
    </row>
    <row r="748" spans="2:22" x14ac:dyDescent="0.25">
      <c r="B748" s="1" t="s">
        <v>195</v>
      </c>
      <c r="C748" s="2" t="s">
        <v>196</v>
      </c>
      <c r="D748" s="2" t="s">
        <v>280</v>
      </c>
      <c r="E748" s="2" t="s">
        <v>141</v>
      </c>
      <c r="F748" s="3">
        <v>44918</v>
      </c>
      <c r="G748" s="4">
        <f t="shared" si="99"/>
        <v>12</v>
      </c>
      <c r="H748" s="4">
        <f t="shared" si="100"/>
        <v>2022</v>
      </c>
      <c r="I748" s="2" t="s">
        <v>4</v>
      </c>
      <c r="J748" s="2" t="s">
        <v>1337</v>
      </c>
      <c r="K748" s="2" t="s">
        <v>1189</v>
      </c>
      <c r="L748" s="2" t="s">
        <v>1190</v>
      </c>
      <c r="M748" s="2" t="s">
        <v>139</v>
      </c>
      <c r="N748" s="4" t="str">
        <f t="shared" si="101"/>
        <v>GAL</v>
      </c>
      <c r="O748" s="5">
        <v>250</v>
      </c>
      <c r="S748" s="32">
        <f t="shared" si="104"/>
        <v>0</v>
      </c>
    </row>
    <row r="749" spans="2:22" x14ac:dyDescent="0.25">
      <c r="B749" s="1" t="s">
        <v>195</v>
      </c>
      <c r="C749" s="2" t="s">
        <v>196</v>
      </c>
      <c r="D749" s="2" t="s">
        <v>452</v>
      </c>
      <c r="E749" s="2" t="s">
        <v>1338</v>
      </c>
      <c r="F749" s="3">
        <v>44918</v>
      </c>
      <c r="G749" s="4">
        <f t="shared" si="99"/>
        <v>12</v>
      </c>
      <c r="H749" s="4">
        <f t="shared" si="100"/>
        <v>2022</v>
      </c>
      <c r="I749" s="2" t="s">
        <v>4</v>
      </c>
      <c r="J749" s="2" t="s">
        <v>1339</v>
      </c>
      <c r="K749" s="2" t="s">
        <v>117</v>
      </c>
      <c r="L749" s="2" t="s">
        <v>118</v>
      </c>
      <c r="M749" s="2" t="s">
        <v>119</v>
      </c>
      <c r="N749" s="4" t="str">
        <f t="shared" si="101"/>
        <v>TON</v>
      </c>
      <c r="O749" s="5">
        <v>1.25</v>
      </c>
      <c r="S749" s="32">
        <f t="shared" si="104"/>
        <v>0</v>
      </c>
    </row>
    <row r="750" spans="2:22" x14ac:dyDescent="0.25">
      <c r="B750" s="1" t="s">
        <v>195</v>
      </c>
      <c r="C750" s="2" t="s">
        <v>196</v>
      </c>
      <c r="D750" s="2" t="s">
        <v>285</v>
      </c>
      <c r="E750" s="2" t="s">
        <v>297</v>
      </c>
      <c r="F750" s="3">
        <v>44918</v>
      </c>
      <c r="G750" s="4">
        <f t="shared" si="99"/>
        <v>12</v>
      </c>
      <c r="H750" s="4">
        <f t="shared" si="100"/>
        <v>2022</v>
      </c>
      <c r="I750" s="2" t="s">
        <v>4</v>
      </c>
      <c r="J750" s="2" t="s">
        <v>1340</v>
      </c>
      <c r="K750" s="2" t="s">
        <v>205</v>
      </c>
      <c r="L750" s="2" t="s">
        <v>206</v>
      </c>
      <c r="M750" s="2" t="s">
        <v>119</v>
      </c>
      <c r="N750" s="4" t="str">
        <f t="shared" si="101"/>
        <v>TON</v>
      </c>
      <c r="O750" s="5">
        <v>3</v>
      </c>
      <c r="S750" s="32">
        <f t="shared" si="104"/>
        <v>0</v>
      </c>
    </row>
    <row r="751" spans="2:22" x14ac:dyDescent="0.25">
      <c r="B751" s="1" t="s">
        <v>195</v>
      </c>
      <c r="C751" s="2" t="s">
        <v>196</v>
      </c>
      <c r="D751" s="2" t="s">
        <v>280</v>
      </c>
      <c r="E751" s="2" t="s">
        <v>281</v>
      </c>
      <c r="F751" s="3">
        <v>44918</v>
      </c>
      <c r="G751" s="4">
        <f t="shared" si="99"/>
        <v>12</v>
      </c>
      <c r="H751" s="4">
        <f t="shared" si="100"/>
        <v>2022</v>
      </c>
      <c r="I751" s="2" t="s">
        <v>4</v>
      </c>
      <c r="J751" s="2" t="s">
        <v>1341</v>
      </c>
      <c r="K751" s="2" t="s">
        <v>390</v>
      </c>
      <c r="L751" s="2" t="s">
        <v>391</v>
      </c>
      <c r="M751" s="2" t="s">
        <v>119</v>
      </c>
      <c r="N751" s="4" t="str">
        <f t="shared" si="101"/>
        <v>TON</v>
      </c>
      <c r="O751" s="5">
        <v>8.5500000000000007</v>
      </c>
      <c r="S751" s="32">
        <f t="shared" si="104"/>
        <v>0</v>
      </c>
    </row>
    <row r="752" spans="2:22" x14ac:dyDescent="0.25">
      <c r="B752" s="1" t="s">
        <v>195</v>
      </c>
      <c r="C752" s="2" t="s">
        <v>196</v>
      </c>
      <c r="D752" s="2" t="s">
        <v>437</v>
      </c>
      <c r="E752" s="2" t="s">
        <v>438</v>
      </c>
      <c r="F752" s="3">
        <v>44918</v>
      </c>
      <c r="G752" s="4">
        <f t="shared" si="99"/>
        <v>12</v>
      </c>
      <c r="H752" s="4">
        <f t="shared" si="100"/>
        <v>2022</v>
      </c>
      <c r="I752" s="2" t="s">
        <v>4</v>
      </c>
      <c r="J752" s="2" t="s">
        <v>1342</v>
      </c>
      <c r="K752" s="2" t="s">
        <v>1291</v>
      </c>
      <c r="L752" s="2" t="s">
        <v>1292</v>
      </c>
      <c r="M752" s="2" t="s">
        <v>119</v>
      </c>
      <c r="N752" s="4" t="str">
        <f t="shared" si="101"/>
        <v>TON</v>
      </c>
      <c r="O752" s="5">
        <v>5.0125000000000002</v>
      </c>
      <c r="S752" s="32">
        <f t="shared" si="104"/>
        <v>0</v>
      </c>
    </row>
    <row r="753" spans="2:19" x14ac:dyDescent="0.25">
      <c r="B753" s="1" t="s">
        <v>195</v>
      </c>
      <c r="C753" s="2" t="s">
        <v>196</v>
      </c>
      <c r="D753" s="2" t="s">
        <v>1343</v>
      </c>
      <c r="E753" s="2" t="s">
        <v>1274</v>
      </c>
      <c r="F753" s="3">
        <v>44918</v>
      </c>
      <c r="G753" s="4">
        <f t="shared" si="99"/>
        <v>12</v>
      </c>
      <c r="H753" s="4">
        <f t="shared" si="100"/>
        <v>2022</v>
      </c>
      <c r="I753" s="2" t="s">
        <v>4</v>
      </c>
      <c r="J753" s="2" t="s">
        <v>1344</v>
      </c>
      <c r="K753" s="2" t="s">
        <v>1219</v>
      </c>
      <c r="L753" s="2" t="s">
        <v>1220</v>
      </c>
      <c r="M753" s="2" t="s">
        <v>1221</v>
      </c>
      <c r="N753" s="4" t="str">
        <f t="shared" si="101"/>
        <v>GAL</v>
      </c>
      <c r="O753" s="5">
        <v>500</v>
      </c>
      <c r="S753" s="32">
        <f t="shared" si="104"/>
        <v>0</v>
      </c>
    </row>
    <row r="754" spans="2:19" x14ac:dyDescent="0.25">
      <c r="B754" s="1" t="s">
        <v>195</v>
      </c>
      <c r="C754" s="2" t="s">
        <v>196</v>
      </c>
      <c r="D754" s="2" t="s">
        <v>1345</v>
      </c>
      <c r="E754" s="2" t="s">
        <v>1346</v>
      </c>
      <c r="F754" s="3">
        <v>44918</v>
      </c>
      <c r="G754" s="4">
        <f t="shared" si="99"/>
        <v>12</v>
      </c>
      <c r="H754" s="4">
        <f t="shared" si="100"/>
        <v>2022</v>
      </c>
      <c r="I754" s="2" t="s">
        <v>4</v>
      </c>
      <c r="J754" s="2" t="s">
        <v>1347</v>
      </c>
      <c r="K754" s="2" t="s">
        <v>122</v>
      </c>
      <c r="L754" s="2" t="s">
        <v>123</v>
      </c>
      <c r="M754" s="2" t="s">
        <v>119</v>
      </c>
      <c r="N754" s="4" t="str">
        <f t="shared" si="101"/>
        <v>TON</v>
      </c>
      <c r="O754" s="5">
        <v>3.7574999999999998</v>
      </c>
      <c r="S754" s="32">
        <f t="shared" si="104"/>
        <v>0</v>
      </c>
    </row>
    <row r="755" spans="2:19" x14ac:dyDescent="0.25">
      <c r="B755" s="1" t="s">
        <v>195</v>
      </c>
      <c r="C755" s="2" t="s">
        <v>196</v>
      </c>
      <c r="D755" s="2" t="s">
        <v>285</v>
      </c>
      <c r="E755" s="2" t="s">
        <v>695</v>
      </c>
      <c r="F755" s="3">
        <v>44922</v>
      </c>
      <c r="G755" s="4">
        <f t="shared" si="99"/>
        <v>12</v>
      </c>
      <c r="H755" s="4">
        <f t="shared" si="100"/>
        <v>2022</v>
      </c>
      <c r="I755" s="2" t="s">
        <v>4</v>
      </c>
      <c r="J755" s="2" t="s">
        <v>1348</v>
      </c>
      <c r="K755" s="2" t="s">
        <v>292</v>
      </c>
      <c r="L755" s="2" t="s">
        <v>293</v>
      </c>
      <c r="M755" s="2" t="s">
        <v>119</v>
      </c>
      <c r="N755" s="4" t="str">
        <f t="shared" si="101"/>
        <v>TON</v>
      </c>
      <c r="O755" s="5">
        <v>5</v>
      </c>
      <c r="S755" s="32">
        <f t="shared" si="104"/>
        <v>0</v>
      </c>
    </row>
    <row r="756" spans="2:19" x14ac:dyDescent="0.25">
      <c r="B756" s="1" t="s">
        <v>195</v>
      </c>
      <c r="C756" s="2" t="s">
        <v>196</v>
      </c>
      <c r="D756" s="2" t="s">
        <v>285</v>
      </c>
      <c r="E756" s="2" t="s">
        <v>412</v>
      </c>
      <c r="F756" s="3">
        <v>44922</v>
      </c>
      <c r="G756" s="4">
        <f t="shared" si="99"/>
        <v>12</v>
      </c>
      <c r="H756" s="4">
        <f t="shared" si="100"/>
        <v>2022</v>
      </c>
      <c r="I756" s="2" t="s">
        <v>4</v>
      </c>
      <c r="J756" s="2" t="s">
        <v>1349</v>
      </c>
      <c r="K756" s="2" t="s">
        <v>205</v>
      </c>
      <c r="L756" s="2" t="s">
        <v>206</v>
      </c>
      <c r="M756" s="2" t="s">
        <v>119</v>
      </c>
      <c r="N756" s="4" t="str">
        <f t="shared" si="101"/>
        <v>TON</v>
      </c>
      <c r="O756" s="5">
        <v>5</v>
      </c>
      <c r="S756" s="32">
        <f t="shared" si="104"/>
        <v>0</v>
      </c>
    </row>
    <row r="757" spans="2:19" x14ac:dyDescent="0.25">
      <c r="B757" s="1" t="s">
        <v>195</v>
      </c>
      <c r="C757" s="2" t="s">
        <v>196</v>
      </c>
      <c r="D757" s="2" t="s">
        <v>326</v>
      </c>
      <c r="E757" s="2" t="s">
        <v>719</v>
      </c>
      <c r="F757" s="3">
        <v>44922</v>
      </c>
      <c r="G757" s="4">
        <f t="shared" si="99"/>
        <v>12</v>
      </c>
      <c r="H757" s="4">
        <f t="shared" si="100"/>
        <v>2022</v>
      </c>
      <c r="I757" s="2" t="s">
        <v>4</v>
      </c>
      <c r="J757" s="2" t="s">
        <v>1350</v>
      </c>
      <c r="K757" s="2" t="s">
        <v>1351</v>
      </c>
      <c r="L757" s="2" t="s">
        <v>1352</v>
      </c>
      <c r="M757" s="2" t="s">
        <v>119</v>
      </c>
      <c r="N757" s="4" t="str">
        <f t="shared" si="101"/>
        <v>TON</v>
      </c>
      <c r="O757" s="5">
        <v>9.0574999999999992</v>
      </c>
      <c r="S757" s="32">
        <f t="shared" si="104"/>
        <v>0</v>
      </c>
    </row>
    <row r="758" spans="2:19" x14ac:dyDescent="0.25">
      <c r="B758" s="1" t="s">
        <v>195</v>
      </c>
      <c r="C758" s="2" t="s">
        <v>196</v>
      </c>
      <c r="D758" s="2" t="s">
        <v>224</v>
      </c>
      <c r="E758" s="2" t="s">
        <v>361</v>
      </c>
      <c r="F758" s="3">
        <v>44922</v>
      </c>
      <c r="G758" s="4">
        <f t="shared" si="99"/>
        <v>12</v>
      </c>
      <c r="H758" s="4">
        <f t="shared" si="100"/>
        <v>2022</v>
      </c>
      <c r="I758" s="2" t="s">
        <v>4</v>
      </c>
      <c r="J758" s="2" t="s">
        <v>1353</v>
      </c>
      <c r="K758" s="2" t="s">
        <v>122</v>
      </c>
      <c r="L758" s="2" t="s">
        <v>123</v>
      </c>
      <c r="M758" s="2" t="s">
        <v>119</v>
      </c>
      <c r="N758" s="4" t="str">
        <f t="shared" si="101"/>
        <v>TON</v>
      </c>
      <c r="O758" s="5">
        <v>5</v>
      </c>
      <c r="S758" s="32">
        <f t="shared" si="104"/>
        <v>0</v>
      </c>
    </row>
    <row r="759" spans="2:19" x14ac:dyDescent="0.25">
      <c r="B759" s="6" t="s">
        <v>195</v>
      </c>
      <c r="C759" s="7" t="s">
        <v>196</v>
      </c>
      <c r="D759" s="8" t="s">
        <v>253</v>
      </c>
      <c r="E759" s="8" t="s">
        <v>922</v>
      </c>
      <c r="F759" s="12">
        <v>44922</v>
      </c>
      <c r="G759" s="10">
        <f t="shared" si="99"/>
        <v>12</v>
      </c>
      <c r="H759" s="10">
        <f t="shared" si="100"/>
        <v>2022</v>
      </c>
      <c r="I759" s="8" t="s">
        <v>4</v>
      </c>
      <c r="J759" s="7" t="s">
        <v>1354</v>
      </c>
      <c r="K759" s="8" t="s">
        <v>924</v>
      </c>
      <c r="L759" s="8" t="s">
        <v>925</v>
      </c>
      <c r="M759" s="8" t="s">
        <v>119</v>
      </c>
      <c r="N759" s="10" t="str">
        <f t="shared" si="101"/>
        <v>TON</v>
      </c>
      <c r="O759" s="11">
        <v>2.0024999999999999</v>
      </c>
      <c r="S759" s="32">
        <f t="shared" si="104"/>
        <v>0</v>
      </c>
    </row>
    <row r="760" spans="2:19" x14ac:dyDescent="0.25">
      <c r="B760" s="1" t="s">
        <v>195</v>
      </c>
      <c r="C760" s="2" t="s">
        <v>196</v>
      </c>
      <c r="D760" s="2" t="s">
        <v>253</v>
      </c>
      <c r="E760" s="2" t="s">
        <v>922</v>
      </c>
      <c r="F760" s="3">
        <v>44922</v>
      </c>
      <c r="G760" s="4">
        <f t="shared" si="99"/>
        <v>12</v>
      </c>
      <c r="H760" s="4">
        <f t="shared" si="100"/>
        <v>2022</v>
      </c>
      <c r="I760" s="2" t="s">
        <v>4</v>
      </c>
      <c r="J760" s="2" t="s">
        <v>1354</v>
      </c>
      <c r="K760" s="2" t="s">
        <v>143</v>
      </c>
      <c r="L760" s="2" t="s">
        <v>1355</v>
      </c>
      <c r="M760" s="2" t="s">
        <v>145</v>
      </c>
      <c r="N760" s="4" t="str">
        <f t="shared" si="101"/>
        <v>GAL</v>
      </c>
      <c r="O760" s="5">
        <v>400</v>
      </c>
      <c r="S760" s="32">
        <f t="shared" si="104"/>
        <v>0</v>
      </c>
    </row>
    <row r="761" spans="2:19" x14ac:dyDescent="0.25">
      <c r="B761" s="1" t="s">
        <v>195</v>
      </c>
      <c r="C761" s="2" t="s">
        <v>196</v>
      </c>
      <c r="D761" s="2" t="s">
        <v>387</v>
      </c>
      <c r="E761" s="2" t="s">
        <v>797</v>
      </c>
      <c r="F761" s="3">
        <v>44923</v>
      </c>
      <c r="G761" s="4">
        <f t="shared" si="99"/>
        <v>12</v>
      </c>
      <c r="H761" s="4">
        <f t="shared" si="100"/>
        <v>2022</v>
      </c>
      <c r="I761" s="2" t="s">
        <v>4</v>
      </c>
      <c r="J761" s="2" t="s">
        <v>1356</v>
      </c>
      <c r="K761" s="2" t="s">
        <v>871</v>
      </c>
      <c r="L761" s="2" t="s">
        <v>872</v>
      </c>
      <c r="M761" s="2" t="s">
        <v>119</v>
      </c>
      <c r="N761" s="4" t="str">
        <f t="shared" si="101"/>
        <v>TON</v>
      </c>
      <c r="O761" s="5">
        <v>7.5175000000000001</v>
      </c>
      <c r="S761" s="32">
        <f t="shared" si="104"/>
        <v>0</v>
      </c>
    </row>
    <row r="762" spans="2:19" x14ac:dyDescent="0.25">
      <c r="B762" s="1" t="s">
        <v>195</v>
      </c>
      <c r="C762" s="2" t="s">
        <v>196</v>
      </c>
      <c r="D762" s="2" t="s">
        <v>387</v>
      </c>
      <c r="E762" s="2" t="s">
        <v>388</v>
      </c>
      <c r="F762" s="3">
        <v>44923</v>
      </c>
      <c r="G762" s="4">
        <f t="shared" si="99"/>
        <v>12</v>
      </c>
      <c r="H762" s="4">
        <f t="shared" si="100"/>
        <v>2022</v>
      </c>
      <c r="I762" s="2" t="s">
        <v>4</v>
      </c>
      <c r="J762" s="2" t="s">
        <v>1357</v>
      </c>
      <c r="K762" s="2" t="s">
        <v>1358</v>
      </c>
      <c r="L762" s="2" t="s">
        <v>1359</v>
      </c>
      <c r="M762" s="2" t="s">
        <v>119</v>
      </c>
      <c r="N762" s="4" t="str">
        <f t="shared" si="101"/>
        <v>TON</v>
      </c>
      <c r="O762" s="5">
        <v>3.51</v>
      </c>
      <c r="S762" s="32">
        <f t="shared" si="104"/>
        <v>0</v>
      </c>
    </row>
    <row r="763" spans="2:19" x14ac:dyDescent="0.25">
      <c r="B763" s="1" t="s">
        <v>195</v>
      </c>
      <c r="C763" s="2" t="s">
        <v>196</v>
      </c>
      <c r="D763" s="2" t="s">
        <v>221</v>
      </c>
      <c r="E763" s="2" t="s">
        <v>271</v>
      </c>
      <c r="F763" s="3">
        <v>44923</v>
      </c>
      <c r="G763" s="4">
        <f t="shared" si="99"/>
        <v>12</v>
      </c>
      <c r="H763" s="4">
        <f t="shared" si="100"/>
        <v>2022</v>
      </c>
      <c r="I763" s="2" t="s">
        <v>4</v>
      </c>
      <c r="J763" s="2" t="s">
        <v>1360</v>
      </c>
      <c r="K763" s="2" t="s">
        <v>334</v>
      </c>
      <c r="L763" s="2" t="s">
        <v>335</v>
      </c>
      <c r="M763" s="2" t="s">
        <v>119</v>
      </c>
      <c r="N763" s="4" t="str">
        <f t="shared" si="101"/>
        <v>TON</v>
      </c>
      <c r="O763" s="5">
        <v>9.25</v>
      </c>
      <c r="S763" s="32">
        <f t="shared" si="104"/>
        <v>0</v>
      </c>
    </row>
    <row r="764" spans="2:19" x14ac:dyDescent="0.25">
      <c r="B764" s="1" t="s">
        <v>195</v>
      </c>
      <c r="C764" s="2" t="s">
        <v>196</v>
      </c>
      <c r="D764" s="2" t="s">
        <v>224</v>
      </c>
      <c r="E764" s="2" t="s">
        <v>141</v>
      </c>
      <c r="F764" s="3">
        <v>44923</v>
      </c>
      <c r="G764" s="4">
        <f t="shared" si="99"/>
        <v>12</v>
      </c>
      <c r="H764" s="4">
        <f t="shared" si="100"/>
        <v>2022</v>
      </c>
      <c r="I764" s="2" t="s">
        <v>4</v>
      </c>
      <c r="J764" s="2" t="s">
        <v>1361</v>
      </c>
      <c r="K764" s="2" t="s">
        <v>842</v>
      </c>
      <c r="L764" s="2" t="s">
        <v>843</v>
      </c>
      <c r="M764" s="2" t="s">
        <v>844</v>
      </c>
      <c r="N764" s="4" t="str">
        <f t="shared" si="101"/>
        <v>GAL</v>
      </c>
      <c r="O764" s="5">
        <v>250</v>
      </c>
      <c r="S764" s="32">
        <f t="shared" si="104"/>
        <v>0</v>
      </c>
    </row>
    <row r="765" spans="2:19" x14ac:dyDescent="0.25">
      <c r="B765" s="1" t="s">
        <v>195</v>
      </c>
      <c r="C765" s="2" t="s">
        <v>196</v>
      </c>
      <c r="D765" s="2" t="s">
        <v>715</v>
      </c>
      <c r="E765" s="2" t="s">
        <v>893</v>
      </c>
      <c r="F765" s="3">
        <v>44923</v>
      </c>
      <c r="G765" s="4">
        <f t="shared" si="99"/>
        <v>12</v>
      </c>
      <c r="H765" s="4">
        <f t="shared" si="100"/>
        <v>2022</v>
      </c>
      <c r="I765" s="2" t="s">
        <v>4</v>
      </c>
      <c r="J765" s="2" t="s">
        <v>1362</v>
      </c>
      <c r="K765" s="2" t="s">
        <v>334</v>
      </c>
      <c r="L765" s="2" t="s">
        <v>335</v>
      </c>
      <c r="M765" s="2" t="s">
        <v>119</v>
      </c>
      <c r="N765" s="4" t="str">
        <f t="shared" si="101"/>
        <v>TON</v>
      </c>
      <c r="O765" s="5">
        <v>0.75</v>
      </c>
      <c r="S765" s="32">
        <f t="shared" si="104"/>
        <v>0</v>
      </c>
    </row>
    <row r="766" spans="2:19" x14ac:dyDescent="0.25">
      <c r="B766" s="1" t="s">
        <v>195</v>
      </c>
      <c r="C766" s="2" t="s">
        <v>196</v>
      </c>
      <c r="D766" s="2" t="s">
        <v>227</v>
      </c>
      <c r="E766" s="2" t="s">
        <v>357</v>
      </c>
      <c r="F766" s="3">
        <v>44923</v>
      </c>
      <c r="G766" s="4">
        <f t="shared" si="99"/>
        <v>12</v>
      </c>
      <c r="H766" s="4">
        <f t="shared" si="100"/>
        <v>2022</v>
      </c>
      <c r="I766" s="2" t="s">
        <v>4</v>
      </c>
      <c r="J766" s="2" t="s">
        <v>1363</v>
      </c>
      <c r="K766" s="2" t="s">
        <v>1364</v>
      </c>
      <c r="L766" s="2" t="s">
        <v>1365</v>
      </c>
      <c r="M766" s="2" t="s">
        <v>119</v>
      </c>
      <c r="N766" s="4" t="str">
        <f t="shared" si="101"/>
        <v>TON</v>
      </c>
      <c r="O766" s="5">
        <v>5</v>
      </c>
      <c r="S766" s="32">
        <f t="shared" si="104"/>
        <v>0</v>
      </c>
    </row>
    <row r="767" spans="2:19" x14ac:dyDescent="0.25">
      <c r="B767" s="1" t="s">
        <v>195</v>
      </c>
      <c r="C767" s="2" t="s">
        <v>196</v>
      </c>
      <c r="D767" s="2" t="s">
        <v>227</v>
      </c>
      <c r="E767" s="2" t="s">
        <v>757</v>
      </c>
      <c r="F767" s="3">
        <v>44923</v>
      </c>
      <c r="G767" s="4">
        <f t="shared" si="99"/>
        <v>12</v>
      </c>
      <c r="H767" s="4">
        <f t="shared" si="100"/>
        <v>2022</v>
      </c>
      <c r="I767" s="2" t="s">
        <v>4</v>
      </c>
      <c r="J767" s="2" t="s">
        <v>1366</v>
      </c>
      <c r="K767" s="2" t="s">
        <v>1232</v>
      </c>
      <c r="L767" s="2" t="s">
        <v>1233</v>
      </c>
      <c r="M767" s="2" t="s">
        <v>119</v>
      </c>
      <c r="N767" s="4" t="str">
        <f t="shared" si="101"/>
        <v>TON</v>
      </c>
      <c r="O767" s="5">
        <v>4</v>
      </c>
      <c r="S767" s="32">
        <f t="shared" si="104"/>
        <v>0</v>
      </c>
    </row>
    <row r="768" spans="2:19" x14ac:dyDescent="0.25">
      <c r="B768" s="1" t="s">
        <v>195</v>
      </c>
      <c r="C768" s="2" t="s">
        <v>196</v>
      </c>
      <c r="D768" s="2" t="s">
        <v>321</v>
      </c>
      <c r="E768" s="2" t="s">
        <v>353</v>
      </c>
      <c r="F768" s="3">
        <v>44923</v>
      </c>
      <c r="G768" s="4">
        <f t="shared" si="99"/>
        <v>12</v>
      </c>
      <c r="H768" s="4">
        <f t="shared" si="100"/>
        <v>2022</v>
      </c>
      <c r="I768" s="2" t="s">
        <v>4</v>
      </c>
      <c r="J768" s="2" t="s">
        <v>1367</v>
      </c>
      <c r="K768" s="2" t="s">
        <v>394</v>
      </c>
      <c r="L768" s="2" t="s">
        <v>395</v>
      </c>
      <c r="M768" s="2" t="s">
        <v>119</v>
      </c>
      <c r="N768" s="4" t="str">
        <f t="shared" si="101"/>
        <v>TON</v>
      </c>
      <c r="O768" s="5">
        <v>10</v>
      </c>
      <c r="S768" s="32">
        <f t="shared" si="104"/>
        <v>0</v>
      </c>
    </row>
    <row r="769" spans="2:19" x14ac:dyDescent="0.25">
      <c r="B769" s="1" t="s">
        <v>195</v>
      </c>
      <c r="C769" s="2" t="s">
        <v>196</v>
      </c>
      <c r="D769" s="2" t="s">
        <v>321</v>
      </c>
      <c r="E769" s="2" t="s">
        <v>697</v>
      </c>
      <c r="F769" s="3">
        <v>44923</v>
      </c>
      <c r="G769" s="4">
        <f t="shared" si="99"/>
        <v>12</v>
      </c>
      <c r="H769" s="4">
        <f t="shared" si="100"/>
        <v>2022</v>
      </c>
      <c r="I769" s="2" t="s">
        <v>4</v>
      </c>
      <c r="J769" s="2" t="s">
        <v>1368</v>
      </c>
      <c r="K769" s="2" t="s">
        <v>394</v>
      </c>
      <c r="L769" s="2" t="s">
        <v>395</v>
      </c>
      <c r="M769" s="2" t="s">
        <v>119</v>
      </c>
      <c r="N769" s="4" t="str">
        <f t="shared" si="101"/>
        <v>TON</v>
      </c>
      <c r="O769" s="5">
        <v>10</v>
      </c>
      <c r="S769" s="32">
        <f t="shared" si="104"/>
        <v>0</v>
      </c>
    </row>
    <row r="770" spans="2:19" x14ac:dyDescent="0.25">
      <c r="B770" s="1" t="s">
        <v>195</v>
      </c>
      <c r="C770" s="2" t="s">
        <v>196</v>
      </c>
      <c r="D770" s="2" t="s">
        <v>440</v>
      </c>
      <c r="E770" s="2" t="s">
        <v>1369</v>
      </c>
      <c r="F770" s="3">
        <v>44923</v>
      </c>
      <c r="G770" s="4">
        <f t="shared" si="99"/>
        <v>12</v>
      </c>
      <c r="H770" s="4">
        <f t="shared" si="100"/>
        <v>2022</v>
      </c>
      <c r="I770" s="2" t="s">
        <v>4</v>
      </c>
      <c r="J770" s="2" t="s">
        <v>1370</v>
      </c>
      <c r="K770" s="2" t="s">
        <v>871</v>
      </c>
      <c r="L770" s="2" t="s">
        <v>872</v>
      </c>
      <c r="M770" s="2" t="s">
        <v>119</v>
      </c>
      <c r="N770" s="4" t="str">
        <f t="shared" si="101"/>
        <v>TON</v>
      </c>
      <c r="O770" s="5">
        <v>5</v>
      </c>
      <c r="S770" s="32">
        <f t="shared" si="104"/>
        <v>0</v>
      </c>
    </row>
    <row r="771" spans="2:19" x14ac:dyDescent="0.25">
      <c r="B771" s="1" t="s">
        <v>195</v>
      </c>
      <c r="C771" s="2" t="s">
        <v>196</v>
      </c>
      <c r="D771" s="2" t="s">
        <v>276</v>
      </c>
      <c r="E771" s="2" t="s">
        <v>359</v>
      </c>
      <c r="F771" s="3">
        <v>44923</v>
      </c>
      <c r="G771" s="4">
        <f t="shared" ref="G771:G834" si="105">+MONTH(F771)</f>
        <v>12</v>
      </c>
      <c r="H771" s="4">
        <f t="shared" ref="H771:H834" si="106">+YEAR(F771)</f>
        <v>2022</v>
      </c>
      <c r="I771" s="2" t="s">
        <v>4</v>
      </c>
      <c r="J771" s="2" t="s">
        <v>1371</v>
      </c>
      <c r="K771" s="2" t="s">
        <v>292</v>
      </c>
      <c r="L771" s="2" t="s">
        <v>293</v>
      </c>
      <c r="M771" s="2" t="s">
        <v>119</v>
      </c>
      <c r="N771" s="4" t="str">
        <f t="shared" ref="N771:N834" si="107">+LEFT(M771,3)</f>
        <v>TON</v>
      </c>
      <c r="O771" s="5">
        <v>2</v>
      </c>
      <c r="S771" s="32">
        <f t="shared" si="104"/>
        <v>0</v>
      </c>
    </row>
    <row r="772" spans="2:19" x14ac:dyDescent="0.25">
      <c r="B772" s="1" t="s">
        <v>195</v>
      </c>
      <c r="C772" s="2" t="s">
        <v>196</v>
      </c>
      <c r="D772" s="2" t="s">
        <v>285</v>
      </c>
      <c r="E772" s="2" t="s">
        <v>274</v>
      </c>
      <c r="F772" s="3">
        <v>44923</v>
      </c>
      <c r="G772" s="4">
        <f t="shared" si="105"/>
        <v>12</v>
      </c>
      <c r="H772" s="4">
        <f t="shared" si="106"/>
        <v>2022</v>
      </c>
      <c r="I772" s="2" t="s">
        <v>4</v>
      </c>
      <c r="J772" s="2" t="s">
        <v>1372</v>
      </c>
      <c r="K772" s="2" t="s">
        <v>287</v>
      </c>
      <c r="L772" s="2" t="s">
        <v>288</v>
      </c>
      <c r="M772" s="2" t="s">
        <v>119</v>
      </c>
      <c r="N772" s="4" t="str">
        <f t="shared" si="107"/>
        <v>TON</v>
      </c>
      <c r="O772" s="5">
        <v>5</v>
      </c>
      <c r="S772" s="32">
        <f t="shared" ref="S772:S835" si="108">SUMIF($R$3:$R$885, $R772, $O$3:$O$885)</f>
        <v>0</v>
      </c>
    </row>
    <row r="773" spans="2:19" x14ac:dyDescent="0.25">
      <c r="B773" s="1" t="s">
        <v>195</v>
      </c>
      <c r="C773" s="2" t="s">
        <v>196</v>
      </c>
      <c r="D773" s="2" t="s">
        <v>715</v>
      </c>
      <c r="E773" s="2" t="s">
        <v>971</v>
      </c>
      <c r="F773" s="3">
        <v>44923</v>
      </c>
      <c r="G773" s="4">
        <f t="shared" si="105"/>
        <v>12</v>
      </c>
      <c r="H773" s="4">
        <f t="shared" si="106"/>
        <v>2022</v>
      </c>
      <c r="I773" s="2" t="s">
        <v>4</v>
      </c>
      <c r="J773" s="2" t="s">
        <v>1373</v>
      </c>
      <c r="K773" s="2" t="s">
        <v>329</v>
      </c>
      <c r="L773" s="2" t="s">
        <v>330</v>
      </c>
      <c r="M773" s="2" t="s">
        <v>119</v>
      </c>
      <c r="N773" s="4" t="str">
        <f t="shared" si="107"/>
        <v>TON</v>
      </c>
      <c r="O773" s="5">
        <v>2.5</v>
      </c>
      <c r="S773" s="32">
        <f t="shared" si="108"/>
        <v>0</v>
      </c>
    </row>
    <row r="774" spans="2:19" x14ac:dyDescent="0.25">
      <c r="B774" s="1" t="s">
        <v>195</v>
      </c>
      <c r="C774" s="2" t="s">
        <v>196</v>
      </c>
      <c r="D774" s="2" t="s">
        <v>114</v>
      </c>
      <c r="E774" s="2" t="s">
        <v>402</v>
      </c>
      <c r="F774" s="3">
        <v>44924</v>
      </c>
      <c r="G774" s="4">
        <f t="shared" si="105"/>
        <v>12</v>
      </c>
      <c r="H774" s="4">
        <f t="shared" si="106"/>
        <v>2022</v>
      </c>
      <c r="I774" s="2" t="s">
        <v>4</v>
      </c>
      <c r="J774" s="2" t="s">
        <v>1374</v>
      </c>
      <c r="K774" s="2" t="s">
        <v>390</v>
      </c>
      <c r="L774" s="2" t="s">
        <v>391</v>
      </c>
      <c r="M774" s="2" t="s">
        <v>119</v>
      </c>
      <c r="N774" s="4" t="str">
        <f t="shared" si="107"/>
        <v>TON</v>
      </c>
      <c r="O774" s="5">
        <v>4</v>
      </c>
      <c r="S774" s="32">
        <f t="shared" si="108"/>
        <v>0</v>
      </c>
    </row>
    <row r="775" spans="2:19" x14ac:dyDescent="0.25">
      <c r="B775" s="1" t="s">
        <v>195</v>
      </c>
      <c r="C775" s="2" t="s">
        <v>196</v>
      </c>
      <c r="D775" s="2" t="s">
        <v>1375</v>
      </c>
      <c r="E775" s="2" t="s">
        <v>102</v>
      </c>
      <c r="F775" s="3">
        <v>44924</v>
      </c>
      <c r="G775" s="4">
        <f t="shared" si="105"/>
        <v>12</v>
      </c>
      <c r="H775" s="4">
        <f t="shared" si="106"/>
        <v>2022</v>
      </c>
      <c r="I775" s="2" t="s">
        <v>4</v>
      </c>
      <c r="J775" s="2" t="s">
        <v>1376</v>
      </c>
      <c r="K775" s="2" t="s">
        <v>205</v>
      </c>
      <c r="L775" s="2" t="s">
        <v>206</v>
      </c>
      <c r="M775" s="2" t="s">
        <v>119</v>
      </c>
      <c r="N775" s="4" t="str">
        <f t="shared" si="107"/>
        <v>TON</v>
      </c>
      <c r="O775" s="5">
        <v>5</v>
      </c>
      <c r="S775" s="32">
        <f t="shared" si="108"/>
        <v>0</v>
      </c>
    </row>
    <row r="776" spans="2:19" x14ac:dyDescent="0.25">
      <c r="B776" s="1" t="s">
        <v>195</v>
      </c>
      <c r="C776" s="2" t="s">
        <v>196</v>
      </c>
      <c r="D776" s="2" t="s">
        <v>721</v>
      </c>
      <c r="E776" s="2" t="s">
        <v>141</v>
      </c>
      <c r="F776" s="3">
        <v>44924</v>
      </c>
      <c r="G776" s="4">
        <f t="shared" si="105"/>
        <v>12</v>
      </c>
      <c r="H776" s="4">
        <f t="shared" si="106"/>
        <v>2022</v>
      </c>
      <c r="I776" s="2" t="s">
        <v>4</v>
      </c>
      <c r="J776" s="2" t="s">
        <v>1377</v>
      </c>
      <c r="K776" s="2" t="s">
        <v>200</v>
      </c>
      <c r="L776" s="2" t="s">
        <v>201</v>
      </c>
      <c r="M776" s="2" t="s">
        <v>202</v>
      </c>
      <c r="N776" s="4" t="str">
        <f t="shared" si="107"/>
        <v>GAL</v>
      </c>
      <c r="O776" s="5">
        <v>25</v>
      </c>
      <c r="S776" s="32">
        <f t="shared" si="108"/>
        <v>0</v>
      </c>
    </row>
    <row r="777" spans="2:19" x14ac:dyDescent="0.25">
      <c r="B777" s="1" t="s">
        <v>195</v>
      </c>
      <c r="C777" s="2" t="s">
        <v>196</v>
      </c>
      <c r="D777" s="2" t="s">
        <v>210</v>
      </c>
      <c r="E777" s="2" t="s">
        <v>827</v>
      </c>
      <c r="F777" s="3">
        <v>44925</v>
      </c>
      <c r="G777" s="4">
        <f t="shared" si="105"/>
        <v>12</v>
      </c>
      <c r="H777" s="4">
        <f t="shared" si="106"/>
        <v>2022</v>
      </c>
      <c r="I777" s="2" t="s">
        <v>4</v>
      </c>
      <c r="J777" s="2" t="s">
        <v>1378</v>
      </c>
      <c r="K777" s="2" t="s">
        <v>1379</v>
      </c>
      <c r="L777" s="2" t="s">
        <v>1380</v>
      </c>
      <c r="M777" s="2" t="s">
        <v>119</v>
      </c>
      <c r="N777" s="4" t="str">
        <f t="shared" si="107"/>
        <v>TON</v>
      </c>
      <c r="O777" s="5">
        <v>10.0075</v>
      </c>
      <c r="S777" s="32">
        <f t="shared" si="108"/>
        <v>0</v>
      </c>
    </row>
    <row r="778" spans="2:19" x14ac:dyDescent="0.25">
      <c r="B778" s="1" t="s">
        <v>195</v>
      </c>
      <c r="C778" s="2" t="s">
        <v>196</v>
      </c>
      <c r="D778" s="2" t="s">
        <v>210</v>
      </c>
      <c r="E778" s="2" t="s">
        <v>962</v>
      </c>
      <c r="F778" s="3">
        <v>44925</v>
      </c>
      <c r="G778" s="4">
        <f t="shared" si="105"/>
        <v>12</v>
      </c>
      <c r="H778" s="4">
        <f t="shared" si="106"/>
        <v>2022</v>
      </c>
      <c r="I778" s="2" t="s">
        <v>4</v>
      </c>
      <c r="J778" s="2" t="s">
        <v>1381</v>
      </c>
      <c r="K778" s="2" t="s">
        <v>351</v>
      </c>
      <c r="L778" s="2" t="s">
        <v>352</v>
      </c>
      <c r="M778" s="2" t="s">
        <v>119</v>
      </c>
      <c r="N778" s="4" t="str">
        <f t="shared" si="107"/>
        <v>TON</v>
      </c>
      <c r="O778" s="5">
        <v>5</v>
      </c>
      <c r="S778" s="32">
        <f t="shared" si="108"/>
        <v>0</v>
      </c>
    </row>
    <row r="779" spans="2:19" x14ac:dyDescent="0.25">
      <c r="B779" s="1" t="s">
        <v>195</v>
      </c>
      <c r="C779" s="2" t="s">
        <v>196</v>
      </c>
      <c r="D779" s="2" t="s">
        <v>672</v>
      </c>
      <c r="E779" s="2" t="s">
        <v>673</v>
      </c>
      <c r="F779" s="3">
        <v>44925</v>
      </c>
      <c r="G779" s="4">
        <f t="shared" si="105"/>
        <v>12</v>
      </c>
      <c r="H779" s="4">
        <f t="shared" si="106"/>
        <v>2022</v>
      </c>
      <c r="I779" s="2" t="s">
        <v>4</v>
      </c>
      <c r="J779" s="2" t="s">
        <v>1382</v>
      </c>
      <c r="K779" s="2" t="s">
        <v>675</v>
      </c>
      <c r="L779" s="2" t="s">
        <v>676</v>
      </c>
      <c r="M779" s="2" t="s">
        <v>119</v>
      </c>
      <c r="N779" s="4" t="str">
        <f t="shared" si="107"/>
        <v>TON</v>
      </c>
      <c r="O779" s="5">
        <v>5.4924999999999997</v>
      </c>
      <c r="S779" s="32">
        <f t="shared" si="108"/>
        <v>0</v>
      </c>
    </row>
    <row r="780" spans="2:19" x14ac:dyDescent="0.25">
      <c r="B780" s="1" t="s">
        <v>195</v>
      </c>
      <c r="C780" s="2" t="s">
        <v>196</v>
      </c>
      <c r="D780" s="2" t="s">
        <v>452</v>
      </c>
      <c r="E780" s="2" t="s">
        <v>453</v>
      </c>
      <c r="F780" s="3">
        <v>44925</v>
      </c>
      <c r="G780" s="4">
        <f t="shared" si="105"/>
        <v>12</v>
      </c>
      <c r="H780" s="4">
        <f t="shared" si="106"/>
        <v>2022</v>
      </c>
      <c r="I780" s="2" t="s">
        <v>4</v>
      </c>
      <c r="J780" s="2" t="s">
        <v>1383</v>
      </c>
      <c r="K780" s="2" t="s">
        <v>117</v>
      </c>
      <c r="L780" s="2" t="s">
        <v>118</v>
      </c>
      <c r="M780" s="2" t="s">
        <v>119</v>
      </c>
      <c r="N780" s="4" t="str">
        <f t="shared" si="107"/>
        <v>TON</v>
      </c>
      <c r="O780" s="5">
        <v>6.4950000000000001</v>
      </c>
      <c r="S780" s="32">
        <f t="shared" si="108"/>
        <v>0</v>
      </c>
    </row>
    <row r="781" spans="2:19" x14ac:dyDescent="0.25">
      <c r="B781" s="1" t="s">
        <v>195</v>
      </c>
      <c r="C781" s="2" t="s">
        <v>196</v>
      </c>
      <c r="D781" s="2" t="s">
        <v>276</v>
      </c>
      <c r="E781" s="2" t="s">
        <v>682</v>
      </c>
      <c r="F781" s="3">
        <v>44925</v>
      </c>
      <c r="G781" s="4">
        <f t="shared" si="105"/>
        <v>12</v>
      </c>
      <c r="H781" s="4">
        <f t="shared" si="106"/>
        <v>2022</v>
      </c>
      <c r="I781" s="2" t="s">
        <v>4</v>
      </c>
      <c r="J781" s="2" t="s">
        <v>1384</v>
      </c>
      <c r="K781" s="2" t="s">
        <v>122</v>
      </c>
      <c r="L781" s="2" t="s">
        <v>123</v>
      </c>
      <c r="M781" s="2" t="s">
        <v>119</v>
      </c>
      <c r="N781" s="4" t="str">
        <f t="shared" si="107"/>
        <v>TON</v>
      </c>
      <c r="O781" s="5">
        <v>13.9825</v>
      </c>
      <c r="S781" s="32">
        <f t="shared" si="108"/>
        <v>0</v>
      </c>
    </row>
    <row r="782" spans="2:19" x14ac:dyDescent="0.25">
      <c r="B782" s="1" t="s">
        <v>195</v>
      </c>
      <c r="C782" s="2" t="s">
        <v>196</v>
      </c>
      <c r="D782" s="2" t="s">
        <v>1385</v>
      </c>
      <c r="E782" s="2" t="s">
        <v>102</v>
      </c>
      <c r="F782" s="3">
        <v>44925</v>
      </c>
      <c r="G782" s="4">
        <f t="shared" si="105"/>
        <v>12</v>
      </c>
      <c r="H782" s="4">
        <f t="shared" si="106"/>
        <v>2022</v>
      </c>
      <c r="I782" s="2" t="s">
        <v>4</v>
      </c>
      <c r="J782" s="2" t="s">
        <v>1386</v>
      </c>
      <c r="K782" s="2" t="s">
        <v>1387</v>
      </c>
      <c r="L782" s="2" t="s">
        <v>1388</v>
      </c>
      <c r="M782" s="2" t="s">
        <v>119</v>
      </c>
      <c r="N782" s="4" t="str">
        <f t="shared" si="107"/>
        <v>TON</v>
      </c>
      <c r="O782" s="5">
        <v>1.25</v>
      </c>
      <c r="S782" s="32">
        <f t="shared" si="108"/>
        <v>0</v>
      </c>
    </row>
    <row r="783" spans="2:19" x14ac:dyDescent="0.25">
      <c r="B783" s="1" t="s">
        <v>195</v>
      </c>
      <c r="C783" s="2" t="s">
        <v>196</v>
      </c>
      <c r="D783" s="2" t="s">
        <v>299</v>
      </c>
      <c r="E783" s="2" t="s">
        <v>300</v>
      </c>
      <c r="F783" s="3">
        <v>44925</v>
      </c>
      <c r="G783" s="4">
        <f t="shared" si="105"/>
        <v>12</v>
      </c>
      <c r="H783" s="4">
        <f t="shared" si="106"/>
        <v>2022</v>
      </c>
      <c r="I783" s="2" t="s">
        <v>4</v>
      </c>
      <c r="J783" s="2" t="s">
        <v>1389</v>
      </c>
      <c r="K783" s="2" t="s">
        <v>390</v>
      </c>
      <c r="L783" s="2" t="s">
        <v>391</v>
      </c>
      <c r="M783" s="2" t="s">
        <v>119</v>
      </c>
      <c r="N783" s="4" t="str">
        <f t="shared" si="107"/>
        <v>TON</v>
      </c>
      <c r="O783" s="5">
        <v>14.05</v>
      </c>
      <c r="S783" s="32">
        <f t="shared" si="108"/>
        <v>0</v>
      </c>
    </row>
    <row r="784" spans="2:19" x14ac:dyDescent="0.25">
      <c r="B784" s="1" t="s">
        <v>382</v>
      </c>
      <c r="C784" s="2" t="s">
        <v>506</v>
      </c>
      <c r="D784" s="2" t="s">
        <v>1006</v>
      </c>
      <c r="E784" s="2" t="s">
        <v>1007</v>
      </c>
      <c r="F784" s="3">
        <v>44896</v>
      </c>
      <c r="G784" s="4">
        <f t="shared" si="105"/>
        <v>12</v>
      </c>
      <c r="H784" s="4">
        <f t="shared" si="106"/>
        <v>2022</v>
      </c>
      <c r="I784" s="2" t="s">
        <v>4</v>
      </c>
      <c r="J784" s="2" t="s">
        <v>1390</v>
      </c>
      <c r="K784" s="2" t="s">
        <v>642</v>
      </c>
      <c r="L784" s="2" t="s">
        <v>111</v>
      </c>
      <c r="M784" s="2" t="s">
        <v>112</v>
      </c>
      <c r="N784" s="4" t="str">
        <f t="shared" si="107"/>
        <v>GAL</v>
      </c>
      <c r="O784" s="5">
        <v>180</v>
      </c>
      <c r="S784" s="32">
        <f t="shared" si="108"/>
        <v>0</v>
      </c>
    </row>
    <row r="785" spans="2:19" x14ac:dyDescent="0.25">
      <c r="B785" s="1" t="s">
        <v>382</v>
      </c>
      <c r="C785" s="2" t="s">
        <v>506</v>
      </c>
      <c r="D785" s="2" t="s">
        <v>507</v>
      </c>
      <c r="E785" s="2" t="s">
        <v>508</v>
      </c>
      <c r="F785" s="3">
        <v>44897</v>
      </c>
      <c r="G785" s="4">
        <f t="shared" si="105"/>
        <v>12</v>
      </c>
      <c r="H785" s="4">
        <f t="shared" si="106"/>
        <v>2022</v>
      </c>
      <c r="I785" s="2" t="s">
        <v>4</v>
      </c>
      <c r="J785" s="2" t="s">
        <v>1391</v>
      </c>
      <c r="K785" s="2" t="s">
        <v>1189</v>
      </c>
      <c r="L785" s="2" t="s">
        <v>1190</v>
      </c>
      <c r="M785" s="2" t="s">
        <v>139</v>
      </c>
      <c r="N785" s="4" t="str">
        <f t="shared" si="107"/>
        <v>GAL</v>
      </c>
      <c r="O785" s="5">
        <v>500</v>
      </c>
      <c r="S785" s="32">
        <f t="shared" si="108"/>
        <v>0</v>
      </c>
    </row>
    <row r="786" spans="2:19" x14ac:dyDescent="0.25">
      <c r="B786" s="1" t="s">
        <v>382</v>
      </c>
      <c r="C786" s="2" t="s">
        <v>506</v>
      </c>
      <c r="D786" s="2" t="s">
        <v>515</v>
      </c>
      <c r="E786" s="2" t="s">
        <v>516</v>
      </c>
      <c r="F786" s="3">
        <v>44897</v>
      </c>
      <c r="G786" s="4">
        <f t="shared" si="105"/>
        <v>12</v>
      </c>
      <c r="H786" s="4">
        <f t="shared" si="106"/>
        <v>2022</v>
      </c>
      <c r="I786" s="2" t="s">
        <v>4</v>
      </c>
      <c r="J786" s="2" t="s">
        <v>1392</v>
      </c>
      <c r="K786" s="2" t="s">
        <v>1085</v>
      </c>
      <c r="L786" s="2" t="s">
        <v>999</v>
      </c>
      <c r="M786" s="2" t="s">
        <v>1000</v>
      </c>
      <c r="N786" s="4" t="str">
        <f t="shared" si="107"/>
        <v>GAL</v>
      </c>
      <c r="O786" s="5">
        <v>30</v>
      </c>
      <c r="S786" s="32">
        <f t="shared" si="108"/>
        <v>0</v>
      </c>
    </row>
    <row r="787" spans="2:19" x14ac:dyDescent="0.25">
      <c r="B787" s="1" t="s">
        <v>382</v>
      </c>
      <c r="C787" s="2" t="s">
        <v>506</v>
      </c>
      <c r="D787" s="2" t="s">
        <v>515</v>
      </c>
      <c r="E787" s="2" t="s">
        <v>516</v>
      </c>
      <c r="F787" s="3">
        <v>44897</v>
      </c>
      <c r="G787" s="4">
        <f t="shared" si="105"/>
        <v>12</v>
      </c>
      <c r="H787" s="4">
        <f t="shared" si="106"/>
        <v>2022</v>
      </c>
      <c r="I787" s="2" t="s">
        <v>4</v>
      </c>
      <c r="J787" s="2" t="s">
        <v>1392</v>
      </c>
      <c r="K787" s="2" t="s">
        <v>244</v>
      </c>
      <c r="L787" s="2" t="s">
        <v>182</v>
      </c>
      <c r="M787" s="2" t="s">
        <v>183</v>
      </c>
      <c r="N787" s="4" t="str">
        <f t="shared" si="107"/>
        <v>GAL</v>
      </c>
      <c r="O787" s="5">
        <v>180</v>
      </c>
      <c r="S787" s="32">
        <f t="shared" si="108"/>
        <v>0</v>
      </c>
    </row>
    <row r="788" spans="2:19" x14ac:dyDescent="0.25">
      <c r="B788" s="1" t="s">
        <v>382</v>
      </c>
      <c r="C788" s="2" t="s">
        <v>506</v>
      </c>
      <c r="D788" s="2" t="s">
        <v>515</v>
      </c>
      <c r="E788" s="2" t="s">
        <v>516</v>
      </c>
      <c r="F788" s="3">
        <v>44907</v>
      </c>
      <c r="G788" s="4">
        <f t="shared" si="105"/>
        <v>12</v>
      </c>
      <c r="H788" s="4">
        <f t="shared" si="106"/>
        <v>2022</v>
      </c>
      <c r="I788" s="2" t="s">
        <v>4</v>
      </c>
      <c r="J788" s="2" t="s">
        <v>1393</v>
      </c>
      <c r="K788" s="2" t="s">
        <v>149</v>
      </c>
      <c r="L788" s="2" t="s">
        <v>150</v>
      </c>
      <c r="M788" s="2" t="s">
        <v>21</v>
      </c>
      <c r="N788" s="4" t="str">
        <f t="shared" si="107"/>
        <v>GAL</v>
      </c>
      <c r="O788" s="5">
        <v>360</v>
      </c>
      <c r="S788" s="32">
        <f t="shared" si="108"/>
        <v>0</v>
      </c>
    </row>
    <row r="789" spans="2:19" x14ac:dyDescent="0.25">
      <c r="B789" s="1" t="s">
        <v>382</v>
      </c>
      <c r="C789" s="2" t="s">
        <v>506</v>
      </c>
      <c r="D789" s="2" t="s">
        <v>521</v>
      </c>
      <c r="E789" s="2" t="s">
        <v>522</v>
      </c>
      <c r="F789" s="3">
        <v>44909</v>
      </c>
      <c r="G789" s="4">
        <f t="shared" si="105"/>
        <v>12</v>
      </c>
      <c r="H789" s="4">
        <f t="shared" si="106"/>
        <v>2022</v>
      </c>
      <c r="I789" s="2" t="s">
        <v>4</v>
      </c>
      <c r="J789" s="2" t="s">
        <v>1394</v>
      </c>
      <c r="K789" s="2" t="s">
        <v>1395</v>
      </c>
      <c r="L789" s="2" t="s">
        <v>1396</v>
      </c>
      <c r="M789" s="2" t="s">
        <v>1397</v>
      </c>
      <c r="N789" s="4" t="str">
        <f t="shared" si="107"/>
        <v>GAL</v>
      </c>
      <c r="O789" s="5">
        <v>180</v>
      </c>
      <c r="S789" s="32">
        <f t="shared" si="108"/>
        <v>0</v>
      </c>
    </row>
    <row r="790" spans="2:19" x14ac:dyDescent="0.25">
      <c r="B790" s="1" t="s">
        <v>382</v>
      </c>
      <c r="C790" s="2" t="s">
        <v>506</v>
      </c>
      <c r="D790" s="2" t="s">
        <v>521</v>
      </c>
      <c r="E790" s="2" t="s">
        <v>522</v>
      </c>
      <c r="F790" s="3">
        <v>44909</v>
      </c>
      <c r="G790" s="4">
        <f t="shared" si="105"/>
        <v>12</v>
      </c>
      <c r="H790" s="4">
        <f t="shared" si="106"/>
        <v>2022</v>
      </c>
      <c r="I790" s="2" t="s">
        <v>4</v>
      </c>
      <c r="J790" s="2" t="s">
        <v>1394</v>
      </c>
      <c r="K790" s="2" t="s">
        <v>1266</v>
      </c>
      <c r="L790" s="2" t="s">
        <v>1267</v>
      </c>
      <c r="M790" s="2" t="s">
        <v>191</v>
      </c>
      <c r="N790" s="4" t="str">
        <f t="shared" si="107"/>
        <v>GAL</v>
      </c>
      <c r="O790" s="5">
        <v>180</v>
      </c>
      <c r="S790" s="32">
        <f t="shared" si="108"/>
        <v>0</v>
      </c>
    </row>
    <row r="791" spans="2:19" x14ac:dyDescent="0.25">
      <c r="B791" s="1" t="s">
        <v>382</v>
      </c>
      <c r="C791" s="2" t="s">
        <v>506</v>
      </c>
      <c r="D791" s="2" t="s">
        <v>507</v>
      </c>
      <c r="E791" s="2" t="s">
        <v>141</v>
      </c>
      <c r="F791" s="3">
        <v>44914</v>
      </c>
      <c r="G791" s="4">
        <f t="shared" si="105"/>
        <v>12</v>
      </c>
      <c r="H791" s="4">
        <f t="shared" si="106"/>
        <v>2022</v>
      </c>
      <c r="I791" s="2" t="s">
        <v>4</v>
      </c>
      <c r="J791" s="2" t="s">
        <v>1398</v>
      </c>
      <c r="K791" s="2" t="s">
        <v>609</v>
      </c>
      <c r="L791" s="2" t="s">
        <v>610</v>
      </c>
      <c r="M791" s="2" t="s">
        <v>611</v>
      </c>
      <c r="N791" s="4" t="str">
        <f t="shared" si="107"/>
        <v>GAL</v>
      </c>
      <c r="O791" s="5">
        <v>180</v>
      </c>
      <c r="S791" s="32">
        <f t="shared" si="108"/>
        <v>0</v>
      </c>
    </row>
    <row r="792" spans="2:19" x14ac:dyDescent="0.25">
      <c r="B792" s="1" t="s">
        <v>382</v>
      </c>
      <c r="C792" s="2" t="s">
        <v>506</v>
      </c>
      <c r="D792" s="2" t="s">
        <v>521</v>
      </c>
      <c r="E792" s="2" t="s">
        <v>522</v>
      </c>
      <c r="F792" s="3">
        <v>44925</v>
      </c>
      <c r="G792" s="4">
        <f t="shared" si="105"/>
        <v>12</v>
      </c>
      <c r="H792" s="4">
        <f t="shared" si="106"/>
        <v>2022</v>
      </c>
      <c r="I792" s="2" t="s">
        <v>4</v>
      </c>
      <c r="J792" s="2" t="s">
        <v>1399</v>
      </c>
      <c r="K792" s="2" t="s">
        <v>1400</v>
      </c>
      <c r="L792" s="2" t="s">
        <v>1396</v>
      </c>
      <c r="M792" s="2" t="s">
        <v>1397</v>
      </c>
      <c r="N792" s="4" t="str">
        <f t="shared" si="107"/>
        <v>GAL</v>
      </c>
      <c r="O792" s="5">
        <v>500</v>
      </c>
      <c r="S792" s="32">
        <f t="shared" si="108"/>
        <v>0</v>
      </c>
    </row>
    <row r="793" spans="2:19" x14ac:dyDescent="0.25">
      <c r="B793" s="1" t="s">
        <v>382</v>
      </c>
      <c r="C793" s="2" t="s">
        <v>506</v>
      </c>
      <c r="D793" s="2" t="s">
        <v>521</v>
      </c>
      <c r="E793" s="2" t="s">
        <v>522</v>
      </c>
      <c r="F793" s="3">
        <v>44925</v>
      </c>
      <c r="G793" s="4">
        <f t="shared" si="105"/>
        <v>12</v>
      </c>
      <c r="H793" s="4">
        <f t="shared" si="106"/>
        <v>2022</v>
      </c>
      <c r="I793" s="2" t="s">
        <v>4</v>
      </c>
      <c r="J793" s="2" t="s">
        <v>1399</v>
      </c>
      <c r="K793" s="2" t="s">
        <v>244</v>
      </c>
      <c r="L793" s="2" t="s">
        <v>182</v>
      </c>
      <c r="M793" s="2" t="s">
        <v>183</v>
      </c>
      <c r="N793" s="4" t="str">
        <f t="shared" si="107"/>
        <v>GAL</v>
      </c>
      <c r="O793" s="5">
        <v>180</v>
      </c>
      <c r="S793" s="32">
        <f t="shared" si="108"/>
        <v>0</v>
      </c>
    </row>
    <row r="794" spans="2:19" x14ac:dyDescent="0.25">
      <c r="B794" s="1" t="s">
        <v>495</v>
      </c>
      <c r="C794" s="2" t="s">
        <v>1025</v>
      </c>
      <c r="D794" s="2" t="s">
        <v>1401</v>
      </c>
      <c r="E794" s="2" t="s">
        <v>1402</v>
      </c>
      <c r="F794" s="3">
        <v>44915</v>
      </c>
      <c r="G794" s="4">
        <f t="shared" si="105"/>
        <v>12</v>
      </c>
      <c r="H794" s="4">
        <f t="shared" si="106"/>
        <v>2022</v>
      </c>
      <c r="I794" s="2" t="s">
        <v>4</v>
      </c>
      <c r="J794" s="2" t="s">
        <v>1403</v>
      </c>
      <c r="K794" s="2" t="s">
        <v>642</v>
      </c>
      <c r="L794" s="2" t="s">
        <v>111</v>
      </c>
      <c r="M794" s="2" t="s">
        <v>112</v>
      </c>
      <c r="N794" s="4" t="str">
        <f t="shared" si="107"/>
        <v>GAL</v>
      </c>
      <c r="O794" s="5">
        <v>180</v>
      </c>
      <c r="S794" s="32">
        <f t="shared" si="108"/>
        <v>0</v>
      </c>
    </row>
    <row r="795" spans="2:19" x14ac:dyDescent="0.25">
      <c r="B795" s="1" t="s">
        <v>495</v>
      </c>
      <c r="C795" s="2" t="s">
        <v>1025</v>
      </c>
      <c r="D795" s="2" t="s">
        <v>1401</v>
      </c>
      <c r="E795" s="2" t="s">
        <v>1402</v>
      </c>
      <c r="F795" s="3">
        <v>44915</v>
      </c>
      <c r="G795" s="4">
        <f t="shared" si="105"/>
        <v>12</v>
      </c>
      <c r="H795" s="4">
        <f t="shared" si="106"/>
        <v>2022</v>
      </c>
      <c r="I795" s="2" t="s">
        <v>4</v>
      </c>
      <c r="J795" s="2" t="s">
        <v>1403</v>
      </c>
      <c r="K795" s="2" t="s">
        <v>1404</v>
      </c>
      <c r="L795" s="2" t="s">
        <v>1405</v>
      </c>
      <c r="M795" s="2" t="s">
        <v>1397</v>
      </c>
      <c r="N795" s="4" t="str">
        <f t="shared" si="107"/>
        <v>GAL</v>
      </c>
      <c r="O795" s="5">
        <v>240</v>
      </c>
      <c r="S795" s="32">
        <f t="shared" si="108"/>
        <v>0</v>
      </c>
    </row>
    <row r="796" spans="2:19" x14ac:dyDescent="0.25">
      <c r="B796" s="1" t="s">
        <v>524</v>
      </c>
      <c r="C796" s="2" t="s">
        <v>525</v>
      </c>
      <c r="D796" s="2" t="s">
        <v>646</v>
      </c>
      <c r="E796" s="2" t="s">
        <v>647</v>
      </c>
      <c r="F796" s="3">
        <v>44922</v>
      </c>
      <c r="G796" s="4">
        <f t="shared" si="105"/>
        <v>12</v>
      </c>
      <c r="H796" s="4">
        <f t="shared" si="106"/>
        <v>2022</v>
      </c>
      <c r="I796" s="2" t="s">
        <v>4</v>
      </c>
      <c r="J796" s="2" t="s">
        <v>1406</v>
      </c>
      <c r="K796" s="2" t="s">
        <v>158</v>
      </c>
      <c r="L796" s="2" t="s">
        <v>159</v>
      </c>
      <c r="M796" s="2" t="s">
        <v>160</v>
      </c>
      <c r="N796" s="4" t="str">
        <f t="shared" si="107"/>
        <v>GAL</v>
      </c>
      <c r="O796" s="5">
        <v>360</v>
      </c>
      <c r="S796" s="32">
        <f t="shared" si="108"/>
        <v>0</v>
      </c>
    </row>
    <row r="797" spans="2:19" x14ac:dyDescent="0.25">
      <c r="B797" s="1" t="s">
        <v>524</v>
      </c>
      <c r="C797" s="2" t="s">
        <v>525</v>
      </c>
      <c r="D797" s="2" t="s">
        <v>628</v>
      </c>
      <c r="E797" s="2" t="s">
        <v>1036</v>
      </c>
      <c r="F797" s="3">
        <v>44900</v>
      </c>
      <c r="G797" s="4">
        <f t="shared" si="105"/>
        <v>12</v>
      </c>
      <c r="H797" s="4">
        <f t="shared" si="106"/>
        <v>2022</v>
      </c>
      <c r="I797" s="2" t="s">
        <v>4</v>
      </c>
      <c r="J797" s="2" t="s">
        <v>1407</v>
      </c>
      <c r="K797" s="2" t="s">
        <v>158</v>
      </c>
      <c r="L797" s="2" t="s">
        <v>159</v>
      </c>
      <c r="M797" s="2" t="s">
        <v>160</v>
      </c>
      <c r="N797" s="4" t="str">
        <f t="shared" si="107"/>
        <v>GAL</v>
      </c>
      <c r="O797" s="5">
        <v>180</v>
      </c>
      <c r="S797" s="32">
        <f t="shared" si="108"/>
        <v>0</v>
      </c>
    </row>
    <row r="798" spans="2:19" x14ac:dyDescent="0.25">
      <c r="B798" s="1" t="s">
        <v>524</v>
      </c>
      <c r="C798" s="2" t="s">
        <v>525</v>
      </c>
      <c r="D798" s="2" t="s">
        <v>628</v>
      </c>
      <c r="E798" s="2" t="s">
        <v>1408</v>
      </c>
      <c r="F798" s="3">
        <v>44907</v>
      </c>
      <c r="G798" s="4">
        <f t="shared" si="105"/>
        <v>12</v>
      </c>
      <c r="H798" s="4">
        <f t="shared" si="106"/>
        <v>2022</v>
      </c>
      <c r="I798" s="2" t="s">
        <v>4</v>
      </c>
      <c r="J798" s="2" t="s">
        <v>1409</v>
      </c>
      <c r="K798" s="2" t="s">
        <v>189</v>
      </c>
      <c r="L798" s="2" t="s">
        <v>190</v>
      </c>
      <c r="M798" s="2" t="s">
        <v>191</v>
      </c>
      <c r="N798" s="4" t="str">
        <f t="shared" si="107"/>
        <v>GAL</v>
      </c>
      <c r="O798" s="5">
        <v>180</v>
      </c>
      <c r="S798" s="32">
        <f t="shared" si="108"/>
        <v>0</v>
      </c>
    </row>
    <row r="799" spans="2:19" x14ac:dyDescent="0.25">
      <c r="B799" s="1" t="s">
        <v>1410</v>
      </c>
      <c r="C799" s="2" t="s">
        <v>525</v>
      </c>
      <c r="D799" s="2" t="s">
        <v>124</v>
      </c>
      <c r="E799" s="2" t="s">
        <v>526</v>
      </c>
      <c r="F799" s="3">
        <v>44908</v>
      </c>
      <c r="G799" s="4">
        <f t="shared" si="105"/>
        <v>12</v>
      </c>
      <c r="H799" s="4">
        <f t="shared" si="106"/>
        <v>2022</v>
      </c>
      <c r="I799" s="2" t="s">
        <v>4</v>
      </c>
      <c r="J799" s="2" t="s">
        <v>1411</v>
      </c>
      <c r="K799" s="2" t="s">
        <v>531</v>
      </c>
      <c r="L799" s="2" t="s">
        <v>201</v>
      </c>
      <c r="M799" s="2" t="s">
        <v>202</v>
      </c>
      <c r="N799" s="4" t="str">
        <f t="shared" si="107"/>
        <v>GAL</v>
      </c>
      <c r="O799" s="5">
        <v>30</v>
      </c>
      <c r="S799" s="32">
        <f t="shared" si="108"/>
        <v>0</v>
      </c>
    </row>
    <row r="800" spans="2:19" x14ac:dyDescent="0.25">
      <c r="B800" s="1" t="s">
        <v>524</v>
      </c>
      <c r="C800" s="2" t="s">
        <v>525</v>
      </c>
      <c r="D800" s="2" t="s">
        <v>124</v>
      </c>
      <c r="E800" s="2" t="s">
        <v>526</v>
      </c>
      <c r="F800" s="3">
        <v>44924</v>
      </c>
      <c r="G800" s="4">
        <f t="shared" si="105"/>
        <v>12</v>
      </c>
      <c r="H800" s="4">
        <f t="shared" si="106"/>
        <v>2022</v>
      </c>
      <c r="I800" s="2" t="s">
        <v>4</v>
      </c>
      <c r="J800" s="2" t="s">
        <v>1412</v>
      </c>
      <c r="K800" s="2" t="s">
        <v>531</v>
      </c>
      <c r="L800" s="2" t="s">
        <v>201</v>
      </c>
      <c r="M800" s="2" t="s">
        <v>202</v>
      </c>
      <c r="N800" s="4" t="str">
        <f t="shared" si="107"/>
        <v>GAL</v>
      </c>
      <c r="O800" s="5">
        <v>60</v>
      </c>
      <c r="S800" s="32">
        <f t="shared" si="108"/>
        <v>0</v>
      </c>
    </row>
    <row r="801" spans="2:19" x14ac:dyDescent="0.25">
      <c r="B801" s="1" t="s">
        <v>1050</v>
      </c>
      <c r="C801" s="2" t="s">
        <v>533</v>
      </c>
      <c r="D801" s="2" t="s">
        <v>557</v>
      </c>
      <c r="E801" s="2" t="s">
        <v>1413</v>
      </c>
      <c r="F801" s="3">
        <v>44896</v>
      </c>
      <c r="G801" s="4">
        <f t="shared" si="105"/>
        <v>12</v>
      </c>
      <c r="H801" s="4">
        <f t="shared" si="106"/>
        <v>2022</v>
      </c>
      <c r="I801" s="2" t="s">
        <v>4</v>
      </c>
      <c r="J801" s="2" t="s">
        <v>1414</v>
      </c>
      <c r="K801" s="2" t="s">
        <v>1056</v>
      </c>
      <c r="L801" s="2" t="s">
        <v>1057</v>
      </c>
      <c r="M801" s="2" t="s">
        <v>1058</v>
      </c>
      <c r="N801" s="4" t="str">
        <f t="shared" si="107"/>
        <v>GAL</v>
      </c>
      <c r="O801" s="5">
        <v>3710</v>
      </c>
      <c r="S801" s="32">
        <f t="shared" si="108"/>
        <v>0</v>
      </c>
    </row>
    <row r="802" spans="2:19" x14ac:dyDescent="0.25">
      <c r="B802" s="1" t="s">
        <v>532</v>
      </c>
      <c r="C802" s="2" t="s">
        <v>533</v>
      </c>
      <c r="D802" s="2" t="s">
        <v>557</v>
      </c>
      <c r="E802" s="2" t="s">
        <v>1090</v>
      </c>
      <c r="F802" s="3">
        <v>44897</v>
      </c>
      <c r="G802" s="4">
        <f t="shared" si="105"/>
        <v>12</v>
      </c>
      <c r="H802" s="4">
        <f t="shared" si="106"/>
        <v>2022</v>
      </c>
      <c r="I802" s="2" t="s">
        <v>4</v>
      </c>
      <c r="J802" s="2" t="s">
        <v>1415</v>
      </c>
      <c r="K802" s="2" t="s">
        <v>569</v>
      </c>
      <c r="L802" s="2" t="s">
        <v>570</v>
      </c>
      <c r="M802" s="2" t="s">
        <v>106</v>
      </c>
      <c r="N802" s="4" t="str">
        <f t="shared" si="107"/>
        <v>LBS</v>
      </c>
      <c r="O802" s="5">
        <v>3000</v>
      </c>
      <c r="S802" s="32">
        <f t="shared" si="108"/>
        <v>0</v>
      </c>
    </row>
    <row r="803" spans="2:19" x14ac:dyDescent="0.25">
      <c r="B803" s="1" t="s">
        <v>1050</v>
      </c>
      <c r="C803" s="2" t="s">
        <v>533</v>
      </c>
      <c r="D803" s="2" t="s">
        <v>557</v>
      </c>
      <c r="E803" s="2" t="s">
        <v>1416</v>
      </c>
      <c r="F803" s="3">
        <v>44897</v>
      </c>
      <c r="G803" s="4">
        <f t="shared" si="105"/>
        <v>12</v>
      </c>
      <c r="H803" s="4">
        <f t="shared" si="106"/>
        <v>2022</v>
      </c>
      <c r="I803" s="2" t="s">
        <v>4</v>
      </c>
      <c r="J803" s="2" t="s">
        <v>1417</v>
      </c>
      <c r="K803" s="2" t="s">
        <v>1056</v>
      </c>
      <c r="L803" s="2" t="s">
        <v>1057</v>
      </c>
      <c r="M803" s="2" t="s">
        <v>1058</v>
      </c>
      <c r="N803" s="4" t="str">
        <f t="shared" si="107"/>
        <v>GAL</v>
      </c>
      <c r="O803" s="5">
        <v>3710</v>
      </c>
      <c r="S803" s="32">
        <f t="shared" si="108"/>
        <v>0</v>
      </c>
    </row>
    <row r="804" spans="2:19" x14ac:dyDescent="0.25">
      <c r="B804" s="1" t="s">
        <v>1050</v>
      </c>
      <c r="C804" s="2" t="s">
        <v>533</v>
      </c>
      <c r="D804" s="2" t="s">
        <v>557</v>
      </c>
      <c r="E804" s="2" t="s">
        <v>1054</v>
      </c>
      <c r="F804" s="3">
        <v>44897</v>
      </c>
      <c r="G804" s="4">
        <f t="shared" si="105"/>
        <v>12</v>
      </c>
      <c r="H804" s="4">
        <f t="shared" si="106"/>
        <v>2022</v>
      </c>
      <c r="I804" s="2" t="s">
        <v>4</v>
      </c>
      <c r="J804" s="2" t="s">
        <v>1418</v>
      </c>
      <c r="K804" s="2" t="s">
        <v>1056</v>
      </c>
      <c r="L804" s="2" t="s">
        <v>1057</v>
      </c>
      <c r="M804" s="2" t="s">
        <v>1058</v>
      </c>
      <c r="N804" s="4" t="str">
        <f t="shared" si="107"/>
        <v>GAL</v>
      </c>
      <c r="O804" s="5">
        <v>3710</v>
      </c>
      <c r="S804" s="32">
        <f t="shared" si="108"/>
        <v>0</v>
      </c>
    </row>
    <row r="805" spans="2:19" x14ac:dyDescent="0.25">
      <c r="B805" s="1" t="s">
        <v>1050</v>
      </c>
      <c r="C805" s="2" t="s">
        <v>533</v>
      </c>
      <c r="D805" s="2" t="s">
        <v>557</v>
      </c>
      <c r="E805" s="2" t="s">
        <v>1419</v>
      </c>
      <c r="F805" s="3">
        <v>44901</v>
      </c>
      <c r="G805" s="4">
        <f t="shared" si="105"/>
        <v>12</v>
      </c>
      <c r="H805" s="4">
        <f t="shared" si="106"/>
        <v>2022</v>
      </c>
      <c r="I805" s="2" t="s">
        <v>4</v>
      </c>
      <c r="J805" s="2" t="s">
        <v>1420</v>
      </c>
      <c r="K805" s="2" t="s">
        <v>1056</v>
      </c>
      <c r="L805" s="2" t="s">
        <v>1057</v>
      </c>
      <c r="M805" s="2" t="s">
        <v>1058</v>
      </c>
      <c r="N805" s="4" t="str">
        <f t="shared" si="107"/>
        <v>GAL</v>
      </c>
      <c r="O805" s="5">
        <v>3710</v>
      </c>
      <c r="S805" s="32">
        <f t="shared" si="108"/>
        <v>0</v>
      </c>
    </row>
    <row r="806" spans="2:19" x14ac:dyDescent="0.25">
      <c r="B806" s="1" t="s">
        <v>532</v>
      </c>
      <c r="C806" s="2" t="s">
        <v>533</v>
      </c>
      <c r="D806" s="2" t="s">
        <v>557</v>
      </c>
      <c r="E806" s="2" t="s">
        <v>1421</v>
      </c>
      <c r="F806" s="3">
        <v>44904</v>
      </c>
      <c r="G806" s="4">
        <f t="shared" si="105"/>
        <v>12</v>
      </c>
      <c r="H806" s="4">
        <f t="shared" si="106"/>
        <v>2022</v>
      </c>
      <c r="I806" s="2" t="s">
        <v>4</v>
      </c>
      <c r="J806" s="2" t="s">
        <v>1422</v>
      </c>
      <c r="K806" s="2" t="s">
        <v>1056</v>
      </c>
      <c r="L806" s="2" t="s">
        <v>1057</v>
      </c>
      <c r="M806" s="2" t="s">
        <v>1058</v>
      </c>
      <c r="N806" s="4" t="str">
        <f t="shared" si="107"/>
        <v>GAL</v>
      </c>
      <c r="O806" s="5">
        <v>3710</v>
      </c>
      <c r="S806" s="32">
        <f t="shared" si="108"/>
        <v>0</v>
      </c>
    </row>
    <row r="807" spans="2:19" x14ac:dyDescent="0.25">
      <c r="B807" s="1" t="s">
        <v>1050</v>
      </c>
      <c r="C807" s="2" t="s">
        <v>533</v>
      </c>
      <c r="D807" s="2" t="s">
        <v>557</v>
      </c>
      <c r="E807" s="2" t="s">
        <v>1419</v>
      </c>
      <c r="F807" s="3">
        <v>44907</v>
      </c>
      <c r="G807" s="4">
        <f t="shared" si="105"/>
        <v>12</v>
      </c>
      <c r="H807" s="4">
        <f t="shared" si="106"/>
        <v>2022</v>
      </c>
      <c r="I807" s="2" t="s">
        <v>4</v>
      </c>
      <c r="J807" s="2" t="s">
        <v>1423</v>
      </c>
      <c r="K807" s="2" t="s">
        <v>1424</v>
      </c>
      <c r="L807" s="2" t="s">
        <v>1057</v>
      </c>
      <c r="M807" s="2" t="s">
        <v>1058</v>
      </c>
      <c r="N807" s="4" t="str">
        <f t="shared" si="107"/>
        <v>GAL</v>
      </c>
      <c r="O807" s="5">
        <v>3710</v>
      </c>
      <c r="S807" s="32">
        <f t="shared" si="108"/>
        <v>0</v>
      </c>
    </row>
    <row r="808" spans="2:19" x14ac:dyDescent="0.25">
      <c r="B808" s="1" t="s">
        <v>532</v>
      </c>
      <c r="C808" s="2" t="s">
        <v>533</v>
      </c>
      <c r="D808" s="2" t="s">
        <v>557</v>
      </c>
      <c r="E808" s="2" t="s">
        <v>567</v>
      </c>
      <c r="F808" s="3">
        <v>44907</v>
      </c>
      <c r="G808" s="4">
        <f t="shared" si="105"/>
        <v>12</v>
      </c>
      <c r="H808" s="4">
        <f t="shared" si="106"/>
        <v>2022</v>
      </c>
      <c r="I808" s="2" t="s">
        <v>4</v>
      </c>
      <c r="J808" s="2" t="s">
        <v>1425</v>
      </c>
      <c r="K808" s="2" t="s">
        <v>569</v>
      </c>
      <c r="L808" s="2" t="s">
        <v>570</v>
      </c>
      <c r="M808" s="2" t="s">
        <v>106</v>
      </c>
      <c r="N808" s="4" t="str">
        <f t="shared" si="107"/>
        <v>LBS</v>
      </c>
      <c r="O808" s="5">
        <v>3000</v>
      </c>
      <c r="S808" s="32">
        <f t="shared" si="108"/>
        <v>0</v>
      </c>
    </row>
    <row r="809" spans="2:19" x14ac:dyDescent="0.25">
      <c r="B809" s="1" t="s">
        <v>1050</v>
      </c>
      <c r="C809" s="2" t="s">
        <v>533</v>
      </c>
      <c r="D809" s="2" t="s">
        <v>557</v>
      </c>
      <c r="E809" s="2" t="s">
        <v>1054</v>
      </c>
      <c r="F809" s="3">
        <v>44911</v>
      </c>
      <c r="G809" s="4">
        <f t="shared" si="105"/>
        <v>12</v>
      </c>
      <c r="H809" s="4">
        <f t="shared" si="106"/>
        <v>2022</v>
      </c>
      <c r="I809" s="2" t="s">
        <v>4</v>
      </c>
      <c r="J809" s="2" t="s">
        <v>1426</v>
      </c>
      <c r="K809" s="2" t="s">
        <v>1056</v>
      </c>
      <c r="L809" s="2" t="s">
        <v>1057</v>
      </c>
      <c r="M809" s="2" t="s">
        <v>1058</v>
      </c>
      <c r="N809" s="4" t="str">
        <f t="shared" si="107"/>
        <v>GAL</v>
      </c>
      <c r="O809" s="5">
        <v>3710</v>
      </c>
      <c r="S809" s="32">
        <f t="shared" si="108"/>
        <v>0</v>
      </c>
    </row>
    <row r="810" spans="2:19" x14ac:dyDescent="0.25">
      <c r="B810" s="1" t="s">
        <v>1050</v>
      </c>
      <c r="C810" s="2" t="s">
        <v>533</v>
      </c>
      <c r="D810" s="2" t="s">
        <v>557</v>
      </c>
      <c r="E810" s="2" t="s">
        <v>1427</v>
      </c>
      <c r="F810" s="3">
        <v>44911</v>
      </c>
      <c r="G810" s="4">
        <f t="shared" si="105"/>
        <v>12</v>
      </c>
      <c r="H810" s="4">
        <f t="shared" si="106"/>
        <v>2022</v>
      </c>
      <c r="I810" s="2" t="s">
        <v>4</v>
      </c>
      <c r="J810" s="2" t="s">
        <v>1428</v>
      </c>
      <c r="K810" s="2" t="s">
        <v>1056</v>
      </c>
      <c r="L810" s="2" t="s">
        <v>1057</v>
      </c>
      <c r="M810" s="2" t="s">
        <v>1058</v>
      </c>
      <c r="N810" s="4" t="str">
        <f t="shared" si="107"/>
        <v>GAL</v>
      </c>
      <c r="O810" s="5">
        <v>3710</v>
      </c>
      <c r="S810" s="32">
        <f t="shared" si="108"/>
        <v>0</v>
      </c>
    </row>
    <row r="811" spans="2:19" x14ac:dyDescent="0.25">
      <c r="B811" s="1" t="s">
        <v>1050</v>
      </c>
      <c r="C811" s="2" t="s">
        <v>533</v>
      </c>
      <c r="D811" s="2" t="s">
        <v>557</v>
      </c>
      <c r="E811" s="2" t="s">
        <v>1416</v>
      </c>
      <c r="F811" s="3">
        <v>44918</v>
      </c>
      <c r="G811" s="4">
        <f t="shared" si="105"/>
        <v>12</v>
      </c>
      <c r="H811" s="4">
        <f t="shared" si="106"/>
        <v>2022</v>
      </c>
      <c r="I811" s="2" t="s">
        <v>4</v>
      </c>
      <c r="J811" s="2" t="s">
        <v>1429</v>
      </c>
      <c r="K811" s="2" t="s">
        <v>1056</v>
      </c>
      <c r="L811" s="2" t="s">
        <v>1057</v>
      </c>
      <c r="M811" s="2" t="s">
        <v>1058</v>
      </c>
      <c r="N811" s="4" t="str">
        <f t="shared" si="107"/>
        <v>GAL</v>
      </c>
      <c r="O811" s="5">
        <v>3710</v>
      </c>
      <c r="S811" s="32">
        <f t="shared" si="108"/>
        <v>0</v>
      </c>
    </row>
    <row r="812" spans="2:19" x14ac:dyDescent="0.25">
      <c r="B812" s="1" t="s">
        <v>0</v>
      </c>
      <c r="C812" s="2" t="s">
        <v>1</v>
      </c>
      <c r="D812" s="2" t="s">
        <v>55</v>
      </c>
      <c r="E812" s="2" t="s">
        <v>56</v>
      </c>
      <c r="F812" s="3">
        <v>44939</v>
      </c>
      <c r="G812" s="4">
        <f t="shared" si="105"/>
        <v>1</v>
      </c>
      <c r="H812" s="4">
        <f t="shared" si="106"/>
        <v>2023</v>
      </c>
      <c r="I812" s="2" t="s">
        <v>4</v>
      </c>
      <c r="J812" s="2" t="s">
        <v>1430</v>
      </c>
      <c r="K812" s="2" t="s">
        <v>39</v>
      </c>
      <c r="L812" s="2" t="s">
        <v>1431</v>
      </c>
      <c r="M812" s="2" t="s">
        <v>41</v>
      </c>
      <c r="N812" s="4" t="str">
        <f t="shared" si="107"/>
        <v>GAL</v>
      </c>
      <c r="O812" s="5">
        <v>55</v>
      </c>
      <c r="S812" s="32">
        <f t="shared" si="108"/>
        <v>0</v>
      </c>
    </row>
    <row r="813" spans="2:19" x14ac:dyDescent="0.25">
      <c r="B813" s="1" t="s">
        <v>0</v>
      </c>
      <c r="C813" s="2" t="s">
        <v>1</v>
      </c>
      <c r="D813" s="2" t="s">
        <v>2</v>
      </c>
      <c r="E813" s="2" t="s">
        <v>1432</v>
      </c>
      <c r="F813" s="3">
        <v>44949</v>
      </c>
      <c r="G813" s="4">
        <f t="shared" si="105"/>
        <v>1</v>
      </c>
      <c r="H813" s="4">
        <f t="shared" si="106"/>
        <v>2023</v>
      </c>
      <c r="I813" s="2" t="s">
        <v>4</v>
      </c>
      <c r="J813" s="2" t="s">
        <v>1433</v>
      </c>
      <c r="K813" s="2" t="s">
        <v>11</v>
      </c>
      <c r="L813" s="2" t="s">
        <v>12</v>
      </c>
      <c r="M813" s="2" t="s">
        <v>13</v>
      </c>
      <c r="N813" s="4" t="str">
        <f t="shared" si="107"/>
        <v>GAL</v>
      </c>
      <c r="O813" s="5">
        <v>55</v>
      </c>
      <c r="S813" s="32">
        <f t="shared" si="108"/>
        <v>0</v>
      </c>
    </row>
    <row r="814" spans="2:19" x14ac:dyDescent="0.25">
      <c r="B814" s="1" t="s">
        <v>0</v>
      </c>
      <c r="C814" s="2" t="s">
        <v>1</v>
      </c>
      <c r="D814" s="2" t="s">
        <v>2</v>
      </c>
      <c r="E814" s="2" t="s">
        <v>78</v>
      </c>
      <c r="F814" s="3">
        <v>44953</v>
      </c>
      <c r="G814" s="4">
        <f t="shared" si="105"/>
        <v>1</v>
      </c>
      <c r="H814" s="4">
        <f t="shared" si="106"/>
        <v>2023</v>
      </c>
      <c r="I814" s="2" t="s">
        <v>4</v>
      </c>
      <c r="J814" s="2" t="s">
        <v>1434</v>
      </c>
      <c r="K814" s="2" t="s">
        <v>19</v>
      </c>
      <c r="L814" s="2" t="s">
        <v>20</v>
      </c>
      <c r="M814" s="2" t="s">
        <v>21</v>
      </c>
      <c r="N814" s="4" t="str">
        <f t="shared" si="107"/>
        <v>GAL</v>
      </c>
      <c r="O814" s="5">
        <v>120</v>
      </c>
      <c r="S814" s="32">
        <f t="shared" si="108"/>
        <v>0</v>
      </c>
    </row>
    <row r="815" spans="2:19" x14ac:dyDescent="0.25">
      <c r="B815" s="1" t="s">
        <v>0</v>
      </c>
      <c r="C815" s="2" t="s">
        <v>1</v>
      </c>
      <c r="D815" s="2" t="s">
        <v>2</v>
      </c>
      <c r="E815" s="2" t="s">
        <v>78</v>
      </c>
      <c r="F815" s="3">
        <v>44953</v>
      </c>
      <c r="G815" s="4">
        <f t="shared" si="105"/>
        <v>1</v>
      </c>
      <c r="H815" s="4">
        <f t="shared" si="106"/>
        <v>2023</v>
      </c>
      <c r="I815" s="2" t="s">
        <v>4</v>
      </c>
      <c r="J815" s="2" t="s">
        <v>1434</v>
      </c>
      <c r="K815" s="2" t="s">
        <v>83</v>
      </c>
      <c r="L815" s="2" t="s">
        <v>84</v>
      </c>
      <c r="M815" s="2" t="s">
        <v>85</v>
      </c>
      <c r="N815" s="4" t="str">
        <f t="shared" si="107"/>
        <v>GAL</v>
      </c>
      <c r="O815" s="5">
        <v>120</v>
      </c>
      <c r="S815" s="32">
        <f t="shared" si="108"/>
        <v>0</v>
      </c>
    </row>
    <row r="816" spans="2:19" x14ac:dyDescent="0.25">
      <c r="B816" s="1" t="s">
        <v>0</v>
      </c>
      <c r="C816" s="2" t="s">
        <v>1</v>
      </c>
      <c r="D816" s="2" t="s">
        <v>2</v>
      </c>
      <c r="E816" s="2" t="s">
        <v>78</v>
      </c>
      <c r="F816" s="3">
        <v>44953</v>
      </c>
      <c r="G816" s="4">
        <f t="shared" si="105"/>
        <v>1</v>
      </c>
      <c r="H816" s="4">
        <f t="shared" si="106"/>
        <v>2023</v>
      </c>
      <c r="I816" s="2" t="s">
        <v>4</v>
      </c>
      <c r="J816" s="2" t="s">
        <v>1434</v>
      </c>
      <c r="K816" s="2" t="s">
        <v>50</v>
      </c>
      <c r="L816" s="2" t="s">
        <v>51</v>
      </c>
      <c r="M816" s="2" t="s">
        <v>52</v>
      </c>
      <c r="N816" s="4" t="str">
        <f t="shared" si="107"/>
        <v>GAL</v>
      </c>
      <c r="O816" s="5">
        <v>60</v>
      </c>
      <c r="S816" s="32">
        <f t="shared" si="108"/>
        <v>0</v>
      </c>
    </row>
    <row r="817" spans="2:19" x14ac:dyDescent="0.25">
      <c r="B817" s="1" t="s">
        <v>0</v>
      </c>
      <c r="C817" s="2" t="s">
        <v>1</v>
      </c>
      <c r="D817" s="2" t="s">
        <v>2</v>
      </c>
      <c r="E817" s="2" t="s">
        <v>78</v>
      </c>
      <c r="F817" s="3">
        <v>44953</v>
      </c>
      <c r="G817" s="4">
        <f t="shared" si="105"/>
        <v>1</v>
      </c>
      <c r="H817" s="4">
        <f t="shared" si="106"/>
        <v>2023</v>
      </c>
      <c r="I817" s="2" t="s">
        <v>4</v>
      </c>
      <c r="J817" s="2" t="s">
        <v>1434</v>
      </c>
      <c r="K817" s="2" t="s">
        <v>28</v>
      </c>
      <c r="L817" s="2" t="s">
        <v>29</v>
      </c>
      <c r="M817" s="2" t="s">
        <v>30</v>
      </c>
      <c r="N817" s="4" t="str">
        <f t="shared" si="107"/>
        <v>GAL</v>
      </c>
      <c r="O817" s="5">
        <v>60</v>
      </c>
      <c r="S817" s="32">
        <f t="shared" si="108"/>
        <v>0</v>
      </c>
    </row>
    <row r="818" spans="2:19" x14ac:dyDescent="0.25">
      <c r="B818" s="1" t="s">
        <v>0</v>
      </c>
      <c r="C818" s="2" t="s">
        <v>1</v>
      </c>
      <c r="D818" s="2" t="s">
        <v>2</v>
      </c>
      <c r="E818" s="2" t="s">
        <v>78</v>
      </c>
      <c r="F818" s="3">
        <v>44953</v>
      </c>
      <c r="G818" s="4">
        <f t="shared" si="105"/>
        <v>1</v>
      </c>
      <c r="H818" s="4">
        <f t="shared" si="106"/>
        <v>2023</v>
      </c>
      <c r="I818" s="2" t="s">
        <v>4</v>
      </c>
      <c r="J818" s="2" t="s">
        <v>1434</v>
      </c>
      <c r="K818" s="2" t="s">
        <v>16</v>
      </c>
      <c r="L818" s="2" t="s">
        <v>7</v>
      </c>
      <c r="M818" s="2" t="s">
        <v>8</v>
      </c>
      <c r="N818" s="4" t="str">
        <f t="shared" si="107"/>
        <v>GAL</v>
      </c>
      <c r="O818" s="5">
        <v>240</v>
      </c>
      <c r="S818" s="32">
        <f t="shared" si="108"/>
        <v>0</v>
      </c>
    </row>
    <row r="819" spans="2:19" x14ac:dyDescent="0.25">
      <c r="B819" s="1" t="s">
        <v>0</v>
      </c>
      <c r="C819" s="2" t="s">
        <v>1</v>
      </c>
      <c r="D819" s="2" t="s">
        <v>2</v>
      </c>
      <c r="E819" s="2" t="s">
        <v>61</v>
      </c>
      <c r="F819" s="3">
        <v>44956</v>
      </c>
      <c r="G819" s="4">
        <f t="shared" si="105"/>
        <v>1</v>
      </c>
      <c r="H819" s="4">
        <f t="shared" si="106"/>
        <v>2023</v>
      </c>
      <c r="I819" s="2" t="s">
        <v>4</v>
      </c>
      <c r="J819" s="2" t="s">
        <v>1435</v>
      </c>
      <c r="K819" s="2" t="s">
        <v>19</v>
      </c>
      <c r="L819" s="2" t="s">
        <v>20</v>
      </c>
      <c r="M819" s="2" t="s">
        <v>21</v>
      </c>
      <c r="N819" s="4" t="str">
        <f t="shared" si="107"/>
        <v>GAL</v>
      </c>
      <c r="O819" s="5">
        <v>50</v>
      </c>
      <c r="S819" s="32">
        <f t="shared" si="108"/>
        <v>0</v>
      </c>
    </row>
    <row r="820" spans="2:19" x14ac:dyDescent="0.25">
      <c r="B820" s="1" t="s">
        <v>0</v>
      </c>
      <c r="C820" s="2" t="s">
        <v>1</v>
      </c>
      <c r="D820" s="2" t="s">
        <v>2</v>
      </c>
      <c r="E820" s="2" t="s">
        <v>61</v>
      </c>
      <c r="F820" s="3">
        <v>44956</v>
      </c>
      <c r="G820" s="4">
        <f t="shared" si="105"/>
        <v>1</v>
      </c>
      <c r="H820" s="4">
        <f t="shared" si="106"/>
        <v>2023</v>
      </c>
      <c r="I820" s="2" t="s">
        <v>4</v>
      </c>
      <c r="J820" s="2" t="s">
        <v>1435</v>
      </c>
      <c r="K820" s="2" t="s">
        <v>25</v>
      </c>
      <c r="L820" s="2" t="s">
        <v>26</v>
      </c>
      <c r="M820" s="2" t="s">
        <v>27</v>
      </c>
      <c r="N820" s="4" t="str">
        <f t="shared" si="107"/>
        <v>GAL</v>
      </c>
      <c r="O820" s="5">
        <v>100</v>
      </c>
      <c r="S820" s="32">
        <f t="shared" si="108"/>
        <v>0</v>
      </c>
    </row>
    <row r="821" spans="2:19" x14ac:dyDescent="0.25">
      <c r="B821" s="1" t="s">
        <v>0</v>
      </c>
      <c r="C821" s="2" t="s">
        <v>1</v>
      </c>
      <c r="D821" s="2" t="s">
        <v>2</v>
      </c>
      <c r="E821" s="2" t="s">
        <v>61</v>
      </c>
      <c r="F821" s="3">
        <v>44956</v>
      </c>
      <c r="G821" s="4">
        <f t="shared" si="105"/>
        <v>1</v>
      </c>
      <c r="H821" s="4">
        <f t="shared" si="106"/>
        <v>2023</v>
      </c>
      <c r="I821" s="2" t="s">
        <v>4</v>
      </c>
      <c r="J821" s="2" t="s">
        <v>1435</v>
      </c>
      <c r="K821" s="2" t="s">
        <v>28</v>
      </c>
      <c r="L821" s="2" t="s">
        <v>29</v>
      </c>
      <c r="M821" s="2" t="s">
        <v>30</v>
      </c>
      <c r="N821" s="4" t="str">
        <f t="shared" si="107"/>
        <v>GAL</v>
      </c>
      <c r="O821" s="5">
        <v>50</v>
      </c>
      <c r="S821" s="32">
        <f t="shared" si="108"/>
        <v>0</v>
      </c>
    </row>
    <row r="822" spans="2:19" x14ac:dyDescent="0.25">
      <c r="B822" s="1" t="s">
        <v>0</v>
      </c>
      <c r="C822" s="2" t="s">
        <v>1</v>
      </c>
      <c r="D822" s="2" t="s">
        <v>2</v>
      </c>
      <c r="E822" s="2" t="s">
        <v>61</v>
      </c>
      <c r="F822" s="3">
        <v>44956</v>
      </c>
      <c r="G822" s="4">
        <f t="shared" si="105"/>
        <v>1</v>
      </c>
      <c r="H822" s="4">
        <f t="shared" si="106"/>
        <v>2023</v>
      </c>
      <c r="I822" s="2" t="s">
        <v>4</v>
      </c>
      <c r="J822" s="2" t="s">
        <v>1435</v>
      </c>
      <c r="K822" s="2" t="s">
        <v>16</v>
      </c>
      <c r="L822" s="2" t="s">
        <v>7</v>
      </c>
      <c r="M822" s="2" t="s">
        <v>8</v>
      </c>
      <c r="N822" s="4" t="str">
        <f t="shared" si="107"/>
        <v>GAL</v>
      </c>
      <c r="O822" s="5">
        <v>100</v>
      </c>
      <c r="S822" s="32">
        <f t="shared" si="108"/>
        <v>0</v>
      </c>
    </row>
    <row r="823" spans="2:19" x14ac:dyDescent="0.25">
      <c r="B823" s="1" t="s">
        <v>0</v>
      </c>
      <c r="C823" s="2" t="s">
        <v>1</v>
      </c>
      <c r="D823" s="2" t="s">
        <v>2</v>
      </c>
      <c r="E823" s="2" t="s">
        <v>1436</v>
      </c>
      <c r="F823" s="3">
        <v>44956</v>
      </c>
      <c r="G823" s="4">
        <f t="shared" si="105"/>
        <v>1</v>
      </c>
      <c r="H823" s="4">
        <f t="shared" si="106"/>
        <v>2023</v>
      </c>
      <c r="I823" s="2" t="s">
        <v>4</v>
      </c>
      <c r="J823" s="2" t="s">
        <v>1437</v>
      </c>
      <c r="K823" s="2" t="s">
        <v>11</v>
      </c>
      <c r="L823" s="2" t="s">
        <v>12</v>
      </c>
      <c r="M823" s="2" t="s">
        <v>13</v>
      </c>
      <c r="N823" s="4" t="str">
        <f t="shared" si="107"/>
        <v>GAL</v>
      </c>
      <c r="O823" s="5">
        <v>110</v>
      </c>
      <c r="S823" s="32">
        <f t="shared" si="108"/>
        <v>0</v>
      </c>
    </row>
    <row r="824" spans="2:19" x14ac:dyDescent="0.25">
      <c r="B824" s="1" t="s">
        <v>0</v>
      </c>
      <c r="C824" s="2" t="s">
        <v>1</v>
      </c>
      <c r="D824" s="2" t="s">
        <v>2</v>
      </c>
      <c r="E824" s="2" t="s">
        <v>53</v>
      </c>
      <c r="F824" s="3">
        <v>44930</v>
      </c>
      <c r="G824" s="4">
        <f t="shared" si="105"/>
        <v>1</v>
      </c>
      <c r="H824" s="4">
        <f t="shared" si="106"/>
        <v>2023</v>
      </c>
      <c r="I824" s="2" t="s">
        <v>4</v>
      </c>
      <c r="J824" s="2" t="s">
        <v>1438</v>
      </c>
      <c r="K824" s="2" t="s">
        <v>11</v>
      </c>
      <c r="L824" s="2" t="s">
        <v>12</v>
      </c>
      <c r="M824" s="2" t="s">
        <v>13</v>
      </c>
      <c r="N824" s="4" t="str">
        <f t="shared" si="107"/>
        <v>GAL</v>
      </c>
      <c r="O824" s="5">
        <v>110</v>
      </c>
      <c r="S824" s="32">
        <f t="shared" si="108"/>
        <v>0</v>
      </c>
    </row>
    <row r="825" spans="2:19" x14ac:dyDescent="0.25">
      <c r="B825" s="1" t="s">
        <v>0</v>
      </c>
      <c r="C825" s="2" t="s">
        <v>1</v>
      </c>
      <c r="D825" s="2" t="s">
        <v>2</v>
      </c>
      <c r="E825" s="2" t="s">
        <v>42</v>
      </c>
      <c r="F825" s="3">
        <v>44930</v>
      </c>
      <c r="G825" s="4">
        <f t="shared" si="105"/>
        <v>1</v>
      </c>
      <c r="H825" s="4">
        <f t="shared" si="106"/>
        <v>2023</v>
      </c>
      <c r="I825" s="2" t="s">
        <v>4</v>
      </c>
      <c r="J825" s="2" t="s">
        <v>1439</v>
      </c>
      <c r="K825" s="2" t="s">
        <v>574</v>
      </c>
      <c r="L825" s="2" t="s">
        <v>66</v>
      </c>
      <c r="M825" s="2" t="s">
        <v>67</v>
      </c>
      <c r="N825" s="4" t="str">
        <f t="shared" si="107"/>
        <v>GAL</v>
      </c>
      <c r="O825" s="5">
        <v>120</v>
      </c>
      <c r="S825" s="32">
        <f t="shared" si="108"/>
        <v>0</v>
      </c>
    </row>
    <row r="826" spans="2:19" x14ac:dyDescent="0.25">
      <c r="B826" s="1" t="s">
        <v>0</v>
      </c>
      <c r="C826" s="2" t="s">
        <v>1</v>
      </c>
      <c r="D826" s="2" t="s">
        <v>2</v>
      </c>
      <c r="E826" s="2" t="s">
        <v>42</v>
      </c>
      <c r="F826" s="3">
        <v>44930</v>
      </c>
      <c r="G826" s="4">
        <f t="shared" si="105"/>
        <v>1</v>
      </c>
      <c r="H826" s="4">
        <f t="shared" si="106"/>
        <v>2023</v>
      </c>
      <c r="I826" s="2" t="s">
        <v>4</v>
      </c>
      <c r="J826" s="2" t="s">
        <v>1439</v>
      </c>
      <c r="K826" s="2" t="s">
        <v>19</v>
      </c>
      <c r="L826" s="2" t="s">
        <v>20</v>
      </c>
      <c r="M826" s="2" t="s">
        <v>21</v>
      </c>
      <c r="N826" s="4" t="str">
        <f t="shared" si="107"/>
        <v>GAL</v>
      </c>
      <c r="O826" s="5">
        <v>120</v>
      </c>
      <c r="S826" s="32">
        <f t="shared" si="108"/>
        <v>0</v>
      </c>
    </row>
    <row r="827" spans="2:19" x14ac:dyDescent="0.25">
      <c r="B827" s="1" t="s">
        <v>0</v>
      </c>
      <c r="C827" s="2" t="s">
        <v>1</v>
      </c>
      <c r="D827" s="2" t="s">
        <v>2</v>
      </c>
      <c r="E827" s="2" t="s">
        <v>42</v>
      </c>
      <c r="F827" s="3">
        <v>44930</v>
      </c>
      <c r="G827" s="4">
        <f t="shared" si="105"/>
        <v>1</v>
      </c>
      <c r="H827" s="4">
        <f t="shared" si="106"/>
        <v>2023</v>
      </c>
      <c r="I827" s="2" t="s">
        <v>4</v>
      </c>
      <c r="J827" s="2" t="s">
        <v>1439</v>
      </c>
      <c r="K827" s="2" t="s">
        <v>1069</v>
      </c>
      <c r="L827" s="2" t="s">
        <v>1070</v>
      </c>
      <c r="M827" s="2" t="s">
        <v>1071</v>
      </c>
      <c r="N827" s="4" t="str">
        <f t="shared" si="107"/>
        <v>GAL</v>
      </c>
      <c r="O827" s="5">
        <v>30</v>
      </c>
      <c r="S827" s="32">
        <f t="shared" si="108"/>
        <v>0</v>
      </c>
    </row>
    <row r="828" spans="2:19" x14ac:dyDescent="0.25">
      <c r="B828" s="1" t="s">
        <v>0</v>
      </c>
      <c r="C828" s="2" t="s">
        <v>1</v>
      </c>
      <c r="D828" s="2" t="s">
        <v>2</v>
      </c>
      <c r="E828" s="2" t="s">
        <v>42</v>
      </c>
      <c r="F828" s="3">
        <v>44930</v>
      </c>
      <c r="G828" s="4">
        <f t="shared" si="105"/>
        <v>1</v>
      </c>
      <c r="H828" s="4">
        <f t="shared" si="106"/>
        <v>2023</v>
      </c>
      <c r="I828" s="2" t="s">
        <v>4</v>
      </c>
      <c r="J828" s="2" t="s">
        <v>1439</v>
      </c>
      <c r="K828" s="2" t="s">
        <v>83</v>
      </c>
      <c r="L828" s="2" t="s">
        <v>84</v>
      </c>
      <c r="M828" s="2" t="s">
        <v>85</v>
      </c>
      <c r="N828" s="4" t="str">
        <f t="shared" si="107"/>
        <v>GAL</v>
      </c>
      <c r="O828" s="5">
        <v>120</v>
      </c>
      <c r="S828" s="32">
        <f t="shared" si="108"/>
        <v>0</v>
      </c>
    </row>
    <row r="829" spans="2:19" x14ac:dyDescent="0.25">
      <c r="B829" s="1" t="s">
        <v>0</v>
      </c>
      <c r="C829" s="2" t="s">
        <v>1</v>
      </c>
      <c r="D829" s="2" t="s">
        <v>2</v>
      </c>
      <c r="E829" s="2" t="s">
        <v>42</v>
      </c>
      <c r="F829" s="3">
        <v>44930</v>
      </c>
      <c r="G829" s="4">
        <f t="shared" si="105"/>
        <v>1</v>
      </c>
      <c r="H829" s="4">
        <f t="shared" si="106"/>
        <v>2023</v>
      </c>
      <c r="I829" s="2" t="s">
        <v>4</v>
      </c>
      <c r="J829" s="2" t="s">
        <v>1439</v>
      </c>
      <c r="K829" s="2" t="s">
        <v>28</v>
      </c>
      <c r="L829" s="2" t="s">
        <v>29</v>
      </c>
      <c r="M829" s="2" t="s">
        <v>30</v>
      </c>
      <c r="N829" s="4" t="str">
        <f t="shared" si="107"/>
        <v>GAL</v>
      </c>
      <c r="O829" s="5">
        <v>120</v>
      </c>
      <c r="S829" s="32">
        <f t="shared" si="108"/>
        <v>0</v>
      </c>
    </row>
    <row r="830" spans="2:19" x14ac:dyDescent="0.25">
      <c r="B830" s="1" t="s">
        <v>0</v>
      </c>
      <c r="C830" s="2" t="s">
        <v>1</v>
      </c>
      <c r="D830" s="2" t="s">
        <v>2</v>
      </c>
      <c r="E830" s="2" t="s">
        <v>42</v>
      </c>
      <c r="F830" s="3">
        <v>44930</v>
      </c>
      <c r="G830" s="4">
        <f t="shared" si="105"/>
        <v>1</v>
      </c>
      <c r="H830" s="4">
        <f t="shared" si="106"/>
        <v>2023</v>
      </c>
      <c r="I830" s="2" t="s">
        <v>4</v>
      </c>
      <c r="J830" s="2" t="s">
        <v>1439</v>
      </c>
      <c r="K830" s="2" t="s">
        <v>16</v>
      </c>
      <c r="L830" s="2" t="s">
        <v>7</v>
      </c>
      <c r="M830" s="2" t="s">
        <v>8</v>
      </c>
      <c r="N830" s="4" t="str">
        <f t="shared" si="107"/>
        <v>GAL</v>
      </c>
      <c r="O830" s="5">
        <v>120</v>
      </c>
      <c r="S830" s="32">
        <f t="shared" si="108"/>
        <v>0</v>
      </c>
    </row>
    <row r="831" spans="2:19" x14ac:dyDescent="0.25">
      <c r="B831" s="1" t="s">
        <v>88</v>
      </c>
      <c r="C831" s="2" t="s">
        <v>89</v>
      </c>
      <c r="D831" s="2" t="s">
        <v>604</v>
      </c>
      <c r="E831" s="2" t="s">
        <v>102</v>
      </c>
      <c r="F831" s="3">
        <v>44938</v>
      </c>
      <c r="G831" s="4">
        <f t="shared" si="105"/>
        <v>1</v>
      </c>
      <c r="H831" s="4">
        <f t="shared" si="106"/>
        <v>2023</v>
      </c>
      <c r="I831" s="2" t="s">
        <v>4</v>
      </c>
      <c r="J831" s="2" t="s">
        <v>1440</v>
      </c>
      <c r="K831" s="2" t="s">
        <v>606</v>
      </c>
      <c r="L831" s="2" t="s">
        <v>1063</v>
      </c>
      <c r="M831" s="2" t="s">
        <v>106</v>
      </c>
      <c r="N831" s="4" t="str">
        <f t="shared" si="107"/>
        <v>LBS</v>
      </c>
      <c r="O831" s="5">
        <v>10590</v>
      </c>
      <c r="S831" s="32">
        <f t="shared" si="108"/>
        <v>0</v>
      </c>
    </row>
    <row r="832" spans="2:19" x14ac:dyDescent="0.25">
      <c r="B832" s="1" t="s">
        <v>88</v>
      </c>
      <c r="C832" s="2" t="s">
        <v>89</v>
      </c>
      <c r="D832" s="2" t="s">
        <v>1103</v>
      </c>
      <c r="E832" s="2" t="s">
        <v>1104</v>
      </c>
      <c r="F832" s="3">
        <v>44939</v>
      </c>
      <c r="G832" s="4">
        <f t="shared" si="105"/>
        <v>1</v>
      </c>
      <c r="H832" s="4">
        <f t="shared" si="106"/>
        <v>2023</v>
      </c>
      <c r="I832" s="2" t="s">
        <v>4</v>
      </c>
      <c r="J832" s="2" t="s">
        <v>1441</v>
      </c>
      <c r="K832" s="2" t="s">
        <v>126</v>
      </c>
      <c r="L832" s="2" t="s">
        <v>127</v>
      </c>
      <c r="M832" s="2" t="s">
        <v>106</v>
      </c>
      <c r="N832" s="4" t="str">
        <f t="shared" si="107"/>
        <v>LBS</v>
      </c>
      <c r="O832" s="5">
        <v>15520</v>
      </c>
      <c r="S832" s="32">
        <f t="shared" si="108"/>
        <v>0</v>
      </c>
    </row>
    <row r="833" spans="2:19" x14ac:dyDescent="0.25">
      <c r="B833" s="1" t="s">
        <v>88</v>
      </c>
      <c r="C833" s="2" t="s">
        <v>89</v>
      </c>
      <c r="D833" s="2" t="s">
        <v>107</v>
      </c>
      <c r="E833" s="2" t="s">
        <v>108</v>
      </c>
      <c r="F833" s="3">
        <v>44942</v>
      </c>
      <c r="G833" s="4">
        <f t="shared" si="105"/>
        <v>1</v>
      </c>
      <c r="H833" s="4">
        <f t="shared" si="106"/>
        <v>2023</v>
      </c>
      <c r="I833" s="2" t="s">
        <v>4</v>
      </c>
      <c r="J833" s="2" t="s">
        <v>1442</v>
      </c>
      <c r="K833" s="2" t="s">
        <v>1078</v>
      </c>
      <c r="L833" s="2" t="s">
        <v>1079</v>
      </c>
      <c r="M833" s="2" t="s">
        <v>1080</v>
      </c>
      <c r="N833" s="4" t="str">
        <f t="shared" si="107"/>
        <v>GAL</v>
      </c>
      <c r="O833" s="5">
        <v>1310.9</v>
      </c>
      <c r="S833" s="32">
        <f t="shared" si="108"/>
        <v>0</v>
      </c>
    </row>
    <row r="834" spans="2:19" x14ac:dyDescent="0.25">
      <c r="B834" s="1" t="s">
        <v>88</v>
      </c>
      <c r="C834" s="2" t="s">
        <v>89</v>
      </c>
      <c r="D834" s="2" t="s">
        <v>151</v>
      </c>
      <c r="E834" s="2" t="s">
        <v>152</v>
      </c>
      <c r="F834" s="3">
        <v>44944</v>
      </c>
      <c r="G834" s="4">
        <f t="shared" si="105"/>
        <v>1</v>
      </c>
      <c r="H834" s="4">
        <f t="shared" si="106"/>
        <v>2023</v>
      </c>
      <c r="I834" s="2" t="s">
        <v>4</v>
      </c>
      <c r="J834" s="2" t="s">
        <v>1443</v>
      </c>
      <c r="K834" s="2" t="s">
        <v>104</v>
      </c>
      <c r="L834" s="2" t="s">
        <v>105</v>
      </c>
      <c r="M834" s="2" t="s">
        <v>106</v>
      </c>
      <c r="N834" s="4" t="str">
        <f t="shared" si="107"/>
        <v>LBS</v>
      </c>
      <c r="O834" s="5">
        <v>4000</v>
      </c>
      <c r="S834" s="32">
        <f t="shared" si="108"/>
        <v>0</v>
      </c>
    </row>
    <row r="835" spans="2:19" x14ac:dyDescent="0.25">
      <c r="B835" s="1" t="s">
        <v>88</v>
      </c>
      <c r="C835" s="2" t="s">
        <v>89</v>
      </c>
      <c r="D835" s="2" t="s">
        <v>1444</v>
      </c>
      <c r="E835" s="2" t="s">
        <v>102</v>
      </c>
      <c r="F835" s="3">
        <v>44944</v>
      </c>
      <c r="G835" s="4">
        <f t="shared" ref="G835:G898" si="109">+MONTH(F835)</f>
        <v>1</v>
      </c>
      <c r="H835" s="4">
        <f t="shared" ref="H835:H898" si="110">+YEAR(F835)</f>
        <v>2023</v>
      </c>
      <c r="I835" s="2" t="s">
        <v>4</v>
      </c>
      <c r="J835" s="2" t="s">
        <v>1445</v>
      </c>
      <c r="K835" s="2" t="s">
        <v>1446</v>
      </c>
      <c r="L835" s="2" t="s">
        <v>1447</v>
      </c>
      <c r="M835" s="2" t="s">
        <v>1448</v>
      </c>
      <c r="N835" s="4" t="str">
        <f t="shared" ref="N835:N898" si="111">+LEFT(M835,3)</f>
        <v>GAL</v>
      </c>
      <c r="O835" s="5">
        <v>360</v>
      </c>
      <c r="S835" s="32">
        <f t="shared" si="108"/>
        <v>0</v>
      </c>
    </row>
    <row r="836" spans="2:19" x14ac:dyDescent="0.25">
      <c r="B836" s="1" t="s">
        <v>88</v>
      </c>
      <c r="C836" s="2" t="s">
        <v>89</v>
      </c>
      <c r="D836" s="2" t="s">
        <v>107</v>
      </c>
      <c r="E836" s="2" t="s">
        <v>108</v>
      </c>
      <c r="F836" s="3">
        <v>44945</v>
      </c>
      <c r="G836" s="4">
        <f t="shared" si="109"/>
        <v>1</v>
      </c>
      <c r="H836" s="4">
        <f t="shared" si="110"/>
        <v>2023</v>
      </c>
      <c r="I836" s="2" t="s">
        <v>4</v>
      </c>
      <c r="J836" s="2" t="s">
        <v>1449</v>
      </c>
      <c r="K836" s="2" t="s">
        <v>1078</v>
      </c>
      <c r="L836" s="2" t="s">
        <v>1079</v>
      </c>
      <c r="M836" s="2" t="s">
        <v>1080</v>
      </c>
      <c r="N836" s="4" t="str">
        <f t="shared" si="111"/>
        <v>GAL</v>
      </c>
      <c r="O836" s="5">
        <v>2073</v>
      </c>
      <c r="S836" s="32">
        <f t="shared" ref="S836:S899" si="112">SUMIF($R$3:$R$885, $R836, $O$3:$O$885)</f>
        <v>0</v>
      </c>
    </row>
    <row r="837" spans="2:19" x14ac:dyDescent="0.25">
      <c r="B837" s="1" t="s">
        <v>88</v>
      </c>
      <c r="C837" s="2" t="s">
        <v>89</v>
      </c>
      <c r="D837" s="2" t="s">
        <v>107</v>
      </c>
      <c r="E837" s="2" t="s">
        <v>108</v>
      </c>
      <c r="F837" s="3">
        <v>44950</v>
      </c>
      <c r="G837" s="4">
        <f t="shared" si="109"/>
        <v>1</v>
      </c>
      <c r="H837" s="4">
        <f t="shared" si="110"/>
        <v>2023</v>
      </c>
      <c r="I837" s="2" t="s">
        <v>4</v>
      </c>
      <c r="J837" s="2" t="s">
        <v>1450</v>
      </c>
      <c r="K837" s="2" t="s">
        <v>1078</v>
      </c>
      <c r="L837" s="2" t="s">
        <v>1079</v>
      </c>
      <c r="M837" s="2" t="s">
        <v>1080</v>
      </c>
      <c r="N837" s="4" t="str">
        <f t="shared" si="111"/>
        <v>GAL</v>
      </c>
      <c r="O837" s="5">
        <v>4340</v>
      </c>
      <c r="S837" s="32">
        <f t="shared" si="112"/>
        <v>0</v>
      </c>
    </row>
    <row r="838" spans="2:19" x14ac:dyDescent="0.25">
      <c r="B838" s="1" t="s">
        <v>88</v>
      </c>
      <c r="C838" s="2" t="s">
        <v>89</v>
      </c>
      <c r="D838" s="2" t="s">
        <v>515</v>
      </c>
      <c r="E838" s="2" t="s">
        <v>516</v>
      </c>
      <c r="F838" s="3">
        <v>44950</v>
      </c>
      <c r="G838" s="4">
        <f t="shared" si="109"/>
        <v>1</v>
      </c>
      <c r="H838" s="4">
        <f t="shared" si="110"/>
        <v>2023</v>
      </c>
      <c r="I838" s="2" t="s">
        <v>4</v>
      </c>
      <c r="J838" s="2" t="s">
        <v>1451</v>
      </c>
      <c r="K838" s="2" t="s">
        <v>110</v>
      </c>
      <c r="L838" s="2" t="s">
        <v>111</v>
      </c>
      <c r="M838" s="2" t="s">
        <v>112</v>
      </c>
      <c r="N838" s="4" t="str">
        <f t="shared" si="111"/>
        <v>GAL</v>
      </c>
      <c r="O838" s="5">
        <v>1509</v>
      </c>
      <c r="S838" s="32">
        <f t="shared" si="112"/>
        <v>0</v>
      </c>
    </row>
    <row r="839" spans="2:19" x14ac:dyDescent="0.25">
      <c r="B839" s="1" t="s">
        <v>88</v>
      </c>
      <c r="C839" s="2" t="s">
        <v>89</v>
      </c>
      <c r="D839" s="2" t="s">
        <v>1444</v>
      </c>
      <c r="E839" s="2" t="s">
        <v>102</v>
      </c>
      <c r="F839" s="3">
        <v>44950</v>
      </c>
      <c r="G839" s="4">
        <f t="shared" si="109"/>
        <v>1</v>
      </c>
      <c r="H839" s="4">
        <f t="shared" si="110"/>
        <v>2023</v>
      </c>
      <c r="I839" s="2" t="s">
        <v>4</v>
      </c>
      <c r="J839" s="2" t="s">
        <v>1452</v>
      </c>
      <c r="K839" s="2" t="s">
        <v>1446</v>
      </c>
      <c r="L839" s="2" t="s">
        <v>1453</v>
      </c>
      <c r="M839" s="2" t="s">
        <v>1448</v>
      </c>
      <c r="N839" s="4" t="str">
        <f t="shared" si="111"/>
        <v>GAL</v>
      </c>
      <c r="O839" s="5">
        <v>180</v>
      </c>
      <c r="S839" s="32">
        <f t="shared" si="112"/>
        <v>0</v>
      </c>
    </row>
    <row r="840" spans="2:19" x14ac:dyDescent="0.25">
      <c r="B840" s="1" t="s">
        <v>88</v>
      </c>
      <c r="C840" s="2" t="s">
        <v>89</v>
      </c>
      <c r="D840" s="2" t="s">
        <v>1444</v>
      </c>
      <c r="E840" s="2" t="s">
        <v>102</v>
      </c>
      <c r="F840" s="3">
        <v>44950</v>
      </c>
      <c r="G840" s="4">
        <f t="shared" si="109"/>
        <v>1</v>
      </c>
      <c r="H840" s="4">
        <f t="shared" si="110"/>
        <v>2023</v>
      </c>
      <c r="I840" s="2" t="s">
        <v>4</v>
      </c>
      <c r="J840" s="2" t="s">
        <v>1454</v>
      </c>
      <c r="K840" s="2" t="s">
        <v>1446</v>
      </c>
      <c r="L840" s="2" t="s">
        <v>1453</v>
      </c>
      <c r="M840" s="2" t="s">
        <v>1448</v>
      </c>
      <c r="N840" s="4" t="str">
        <f t="shared" si="111"/>
        <v>GAL</v>
      </c>
      <c r="O840" s="5">
        <v>360</v>
      </c>
      <c r="S840" s="32">
        <f t="shared" si="112"/>
        <v>0</v>
      </c>
    </row>
    <row r="841" spans="2:19" x14ac:dyDescent="0.25">
      <c r="B841" s="1" t="s">
        <v>88</v>
      </c>
      <c r="C841" s="2" t="s">
        <v>89</v>
      </c>
      <c r="D841" s="2" t="s">
        <v>1444</v>
      </c>
      <c r="E841" s="2" t="s">
        <v>102</v>
      </c>
      <c r="F841" s="3">
        <v>44950</v>
      </c>
      <c r="G841" s="4">
        <f t="shared" si="109"/>
        <v>1</v>
      </c>
      <c r="H841" s="4">
        <f t="shared" si="110"/>
        <v>2023</v>
      </c>
      <c r="I841" s="2" t="s">
        <v>4</v>
      </c>
      <c r="J841" s="2" t="s">
        <v>1455</v>
      </c>
      <c r="K841" s="2" t="s">
        <v>1446</v>
      </c>
      <c r="L841" s="2" t="s">
        <v>1453</v>
      </c>
      <c r="M841" s="2" t="s">
        <v>1448</v>
      </c>
      <c r="N841" s="4" t="str">
        <f t="shared" si="111"/>
        <v>GAL</v>
      </c>
      <c r="O841" s="5">
        <v>180</v>
      </c>
      <c r="S841" s="32">
        <f t="shared" si="112"/>
        <v>0</v>
      </c>
    </row>
    <row r="842" spans="2:19" x14ac:dyDescent="0.25">
      <c r="B842" s="1" t="s">
        <v>88</v>
      </c>
      <c r="C842" s="2" t="s">
        <v>89</v>
      </c>
      <c r="D842" s="2" t="s">
        <v>557</v>
      </c>
      <c r="E842" s="2" t="s">
        <v>1090</v>
      </c>
      <c r="F842" s="3">
        <v>44953</v>
      </c>
      <c r="G842" s="4">
        <f t="shared" si="109"/>
        <v>1</v>
      </c>
      <c r="H842" s="4">
        <f t="shared" si="110"/>
        <v>2023</v>
      </c>
      <c r="I842" s="2" t="s">
        <v>4</v>
      </c>
      <c r="J842" s="2" t="s">
        <v>1456</v>
      </c>
      <c r="K842" s="2" t="s">
        <v>569</v>
      </c>
      <c r="L842" s="2" t="s">
        <v>570</v>
      </c>
      <c r="M842" s="2" t="s">
        <v>106</v>
      </c>
      <c r="N842" s="4" t="str">
        <f t="shared" si="111"/>
        <v>LBS</v>
      </c>
      <c r="O842" s="5">
        <v>2573</v>
      </c>
      <c r="S842" s="32">
        <f t="shared" si="112"/>
        <v>0</v>
      </c>
    </row>
    <row r="843" spans="2:19" x14ac:dyDescent="0.25">
      <c r="B843" s="1" t="s">
        <v>88</v>
      </c>
      <c r="C843" s="2" t="s">
        <v>89</v>
      </c>
      <c r="D843" s="2" t="s">
        <v>107</v>
      </c>
      <c r="E843" s="2" t="s">
        <v>108</v>
      </c>
      <c r="F843" s="3">
        <v>44957</v>
      </c>
      <c r="G843" s="4">
        <f t="shared" si="109"/>
        <v>1</v>
      </c>
      <c r="H843" s="4">
        <f t="shared" si="110"/>
        <v>2023</v>
      </c>
      <c r="I843" s="2" t="s">
        <v>4</v>
      </c>
      <c r="J843" s="2" t="s">
        <v>1457</v>
      </c>
      <c r="K843" s="2" t="s">
        <v>1078</v>
      </c>
      <c r="L843" s="2" t="s">
        <v>1079</v>
      </c>
      <c r="M843" s="2" t="s">
        <v>1080</v>
      </c>
      <c r="N843" s="4" t="str">
        <f t="shared" si="111"/>
        <v>GAL</v>
      </c>
      <c r="O843" s="5">
        <v>1531</v>
      </c>
      <c r="S843" s="32">
        <f t="shared" si="112"/>
        <v>0</v>
      </c>
    </row>
    <row r="844" spans="2:19" x14ac:dyDescent="0.25">
      <c r="B844" s="1" t="s">
        <v>88</v>
      </c>
      <c r="C844" s="2" t="s">
        <v>89</v>
      </c>
      <c r="D844" s="2" t="s">
        <v>616</v>
      </c>
      <c r="E844" s="2" t="s">
        <v>617</v>
      </c>
      <c r="F844" s="3">
        <v>44929</v>
      </c>
      <c r="G844" s="4">
        <f t="shared" si="109"/>
        <v>1</v>
      </c>
      <c r="H844" s="4">
        <f t="shared" si="110"/>
        <v>2023</v>
      </c>
      <c r="I844" s="2" t="s">
        <v>4</v>
      </c>
      <c r="J844" s="2" t="s">
        <v>1458</v>
      </c>
      <c r="K844" s="2" t="s">
        <v>19</v>
      </c>
      <c r="L844" s="2" t="s">
        <v>565</v>
      </c>
      <c r="M844" s="2" t="s">
        <v>21</v>
      </c>
      <c r="N844" s="4" t="str">
        <f t="shared" si="111"/>
        <v>GAL</v>
      </c>
      <c r="O844" s="5">
        <v>100</v>
      </c>
      <c r="S844" s="32">
        <f t="shared" si="112"/>
        <v>0</v>
      </c>
    </row>
    <row r="845" spans="2:19" x14ac:dyDescent="0.25">
      <c r="B845" s="1" t="s">
        <v>88</v>
      </c>
      <c r="C845" s="2" t="s">
        <v>89</v>
      </c>
      <c r="D845" s="2" t="s">
        <v>616</v>
      </c>
      <c r="E845" s="2" t="s">
        <v>617</v>
      </c>
      <c r="F845" s="3">
        <v>44929</v>
      </c>
      <c r="G845" s="4">
        <f t="shared" si="109"/>
        <v>1</v>
      </c>
      <c r="H845" s="4">
        <f t="shared" si="110"/>
        <v>2023</v>
      </c>
      <c r="I845" s="2" t="s">
        <v>4</v>
      </c>
      <c r="J845" s="2" t="s">
        <v>1459</v>
      </c>
      <c r="K845" s="2" t="s">
        <v>1460</v>
      </c>
      <c r="L845" s="2" t="s">
        <v>1461</v>
      </c>
      <c r="M845" s="2" t="s">
        <v>553</v>
      </c>
      <c r="N845" s="4" t="str">
        <f t="shared" si="111"/>
        <v>GAL</v>
      </c>
      <c r="O845" s="5">
        <v>5</v>
      </c>
      <c r="S845" s="32">
        <f t="shared" si="112"/>
        <v>0</v>
      </c>
    </row>
    <row r="846" spans="2:19" x14ac:dyDescent="0.25">
      <c r="B846" s="1" t="s">
        <v>88</v>
      </c>
      <c r="C846" s="2" t="s">
        <v>89</v>
      </c>
      <c r="D846" s="2" t="s">
        <v>107</v>
      </c>
      <c r="E846" s="2" t="s">
        <v>1132</v>
      </c>
      <c r="F846" s="3">
        <v>44932</v>
      </c>
      <c r="G846" s="4">
        <f t="shared" si="109"/>
        <v>1</v>
      </c>
      <c r="H846" s="4">
        <f t="shared" si="110"/>
        <v>2023</v>
      </c>
      <c r="I846" s="2" t="s">
        <v>4</v>
      </c>
      <c r="J846" s="2" t="s">
        <v>1462</v>
      </c>
      <c r="K846" s="2" t="s">
        <v>1078</v>
      </c>
      <c r="L846" s="2" t="s">
        <v>1079</v>
      </c>
      <c r="M846" s="2" t="s">
        <v>1080</v>
      </c>
      <c r="N846" s="4" t="str">
        <f t="shared" si="111"/>
        <v>GAL</v>
      </c>
      <c r="O846" s="5">
        <v>4138.63</v>
      </c>
      <c r="S846" s="32">
        <f t="shared" si="112"/>
        <v>0</v>
      </c>
    </row>
    <row r="847" spans="2:19" x14ac:dyDescent="0.25">
      <c r="B847" s="1" t="s">
        <v>88</v>
      </c>
      <c r="C847" s="2" t="s">
        <v>89</v>
      </c>
      <c r="D847" s="2" t="s">
        <v>140</v>
      </c>
      <c r="E847" s="2" t="s">
        <v>141</v>
      </c>
      <c r="F847" s="3">
        <v>44935</v>
      </c>
      <c r="G847" s="4">
        <f t="shared" si="109"/>
        <v>1</v>
      </c>
      <c r="H847" s="4">
        <f t="shared" si="110"/>
        <v>2023</v>
      </c>
      <c r="I847" s="2" t="s">
        <v>4</v>
      </c>
      <c r="J847" s="2" t="s">
        <v>1463</v>
      </c>
      <c r="K847" s="2" t="s">
        <v>1464</v>
      </c>
      <c r="L847" s="2" t="s">
        <v>1465</v>
      </c>
      <c r="M847" s="2" t="s">
        <v>1466</v>
      </c>
      <c r="N847" s="4" t="str">
        <f t="shared" si="111"/>
        <v>GAL</v>
      </c>
      <c r="O847" s="5">
        <v>250</v>
      </c>
      <c r="S847" s="32">
        <f t="shared" si="112"/>
        <v>0</v>
      </c>
    </row>
    <row r="848" spans="2:19" x14ac:dyDescent="0.25">
      <c r="B848" s="1" t="s">
        <v>88</v>
      </c>
      <c r="C848" s="2" t="s">
        <v>89</v>
      </c>
      <c r="D848" s="2" t="s">
        <v>107</v>
      </c>
      <c r="E848" s="2" t="s">
        <v>108</v>
      </c>
      <c r="F848" s="3">
        <v>44935</v>
      </c>
      <c r="G848" s="4">
        <f t="shared" si="109"/>
        <v>1</v>
      </c>
      <c r="H848" s="4">
        <f t="shared" si="110"/>
        <v>2023</v>
      </c>
      <c r="I848" s="2" t="s">
        <v>4</v>
      </c>
      <c r="J848" s="2" t="s">
        <v>1467</v>
      </c>
      <c r="K848" s="2" t="s">
        <v>1078</v>
      </c>
      <c r="L848" s="2" t="s">
        <v>1079</v>
      </c>
      <c r="M848" s="2" t="s">
        <v>1080</v>
      </c>
      <c r="N848" s="4" t="str">
        <f t="shared" si="111"/>
        <v>GAL</v>
      </c>
      <c r="O848" s="5">
        <v>783</v>
      </c>
      <c r="S848" s="32">
        <f t="shared" si="112"/>
        <v>0</v>
      </c>
    </row>
    <row r="849" spans="2:19" x14ac:dyDescent="0.25">
      <c r="B849" s="1" t="s">
        <v>88</v>
      </c>
      <c r="C849" s="2" t="s">
        <v>89</v>
      </c>
      <c r="D849" s="2" t="s">
        <v>1047</v>
      </c>
      <c r="E849" s="2" t="s">
        <v>1468</v>
      </c>
      <c r="F849" s="3">
        <v>44936</v>
      </c>
      <c r="G849" s="4">
        <f t="shared" si="109"/>
        <v>1</v>
      </c>
      <c r="H849" s="4">
        <f t="shared" si="110"/>
        <v>2023</v>
      </c>
      <c r="I849" s="2" t="s">
        <v>4</v>
      </c>
      <c r="J849" s="2" t="s">
        <v>1469</v>
      </c>
      <c r="K849" s="2" t="s">
        <v>1470</v>
      </c>
      <c r="L849" s="2" t="s">
        <v>1471</v>
      </c>
      <c r="M849" s="2" t="s">
        <v>1472</v>
      </c>
      <c r="N849" s="4" t="str">
        <f t="shared" si="111"/>
        <v>GAL</v>
      </c>
      <c r="O849" s="5">
        <v>80</v>
      </c>
      <c r="S849" s="32">
        <f t="shared" si="112"/>
        <v>0</v>
      </c>
    </row>
    <row r="850" spans="2:19" x14ac:dyDescent="0.25">
      <c r="B850" s="1" t="s">
        <v>88</v>
      </c>
      <c r="C850" s="2" t="s">
        <v>89</v>
      </c>
      <c r="D850" s="2" t="s">
        <v>1047</v>
      </c>
      <c r="E850" s="2" t="s">
        <v>1468</v>
      </c>
      <c r="F850" s="3">
        <v>44936</v>
      </c>
      <c r="G850" s="4">
        <f t="shared" si="109"/>
        <v>1</v>
      </c>
      <c r="H850" s="4">
        <f t="shared" si="110"/>
        <v>2023</v>
      </c>
      <c r="I850" s="2" t="s">
        <v>4</v>
      </c>
      <c r="J850" s="2" t="s">
        <v>1469</v>
      </c>
      <c r="K850" s="2" t="s">
        <v>83</v>
      </c>
      <c r="L850" s="2" t="s">
        <v>518</v>
      </c>
      <c r="M850" s="2" t="s">
        <v>85</v>
      </c>
      <c r="N850" s="4" t="str">
        <f t="shared" si="111"/>
        <v>GAL</v>
      </c>
      <c r="O850" s="5">
        <v>150</v>
      </c>
      <c r="S850" s="32">
        <f t="shared" si="112"/>
        <v>0</v>
      </c>
    </row>
    <row r="851" spans="2:19" x14ac:dyDescent="0.25">
      <c r="B851" s="1" t="s">
        <v>88</v>
      </c>
      <c r="C851" s="2" t="s">
        <v>89</v>
      </c>
      <c r="D851" s="2" t="s">
        <v>134</v>
      </c>
      <c r="E851" s="2" t="s">
        <v>135</v>
      </c>
      <c r="F851" s="3">
        <v>44937</v>
      </c>
      <c r="G851" s="4">
        <f t="shared" si="109"/>
        <v>1</v>
      </c>
      <c r="H851" s="4">
        <f t="shared" si="110"/>
        <v>2023</v>
      </c>
      <c r="I851" s="2" t="s">
        <v>4</v>
      </c>
      <c r="J851" s="2" t="s">
        <v>1473</v>
      </c>
      <c r="K851" s="2" t="s">
        <v>19</v>
      </c>
      <c r="L851" s="2" t="s">
        <v>1474</v>
      </c>
      <c r="M851" s="2" t="s">
        <v>21</v>
      </c>
      <c r="N851" s="4" t="str">
        <f t="shared" si="111"/>
        <v>GAL</v>
      </c>
      <c r="O851" s="5">
        <v>100</v>
      </c>
      <c r="S851" s="32">
        <f t="shared" si="112"/>
        <v>0</v>
      </c>
    </row>
    <row r="852" spans="2:19" x14ac:dyDescent="0.25">
      <c r="B852" s="6" t="s">
        <v>154</v>
      </c>
      <c r="C852" s="7" t="s">
        <v>155</v>
      </c>
      <c r="D852" s="8" t="s">
        <v>1111</v>
      </c>
      <c r="E852" s="8" t="s">
        <v>1112</v>
      </c>
      <c r="F852" s="12">
        <v>44939</v>
      </c>
      <c r="G852" s="10">
        <f t="shared" si="109"/>
        <v>1</v>
      </c>
      <c r="H852" s="10">
        <f t="shared" si="110"/>
        <v>2023</v>
      </c>
      <c r="I852" s="8" t="s">
        <v>4</v>
      </c>
      <c r="J852" s="7" t="s">
        <v>1475</v>
      </c>
      <c r="K852" s="8" t="s">
        <v>510</v>
      </c>
      <c r="L852" s="8" t="s">
        <v>511</v>
      </c>
      <c r="M852" s="8" t="s">
        <v>38</v>
      </c>
      <c r="N852" s="10" t="str">
        <f t="shared" si="111"/>
        <v>GAL</v>
      </c>
      <c r="O852" s="11">
        <v>1500</v>
      </c>
      <c r="S852" s="32">
        <f t="shared" si="112"/>
        <v>0</v>
      </c>
    </row>
    <row r="853" spans="2:19" x14ac:dyDescent="0.25">
      <c r="B853" s="1" t="s">
        <v>154</v>
      </c>
      <c r="C853" s="2" t="s">
        <v>155</v>
      </c>
      <c r="D853" s="2" t="s">
        <v>161</v>
      </c>
      <c r="E853" s="2" t="s">
        <v>162</v>
      </c>
      <c r="F853" s="3">
        <v>44939</v>
      </c>
      <c r="G853" s="4">
        <f t="shared" si="109"/>
        <v>1</v>
      </c>
      <c r="H853" s="4">
        <f t="shared" si="110"/>
        <v>2023</v>
      </c>
      <c r="I853" s="2" t="s">
        <v>4</v>
      </c>
      <c r="J853" s="2" t="s">
        <v>1476</v>
      </c>
      <c r="K853" s="2" t="s">
        <v>164</v>
      </c>
      <c r="L853" s="2" t="s">
        <v>165</v>
      </c>
      <c r="M853" s="2" t="s">
        <v>166</v>
      </c>
      <c r="N853" s="4" t="str">
        <f t="shared" si="111"/>
        <v>GAL</v>
      </c>
      <c r="O853" s="5">
        <v>180</v>
      </c>
      <c r="S853" s="32">
        <f t="shared" si="112"/>
        <v>0</v>
      </c>
    </row>
    <row r="854" spans="2:19" x14ac:dyDescent="0.25">
      <c r="B854" s="1" t="s">
        <v>154</v>
      </c>
      <c r="C854" s="2" t="s">
        <v>155</v>
      </c>
      <c r="D854" s="2" t="s">
        <v>161</v>
      </c>
      <c r="E854" s="2" t="s">
        <v>162</v>
      </c>
      <c r="F854" s="3">
        <v>44939</v>
      </c>
      <c r="G854" s="4">
        <f t="shared" si="109"/>
        <v>1</v>
      </c>
      <c r="H854" s="4">
        <f t="shared" si="110"/>
        <v>2023</v>
      </c>
      <c r="I854" s="2" t="s">
        <v>4</v>
      </c>
      <c r="J854" s="2" t="s">
        <v>1476</v>
      </c>
      <c r="K854" s="2" t="s">
        <v>158</v>
      </c>
      <c r="L854" s="2" t="s">
        <v>159</v>
      </c>
      <c r="M854" s="2" t="s">
        <v>160</v>
      </c>
      <c r="N854" s="4" t="str">
        <f t="shared" si="111"/>
        <v>GAL</v>
      </c>
      <c r="O854" s="5">
        <v>180</v>
      </c>
      <c r="S854" s="32">
        <f t="shared" si="112"/>
        <v>0</v>
      </c>
    </row>
    <row r="855" spans="2:19" x14ac:dyDescent="0.25">
      <c r="B855" s="1" t="s">
        <v>154</v>
      </c>
      <c r="C855" s="2" t="s">
        <v>155</v>
      </c>
      <c r="D855" s="2" t="s">
        <v>107</v>
      </c>
      <c r="E855" s="2" t="s">
        <v>108</v>
      </c>
      <c r="F855" s="3">
        <v>44939</v>
      </c>
      <c r="G855" s="4">
        <f t="shared" si="109"/>
        <v>1</v>
      </c>
      <c r="H855" s="4">
        <f t="shared" si="110"/>
        <v>2023</v>
      </c>
      <c r="I855" s="2" t="s">
        <v>4</v>
      </c>
      <c r="J855" s="2" t="s">
        <v>1477</v>
      </c>
      <c r="K855" s="2" t="s">
        <v>192</v>
      </c>
      <c r="L855" s="2" t="s">
        <v>193</v>
      </c>
      <c r="M855" s="2" t="s">
        <v>160</v>
      </c>
      <c r="N855" s="4" t="str">
        <f t="shared" si="111"/>
        <v>GAL</v>
      </c>
      <c r="O855" s="5">
        <v>500</v>
      </c>
      <c r="S855" s="32">
        <f t="shared" si="112"/>
        <v>0</v>
      </c>
    </row>
    <row r="856" spans="2:19" x14ac:dyDescent="0.25">
      <c r="B856" s="6" t="s">
        <v>154</v>
      </c>
      <c r="C856" s="7" t="s">
        <v>155</v>
      </c>
      <c r="D856" s="8" t="s">
        <v>1111</v>
      </c>
      <c r="E856" s="8" t="s">
        <v>1112</v>
      </c>
      <c r="F856" s="12">
        <v>44943</v>
      </c>
      <c r="G856" s="10">
        <f t="shared" si="109"/>
        <v>1</v>
      </c>
      <c r="H856" s="10">
        <f t="shared" si="110"/>
        <v>2023</v>
      </c>
      <c r="I856" s="8" t="s">
        <v>4</v>
      </c>
      <c r="J856" s="7" t="s">
        <v>1478</v>
      </c>
      <c r="K856" s="8" t="s">
        <v>510</v>
      </c>
      <c r="L856" s="8" t="s">
        <v>511</v>
      </c>
      <c r="M856" s="8" t="s">
        <v>38</v>
      </c>
      <c r="N856" s="10" t="str">
        <f t="shared" si="111"/>
        <v>GAL</v>
      </c>
      <c r="O856" s="11">
        <v>3000</v>
      </c>
      <c r="S856" s="32">
        <f t="shared" si="112"/>
        <v>0</v>
      </c>
    </row>
    <row r="857" spans="2:19" x14ac:dyDescent="0.25">
      <c r="B857" s="6" t="s">
        <v>154</v>
      </c>
      <c r="C857" s="7" t="s">
        <v>155</v>
      </c>
      <c r="D857" s="8" t="s">
        <v>1111</v>
      </c>
      <c r="E857" s="8" t="s">
        <v>1112</v>
      </c>
      <c r="F857" s="12">
        <v>44944</v>
      </c>
      <c r="G857" s="10">
        <f t="shared" si="109"/>
        <v>1</v>
      </c>
      <c r="H857" s="10">
        <f t="shared" si="110"/>
        <v>2023</v>
      </c>
      <c r="I857" s="8" t="s">
        <v>4</v>
      </c>
      <c r="J857" s="7" t="s">
        <v>1479</v>
      </c>
      <c r="K857" s="8" t="s">
        <v>510</v>
      </c>
      <c r="L857" s="8" t="s">
        <v>511</v>
      </c>
      <c r="M857" s="8" t="s">
        <v>38</v>
      </c>
      <c r="N857" s="10" t="str">
        <f t="shared" si="111"/>
        <v>GAL</v>
      </c>
      <c r="O857" s="11">
        <v>2250</v>
      </c>
      <c r="S857" s="32">
        <f t="shared" si="112"/>
        <v>0</v>
      </c>
    </row>
    <row r="858" spans="2:19" x14ac:dyDescent="0.25">
      <c r="B858" s="6" t="s">
        <v>154</v>
      </c>
      <c r="C858" s="7" t="s">
        <v>155</v>
      </c>
      <c r="D858" s="8" t="s">
        <v>1111</v>
      </c>
      <c r="E858" s="8" t="s">
        <v>1112</v>
      </c>
      <c r="F858" s="12">
        <v>44944</v>
      </c>
      <c r="G858" s="10">
        <f t="shared" si="109"/>
        <v>1</v>
      </c>
      <c r="H858" s="10">
        <f t="shared" si="110"/>
        <v>2023</v>
      </c>
      <c r="I858" s="8" t="s">
        <v>4</v>
      </c>
      <c r="J858" s="7" t="s">
        <v>1480</v>
      </c>
      <c r="K858" s="8" t="s">
        <v>510</v>
      </c>
      <c r="L858" s="8" t="s">
        <v>511</v>
      </c>
      <c r="M858" s="8" t="s">
        <v>38</v>
      </c>
      <c r="N858" s="10" t="str">
        <f t="shared" si="111"/>
        <v>GAL</v>
      </c>
      <c r="O858" s="11">
        <v>500</v>
      </c>
      <c r="S858" s="32">
        <f t="shared" si="112"/>
        <v>0</v>
      </c>
    </row>
    <row r="859" spans="2:19" x14ac:dyDescent="0.25">
      <c r="B859" s="1" t="s">
        <v>154</v>
      </c>
      <c r="C859" s="2" t="s">
        <v>155</v>
      </c>
      <c r="D859" s="2" t="s">
        <v>1103</v>
      </c>
      <c r="E859" s="2" t="s">
        <v>1104</v>
      </c>
      <c r="F859" s="3">
        <v>44944</v>
      </c>
      <c r="G859" s="4">
        <f t="shared" si="109"/>
        <v>1</v>
      </c>
      <c r="H859" s="4">
        <f t="shared" si="110"/>
        <v>2023</v>
      </c>
      <c r="I859" s="2" t="s">
        <v>4</v>
      </c>
      <c r="J859" s="2" t="s">
        <v>1481</v>
      </c>
      <c r="K859" s="2" t="s">
        <v>1482</v>
      </c>
      <c r="L859" s="2" t="s">
        <v>1483</v>
      </c>
      <c r="M859" s="2" t="s">
        <v>1484</v>
      </c>
      <c r="N859" s="4" t="str">
        <f t="shared" si="111"/>
        <v>GAL</v>
      </c>
      <c r="O859" s="5">
        <v>120</v>
      </c>
      <c r="S859" s="32">
        <f t="shared" si="112"/>
        <v>0</v>
      </c>
    </row>
    <row r="860" spans="2:19" x14ac:dyDescent="0.25">
      <c r="B860" s="1" t="s">
        <v>154</v>
      </c>
      <c r="C860" s="2" t="s">
        <v>155</v>
      </c>
      <c r="D860" s="2" t="s">
        <v>178</v>
      </c>
      <c r="E860" s="2" t="s">
        <v>179</v>
      </c>
      <c r="F860" s="3">
        <v>44944</v>
      </c>
      <c r="G860" s="4">
        <f t="shared" si="109"/>
        <v>1</v>
      </c>
      <c r="H860" s="4">
        <f t="shared" si="110"/>
        <v>2023</v>
      </c>
      <c r="I860" s="2" t="s">
        <v>4</v>
      </c>
      <c r="J860" s="2" t="s">
        <v>1485</v>
      </c>
      <c r="K860" s="2" t="s">
        <v>158</v>
      </c>
      <c r="L860" s="2" t="s">
        <v>159</v>
      </c>
      <c r="M860" s="2" t="s">
        <v>160</v>
      </c>
      <c r="N860" s="4" t="str">
        <f t="shared" si="111"/>
        <v>GAL</v>
      </c>
      <c r="O860" s="5">
        <v>180</v>
      </c>
      <c r="S860" s="32">
        <f t="shared" si="112"/>
        <v>0</v>
      </c>
    </row>
    <row r="861" spans="2:19" x14ac:dyDescent="0.25">
      <c r="B861" s="1" t="s">
        <v>154</v>
      </c>
      <c r="C861" s="2" t="s">
        <v>155</v>
      </c>
      <c r="D861" s="2" t="s">
        <v>178</v>
      </c>
      <c r="E861" s="2" t="s">
        <v>179</v>
      </c>
      <c r="F861" s="3">
        <v>44944</v>
      </c>
      <c r="G861" s="4">
        <f t="shared" si="109"/>
        <v>1</v>
      </c>
      <c r="H861" s="4">
        <f t="shared" si="110"/>
        <v>2023</v>
      </c>
      <c r="I861" s="2" t="s">
        <v>4</v>
      </c>
      <c r="J861" s="2" t="s">
        <v>1485</v>
      </c>
      <c r="K861" s="2" t="s">
        <v>189</v>
      </c>
      <c r="L861" s="2" t="s">
        <v>190</v>
      </c>
      <c r="M861" s="2" t="s">
        <v>191</v>
      </c>
      <c r="N861" s="4" t="str">
        <f t="shared" si="111"/>
        <v>GAL</v>
      </c>
      <c r="O861" s="5">
        <v>180</v>
      </c>
      <c r="S861" s="32">
        <f t="shared" si="112"/>
        <v>0</v>
      </c>
    </row>
    <row r="862" spans="2:19" x14ac:dyDescent="0.25">
      <c r="B862" s="1" t="s">
        <v>154</v>
      </c>
      <c r="C862" s="2" t="s">
        <v>155</v>
      </c>
      <c r="D862" s="2" t="s">
        <v>623</v>
      </c>
      <c r="E862" s="2" t="s">
        <v>1099</v>
      </c>
      <c r="F862" s="3">
        <v>44946</v>
      </c>
      <c r="G862" s="4">
        <f t="shared" si="109"/>
        <v>1</v>
      </c>
      <c r="H862" s="4">
        <f t="shared" si="110"/>
        <v>2023</v>
      </c>
      <c r="I862" s="2" t="s">
        <v>4</v>
      </c>
      <c r="J862" s="2" t="s">
        <v>1486</v>
      </c>
      <c r="K862" s="2" t="s">
        <v>626</v>
      </c>
      <c r="L862" s="2" t="s">
        <v>627</v>
      </c>
      <c r="M862" s="2" t="s">
        <v>119</v>
      </c>
      <c r="N862" s="4" t="str">
        <f t="shared" si="111"/>
        <v>TON</v>
      </c>
      <c r="O862" s="5">
        <v>15.0525</v>
      </c>
      <c r="S862" s="32">
        <f t="shared" si="112"/>
        <v>0</v>
      </c>
    </row>
    <row r="863" spans="2:19" x14ac:dyDescent="0.25">
      <c r="B863" s="1" t="s">
        <v>645</v>
      </c>
      <c r="C863" s="2" t="s">
        <v>155</v>
      </c>
      <c r="D863" s="2" t="s">
        <v>646</v>
      </c>
      <c r="E863" s="2" t="s">
        <v>647</v>
      </c>
      <c r="F863" s="3">
        <v>44946</v>
      </c>
      <c r="G863" s="4">
        <f t="shared" si="109"/>
        <v>1</v>
      </c>
      <c r="H863" s="4">
        <f t="shared" si="110"/>
        <v>2023</v>
      </c>
      <c r="I863" s="2" t="s">
        <v>4</v>
      </c>
      <c r="J863" s="2" t="s">
        <v>1487</v>
      </c>
      <c r="K863" s="2" t="s">
        <v>649</v>
      </c>
      <c r="L863" s="2" t="s">
        <v>538</v>
      </c>
      <c r="M863" s="2" t="s">
        <v>539</v>
      </c>
      <c r="N863" s="4" t="str">
        <f t="shared" si="111"/>
        <v>GAL</v>
      </c>
      <c r="O863" s="5">
        <v>1000</v>
      </c>
      <c r="S863" s="32">
        <f t="shared" si="112"/>
        <v>0</v>
      </c>
    </row>
    <row r="864" spans="2:19" x14ac:dyDescent="0.25">
      <c r="B864" s="1" t="s">
        <v>154</v>
      </c>
      <c r="C864" s="2" t="s">
        <v>155</v>
      </c>
      <c r="D864" s="2" t="s">
        <v>628</v>
      </c>
      <c r="E864" s="2" t="s">
        <v>629</v>
      </c>
      <c r="F864" s="3">
        <v>44949</v>
      </c>
      <c r="G864" s="4">
        <f t="shared" si="109"/>
        <v>1</v>
      </c>
      <c r="H864" s="4">
        <f t="shared" si="110"/>
        <v>2023</v>
      </c>
      <c r="I864" s="2" t="s">
        <v>4</v>
      </c>
      <c r="J864" s="2" t="s">
        <v>1488</v>
      </c>
      <c r="K864" s="2" t="s">
        <v>1489</v>
      </c>
      <c r="L864" s="2" t="s">
        <v>1490</v>
      </c>
      <c r="M864" s="2" t="s">
        <v>1491</v>
      </c>
      <c r="N864" s="4" t="str">
        <f t="shared" si="111"/>
        <v>GAL</v>
      </c>
      <c r="O864" s="5">
        <v>360</v>
      </c>
      <c r="S864" s="32">
        <f t="shared" si="112"/>
        <v>0</v>
      </c>
    </row>
    <row r="865" spans="2:19" x14ac:dyDescent="0.25">
      <c r="B865" s="1" t="s">
        <v>154</v>
      </c>
      <c r="C865" s="2" t="s">
        <v>155</v>
      </c>
      <c r="D865" s="2" t="s">
        <v>178</v>
      </c>
      <c r="E865" s="2" t="s">
        <v>179</v>
      </c>
      <c r="F865" s="3">
        <v>44951</v>
      </c>
      <c r="G865" s="4">
        <f t="shared" si="109"/>
        <v>1</v>
      </c>
      <c r="H865" s="4">
        <f t="shared" si="110"/>
        <v>2023</v>
      </c>
      <c r="I865" s="2" t="s">
        <v>4</v>
      </c>
      <c r="J865" s="2" t="s">
        <v>1492</v>
      </c>
      <c r="K865" s="2" t="s">
        <v>200</v>
      </c>
      <c r="L865" s="2" t="s">
        <v>1493</v>
      </c>
      <c r="M865" s="2" t="s">
        <v>202</v>
      </c>
      <c r="N865" s="4" t="str">
        <f t="shared" si="111"/>
        <v>GAL</v>
      </c>
      <c r="O865" s="5">
        <v>60</v>
      </c>
      <c r="S865" s="32">
        <f t="shared" si="112"/>
        <v>0</v>
      </c>
    </row>
    <row r="866" spans="2:19" x14ac:dyDescent="0.25">
      <c r="B866" s="1" t="s">
        <v>154</v>
      </c>
      <c r="C866" s="2" t="s">
        <v>155</v>
      </c>
      <c r="D866" s="2" t="s">
        <v>178</v>
      </c>
      <c r="E866" s="2" t="s">
        <v>179</v>
      </c>
      <c r="F866" s="3">
        <v>44951</v>
      </c>
      <c r="G866" s="4">
        <f t="shared" si="109"/>
        <v>1</v>
      </c>
      <c r="H866" s="4">
        <f t="shared" si="110"/>
        <v>2023</v>
      </c>
      <c r="I866" s="2" t="s">
        <v>4</v>
      </c>
      <c r="J866" s="2" t="s">
        <v>1494</v>
      </c>
      <c r="K866" s="2" t="s">
        <v>181</v>
      </c>
      <c r="L866" s="2" t="s">
        <v>182</v>
      </c>
      <c r="M866" s="2" t="s">
        <v>183</v>
      </c>
      <c r="N866" s="4" t="str">
        <f t="shared" si="111"/>
        <v>GAL</v>
      </c>
      <c r="O866" s="5">
        <v>60</v>
      </c>
      <c r="S866" s="32">
        <f t="shared" si="112"/>
        <v>0</v>
      </c>
    </row>
    <row r="867" spans="2:19" x14ac:dyDescent="0.25">
      <c r="B867" s="1" t="s">
        <v>154</v>
      </c>
      <c r="C867" s="2" t="s">
        <v>155</v>
      </c>
      <c r="D867" s="2" t="s">
        <v>1111</v>
      </c>
      <c r="E867" s="2" t="s">
        <v>1112</v>
      </c>
      <c r="F867" s="3">
        <v>44951</v>
      </c>
      <c r="G867" s="4">
        <f t="shared" si="109"/>
        <v>1</v>
      </c>
      <c r="H867" s="4">
        <f t="shared" si="110"/>
        <v>2023</v>
      </c>
      <c r="I867" s="2" t="s">
        <v>4</v>
      </c>
      <c r="J867" s="2" t="s">
        <v>1495</v>
      </c>
      <c r="K867" s="2" t="s">
        <v>158</v>
      </c>
      <c r="L867" s="2" t="s">
        <v>159</v>
      </c>
      <c r="M867" s="2" t="s">
        <v>160</v>
      </c>
      <c r="N867" s="4" t="str">
        <f t="shared" si="111"/>
        <v>GAL</v>
      </c>
      <c r="O867" s="5">
        <v>180</v>
      </c>
      <c r="S867" s="32">
        <f t="shared" si="112"/>
        <v>0</v>
      </c>
    </row>
    <row r="868" spans="2:19" x14ac:dyDescent="0.25">
      <c r="B868" s="1" t="s">
        <v>154</v>
      </c>
      <c r="C868" s="2" t="s">
        <v>155</v>
      </c>
      <c r="D868" s="2" t="s">
        <v>1111</v>
      </c>
      <c r="E868" s="2" t="s">
        <v>1112</v>
      </c>
      <c r="F868" s="3">
        <v>44951</v>
      </c>
      <c r="G868" s="4">
        <f t="shared" si="109"/>
        <v>1</v>
      </c>
      <c r="H868" s="4">
        <f t="shared" si="110"/>
        <v>2023</v>
      </c>
      <c r="I868" s="2" t="s">
        <v>4</v>
      </c>
      <c r="J868" s="2" t="s">
        <v>1495</v>
      </c>
      <c r="K868" s="2" t="s">
        <v>1496</v>
      </c>
      <c r="L868" s="2" t="s">
        <v>159</v>
      </c>
      <c r="M868" s="2" t="s">
        <v>160</v>
      </c>
      <c r="N868" s="4" t="str">
        <f t="shared" si="111"/>
        <v>GAL</v>
      </c>
      <c r="O868" s="5">
        <v>1500</v>
      </c>
      <c r="S868" s="32">
        <f t="shared" si="112"/>
        <v>0</v>
      </c>
    </row>
    <row r="869" spans="2:19" x14ac:dyDescent="0.25">
      <c r="B869" s="1" t="s">
        <v>154</v>
      </c>
      <c r="C869" s="2" t="s">
        <v>155</v>
      </c>
      <c r="D869" s="2" t="s">
        <v>623</v>
      </c>
      <c r="E869" s="2" t="s">
        <v>624</v>
      </c>
      <c r="F869" s="3">
        <v>44952</v>
      </c>
      <c r="G869" s="4">
        <f t="shared" si="109"/>
        <v>1</v>
      </c>
      <c r="H869" s="4">
        <f t="shared" si="110"/>
        <v>2023</v>
      </c>
      <c r="I869" s="2" t="s">
        <v>4</v>
      </c>
      <c r="J869" s="2" t="s">
        <v>1497</v>
      </c>
      <c r="K869" s="2" t="s">
        <v>626</v>
      </c>
      <c r="L869" s="2" t="s">
        <v>627</v>
      </c>
      <c r="M869" s="2" t="s">
        <v>119</v>
      </c>
      <c r="N869" s="4" t="str">
        <f t="shared" si="111"/>
        <v>TON</v>
      </c>
      <c r="O869" s="5">
        <v>15.0425</v>
      </c>
      <c r="S869" s="32">
        <f t="shared" si="112"/>
        <v>0</v>
      </c>
    </row>
    <row r="870" spans="2:19" x14ac:dyDescent="0.25">
      <c r="B870" s="1" t="s">
        <v>154</v>
      </c>
      <c r="C870" s="2" t="s">
        <v>155</v>
      </c>
      <c r="D870" s="2" t="s">
        <v>107</v>
      </c>
      <c r="E870" s="2" t="s">
        <v>108</v>
      </c>
      <c r="F870" s="3">
        <v>44953</v>
      </c>
      <c r="G870" s="4">
        <f t="shared" si="109"/>
        <v>1</v>
      </c>
      <c r="H870" s="4">
        <f t="shared" si="110"/>
        <v>2023</v>
      </c>
      <c r="I870" s="2" t="s">
        <v>4</v>
      </c>
      <c r="J870" s="2" t="s">
        <v>1498</v>
      </c>
      <c r="K870" s="2" t="s">
        <v>1499</v>
      </c>
      <c r="L870" s="2" t="s">
        <v>193</v>
      </c>
      <c r="M870" s="2" t="s">
        <v>160</v>
      </c>
      <c r="N870" s="4" t="str">
        <f t="shared" si="111"/>
        <v>GAL</v>
      </c>
      <c r="O870" s="5">
        <v>180</v>
      </c>
      <c r="S870" s="32">
        <f t="shared" si="112"/>
        <v>0</v>
      </c>
    </row>
    <row r="871" spans="2:19" x14ac:dyDescent="0.25">
      <c r="B871" s="1" t="s">
        <v>154</v>
      </c>
      <c r="C871" s="2" t="s">
        <v>155</v>
      </c>
      <c r="D871" s="2" t="s">
        <v>107</v>
      </c>
      <c r="E871" s="2" t="s">
        <v>108</v>
      </c>
      <c r="F871" s="3">
        <v>44953</v>
      </c>
      <c r="G871" s="4">
        <f t="shared" si="109"/>
        <v>1</v>
      </c>
      <c r="H871" s="4">
        <f t="shared" si="110"/>
        <v>2023</v>
      </c>
      <c r="I871" s="2" t="s">
        <v>4</v>
      </c>
      <c r="J871" s="2" t="s">
        <v>1500</v>
      </c>
      <c r="K871" s="2" t="s">
        <v>1501</v>
      </c>
      <c r="L871" s="2" t="s">
        <v>602</v>
      </c>
      <c r="M871" s="2" t="s">
        <v>41</v>
      </c>
      <c r="N871" s="4" t="str">
        <f t="shared" si="111"/>
        <v>GAL</v>
      </c>
      <c r="O871" s="5">
        <v>60</v>
      </c>
      <c r="S871" s="32">
        <f t="shared" si="112"/>
        <v>0</v>
      </c>
    </row>
    <row r="872" spans="2:19" x14ac:dyDescent="0.25">
      <c r="B872" s="1" t="s">
        <v>154</v>
      </c>
      <c r="C872" s="2" t="s">
        <v>155</v>
      </c>
      <c r="D872" s="2" t="s">
        <v>107</v>
      </c>
      <c r="E872" s="2" t="s">
        <v>108</v>
      </c>
      <c r="F872" s="3">
        <v>44953</v>
      </c>
      <c r="G872" s="4">
        <f t="shared" si="109"/>
        <v>1</v>
      </c>
      <c r="H872" s="4">
        <f t="shared" si="110"/>
        <v>2023</v>
      </c>
      <c r="I872" s="2" t="s">
        <v>4</v>
      </c>
      <c r="J872" s="2" t="s">
        <v>1500</v>
      </c>
      <c r="K872" s="2" t="s">
        <v>187</v>
      </c>
      <c r="L872" s="2" t="s">
        <v>188</v>
      </c>
      <c r="M872" s="2" t="s">
        <v>160</v>
      </c>
      <c r="N872" s="4" t="str">
        <f t="shared" si="111"/>
        <v>GAL</v>
      </c>
      <c r="O872" s="5">
        <v>75</v>
      </c>
      <c r="S872" s="32">
        <f t="shared" si="112"/>
        <v>0</v>
      </c>
    </row>
    <row r="873" spans="2:19" x14ac:dyDescent="0.25">
      <c r="B873" s="1" t="s">
        <v>154</v>
      </c>
      <c r="C873" s="2" t="s">
        <v>155</v>
      </c>
      <c r="D873" s="2" t="s">
        <v>107</v>
      </c>
      <c r="E873" s="2" t="s">
        <v>108</v>
      </c>
      <c r="F873" s="3">
        <v>44953</v>
      </c>
      <c r="G873" s="4">
        <f t="shared" si="109"/>
        <v>1</v>
      </c>
      <c r="H873" s="4">
        <f t="shared" si="110"/>
        <v>2023</v>
      </c>
      <c r="I873" s="2" t="s">
        <v>4</v>
      </c>
      <c r="J873" s="2" t="s">
        <v>1500</v>
      </c>
      <c r="K873" s="2" t="s">
        <v>1502</v>
      </c>
      <c r="L873" s="2" t="s">
        <v>1503</v>
      </c>
      <c r="M873" s="2" t="s">
        <v>8</v>
      </c>
      <c r="N873" s="4" t="str">
        <f t="shared" si="111"/>
        <v>GAL</v>
      </c>
      <c r="O873" s="5">
        <v>75</v>
      </c>
      <c r="S873" s="32">
        <f t="shared" si="112"/>
        <v>0</v>
      </c>
    </row>
    <row r="874" spans="2:19" x14ac:dyDescent="0.25">
      <c r="B874" s="1" t="s">
        <v>154</v>
      </c>
      <c r="C874" s="2" t="s">
        <v>155</v>
      </c>
      <c r="D874" s="2" t="s">
        <v>107</v>
      </c>
      <c r="E874" s="2" t="s">
        <v>108</v>
      </c>
      <c r="F874" s="3">
        <v>44953</v>
      </c>
      <c r="G874" s="4">
        <f t="shared" si="109"/>
        <v>1</v>
      </c>
      <c r="H874" s="4">
        <f t="shared" si="110"/>
        <v>2023</v>
      </c>
      <c r="I874" s="2" t="s">
        <v>4</v>
      </c>
      <c r="J874" s="2" t="s">
        <v>1500</v>
      </c>
      <c r="K874" s="2" t="s">
        <v>189</v>
      </c>
      <c r="L874" s="2" t="s">
        <v>190</v>
      </c>
      <c r="M874" s="2" t="s">
        <v>191</v>
      </c>
      <c r="N874" s="4" t="str">
        <f t="shared" si="111"/>
        <v>GAL</v>
      </c>
      <c r="O874" s="5">
        <v>180</v>
      </c>
      <c r="S874" s="32">
        <f t="shared" si="112"/>
        <v>0</v>
      </c>
    </row>
    <row r="875" spans="2:19" x14ac:dyDescent="0.25">
      <c r="B875" s="1" t="s">
        <v>154</v>
      </c>
      <c r="C875" s="2" t="s">
        <v>155</v>
      </c>
      <c r="D875" s="2" t="s">
        <v>628</v>
      </c>
      <c r="E875" s="2" t="s">
        <v>629</v>
      </c>
      <c r="F875" s="3">
        <v>44953</v>
      </c>
      <c r="G875" s="4">
        <f t="shared" si="109"/>
        <v>1</v>
      </c>
      <c r="H875" s="4">
        <f t="shared" si="110"/>
        <v>2023</v>
      </c>
      <c r="I875" s="2" t="s">
        <v>4</v>
      </c>
      <c r="J875" s="2" t="s">
        <v>1504</v>
      </c>
      <c r="K875" s="2" t="s">
        <v>1505</v>
      </c>
      <c r="L875" s="2" t="s">
        <v>182</v>
      </c>
      <c r="M875" s="2" t="s">
        <v>183</v>
      </c>
      <c r="N875" s="4" t="str">
        <f t="shared" si="111"/>
        <v>GAL</v>
      </c>
      <c r="O875" s="5">
        <v>750</v>
      </c>
      <c r="S875" s="32">
        <f t="shared" si="112"/>
        <v>0</v>
      </c>
    </row>
    <row r="876" spans="2:19" x14ac:dyDescent="0.25">
      <c r="B876" s="1" t="s">
        <v>645</v>
      </c>
      <c r="C876" s="2" t="s">
        <v>155</v>
      </c>
      <c r="D876" s="2" t="s">
        <v>646</v>
      </c>
      <c r="E876" s="2" t="s">
        <v>647</v>
      </c>
      <c r="F876" s="3">
        <v>44953</v>
      </c>
      <c r="G876" s="4">
        <f t="shared" si="109"/>
        <v>1</v>
      </c>
      <c r="H876" s="4">
        <f t="shared" si="110"/>
        <v>2023</v>
      </c>
      <c r="I876" s="2" t="s">
        <v>4</v>
      </c>
      <c r="J876" s="2" t="s">
        <v>1506</v>
      </c>
      <c r="K876" s="2" t="s">
        <v>158</v>
      </c>
      <c r="L876" s="2" t="s">
        <v>159</v>
      </c>
      <c r="M876" s="2" t="s">
        <v>160</v>
      </c>
      <c r="N876" s="4" t="str">
        <f t="shared" si="111"/>
        <v>GAL</v>
      </c>
      <c r="O876" s="5">
        <v>180</v>
      </c>
      <c r="S876" s="32">
        <f t="shared" si="112"/>
        <v>0</v>
      </c>
    </row>
    <row r="877" spans="2:19" x14ac:dyDescent="0.25">
      <c r="B877" s="1" t="s">
        <v>645</v>
      </c>
      <c r="C877" s="2" t="s">
        <v>155</v>
      </c>
      <c r="D877" s="2" t="s">
        <v>646</v>
      </c>
      <c r="E877" s="2" t="s">
        <v>647</v>
      </c>
      <c r="F877" s="3">
        <v>44957</v>
      </c>
      <c r="G877" s="4">
        <f t="shared" si="109"/>
        <v>1</v>
      </c>
      <c r="H877" s="4">
        <f t="shared" si="110"/>
        <v>2023</v>
      </c>
      <c r="I877" s="2" t="s">
        <v>4</v>
      </c>
      <c r="J877" s="2" t="s">
        <v>1507</v>
      </c>
      <c r="K877" s="2" t="s">
        <v>25</v>
      </c>
      <c r="L877" s="2" t="s">
        <v>541</v>
      </c>
      <c r="M877" s="2" t="s">
        <v>27</v>
      </c>
      <c r="N877" s="4" t="str">
        <f t="shared" si="111"/>
        <v>GAL</v>
      </c>
      <c r="O877" s="5">
        <v>360</v>
      </c>
      <c r="S877" s="32">
        <f t="shared" si="112"/>
        <v>0</v>
      </c>
    </row>
    <row r="878" spans="2:19" x14ac:dyDescent="0.25">
      <c r="B878" s="1" t="s">
        <v>154</v>
      </c>
      <c r="C878" s="2" t="s">
        <v>155</v>
      </c>
      <c r="D878" s="2" t="s">
        <v>623</v>
      </c>
      <c r="E878" s="2" t="s">
        <v>1099</v>
      </c>
      <c r="F878" s="3">
        <v>44929</v>
      </c>
      <c r="G878" s="4">
        <f t="shared" si="109"/>
        <v>1</v>
      </c>
      <c r="H878" s="4">
        <f t="shared" si="110"/>
        <v>2023</v>
      </c>
      <c r="I878" s="2" t="s">
        <v>4</v>
      </c>
      <c r="J878" s="2" t="s">
        <v>1508</v>
      </c>
      <c r="K878" s="2" t="s">
        <v>626</v>
      </c>
      <c r="L878" s="2" t="s">
        <v>627</v>
      </c>
      <c r="M878" s="2" t="s">
        <v>119</v>
      </c>
      <c r="N878" s="4" t="str">
        <f t="shared" si="111"/>
        <v>TON</v>
      </c>
      <c r="O878" s="5">
        <v>10.005000000000001</v>
      </c>
      <c r="S878" s="32">
        <f t="shared" si="112"/>
        <v>0</v>
      </c>
    </row>
    <row r="879" spans="2:19" x14ac:dyDescent="0.25">
      <c r="B879" s="1" t="s">
        <v>154</v>
      </c>
      <c r="C879" s="2" t="s">
        <v>155</v>
      </c>
      <c r="D879" s="2" t="s">
        <v>107</v>
      </c>
      <c r="E879" s="2" t="s">
        <v>108</v>
      </c>
      <c r="F879" s="3">
        <v>44929</v>
      </c>
      <c r="G879" s="4">
        <f t="shared" si="109"/>
        <v>1</v>
      </c>
      <c r="H879" s="4">
        <f t="shared" si="110"/>
        <v>2023</v>
      </c>
      <c r="I879" s="2" t="s">
        <v>4</v>
      </c>
      <c r="J879" s="2" t="s">
        <v>1509</v>
      </c>
      <c r="K879" s="2" t="s">
        <v>1078</v>
      </c>
      <c r="L879" s="2" t="s">
        <v>1079</v>
      </c>
      <c r="M879" s="2" t="s">
        <v>1080</v>
      </c>
      <c r="N879" s="4" t="str">
        <f t="shared" si="111"/>
        <v>GAL</v>
      </c>
      <c r="O879" s="5">
        <v>1044</v>
      </c>
      <c r="S879" s="32">
        <f t="shared" si="112"/>
        <v>0</v>
      </c>
    </row>
    <row r="880" spans="2:19" x14ac:dyDescent="0.25">
      <c r="B880" s="1" t="s">
        <v>154</v>
      </c>
      <c r="C880" s="2" t="s">
        <v>155</v>
      </c>
      <c r="D880" s="2" t="s">
        <v>178</v>
      </c>
      <c r="E880" s="2" t="s">
        <v>179</v>
      </c>
      <c r="F880" s="3">
        <v>44930</v>
      </c>
      <c r="G880" s="4">
        <f t="shared" si="109"/>
        <v>1</v>
      </c>
      <c r="H880" s="4">
        <f t="shared" si="110"/>
        <v>2023</v>
      </c>
      <c r="I880" s="2" t="s">
        <v>4</v>
      </c>
      <c r="J880" s="2" t="s">
        <v>1510</v>
      </c>
      <c r="K880" s="2" t="s">
        <v>609</v>
      </c>
      <c r="L880" s="2" t="s">
        <v>610</v>
      </c>
      <c r="M880" s="2" t="s">
        <v>611</v>
      </c>
      <c r="N880" s="4" t="str">
        <f t="shared" si="111"/>
        <v>GAL</v>
      </c>
      <c r="O880" s="5">
        <v>60</v>
      </c>
      <c r="S880" s="32">
        <f t="shared" si="112"/>
        <v>0</v>
      </c>
    </row>
    <row r="881" spans="2:19" x14ac:dyDescent="0.25">
      <c r="B881" s="1" t="s">
        <v>154</v>
      </c>
      <c r="C881" s="2" t="s">
        <v>155</v>
      </c>
      <c r="D881" s="2" t="s">
        <v>623</v>
      </c>
      <c r="E881" s="2" t="s">
        <v>1099</v>
      </c>
      <c r="F881" s="3">
        <v>44930</v>
      </c>
      <c r="G881" s="4">
        <f t="shared" si="109"/>
        <v>1</v>
      </c>
      <c r="H881" s="4">
        <f t="shared" si="110"/>
        <v>2023</v>
      </c>
      <c r="I881" s="2" t="s">
        <v>4</v>
      </c>
      <c r="J881" s="2" t="s">
        <v>1511</v>
      </c>
      <c r="K881" s="2" t="s">
        <v>626</v>
      </c>
      <c r="L881" s="2" t="s">
        <v>627</v>
      </c>
      <c r="M881" s="2" t="s">
        <v>119</v>
      </c>
      <c r="N881" s="4" t="str">
        <f t="shared" si="111"/>
        <v>TON</v>
      </c>
      <c r="O881" s="5">
        <v>15.022500000000001</v>
      </c>
      <c r="S881" s="32">
        <f t="shared" si="112"/>
        <v>0</v>
      </c>
    </row>
    <row r="882" spans="2:19" x14ac:dyDescent="0.25">
      <c r="B882" s="1" t="s">
        <v>154</v>
      </c>
      <c r="C882" s="2" t="s">
        <v>155</v>
      </c>
      <c r="D882" s="2" t="s">
        <v>623</v>
      </c>
      <c r="E882" s="2" t="s">
        <v>1099</v>
      </c>
      <c r="F882" s="3">
        <v>44931</v>
      </c>
      <c r="G882" s="4">
        <f t="shared" si="109"/>
        <v>1</v>
      </c>
      <c r="H882" s="4">
        <f t="shared" si="110"/>
        <v>2023</v>
      </c>
      <c r="I882" s="2" t="s">
        <v>4</v>
      </c>
      <c r="J882" s="2" t="s">
        <v>1512</v>
      </c>
      <c r="K882" s="2" t="s">
        <v>626</v>
      </c>
      <c r="L882" s="2" t="s">
        <v>627</v>
      </c>
      <c r="M882" s="2" t="s">
        <v>119</v>
      </c>
      <c r="N882" s="4" t="str">
        <f t="shared" si="111"/>
        <v>TON</v>
      </c>
      <c r="O882" s="5">
        <v>15.01</v>
      </c>
      <c r="S882" s="32">
        <f t="shared" si="112"/>
        <v>0</v>
      </c>
    </row>
    <row r="883" spans="2:19" x14ac:dyDescent="0.25">
      <c r="B883" s="1" t="s">
        <v>154</v>
      </c>
      <c r="C883" s="2" t="s">
        <v>155</v>
      </c>
      <c r="D883" s="2" t="s">
        <v>167</v>
      </c>
      <c r="E883" s="2" t="s">
        <v>168</v>
      </c>
      <c r="F883" s="3">
        <v>44932</v>
      </c>
      <c r="G883" s="4">
        <f t="shared" si="109"/>
        <v>1</v>
      </c>
      <c r="H883" s="4">
        <f t="shared" si="110"/>
        <v>2023</v>
      </c>
      <c r="I883" s="2" t="s">
        <v>4</v>
      </c>
      <c r="J883" s="2" t="s">
        <v>1513</v>
      </c>
      <c r="K883" s="2" t="s">
        <v>158</v>
      </c>
      <c r="L883" s="2" t="s">
        <v>159</v>
      </c>
      <c r="M883" s="2" t="s">
        <v>160</v>
      </c>
      <c r="N883" s="4" t="str">
        <f t="shared" si="111"/>
        <v>GAL</v>
      </c>
      <c r="O883" s="5">
        <v>180</v>
      </c>
      <c r="S883" s="32">
        <f t="shared" si="112"/>
        <v>0</v>
      </c>
    </row>
    <row r="884" spans="2:19" x14ac:dyDescent="0.25">
      <c r="B884" s="1" t="s">
        <v>154</v>
      </c>
      <c r="C884" s="2" t="s">
        <v>155</v>
      </c>
      <c r="D884" s="2" t="s">
        <v>623</v>
      </c>
      <c r="E884" s="2" t="s">
        <v>624</v>
      </c>
      <c r="F884" s="3">
        <v>44935</v>
      </c>
      <c r="G884" s="4">
        <f t="shared" si="109"/>
        <v>1</v>
      </c>
      <c r="H884" s="4">
        <f t="shared" si="110"/>
        <v>2023</v>
      </c>
      <c r="I884" s="2" t="s">
        <v>4</v>
      </c>
      <c r="J884" s="2" t="s">
        <v>1514</v>
      </c>
      <c r="K884" s="2" t="s">
        <v>626</v>
      </c>
      <c r="L884" s="2" t="s">
        <v>627</v>
      </c>
      <c r="M884" s="2" t="s">
        <v>119</v>
      </c>
      <c r="N884" s="4" t="str">
        <f t="shared" si="111"/>
        <v>TON</v>
      </c>
      <c r="O884" s="5">
        <v>15.03</v>
      </c>
      <c r="S884" s="32">
        <f t="shared" si="112"/>
        <v>0</v>
      </c>
    </row>
    <row r="885" spans="2:19" x14ac:dyDescent="0.25">
      <c r="B885" s="1" t="s">
        <v>154</v>
      </c>
      <c r="C885" s="2" t="s">
        <v>155</v>
      </c>
      <c r="D885" s="2" t="s">
        <v>107</v>
      </c>
      <c r="E885" s="2" t="s">
        <v>108</v>
      </c>
      <c r="F885" s="3">
        <v>44936</v>
      </c>
      <c r="G885" s="4">
        <f t="shared" si="109"/>
        <v>1</v>
      </c>
      <c r="H885" s="4">
        <f t="shared" si="110"/>
        <v>2023</v>
      </c>
      <c r="I885" s="2" t="s">
        <v>4</v>
      </c>
      <c r="J885" s="2" t="s">
        <v>1515</v>
      </c>
      <c r="K885" s="2" t="s">
        <v>626</v>
      </c>
      <c r="L885" s="2" t="s">
        <v>627</v>
      </c>
      <c r="M885" s="2" t="s">
        <v>119</v>
      </c>
      <c r="N885" s="4" t="str">
        <f t="shared" si="111"/>
        <v>TON</v>
      </c>
      <c r="O885" s="5">
        <v>2.5074999999999998</v>
      </c>
      <c r="S885" s="32">
        <f t="shared" si="112"/>
        <v>0</v>
      </c>
    </row>
    <row r="886" spans="2:19" x14ac:dyDescent="0.25">
      <c r="B886" s="1" t="s">
        <v>154</v>
      </c>
      <c r="C886" s="2" t="s">
        <v>155</v>
      </c>
      <c r="D886" s="2" t="s">
        <v>562</v>
      </c>
      <c r="E886" s="2" t="s">
        <v>1101</v>
      </c>
      <c r="F886" s="3">
        <v>44936</v>
      </c>
      <c r="G886" s="4">
        <f t="shared" si="109"/>
        <v>1</v>
      </c>
      <c r="H886" s="4">
        <f t="shared" si="110"/>
        <v>2023</v>
      </c>
      <c r="I886" s="2" t="s">
        <v>4</v>
      </c>
      <c r="J886" s="2" t="s">
        <v>1516</v>
      </c>
      <c r="K886" s="2" t="s">
        <v>19</v>
      </c>
      <c r="L886" s="2" t="s">
        <v>565</v>
      </c>
      <c r="M886" s="2" t="s">
        <v>21</v>
      </c>
      <c r="N886" s="4" t="str">
        <f t="shared" si="111"/>
        <v>GAL</v>
      </c>
      <c r="O886" s="5">
        <v>180</v>
      </c>
      <c r="S886" s="32">
        <f t="shared" si="112"/>
        <v>0</v>
      </c>
    </row>
    <row r="887" spans="2:19" x14ac:dyDescent="0.25">
      <c r="B887" s="1" t="s">
        <v>154</v>
      </c>
      <c r="C887" s="2" t="s">
        <v>155</v>
      </c>
      <c r="D887" s="2" t="s">
        <v>623</v>
      </c>
      <c r="E887" s="2" t="s">
        <v>1099</v>
      </c>
      <c r="F887" s="3">
        <v>44937</v>
      </c>
      <c r="G887" s="4">
        <f t="shared" si="109"/>
        <v>1</v>
      </c>
      <c r="H887" s="4">
        <f t="shared" si="110"/>
        <v>2023</v>
      </c>
      <c r="I887" s="2" t="s">
        <v>4</v>
      </c>
      <c r="J887" s="2" t="s">
        <v>1517</v>
      </c>
      <c r="K887" s="2" t="s">
        <v>626</v>
      </c>
      <c r="L887" s="2" t="s">
        <v>627</v>
      </c>
      <c r="M887" s="2" t="s">
        <v>119</v>
      </c>
      <c r="N887" s="4" t="str">
        <f t="shared" si="111"/>
        <v>TON</v>
      </c>
      <c r="O887" s="5">
        <v>15.015000000000001</v>
      </c>
      <c r="S887" s="32">
        <f t="shared" si="112"/>
        <v>0</v>
      </c>
    </row>
    <row r="888" spans="2:19" x14ac:dyDescent="0.25">
      <c r="B888" s="1" t="s">
        <v>154</v>
      </c>
      <c r="C888" s="2" t="s">
        <v>155</v>
      </c>
      <c r="D888" s="2" t="s">
        <v>628</v>
      </c>
      <c r="E888" s="2" t="s">
        <v>629</v>
      </c>
      <c r="F888" s="3">
        <v>44938</v>
      </c>
      <c r="G888" s="4">
        <f t="shared" si="109"/>
        <v>1</v>
      </c>
      <c r="H888" s="4">
        <f t="shared" si="110"/>
        <v>2023</v>
      </c>
      <c r="I888" s="2" t="s">
        <v>4</v>
      </c>
      <c r="J888" s="2" t="s">
        <v>1518</v>
      </c>
      <c r="K888" s="2" t="s">
        <v>1489</v>
      </c>
      <c r="L888" s="2" t="s">
        <v>1490</v>
      </c>
      <c r="M888" s="2" t="s">
        <v>1491</v>
      </c>
      <c r="N888" s="4" t="str">
        <f t="shared" si="111"/>
        <v>GAL</v>
      </c>
      <c r="O888" s="5">
        <v>180</v>
      </c>
      <c r="S888" s="32">
        <f t="shared" si="112"/>
        <v>0</v>
      </c>
    </row>
    <row r="889" spans="2:19" x14ac:dyDescent="0.25">
      <c r="B889" s="1" t="s">
        <v>645</v>
      </c>
      <c r="C889" s="2" t="s">
        <v>196</v>
      </c>
      <c r="D889" s="2" t="s">
        <v>207</v>
      </c>
      <c r="E889" s="2" t="s">
        <v>208</v>
      </c>
      <c r="F889" s="3">
        <v>44938</v>
      </c>
      <c r="G889" s="4">
        <f t="shared" si="109"/>
        <v>1</v>
      </c>
      <c r="H889" s="4">
        <f t="shared" si="110"/>
        <v>2023</v>
      </c>
      <c r="I889" s="2" t="s">
        <v>4</v>
      </c>
      <c r="J889" s="2" t="s">
        <v>1519</v>
      </c>
      <c r="K889" s="2" t="s">
        <v>205</v>
      </c>
      <c r="L889" s="2" t="s">
        <v>206</v>
      </c>
      <c r="M889" s="2" t="s">
        <v>119</v>
      </c>
      <c r="N889" s="4" t="str">
        <f t="shared" si="111"/>
        <v>TON</v>
      </c>
      <c r="O889" s="5">
        <v>2.0099999999999998</v>
      </c>
      <c r="S889" s="32">
        <f t="shared" si="112"/>
        <v>0</v>
      </c>
    </row>
    <row r="890" spans="2:19" x14ac:dyDescent="0.25">
      <c r="B890" s="1" t="s">
        <v>1520</v>
      </c>
      <c r="C890" s="2" t="s">
        <v>196</v>
      </c>
      <c r="D890" s="2" t="s">
        <v>241</v>
      </c>
      <c r="E890" s="2" t="s">
        <v>242</v>
      </c>
      <c r="F890" s="3">
        <v>44939</v>
      </c>
      <c r="G890" s="4">
        <f t="shared" si="109"/>
        <v>1</v>
      </c>
      <c r="H890" s="4">
        <f t="shared" si="110"/>
        <v>2023</v>
      </c>
      <c r="I890" s="2" t="s">
        <v>4</v>
      </c>
      <c r="J890" s="2" t="s">
        <v>1521</v>
      </c>
      <c r="K890" s="2" t="s">
        <v>1522</v>
      </c>
      <c r="L890" s="2" t="s">
        <v>1523</v>
      </c>
      <c r="M890" s="2" t="s">
        <v>119</v>
      </c>
      <c r="N890" s="4" t="str">
        <f t="shared" si="111"/>
        <v>TON</v>
      </c>
      <c r="O890" s="5">
        <v>0.15</v>
      </c>
      <c r="S890" s="32">
        <f t="shared" si="112"/>
        <v>0</v>
      </c>
    </row>
    <row r="891" spans="2:19" x14ac:dyDescent="0.25">
      <c r="B891" s="1" t="s">
        <v>1520</v>
      </c>
      <c r="C891" s="2" t="s">
        <v>196</v>
      </c>
      <c r="D891" s="2" t="s">
        <v>672</v>
      </c>
      <c r="E891" s="2" t="s">
        <v>699</v>
      </c>
      <c r="F891" s="3">
        <v>44939</v>
      </c>
      <c r="G891" s="4">
        <f t="shared" si="109"/>
        <v>1</v>
      </c>
      <c r="H891" s="4">
        <f t="shared" si="110"/>
        <v>2023</v>
      </c>
      <c r="I891" s="2" t="s">
        <v>4</v>
      </c>
      <c r="J891" s="2" t="s">
        <v>1524</v>
      </c>
      <c r="K891" s="2" t="s">
        <v>675</v>
      </c>
      <c r="L891" s="2" t="s">
        <v>676</v>
      </c>
      <c r="M891" s="2" t="s">
        <v>119</v>
      </c>
      <c r="N891" s="4" t="str">
        <f t="shared" si="111"/>
        <v>TON</v>
      </c>
      <c r="O891" s="5">
        <v>4</v>
      </c>
      <c r="S891" s="32">
        <f t="shared" si="112"/>
        <v>0</v>
      </c>
    </row>
    <row r="892" spans="2:19" x14ac:dyDescent="0.25">
      <c r="B892" s="1" t="s">
        <v>1520</v>
      </c>
      <c r="C892" s="2" t="s">
        <v>196</v>
      </c>
      <c r="D892" s="2" t="s">
        <v>248</v>
      </c>
      <c r="E892" s="2" t="s">
        <v>785</v>
      </c>
      <c r="F892" s="3">
        <v>44939</v>
      </c>
      <c r="G892" s="4">
        <f t="shared" si="109"/>
        <v>1</v>
      </c>
      <c r="H892" s="4">
        <f t="shared" si="110"/>
        <v>2023</v>
      </c>
      <c r="I892" s="2" t="s">
        <v>4</v>
      </c>
      <c r="J892" s="2" t="s">
        <v>1525</v>
      </c>
      <c r="K892" s="2" t="s">
        <v>390</v>
      </c>
      <c r="L892" s="2" t="s">
        <v>391</v>
      </c>
      <c r="M892" s="2" t="s">
        <v>119</v>
      </c>
      <c r="N892" s="4" t="str">
        <f t="shared" si="111"/>
        <v>TON</v>
      </c>
      <c r="O892" s="5">
        <v>15</v>
      </c>
      <c r="S892" s="32">
        <f t="shared" si="112"/>
        <v>0</v>
      </c>
    </row>
    <row r="893" spans="2:19" x14ac:dyDescent="0.25">
      <c r="B893" s="1" t="s">
        <v>1520</v>
      </c>
      <c r="C893" s="2" t="s">
        <v>196</v>
      </c>
      <c r="D893" s="2" t="s">
        <v>348</v>
      </c>
      <c r="E893" s="2" t="s">
        <v>349</v>
      </c>
      <c r="F893" s="3">
        <v>44939</v>
      </c>
      <c r="G893" s="4">
        <f t="shared" si="109"/>
        <v>1</v>
      </c>
      <c r="H893" s="4">
        <f t="shared" si="110"/>
        <v>2023</v>
      </c>
      <c r="I893" s="2" t="s">
        <v>4</v>
      </c>
      <c r="J893" s="2" t="s">
        <v>1526</v>
      </c>
      <c r="K893" s="2" t="s">
        <v>823</v>
      </c>
      <c r="L893" s="2" t="s">
        <v>776</v>
      </c>
      <c r="M893" s="2" t="s">
        <v>82</v>
      </c>
      <c r="N893" s="4" t="str">
        <f t="shared" si="111"/>
        <v>GAL</v>
      </c>
      <c r="O893" s="5">
        <v>500</v>
      </c>
      <c r="S893" s="32">
        <f t="shared" si="112"/>
        <v>0</v>
      </c>
    </row>
    <row r="894" spans="2:19" x14ac:dyDescent="0.25">
      <c r="B894" s="1" t="s">
        <v>1520</v>
      </c>
      <c r="C894" s="2" t="s">
        <v>196</v>
      </c>
      <c r="D894" s="2" t="s">
        <v>283</v>
      </c>
      <c r="E894" s="2" t="s">
        <v>382</v>
      </c>
      <c r="F894" s="3">
        <v>44943</v>
      </c>
      <c r="G894" s="4">
        <f t="shared" si="109"/>
        <v>1</v>
      </c>
      <c r="H894" s="4">
        <f t="shared" si="110"/>
        <v>2023</v>
      </c>
      <c r="I894" s="2" t="s">
        <v>4</v>
      </c>
      <c r="J894" s="2" t="s">
        <v>1527</v>
      </c>
      <c r="K894" s="2" t="s">
        <v>200</v>
      </c>
      <c r="L894" s="2" t="s">
        <v>201</v>
      </c>
      <c r="M894" s="2" t="s">
        <v>202</v>
      </c>
      <c r="N894" s="4" t="str">
        <f t="shared" si="111"/>
        <v>GAL</v>
      </c>
      <c r="O894" s="5">
        <v>5</v>
      </c>
      <c r="S894" s="32">
        <f t="shared" si="112"/>
        <v>0</v>
      </c>
    </row>
    <row r="895" spans="2:19" x14ac:dyDescent="0.25">
      <c r="B895" s="1" t="s">
        <v>645</v>
      </c>
      <c r="C895" s="2" t="s">
        <v>196</v>
      </c>
      <c r="D895" s="2" t="s">
        <v>387</v>
      </c>
      <c r="E895" s="2" t="s">
        <v>797</v>
      </c>
      <c r="F895" s="3">
        <v>44943</v>
      </c>
      <c r="G895" s="4">
        <f t="shared" si="109"/>
        <v>1</v>
      </c>
      <c r="H895" s="4">
        <f t="shared" si="110"/>
        <v>2023</v>
      </c>
      <c r="I895" s="2" t="s">
        <v>4</v>
      </c>
      <c r="J895" s="2" t="s">
        <v>1528</v>
      </c>
      <c r="K895" s="2" t="s">
        <v>1529</v>
      </c>
      <c r="L895" s="2" t="s">
        <v>1530</v>
      </c>
      <c r="M895" s="2" t="s">
        <v>119</v>
      </c>
      <c r="N895" s="4" t="str">
        <f t="shared" si="111"/>
        <v>TON</v>
      </c>
      <c r="O895" s="5">
        <v>14</v>
      </c>
      <c r="S895" s="32">
        <f t="shared" si="112"/>
        <v>0</v>
      </c>
    </row>
    <row r="896" spans="2:19" x14ac:dyDescent="0.25">
      <c r="B896" s="1" t="s">
        <v>1520</v>
      </c>
      <c r="C896" s="2" t="s">
        <v>196</v>
      </c>
      <c r="D896" s="2" t="s">
        <v>704</v>
      </c>
      <c r="E896" s="2" t="s">
        <v>705</v>
      </c>
      <c r="F896" s="3">
        <v>44943</v>
      </c>
      <c r="G896" s="4">
        <f t="shared" si="109"/>
        <v>1</v>
      </c>
      <c r="H896" s="4">
        <f t="shared" si="110"/>
        <v>2023</v>
      </c>
      <c r="I896" s="2" t="s">
        <v>4</v>
      </c>
      <c r="J896" s="2" t="s">
        <v>1531</v>
      </c>
      <c r="K896" s="2" t="s">
        <v>324</v>
      </c>
      <c r="L896" s="2" t="s">
        <v>325</v>
      </c>
      <c r="M896" s="2" t="s">
        <v>119</v>
      </c>
      <c r="N896" s="4" t="str">
        <f t="shared" si="111"/>
        <v>TON</v>
      </c>
      <c r="O896" s="5">
        <v>7.5</v>
      </c>
      <c r="S896" s="32">
        <f t="shared" si="112"/>
        <v>0</v>
      </c>
    </row>
    <row r="897" spans="2:19" x14ac:dyDescent="0.25">
      <c r="B897" s="1" t="s">
        <v>1520</v>
      </c>
      <c r="C897" s="2" t="s">
        <v>196</v>
      </c>
      <c r="D897" s="2" t="s">
        <v>289</v>
      </c>
      <c r="E897" s="2" t="s">
        <v>290</v>
      </c>
      <c r="F897" s="3">
        <v>44944</v>
      </c>
      <c r="G897" s="4">
        <f t="shared" si="109"/>
        <v>1</v>
      </c>
      <c r="H897" s="4">
        <f t="shared" si="110"/>
        <v>2023</v>
      </c>
      <c r="I897" s="2" t="s">
        <v>4</v>
      </c>
      <c r="J897" s="2" t="s">
        <v>1532</v>
      </c>
      <c r="K897" s="2" t="s">
        <v>865</v>
      </c>
      <c r="L897" s="2" t="s">
        <v>866</v>
      </c>
      <c r="M897" s="2" t="s">
        <v>119</v>
      </c>
      <c r="N897" s="4" t="str">
        <f t="shared" si="111"/>
        <v>TON</v>
      </c>
      <c r="O897" s="5">
        <v>1</v>
      </c>
      <c r="S897" s="32">
        <f t="shared" si="112"/>
        <v>0</v>
      </c>
    </row>
    <row r="898" spans="2:19" x14ac:dyDescent="0.25">
      <c r="B898" s="1" t="s">
        <v>1520</v>
      </c>
      <c r="C898" s="2" t="s">
        <v>196</v>
      </c>
      <c r="D898" s="2" t="s">
        <v>227</v>
      </c>
      <c r="E898" s="2" t="s">
        <v>228</v>
      </c>
      <c r="F898" s="3">
        <v>44944</v>
      </c>
      <c r="G898" s="4">
        <f t="shared" si="109"/>
        <v>1</v>
      </c>
      <c r="H898" s="4">
        <f t="shared" si="110"/>
        <v>2023</v>
      </c>
      <c r="I898" s="2" t="s">
        <v>4</v>
      </c>
      <c r="J898" s="2" t="s">
        <v>1533</v>
      </c>
      <c r="K898" s="2" t="s">
        <v>329</v>
      </c>
      <c r="L898" s="2" t="s">
        <v>330</v>
      </c>
      <c r="M898" s="2" t="s">
        <v>119</v>
      </c>
      <c r="N898" s="4" t="str">
        <f t="shared" si="111"/>
        <v>TON</v>
      </c>
      <c r="O898" s="5">
        <v>10</v>
      </c>
      <c r="S898" s="32">
        <f t="shared" si="112"/>
        <v>0</v>
      </c>
    </row>
    <row r="899" spans="2:19" x14ac:dyDescent="0.25">
      <c r="B899" s="1" t="s">
        <v>1520</v>
      </c>
      <c r="C899" s="2" t="s">
        <v>196</v>
      </c>
      <c r="D899" s="2" t="s">
        <v>440</v>
      </c>
      <c r="E899" s="2" t="s">
        <v>1369</v>
      </c>
      <c r="F899" s="3">
        <v>44944</v>
      </c>
      <c r="G899" s="4">
        <f t="shared" ref="G899:G962" si="113">+MONTH(F899)</f>
        <v>1</v>
      </c>
      <c r="H899" s="4">
        <f t="shared" ref="H899:H962" si="114">+YEAR(F899)</f>
        <v>2023</v>
      </c>
      <c r="I899" s="2" t="s">
        <v>4</v>
      </c>
      <c r="J899" s="2" t="s">
        <v>1534</v>
      </c>
      <c r="K899" s="2" t="s">
        <v>1529</v>
      </c>
      <c r="L899" s="2" t="s">
        <v>1530</v>
      </c>
      <c r="M899" s="2" t="s">
        <v>119</v>
      </c>
      <c r="N899" s="4" t="str">
        <f t="shared" ref="N899:N962" si="115">+LEFT(M899,3)</f>
        <v>TON</v>
      </c>
      <c r="O899" s="5">
        <v>5</v>
      </c>
      <c r="S899" s="32">
        <f t="shared" si="112"/>
        <v>0</v>
      </c>
    </row>
    <row r="900" spans="2:19" x14ac:dyDescent="0.25">
      <c r="B900" s="1" t="s">
        <v>1520</v>
      </c>
      <c r="C900" s="2" t="s">
        <v>196</v>
      </c>
      <c r="D900" s="2" t="s">
        <v>210</v>
      </c>
      <c r="E900" s="2" t="s">
        <v>827</v>
      </c>
      <c r="F900" s="3">
        <v>44944</v>
      </c>
      <c r="G900" s="4">
        <f t="shared" si="113"/>
        <v>1</v>
      </c>
      <c r="H900" s="4">
        <f t="shared" si="114"/>
        <v>2023</v>
      </c>
      <c r="I900" s="2" t="s">
        <v>4</v>
      </c>
      <c r="J900" s="2" t="s">
        <v>1535</v>
      </c>
      <c r="K900" s="2" t="s">
        <v>1379</v>
      </c>
      <c r="L900" s="2" t="s">
        <v>1380</v>
      </c>
      <c r="M900" s="2" t="s">
        <v>119</v>
      </c>
      <c r="N900" s="4" t="str">
        <f t="shared" si="115"/>
        <v>TON</v>
      </c>
      <c r="O900" s="5">
        <v>10</v>
      </c>
      <c r="S900" s="32">
        <f t="shared" ref="S900:S963" si="116">SUMIF($R$3:$R$885, $R900, $O$3:$O$885)</f>
        <v>0</v>
      </c>
    </row>
    <row r="901" spans="2:19" x14ac:dyDescent="0.25">
      <c r="B901" s="1" t="s">
        <v>1520</v>
      </c>
      <c r="C901" s="2" t="s">
        <v>196</v>
      </c>
      <c r="D901" s="2" t="s">
        <v>210</v>
      </c>
      <c r="E901" s="2" t="s">
        <v>827</v>
      </c>
      <c r="F901" s="3">
        <v>44944</v>
      </c>
      <c r="G901" s="4">
        <f t="shared" si="113"/>
        <v>1</v>
      </c>
      <c r="H901" s="4">
        <f t="shared" si="114"/>
        <v>2023</v>
      </c>
      <c r="I901" s="2" t="s">
        <v>4</v>
      </c>
      <c r="J901" s="2" t="s">
        <v>1536</v>
      </c>
      <c r="K901" s="2" t="s">
        <v>351</v>
      </c>
      <c r="L901" s="2" t="s">
        <v>352</v>
      </c>
      <c r="M901" s="2" t="s">
        <v>119</v>
      </c>
      <c r="N901" s="4" t="str">
        <f t="shared" si="115"/>
        <v>TON</v>
      </c>
      <c r="O901" s="5">
        <v>5</v>
      </c>
      <c r="S901" s="32">
        <f t="shared" si="116"/>
        <v>0</v>
      </c>
    </row>
    <row r="902" spans="2:19" x14ac:dyDescent="0.25">
      <c r="B902" s="1" t="s">
        <v>1520</v>
      </c>
      <c r="C902" s="2" t="s">
        <v>196</v>
      </c>
      <c r="D902" s="2" t="s">
        <v>285</v>
      </c>
      <c r="E902" s="2" t="s">
        <v>695</v>
      </c>
      <c r="F902" s="3">
        <v>44944</v>
      </c>
      <c r="G902" s="4">
        <f t="shared" si="113"/>
        <v>1</v>
      </c>
      <c r="H902" s="4">
        <f t="shared" si="114"/>
        <v>2023</v>
      </c>
      <c r="I902" s="2" t="s">
        <v>4</v>
      </c>
      <c r="J902" s="2" t="s">
        <v>1537</v>
      </c>
      <c r="K902" s="2" t="s">
        <v>292</v>
      </c>
      <c r="L902" s="2" t="s">
        <v>293</v>
      </c>
      <c r="M902" s="2" t="s">
        <v>119</v>
      </c>
      <c r="N902" s="4" t="str">
        <f t="shared" si="115"/>
        <v>TON</v>
      </c>
      <c r="O902" s="5">
        <v>4.0075000000000003</v>
      </c>
      <c r="S902" s="32">
        <f t="shared" si="116"/>
        <v>0</v>
      </c>
    </row>
    <row r="903" spans="2:19" x14ac:dyDescent="0.25">
      <c r="B903" s="1" t="s">
        <v>1520</v>
      </c>
      <c r="C903" s="2" t="s">
        <v>196</v>
      </c>
      <c r="D903" s="2" t="s">
        <v>452</v>
      </c>
      <c r="E903" s="2" t="s">
        <v>222</v>
      </c>
      <c r="F903" s="3">
        <v>44944</v>
      </c>
      <c r="G903" s="4">
        <f t="shared" si="113"/>
        <v>1</v>
      </c>
      <c r="H903" s="4">
        <f t="shared" si="114"/>
        <v>2023</v>
      </c>
      <c r="I903" s="2" t="s">
        <v>4</v>
      </c>
      <c r="J903" s="2" t="s">
        <v>1538</v>
      </c>
      <c r="K903" s="2" t="s">
        <v>117</v>
      </c>
      <c r="L903" s="2" t="s">
        <v>118</v>
      </c>
      <c r="M903" s="2" t="s">
        <v>119</v>
      </c>
      <c r="N903" s="4" t="str">
        <f t="shared" si="115"/>
        <v>TON</v>
      </c>
      <c r="O903" s="5">
        <v>4.0049999999999999</v>
      </c>
      <c r="S903" s="32">
        <f t="shared" si="116"/>
        <v>0</v>
      </c>
    </row>
    <row r="904" spans="2:19" x14ac:dyDescent="0.25">
      <c r="B904" s="1" t="s">
        <v>1520</v>
      </c>
      <c r="C904" s="2" t="s">
        <v>196</v>
      </c>
      <c r="D904" s="2" t="s">
        <v>280</v>
      </c>
      <c r="E904" s="2" t="s">
        <v>434</v>
      </c>
      <c r="F904" s="3">
        <v>44944</v>
      </c>
      <c r="G904" s="4">
        <f t="shared" si="113"/>
        <v>1</v>
      </c>
      <c r="H904" s="4">
        <f t="shared" si="114"/>
        <v>2023</v>
      </c>
      <c r="I904" s="2" t="s">
        <v>4</v>
      </c>
      <c r="J904" s="2" t="s">
        <v>1539</v>
      </c>
      <c r="K904" s="2" t="s">
        <v>390</v>
      </c>
      <c r="L904" s="2" t="s">
        <v>391</v>
      </c>
      <c r="M904" s="2" t="s">
        <v>119</v>
      </c>
      <c r="N904" s="4" t="str">
        <f t="shared" si="115"/>
        <v>TON</v>
      </c>
      <c r="O904" s="5">
        <v>8.5</v>
      </c>
      <c r="S904" s="32">
        <f t="shared" si="116"/>
        <v>0</v>
      </c>
    </row>
    <row r="905" spans="2:19" x14ac:dyDescent="0.25">
      <c r="B905" s="1" t="s">
        <v>1520</v>
      </c>
      <c r="C905" s="2" t="s">
        <v>196</v>
      </c>
      <c r="D905" s="2" t="s">
        <v>232</v>
      </c>
      <c r="E905" s="2" t="s">
        <v>778</v>
      </c>
      <c r="F905" s="3">
        <v>44944</v>
      </c>
      <c r="G905" s="4">
        <f t="shared" si="113"/>
        <v>1</v>
      </c>
      <c r="H905" s="4">
        <f t="shared" si="114"/>
        <v>2023</v>
      </c>
      <c r="I905" s="2" t="s">
        <v>4</v>
      </c>
      <c r="J905" s="2" t="s">
        <v>1540</v>
      </c>
      <c r="K905" s="2" t="s">
        <v>329</v>
      </c>
      <c r="L905" s="2" t="s">
        <v>330</v>
      </c>
      <c r="M905" s="2" t="s">
        <v>119</v>
      </c>
      <c r="N905" s="4" t="str">
        <f t="shared" si="115"/>
        <v>TON</v>
      </c>
      <c r="O905" s="5">
        <v>2.5</v>
      </c>
      <c r="S905" s="32">
        <f t="shared" si="116"/>
        <v>0</v>
      </c>
    </row>
    <row r="906" spans="2:19" x14ac:dyDescent="0.25">
      <c r="B906" s="1" t="s">
        <v>1520</v>
      </c>
      <c r="C906" s="2" t="s">
        <v>196</v>
      </c>
      <c r="D906" s="2" t="s">
        <v>280</v>
      </c>
      <c r="E906" s="2" t="s">
        <v>868</v>
      </c>
      <c r="F906" s="3">
        <v>44944</v>
      </c>
      <c r="G906" s="4">
        <f t="shared" si="113"/>
        <v>1</v>
      </c>
      <c r="H906" s="4">
        <f t="shared" si="114"/>
        <v>2023</v>
      </c>
      <c r="I906" s="2" t="s">
        <v>4</v>
      </c>
      <c r="J906" s="2" t="s">
        <v>1541</v>
      </c>
      <c r="K906" s="2" t="s">
        <v>390</v>
      </c>
      <c r="L906" s="2" t="s">
        <v>391</v>
      </c>
      <c r="M906" s="2" t="s">
        <v>119</v>
      </c>
      <c r="N906" s="4" t="str">
        <f t="shared" si="115"/>
        <v>TON</v>
      </c>
      <c r="O906" s="5">
        <v>15</v>
      </c>
      <c r="S906" s="32">
        <f t="shared" si="116"/>
        <v>0</v>
      </c>
    </row>
    <row r="907" spans="2:19" x14ac:dyDescent="0.25">
      <c r="B907" s="1" t="s">
        <v>1520</v>
      </c>
      <c r="C907" s="2" t="s">
        <v>196</v>
      </c>
      <c r="D907" s="2" t="s">
        <v>232</v>
      </c>
      <c r="E907" s="2" t="s">
        <v>233</v>
      </c>
      <c r="F907" s="3">
        <v>44945</v>
      </c>
      <c r="G907" s="4">
        <f t="shared" si="113"/>
        <v>1</v>
      </c>
      <c r="H907" s="4">
        <f t="shared" si="114"/>
        <v>2023</v>
      </c>
      <c r="I907" s="2" t="s">
        <v>4</v>
      </c>
      <c r="J907" s="2" t="s">
        <v>1542</v>
      </c>
      <c r="K907" s="2" t="s">
        <v>329</v>
      </c>
      <c r="L907" s="2" t="s">
        <v>330</v>
      </c>
      <c r="M907" s="2" t="s">
        <v>119</v>
      </c>
      <c r="N907" s="4" t="str">
        <f t="shared" si="115"/>
        <v>TON</v>
      </c>
      <c r="O907" s="5">
        <v>5</v>
      </c>
      <c r="S907" s="32">
        <f t="shared" si="116"/>
        <v>0</v>
      </c>
    </row>
    <row r="908" spans="2:19" x14ac:dyDescent="0.25">
      <c r="B908" s="1" t="s">
        <v>1520</v>
      </c>
      <c r="C908" s="2" t="s">
        <v>196</v>
      </c>
      <c r="D908" s="2" t="s">
        <v>331</v>
      </c>
      <c r="E908" s="2" t="s">
        <v>432</v>
      </c>
      <c r="F908" s="3">
        <v>44945</v>
      </c>
      <c r="G908" s="4">
        <f t="shared" si="113"/>
        <v>1</v>
      </c>
      <c r="H908" s="4">
        <f t="shared" si="114"/>
        <v>2023</v>
      </c>
      <c r="I908" s="2" t="s">
        <v>4</v>
      </c>
      <c r="J908" s="2" t="s">
        <v>1543</v>
      </c>
      <c r="K908" s="2" t="s">
        <v>334</v>
      </c>
      <c r="L908" s="2" t="s">
        <v>335</v>
      </c>
      <c r="M908" s="2" t="s">
        <v>119</v>
      </c>
      <c r="N908" s="4" t="str">
        <f t="shared" si="115"/>
        <v>TON</v>
      </c>
      <c r="O908" s="5">
        <v>5</v>
      </c>
      <c r="S908" s="32">
        <f t="shared" si="116"/>
        <v>0</v>
      </c>
    </row>
    <row r="909" spans="2:19" x14ac:dyDescent="0.25">
      <c r="B909" s="1" t="s">
        <v>1520</v>
      </c>
      <c r="C909" s="2" t="s">
        <v>196</v>
      </c>
      <c r="D909" s="2" t="s">
        <v>437</v>
      </c>
      <c r="E909" s="2" t="s">
        <v>738</v>
      </c>
      <c r="F909" s="3">
        <v>44945</v>
      </c>
      <c r="G909" s="4">
        <f t="shared" si="113"/>
        <v>1</v>
      </c>
      <c r="H909" s="4">
        <f t="shared" si="114"/>
        <v>2023</v>
      </c>
      <c r="I909" s="2" t="s">
        <v>4</v>
      </c>
      <c r="J909" s="2" t="s">
        <v>1544</v>
      </c>
      <c r="K909" s="2" t="s">
        <v>1291</v>
      </c>
      <c r="L909" s="2" t="s">
        <v>1292</v>
      </c>
      <c r="M909" s="2" t="s">
        <v>119</v>
      </c>
      <c r="N909" s="4" t="str">
        <f t="shared" si="115"/>
        <v>TON</v>
      </c>
      <c r="O909" s="5">
        <v>2.5</v>
      </c>
      <c r="S909" s="32">
        <f t="shared" si="116"/>
        <v>0</v>
      </c>
    </row>
    <row r="910" spans="2:19" x14ac:dyDescent="0.25">
      <c r="B910" s="1" t="s">
        <v>1520</v>
      </c>
      <c r="C910" s="2" t="s">
        <v>196</v>
      </c>
      <c r="D910" s="2" t="s">
        <v>800</v>
      </c>
      <c r="E910" s="2" t="s">
        <v>907</v>
      </c>
      <c r="F910" s="3">
        <v>44945</v>
      </c>
      <c r="G910" s="4">
        <f t="shared" si="113"/>
        <v>1</v>
      </c>
      <c r="H910" s="4">
        <f t="shared" si="114"/>
        <v>2023</v>
      </c>
      <c r="I910" s="2" t="s">
        <v>4</v>
      </c>
      <c r="J910" s="2" t="s">
        <v>1545</v>
      </c>
      <c r="K910" s="2" t="s">
        <v>122</v>
      </c>
      <c r="L910" s="2" t="s">
        <v>123</v>
      </c>
      <c r="M910" s="2" t="s">
        <v>119</v>
      </c>
      <c r="N910" s="4" t="str">
        <f t="shared" si="115"/>
        <v>TON</v>
      </c>
      <c r="O910" s="5">
        <v>2.0125000000000002</v>
      </c>
      <c r="S910" s="32">
        <f t="shared" si="116"/>
        <v>0</v>
      </c>
    </row>
    <row r="911" spans="2:19" x14ac:dyDescent="0.25">
      <c r="B911" s="1" t="s">
        <v>1520</v>
      </c>
      <c r="C911" s="2" t="s">
        <v>196</v>
      </c>
      <c r="D911" s="2" t="s">
        <v>241</v>
      </c>
      <c r="E911" s="2" t="s">
        <v>258</v>
      </c>
      <c r="F911" s="3">
        <v>44945</v>
      </c>
      <c r="G911" s="4">
        <f t="shared" si="113"/>
        <v>1</v>
      </c>
      <c r="H911" s="4">
        <f t="shared" si="114"/>
        <v>2023</v>
      </c>
      <c r="I911" s="2" t="s">
        <v>4</v>
      </c>
      <c r="J911" s="2" t="s">
        <v>1546</v>
      </c>
      <c r="K911" s="2" t="s">
        <v>260</v>
      </c>
      <c r="L911" s="2" t="s">
        <v>261</v>
      </c>
      <c r="M911" s="2" t="s">
        <v>119</v>
      </c>
      <c r="N911" s="4" t="str">
        <f t="shared" si="115"/>
        <v>TON</v>
      </c>
      <c r="O911" s="5">
        <v>1.25</v>
      </c>
      <c r="S911" s="32">
        <f t="shared" si="116"/>
        <v>0</v>
      </c>
    </row>
    <row r="912" spans="2:19" x14ac:dyDescent="0.25">
      <c r="B912" s="1" t="s">
        <v>1520</v>
      </c>
      <c r="C912" s="2" t="s">
        <v>196</v>
      </c>
      <c r="D912" s="2" t="s">
        <v>221</v>
      </c>
      <c r="E912" s="2" t="s">
        <v>942</v>
      </c>
      <c r="F912" s="3">
        <v>44945</v>
      </c>
      <c r="G912" s="4">
        <f t="shared" si="113"/>
        <v>1</v>
      </c>
      <c r="H912" s="4">
        <f t="shared" si="114"/>
        <v>2023</v>
      </c>
      <c r="I912" s="2" t="s">
        <v>4</v>
      </c>
      <c r="J912" s="2" t="s">
        <v>1547</v>
      </c>
      <c r="K912" s="2" t="s">
        <v>334</v>
      </c>
      <c r="L912" s="2" t="s">
        <v>335</v>
      </c>
      <c r="M912" s="2" t="s">
        <v>119</v>
      </c>
      <c r="N912" s="4" t="str">
        <f t="shared" si="115"/>
        <v>TON</v>
      </c>
      <c r="O912" s="5">
        <v>2.4874999999999998</v>
      </c>
      <c r="S912" s="32">
        <f t="shared" si="116"/>
        <v>0</v>
      </c>
    </row>
    <row r="913" spans="2:19" x14ac:dyDescent="0.25">
      <c r="B913" s="1" t="s">
        <v>1520</v>
      </c>
      <c r="C913" s="2" t="s">
        <v>196</v>
      </c>
      <c r="D913" s="2" t="s">
        <v>215</v>
      </c>
      <c r="E913" s="2" t="s">
        <v>858</v>
      </c>
      <c r="F913" s="3">
        <v>44945</v>
      </c>
      <c r="G913" s="4">
        <f t="shared" si="113"/>
        <v>1</v>
      </c>
      <c r="H913" s="4">
        <f t="shared" si="114"/>
        <v>2023</v>
      </c>
      <c r="I913" s="2" t="s">
        <v>4</v>
      </c>
      <c r="J913" s="2" t="s">
        <v>1548</v>
      </c>
      <c r="K913" s="2" t="s">
        <v>329</v>
      </c>
      <c r="L913" s="2" t="s">
        <v>330</v>
      </c>
      <c r="M913" s="2" t="s">
        <v>119</v>
      </c>
      <c r="N913" s="4" t="str">
        <f t="shared" si="115"/>
        <v>TON</v>
      </c>
      <c r="O913" s="5">
        <v>5</v>
      </c>
      <c r="S913" s="32">
        <f t="shared" si="116"/>
        <v>0</v>
      </c>
    </row>
    <row r="914" spans="2:19" x14ac:dyDescent="0.25">
      <c r="B914" s="1" t="s">
        <v>1520</v>
      </c>
      <c r="C914" s="2" t="s">
        <v>196</v>
      </c>
      <c r="D914" s="2" t="s">
        <v>1276</v>
      </c>
      <c r="E914" s="2" t="s">
        <v>1277</v>
      </c>
      <c r="F914" s="3">
        <v>44945</v>
      </c>
      <c r="G914" s="4">
        <f t="shared" si="113"/>
        <v>1</v>
      </c>
      <c r="H914" s="4">
        <f t="shared" si="114"/>
        <v>2023</v>
      </c>
      <c r="I914" s="2" t="s">
        <v>4</v>
      </c>
      <c r="J914" s="2" t="s">
        <v>1549</v>
      </c>
      <c r="K914" s="2" t="s">
        <v>122</v>
      </c>
      <c r="L914" s="2" t="s">
        <v>123</v>
      </c>
      <c r="M914" s="2" t="s">
        <v>119</v>
      </c>
      <c r="N914" s="4" t="str">
        <f t="shared" si="115"/>
        <v>TON</v>
      </c>
      <c r="O914" s="5">
        <v>3.7149999999999999</v>
      </c>
      <c r="S914" s="32">
        <f t="shared" si="116"/>
        <v>0</v>
      </c>
    </row>
    <row r="915" spans="2:19" x14ac:dyDescent="0.25">
      <c r="B915" s="1" t="s">
        <v>1520</v>
      </c>
      <c r="C915" s="2" t="s">
        <v>196</v>
      </c>
      <c r="D915" s="2" t="s">
        <v>1345</v>
      </c>
      <c r="E915" s="2" t="s">
        <v>1346</v>
      </c>
      <c r="F915" s="3">
        <v>44945</v>
      </c>
      <c r="G915" s="4">
        <f t="shared" si="113"/>
        <v>1</v>
      </c>
      <c r="H915" s="4">
        <f t="shared" si="114"/>
        <v>2023</v>
      </c>
      <c r="I915" s="2" t="s">
        <v>4</v>
      </c>
      <c r="J915" s="2" t="s">
        <v>1550</v>
      </c>
      <c r="K915" s="2" t="s">
        <v>122</v>
      </c>
      <c r="L915" s="2" t="s">
        <v>123</v>
      </c>
      <c r="M915" s="2" t="s">
        <v>119</v>
      </c>
      <c r="N915" s="4" t="str">
        <f t="shared" si="115"/>
        <v>TON</v>
      </c>
      <c r="O915" s="5">
        <v>6.25</v>
      </c>
      <c r="S915" s="32">
        <f t="shared" si="116"/>
        <v>0</v>
      </c>
    </row>
    <row r="916" spans="2:19" x14ac:dyDescent="0.25">
      <c r="B916" s="1" t="s">
        <v>1520</v>
      </c>
      <c r="C916" s="2" t="s">
        <v>196</v>
      </c>
      <c r="D916" s="2" t="s">
        <v>790</v>
      </c>
      <c r="E916" s="2" t="s">
        <v>791</v>
      </c>
      <c r="F916" s="3">
        <v>44945</v>
      </c>
      <c r="G916" s="4">
        <f t="shared" si="113"/>
        <v>1</v>
      </c>
      <c r="H916" s="4">
        <f t="shared" si="114"/>
        <v>2023</v>
      </c>
      <c r="I916" s="2" t="s">
        <v>4</v>
      </c>
      <c r="J916" s="2" t="s">
        <v>1551</v>
      </c>
      <c r="K916" s="2" t="s">
        <v>122</v>
      </c>
      <c r="L916" s="2" t="s">
        <v>123</v>
      </c>
      <c r="M916" s="2" t="s">
        <v>119</v>
      </c>
      <c r="N916" s="4" t="str">
        <f t="shared" si="115"/>
        <v>TON</v>
      </c>
      <c r="O916" s="5">
        <v>5.0274999999999999</v>
      </c>
      <c r="S916" s="32">
        <f t="shared" si="116"/>
        <v>0</v>
      </c>
    </row>
    <row r="917" spans="2:19" x14ac:dyDescent="0.25">
      <c r="B917" s="1" t="s">
        <v>1520</v>
      </c>
      <c r="C917" s="2" t="s">
        <v>196</v>
      </c>
      <c r="D917" s="2" t="s">
        <v>418</v>
      </c>
      <c r="E917" s="2" t="s">
        <v>770</v>
      </c>
      <c r="F917" s="3">
        <v>44945</v>
      </c>
      <c r="G917" s="4">
        <f t="shared" si="113"/>
        <v>1</v>
      </c>
      <c r="H917" s="4">
        <f t="shared" si="114"/>
        <v>2023</v>
      </c>
      <c r="I917" s="2" t="s">
        <v>4</v>
      </c>
      <c r="J917" s="2" t="s">
        <v>1552</v>
      </c>
      <c r="K917" s="2" t="s">
        <v>422</v>
      </c>
      <c r="L917" s="2" t="s">
        <v>423</v>
      </c>
      <c r="M917" s="2" t="s">
        <v>119</v>
      </c>
      <c r="N917" s="4" t="str">
        <f t="shared" si="115"/>
        <v>TON</v>
      </c>
      <c r="O917" s="5">
        <v>4.5</v>
      </c>
      <c r="S917" s="32">
        <f t="shared" si="116"/>
        <v>0</v>
      </c>
    </row>
    <row r="918" spans="2:19" x14ac:dyDescent="0.25">
      <c r="B918" s="1" t="s">
        <v>1520</v>
      </c>
      <c r="C918" s="2" t="s">
        <v>196</v>
      </c>
      <c r="D918" s="2" t="s">
        <v>321</v>
      </c>
      <c r="E918" s="2" t="s">
        <v>697</v>
      </c>
      <c r="F918" s="3">
        <v>44945</v>
      </c>
      <c r="G918" s="4">
        <f t="shared" si="113"/>
        <v>1</v>
      </c>
      <c r="H918" s="4">
        <f t="shared" si="114"/>
        <v>2023</v>
      </c>
      <c r="I918" s="2" t="s">
        <v>4</v>
      </c>
      <c r="J918" s="2" t="s">
        <v>1553</v>
      </c>
      <c r="K918" s="2" t="s">
        <v>394</v>
      </c>
      <c r="L918" s="2" t="s">
        <v>395</v>
      </c>
      <c r="M918" s="2" t="s">
        <v>119</v>
      </c>
      <c r="N918" s="4" t="str">
        <f t="shared" si="115"/>
        <v>TON</v>
      </c>
      <c r="O918" s="5">
        <v>10.0175</v>
      </c>
      <c r="S918" s="32">
        <f t="shared" si="116"/>
        <v>0</v>
      </c>
    </row>
    <row r="919" spans="2:19" x14ac:dyDescent="0.25">
      <c r="B919" s="1" t="s">
        <v>1520</v>
      </c>
      <c r="C919" s="2" t="s">
        <v>196</v>
      </c>
      <c r="D919" s="2" t="s">
        <v>215</v>
      </c>
      <c r="E919" s="2" t="s">
        <v>315</v>
      </c>
      <c r="F919" s="3">
        <v>44945</v>
      </c>
      <c r="G919" s="4">
        <f t="shared" si="113"/>
        <v>1</v>
      </c>
      <c r="H919" s="4">
        <f t="shared" si="114"/>
        <v>2023</v>
      </c>
      <c r="I919" s="2" t="s">
        <v>4</v>
      </c>
      <c r="J919" s="2" t="s">
        <v>1554</v>
      </c>
      <c r="K919" s="2" t="s">
        <v>447</v>
      </c>
      <c r="L919" s="2" t="s">
        <v>448</v>
      </c>
      <c r="M919" s="2" t="s">
        <v>119</v>
      </c>
      <c r="N919" s="4" t="str">
        <f t="shared" si="115"/>
        <v>TON</v>
      </c>
      <c r="O919" s="5">
        <v>2.52</v>
      </c>
      <c r="S919" s="32">
        <f t="shared" si="116"/>
        <v>0</v>
      </c>
    </row>
    <row r="920" spans="2:19" x14ac:dyDescent="0.25">
      <c r="B920" s="1" t="s">
        <v>1520</v>
      </c>
      <c r="C920" s="2" t="s">
        <v>196</v>
      </c>
      <c r="D920" s="2" t="s">
        <v>285</v>
      </c>
      <c r="E920" s="2" t="s">
        <v>297</v>
      </c>
      <c r="F920" s="3">
        <v>44946</v>
      </c>
      <c r="G920" s="4">
        <f t="shared" si="113"/>
        <v>1</v>
      </c>
      <c r="H920" s="4">
        <f t="shared" si="114"/>
        <v>2023</v>
      </c>
      <c r="I920" s="2" t="s">
        <v>4</v>
      </c>
      <c r="J920" s="2" t="s">
        <v>1555</v>
      </c>
      <c r="K920" s="2" t="s">
        <v>292</v>
      </c>
      <c r="L920" s="2" t="s">
        <v>293</v>
      </c>
      <c r="M920" s="2" t="s">
        <v>119</v>
      </c>
      <c r="N920" s="4" t="str">
        <f t="shared" si="115"/>
        <v>TON</v>
      </c>
      <c r="O920" s="5">
        <v>8</v>
      </c>
      <c r="S920" s="32">
        <f t="shared" si="116"/>
        <v>0</v>
      </c>
    </row>
    <row r="921" spans="2:19" x14ac:dyDescent="0.25">
      <c r="B921" s="1" t="s">
        <v>1520</v>
      </c>
      <c r="C921" s="2" t="s">
        <v>196</v>
      </c>
      <c r="D921" s="2" t="s">
        <v>317</v>
      </c>
      <c r="E921" s="2" t="s">
        <v>677</v>
      </c>
      <c r="F921" s="3">
        <v>44946</v>
      </c>
      <c r="G921" s="4">
        <f t="shared" si="113"/>
        <v>1</v>
      </c>
      <c r="H921" s="4">
        <f t="shared" si="114"/>
        <v>2023</v>
      </c>
      <c r="I921" s="2" t="s">
        <v>4</v>
      </c>
      <c r="J921" s="2" t="s">
        <v>1556</v>
      </c>
      <c r="K921" s="2" t="s">
        <v>390</v>
      </c>
      <c r="L921" s="2" t="s">
        <v>391</v>
      </c>
      <c r="M921" s="2" t="s">
        <v>119</v>
      </c>
      <c r="N921" s="4" t="str">
        <f t="shared" si="115"/>
        <v>TON</v>
      </c>
      <c r="O921" s="5">
        <v>15</v>
      </c>
      <c r="S921" s="32">
        <f t="shared" si="116"/>
        <v>0</v>
      </c>
    </row>
    <row r="922" spans="2:19" x14ac:dyDescent="0.25">
      <c r="B922" s="1" t="s">
        <v>1520</v>
      </c>
      <c r="C922" s="2" t="s">
        <v>196</v>
      </c>
      <c r="D922" s="2" t="s">
        <v>280</v>
      </c>
      <c r="E922" s="2" t="s">
        <v>281</v>
      </c>
      <c r="F922" s="3">
        <v>44946</v>
      </c>
      <c r="G922" s="4">
        <f t="shared" si="113"/>
        <v>1</v>
      </c>
      <c r="H922" s="4">
        <f t="shared" si="114"/>
        <v>2023</v>
      </c>
      <c r="I922" s="2" t="s">
        <v>4</v>
      </c>
      <c r="J922" s="2" t="s">
        <v>1557</v>
      </c>
      <c r="K922" s="2" t="s">
        <v>390</v>
      </c>
      <c r="L922" s="2" t="s">
        <v>391</v>
      </c>
      <c r="M922" s="2" t="s">
        <v>119</v>
      </c>
      <c r="N922" s="4" t="str">
        <f t="shared" si="115"/>
        <v>TON</v>
      </c>
      <c r="O922" s="5">
        <v>10.02</v>
      </c>
      <c r="S922" s="32">
        <f t="shared" si="116"/>
        <v>0</v>
      </c>
    </row>
    <row r="923" spans="2:19" x14ac:dyDescent="0.25">
      <c r="B923" s="1" t="s">
        <v>1520</v>
      </c>
      <c r="C923" s="2" t="s">
        <v>196</v>
      </c>
      <c r="D923" s="2" t="s">
        <v>310</v>
      </c>
      <c r="E923" s="2" t="s">
        <v>426</v>
      </c>
      <c r="F923" s="3">
        <v>44946</v>
      </c>
      <c r="G923" s="4">
        <f t="shared" si="113"/>
        <v>1</v>
      </c>
      <c r="H923" s="4">
        <f t="shared" si="114"/>
        <v>2023</v>
      </c>
      <c r="I923" s="2" t="s">
        <v>4</v>
      </c>
      <c r="J923" s="2" t="s">
        <v>1558</v>
      </c>
      <c r="K923" s="2" t="s">
        <v>428</v>
      </c>
      <c r="L923" s="2" t="s">
        <v>429</v>
      </c>
      <c r="M923" s="2" t="s">
        <v>119</v>
      </c>
      <c r="N923" s="4" t="str">
        <f t="shared" si="115"/>
        <v>TON</v>
      </c>
      <c r="O923" s="5">
        <v>2</v>
      </c>
      <c r="S923" s="32">
        <f t="shared" si="116"/>
        <v>0</v>
      </c>
    </row>
    <row r="924" spans="2:19" x14ac:dyDescent="0.25">
      <c r="B924" s="1" t="s">
        <v>1520</v>
      </c>
      <c r="C924" s="2" t="s">
        <v>196</v>
      </c>
      <c r="D924" s="2" t="s">
        <v>475</v>
      </c>
      <c r="E924" s="2" t="s">
        <v>476</v>
      </c>
      <c r="F924" s="3">
        <v>44946</v>
      </c>
      <c r="G924" s="4">
        <f t="shared" si="113"/>
        <v>1</v>
      </c>
      <c r="H924" s="4">
        <f t="shared" si="114"/>
        <v>2023</v>
      </c>
      <c r="I924" s="2" t="s">
        <v>4</v>
      </c>
      <c r="J924" s="2" t="s">
        <v>1559</v>
      </c>
      <c r="K924" s="2" t="s">
        <v>478</v>
      </c>
      <c r="L924" s="2" t="s">
        <v>479</v>
      </c>
      <c r="M924" s="2" t="s">
        <v>119</v>
      </c>
      <c r="N924" s="4" t="str">
        <f t="shared" si="115"/>
        <v>TON</v>
      </c>
      <c r="O924" s="5">
        <v>2.5024999999999999</v>
      </c>
      <c r="S924" s="32">
        <f t="shared" si="116"/>
        <v>0</v>
      </c>
    </row>
    <row r="925" spans="2:19" x14ac:dyDescent="0.25">
      <c r="B925" s="1" t="s">
        <v>1520</v>
      </c>
      <c r="C925" s="2" t="s">
        <v>196</v>
      </c>
      <c r="D925" s="2" t="s">
        <v>452</v>
      </c>
      <c r="E925" s="2" t="s">
        <v>453</v>
      </c>
      <c r="F925" s="3">
        <v>44946</v>
      </c>
      <c r="G925" s="4">
        <f t="shared" si="113"/>
        <v>1</v>
      </c>
      <c r="H925" s="4">
        <f t="shared" si="114"/>
        <v>2023</v>
      </c>
      <c r="I925" s="2" t="s">
        <v>4</v>
      </c>
      <c r="J925" s="2" t="s">
        <v>1560</v>
      </c>
      <c r="K925" s="2" t="s">
        <v>117</v>
      </c>
      <c r="L925" s="2" t="s">
        <v>118</v>
      </c>
      <c r="M925" s="2" t="s">
        <v>119</v>
      </c>
      <c r="N925" s="4" t="str">
        <f t="shared" si="115"/>
        <v>TON</v>
      </c>
      <c r="O925" s="5">
        <v>3.5</v>
      </c>
      <c r="S925" s="32">
        <f t="shared" si="116"/>
        <v>0</v>
      </c>
    </row>
    <row r="926" spans="2:19" x14ac:dyDescent="0.25">
      <c r="B926" s="1" t="s">
        <v>645</v>
      </c>
      <c r="C926" s="2" t="s">
        <v>196</v>
      </c>
      <c r="D926" s="2" t="s">
        <v>440</v>
      </c>
      <c r="E926" s="2" t="s">
        <v>441</v>
      </c>
      <c r="F926" s="3">
        <v>44946</v>
      </c>
      <c r="G926" s="4">
        <f t="shared" si="113"/>
        <v>1</v>
      </c>
      <c r="H926" s="4">
        <f t="shared" si="114"/>
        <v>2023</v>
      </c>
      <c r="I926" s="2" t="s">
        <v>4</v>
      </c>
      <c r="J926" s="2" t="s">
        <v>1561</v>
      </c>
      <c r="K926" s="2" t="s">
        <v>1529</v>
      </c>
      <c r="L926" s="2" t="s">
        <v>1530</v>
      </c>
      <c r="M926" s="2" t="s">
        <v>119</v>
      </c>
      <c r="N926" s="4" t="str">
        <f t="shared" si="115"/>
        <v>TON</v>
      </c>
      <c r="O926" s="5">
        <v>10</v>
      </c>
      <c r="S926" s="32">
        <f t="shared" si="116"/>
        <v>0</v>
      </c>
    </row>
    <row r="927" spans="2:19" x14ac:dyDescent="0.25">
      <c r="B927" s="1" t="s">
        <v>1520</v>
      </c>
      <c r="C927" s="2" t="s">
        <v>196</v>
      </c>
      <c r="D927" s="2" t="s">
        <v>224</v>
      </c>
      <c r="E927" s="2" t="s">
        <v>895</v>
      </c>
      <c r="F927" s="3">
        <v>44946</v>
      </c>
      <c r="G927" s="4">
        <f t="shared" si="113"/>
        <v>1</v>
      </c>
      <c r="H927" s="4">
        <f t="shared" si="114"/>
        <v>2023</v>
      </c>
      <c r="I927" s="2" t="s">
        <v>4</v>
      </c>
      <c r="J927" s="2" t="s">
        <v>1562</v>
      </c>
      <c r="K927" s="2" t="s">
        <v>205</v>
      </c>
      <c r="L927" s="2" t="s">
        <v>206</v>
      </c>
      <c r="M927" s="2" t="s">
        <v>119</v>
      </c>
      <c r="N927" s="4" t="str">
        <f t="shared" si="115"/>
        <v>TON</v>
      </c>
      <c r="O927" s="5">
        <v>6.2725</v>
      </c>
      <c r="S927" s="32">
        <f t="shared" si="116"/>
        <v>0</v>
      </c>
    </row>
    <row r="928" spans="2:19" x14ac:dyDescent="0.25">
      <c r="B928" s="1" t="s">
        <v>1520</v>
      </c>
      <c r="C928" s="2" t="s">
        <v>196</v>
      </c>
      <c r="D928" s="2" t="s">
        <v>262</v>
      </c>
      <c r="E928" s="2" t="s">
        <v>1563</v>
      </c>
      <c r="F928" s="3">
        <v>44946</v>
      </c>
      <c r="G928" s="4">
        <f t="shared" si="113"/>
        <v>1</v>
      </c>
      <c r="H928" s="4">
        <f t="shared" si="114"/>
        <v>2023</v>
      </c>
      <c r="I928" s="2" t="s">
        <v>4</v>
      </c>
      <c r="J928" s="2" t="s">
        <v>1564</v>
      </c>
      <c r="K928" s="2" t="s">
        <v>292</v>
      </c>
      <c r="L928" s="2" t="s">
        <v>293</v>
      </c>
      <c r="M928" s="2" t="s">
        <v>119</v>
      </c>
      <c r="N928" s="4" t="str">
        <f t="shared" si="115"/>
        <v>TON</v>
      </c>
      <c r="O928" s="5">
        <v>2.5</v>
      </c>
      <c r="S928" s="32">
        <f t="shared" si="116"/>
        <v>0</v>
      </c>
    </row>
    <row r="929" spans="2:19" x14ac:dyDescent="0.25">
      <c r="B929" s="1" t="s">
        <v>1520</v>
      </c>
      <c r="C929" s="2" t="s">
        <v>196</v>
      </c>
      <c r="D929" s="2" t="s">
        <v>1565</v>
      </c>
      <c r="E929" s="2" t="s">
        <v>1566</v>
      </c>
      <c r="F929" s="3">
        <v>44946</v>
      </c>
      <c r="G929" s="4">
        <f t="shared" si="113"/>
        <v>1</v>
      </c>
      <c r="H929" s="4">
        <f t="shared" si="114"/>
        <v>2023</v>
      </c>
      <c r="I929" s="2" t="s">
        <v>4</v>
      </c>
      <c r="J929" s="2" t="s">
        <v>1567</v>
      </c>
      <c r="K929" s="2" t="s">
        <v>1120</v>
      </c>
      <c r="L929" s="2" t="s">
        <v>1568</v>
      </c>
      <c r="M929" s="2" t="s">
        <v>131</v>
      </c>
      <c r="N929" s="4" t="str">
        <f t="shared" si="115"/>
        <v>GAL</v>
      </c>
      <c r="O929" s="5">
        <v>50</v>
      </c>
      <c r="S929" s="32">
        <f t="shared" si="116"/>
        <v>0</v>
      </c>
    </row>
    <row r="930" spans="2:19" x14ac:dyDescent="0.25">
      <c r="B930" s="1" t="s">
        <v>1520</v>
      </c>
      <c r="C930" s="2" t="s">
        <v>196</v>
      </c>
      <c r="D930" s="2" t="s">
        <v>1565</v>
      </c>
      <c r="E930" s="2" t="s">
        <v>1566</v>
      </c>
      <c r="F930" s="3">
        <v>44946</v>
      </c>
      <c r="G930" s="4">
        <f t="shared" si="113"/>
        <v>1</v>
      </c>
      <c r="H930" s="4">
        <f t="shared" si="114"/>
        <v>2023</v>
      </c>
      <c r="I930" s="2" t="s">
        <v>4</v>
      </c>
      <c r="J930" s="2" t="s">
        <v>1567</v>
      </c>
      <c r="K930" s="2" t="s">
        <v>189</v>
      </c>
      <c r="L930" s="2" t="s">
        <v>190</v>
      </c>
      <c r="M930" s="2" t="s">
        <v>191</v>
      </c>
      <c r="N930" s="4" t="str">
        <f t="shared" si="115"/>
        <v>GAL</v>
      </c>
      <c r="O930" s="5">
        <v>50</v>
      </c>
      <c r="S930" s="32">
        <f t="shared" si="116"/>
        <v>0</v>
      </c>
    </row>
    <row r="931" spans="2:19" x14ac:dyDescent="0.25">
      <c r="B931" s="1" t="s">
        <v>1520</v>
      </c>
      <c r="C931" s="2" t="s">
        <v>196</v>
      </c>
      <c r="D931" s="2" t="s">
        <v>884</v>
      </c>
      <c r="E931" s="2" t="s">
        <v>909</v>
      </c>
      <c r="F931" s="3">
        <v>44946</v>
      </c>
      <c r="G931" s="4">
        <f t="shared" si="113"/>
        <v>1</v>
      </c>
      <c r="H931" s="4">
        <f t="shared" si="114"/>
        <v>2023</v>
      </c>
      <c r="I931" s="2" t="s">
        <v>4</v>
      </c>
      <c r="J931" s="2" t="s">
        <v>1569</v>
      </c>
      <c r="K931" s="2" t="s">
        <v>422</v>
      </c>
      <c r="L931" s="2" t="s">
        <v>423</v>
      </c>
      <c r="M931" s="2" t="s">
        <v>119</v>
      </c>
      <c r="N931" s="4" t="str">
        <f t="shared" si="115"/>
        <v>TON</v>
      </c>
      <c r="O931" s="5">
        <v>2.5</v>
      </c>
      <c r="S931" s="32">
        <f t="shared" si="116"/>
        <v>0</v>
      </c>
    </row>
    <row r="932" spans="2:19" x14ac:dyDescent="0.25">
      <c r="B932" s="1" t="s">
        <v>1520</v>
      </c>
      <c r="C932" s="2" t="s">
        <v>196</v>
      </c>
      <c r="D932" s="2" t="s">
        <v>227</v>
      </c>
      <c r="E932" s="2" t="s">
        <v>757</v>
      </c>
      <c r="F932" s="3">
        <v>44946</v>
      </c>
      <c r="G932" s="4">
        <f t="shared" si="113"/>
        <v>1</v>
      </c>
      <c r="H932" s="4">
        <f t="shared" si="114"/>
        <v>2023</v>
      </c>
      <c r="I932" s="2" t="s">
        <v>4</v>
      </c>
      <c r="J932" s="2" t="s">
        <v>1570</v>
      </c>
      <c r="K932" s="2" t="s">
        <v>1232</v>
      </c>
      <c r="L932" s="2" t="s">
        <v>1233</v>
      </c>
      <c r="M932" s="2" t="s">
        <v>119</v>
      </c>
      <c r="N932" s="4" t="str">
        <f t="shared" si="115"/>
        <v>TON</v>
      </c>
      <c r="O932" s="5">
        <v>5.0199999999999996</v>
      </c>
      <c r="S932" s="32">
        <f t="shared" si="116"/>
        <v>0</v>
      </c>
    </row>
    <row r="933" spans="2:19" x14ac:dyDescent="0.25">
      <c r="B933" s="1" t="s">
        <v>1520</v>
      </c>
      <c r="C933" s="2" t="s">
        <v>196</v>
      </c>
      <c r="D933" s="2" t="s">
        <v>227</v>
      </c>
      <c r="E933" s="2" t="s">
        <v>357</v>
      </c>
      <c r="F933" s="3">
        <v>44946</v>
      </c>
      <c r="G933" s="4">
        <f t="shared" si="113"/>
        <v>1</v>
      </c>
      <c r="H933" s="4">
        <f t="shared" si="114"/>
        <v>2023</v>
      </c>
      <c r="I933" s="2" t="s">
        <v>4</v>
      </c>
      <c r="J933" s="2" t="s">
        <v>1571</v>
      </c>
      <c r="K933" s="2" t="s">
        <v>1364</v>
      </c>
      <c r="L933" s="2" t="s">
        <v>1365</v>
      </c>
      <c r="M933" s="2" t="s">
        <v>119</v>
      </c>
      <c r="N933" s="4" t="str">
        <f t="shared" si="115"/>
        <v>TON</v>
      </c>
      <c r="O933" s="5">
        <v>5.0075000000000003</v>
      </c>
      <c r="S933" s="32">
        <f t="shared" si="116"/>
        <v>0</v>
      </c>
    </row>
    <row r="934" spans="2:19" x14ac:dyDescent="0.25">
      <c r="B934" s="1" t="s">
        <v>1520</v>
      </c>
      <c r="C934" s="2" t="s">
        <v>196</v>
      </c>
      <c r="D934" s="2" t="s">
        <v>458</v>
      </c>
      <c r="E934" s="2" t="s">
        <v>459</v>
      </c>
      <c r="F934" s="3">
        <v>44946</v>
      </c>
      <c r="G934" s="4">
        <f t="shared" si="113"/>
        <v>1</v>
      </c>
      <c r="H934" s="4">
        <f t="shared" si="114"/>
        <v>2023</v>
      </c>
      <c r="I934" s="2" t="s">
        <v>4</v>
      </c>
      <c r="J934" s="2" t="s">
        <v>1572</v>
      </c>
      <c r="K934" s="2" t="s">
        <v>122</v>
      </c>
      <c r="L934" s="2" t="s">
        <v>123</v>
      </c>
      <c r="M934" s="2" t="s">
        <v>119</v>
      </c>
      <c r="N934" s="4" t="str">
        <f t="shared" si="115"/>
        <v>TON</v>
      </c>
      <c r="O934" s="5">
        <v>7.5274999999999999</v>
      </c>
      <c r="S934" s="32">
        <f t="shared" si="116"/>
        <v>0</v>
      </c>
    </row>
    <row r="935" spans="2:19" x14ac:dyDescent="0.25">
      <c r="B935" s="1" t="s">
        <v>1520</v>
      </c>
      <c r="C935" s="2" t="s">
        <v>196</v>
      </c>
      <c r="D935" s="2" t="s">
        <v>721</v>
      </c>
      <c r="E935" s="2" t="s">
        <v>722</v>
      </c>
      <c r="F935" s="3">
        <v>44946</v>
      </c>
      <c r="G935" s="4">
        <f t="shared" si="113"/>
        <v>1</v>
      </c>
      <c r="H935" s="4">
        <f t="shared" si="114"/>
        <v>2023</v>
      </c>
      <c r="I935" s="2" t="s">
        <v>4</v>
      </c>
      <c r="J935" s="2" t="s">
        <v>1573</v>
      </c>
      <c r="K935" s="2" t="s">
        <v>422</v>
      </c>
      <c r="L935" s="2" t="s">
        <v>423</v>
      </c>
      <c r="M935" s="2" t="s">
        <v>119</v>
      </c>
      <c r="N935" s="4" t="str">
        <f t="shared" si="115"/>
        <v>TON</v>
      </c>
      <c r="O935" s="5">
        <v>2.5</v>
      </c>
      <c r="S935" s="32">
        <f t="shared" si="116"/>
        <v>0</v>
      </c>
    </row>
    <row r="936" spans="2:19" x14ac:dyDescent="0.25">
      <c r="B936" s="1" t="s">
        <v>1520</v>
      </c>
      <c r="C936" s="2" t="s">
        <v>196</v>
      </c>
      <c r="D936" s="2" t="s">
        <v>276</v>
      </c>
      <c r="E936" s="2" t="s">
        <v>692</v>
      </c>
      <c r="F936" s="3">
        <v>44946</v>
      </c>
      <c r="G936" s="4">
        <f t="shared" si="113"/>
        <v>1</v>
      </c>
      <c r="H936" s="4">
        <f t="shared" si="114"/>
        <v>2023</v>
      </c>
      <c r="I936" s="2" t="s">
        <v>4</v>
      </c>
      <c r="J936" s="2" t="s">
        <v>1574</v>
      </c>
      <c r="K936" s="2" t="s">
        <v>122</v>
      </c>
      <c r="L936" s="2" t="s">
        <v>123</v>
      </c>
      <c r="M936" s="2" t="s">
        <v>119</v>
      </c>
      <c r="N936" s="4" t="str">
        <f t="shared" si="115"/>
        <v>TON</v>
      </c>
      <c r="O936" s="5">
        <v>4.9924999999999997</v>
      </c>
      <c r="S936" s="32">
        <f t="shared" si="116"/>
        <v>0</v>
      </c>
    </row>
    <row r="937" spans="2:19" x14ac:dyDescent="0.25">
      <c r="B937" s="1" t="s">
        <v>1520</v>
      </c>
      <c r="C937" s="2" t="s">
        <v>196</v>
      </c>
      <c r="D937" s="2" t="s">
        <v>449</v>
      </c>
      <c r="E937" s="2" t="s">
        <v>780</v>
      </c>
      <c r="F937" s="3">
        <v>44946</v>
      </c>
      <c r="G937" s="4">
        <f t="shared" si="113"/>
        <v>1</v>
      </c>
      <c r="H937" s="4">
        <f t="shared" si="114"/>
        <v>2023</v>
      </c>
      <c r="I937" s="2" t="s">
        <v>4</v>
      </c>
      <c r="J937" s="2" t="s">
        <v>1575</v>
      </c>
      <c r="K937" s="2" t="s">
        <v>329</v>
      </c>
      <c r="L937" s="2" t="s">
        <v>330</v>
      </c>
      <c r="M937" s="2" t="s">
        <v>119</v>
      </c>
      <c r="N937" s="4" t="str">
        <f t="shared" si="115"/>
        <v>TON</v>
      </c>
      <c r="O937" s="5">
        <v>4.0025000000000004</v>
      </c>
      <c r="S937" s="32">
        <f t="shared" si="116"/>
        <v>0</v>
      </c>
    </row>
    <row r="938" spans="2:19" x14ac:dyDescent="0.25">
      <c r="B938" s="1" t="s">
        <v>1520</v>
      </c>
      <c r="C938" s="2" t="s">
        <v>196</v>
      </c>
      <c r="D938" s="2" t="s">
        <v>317</v>
      </c>
      <c r="E938" s="2" t="s">
        <v>319</v>
      </c>
      <c r="F938" s="3">
        <v>44946</v>
      </c>
      <c r="G938" s="4">
        <f t="shared" si="113"/>
        <v>1</v>
      </c>
      <c r="H938" s="4">
        <f t="shared" si="114"/>
        <v>2023</v>
      </c>
      <c r="I938" s="2" t="s">
        <v>4</v>
      </c>
      <c r="J938" s="2" t="s">
        <v>1576</v>
      </c>
      <c r="K938" s="2" t="s">
        <v>390</v>
      </c>
      <c r="L938" s="2" t="s">
        <v>391</v>
      </c>
      <c r="M938" s="2" t="s">
        <v>119</v>
      </c>
      <c r="N938" s="4" t="str">
        <f t="shared" si="115"/>
        <v>TON</v>
      </c>
      <c r="O938" s="5">
        <v>5.01</v>
      </c>
      <c r="S938" s="32">
        <f t="shared" si="116"/>
        <v>0</v>
      </c>
    </row>
    <row r="939" spans="2:19" x14ac:dyDescent="0.25">
      <c r="B939" s="1" t="s">
        <v>1520</v>
      </c>
      <c r="C939" s="2" t="s">
        <v>196</v>
      </c>
      <c r="D939" s="2" t="s">
        <v>262</v>
      </c>
      <c r="E939" s="2" t="s">
        <v>1170</v>
      </c>
      <c r="F939" s="3">
        <v>44946</v>
      </c>
      <c r="G939" s="4">
        <f t="shared" si="113"/>
        <v>1</v>
      </c>
      <c r="H939" s="4">
        <f t="shared" si="114"/>
        <v>2023</v>
      </c>
      <c r="I939" s="2" t="s">
        <v>4</v>
      </c>
      <c r="J939" s="2" t="s">
        <v>1577</v>
      </c>
      <c r="K939" s="2" t="s">
        <v>292</v>
      </c>
      <c r="L939" s="2" t="s">
        <v>293</v>
      </c>
      <c r="M939" s="2" t="s">
        <v>119</v>
      </c>
      <c r="N939" s="4" t="str">
        <f t="shared" si="115"/>
        <v>TON</v>
      </c>
      <c r="O939" s="5">
        <v>14.775</v>
      </c>
      <c r="S939" s="32">
        <f t="shared" si="116"/>
        <v>0</v>
      </c>
    </row>
    <row r="940" spans="2:19" x14ac:dyDescent="0.25">
      <c r="B940" s="1" t="s">
        <v>1520</v>
      </c>
      <c r="C940" s="2" t="s">
        <v>196</v>
      </c>
      <c r="D940" s="2" t="s">
        <v>221</v>
      </c>
      <c r="E940" s="2" t="s">
        <v>271</v>
      </c>
      <c r="F940" s="3">
        <v>44947</v>
      </c>
      <c r="G940" s="4">
        <f t="shared" si="113"/>
        <v>1</v>
      </c>
      <c r="H940" s="4">
        <f t="shared" si="114"/>
        <v>2023</v>
      </c>
      <c r="I940" s="2" t="s">
        <v>4</v>
      </c>
      <c r="J940" s="2" t="s">
        <v>1578</v>
      </c>
      <c r="K940" s="2" t="s">
        <v>334</v>
      </c>
      <c r="L940" s="2" t="s">
        <v>335</v>
      </c>
      <c r="M940" s="2" t="s">
        <v>119</v>
      </c>
      <c r="N940" s="4" t="str">
        <f t="shared" si="115"/>
        <v>TON</v>
      </c>
      <c r="O940" s="5">
        <v>5.0049999999999999</v>
      </c>
      <c r="S940" s="32">
        <f t="shared" si="116"/>
        <v>0</v>
      </c>
    </row>
    <row r="941" spans="2:19" x14ac:dyDescent="0.25">
      <c r="B941" s="1" t="s">
        <v>1520</v>
      </c>
      <c r="C941" s="2" t="s">
        <v>196</v>
      </c>
      <c r="D941" s="2" t="s">
        <v>114</v>
      </c>
      <c r="E941" s="2" t="s">
        <v>377</v>
      </c>
      <c r="F941" s="3">
        <v>44947</v>
      </c>
      <c r="G941" s="4">
        <f t="shared" si="113"/>
        <v>1</v>
      </c>
      <c r="H941" s="4">
        <f t="shared" si="114"/>
        <v>2023</v>
      </c>
      <c r="I941" s="2" t="s">
        <v>4</v>
      </c>
      <c r="J941" s="2" t="s">
        <v>1579</v>
      </c>
      <c r="K941" s="2" t="s">
        <v>390</v>
      </c>
      <c r="L941" s="2" t="s">
        <v>391</v>
      </c>
      <c r="M941" s="2" t="s">
        <v>119</v>
      </c>
      <c r="N941" s="4" t="str">
        <f t="shared" si="115"/>
        <v>TON</v>
      </c>
      <c r="O941" s="5">
        <v>5.01</v>
      </c>
      <c r="S941" s="32">
        <f t="shared" si="116"/>
        <v>0</v>
      </c>
    </row>
    <row r="942" spans="2:19" x14ac:dyDescent="0.25">
      <c r="B942" s="1" t="s">
        <v>1520</v>
      </c>
      <c r="C942" s="2" t="s">
        <v>196</v>
      </c>
      <c r="D942" s="2" t="s">
        <v>303</v>
      </c>
      <c r="E942" s="2" t="s">
        <v>981</v>
      </c>
      <c r="F942" s="3">
        <v>44947</v>
      </c>
      <c r="G942" s="4">
        <f t="shared" si="113"/>
        <v>1</v>
      </c>
      <c r="H942" s="4">
        <f t="shared" si="114"/>
        <v>2023</v>
      </c>
      <c r="I942" s="2" t="s">
        <v>4</v>
      </c>
      <c r="J942" s="2" t="s">
        <v>1580</v>
      </c>
      <c r="K942" s="2" t="s">
        <v>1581</v>
      </c>
      <c r="L942" s="2" t="s">
        <v>1582</v>
      </c>
      <c r="M942" s="2" t="s">
        <v>119</v>
      </c>
      <c r="N942" s="4" t="str">
        <f t="shared" si="115"/>
        <v>TON</v>
      </c>
      <c r="O942" s="5">
        <v>5.01</v>
      </c>
      <c r="S942" s="32">
        <f t="shared" si="116"/>
        <v>0</v>
      </c>
    </row>
    <row r="943" spans="2:19" x14ac:dyDescent="0.25">
      <c r="B943" s="1" t="s">
        <v>1520</v>
      </c>
      <c r="C943" s="2" t="s">
        <v>196</v>
      </c>
      <c r="D943" s="2" t="s">
        <v>374</v>
      </c>
      <c r="E943" s="2" t="s">
        <v>379</v>
      </c>
      <c r="F943" s="3">
        <v>44947</v>
      </c>
      <c r="G943" s="4">
        <f t="shared" si="113"/>
        <v>1</v>
      </c>
      <c r="H943" s="4">
        <f t="shared" si="114"/>
        <v>2023</v>
      </c>
      <c r="I943" s="2" t="s">
        <v>4</v>
      </c>
      <c r="J943" s="2" t="s">
        <v>1583</v>
      </c>
      <c r="K943" s="2" t="s">
        <v>122</v>
      </c>
      <c r="L943" s="2" t="s">
        <v>123</v>
      </c>
      <c r="M943" s="2" t="s">
        <v>119</v>
      </c>
      <c r="N943" s="4" t="str">
        <f t="shared" si="115"/>
        <v>TON</v>
      </c>
      <c r="O943" s="5">
        <v>4.99</v>
      </c>
      <c r="S943" s="32">
        <f t="shared" si="116"/>
        <v>0</v>
      </c>
    </row>
    <row r="944" spans="2:19" x14ac:dyDescent="0.25">
      <c r="B944" s="6" t="s">
        <v>1520</v>
      </c>
      <c r="C944" s="7" t="s">
        <v>196</v>
      </c>
      <c r="D944" s="8" t="s">
        <v>253</v>
      </c>
      <c r="E944" s="8" t="s">
        <v>922</v>
      </c>
      <c r="F944" s="12">
        <v>44949</v>
      </c>
      <c r="G944" s="10">
        <f t="shared" si="113"/>
        <v>1</v>
      </c>
      <c r="H944" s="10">
        <f t="shared" si="114"/>
        <v>2023</v>
      </c>
      <c r="I944" s="8" t="s">
        <v>4</v>
      </c>
      <c r="J944" s="7" t="s">
        <v>1584</v>
      </c>
      <c r="K944" s="8" t="s">
        <v>924</v>
      </c>
      <c r="L944" s="8" t="s">
        <v>925</v>
      </c>
      <c r="M944" s="8" t="s">
        <v>119</v>
      </c>
      <c r="N944" s="10" t="str">
        <f t="shared" si="115"/>
        <v>TON</v>
      </c>
      <c r="O944" s="11">
        <v>3.01</v>
      </c>
      <c r="S944" s="32">
        <f t="shared" si="116"/>
        <v>0</v>
      </c>
    </row>
    <row r="945" spans="2:19" x14ac:dyDescent="0.25">
      <c r="B945" s="1" t="s">
        <v>1520</v>
      </c>
      <c r="C945" s="2" t="s">
        <v>196</v>
      </c>
      <c r="D945" s="2" t="s">
        <v>253</v>
      </c>
      <c r="E945" s="2" t="s">
        <v>922</v>
      </c>
      <c r="F945" s="3">
        <v>44949</v>
      </c>
      <c r="G945" s="4">
        <f t="shared" si="113"/>
        <v>1</v>
      </c>
      <c r="H945" s="4">
        <f t="shared" si="114"/>
        <v>2023</v>
      </c>
      <c r="I945" s="2" t="s">
        <v>4</v>
      </c>
      <c r="J945" s="2" t="s">
        <v>1584</v>
      </c>
      <c r="K945" s="2" t="s">
        <v>143</v>
      </c>
      <c r="L945" s="2" t="s">
        <v>926</v>
      </c>
      <c r="M945" s="2" t="s">
        <v>145</v>
      </c>
      <c r="N945" s="4" t="str">
        <f t="shared" si="115"/>
        <v>GAL</v>
      </c>
      <c r="O945" s="5">
        <v>600</v>
      </c>
      <c r="S945" s="32">
        <f t="shared" si="116"/>
        <v>0</v>
      </c>
    </row>
    <row r="946" spans="2:19" x14ac:dyDescent="0.25">
      <c r="B946" s="1" t="s">
        <v>1520</v>
      </c>
      <c r="C946" s="2" t="s">
        <v>196</v>
      </c>
      <c r="D946" s="2" t="s">
        <v>114</v>
      </c>
      <c r="E946" s="2" t="s">
        <v>1585</v>
      </c>
      <c r="F946" s="3">
        <v>44949</v>
      </c>
      <c r="G946" s="4">
        <f t="shared" si="113"/>
        <v>1</v>
      </c>
      <c r="H946" s="4">
        <f t="shared" si="114"/>
        <v>2023</v>
      </c>
      <c r="I946" s="2" t="s">
        <v>4</v>
      </c>
      <c r="J946" s="2" t="s">
        <v>1586</v>
      </c>
      <c r="K946" s="2" t="s">
        <v>390</v>
      </c>
      <c r="L946" s="2" t="s">
        <v>391</v>
      </c>
      <c r="M946" s="2" t="s">
        <v>119</v>
      </c>
      <c r="N946" s="4" t="str">
        <f t="shared" si="115"/>
        <v>TON</v>
      </c>
      <c r="O946" s="5">
        <v>2.5</v>
      </c>
      <c r="S946" s="32">
        <f t="shared" si="116"/>
        <v>0</v>
      </c>
    </row>
    <row r="947" spans="2:19" x14ac:dyDescent="0.25">
      <c r="B947" s="1" t="s">
        <v>1520</v>
      </c>
      <c r="C947" s="2" t="s">
        <v>196</v>
      </c>
      <c r="D947" s="2" t="s">
        <v>280</v>
      </c>
      <c r="E947" s="2" t="s">
        <v>1308</v>
      </c>
      <c r="F947" s="3">
        <v>44949</v>
      </c>
      <c r="G947" s="4">
        <f t="shared" si="113"/>
        <v>1</v>
      </c>
      <c r="H947" s="4">
        <f t="shared" si="114"/>
        <v>2023</v>
      </c>
      <c r="I947" s="2" t="s">
        <v>4</v>
      </c>
      <c r="J947" s="2" t="s">
        <v>1587</v>
      </c>
      <c r="K947" s="2" t="s">
        <v>390</v>
      </c>
      <c r="L947" s="2" t="s">
        <v>391</v>
      </c>
      <c r="M947" s="2" t="s">
        <v>119</v>
      </c>
      <c r="N947" s="4" t="str">
        <f t="shared" si="115"/>
        <v>TON</v>
      </c>
      <c r="O947" s="5">
        <v>4.5</v>
      </c>
      <c r="S947" s="32">
        <f t="shared" si="116"/>
        <v>0</v>
      </c>
    </row>
    <row r="948" spans="2:19" x14ac:dyDescent="0.25">
      <c r="B948" s="1" t="s">
        <v>1520</v>
      </c>
      <c r="C948" s="2" t="s">
        <v>196</v>
      </c>
      <c r="D948" s="2" t="s">
        <v>273</v>
      </c>
      <c r="E948" s="2" t="s">
        <v>976</v>
      </c>
      <c r="F948" s="3">
        <v>44949</v>
      </c>
      <c r="G948" s="4">
        <f t="shared" si="113"/>
        <v>1</v>
      </c>
      <c r="H948" s="4">
        <f t="shared" si="114"/>
        <v>2023</v>
      </c>
      <c r="I948" s="2" t="s">
        <v>4</v>
      </c>
      <c r="J948" s="2" t="s">
        <v>1588</v>
      </c>
      <c r="K948" s="2" t="s">
        <v>205</v>
      </c>
      <c r="L948" s="2" t="s">
        <v>206</v>
      </c>
      <c r="M948" s="2" t="s">
        <v>119</v>
      </c>
      <c r="N948" s="4" t="str">
        <f t="shared" si="115"/>
        <v>TON</v>
      </c>
      <c r="O948" s="5">
        <v>2.5</v>
      </c>
      <c r="S948" s="32">
        <f t="shared" si="116"/>
        <v>0</v>
      </c>
    </row>
    <row r="949" spans="2:19" x14ac:dyDescent="0.25">
      <c r="B949" s="1" t="s">
        <v>1520</v>
      </c>
      <c r="C949" s="2" t="s">
        <v>196</v>
      </c>
      <c r="D949" s="2" t="s">
        <v>672</v>
      </c>
      <c r="E949" s="2" t="s">
        <v>1193</v>
      </c>
      <c r="F949" s="3">
        <v>44949</v>
      </c>
      <c r="G949" s="4">
        <f t="shared" si="113"/>
        <v>1</v>
      </c>
      <c r="H949" s="4">
        <f t="shared" si="114"/>
        <v>2023</v>
      </c>
      <c r="I949" s="2" t="s">
        <v>4</v>
      </c>
      <c r="J949" s="2" t="s">
        <v>1589</v>
      </c>
      <c r="K949" s="2" t="s">
        <v>675</v>
      </c>
      <c r="L949" s="2" t="s">
        <v>676</v>
      </c>
      <c r="M949" s="2" t="s">
        <v>119</v>
      </c>
      <c r="N949" s="4" t="str">
        <f t="shared" si="115"/>
        <v>TON</v>
      </c>
      <c r="O949" s="5">
        <v>4</v>
      </c>
      <c r="S949" s="32">
        <f t="shared" si="116"/>
        <v>0</v>
      </c>
    </row>
    <row r="950" spans="2:19" x14ac:dyDescent="0.25">
      <c r="B950" s="1" t="s">
        <v>1520</v>
      </c>
      <c r="C950" s="2" t="s">
        <v>196</v>
      </c>
      <c r="D950" s="2" t="s">
        <v>299</v>
      </c>
      <c r="E950" s="2" t="s">
        <v>300</v>
      </c>
      <c r="F950" s="3">
        <v>44949</v>
      </c>
      <c r="G950" s="4">
        <f t="shared" si="113"/>
        <v>1</v>
      </c>
      <c r="H950" s="4">
        <f t="shared" si="114"/>
        <v>2023</v>
      </c>
      <c r="I950" s="2" t="s">
        <v>4</v>
      </c>
      <c r="J950" s="2" t="s">
        <v>1590</v>
      </c>
      <c r="K950" s="2" t="s">
        <v>390</v>
      </c>
      <c r="L950" s="2" t="s">
        <v>391</v>
      </c>
      <c r="M950" s="2" t="s">
        <v>119</v>
      </c>
      <c r="N950" s="4" t="str">
        <f t="shared" si="115"/>
        <v>TON</v>
      </c>
      <c r="O950" s="5">
        <v>15</v>
      </c>
      <c r="S950" s="32">
        <f t="shared" si="116"/>
        <v>0</v>
      </c>
    </row>
    <row r="951" spans="2:19" x14ac:dyDescent="0.25">
      <c r="B951" s="1" t="s">
        <v>1520</v>
      </c>
      <c r="C951" s="2" t="s">
        <v>196</v>
      </c>
      <c r="D951" s="2" t="s">
        <v>437</v>
      </c>
      <c r="E951" s="2" t="s">
        <v>438</v>
      </c>
      <c r="F951" s="3">
        <v>44949</v>
      </c>
      <c r="G951" s="4">
        <f t="shared" si="113"/>
        <v>1</v>
      </c>
      <c r="H951" s="4">
        <f t="shared" si="114"/>
        <v>2023</v>
      </c>
      <c r="I951" s="2" t="s">
        <v>4</v>
      </c>
      <c r="J951" s="2" t="s">
        <v>1591</v>
      </c>
      <c r="K951" s="2" t="s">
        <v>1291</v>
      </c>
      <c r="L951" s="2" t="s">
        <v>1292</v>
      </c>
      <c r="M951" s="2" t="s">
        <v>119</v>
      </c>
      <c r="N951" s="4" t="str">
        <f t="shared" si="115"/>
        <v>TON</v>
      </c>
      <c r="O951" s="5">
        <v>2.5024999999999999</v>
      </c>
      <c r="S951" s="32">
        <f t="shared" si="116"/>
        <v>0</v>
      </c>
    </row>
    <row r="952" spans="2:19" x14ac:dyDescent="0.25">
      <c r="B952" s="1" t="s">
        <v>1520</v>
      </c>
      <c r="C952" s="2" t="s">
        <v>196</v>
      </c>
      <c r="D952" s="2" t="s">
        <v>715</v>
      </c>
      <c r="E952" s="2" t="s">
        <v>141</v>
      </c>
      <c r="F952" s="3">
        <v>44949</v>
      </c>
      <c r="G952" s="4">
        <f t="shared" si="113"/>
        <v>1</v>
      </c>
      <c r="H952" s="4">
        <f t="shared" si="114"/>
        <v>2023</v>
      </c>
      <c r="I952" s="2" t="s">
        <v>4</v>
      </c>
      <c r="J952" s="2" t="s">
        <v>1592</v>
      </c>
      <c r="K952" s="2" t="s">
        <v>329</v>
      </c>
      <c r="L952" s="2" t="s">
        <v>330</v>
      </c>
      <c r="M952" s="2" t="s">
        <v>119</v>
      </c>
      <c r="N952" s="4" t="str">
        <f t="shared" si="115"/>
        <v>TON</v>
      </c>
      <c r="O952" s="5">
        <v>2.4874999999999998</v>
      </c>
      <c r="S952" s="32">
        <f t="shared" si="116"/>
        <v>0</v>
      </c>
    </row>
    <row r="953" spans="2:19" x14ac:dyDescent="0.25">
      <c r="B953" s="1" t="s">
        <v>1520</v>
      </c>
      <c r="C953" s="2" t="s">
        <v>196</v>
      </c>
      <c r="D953" s="2" t="s">
        <v>120</v>
      </c>
      <c r="E953" s="2" t="s">
        <v>468</v>
      </c>
      <c r="F953" s="3">
        <v>44950</v>
      </c>
      <c r="G953" s="4">
        <f t="shared" si="113"/>
        <v>1</v>
      </c>
      <c r="H953" s="4">
        <f t="shared" si="114"/>
        <v>2023</v>
      </c>
      <c r="I953" s="2" t="s">
        <v>4</v>
      </c>
      <c r="J953" s="2" t="s">
        <v>1593</v>
      </c>
      <c r="K953" s="2" t="s">
        <v>122</v>
      </c>
      <c r="L953" s="2" t="s">
        <v>123</v>
      </c>
      <c r="M953" s="2" t="s">
        <v>119</v>
      </c>
      <c r="N953" s="4" t="str">
        <f t="shared" si="115"/>
        <v>TON</v>
      </c>
      <c r="O953" s="5">
        <v>0.15</v>
      </c>
      <c r="S953" s="32">
        <f t="shared" si="116"/>
        <v>0</v>
      </c>
    </row>
    <row r="954" spans="2:19" x14ac:dyDescent="0.25">
      <c r="B954" s="1" t="s">
        <v>1520</v>
      </c>
      <c r="C954" s="2" t="s">
        <v>196</v>
      </c>
      <c r="D954" s="2" t="s">
        <v>285</v>
      </c>
      <c r="E954" s="2" t="s">
        <v>412</v>
      </c>
      <c r="F954" s="3">
        <v>44950</v>
      </c>
      <c r="G954" s="4">
        <f t="shared" si="113"/>
        <v>1</v>
      </c>
      <c r="H954" s="4">
        <f t="shared" si="114"/>
        <v>2023</v>
      </c>
      <c r="I954" s="2" t="s">
        <v>4</v>
      </c>
      <c r="J954" s="2" t="s">
        <v>1594</v>
      </c>
      <c r="K954" s="2" t="s">
        <v>292</v>
      </c>
      <c r="L954" s="2" t="s">
        <v>293</v>
      </c>
      <c r="M954" s="2" t="s">
        <v>119</v>
      </c>
      <c r="N954" s="4" t="str">
        <f t="shared" si="115"/>
        <v>TON</v>
      </c>
      <c r="O954" s="5">
        <v>8</v>
      </c>
      <c r="S954" s="32">
        <f t="shared" si="116"/>
        <v>0</v>
      </c>
    </row>
    <row r="955" spans="2:19" x14ac:dyDescent="0.25">
      <c r="B955" s="1" t="s">
        <v>1520</v>
      </c>
      <c r="C955" s="2" t="s">
        <v>196</v>
      </c>
      <c r="D955" s="2" t="s">
        <v>418</v>
      </c>
      <c r="E955" s="2" t="s">
        <v>1595</v>
      </c>
      <c r="F955" s="3">
        <v>44950</v>
      </c>
      <c r="G955" s="4">
        <f t="shared" si="113"/>
        <v>1</v>
      </c>
      <c r="H955" s="4">
        <f t="shared" si="114"/>
        <v>2023</v>
      </c>
      <c r="I955" s="2" t="s">
        <v>4</v>
      </c>
      <c r="J955" s="2" t="s">
        <v>1596</v>
      </c>
      <c r="K955" s="2" t="s">
        <v>205</v>
      </c>
      <c r="L955" s="2" t="s">
        <v>206</v>
      </c>
      <c r="M955" s="2" t="s">
        <v>119</v>
      </c>
      <c r="N955" s="4" t="str">
        <f t="shared" si="115"/>
        <v>TON</v>
      </c>
      <c r="O955" s="5">
        <v>1.25</v>
      </c>
      <c r="S955" s="32">
        <f t="shared" si="116"/>
        <v>0</v>
      </c>
    </row>
    <row r="956" spans="2:19" x14ac:dyDescent="0.25">
      <c r="B956" s="1" t="s">
        <v>1520</v>
      </c>
      <c r="C956" s="2" t="s">
        <v>196</v>
      </c>
      <c r="D956" s="2" t="s">
        <v>232</v>
      </c>
      <c r="E956" s="2" t="s">
        <v>778</v>
      </c>
      <c r="F956" s="3">
        <v>44950</v>
      </c>
      <c r="G956" s="4">
        <f t="shared" si="113"/>
        <v>1</v>
      </c>
      <c r="H956" s="4">
        <f t="shared" si="114"/>
        <v>2023</v>
      </c>
      <c r="I956" s="2" t="s">
        <v>4</v>
      </c>
      <c r="J956" s="2" t="s">
        <v>1597</v>
      </c>
      <c r="K956" s="2" t="s">
        <v>329</v>
      </c>
      <c r="L956" s="2" t="s">
        <v>330</v>
      </c>
      <c r="M956" s="2" t="s">
        <v>119</v>
      </c>
      <c r="N956" s="4" t="str">
        <f t="shared" si="115"/>
        <v>TON</v>
      </c>
      <c r="O956" s="5">
        <v>4.9924999999999997</v>
      </c>
      <c r="S956" s="32">
        <f t="shared" si="116"/>
        <v>0</v>
      </c>
    </row>
    <row r="957" spans="2:19" x14ac:dyDescent="0.25">
      <c r="B957" s="1" t="s">
        <v>1520</v>
      </c>
      <c r="C957" s="2" t="s">
        <v>196</v>
      </c>
      <c r="D957" s="2" t="s">
        <v>215</v>
      </c>
      <c r="E957" s="2" t="s">
        <v>858</v>
      </c>
      <c r="F957" s="3">
        <v>44950</v>
      </c>
      <c r="G957" s="4">
        <f t="shared" si="113"/>
        <v>1</v>
      </c>
      <c r="H957" s="4">
        <f t="shared" si="114"/>
        <v>2023</v>
      </c>
      <c r="I957" s="2" t="s">
        <v>4</v>
      </c>
      <c r="J957" s="2" t="s">
        <v>1598</v>
      </c>
      <c r="K957" s="2" t="s">
        <v>447</v>
      </c>
      <c r="L957" s="2" t="s">
        <v>448</v>
      </c>
      <c r="M957" s="2" t="s">
        <v>119</v>
      </c>
      <c r="N957" s="4" t="str">
        <f t="shared" si="115"/>
        <v>TON</v>
      </c>
      <c r="O957" s="5">
        <v>4.9924999999999997</v>
      </c>
      <c r="S957" s="32">
        <f t="shared" si="116"/>
        <v>0</v>
      </c>
    </row>
    <row r="958" spans="2:19" x14ac:dyDescent="0.25">
      <c r="B958" s="1" t="s">
        <v>1520</v>
      </c>
      <c r="C958" s="2" t="s">
        <v>196</v>
      </c>
      <c r="D958" s="2" t="s">
        <v>1599</v>
      </c>
      <c r="E958" s="2" t="s">
        <v>1600</v>
      </c>
      <c r="F958" s="3">
        <v>44950</v>
      </c>
      <c r="G958" s="4">
        <f t="shared" si="113"/>
        <v>1</v>
      </c>
      <c r="H958" s="4">
        <f t="shared" si="114"/>
        <v>2023</v>
      </c>
      <c r="I958" s="2" t="s">
        <v>4</v>
      </c>
      <c r="J958" s="2" t="s">
        <v>1601</v>
      </c>
      <c r="K958" s="2" t="s">
        <v>823</v>
      </c>
      <c r="L958" s="2" t="s">
        <v>776</v>
      </c>
      <c r="M958" s="2" t="s">
        <v>82</v>
      </c>
      <c r="N958" s="4" t="str">
        <f t="shared" si="115"/>
        <v>GAL</v>
      </c>
      <c r="O958" s="5">
        <v>250</v>
      </c>
      <c r="S958" s="32">
        <f t="shared" si="116"/>
        <v>0</v>
      </c>
    </row>
    <row r="959" spans="2:19" x14ac:dyDescent="0.25">
      <c r="B959" s="1" t="s">
        <v>1520</v>
      </c>
      <c r="C959" s="2" t="s">
        <v>196</v>
      </c>
      <c r="D959" s="2" t="s">
        <v>114</v>
      </c>
      <c r="E959" s="2" t="s">
        <v>927</v>
      </c>
      <c r="F959" s="3">
        <v>44950</v>
      </c>
      <c r="G959" s="4">
        <f t="shared" si="113"/>
        <v>1</v>
      </c>
      <c r="H959" s="4">
        <f t="shared" si="114"/>
        <v>2023</v>
      </c>
      <c r="I959" s="2" t="s">
        <v>4</v>
      </c>
      <c r="J959" s="2" t="s">
        <v>1602</v>
      </c>
      <c r="K959" s="2" t="s">
        <v>390</v>
      </c>
      <c r="L959" s="2" t="s">
        <v>391</v>
      </c>
      <c r="M959" s="2" t="s">
        <v>119</v>
      </c>
      <c r="N959" s="4" t="str">
        <f t="shared" si="115"/>
        <v>TON</v>
      </c>
      <c r="O959" s="5">
        <v>8.5250000000000004</v>
      </c>
      <c r="S959" s="32">
        <f t="shared" si="116"/>
        <v>0</v>
      </c>
    </row>
    <row r="960" spans="2:19" x14ac:dyDescent="0.25">
      <c r="B960" s="1" t="s">
        <v>1520</v>
      </c>
      <c r="C960" s="2" t="s">
        <v>196</v>
      </c>
      <c r="D960" s="2" t="s">
        <v>898</v>
      </c>
      <c r="E960" s="2" t="s">
        <v>102</v>
      </c>
      <c r="F960" s="3">
        <v>44950</v>
      </c>
      <c r="G960" s="4">
        <f t="shared" si="113"/>
        <v>1</v>
      </c>
      <c r="H960" s="4">
        <f t="shared" si="114"/>
        <v>2023</v>
      </c>
      <c r="I960" s="2" t="s">
        <v>4</v>
      </c>
      <c r="J960" s="2" t="s">
        <v>1603</v>
      </c>
      <c r="K960" s="2" t="s">
        <v>447</v>
      </c>
      <c r="L960" s="2" t="s">
        <v>448</v>
      </c>
      <c r="M960" s="2" t="s">
        <v>119</v>
      </c>
      <c r="N960" s="4" t="str">
        <f t="shared" si="115"/>
        <v>TON</v>
      </c>
      <c r="O960" s="5">
        <v>10.0075</v>
      </c>
      <c r="S960" s="32">
        <f t="shared" si="116"/>
        <v>0</v>
      </c>
    </row>
    <row r="961" spans="2:19" x14ac:dyDescent="0.25">
      <c r="B961" s="1" t="s">
        <v>1520</v>
      </c>
      <c r="C961" s="2" t="s">
        <v>196</v>
      </c>
      <c r="D961" s="2" t="s">
        <v>280</v>
      </c>
      <c r="E961" s="2" t="s">
        <v>254</v>
      </c>
      <c r="F961" s="3">
        <v>44951</v>
      </c>
      <c r="G961" s="4">
        <f t="shared" si="113"/>
        <v>1</v>
      </c>
      <c r="H961" s="4">
        <f t="shared" si="114"/>
        <v>2023</v>
      </c>
      <c r="I961" s="2" t="s">
        <v>4</v>
      </c>
      <c r="J961" s="2" t="s">
        <v>1604</v>
      </c>
      <c r="K961" s="2" t="s">
        <v>390</v>
      </c>
      <c r="L961" s="2" t="s">
        <v>391</v>
      </c>
      <c r="M961" s="2" t="s">
        <v>119</v>
      </c>
      <c r="N961" s="4" t="str">
        <f t="shared" si="115"/>
        <v>TON</v>
      </c>
      <c r="O961" s="5">
        <v>15.03</v>
      </c>
      <c r="S961" s="32">
        <f t="shared" si="116"/>
        <v>0</v>
      </c>
    </row>
    <row r="962" spans="2:19" x14ac:dyDescent="0.25">
      <c r="B962" s="1" t="s">
        <v>1520</v>
      </c>
      <c r="C962" s="2" t="s">
        <v>196</v>
      </c>
      <c r="D962" s="2" t="s">
        <v>348</v>
      </c>
      <c r="E962" s="2" t="s">
        <v>349</v>
      </c>
      <c r="F962" s="3">
        <v>44951</v>
      </c>
      <c r="G962" s="4">
        <f t="shared" si="113"/>
        <v>1</v>
      </c>
      <c r="H962" s="4">
        <f t="shared" si="114"/>
        <v>2023</v>
      </c>
      <c r="I962" s="2" t="s">
        <v>4</v>
      </c>
      <c r="J962" s="2" t="s">
        <v>1605</v>
      </c>
      <c r="K962" s="2" t="s">
        <v>351</v>
      </c>
      <c r="L962" s="2" t="s">
        <v>352</v>
      </c>
      <c r="M962" s="2" t="s">
        <v>119</v>
      </c>
      <c r="N962" s="4" t="str">
        <f t="shared" si="115"/>
        <v>TON</v>
      </c>
      <c r="O962" s="5">
        <v>1.25</v>
      </c>
      <c r="S962" s="32">
        <f t="shared" si="116"/>
        <v>0</v>
      </c>
    </row>
    <row r="963" spans="2:19" x14ac:dyDescent="0.25">
      <c r="B963" s="1" t="s">
        <v>1520</v>
      </c>
      <c r="C963" s="2" t="s">
        <v>196</v>
      </c>
      <c r="D963" s="2" t="s">
        <v>672</v>
      </c>
      <c r="E963" s="2" t="s">
        <v>673</v>
      </c>
      <c r="F963" s="3">
        <v>44951</v>
      </c>
      <c r="G963" s="4">
        <f t="shared" ref="G963:G1026" si="117">+MONTH(F963)</f>
        <v>1</v>
      </c>
      <c r="H963" s="4">
        <f t="shared" ref="H963:H1026" si="118">+YEAR(F963)</f>
        <v>2023</v>
      </c>
      <c r="I963" s="2" t="s">
        <v>4</v>
      </c>
      <c r="J963" s="2" t="s">
        <v>1606</v>
      </c>
      <c r="K963" s="2" t="s">
        <v>675</v>
      </c>
      <c r="L963" s="2" t="s">
        <v>676</v>
      </c>
      <c r="M963" s="2" t="s">
        <v>119</v>
      </c>
      <c r="N963" s="4" t="str">
        <f t="shared" ref="N963:N1026" si="119">+LEFT(M963,3)</f>
        <v>TON</v>
      </c>
      <c r="O963" s="5">
        <v>4.5149999999999997</v>
      </c>
      <c r="S963" s="32">
        <f t="shared" si="116"/>
        <v>0</v>
      </c>
    </row>
    <row r="964" spans="2:19" x14ac:dyDescent="0.25">
      <c r="B964" s="1" t="s">
        <v>1520</v>
      </c>
      <c r="C964" s="2" t="s">
        <v>196</v>
      </c>
      <c r="D964" s="2" t="s">
        <v>790</v>
      </c>
      <c r="E964" s="2" t="s">
        <v>791</v>
      </c>
      <c r="F964" s="3">
        <v>44951</v>
      </c>
      <c r="G964" s="4">
        <f t="shared" si="117"/>
        <v>1</v>
      </c>
      <c r="H964" s="4">
        <f t="shared" si="118"/>
        <v>2023</v>
      </c>
      <c r="I964" s="2" t="s">
        <v>4</v>
      </c>
      <c r="J964" s="2" t="s">
        <v>1607</v>
      </c>
      <c r="K964" s="2" t="s">
        <v>845</v>
      </c>
      <c r="L964" s="2" t="s">
        <v>843</v>
      </c>
      <c r="M964" s="2" t="s">
        <v>844</v>
      </c>
      <c r="N964" s="4" t="str">
        <f t="shared" si="119"/>
        <v>GAL</v>
      </c>
      <c r="O964" s="5">
        <v>55</v>
      </c>
      <c r="S964" s="32">
        <f t="shared" ref="S964:S1027" si="120">SUMIF($R$3:$R$885, $R964, $O$3:$O$885)</f>
        <v>0</v>
      </c>
    </row>
    <row r="965" spans="2:19" x14ac:dyDescent="0.25">
      <c r="B965" s="1" t="s">
        <v>1520</v>
      </c>
      <c r="C965" s="2" t="s">
        <v>196</v>
      </c>
      <c r="D965" s="2" t="s">
        <v>660</v>
      </c>
      <c r="E965" s="2" t="s">
        <v>661</v>
      </c>
      <c r="F965" s="3">
        <v>44951</v>
      </c>
      <c r="G965" s="4">
        <f t="shared" si="117"/>
        <v>1</v>
      </c>
      <c r="H965" s="4">
        <f t="shared" si="118"/>
        <v>2023</v>
      </c>
      <c r="I965" s="2" t="s">
        <v>4</v>
      </c>
      <c r="J965" s="2" t="s">
        <v>1608</v>
      </c>
      <c r="K965" s="2" t="s">
        <v>329</v>
      </c>
      <c r="L965" s="2" t="s">
        <v>330</v>
      </c>
      <c r="M965" s="2" t="s">
        <v>119</v>
      </c>
      <c r="N965" s="4" t="str">
        <f t="shared" si="119"/>
        <v>TON</v>
      </c>
      <c r="O965" s="5">
        <v>6</v>
      </c>
      <c r="S965" s="32">
        <f t="shared" si="120"/>
        <v>0</v>
      </c>
    </row>
    <row r="966" spans="2:19" x14ac:dyDescent="0.25">
      <c r="B966" s="1" t="s">
        <v>1520</v>
      </c>
      <c r="C966" s="2" t="s">
        <v>196</v>
      </c>
      <c r="D966" s="2" t="s">
        <v>660</v>
      </c>
      <c r="E966" s="2" t="s">
        <v>699</v>
      </c>
      <c r="F966" s="3">
        <v>44951</v>
      </c>
      <c r="G966" s="4">
        <f t="shared" si="117"/>
        <v>1</v>
      </c>
      <c r="H966" s="4">
        <f t="shared" si="118"/>
        <v>2023</v>
      </c>
      <c r="I966" s="2" t="s">
        <v>4</v>
      </c>
      <c r="J966" s="2" t="s">
        <v>1609</v>
      </c>
      <c r="K966" s="2" t="s">
        <v>447</v>
      </c>
      <c r="L966" s="2" t="s">
        <v>448</v>
      </c>
      <c r="M966" s="2" t="s">
        <v>119</v>
      </c>
      <c r="N966" s="4" t="str">
        <f t="shared" si="119"/>
        <v>TON</v>
      </c>
      <c r="O966" s="5">
        <v>3</v>
      </c>
      <c r="S966" s="32">
        <f t="shared" si="120"/>
        <v>0</v>
      </c>
    </row>
    <row r="967" spans="2:19" x14ac:dyDescent="0.25">
      <c r="B967" s="1" t="s">
        <v>1520</v>
      </c>
      <c r="C967" s="2" t="s">
        <v>196</v>
      </c>
      <c r="D967" s="2" t="s">
        <v>303</v>
      </c>
      <c r="E967" s="2" t="s">
        <v>981</v>
      </c>
      <c r="F967" s="3">
        <v>44952</v>
      </c>
      <c r="G967" s="4">
        <f t="shared" si="117"/>
        <v>1</v>
      </c>
      <c r="H967" s="4">
        <f t="shared" si="118"/>
        <v>2023</v>
      </c>
      <c r="I967" s="2" t="s">
        <v>4</v>
      </c>
      <c r="J967" s="2" t="s">
        <v>1610</v>
      </c>
      <c r="K967" s="2" t="s">
        <v>1581</v>
      </c>
      <c r="L967" s="2" t="s">
        <v>1582</v>
      </c>
      <c r="M967" s="2" t="s">
        <v>119</v>
      </c>
      <c r="N967" s="4" t="str">
        <f t="shared" si="119"/>
        <v>TON</v>
      </c>
      <c r="O967" s="5">
        <v>12.525</v>
      </c>
      <c r="S967" s="32">
        <f t="shared" si="120"/>
        <v>0</v>
      </c>
    </row>
    <row r="968" spans="2:19" x14ac:dyDescent="0.25">
      <c r="B968" s="1" t="s">
        <v>1520</v>
      </c>
      <c r="C968" s="2" t="s">
        <v>196</v>
      </c>
      <c r="D968" s="2" t="s">
        <v>452</v>
      </c>
      <c r="E968" s="2" t="s">
        <v>1611</v>
      </c>
      <c r="F968" s="3">
        <v>44952</v>
      </c>
      <c r="G968" s="4">
        <f t="shared" si="117"/>
        <v>1</v>
      </c>
      <c r="H968" s="4">
        <f t="shared" si="118"/>
        <v>2023</v>
      </c>
      <c r="I968" s="2" t="s">
        <v>4</v>
      </c>
      <c r="J968" s="2" t="s">
        <v>1612</v>
      </c>
      <c r="K968" s="2" t="s">
        <v>117</v>
      </c>
      <c r="L968" s="2" t="s">
        <v>118</v>
      </c>
      <c r="M968" s="2" t="s">
        <v>119</v>
      </c>
      <c r="N968" s="4" t="str">
        <f t="shared" si="119"/>
        <v>TON</v>
      </c>
      <c r="O968" s="5">
        <v>1.26</v>
      </c>
      <c r="S968" s="32">
        <f t="shared" si="120"/>
        <v>0</v>
      </c>
    </row>
    <row r="969" spans="2:19" x14ac:dyDescent="0.25">
      <c r="B969" s="1" t="s">
        <v>1520</v>
      </c>
      <c r="C969" s="2" t="s">
        <v>196</v>
      </c>
      <c r="D969" s="2" t="s">
        <v>1385</v>
      </c>
      <c r="E969" s="2" t="s">
        <v>102</v>
      </c>
      <c r="F969" s="3">
        <v>44951</v>
      </c>
      <c r="G969" s="4">
        <f t="shared" si="117"/>
        <v>1</v>
      </c>
      <c r="H969" s="4">
        <f t="shared" si="118"/>
        <v>2023</v>
      </c>
      <c r="I969" s="2" t="s">
        <v>4</v>
      </c>
      <c r="J969" s="2" t="s">
        <v>1613</v>
      </c>
      <c r="K969" s="2" t="s">
        <v>1387</v>
      </c>
      <c r="L969" s="2" t="s">
        <v>1388</v>
      </c>
      <c r="M969" s="2" t="s">
        <v>119</v>
      </c>
      <c r="N969" s="4" t="str">
        <f t="shared" si="119"/>
        <v>TON</v>
      </c>
      <c r="O969" s="5">
        <v>1</v>
      </c>
      <c r="S969" s="32">
        <f t="shared" si="120"/>
        <v>0</v>
      </c>
    </row>
    <row r="970" spans="2:19" x14ac:dyDescent="0.25">
      <c r="B970" s="1" t="s">
        <v>1520</v>
      </c>
      <c r="C970" s="2" t="s">
        <v>196</v>
      </c>
      <c r="D970" s="2" t="s">
        <v>280</v>
      </c>
      <c r="E970" s="2" t="s">
        <v>254</v>
      </c>
      <c r="F970" s="3">
        <v>44951</v>
      </c>
      <c r="G970" s="4">
        <f t="shared" si="117"/>
        <v>1</v>
      </c>
      <c r="H970" s="4">
        <f t="shared" si="118"/>
        <v>2023</v>
      </c>
      <c r="I970" s="2" t="s">
        <v>4</v>
      </c>
      <c r="J970" s="2" t="s">
        <v>1614</v>
      </c>
      <c r="K970" s="2" t="s">
        <v>390</v>
      </c>
      <c r="L970" s="2" t="s">
        <v>391</v>
      </c>
      <c r="M970" s="2" t="s">
        <v>119</v>
      </c>
      <c r="N970" s="4" t="str">
        <f t="shared" si="119"/>
        <v>TON</v>
      </c>
      <c r="O970" s="5">
        <v>5.0175000000000001</v>
      </c>
      <c r="S970" s="32">
        <f t="shared" si="120"/>
        <v>0</v>
      </c>
    </row>
    <row r="971" spans="2:19" x14ac:dyDescent="0.25">
      <c r="B971" s="1" t="s">
        <v>1520</v>
      </c>
      <c r="C971" s="2" t="s">
        <v>196</v>
      </c>
      <c r="D971" s="2" t="s">
        <v>241</v>
      </c>
      <c r="E971" s="2" t="s">
        <v>242</v>
      </c>
      <c r="F971" s="3">
        <v>44951</v>
      </c>
      <c r="G971" s="4">
        <f t="shared" si="117"/>
        <v>1</v>
      </c>
      <c r="H971" s="4">
        <f t="shared" si="118"/>
        <v>2023</v>
      </c>
      <c r="I971" s="2" t="s">
        <v>4</v>
      </c>
      <c r="J971" s="2" t="s">
        <v>1615</v>
      </c>
      <c r="K971" s="2" t="s">
        <v>260</v>
      </c>
      <c r="L971" s="2" t="s">
        <v>261</v>
      </c>
      <c r="M971" s="2" t="s">
        <v>119</v>
      </c>
      <c r="N971" s="4" t="str">
        <f t="shared" si="119"/>
        <v>TON</v>
      </c>
      <c r="O971" s="5">
        <v>2.0175000000000001</v>
      </c>
      <c r="S971" s="32">
        <f t="shared" si="120"/>
        <v>0</v>
      </c>
    </row>
    <row r="972" spans="2:19" x14ac:dyDescent="0.25">
      <c r="B972" s="1" t="s">
        <v>1520</v>
      </c>
      <c r="C972" s="2" t="s">
        <v>196</v>
      </c>
      <c r="D972" s="2" t="s">
        <v>285</v>
      </c>
      <c r="E972" s="2" t="s">
        <v>695</v>
      </c>
      <c r="F972" s="3">
        <v>44952</v>
      </c>
      <c r="G972" s="4">
        <f t="shared" si="117"/>
        <v>1</v>
      </c>
      <c r="H972" s="4">
        <f t="shared" si="118"/>
        <v>2023</v>
      </c>
      <c r="I972" s="2" t="s">
        <v>4</v>
      </c>
      <c r="J972" s="2" t="s">
        <v>1616</v>
      </c>
      <c r="K972" s="2" t="s">
        <v>292</v>
      </c>
      <c r="L972" s="2" t="s">
        <v>293</v>
      </c>
      <c r="M972" s="2" t="s">
        <v>119</v>
      </c>
      <c r="N972" s="4" t="str">
        <f t="shared" si="119"/>
        <v>TON</v>
      </c>
      <c r="O972" s="5">
        <v>4.0250000000000004</v>
      </c>
      <c r="S972" s="32">
        <f t="shared" si="120"/>
        <v>0</v>
      </c>
    </row>
    <row r="973" spans="2:19" x14ac:dyDescent="0.25">
      <c r="B973" s="1" t="s">
        <v>1520</v>
      </c>
      <c r="C973" s="2" t="s">
        <v>196</v>
      </c>
      <c r="D973" s="2" t="s">
        <v>452</v>
      </c>
      <c r="E973" s="2" t="s">
        <v>222</v>
      </c>
      <c r="F973" s="3">
        <v>44952</v>
      </c>
      <c r="G973" s="4">
        <f t="shared" si="117"/>
        <v>1</v>
      </c>
      <c r="H973" s="4">
        <f t="shared" si="118"/>
        <v>2023</v>
      </c>
      <c r="I973" s="2" t="s">
        <v>4</v>
      </c>
      <c r="J973" s="2" t="s">
        <v>1617</v>
      </c>
      <c r="K973" s="2" t="s">
        <v>117</v>
      </c>
      <c r="L973" s="2" t="s">
        <v>118</v>
      </c>
      <c r="M973" s="2" t="s">
        <v>119</v>
      </c>
      <c r="N973" s="4" t="str">
        <f t="shared" si="119"/>
        <v>TON</v>
      </c>
      <c r="O973" s="5">
        <v>4</v>
      </c>
      <c r="S973" s="32">
        <f t="shared" si="120"/>
        <v>0</v>
      </c>
    </row>
    <row r="974" spans="2:19" x14ac:dyDescent="0.25">
      <c r="B974" s="1" t="s">
        <v>1520</v>
      </c>
      <c r="C974" s="2" t="s">
        <v>196</v>
      </c>
      <c r="D974" s="2" t="s">
        <v>790</v>
      </c>
      <c r="E974" s="2" t="s">
        <v>791</v>
      </c>
      <c r="F974" s="3">
        <v>44952</v>
      </c>
      <c r="G974" s="4">
        <f t="shared" si="117"/>
        <v>1</v>
      </c>
      <c r="H974" s="4">
        <f t="shared" si="118"/>
        <v>2023</v>
      </c>
      <c r="I974" s="2" t="s">
        <v>4</v>
      </c>
      <c r="J974" s="2" t="s">
        <v>1618</v>
      </c>
      <c r="K974" s="2" t="s">
        <v>122</v>
      </c>
      <c r="L974" s="2" t="s">
        <v>123</v>
      </c>
      <c r="M974" s="2" t="s">
        <v>119</v>
      </c>
      <c r="N974" s="4" t="str">
        <f t="shared" si="119"/>
        <v>TON</v>
      </c>
      <c r="O974" s="5">
        <v>5</v>
      </c>
      <c r="S974" s="32">
        <f t="shared" si="120"/>
        <v>0</v>
      </c>
    </row>
    <row r="975" spans="2:19" x14ac:dyDescent="0.25">
      <c r="B975" s="1" t="s">
        <v>1520</v>
      </c>
      <c r="C975" s="2" t="s">
        <v>196</v>
      </c>
      <c r="D975" s="2" t="s">
        <v>475</v>
      </c>
      <c r="E975" s="2" t="s">
        <v>476</v>
      </c>
      <c r="F975" s="3">
        <v>44952</v>
      </c>
      <c r="G975" s="4">
        <f t="shared" si="117"/>
        <v>1</v>
      </c>
      <c r="H975" s="4">
        <f t="shared" si="118"/>
        <v>2023</v>
      </c>
      <c r="I975" s="2" t="s">
        <v>4</v>
      </c>
      <c r="J975" s="2" t="s">
        <v>1619</v>
      </c>
      <c r="K975" s="2" t="s">
        <v>478</v>
      </c>
      <c r="L975" s="2" t="s">
        <v>479</v>
      </c>
      <c r="M975" s="2" t="s">
        <v>119</v>
      </c>
      <c r="N975" s="4" t="str">
        <f t="shared" si="119"/>
        <v>TON</v>
      </c>
      <c r="O975" s="5">
        <v>5</v>
      </c>
      <c r="S975" s="32">
        <f t="shared" si="120"/>
        <v>0</v>
      </c>
    </row>
    <row r="976" spans="2:19" x14ac:dyDescent="0.25">
      <c r="B976" s="1" t="s">
        <v>1520</v>
      </c>
      <c r="C976" s="2" t="s">
        <v>196</v>
      </c>
      <c r="D976" s="2" t="s">
        <v>248</v>
      </c>
      <c r="E976" s="2" t="s">
        <v>1620</v>
      </c>
      <c r="F976" s="3">
        <v>44952</v>
      </c>
      <c r="G976" s="4">
        <f t="shared" si="117"/>
        <v>1</v>
      </c>
      <c r="H976" s="4">
        <f t="shared" si="118"/>
        <v>2023</v>
      </c>
      <c r="I976" s="2" t="s">
        <v>4</v>
      </c>
      <c r="J976" s="2" t="s">
        <v>1621</v>
      </c>
      <c r="K976" s="2" t="s">
        <v>1622</v>
      </c>
      <c r="L976" s="2" t="s">
        <v>1623</v>
      </c>
      <c r="M976" s="2" t="s">
        <v>119</v>
      </c>
      <c r="N976" s="4" t="str">
        <f t="shared" si="119"/>
        <v>TON</v>
      </c>
      <c r="O976" s="5">
        <v>15</v>
      </c>
      <c r="S976" s="32">
        <f t="shared" si="120"/>
        <v>0</v>
      </c>
    </row>
    <row r="977" spans="2:19" x14ac:dyDescent="0.25">
      <c r="B977" s="1" t="s">
        <v>1520</v>
      </c>
      <c r="C977" s="2" t="s">
        <v>196</v>
      </c>
      <c r="D977" s="2" t="s">
        <v>387</v>
      </c>
      <c r="E977" s="2" t="s">
        <v>797</v>
      </c>
      <c r="F977" s="3">
        <v>44952</v>
      </c>
      <c r="G977" s="4">
        <f t="shared" si="117"/>
        <v>1</v>
      </c>
      <c r="H977" s="4">
        <f t="shared" si="118"/>
        <v>2023</v>
      </c>
      <c r="I977" s="2" t="s">
        <v>4</v>
      </c>
      <c r="J977" s="2" t="s">
        <v>1624</v>
      </c>
      <c r="K977" s="2" t="s">
        <v>1529</v>
      </c>
      <c r="L977" s="2" t="s">
        <v>1530</v>
      </c>
      <c r="M977" s="2" t="s">
        <v>119</v>
      </c>
      <c r="N977" s="4" t="str">
        <f t="shared" si="119"/>
        <v>TON</v>
      </c>
      <c r="O977" s="5">
        <v>10</v>
      </c>
      <c r="S977" s="32">
        <f t="shared" si="120"/>
        <v>0</v>
      </c>
    </row>
    <row r="978" spans="2:19" x14ac:dyDescent="0.25">
      <c r="B978" s="1" t="s">
        <v>1520</v>
      </c>
      <c r="C978" s="2" t="s">
        <v>196</v>
      </c>
      <c r="D978" s="2" t="s">
        <v>1565</v>
      </c>
      <c r="E978" s="2" t="s">
        <v>1566</v>
      </c>
      <c r="F978" s="3">
        <v>44952</v>
      </c>
      <c r="G978" s="4">
        <f t="shared" si="117"/>
        <v>1</v>
      </c>
      <c r="H978" s="4">
        <f t="shared" si="118"/>
        <v>2023</v>
      </c>
      <c r="I978" s="2" t="s">
        <v>4</v>
      </c>
      <c r="J978" s="2" t="s">
        <v>1625</v>
      </c>
      <c r="K978" s="2" t="s">
        <v>986</v>
      </c>
      <c r="L978" s="2" t="s">
        <v>987</v>
      </c>
      <c r="M978" s="2" t="s">
        <v>988</v>
      </c>
      <c r="N978" s="4" t="str">
        <f t="shared" si="119"/>
        <v>GAL</v>
      </c>
      <c r="O978" s="5">
        <v>10</v>
      </c>
      <c r="S978" s="32">
        <f t="shared" si="120"/>
        <v>0</v>
      </c>
    </row>
    <row r="979" spans="2:19" x14ac:dyDescent="0.25">
      <c r="B979" s="1" t="s">
        <v>1520</v>
      </c>
      <c r="C979" s="2" t="s">
        <v>196</v>
      </c>
      <c r="D979" s="2" t="s">
        <v>265</v>
      </c>
      <c r="E979" s="2" t="s">
        <v>1172</v>
      </c>
      <c r="F979" s="3">
        <v>44953</v>
      </c>
      <c r="G979" s="4">
        <f t="shared" si="117"/>
        <v>1</v>
      </c>
      <c r="H979" s="4">
        <f t="shared" si="118"/>
        <v>2023</v>
      </c>
      <c r="I979" s="2" t="s">
        <v>4</v>
      </c>
      <c r="J979" s="2" t="s">
        <v>1626</v>
      </c>
      <c r="K979" s="2" t="s">
        <v>268</v>
      </c>
      <c r="L979" s="2" t="s">
        <v>269</v>
      </c>
      <c r="M979" s="2" t="s">
        <v>119</v>
      </c>
      <c r="N979" s="4" t="str">
        <f t="shared" si="119"/>
        <v>TON</v>
      </c>
      <c r="O979" s="5">
        <v>1</v>
      </c>
      <c r="S979" s="32">
        <f t="shared" si="120"/>
        <v>0</v>
      </c>
    </row>
    <row r="980" spans="2:19" x14ac:dyDescent="0.25">
      <c r="B980" s="1" t="s">
        <v>1520</v>
      </c>
      <c r="C980" s="2" t="s">
        <v>196</v>
      </c>
      <c r="D980" s="2" t="s">
        <v>679</v>
      </c>
      <c r="E980" s="2" t="s">
        <v>680</v>
      </c>
      <c r="F980" s="3">
        <v>44953</v>
      </c>
      <c r="G980" s="4">
        <f t="shared" si="117"/>
        <v>1</v>
      </c>
      <c r="H980" s="4">
        <f t="shared" si="118"/>
        <v>2023</v>
      </c>
      <c r="I980" s="2" t="s">
        <v>4</v>
      </c>
      <c r="J980" s="2" t="s">
        <v>1627</v>
      </c>
      <c r="K980" s="2" t="s">
        <v>122</v>
      </c>
      <c r="L980" s="2" t="s">
        <v>123</v>
      </c>
      <c r="M980" s="2" t="s">
        <v>119</v>
      </c>
      <c r="N980" s="4" t="str">
        <f t="shared" si="119"/>
        <v>TON</v>
      </c>
      <c r="O980" s="5">
        <v>2</v>
      </c>
      <c r="S980" s="32">
        <f t="shared" si="120"/>
        <v>0</v>
      </c>
    </row>
    <row r="981" spans="2:19" x14ac:dyDescent="0.25">
      <c r="B981" s="1" t="s">
        <v>1520</v>
      </c>
      <c r="C981" s="2" t="s">
        <v>196</v>
      </c>
      <c r="D981" s="2" t="s">
        <v>437</v>
      </c>
      <c r="E981" s="2" t="s">
        <v>738</v>
      </c>
      <c r="F981" s="3">
        <v>44953</v>
      </c>
      <c r="G981" s="4">
        <f t="shared" si="117"/>
        <v>1</v>
      </c>
      <c r="H981" s="4">
        <f t="shared" si="118"/>
        <v>2023</v>
      </c>
      <c r="I981" s="2" t="s">
        <v>4</v>
      </c>
      <c r="J981" s="2" t="s">
        <v>1628</v>
      </c>
      <c r="K981" s="2" t="s">
        <v>1291</v>
      </c>
      <c r="L981" s="2" t="s">
        <v>1292</v>
      </c>
      <c r="M981" s="2" t="s">
        <v>119</v>
      </c>
      <c r="N981" s="4" t="str">
        <f t="shared" si="119"/>
        <v>TON</v>
      </c>
      <c r="O981" s="5">
        <v>2.5</v>
      </c>
      <c r="S981" s="32">
        <f t="shared" si="120"/>
        <v>0</v>
      </c>
    </row>
    <row r="982" spans="2:19" x14ac:dyDescent="0.25">
      <c r="B982" s="1" t="s">
        <v>1520</v>
      </c>
      <c r="C982" s="2" t="s">
        <v>196</v>
      </c>
      <c r="D982" s="2" t="s">
        <v>374</v>
      </c>
      <c r="E982" s="2" t="s">
        <v>717</v>
      </c>
      <c r="F982" s="3">
        <v>44953</v>
      </c>
      <c r="G982" s="4">
        <f t="shared" si="117"/>
        <v>1</v>
      </c>
      <c r="H982" s="4">
        <f t="shared" si="118"/>
        <v>2023</v>
      </c>
      <c r="I982" s="2" t="s">
        <v>4</v>
      </c>
      <c r="J982" s="2" t="s">
        <v>1629</v>
      </c>
      <c r="K982" s="2" t="s">
        <v>122</v>
      </c>
      <c r="L982" s="2" t="s">
        <v>123</v>
      </c>
      <c r="M982" s="2" t="s">
        <v>119</v>
      </c>
      <c r="N982" s="4" t="str">
        <f t="shared" si="119"/>
        <v>TON</v>
      </c>
      <c r="O982" s="5">
        <v>8.9949999999999992</v>
      </c>
      <c r="S982" s="32">
        <f t="shared" si="120"/>
        <v>0</v>
      </c>
    </row>
    <row r="983" spans="2:19" x14ac:dyDescent="0.25">
      <c r="B983" s="1" t="s">
        <v>1520</v>
      </c>
      <c r="C983" s="2" t="s">
        <v>196</v>
      </c>
      <c r="D983" s="2" t="s">
        <v>215</v>
      </c>
      <c r="E983" s="2" t="s">
        <v>701</v>
      </c>
      <c r="F983" s="3">
        <v>44953</v>
      </c>
      <c r="G983" s="4">
        <f t="shared" si="117"/>
        <v>1</v>
      </c>
      <c r="H983" s="4">
        <f t="shared" si="118"/>
        <v>2023</v>
      </c>
      <c r="I983" s="2" t="s">
        <v>4</v>
      </c>
      <c r="J983" s="2" t="s">
        <v>1630</v>
      </c>
      <c r="K983" s="2" t="s">
        <v>447</v>
      </c>
      <c r="L983" s="2" t="s">
        <v>448</v>
      </c>
      <c r="M983" s="2" t="s">
        <v>119</v>
      </c>
      <c r="N983" s="4" t="str">
        <f t="shared" si="119"/>
        <v>TON</v>
      </c>
      <c r="O983" s="5">
        <v>5.5</v>
      </c>
      <c r="S983" s="32">
        <f t="shared" si="120"/>
        <v>0</v>
      </c>
    </row>
    <row r="984" spans="2:19" x14ac:dyDescent="0.25">
      <c r="B984" s="1" t="s">
        <v>1520</v>
      </c>
      <c r="C984" s="2" t="s">
        <v>196</v>
      </c>
      <c r="D984" s="2" t="s">
        <v>215</v>
      </c>
      <c r="E984" s="2" t="s">
        <v>315</v>
      </c>
      <c r="F984" s="3">
        <v>44953</v>
      </c>
      <c r="G984" s="4">
        <f t="shared" si="117"/>
        <v>1</v>
      </c>
      <c r="H984" s="4">
        <f t="shared" si="118"/>
        <v>2023</v>
      </c>
      <c r="I984" s="2" t="s">
        <v>4</v>
      </c>
      <c r="J984" s="2" t="s">
        <v>1631</v>
      </c>
      <c r="K984" s="2" t="s">
        <v>447</v>
      </c>
      <c r="L984" s="2" t="s">
        <v>448</v>
      </c>
      <c r="M984" s="2" t="s">
        <v>119</v>
      </c>
      <c r="N984" s="4" t="str">
        <f t="shared" si="119"/>
        <v>TON</v>
      </c>
      <c r="O984" s="5">
        <v>4</v>
      </c>
      <c r="S984" s="32">
        <f t="shared" si="120"/>
        <v>0</v>
      </c>
    </row>
    <row r="985" spans="2:19" x14ac:dyDescent="0.25">
      <c r="B985" s="1" t="s">
        <v>1520</v>
      </c>
      <c r="C985" s="2" t="s">
        <v>196</v>
      </c>
      <c r="D985" s="2" t="s">
        <v>114</v>
      </c>
      <c r="E985" s="2" t="s">
        <v>115</v>
      </c>
      <c r="F985" s="3">
        <v>44953</v>
      </c>
      <c r="G985" s="4">
        <f t="shared" si="117"/>
        <v>1</v>
      </c>
      <c r="H985" s="4">
        <f t="shared" si="118"/>
        <v>2023</v>
      </c>
      <c r="I985" s="2" t="s">
        <v>4</v>
      </c>
      <c r="J985" s="2" t="s">
        <v>1632</v>
      </c>
      <c r="K985" s="2" t="s">
        <v>390</v>
      </c>
      <c r="L985" s="2" t="s">
        <v>391</v>
      </c>
      <c r="M985" s="2" t="s">
        <v>119</v>
      </c>
      <c r="N985" s="4" t="str">
        <f t="shared" si="119"/>
        <v>TON</v>
      </c>
      <c r="O985" s="5">
        <v>9</v>
      </c>
      <c r="S985" s="32">
        <f t="shared" si="120"/>
        <v>0</v>
      </c>
    </row>
    <row r="986" spans="2:19" x14ac:dyDescent="0.25">
      <c r="B986" s="1" t="s">
        <v>1520</v>
      </c>
      <c r="C986" s="2" t="s">
        <v>196</v>
      </c>
      <c r="D986" s="2" t="s">
        <v>669</v>
      </c>
      <c r="E986" s="2" t="s">
        <v>1633</v>
      </c>
      <c r="F986" s="3">
        <v>44953</v>
      </c>
      <c r="G986" s="4">
        <f t="shared" si="117"/>
        <v>1</v>
      </c>
      <c r="H986" s="4">
        <f t="shared" si="118"/>
        <v>2023</v>
      </c>
      <c r="I986" s="2" t="s">
        <v>4</v>
      </c>
      <c r="J986" s="2" t="s">
        <v>1634</v>
      </c>
      <c r="K986" s="2" t="s">
        <v>384</v>
      </c>
      <c r="L986" s="2" t="s">
        <v>385</v>
      </c>
      <c r="M986" s="2" t="s">
        <v>119</v>
      </c>
      <c r="N986" s="4" t="str">
        <f t="shared" si="119"/>
        <v>TON</v>
      </c>
      <c r="O986" s="5">
        <v>4</v>
      </c>
      <c r="S986" s="32">
        <f t="shared" si="120"/>
        <v>0</v>
      </c>
    </row>
    <row r="987" spans="2:19" x14ac:dyDescent="0.25">
      <c r="B987" s="1" t="s">
        <v>1520</v>
      </c>
      <c r="C987" s="2" t="s">
        <v>196</v>
      </c>
      <c r="D987" s="2" t="s">
        <v>114</v>
      </c>
      <c r="E987" s="2" t="s">
        <v>369</v>
      </c>
      <c r="F987" s="3">
        <v>44956</v>
      </c>
      <c r="G987" s="4">
        <f t="shared" si="117"/>
        <v>1</v>
      </c>
      <c r="H987" s="4">
        <f t="shared" si="118"/>
        <v>2023</v>
      </c>
      <c r="I987" s="2" t="s">
        <v>4</v>
      </c>
      <c r="J987" s="2" t="s">
        <v>1635</v>
      </c>
      <c r="K987" s="2" t="s">
        <v>390</v>
      </c>
      <c r="L987" s="2" t="s">
        <v>391</v>
      </c>
      <c r="M987" s="2" t="s">
        <v>119</v>
      </c>
      <c r="N987" s="4" t="str">
        <f t="shared" si="119"/>
        <v>TON</v>
      </c>
      <c r="O987" s="5">
        <v>2</v>
      </c>
      <c r="S987" s="32">
        <f t="shared" si="120"/>
        <v>0</v>
      </c>
    </row>
    <row r="988" spans="2:19" x14ac:dyDescent="0.25">
      <c r="B988" s="1" t="s">
        <v>1520</v>
      </c>
      <c r="C988" s="2" t="s">
        <v>196</v>
      </c>
      <c r="D988" s="2" t="s">
        <v>224</v>
      </c>
      <c r="E988" s="2" t="s">
        <v>361</v>
      </c>
      <c r="F988" s="3">
        <v>44956</v>
      </c>
      <c r="G988" s="4">
        <f t="shared" si="117"/>
        <v>1</v>
      </c>
      <c r="H988" s="4">
        <f t="shared" si="118"/>
        <v>2023</v>
      </c>
      <c r="I988" s="2" t="s">
        <v>4</v>
      </c>
      <c r="J988" s="2" t="s">
        <v>1636</v>
      </c>
      <c r="K988" s="2" t="s">
        <v>205</v>
      </c>
      <c r="L988" s="2" t="s">
        <v>206</v>
      </c>
      <c r="M988" s="2" t="s">
        <v>119</v>
      </c>
      <c r="N988" s="4" t="str">
        <f t="shared" si="119"/>
        <v>TON</v>
      </c>
      <c r="O988" s="5">
        <v>5.01</v>
      </c>
      <c r="S988" s="32">
        <f t="shared" si="120"/>
        <v>0</v>
      </c>
    </row>
    <row r="989" spans="2:19" x14ac:dyDescent="0.25">
      <c r="B989" s="1" t="s">
        <v>1520</v>
      </c>
      <c r="C989" s="2" t="s">
        <v>196</v>
      </c>
      <c r="D989" s="2" t="s">
        <v>197</v>
      </c>
      <c r="E989" s="2" t="s">
        <v>198</v>
      </c>
      <c r="F989" s="3">
        <v>44956</v>
      </c>
      <c r="G989" s="4">
        <f t="shared" si="117"/>
        <v>1</v>
      </c>
      <c r="H989" s="4">
        <f t="shared" si="118"/>
        <v>2023</v>
      </c>
      <c r="I989" s="2" t="s">
        <v>4</v>
      </c>
      <c r="J989" s="2" t="s">
        <v>1637</v>
      </c>
      <c r="K989" s="2" t="s">
        <v>307</v>
      </c>
      <c r="L989" s="2" t="s">
        <v>308</v>
      </c>
      <c r="M989" s="2" t="s">
        <v>119</v>
      </c>
      <c r="N989" s="4" t="str">
        <f t="shared" si="119"/>
        <v>TON</v>
      </c>
      <c r="O989" s="5">
        <v>3.53</v>
      </c>
      <c r="S989" s="32">
        <f t="shared" si="120"/>
        <v>0</v>
      </c>
    </row>
    <row r="990" spans="2:19" x14ac:dyDescent="0.25">
      <c r="B990" s="1" t="s">
        <v>1520</v>
      </c>
      <c r="C990" s="2" t="s">
        <v>196</v>
      </c>
      <c r="D990" s="2" t="s">
        <v>285</v>
      </c>
      <c r="E990" s="2" t="s">
        <v>297</v>
      </c>
      <c r="F990" s="3">
        <v>44956</v>
      </c>
      <c r="G990" s="4">
        <f t="shared" si="117"/>
        <v>1</v>
      </c>
      <c r="H990" s="4">
        <f t="shared" si="118"/>
        <v>2023</v>
      </c>
      <c r="I990" s="2" t="s">
        <v>4</v>
      </c>
      <c r="J990" s="2" t="s">
        <v>1638</v>
      </c>
      <c r="K990" s="2" t="s">
        <v>292</v>
      </c>
      <c r="L990" s="2" t="s">
        <v>293</v>
      </c>
      <c r="M990" s="2" t="s">
        <v>119</v>
      </c>
      <c r="N990" s="4" t="str">
        <f t="shared" si="119"/>
        <v>TON</v>
      </c>
      <c r="O990" s="5">
        <v>8.0250000000000004</v>
      </c>
      <c r="S990" s="32">
        <f t="shared" si="120"/>
        <v>0</v>
      </c>
    </row>
    <row r="991" spans="2:19" x14ac:dyDescent="0.25">
      <c r="B991" s="1" t="s">
        <v>1520</v>
      </c>
      <c r="C991" s="2" t="s">
        <v>196</v>
      </c>
      <c r="D991" s="2" t="s">
        <v>232</v>
      </c>
      <c r="E991" s="2" t="s">
        <v>778</v>
      </c>
      <c r="F991" s="3">
        <v>44956</v>
      </c>
      <c r="G991" s="4">
        <f t="shared" si="117"/>
        <v>1</v>
      </c>
      <c r="H991" s="4">
        <f t="shared" si="118"/>
        <v>2023</v>
      </c>
      <c r="I991" s="2" t="s">
        <v>4</v>
      </c>
      <c r="J991" s="2" t="s">
        <v>1639</v>
      </c>
      <c r="K991" s="2" t="s">
        <v>329</v>
      </c>
      <c r="L991" s="2" t="s">
        <v>330</v>
      </c>
      <c r="M991" s="2" t="s">
        <v>119</v>
      </c>
      <c r="N991" s="4" t="str">
        <f t="shared" si="119"/>
        <v>TON</v>
      </c>
      <c r="O991" s="5">
        <v>5</v>
      </c>
      <c r="S991" s="32">
        <f t="shared" si="120"/>
        <v>0</v>
      </c>
    </row>
    <row r="992" spans="2:19" x14ac:dyDescent="0.25">
      <c r="B992" s="1" t="s">
        <v>1520</v>
      </c>
      <c r="C992" s="2" t="s">
        <v>196</v>
      </c>
      <c r="D992" s="2" t="s">
        <v>114</v>
      </c>
      <c r="E992" s="2" t="s">
        <v>402</v>
      </c>
      <c r="F992" s="3">
        <v>44956</v>
      </c>
      <c r="G992" s="4">
        <f t="shared" si="117"/>
        <v>1</v>
      </c>
      <c r="H992" s="4">
        <f t="shared" si="118"/>
        <v>2023</v>
      </c>
      <c r="I992" s="2" t="s">
        <v>4</v>
      </c>
      <c r="J992" s="2" t="s">
        <v>1640</v>
      </c>
      <c r="K992" s="2" t="s">
        <v>390</v>
      </c>
      <c r="L992" s="2" t="s">
        <v>391</v>
      </c>
      <c r="M992" s="2" t="s">
        <v>119</v>
      </c>
      <c r="N992" s="4" t="str">
        <f t="shared" si="119"/>
        <v>TON</v>
      </c>
      <c r="O992" s="5">
        <v>5.0125000000000002</v>
      </c>
      <c r="S992" s="32">
        <f t="shared" si="120"/>
        <v>0</v>
      </c>
    </row>
    <row r="993" spans="2:19" x14ac:dyDescent="0.25">
      <c r="B993" s="1" t="s">
        <v>1520</v>
      </c>
      <c r="C993" s="2" t="s">
        <v>196</v>
      </c>
      <c r="D993" s="2" t="s">
        <v>215</v>
      </c>
      <c r="E993" s="2" t="s">
        <v>701</v>
      </c>
      <c r="F993" s="3">
        <v>44956</v>
      </c>
      <c r="G993" s="4">
        <f t="shared" si="117"/>
        <v>1</v>
      </c>
      <c r="H993" s="4">
        <f t="shared" si="118"/>
        <v>2023</v>
      </c>
      <c r="I993" s="2" t="s">
        <v>4</v>
      </c>
      <c r="J993" s="2" t="s">
        <v>1641</v>
      </c>
      <c r="K993" s="2" t="s">
        <v>447</v>
      </c>
      <c r="L993" s="2" t="s">
        <v>448</v>
      </c>
      <c r="M993" s="2" t="s">
        <v>119</v>
      </c>
      <c r="N993" s="4" t="str">
        <f t="shared" si="119"/>
        <v>TON</v>
      </c>
      <c r="O993" s="5">
        <v>2.5024999999999999</v>
      </c>
      <c r="S993" s="32">
        <f t="shared" si="120"/>
        <v>0</v>
      </c>
    </row>
    <row r="994" spans="2:19" x14ac:dyDescent="0.25">
      <c r="B994" s="1" t="s">
        <v>1520</v>
      </c>
      <c r="C994" s="2" t="s">
        <v>196</v>
      </c>
      <c r="D994" s="2" t="s">
        <v>404</v>
      </c>
      <c r="E994" s="2" t="s">
        <v>405</v>
      </c>
      <c r="F994" s="3">
        <v>44957</v>
      </c>
      <c r="G994" s="4">
        <f t="shared" si="117"/>
        <v>1</v>
      </c>
      <c r="H994" s="4">
        <f t="shared" si="118"/>
        <v>2023</v>
      </c>
      <c r="I994" s="2" t="s">
        <v>4</v>
      </c>
      <c r="J994" s="2" t="s">
        <v>1642</v>
      </c>
      <c r="K994" s="2" t="s">
        <v>1643</v>
      </c>
      <c r="L994" s="2" t="s">
        <v>1644</v>
      </c>
      <c r="M994" s="2" t="s">
        <v>46</v>
      </c>
      <c r="N994" s="4" t="str">
        <f t="shared" si="119"/>
        <v>GAL</v>
      </c>
      <c r="O994" s="5">
        <v>5</v>
      </c>
      <c r="S994" s="32">
        <f t="shared" si="120"/>
        <v>0</v>
      </c>
    </row>
    <row r="995" spans="2:19" x14ac:dyDescent="0.25">
      <c r="B995" s="1" t="s">
        <v>1520</v>
      </c>
      <c r="C995" s="2" t="s">
        <v>196</v>
      </c>
      <c r="D995" s="2" t="s">
        <v>404</v>
      </c>
      <c r="E995" s="2" t="s">
        <v>405</v>
      </c>
      <c r="F995" s="3">
        <v>44957</v>
      </c>
      <c r="G995" s="4">
        <f t="shared" si="117"/>
        <v>1</v>
      </c>
      <c r="H995" s="4">
        <f t="shared" si="118"/>
        <v>2023</v>
      </c>
      <c r="I995" s="2" t="s">
        <v>4</v>
      </c>
      <c r="J995" s="2" t="s">
        <v>1642</v>
      </c>
      <c r="K995" s="2" t="s">
        <v>200</v>
      </c>
      <c r="L995" s="2" t="s">
        <v>201</v>
      </c>
      <c r="M995" s="2" t="s">
        <v>202</v>
      </c>
      <c r="N995" s="4" t="str">
        <f t="shared" si="119"/>
        <v>GAL</v>
      </c>
      <c r="O995" s="5">
        <v>10</v>
      </c>
      <c r="S995" s="32">
        <f t="shared" si="120"/>
        <v>0</v>
      </c>
    </row>
    <row r="996" spans="2:19" x14ac:dyDescent="0.25">
      <c r="B996" s="1" t="s">
        <v>1520</v>
      </c>
      <c r="C996" s="2" t="s">
        <v>196</v>
      </c>
      <c r="D996" s="2" t="s">
        <v>387</v>
      </c>
      <c r="E996" s="2" t="s">
        <v>797</v>
      </c>
      <c r="F996" s="3">
        <v>44957</v>
      </c>
      <c r="G996" s="4">
        <f t="shared" si="117"/>
        <v>1</v>
      </c>
      <c r="H996" s="4">
        <f t="shared" si="118"/>
        <v>2023</v>
      </c>
      <c r="I996" s="2" t="s">
        <v>4</v>
      </c>
      <c r="J996" s="2" t="s">
        <v>1645</v>
      </c>
      <c r="K996" s="2" t="s">
        <v>1529</v>
      </c>
      <c r="L996" s="2" t="s">
        <v>1530</v>
      </c>
      <c r="M996" s="2" t="s">
        <v>119</v>
      </c>
      <c r="N996" s="4" t="str">
        <f t="shared" si="119"/>
        <v>TON</v>
      </c>
      <c r="O996" s="5">
        <v>13.01</v>
      </c>
      <c r="S996" s="32">
        <f t="shared" si="120"/>
        <v>0</v>
      </c>
    </row>
    <row r="997" spans="2:19" x14ac:dyDescent="0.25">
      <c r="B997" s="1" t="s">
        <v>1520</v>
      </c>
      <c r="C997" s="2" t="s">
        <v>196</v>
      </c>
      <c r="D997" s="2" t="s">
        <v>404</v>
      </c>
      <c r="E997" s="2" t="s">
        <v>405</v>
      </c>
      <c r="F997" s="3">
        <v>44957</v>
      </c>
      <c r="G997" s="4">
        <f t="shared" si="117"/>
        <v>1</v>
      </c>
      <c r="H997" s="4">
        <f t="shared" si="118"/>
        <v>2023</v>
      </c>
      <c r="I997" s="2" t="s">
        <v>4</v>
      </c>
      <c r="J997" s="2" t="s">
        <v>1646</v>
      </c>
      <c r="K997" s="2" t="s">
        <v>122</v>
      </c>
      <c r="L997" s="2" t="s">
        <v>123</v>
      </c>
      <c r="M997" s="2" t="s">
        <v>119</v>
      </c>
      <c r="N997" s="4" t="str">
        <f t="shared" si="119"/>
        <v>TON</v>
      </c>
      <c r="O997" s="5">
        <v>2.5074999999999998</v>
      </c>
      <c r="S997" s="32">
        <f t="shared" si="120"/>
        <v>0</v>
      </c>
    </row>
    <row r="998" spans="2:19" x14ac:dyDescent="0.25">
      <c r="B998" s="1" t="s">
        <v>1520</v>
      </c>
      <c r="C998" s="2" t="s">
        <v>196</v>
      </c>
      <c r="D998" s="2" t="s">
        <v>299</v>
      </c>
      <c r="E998" s="2" t="s">
        <v>713</v>
      </c>
      <c r="F998" s="3">
        <v>44957</v>
      </c>
      <c r="G998" s="4">
        <f t="shared" si="117"/>
        <v>1</v>
      </c>
      <c r="H998" s="4">
        <f t="shared" si="118"/>
        <v>2023</v>
      </c>
      <c r="I998" s="2" t="s">
        <v>4</v>
      </c>
      <c r="J998" s="2" t="s">
        <v>1647</v>
      </c>
      <c r="K998" s="2" t="s">
        <v>390</v>
      </c>
      <c r="L998" s="2" t="s">
        <v>391</v>
      </c>
      <c r="M998" s="2" t="s">
        <v>119</v>
      </c>
      <c r="N998" s="4" t="str">
        <f t="shared" si="119"/>
        <v>TON</v>
      </c>
      <c r="O998" s="5">
        <v>5</v>
      </c>
      <c r="S998" s="32">
        <f t="shared" si="120"/>
        <v>0</v>
      </c>
    </row>
    <row r="999" spans="2:19" x14ac:dyDescent="0.25">
      <c r="B999" s="1" t="s">
        <v>1520</v>
      </c>
      <c r="C999" s="2" t="s">
        <v>196</v>
      </c>
      <c r="D999" s="2" t="s">
        <v>114</v>
      </c>
      <c r="E999" s="2" t="s">
        <v>491</v>
      </c>
      <c r="F999" s="3">
        <v>44957</v>
      </c>
      <c r="G999" s="4">
        <f t="shared" si="117"/>
        <v>1</v>
      </c>
      <c r="H999" s="4">
        <f t="shared" si="118"/>
        <v>2023</v>
      </c>
      <c r="I999" s="2" t="s">
        <v>4</v>
      </c>
      <c r="J999" s="2" t="s">
        <v>1648</v>
      </c>
      <c r="K999" s="2" t="s">
        <v>390</v>
      </c>
      <c r="L999" s="2" t="s">
        <v>391</v>
      </c>
      <c r="M999" s="2" t="s">
        <v>119</v>
      </c>
      <c r="N999" s="4" t="str">
        <f t="shared" si="119"/>
        <v>TON</v>
      </c>
      <c r="O999" s="5">
        <v>6.25</v>
      </c>
      <c r="S999" s="32">
        <f t="shared" si="120"/>
        <v>0</v>
      </c>
    </row>
    <row r="1000" spans="2:19" x14ac:dyDescent="0.25">
      <c r="B1000" s="1" t="s">
        <v>1520</v>
      </c>
      <c r="C1000" s="2" t="s">
        <v>196</v>
      </c>
      <c r="D1000" s="2" t="s">
        <v>299</v>
      </c>
      <c r="E1000" s="2" t="s">
        <v>300</v>
      </c>
      <c r="F1000" s="3">
        <v>44957</v>
      </c>
      <c r="G1000" s="4">
        <f t="shared" si="117"/>
        <v>1</v>
      </c>
      <c r="H1000" s="4">
        <f t="shared" si="118"/>
        <v>2023</v>
      </c>
      <c r="I1000" s="2" t="s">
        <v>4</v>
      </c>
      <c r="J1000" s="2" t="s">
        <v>1649</v>
      </c>
      <c r="K1000" s="2" t="s">
        <v>390</v>
      </c>
      <c r="L1000" s="2" t="s">
        <v>391</v>
      </c>
      <c r="M1000" s="2" t="s">
        <v>119</v>
      </c>
      <c r="N1000" s="4" t="str">
        <f t="shared" si="119"/>
        <v>TON</v>
      </c>
      <c r="O1000" s="5">
        <v>14.494999999999999</v>
      </c>
      <c r="S1000" s="32">
        <f t="shared" si="120"/>
        <v>0</v>
      </c>
    </row>
    <row r="1001" spans="2:19" x14ac:dyDescent="0.25">
      <c r="B1001" s="1" t="s">
        <v>1520</v>
      </c>
      <c r="C1001" s="2" t="s">
        <v>196</v>
      </c>
      <c r="D1001" s="2" t="s">
        <v>331</v>
      </c>
      <c r="E1001" s="2" t="s">
        <v>332</v>
      </c>
      <c r="F1001" s="3">
        <v>44957</v>
      </c>
      <c r="G1001" s="4">
        <f t="shared" si="117"/>
        <v>1</v>
      </c>
      <c r="H1001" s="4">
        <f t="shared" si="118"/>
        <v>2023</v>
      </c>
      <c r="I1001" s="2" t="s">
        <v>4</v>
      </c>
      <c r="J1001" s="2" t="s">
        <v>1650</v>
      </c>
      <c r="K1001" s="2" t="s">
        <v>334</v>
      </c>
      <c r="L1001" s="2" t="s">
        <v>335</v>
      </c>
      <c r="M1001" s="2" t="s">
        <v>119</v>
      </c>
      <c r="N1001" s="4" t="str">
        <f t="shared" si="119"/>
        <v>TON</v>
      </c>
      <c r="O1001" s="5">
        <v>10.0075</v>
      </c>
      <c r="S1001" s="32">
        <f t="shared" si="120"/>
        <v>0</v>
      </c>
    </row>
    <row r="1002" spans="2:19" x14ac:dyDescent="0.25">
      <c r="B1002" s="1" t="s">
        <v>1520</v>
      </c>
      <c r="C1002" s="2" t="s">
        <v>196</v>
      </c>
      <c r="D1002" s="2" t="s">
        <v>973</v>
      </c>
      <c r="E1002" s="2" t="s">
        <v>974</v>
      </c>
      <c r="F1002" s="3">
        <v>44957</v>
      </c>
      <c r="G1002" s="4">
        <f t="shared" si="117"/>
        <v>1</v>
      </c>
      <c r="H1002" s="4">
        <f t="shared" si="118"/>
        <v>2023</v>
      </c>
      <c r="I1002" s="2" t="s">
        <v>4</v>
      </c>
      <c r="J1002" s="2" t="s">
        <v>1651</v>
      </c>
      <c r="K1002" s="2" t="s">
        <v>820</v>
      </c>
      <c r="L1002" s="2" t="s">
        <v>416</v>
      </c>
      <c r="M1002" s="2" t="s">
        <v>417</v>
      </c>
      <c r="N1002" s="4" t="str">
        <f t="shared" si="119"/>
        <v>GAL</v>
      </c>
      <c r="O1002" s="5">
        <v>5</v>
      </c>
      <c r="S1002" s="32">
        <f t="shared" si="120"/>
        <v>0</v>
      </c>
    </row>
    <row r="1003" spans="2:19" x14ac:dyDescent="0.25">
      <c r="B1003" s="1" t="s">
        <v>1520</v>
      </c>
      <c r="C1003" s="2" t="s">
        <v>196</v>
      </c>
      <c r="D1003" s="2" t="s">
        <v>973</v>
      </c>
      <c r="E1003" s="2" t="s">
        <v>974</v>
      </c>
      <c r="F1003" s="3">
        <v>44957</v>
      </c>
      <c r="G1003" s="4">
        <f t="shared" si="117"/>
        <v>1</v>
      </c>
      <c r="H1003" s="4">
        <f t="shared" si="118"/>
        <v>2023</v>
      </c>
      <c r="I1003" s="2" t="s">
        <v>4</v>
      </c>
      <c r="J1003" s="2" t="s">
        <v>1652</v>
      </c>
      <c r="K1003" s="2" t="s">
        <v>1232</v>
      </c>
      <c r="L1003" s="2" t="s">
        <v>1233</v>
      </c>
      <c r="M1003" s="2" t="s">
        <v>119</v>
      </c>
      <c r="N1003" s="4" t="str">
        <f t="shared" si="119"/>
        <v>TON</v>
      </c>
      <c r="O1003" s="5">
        <v>0.63500000000000001</v>
      </c>
      <c r="S1003" s="32">
        <f t="shared" si="120"/>
        <v>0</v>
      </c>
    </row>
    <row r="1004" spans="2:19" x14ac:dyDescent="0.25">
      <c r="B1004" s="1" t="s">
        <v>195</v>
      </c>
      <c r="C1004" s="2" t="s">
        <v>196</v>
      </c>
      <c r="D1004" s="2" t="s">
        <v>331</v>
      </c>
      <c r="E1004" s="2" t="s">
        <v>432</v>
      </c>
      <c r="F1004" s="3">
        <v>44929</v>
      </c>
      <c r="G1004" s="4">
        <f t="shared" si="117"/>
        <v>1</v>
      </c>
      <c r="H1004" s="4">
        <f t="shared" si="118"/>
        <v>2023</v>
      </c>
      <c r="I1004" s="2" t="s">
        <v>4</v>
      </c>
      <c r="J1004" s="2" t="s">
        <v>1653</v>
      </c>
      <c r="K1004" s="2" t="s">
        <v>334</v>
      </c>
      <c r="L1004" s="2" t="s">
        <v>335</v>
      </c>
      <c r="M1004" s="2" t="s">
        <v>119</v>
      </c>
      <c r="N1004" s="4" t="str">
        <f t="shared" si="119"/>
        <v>TON</v>
      </c>
      <c r="O1004" s="5">
        <v>5</v>
      </c>
      <c r="S1004" s="32">
        <f t="shared" si="120"/>
        <v>0</v>
      </c>
    </row>
    <row r="1005" spans="2:19" x14ac:dyDescent="0.25">
      <c r="B1005" s="1" t="s">
        <v>195</v>
      </c>
      <c r="C1005" s="2" t="s">
        <v>196</v>
      </c>
      <c r="D1005" s="2" t="s">
        <v>299</v>
      </c>
      <c r="E1005" s="2" t="s">
        <v>398</v>
      </c>
      <c r="F1005" s="3">
        <v>44929</v>
      </c>
      <c r="G1005" s="4">
        <f t="shared" si="117"/>
        <v>1</v>
      </c>
      <c r="H1005" s="4">
        <f t="shared" si="118"/>
        <v>2023</v>
      </c>
      <c r="I1005" s="2" t="s">
        <v>4</v>
      </c>
      <c r="J1005" s="2" t="s">
        <v>1654</v>
      </c>
      <c r="K1005" s="2" t="s">
        <v>390</v>
      </c>
      <c r="L1005" s="2" t="s">
        <v>391</v>
      </c>
      <c r="M1005" s="2" t="s">
        <v>119</v>
      </c>
      <c r="N1005" s="4" t="str">
        <f t="shared" si="119"/>
        <v>TON</v>
      </c>
      <c r="O1005" s="5">
        <v>8</v>
      </c>
      <c r="S1005" s="32">
        <f t="shared" si="120"/>
        <v>0</v>
      </c>
    </row>
    <row r="1006" spans="2:19" x14ac:dyDescent="0.25">
      <c r="B1006" s="1" t="s">
        <v>195</v>
      </c>
      <c r="C1006" s="2" t="s">
        <v>196</v>
      </c>
      <c r="D1006" s="2" t="s">
        <v>331</v>
      </c>
      <c r="E1006" s="2" t="s">
        <v>332</v>
      </c>
      <c r="F1006" s="3">
        <v>44929</v>
      </c>
      <c r="G1006" s="4">
        <f t="shared" si="117"/>
        <v>1</v>
      </c>
      <c r="H1006" s="4">
        <f t="shared" si="118"/>
        <v>2023</v>
      </c>
      <c r="I1006" s="2" t="s">
        <v>4</v>
      </c>
      <c r="J1006" s="2" t="s">
        <v>1655</v>
      </c>
      <c r="K1006" s="2" t="s">
        <v>334</v>
      </c>
      <c r="L1006" s="2" t="s">
        <v>335</v>
      </c>
      <c r="M1006" s="2" t="s">
        <v>119</v>
      </c>
      <c r="N1006" s="4" t="str">
        <f t="shared" si="119"/>
        <v>TON</v>
      </c>
      <c r="O1006" s="5">
        <v>10</v>
      </c>
      <c r="S1006" s="32">
        <f t="shared" si="120"/>
        <v>0</v>
      </c>
    </row>
    <row r="1007" spans="2:19" x14ac:dyDescent="0.25">
      <c r="B1007" s="1" t="s">
        <v>195</v>
      </c>
      <c r="C1007" s="2" t="s">
        <v>196</v>
      </c>
      <c r="D1007" s="2" t="s">
        <v>790</v>
      </c>
      <c r="E1007" s="2" t="s">
        <v>791</v>
      </c>
      <c r="F1007" s="3">
        <v>44929</v>
      </c>
      <c r="G1007" s="4">
        <f t="shared" si="117"/>
        <v>1</v>
      </c>
      <c r="H1007" s="4">
        <f t="shared" si="118"/>
        <v>2023</v>
      </c>
      <c r="I1007" s="2" t="s">
        <v>4</v>
      </c>
      <c r="J1007" s="2" t="s">
        <v>1656</v>
      </c>
      <c r="K1007" s="2" t="s">
        <v>122</v>
      </c>
      <c r="L1007" s="2" t="s">
        <v>123</v>
      </c>
      <c r="M1007" s="2" t="s">
        <v>119</v>
      </c>
      <c r="N1007" s="4" t="str">
        <f t="shared" si="119"/>
        <v>TON</v>
      </c>
      <c r="O1007" s="5">
        <v>5</v>
      </c>
      <c r="S1007" s="32">
        <f t="shared" si="120"/>
        <v>0</v>
      </c>
    </row>
    <row r="1008" spans="2:19" x14ac:dyDescent="0.25">
      <c r="B1008" s="1" t="s">
        <v>195</v>
      </c>
      <c r="C1008" s="2" t="s">
        <v>196</v>
      </c>
      <c r="D1008" s="2" t="s">
        <v>1345</v>
      </c>
      <c r="E1008" s="2" t="s">
        <v>1346</v>
      </c>
      <c r="F1008" s="3">
        <v>44929</v>
      </c>
      <c r="G1008" s="4">
        <f t="shared" si="117"/>
        <v>1</v>
      </c>
      <c r="H1008" s="4">
        <f t="shared" si="118"/>
        <v>2023</v>
      </c>
      <c r="I1008" s="2" t="s">
        <v>4</v>
      </c>
      <c r="J1008" s="2" t="s">
        <v>1657</v>
      </c>
      <c r="K1008" s="2" t="s">
        <v>122</v>
      </c>
      <c r="L1008" s="2" t="s">
        <v>123</v>
      </c>
      <c r="M1008" s="2" t="s">
        <v>119</v>
      </c>
      <c r="N1008" s="4" t="str">
        <f t="shared" si="119"/>
        <v>TON</v>
      </c>
      <c r="O1008" s="5">
        <v>3.7250000000000001</v>
      </c>
      <c r="S1008" s="32">
        <f t="shared" si="120"/>
        <v>0</v>
      </c>
    </row>
    <row r="1009" spans="2:19" x14ac:dyDescent="0.25">
      <c r="B1009" s="1" t="s">
        <v>195</v>
      </c>
      <c r="C1009" s="2" t="s">
        <v>196</v>
      </c>
      <c r="D1009" s="2" t="s">
        <v>418</v>
      </c>
      <c r="E1009" s="2" t="s">
        <v>419</v>
      </c>
      <c r="F1009" s="3">
        <v>44930</v>
      </c>
      <c r="G1009" s="4">
        <f t="shared" si="117"/>
        <v>1</v>
      </c>
      <c r="H1009" s="4">
        <f t="shared" si="118"/>
        <v>2023</v>
      </c>
      <c r="I1009" s="2" t="s">
        <v>4</v>
      </c>
      <c r="J1009" s="2" t="s">
        <v>1658</v>
      </c>
      <c r="K1009" s="2" t="s">
        <v>422</v>
      </c>
      <c r="L1009" s="2" t="s">
        <v>423</v>
      </c>
      <c r="M1009" s="2" t="s">
        <v>119</v>
      </c>
      <c r="N1009" s="4" t="str">
        <f t="shared" si="119"/>
        <v>TON</v>
      </c>
      <c r="O1009" s="5">
        <v>7.5</v>
      </c>
      <c r="S1009" s="32">
        <f t="shared" si="120"/>
        <v>0</v>
      </c>
    </row>
    <row r="1010" spans="2:19" x14ac:dyDescent="0.25">
      <c r="B1010" s="1" t="s">
        <v>195</v>
      </c>
      <c r="C1010" s="2" t="s">
        <v>196</v>
      </c>
      <c r="D1010" s="2" t="s">
        <v>418</v>
      </c>
      <c r="E1010" s="2" t="s">
        <v>419</v>
      </c>
      <c r="F1010" s="3">
        <v>44930</v>
      </c>
      <c r="G1010" s="4">
        <f t="shared" si="117"/>
        <v>1</v>
      </c>
      <c r="H1010" s="4">
        <f t="shared" si="118"/>
        <v>2023</v>
      </c>
      <c r="I1010" s="2" t="s">
        <v>4</v>
      </c>
      <c r="J1010" s="2" t="s">
        <v>1659</v>
      </c>
      <c r="K1010" s="2" t="s">
        <v>334</v>
      </c>
      <c r="L1010" s="2" t="s">
        <v>335</v>
      </c>
      <c r="M1010" s="2" t="s">
        <v>119</v>
      </c>
      <c r="N1010" s="4" t="str">
        <f t="shared" si="119"/>
        <v>TON</v>
      </c>
      <c r="O1010" s="5">
        <v>7.5</v>
      </c>
      <c r="S1010" s="32">
        <f t="shared" si="120"/>
        <v>0</v>
      </c>
    </row>
    <row r="1011" spans="2:19" x14ac:dyDescent="0.25">
      <c r="B1011" s="1" t="s">
        <v>195</v>
      </c>
      <c r="C1011" s="2" t="s">
        <v>196</v>
      </c>
      <c r="D1011" s="2" t="s">
        <v>348</v>
      </c>
      <c r="E1011" s="2" t="s">
        <v>349</v>
      </c>
      <c r="F1011" s="3">
        <v>44930</v>
      </c>
      <c r="G1011" s="4">
        <f t="shared" si="117"/>
        <v>1</v>
      </c>
      <c r="H1011" s="4">
        <f t="shared" si="118"/>
        <v>2023</v>
      </c>
      <c r="I1011" s="2" t="s">
        <v>4</v>
      </c>
      <c r="J1011" s="2" t="s">
        <v>1660</v>
      </c>
      <c r="K1011" s="2" t="s">
        <v>823</v>
      </c>
      <c r="L1011" s="2" t="s">
        <v>776</v>
      </c>
      <c r="M1011" s="2" t="s">
        <v>82</v>
      </c>
      <c r="N1011" s="4" t="str">
        <f t="shared" si="119"/>
        <v>GAL</v>
      </c>
      <c r="O1011" s="5">
        <v>250</v>
      </c>
      <c r="S1011" s="32">
        <f t="shared" si="120"/>
        <v>0</v>
      </c>
    </row>
    <row r="1012" spans="2:19" x14ac:dyDescent="0.25">
      <c r="B1012" s="1" t="s">
        <v>195</v>
      </c>
      <c r="C1012" s="2" t="s">
        <v>196</v>
      </c>
      <c r="D1012" s="2" t="s">
        <v>790</v>
      </c>
      <c r="E1012" s="2" t="s">
        <v>791</v>
      </c>
      <c r="F1012" s="3">
        <v>44930</v>
      </c>
      <c r="G1012" s="4">
        <f t="shared" si="117"/>
        <v>1</v>
      </c>
      <c r="H1012" s="4">
        <f t="shared" si="118"/>
        <v>2023</v>
      </c>
      <c r="I1012" s="2" t="s">
        <v>4</v>
      </c>
      <c r="J1012" s="2" t="s">
        <v>1661</v>
      </c>
      <c r="K1012" s="2" t="s">
        <v>845</v>
      </c>
      <c r="L1012" s="2" t="s">
        <v>843</v>
      </c>
      <c r="M1012" s="2" t="s">
        <v>844</v>
      </c>
      <c r="N1012" s="4" t="str">
        <f t="shared" si="119"/>
        <v>GAL</v>
      </c>
      <c r="O1012" s="5">
        <v>55</v>
      </c>
      <c r="S1012" s="32">
        <f t="shared" si="120"/>
        <v>0</v>
      </c>
    </row>
    <row r="1013" spans="2:19" x14ac:dyDescent="0.25">
      <c r="B1013" s="1" t="s">
        <v>195</v>
      </c>
      <c r="C1013" s="2" t="s">
        <v>196</v>
      </c>
      <c r="D1013" s="2" t="s">
        <v>440</v>
      </c>
      <c r="E1013" s="2" t="s">
        <v>441</v>
      </c>
      <c r="F1013" s="3">
        <v>44930</v>
      </c>
      <c r="G1013" s="4">
        <f t="shared" si="117"/>
        <v>1</v>
      </c>
      <c r="H1013" s="4">
        <f t="shared" si="118"/>
        <v>2023</v>
      </c>
      <c r="I1013" s="2" t="s">
        <v>4</v>
      </c>
      <c r="J1013" s="2" t="s">
        <v>1662</v>
      </c>
      <c r="K1013" s="2" t="s">
        <v>871</v>
      </c>
      <c r="L1013" s="2" t="s">
        <v>872</v>
      </c>
      <c r="M1013" s="2" t="s">
        <v>119</v>
      </c>
      <c r="N1013" s="4" t="str">
        <f t="shared" si="119"/>
        <v>TON</v>
      </c>
      <c r="O1013" s="5">
        <v>10</v>
      </c>
      <c r="S1013" s="32">
        <f t="shared" si="120"/>
        <v>0</v>
      </c>
    </row>
    <row r="1014" spans="2:19" x14ac:dyDescent="0.25">
      <c r="B1014" s="1" t="s">
        <v>195</v>
      </c>
      <c r="C1014" s="2" t="s">
        <v>196</v>
      </c>
      <c r="D1014" s="2" t="s">
        <v>715</v>
      </c>
      <c r="E1014" s="2" t="s">
        <v>450</v>
      </c>
      <c r="F1014" s="3">
        <v>44930</v>
      </c>
      <c r="G1014" s="4">
        <f t="shared" si="117"/>
        <v>1</v>
      </c>
      <c r="H1014" s="4">
        <f t="shared" si="118"/>
        <v>2023</v>
      </c>
      <c r="I1014" s="2" t="s">
        <v>4</v>
      </c>
      <c r="J1014" s="2" t="s">
        <v>1663</v>
      </c>
      <c r="K1014" s="2" t="s">
        <v>329</v>
      </c>
      <c r="L1014" s="2" t="s">
        <v>330</v>
      </c>
      <c r="M1014" s="2" t="s">
        <v>119</v>
      </c>
      <c r="N1014" s="4" t="str">
        <f t="shared" si="119"/>
        <v>TON</v>
      </c>
      <c r="O1014" s="5">
        <v>5</v>
      </c>
      <c r="S1014" s="32">
        <f t="shared" si="120"/>
        <v>0</v>
      </c>
    </row>
    <row r="1015" spans="2:19" x14ac:dyDescent="0.25">
      <c r="B1015" s="1" t="s">
        <v>195</v>
      </c>
      <c r="C1015" s="2" t="s">
        <v>196</v>
      </c>
      <c r="D1015" s="2" t="s">
        <v>800</v>
      </c>
      <c r="E1015" s="2" t="s">
        <v>801</v>
      </c>
      <c r="F1015" s="3">
        <v>44930</v>
      </c>
      <c r="G1015" s="4">
        <f t="shared" si="117"/>
        <v>1</v>
      </c>
      <c r="H1015" s="4">
        <f t="shared" si="118"/>
        <v>2023</v>
      </c>
      <c r="I1015" s="2" t="s">
        <v>4</v>
      </c>
      <c r="J1015" s="2" t="s">
        <v>1664</v>
      </c>
      <c r="K1015" s="2" t="s">
        <v>122</v>
      </c>
      <c r="L1015" s="2" t="s">
        <v>123</v>
      </c>
      <c r="M1015" s="2" t="s">
        <v>119</v>
      </c>
      <c r="N1015" s="4" t="str">
        <f t="shared" si="119"/>
        <v>TON</v>
      </c>
      <c r="O1015" s="5">
        <v>1.9850000000000001</v>
      </c>
      <c r="S1015" s="32">
        <f t="shared" si="120"/>
        <v>0</v>
      </c>
    </row>
    <row r="1016" spans="2:19" x14ac:dyDescent="0.25">
      <c r="B1016" s="1" t="s">
        <v>195</v>
      </c>
      <c r="C1016" s="2" t="s">
        <v>196</v>
      </c>
      <c r="D1016" s="2" t="s">
        <v>215</v>
      </c>
      <c r="E1016" s="2" t="s">
        <v>858</v>
      </c>
      <c r="F1016" s="3">
        <v>44930</v>
      </c>
      <c r="G1016" s="4">
        <f t="shared" si="117"/>
        <v>1</v>
      </c>
      <c r="H1016" s="4">
        <f t="shared" si="118"/>
        <v>2023</v>
      </c>
      <c r="I1016" s="2" t="s">
        <v>4</v>
      </c>
      <c r="J1016" s="2" t="s">
        <v>1665</v>
      </c>
      <c r="K1016" s="2" t="s">
        <v>447</v>
      </c>
      <c r="L1016" s="2" t="s">
        <v>448</v>
      </c>
      <c r="M1016" s="2" t="s">
        <v>119</v>
      </c>
      <c r="N1016" s="4" t="str">
        <f t="shared" si="119"/>
        <v>TON</v>
      </c>
      <c r="O1016" s="5">
        <v>4.9974999999999996</v>
      </c>
      <c r="S1016" s="32">
        <f t="shared" si="120"/>
        <v>0</v>
      </c>
    </row>
    <row r="1017" spans="2:19" x14ac:dyDescent="0.25">
      <c r="B1017" s="1" t="s">
        <v>195</v>
      </c>
      <c r="C1017" s="2" t="s">
        <v>196</v>
      </c>
      <c r="D1017" s="2" t="s">
        <v>294</v>
      </c>
      <c r="E1017" s="2" t="s">
        <v>295</v>
      </c>
      <c r="F1017" s="3">
        <v>44930</v>
      </c>
      <c r="G1017" s="4">
        <f t="shared" si="117"/>
        <v>1</v>
      </c>
      <c r="H1017" s="4">
        <f t="shared" si="118"/>
        <v>2023</v>
      </c>
      <c r="I1017" s="2" t="s">
        <v>4</v>
      </c>
      <c r="J1017" s="2" t="s">
        <v>1666</v>
      </c>
      <c r="K1017" s="2" t="s">
        <v>122</v>
      </c>
      <c r="L1017" s="2" t="s">
        <v>123</v>
      </c>
      <c r="M1017" s="2" t="s">
        <v>119</v>
      </c>
      <c r="N1017" s="4" t="str">
        <f t="shared" si="119"/>
        <v>TON</v>
      </c>
      <c r="O1017" s="5">
        <v>7.4924999999999997</v>
      </c>
      <c r="S1017" s="32">
        <f t="shared" si="120"/>
        <v>0</v>
      </c>
    </row>
    <row r="1018" spans="2:19" x14ac:dyDescent="0.25">
      <c r="B1018" s="1" t="s">
        <v>195</v>
      </c>
      <c r="C1018" s="2" t="s">
        <v>196</v>
      </c>
      <c r="D1018" s="2" t="s">
        <v>280</v>
      </c>
      <c r="E1018" s="2" t="s">
        <v>868</v>
      </c>
      <c r="F1018" s="3">
        <v>44930</v>
      </c>
      <c r="G1018" s="4">
        <f t="shared" si="117"/>
        <v>1</v>
      </c>
      <c r="H1018" s="4">
        <f t="shared" si="118"/>
        <v>2023</v>
      </c>
      <c r="I1018" s="2" t="s">
        <v>4</v>
      </c>
      <c r="J1018" s="2" t="s">
        <v>1667</v>
      </c>
      <c r="K1018" s="2" t="s">
        <v>390</v>
      </c>
      <c r="L1018" s="2" t="s">
        <v>391</v>
      </c>
      <c r="M1018" s="2" t="s">
        <v>119</v>
      </c>
      <c r="N1018" s="4" t="str">
        <f t="shared" si="119"/>
        <v>TON</v>
      </c>
      <c r="O1018" s="5">
        <v>5.0049999999999999</v>
      </c>
      <c r="S1018" s="32">
        <f t="shared" si="120"/>
        <v>0</v>
      </c>
    </row>
    <row r="1019" spans="2:19" x14ac:dyDescent="0.25">
      <c r="B1019" s="1" t="s">
        <v>195</v>
      </c>
      <c r="C1019" s="2" t="s">
        <v>196</v>
      </c>
      <c r="D1019" s="2" t="s">
        <v>437</v>
      </c>
      <c r="E1019" s="2" t="s">
        <v>738</v>
      </c>
      <c r="F1019" s="3">
        <v>44930</v>
      </c>
      <c r="G1019" s="4">
        <f t="shared" si="117"/>
        <v>1</v>
      </c>
      <c r="H1019" s="4">
        <f t="shared" si="118"/>
        <v>2023</v>
      </c>
      <c r="I1019" s="2" t="s">
        <v>4</v>
      </c>
      <c r="J1019" s="2" t="s">
        <v>1668</v>
      </c>
      <c r="K1019" s="2" t="s">
        <v>1291</v>
      </c>
      <c r="L1019" s="2" t="s">
        <v>1292</v>
      </c>
      <c r="M1019" s="2" t="s">
        <v>119</v>
      </c>
      <c r="N1019" s="4" t="str">
        <f t="shared" si="119"/>
        <v>TON</v>
      </c>
      <c r="O1019" s="5">
        <v>2.5099999999999998</v>
      </c>
      <c r="S1019" s="32">
        <f t="shared" si="120"/>
        <v>0</v>
      </c>
    </row>
    <row r="1020" spans="2:19" x14ac:dyDescent="0.25">
      <c r="B1020" s="1" t="s">
        <v>195</v>
      </c>
      <c r="C1020" s="2" t="s">
        <v>196</v>
      </c>
      <c r="D1020" s="2" t="s">
        <v>310</v>
      </c>
      <c r="E1020" s="2" t="s">
        <v>311</v>
      </c>
      <c r="F1020" s="3">
        <v>44930</v>
      </c>
      <c r="G1020" s="4">
        <f t="shared" si="117"/>
        <v>1</v>
      </c>
      <c r="H1020" s="4">
        <f t="shared" si="118"/>
        <v>2023</v>
      </c>
      <c r="I1020" s="2" t="s">
        <v>4</v>
      </c>
      <c r="J1020" s="2" t="s">
        <v>1669</v>
      </c>
      <c r="K1020" s="2" t="s">
        <v>205</v>
      </c>
      <c r="L1020" s="2" t="s">
        <v>206</v>
      </c>
      <c r="M1020" s="2" t="s">
        <v>119</v>
      </c>
      <c r="N1020" s="4" t="str">
        <f t="shared" si="119"/>
        <v>TON</v>
      </c>
      <c r="O1020" s="5">
        <v>1.0024999999999999</v>
      </c>
      <c r="S1020" s="32">
        <f t="shared" si="120"/>
        <v>0</v>
      </c>
    </row>
    <row r="1021" spans="2:19" x14ac:dyDescent="0.25">
      <c r="B1021" s="1" t="s">
        <v>195</v>
      </c>
      <c r="C1021" s="2" t="s">
        <v>196</v>
      </c>
      <c r="D1021" s="2" t="s">
        <v>224</v>
      </c>
      <c r="E1021" s="2" t="s">
        <v>141</v>
      </c>
      <c r="F1021" s="3">
        <v>44931</v>
      </c>
      <c r="G1021" s="4">
        <f t="shared" si="117"/>
        <v>1</v>
      </c>
      <c r="H1021" s="4">
        <f t="shared" si="118"/>
        <v>2023</v>
      </c>
      <c r="I1021" s="2" t="s">
        <v>4</v>
      </c>
      <c r="J1021" s="2" t="s">
        <v>1670</v>
      </c>
      <c r="K1021" s="2" t="s">
        <v>220</v>
      </c>
      <c r="L1021" s="2" t="s">
        <v>201</v>
      </c>
      <c r="M1021" s="2" t="s">
        <v>202</v>
      </c>
      <c r="N1021" s="4" t="str">
        <f t="shared" si="119"/>
        <v>GAL</v>
      </c>
      <c r="O1021" s="5">
        <v>180</v>
      </c>
      <c r="S1021" s="32">
        <f t="shared" si="120"/>
        <v>0</v>
      </c>
    </row>
    <row r="1022" spans="2:19" x14ac:dyDescent="0.25">
      <c r="B1022" s="1" t="s">
        <v>195</v>
      </c>
      <c r="C1022" s="2" t="s">
        <v>196</v>
      </c>
      <c r="D1022" s="2" t="s">
        <v>800</v>
      </c>
      <c r="E1022" s="2" t="s">
        <v>911</v>
      </c>
      <c r="F1022" s="3">
        <v>44931</v>
      </c>
      <c r="G1022" s="4">
        <f t="shared" si="117"/>
        <v>1</v>
      </c>
      <c r="H1022" s="4">
        <f t="shared" si="118"/>
        <v>2023</v>
      </c>
      <c r="I1022" s="2" t="s">
        <v>4</v>
      </c>
      <c r="J1022" s="2" t="s">
        <v>1671</v>
      </c>
      <c r="K1022" s="2" t="s">
        <v>122</v>
      </c>
      <c r="L1022" s="2" t="s">
        <v>123</v>
      </c>
      <c r="M1022" s="2" t="s">
        <v>119</v>
      </c>
      <c r="N1022" s="4" t="str">
        <f t="shared" si="119"/>
        <v>TON</v>
      </c>
      <c r="O1022" s="5">
        <v>1.0425</v>
      </c>
      <c r="S1022" s="32">
        <f t="shared" si="120"/>
        <v>0</v>
      </c>
    </row>
    <row r="1023" spans="2:19" x14ac:dyDescent="0.25">
      <c r="B1023" s="1" t="s">
        <v>195</v>
      </c>
      <c r="C1023" s="2" t="s">
        <v>196</v>
      </c>
      <c r="D1023" s="2" t="s">
        <v>374</v>
      </c>
      <c r="E1023" s="2" t="s">
        <v>379</v>
      </c>
      <c r="F1023" s="3">
        <v>44931</v>
      </c>
      <c r="G1023" s="4">
        <f t="shared" si="117"/>
        <v>1</v>
      </c>
      <c r="H1023" s="4">
        <f t="shared" si="118"/>
        <v>2023</v>
      </c>
      <c r="I1023" s="2" t="s">
        <v>4</v>
      </c>
      <c r="J1023" s="2" t="s">
        <v>1672</v>
      </c>
      <c r="K1023" s="2" t="s">
        <v>122</v>
      </c>
      <c r="L1023" s="2" t="s">
        <v>123</v>
      </c>
      <c r="M1023" s="2" t="s">
        <v>119</v>
      </c>
      <c r="N1023" s="4" t="str">
        <f t="shared" si="119"/>
        <v>TON</v>
      </c>
      <c r="O1023" s="5">
        <v>8.0050000000000008</v>
      </c>
      <c r="S1023" s="32">
        <f t="shared" si="120"/>
        <v>0</v>
      </c>
    </row>
    <row r="1024" spans="2:19" x14ac:dyDescent="0.25">
      <c r="B1024" s="1" t="s">
        <v>195</v>
      </c>
      <c r="C1024" s="2" t="s">
        <v>196</v>
      </c>
      <c r="D1024" s="2" t="s">
        <v>280</v>
      </c>
      <c r="E1024" s="2" t="s">
        <v>1673</v>
      </c>
      <c r="F1024" s="3">
        <v>44931</v>
      </c>
      <c r="G1024" s="4">
        <f t="shared" si="117"/>
        <v>1</v>
      </c>
      <c r="H1024" s="4">
        <f t="shared" si="118"/>
        <v>2023</v>
      </c>
      <c r="I1024" s="2" t="s">
        <v>4</v>
      </c>
      <c r="J1024" s="2" t="s">
        <v>1674</v>
      </c>
      <c r="K1024" s="2" t="s">
        <v>1188</v>
      </c>
      <c r="L1024" s="2" t="s">
        <v>541</v>
      </c>
      <c r="M1024" s="2" t="s">
        <v>27</v>
      </c>
      <c r="N1024" s="4" t="str">
        <f t="shared" si="119"/>
        <v>GAL</v>
      </c>
      <c r="O1024" s="5">
        <v>250</v>
      </c>
      <c r="S1024" s="32">
        <f t="shared" si="120"/>
        <v>0</v>
      </c>
    </row>
    <row r="1025" spans="2:19" x14ac:dyDescent="0.25">
      <c r="B1025" s="1" t="s">
        <v>195</v>
      </c>
      <c r="C1025" s="2" t="s">
        <v>196</v>
      </c>
      <c r="D1025" s="2" t="s">
        <v>280</v>
      </c>
      <c r="E1025" s="2" t="s">
        <v>1673</v>
      </c>
      <c r="F1025" s="3">
        <v>44931</v>
      </c>
      <c r="G1025" s="4">
        <f t="shared" si="117"/>
        <v>1</v>
      </c>
      <c r="H1025" s="4">
        <f t="shared" si="118"/>
        <v>2023</v>
      </c>
      <c r="I1025" s="2" t="s">
        <v>4</v>
      </c>
      <c r="J1025" s="2" t="s">
        <v>1674</v>
      </c>
      <c r="K1025" s="2" t="s">
        <v>1189</v>
      </c>
      <c r="L1025" s="2" t="s">
        <v>1190</v>
      </c>
      <c r="M1025" s="2" t="s">
        <v>139</v>
      </c>
      <c r="N1025" s="4" t="str">
        <f t="shared" si="119"/>
        <v>GAL</v>
      </c>
      <c r="O1025" s="5">
        <v>250</v>
      </c>
      <c r="S1025" s="32">
        <f t="shared" si="120"/>
        <v>0</v>
      </c>
    </row>
    <row r="1026" spans="2:19" x14ac:dyDescent="0.25">
      <c r="B1026" s="1" t="s">
        <v>195</v>
      </c>
      <c r="C1026" s="2" t="s">
        <v>196</v>
      </c>
      <c r="D1026" s="2" t="s">
        <v>374</v>
      </c>
      <c r="E1026" s="2" t="s">
        <v>375</v>
      </c>
      <c r="F1026" s="3">
        <v>44931</v>
      </c>
      <c r="G1026" s="4">
        <f t="shared" si="117"/>
        <v>1</v>
      </c>
      <c r="H1026" s="4">
        <f t="shared" si="118"/>
        <v>2023</v>
      </c>
      <c r="I1026" s="2" t="s">
        <v>4</v>
      </c>
      <c r="J1026" s="2" t="s">
        <v>1675</v>
      </c>
      <c r="K1026" s="2" t="s">
        <v>329</v>
      </c>
      <c r="L1026" s="2" t="s">
        <v>330</v>
      </c>
      <c r="M1026" s="2" t="s">
        <v>119</v>
      </c>
      <c r="N1026" s="4" t="str">
        <f t="shared" si="119"/>
        <v>TON</v>
      </c>
      <c r="O1026" s="5">
        <v>5</v>
      </c>
      <c r="S1026" s="32">
        <f t="shared" si="120"/>
        <v>0</v>
      </c>
    </row>
    <row r="1027" spans="2:19" x14ac:dyDescent="0.25">
      <c r="B1027" s="1" t="s">
        <v>495</v>
      </c>
      <c r="C1027" s="2" t="s">
        <v>196</v>
      </c>
      <c r="D1027" s="2" t="s">
        <v>496</v>
      </c>
      <c r="E1027" s="2" t="s">
        <v>497</v>
      </c>
      <c r="F1027" s="3">
        <v>44932</v>
      </c>
      <c r="G1027" s="4">
        <f t="shared" ref="G1027:G1090" si="121">+MONTH(F1027)</f>
        <v>1</v>
      </c>
      <c r="H1027" s="4">
        <f t="shared" ref="H1027:H1090" si="122">+YEAR(F1027)</f>
        <v>2023</v>
      </c>
      <c r="I1027" s="2" t="s">
        <v>4</v>
      </c>
      <c r="J1027" s="2" t="s">
        <v>1676</v>
      </c>
      <c r="K1027" s="2" t="s">
        <v>19</v>
      </c>
      <c r="L1027" s="2" t="s">
        <v>565</v>
      </c>
      <c r="M1027" s="2" t="s">
        <v>21</v>
      </c>
      <c r="N1027" s="4" t="str">
        <f t="shared" ref="N1027:N1090" si="123">+LEFT(M1027,3)</f>
        <v>GAL</v>
      </c>
      <c r="O1027" s="5">
        <v>27.5</v>
      </c>
      <c r="S1027" s="32">
        <f t="shared" si="120"/>
        <v>0</v>
      </c>
    </row>
    <row r="1028" spans="2:19" x14ac:dyDescent="0.25">
      <c r="B1028" s="1" t="s">
        <v>495</v>
      </c>
      <c r="C1028" s="2" t="s">
        <v>196</v>
      </c>
      <c r="D1028" s="2" t="s">
        <v>496</v>
      </c>
      <c r="E1028" s="2" t="s">
        <v>497</v>
      </c>
      <c r="F1028" s="3">
        <v>44932</v>
      </c>
      <c r="G1028" s="4">
        <f t="shared" si="121"/>
        <v>1</v>
      </c>
      <c r="H1028" s="4">
        <f t="shared" si="122"/>
        <v>2023</v>
      </c>
      <c r="I1028" s="2" t="s">
        <v>4</v>
      </c>
      <c r="J1028" s="2" t="s">
        <v>1676</v>
      </c>
      <c r="K1028" s="2" t="s">
        <v>158</v>
      </c>
      <c r="L1028" s="2" t="s">
        <v>159</v>
      </c>
      <c r="M1028" s="2" t="s">
        <v>160</v>
      </c>
      <c r="N1028" s="4" t="str">
        <f t="shared" si="123"/>
        <v>GAL</v>
      </c>
      <c r="O1028" s="5">
        <v>5</v>
      </c>
      <c r="S1028" s="32">
        <f t="shared" ref="S1028:S1091" si="124">SUMIF($R$3:$R$885, $R1028, $O$3:$O$885)</f>
        <v>0</v>
      </c>
    </row>
    <row r="1029" spans="2:19" x14ac:dyDescent="0.25">
      <c r="B1029" s="1" t="s">
        <v>195</v>
      </c>
      <c r="C1029" s="2" t="s">
        <v>196</v>
      </c>
      <c r="D1029" s="2" t="s">
        <v>232</v>
      </c>
      <c r="E1029" s="2" t="s">
        <v>778</v>
      </c>
      <c r="F1029" s="3">
        <v>44932</v>
      </c>
      <c r="G1029" s="4">
        <f t="shared" si="121"/>
        <v>1</v>
      </c>
      <c r="H1029" s="4">
        <f t="shared" si="122"/>
        <v>2023</v>
      </c>
      <c r="I1029" s="2" t="s">
        <v>4</v>
      </c>
      <c r="J1029" s="2" t="s">
        <v>1677</v>
      </c>
      <c r="K1029" s="2" t="s">
        <v>329</v>
      </c>
      <c r="L1029" s="2" t="s">
        <v>330</v>
      </c>
      <c r="M1029" s="2" t="s">
        <v>119</v>
      </c>
      <c r="N1029" s="4" t="str">
        <f t="shared" si="123"/>
        <v>TON</v>
      </c>
      <c r="O1029" s="5">
        <v>5</v>
      </c>
      <c r="S1029" s="32">
        <f t="shared" si="124"/>
        <v>0</v>
      </c>
    </row>
    <row r="1030" spans="2:19" x14ac:dyDescent="0.25">
      <c r="B1030" s="1" t="s">
        <v>195</v>
      </c>
      <c r="C1030" s="2" t="s">
        <v>196</v>
      </c>
      <c r="D1030" s="2" t="s">
        <v>285</v>
      </c>
      <c r="E1030" s="2" t="s">
        <v>297</v>
      </c>
      <c r="F1030" s="3">
        <v>44932</v>
      </c>
      <c r="G1030" s="4">
        <f t="shared" si="121"/>
        <v>1</v>
      </c>
      <c r="H1030" s="4">
        <f t="shared" si="122"/>
        <v>2023</v>
      </c>
      <c r="I1030" s="2" t="s">
        <v>4</v>
      </c>
      <c r="J1030" s="2" t="s">
        <v>1678</v>
      </c>
      <c r="K1030" s="2" t="s">
        <v>292</v>
      </c>
      <c r="L1030" s="2" t="s">
        <v>293</v>
      </c>
      <c r="M1030" s="2" t="s">
        <v>119</v>
      </c>
      <c r="N1030" s="4" t="str">
        <f t="shared" si="123"/>
        <v>TON</v>
      </c>
      <c r="O1030" s="5">
        <v>8</v>
      </c>
      <c r="S1030" s="32">
        <f t="shared" si="124"/>
        <v>0</v>
      </c>
    </row>
    <row r="1031" spans="2:19" x14ac:dyDescent="0.25">
      <c r="B1031" s="1" t="s">
        <v>195</v>
      </c>
      <c r="C1031" s="2" t="s">
        <v>196</v>
      </c>
      <c r="D1031" s="2" t="s">
        <v>238</v>
      </c>
      <c r="E1031" s="2" t="s">
        <v>1154</v>
      </c>
      <c r="F1031" s="3">
        <v>44932</v>
      </c>
      <c r="G1031" s="4">
        <f t="shared" si="121"/>
        <v>1</v>
      </c>
      <c r="H1031" s="4">
        <f t="shared" si="122"/>
        <v>2023</v>
      </c>
      <c r="I1031" s="2" t="s">
        <v>4</v>
      </c>
      <c r="J1031" s="2" t="s">
        <v>1679</v>
      </c>
      <c r="K1031" s="2" t="s">
        <v>1291</v>
      </c>
      <c r="L1031" s="2" t="s">
        <v>1292</v>
      </c>
      <c r="M1031" s="2" t="s">
        <v>119</v>
      </c>
      <c r="N1031" s="4" t="str">
        <f t="shared" si="123"/>
        <v>TON</v>
      </c>
      <c r="O1031" s="5">
        <v>3.5225</v>
      </c>
      <c r="S1031" s="32">
        <f t="shared" si="124"/>
        <v>0</v>
      </c>
    </row>
    <row r="1032" spans="2:19" x14ac:dyDescent="0.25">
      <c r="B1032" s="1" t="s">
        <v>195</v>
      </c>
      <c r="C1032" s="2" t="s">
        <v>196</v>
      </c>
      <c r="D1032" s="2" t="s">
        <v>197</v>
      </c>
      <c r="E1032" s="2" t="s">
        <v>198</v>
      </c>
      <c r="F1032" s="3">
        <v>44932</v>
      </c>
      <c r="G1032" s="4">
        <f t="shared" si="121"/>
        <v>1</v>
      </c>
      <c r="H1032" s="4">
        <f t="shared" si="122"/>
        <v>2023</v>
      </c>
      <c r="I1032" s="2" t="s">
        <v>4</v>
      </c>
      <c r="J1032" s="2" t="s">
        <v>1680</v>
      </c>
      <c r="K1032" s="2" t="s">
        <v>307</v>
      </c>
      <c r="L1032" s="2" t="s">
        <v>308</v>
      </c>
      <c r="M1032" s="2" t="s">
        <v>119</v>
      </c>
      <c r="N1032" s="4" t="str">
        <f t="shared" si="123"/>
        <v>TON</v>
      </c>
      <c r="O1032" s="5">
        <v>3.5175000000000001</v>
      </c>
      <c r="S1032" s="32">
        <f t="shared" si="124"/>
        <v>0</v>
      </c>
    </row>
    <row r="1033" spans="2:19" x14ac:dyDescent="0.25">
      <c r="B1033" s="1" t="s">
        <v>195</v>
      </c>
      <c r="C1033" s="2" t="s">
        <v>196</v>
      </c>
      <c r="D1033" s="2" t="s">
        <v>387</v>
      </c>
      <c r="E1033" s="2" t="s">
        <v>797</v>
      </c>
      <c r="F1033" s="3">
        <v>44932</v>
      </c>
      <c r="G1033" s="4">
        <f t="shared" si="121"/>
        <v>1</v>
      </c>
      <c r="H1033" s="4">
        <f t="shared" si="122"/>
        <v>2023</v>
      </c>
      <c r="I1033" s="2" t="s">
        <v>4</v>
      </c>
      <c r="J1033" s="2" t="s">
        <v>1681</v>
      </c>
      <c r="K1033" s="2" t="s">
        <v>871</v>
      </c>
      <c r="L1033" s="2" t="s">
        <v>872</v>
      </c>
      <c r="M1033" s="2" t="s">
        <v>119</v>
      </c>
      <c r="N1033" s="4" t="str">
        <f t="shared" si="123"/>
        <v>TON</v>
      </c>
      <c r="O1033" s="5">
        <v>12.025</v>
      </c>
      <c r="S1033" s="32">
        <f t="shared" si="124"/>
        <v>0</v>
      </c>
    </row>
    <row r="1034" spans="2:19" x14ac:dyDescent="0.25">
      <c r="B1034" s="1" t="s">
        <v>1520</v>
      </c>
      <c r="C1034" s="2" t="s">
        <v>196</v>
      </c>
      <c r="D1034" s="2" t="s">
        <v>215</v>
      </c>
      <c r="E1034" s="2" t="s">
        <v>701</v>
      </c>
      <c r="F1034" s="3">
        <v>44932</v>
      </c>
      <c r="G1034" s="4">
        <f t="shared" si="121"/>
        <v>1</v>
      </c>
      <c r="H1034" s="4">
        <f t="shared" si="122"/>
        <v>2023</v>
      </c>
      <c r="I1034" s="2" t="s">
        <v>4</v>
      </c>
      <c r="J1034" s="2" t="s">
        <v>1682</v>
      </c>
      <c r="K1034" s="2" t="s">
        <v>447</v>
      </c>
      <c r="L1034" s="2" t="s">
        <v>448</v>
      </c>
      <c r="M1034" s="2" t="s">
        <v>119</v>
      </c>
      <c r="N1034" s="4" t="str">
        <f t="shared" si="123"/>
        <v>TON</v>
      </c>
      <c r="O1034" s="5">
        <v>3.5074999999999998</v>
      </c>
      <c r="S1034" s="32">
        <f t="shared" si="124"/>
        <v>0</v>
      </c>
    </row>
    <row r="1035" spans="2:19" x14ac:dyDescent="0.25">
      <c r="B1035" s="1" t="s">
        <v>195</v>
      </c>
      <c r="C1035" s="2" t="s">
        <v>196</v>
      </c>
      <c r="D1035" s="2" t="s">
        <v>449</v>
      </c>
      <c r="E1035" s="2" t="s">
        <v>969</v>
      </c>
      <c r="F1035" s="3">
        <v>44935</v>
      </c>
      <c r="G1035" s="4">
        <f t="shared" si="121"/>
        <v>1</v>
      </c>
      <c r="H1035" s="4">
        <f t="shared" si="122"/>
        <v>2023</v>
      </c>
      <c r="I1035" s="2" t="s">
        <v>4</v>
      </c>
      <c r="J1035" s="2" t="s">
        <v>1683</v>
      </c>
      <c r="K1035" s="2" t="s">
        <v>329</v>
      </c>
      <c r="L1035" s="2" t="s">
        <v>330</v>
      </c>
      <c r="M1035" s="2" t="s">
        <v>119</v>
      </c>
      <c r="N1035" s="4" t="str">
        <f t="shared" si="123"/>
        <v>TON</v>
      </c>
      <c r="O1035" s="5">
        <v>7</v>
      </c>
      <c r="S1035" s="32">
        <f t="shared" si="124"/>
        <v>0</v>
      </c>
    </row>
    <row r="1036" spans="2:19" x14ac:dyDescent="0.25">
      <c r="B1036" s="1" t="s">
        <v>1520</v>
      </c>
      <c r="C1036" s="2" t="s">
        <v>196</v>
      </c>
      <c r="D1036" s="2" t="s">
        <v>452</v>
      </c>
      <c r="E1036" s="2" t="s">
        <v>1167</v>
      </c>
      <c r="F1036" s="3">
        <v>44935</v>
      </c>
      <c r="G1036" s="4">
        <f t="shared" si="121"/>
        <v>1</v>
      </c>
      <c r="H1036" s="4">
        <f t="shared" si="122"/>
        <v>2023</v>
      </c>
      <c r="I1036" s="2" t="s">
        <v>4</v>
      </c>
      <c r="J1036" s="2" t="s">
        <v>1684</v>
      </c>
      <c r="K1036" s="2" t="s">
        <v>117</v>
      </c>
      <c r="L1036" s="2" t="s">
        <v>118</v>
      </c>
      <c r="M1036" s="2" t="s">
        <v>119</v>
      </c>
      <c r="N1036" s="4" t="str">
        <f t="shared" si="123"/>
        <v>TON</v>
      </c>
      <c r="O1036" s="5">
        <v>4</v>
      </c>
      <c r="S1036" s="32">
        <f t="shared" si="124"/>
        <v>0</v>
      </c>
    </row>
    <row r="1037" spans="2:19" x14ac:dyDescent="0.25">
      <c r="B1037" s="1" t="s">
        <v>1520</v>
      </c>
      <c r="C1037" s="2" t="s">
        <v>196</v>
      </c>
      <c r="D1037" s="2" t="s">
        <v>221</v>
      </c>
      <c r="E1037" s="2" t="s">
        <v>942</v>
      </c>
      <c r="F1037" s="3">
        <v>44935</v>
      </c>
      <c r="G1037" s="4">
        <f t="shared" si="121"/>
        <v>1</v>
      </c>
      <c r="H1037" s="4">
        <f t="shared" si="122"/>
        <v>2023</v>
      </c>
      <c r="I1037" s="2" t="s">
        <v>4</v>
      </c>
      <c r="J1037" s="2" t="s">
        <v>1685</v>
      </c>
      <c r="K1037" s="2" t="s">
        <v>334</v>
      </c>
      <c r="L1037" s="2" t="s">
        <v>335</v>
      </c>
      <c r="M1037" s="2" t="s">
        <v>119</v>
      </c>
      <c r="N1037" s="4" t="str">
        <f t="shared" si="123"/>
        <v>TON</v>
      </c>
      <c r="O1037" s="5">
        <v>2.5</v>
      </c>
      <c r="S1037" s="32">
        <f t="shared" si="124"/>
        <v>0</v>
      </c>
    </row>
    <row r="1038" spans="2:19" x14ac:dyDescent="0.25">
      <c r="B1038" s="1" t="s">
        <v>1520</v>
      </c>
      <c r="C1038" s="2" t="s">
        <v>196</v>
      </c>
      <c r="D1038" s="2" t="s">
        <v>672</v>
      </c>
      <c r="E1038" s="2" t="s">
        <v>1193</v>
      </c>
      <c r="F1038" s="3">
        <v>44935</v>
      </c>
      <c r="G1038" s="4">
        <f t="shared" si="121"/>
        <v>1</v>
      </c>
      <c r="H1038" s="4">
        <f t="shared" si="122"/>
        <v>2023</v>
      </c>
      <c r="I1038" s="2" t="s">
        <v>4</v>
      </c>
      <c r="J1038" s="2" t="s">
        <v>1686</v>
      </c>
      <c r="K1038" s="2" t="s">
        <v>675</v>
      </c>
      <c r="L1038" s="2" t="s">
        <v>676</v>
      </c>
      <c r="M1038" s="2" t="s">
        <v>119</v>
      </c>
      <c r="N1038" s="4" t="str">
        <f t="shared" si="123"/>
        <v>TON</v>
      </c>
      <c r="O1038" s="5">
        <v>3.0125000000000002</v>
      </c>
      <c r="S1038" s="32">
        <f t="shared" si="124"/>
        <v>0</v>
      </c>
    </row>
    <row r="1039" spans="2:19" x14ac:dyDescent="0.25">
      <c r="B1039" s="1" t="s">
        <v>1520</v>
      </c>
      <c r="C1039" s="2" t="s">
        <v>196</v>
      </c>
      <c r="D1039" s="2" t="s">
        <v>715</v>
      </c>
      <c r="E1039" s="2" t="s">
        <v>1293</v>
      </c>
      <c r="F1039" s="3">
        <v>44935</v>
      </c>
      <c r="G1039" s="4">
        <f t="shared" si="121"/>
        <v>1</v>
      </c>
      <c r="H1039" s="4">
        <f t="shared" si="122"/>
        <v>2023</v>
      </c>
      <c r="I1039" s="2" t="s">
        <v>4</v>
      </c>
      <c r="J1039" s="2" t="s">
        <v>1687</v>
      </c>
      <c r="K1039" s="2" t="s">
        <v>329</v>
      </c>
      <c r="L1039" s="2" t="s">
        <v>330</v>
      </c>
      <c r="M1039" s="2" t="s">
        <v>119</v>
      </c>
      <c r="N1039" s="4" t="str">
        <f t="shared" si="123"/>
        <v>TON</v>
      </c>
      <c r="O1039" s="5">
        <v>2.5</v>
      </c>
      <c r="S1039" s="32">
        <f t="shared" si="124"/>
        <v>0</v>
      </c>
    </row>
    <row r="1040" spans="2:19" x14ac:dyDescent="0.25">
      <c r="B1040" s="1" t="s">
        <v>1520</v>
      </c>
      <c r="C1040" s="2" t="s">
        <v>196</v>
      </c>
      <c r="D1040" s="2" t="s">
        <v>276</v>
      </c>
      <c r="E1040" s="2" t="s">
        <v>396</v>
      </c>
      <c r="F1040" s="3">
        <v>44935</v>
      </c>
      <c r="G1040" s="4">
        <f t="shared" si="121"/>
        <v>1</v>
      </c>
      <c r="H1040" s="4">
        <f t="shared" si="122"/>
        <v>2023</v>
      </c>
      <c r="I1040" s="2" t="s">
        <v>4</v>
      </c>
      <c r="J1040" s="2" t="s">
        <v>1688</v>
      </c>
      <c r="K1040" s="2" t="s">
        <v>292</v>
      </c>
      <c r="L1040" s="2" t="s">
        <v>293</v>
      </c>
      <c r="M1040" s="2" t="s">
        <v>119</v>
      </c>
      <c r="N1040" s="4" t="str">
        <f t="shared" si="123"/>
        <v>TON</v>
      </c>
      <c r="O1040" s="5">
        <v>2.0099999999999998</v>
      </c>
      <c r="S1040" s="32">
        <f t="shared" si="124"/>
        <v>0</v>
      </c>
    </row>
    <row r="1041" spans="2:19" x14ac:dyDescent="0.25">
      <c r="B1041" s="1" t="s">
        <v>1520</v>
      </c>
      <c r="C1041" s="2" t="s">
        <v>196</v>
      </c>
      <c r="D1041" s="2" t="s">
        <v>114</v>
      </c>
      <c r="E1041" s="2" t="s">
        <v>274</v>
      </c>
      <c r="F1041" s="3">
        <v>44935</v>
      </c>
      <c r="G1041" s="4">
        <f t="shared" si="121"/>
        <v>1</v>
      </c>
      <c r="H1041" s="4">
        <f t="shared" si="122"/>
        <v>2023</v>
      </c>
      <c r="I1041" s="2" t="s">
        <v>4</v>
      </c>
      <c r="J1041" s="2" t="s">
        <v>1689</v>
      </c>
      <c r="K1041" s="2" t="s">
        <v>390</v>
      </c>
      <c r="L1041" s="2" t="s">
        <v>391</v>
      </c>
      <c r="M1041" s="2" t="s">
        <v>119</v>
      </c>
      <c r="N1041" s="4" t="str">
        <f t="shared" si="123"/>
        <v>TON</v>
      </c>
      <c r="O1041" s="5">
        <v>4.0025000000000004</v>
      </c>
      <c r="S1041" s="32">
        <f t="shared" si="124"/>
        <v>0</v>
      </c>
    </row>
    <row r="1042" spans="2:19" x14ac:dyDescent="0.25">
      <c r="B1042" s="1" t="s">
        <v>1520</v>
      </c>
      <c r="C1042" s="2" t="s">
        <v>196</v>
      </c>
      <c r="D1042" s="2" t="s">
        <v>280</v>
      </c>
      <c r="E1042" s="2" t="s">
        <v>371</v>
      </c>
      <c r="F1042" s="3">
        <v>44935</v>
      </c>
      <c r="G1042" s="4">
        <f t="shared" si="121"/>
        <v>1</v>
      </c>
      <c r="H1042" s="4">
        <f t="shared" si="122"/>
        <v>2023</v>
      </c>
      <c r="I1042" s="2" t="s">
        <v>4</v>
      </c>
      <c r="J1042" s="2" t="s">
        <v>1690</v>
      </c>
      <c r="K1042" s="2" t="s">
        <v>390</v>
      </c>
      <c r="L1042" s="2" t="s">
        <v>391</v>
      </c>
      <c r="M1042" s="2" t="s">
        <v>119</v>
      </c>
      <c r="N1042" s="4" t="str">
        <f t="shared" si="123"/>
        <v>TON</v>
      </c>
      <c r="O1042" s="5">
        <v>10.0025</v>
      </c>
      <c r="S1042" s="32">
        <f t="shared" si="124"/>
        <v>0</v>
      </c>
    </row>
    <row r="1043" spans="2:19" x14ac:dyDescent="0.25">
      <c r="B1043" s="1" t="s">
        <v>645</v>
      </c>
      <c r="C1043" s="2" t="s">
        <v>196</v>
      </c>
      <c r="D1043" s="2" t="s">
        <v>114</v>
      </c>
      <c r="E1043" s="2" t="s">
        <v>927</v>
      </c>
      <c r="F1043" s="3">
        <v>44935</v>
      </c>
      <c r="G1043" s="4">
        <f t="shared" si="121"/>
        <v>1</v>
      </c>
      <c r="H1043" s="4">
        <f t="shared" si="122"/>
        <v>2023</v>
      </c>
      <c r="I1043" s="2" t="s">
        <v>4</v>
      </c>
      <c r="J1043" s="2" t="s">
        <v>1691</v>
      </c>
      <c r="K1043" s="2" t="s">
        <v>390</v>
      </c>
      <c r="L1043" s="2" t="s">
        <v>391</v>
      </c>
      <c r="M1043" s="2" t="s">
        <v>119</v>
      </c>
      <c r="N1043" s="4" t="str">
        <f t="shared" si="123"/>
        <v>TON</v>
      </c>
      <c r="O1043" s="5">
        <v>13.025</v>
      </c>
      <c r="S1043" s="32">
        <f t="shared" si="124"/>
        <v>0</v>
      </c>
    </row>
    <row r="1044" spans="2:19" x14ac:dyDescent="0.25">
      <c r="B1044" s="1" t="s">
        <v>1520</v>
      </c>
      <c r="C1044" s="2" t="s">
        <v>196</v>
      </c>
      <c r="D1044" s="2" t="s">
        <v>280</v>
      </c>
      <c r="E1044" s="2" t="s">
        <v>464</v>
      </c>
      <c r="F1044" s="3">
        <v>44935</v>
      </c>
      <c r="G1044" s="4">
        <f t="shared" si="121"/>
        <v>1</v>
      </c>
      <c r="H1044" s="4">
        <f t="shared" si="122"/>
        <v>2023</v>
      </c>
      <c r="I1044" s="2" t="s">
        <v>4</v>
      </c>
      <c r="J1044" s="2" t="s">
        <v>1692</v>
      </c>
      <c r="K1044" s="2" t="s">
        <v>390</v>
      </c>
      <c r="L1044" s="2" t="s">
        <v>391</v>
      </c>
      <c r="M1044" s="2" t="s">
        <v>119</v>
      </c>
      <c r="N1044" s="4" t="str">
        <f t="shared" si="123"/>
        <v>TON</v>
      </c>
      <c r="O1044" s="5">
        <v>11.025</v>
      </c>
      <c r="S1044" s="32">
        <f t="shared" si="124"/>
        <v>0</v>
      </c>
    </row>
    <row r="1045" spans="2:19" x14ac:dyDescent="0.25">
      <c r="B1045" s="1" t="s">
        <v>1520</v>
      </c>
      <c r="C1045" s="2" t="s">
        <v>196</v>
      </c>
      <c r="D1045" s="2" t="s">
        <v>303</v>
      </c>
      <c r="E1045" s="2" t="s">
        <v>501</v>
      </c>
      <c r="F1045" s="3">
        <v>44936</v>
      </c>
      <c r="G1045" s="4">
        <f t="shared" si="121"/>
        <v>1</v>
      </c>
      <c r="H1045" s="4">
        <f t="shared" si="122"/>
        <v>2023</v>
      </c>
      <c r="I1045" s="2" t="s">
        <v>4</v>
      </c>
      <c r="J1045" s="2" t="s">
        <v>1693</v>
      </c>
      <c r="K1045" s="2" t="s">
        <v>1581</v>
      </c>
      <c r="L1045" s="2" t="s">
        <v>1582</v>
      </c>
      <c r="M1045" s="2" t="s">
        <v>119</v>
      </c>
      <c r="N1045" s="4" t="str">
        <f t="shared" si="123"/>
        <v>TON</v>
      </c>
      <c r="O1045" s="5">
        <v>11.4975</v>
      </c>
      <c r="S1045" s="32">
        <f t="shared" si="124"/>
        <v>0</v>
      </c>
    </row>
    <row r="1046" spans="2:19" x14ac:dyDescent="0.25">
      <c r="B1046" s="1" t="s">
        <v>1520</v>
      </c>
      <c r="C1046" s="2" t="s">
        <v>196</v>
      </c>
      <c r="D1046" s="2" t="s">
        <v>317</v>
      </c>
      <c r="E1046" s="2" t="s">
        <v>319</v>
      </c>
      <c r="F1046" s="3">
        <v>44936</v>
      </c>
      <c r="G1046" s="4">
        <f t="shared" si="121"/>
        <v>1</v>
      </c>
      <c r="H1046" s="4">
        <f t="shared" si="122"/>
        <v>2023</v>
      </c>
      <c r="I1046" s="2" t="s">
        <v>4</v>
      </c>
      <c r="J1046" s="2" t="s">
        <v>1694</v>
      </c>
      <c r="K1046" s="2" t="s">
        <v>390</v>
      </c>
      <c r="L1046" s="2" t="s">
        <v>391</v>
      </c>
      <c r="M1046" s="2" t="s">
        <v>119</v>
      </c>
      <c r="N1046" s="4" t="str">
        <f t="shared" si="123"/>
        <v>TON</v>
      </c>
      <c r="O1046" s="5">
        <v>9.9875000000000007</v>
      </c>
      <c r="S1046" s="32">
        <f t="shared" si="124"/>
        <v>0</v>
      </c>
    </row>
    <row r="1047" spans="2:19" x14ac:dyDescent="0.25">
      <c r="B1047" s="1" t="s">
        <v>645</v>
      </c>
      <c r="C1047" s="2" t="s">
        <v>196</v>
      </c>
      <c r="D1047" s="2" t="s">
        <v>280</v>
      </c>
      <c r="E1047" s="2" t="s">
        <v>254</v>
      </c>
      <c r="F1047" s="3">
        <v>44936</v>
      </c>
      <c r="G1047" s="4">
        <f t="shared" si="121"/>
        <v>1</v>
      </c>
      <c r="H1047" s="4">
        <f t="shared" si="122"/>
        <v>2023</v>
      </c>
      <c r="I1047" s="2" t="s">
        <v>4</v>
      </c>
      <c r="J1047" s="2" t="s">
        <v>1695</v>
      </c>
      <c r="K1047" s="2" t="s">
        <v>390</v>
      </c>
      <c r="L1047" s="2" t="s">
        <v>391</v>
      </c>
      <c r="M1047" s="2" t="s">
        <v>119</v>
      </c>
      <c r="N1047" s="4" t="str">
        <f t="shared" si="123"/>
        <v>TON</v>
      </c>
      <c r="O1047" s="5">
        <v>5.0199999999999996</v>
      </c>
      <c r="S1047" s="32">
        <f t="shared" si="124"/>
        <v>0</v>
      </c>
    </row>
    <row r="1048" spans="2:19" x14ac:dyDescent="0.25">
      <c r="B1048" s="1" t="s">
        <v>1520</v>
      </c>
      <c r="C1048" s="2" t="s">
        <v>196</v>
      </c>
      <c r="D1048" s="2" t="s">
        <v>280</v>
      </c>
      <c r="E1048" s="2" t="s">
        <v>254</v>
      </c>
      <c r="F1048" s="3">
        <v>44936</v>
      </c>
      <c r="G1048" s="4">
        <f t="shared" si="121"/>
        <v>1</v>
      </c>
      <c r="H1048" s="4">
        <f t="shared" si="122"/>
        <v>2023</v>
      </c>
      <c r="I1048" s="2" t="s">
        <v>4</v>
      </c>
      <c r="J1048" s="2" t="s">
        <v>1696</v>
      </c>
      <c r="K1048" s="2" t="s">
        <v>390</v>
      </c>
      <c r="L1048" s="2" t="s">
        <v>391</v>
      </c>
      <c r="M1048" s="2" t="s">
        <v>119</v>
      </c>
      <c r="N1048" s="4" t="str">
        <f t="shared" si="123"/>
        <v>TON</v>
      </c>
      <c r="O1048" s="5">
        <v>15.02</v>
      </c>
      <c r="S1048" s="32">
        <f t="shared" si="124"/>
        <v>0</v>
      </c>
    </row>
    <row r="1049" spans="2:19" x14ac:dyDescent="0.25">
      <c r="B1049" s="1" t="s">
        <v>1520</v>
      </c>
      <c r="C1049" s="2" t="s">
        <v>196</v>
      </c>
      <c r="D1049" s="2" t="s">
        <v>374</v>
      </c>
      <c r="E1049" s="2" t="s">
        <v>710</v>
      </c>
      <c r="F1049" s="3">
        <v>44936</v>
      </c>
      <c r="G1049" s="4">
        <f t="shared" si="121"/>
        <v>1</v>
      </c>
      <c r="H1049" s="4">
        <f t="shared" si="122"/>
        <v>2023</v>
      </c>
      <c r="I1049" s="2" t="s">
        <v>4</v>
      </c>
      <c r="J1049" s="2" t="s">
        <v>1697</v>
      </c>
      <c r="K1049" s="2" t="s">
        <v>122</v>
      </c>
      <c r="L1049" s="2" t="s">
        <v>123</v>
      </c>
      <c r="M1049" s="2" t="s">
        <v>119</v>
      </c>
      <c r="N1049" s="4" t="str">
        <f t="shared" si="123"/>
        <v>TON</v>
      </c>
      <c r="O1049" s="5">
        <v>5.0149999999999997</v>
      </c>
      <c r="S1049" s="32">
        <f t="shared" si="124"/>
        <v>0</v>
      </c>
    </row>
    <row r="1050" spans="2:19" x14ac:dyDescent="0.25">
      <c r="B1050" s="1" t="s">
        <v>645</v>
      </c>
      <c r="C1050" s="2" t="s">
        <v>196</v>
      </c>
      <c r="D1050" s="2" t="s">
        <v>437</v>
      </c>
      <c r="E1050" s="2" t="s">
        <v>438</v>
      </c>
      <c r="F1050" s="3">
        <v>44936</v>
      </c>
      <c r="G1050" s="4">
        <f t="shared" si="121"/>
        <v>1</v>
      </c>
      <c r="H1050" s="4">
        <f t="shared" si="122"/>
        <v>2023</v>
      </c>
      <c r="I1050" s="2" t="s">
        <v>4</v>
      </c>
      <c r="J1050" s="2" t="s">
        <v>1698</v>
      </c>
      <c r="K1050" s="2" t="s">
        <v>1291</v>
      </c>
      <c r="L1050" s="2" t="s">
        <v>1292</v>
      </c>
      <c r="M1050" s="2" t="s">
        <v>119</v>
      </c>
      <c r="N1050" s="4" t="str">
        <f t="shared" si="123"/>
        <v>TON</v>
      </c>
      <c r="O1050" s="5">
        <v>2.5150000000000001</v>
      </c>
      <c r="S1050" s="32">
        <f t="shared" si="124"/>
        <v>0</v>
      </c>
    </row>
    <row r="1051" spans="2:19" x14ac:dyDescent="0.25">
      <c r="B1051" s="1" t="s">
        <v>1520</v>
      </c>
      <c r="C1051" s="2" t="s">
        <v>196</v>
      </c>
      <c r="D1051" s="2" t="s">
        <v>475</v>
      </c>
      <c r="E1051" s="2" t="s">
        <v>476</v>
      </c>
      <c r="F1051" s="3">
        <v>44936</v>
      </c>
      <c r="G1051" s="4">
        <f t="shared" si="121"/>
        <v>1</v>
      </c>
      <c r="H1051" s="4">
        <f t="shared" si="122"/>
        <v>2023</v>
      </c>
      <c r="I1051" s="2" t="s">
        <v>4</v>
      </c>
      <c r="J1051" s="2" t="s">
        <v>1699</v>
      </c>
      <c r="K1051" s="2" t="s">
        <v>478</v>
      </c>
      <c r="L1051" s="2" t="s">
        <v>479</v>
      </c>
      <c r="M1051" s="2" t="s">
        <v>119</v>
      </c>
      <c r="N1051" s="4" t="str">
        <f t="shared" si="123"/>
        <v>TON</v>
      </c>
      <c r="O1051" s="5">
        <v>5.0075000000000003</v>
      </c>
      <c r="S1051" s="32">
        <f t="shared" si="124"/>
        <v>0</v>
      </c>
    </row>
    <row r="1052" spans="2:19" x14ac:dyDescent="0.25">
      <c r="B1052" s="1" t="s">
        <v>645</v>
      </c>
      <c r="C1052" s="2" t="s">
        <v>196</v>
      </c>
      <c r="D1052" s="2" t="s">
        <v>224</v>
      </c>
      <c r="E1052" s="2" t="s">
        <v>361</v>
      </c>
      <c r="F1052" s="3">
        <v>44936</v>
      </c>
      <c r="G1052" s="4">
        <f t="shared" si="121"/>
        <v>1</v>
      </c>
      <c r="H1052" s="4">
        <f t="shared" si="122"/>
        <v>2023</v>
      </c>
      <c r="I1052" s="2" t="s">
        <v>4</v>
      </c>
      <c r="J1052" s="2" t="s">
        <v>1700</v>
      </c>
      <c r="K1052" s="2" t="s">
        <v>205</v>
      </c>
      <c r="L1052" s="2" t="s">
        <v>206</v>
      </c>
      <c r="M1052" s="2" t="s">
        <v>119</v>
      </c>
      <c r="N1052" s="4" t="str">
        <f t="shared" si="123"/>
        <v>TON</v>
      </c>
      <c r="O1052" s="5">
        <v>5.03</v>
      </c>
      <c r="S1052" s="32">
        <f t="shared" si="124"/>
        <v>0</v>
      </c>
    </row>
    <row r="1053" spans="2:19" x14ac:dyDescent="0.25">
      <c r="B1053" s="1" t="s">
        <v>1520</v>
      </c>
      <c r="C1053" s="2" t="s">
        <v>196</v>
      </c>
      <c r="D1053" s="2" t="s">
        <v>672</v>
      </c>
      <c r="E1053" s="2" t="s">
        <v>672</v>
      </c>
      <c r="F1053" s="3">
        <v>44936</v>
      </c>
      <c r="G1053" s="4">
        <f t="shared" si="121"/>
        <v>1</v>
      </c>
      <c r="H1053" s="4">
        <f t="shared" si="122"/>
        <v>2023</v>
      </c>
      <c r="I1053" s="2" t="s">
        <v>4</v>
      </c>
      <c r="J1053" s="2" t="s">
        <v>1701</v>
      </c>
      <c r="K1053" s="2" t="s">
        <v>1702</v>
      </c>
      <c r="L1053" s="2" t="s">
        <v>1703</v>
      </c>
      <c r="M1053" s="2" t="s">
        <v>1071</v>
      </c>
      <c r="N1053" s="4" t="str">
        <f t="shared" si="123"/>
        <v>GAL</v>
      </c>
      <c r="O1053" s="5">
        <v>25</v>
      </c>
      <c r="S1053" s="32">
        <f t="shared" si="124"/>
        <v>0</v>
      </c>
    </row>
    <row r="1054" spans="2:19" x14ac:dyDescent="0.25">
      <c r="B1054" s="1" t="s">
        <v>1520</v>
      </c>
      <c r="C1054" s="2" t="s">
        <v>196</v>
      </c>
      <c r="D1054" s="2" t="s">
        <v>303</v>
      </c>
      <c r="E1054" s="2" t="s">
        <v>501</v>
      </c>
      <c r="F1054" s="3">
        <v>44937</v>
      </c>
      <c r="G1054" s="4">
        <f t="shared" si="121"/>
        <v>1</v>
      </c>
      <c r="H1054" s="4">
        <f t="shared" si="122"/>
        <v>2023</v>
      </c>
      <c r="I1054" s="2" t="s">
        <v>4</v>
      </c>
      <c r="J1054" s="2" t="s">
        <v>1704</v>
      </c>
      <c r="K1054" s="2" t="s">
        <v>1204</v>
      </c>
      <c r="L1054" s="2" t="s">
        <v>1151</v>
      </c>
      <c r="M1054" s="2" t="s">
        <v>8</v>
      </c>
      <c r="N1054" s="4" t="str">
        <f t="shared" si="123"/>
        <v>GAL</v>
      </c>
      <c r="O1054" s="5">
        <v>250</v>
      </c>
      <c r="S1054" s="32">
        <f t="shared" si="124"/>
        <v>0</v>
      </c>
    </row>
    <row r="1055" spans="2:19" x14ac:dyDescent="0.25">
      <c r="B1055" s="1" t="s">
        <v>1520</v>
      </c>
      <c r="C1055" s="2" t="s">
        <v>196</v>
      </c>
      <c r="D1055" s="2" t="s">
        <v>669</v>
      </c>
      <c r="E1055" s="2" t="s">
        <v>56</v>
      </c>
      <c r="F1055" s="3">
        <v>44937</v>
      </c>
      <c r="G1055" s="4">
        <f t="shared" si="121"/>
        <v>1</v>
      </c>
      <c r="H1055" s="4">
        <f t="shared" si="122"/>
        <v>2023</v>
      </c>
      <c r="I1055" s="2" t="s">
        <v>4</v>
      </c>
      <c r="J1055" s="2" t="s">
        <v>1705</v>
      </c>
      <c r="K1055" s="2" t="s">
        <v>384</v>
      </c>
      <c r="L1055" s="2" t="s">
        <v>385</v>
      </c>
      <c r="M1055" s="2" t="s">
        <v>119</v>
      </c>
      <c r="N1055" s="4" t="str">
        <f t="shared" si="123"/>
        <v>TON</v>
      </c>
      <c r="O1055" s="5">
        <v>2</v>
      </c>
      <c r="S1055" s="32">
        <f t="shared" si="124"/>
        <v>0</v>
      </c>
    </row>
    <row r="1056" spans="2:19" x14ac:dyDescent="0.25">
      <c r="B1056" s="1" t="s">
        <v>1520</v>
      </c>
      <c r="C1056" s="2" t="s">
        <v>196</v>
      </c>
      <c r="D1056" s="2" t="s">
        <v>1706</v>
      </c>
      <c r="E1056" s="2" t="s">
        <v>102</v>
      </c>
      <c r="F1056" s="3">
        <v>44937</v>
      </c>
      <c r="G1056" s="4">
        <f t="shared" si="121"/>
        <v>1</v>
      </c>
      <c r="H1056" s="4">
        <f t="shared" si="122"/>
        <v>2023</v>
      </c>
      <c r="I1056" s="2" t="s">
        <v>4</v>
      </c>
      <c r="J1056" s="2" t="s">
        <v>1707</v>
      </c>
      <c r="K1056" s="2" t="s">
        <v>329</v>
      </c>
      <c r="L1056" s="2" t="s">
        <v>330</v>
      </c>
      <c r="M1056" s="2" t="s">
        <v>119</v>
      </c>
      <c r="N1056" s="4" t="str">
        <f t="shared" si="123"/>
        <v>TON</v>
      </c>
      <c r="O1056" s="5">
        <v>1.25</v>
      </c>
      <c r="S1056" s="32">
        <f t="shared" si="124"/>
        <v>0</v>
      </c>
    </row>
    <row r="1057" spans="2:19" x14ac:dyDescent="0.25">
      <c r="B1057" s="1" t="s">
        <v>1520</v>
      </c>
      <c r="C1057" s="2" t="s">
        <v>196</v>
      </c>
      <c r="D1057" s="2" t="s">
        <v>299</v>
      </c>
      <c r="E1057" s="2" t="s">
        <v>398</v>
      </c>
      <c r="F1057" s="3">
        <v>44937</v>
      </c>
      <c r="G1057" s="4">
        <f t="shared" si="121"/>
        <v>1</v>
      </c>
      <c r="H1057" s="4">
        <f t="shared" si="122"/>
        <v>2023</v>
      </c>
      <c r="I1057" s="2" t="s">
        <v>4</v>
      </c>
      <c r="J1057" s="2" t="s">
        <v>1708</v>
      </c>
      <c r="K1057" s="2" t="s">
        <v>390</v>
      </c>
      <c r="L1057" s="2" t="s">
        <v>391</v>
      </c>
      <c r="M1057" s="2" t="s">
        <v>119</v>
      </c>
      <c r="N1057" s="4" t="str">
        <f t="shared" si="123"/>
        <v>TON</v>
      </c>
      <c r="O1057" s="5">
        <v>9.0175000000000001</v>
      </c>
      <c r="S1057" s="32">
        <f t="shared" si="124"/>
        <v>0</v>
      </c>
    </row>
    <row r="1058" spans="2:19" x14ac:dyDescent="0.25">
      <c r="B1058" s="1" t="s">
        <v>645</v>
      </c>
      <c r="C1058" s="2" t="s">
        <v>196</v>
      </c>
      <c r="D1058" s="2" t="s">
        <v>310</v>
      </c>
      <c r="E1058" s="2" t="s">
        <v>355</v>
      </c>
      <c r="F1058" s="3">
        <v>44937</v>
      </c>
      <c r="G1058" s="4">
        <f t="shared" si="121"/>
        <v>1</v>
      </c>
      <c r="H1058" s="4">
        <f t="shared" si="122"/>
        <v>2023</v>
      </c>
      <c r="I1058" s="2" t="s">
        <v>4</v>
      </c>
      <c r="J1058" s="2" t="s">
        <v>1709</v>
      </c>
      <c r="K1058" s="2" t="s">
        <v>329</v>
      </c>
      <c r="L1058" s="2" t="s">
        <v>330</v>
      </c>
      <c r="M1058" s="2" t="s">
        <v>119</v>
      </c>
      <c r="N1058" s="4" t="str">
        <f t="shared" si="123"/>
        <v>TON</v>
      </c>
      <c r="O1058" s="5">
        <v>2</v>
      </c>
      <c r="S1058" s="32">
        <f t="shared" si="124"/>
        <v>0</v>
      </c>
    </row>
    <row r="1059" spans="2:19" x14ac:dyDescent="0.25">
      <c r="B1059" s="1" t="s">
        <v>645</v>
      </c>
      <c r="C1059" s="2" t="s">
        <v>196</v>
      </c>
      <c r="D1059" s="2" t="s">
        <v>215</v>
      </c>
      <c r="E1059" s="2" t="s">
        <v>701</v>
      </c>
      <c r="F1059" s="3">
        <v>44937</v>
      </c>
      <c r="G1059" s="4">
        <f t="shared" si="121"/>
        <v>1</v>
      </c>
      <c r="H1059" s="4">
        <f t="shared" si="122"/>
        <v>2023</v>
      </c>
      <c r="I1059" s="2" t="s">
        <v>4</v>
      </c>
      <c r="J1059" s="2" t="s">
        <v>1710</v>
      </c>
      <c r="K1059" s="2" t="s">
        <v>447</v>
      </c>
      <c r="L1059" s="2" t="s">
        <v>448</v>
      </c>
      <c r="M1059" s="2" t="s">
        <v>119</v>
      </c>
      <c r="N1059" s="4" t="str">
        <f t="shared" si="123"/>
        <v>TON</v>
      </c>
      <c r="O1059" s="5">
        <v>4</v>
      </c>
      <c r="S1059" s="32">
        <f t="shared" si="124"/>
        <v>0</v>
      </c>
    </row>
    <row r="1060" spans="2:19" x14ac:dyDescent="0.25">
      <c r="B1060" s="1" t="s">
        <v>1520</v>
      </c>
      <c r="C1060" s="2" t="s">
        <v>196</v>
      </c>
      <c r="D1060" s="2" t="s">
        <v>285</v>
      </c>
      <c r="E1060" s="2" t="s">
        <v>412</v>
      </c>
      <c r="F1060" s="3">
        <v>44938</v>
      </c>
      <c r="G1060" s="4">
        <f t="shared" si="121"/>
        <v>1</v>
      </c>
      <c r="H1060" s="4">
        <f t="shared" si="122"/>
        <v>2023</v>
      </c>
      <c r="I1060" s="2" t="s">
        <v>4</v>
      </c>
      <c r="J1060" s="2" t="s">
        <v>1711</v>
      </c>
      <c r="K1060" s="2" t="s">
        <v>292</v>
      </c>
      <c r="L1060" s="2" t="s">
        <v>293</v>
      </c>
      <c r="M1060" s="2" t="s">
        <v>119</v>
      </c>
      <c r="N1060" s="4" t="str">
        <f t="shared" si="123"/>
        <v>TON</v>
      </c>
      <c r="O1060" s="5">
        <v>8.02</v>
      </c>
      <c r="S1060" s="32">
        <f t="shared" si="124"/>
        <v>0</v>
      </c>
    </row>
    <row r="1061" spans="2:19" x14ac:dyDescent="0.25">
      <c r="B1061" s="1" t="s">
        <v>645</v>
      </c>
      <c r="C1061" s="2" t="s">
        <v>196</v>
      </c>
      <c r="D1061" s="2" t="s">
        <v>299</v>
      </c>
      <c r="E1061" s="2" t="s">
        <v>300</v>
      </c>
      <c r="F1061" s="3">
        <v>44938</v>
      </c>
      <c r="G1061" s="4">
        <f t="shared" si="121"/>
        <v>1</v>
      </c>
      <c r="H1061" s="4">
        <f t="shared" si="122"/>
        <v>2023</v>
      </c>
      <c r="I1061" s="2" t="s">
        <v>4</v>
      </c>
      <c r="J1061" s="2" t="s">
        <v>1712</v>
      </c>
      <c r="K1061" s="2" t="s">
        <v>390</v>
      </c>
      <c r="L1061" s="2" t="s">
        <v>391</v>
      </c>
      <c r="M1061" s="2" t="s">
        <v>119</v>
      </c>
      <c r="N1061" s="4" t="str">
        <f t="shared" si="123"/>
        <v>TON</v>
      </c>
      <c r="O1061" s="5">
        <v>15.015000000000001</v>
      </c>
      <c r="S1061" s="32">
        <f t="shared" si="124"/>
        <v>0</v>
      </c>
    </row>
    <row r="1062" spans="2:19" x14ac:dyDescent="0.25">
      <c r="B1062" s="1" t="s">
        <v>645</v>
      </c>
      <c r="C1062" s="2" t="s">
        <v>196</v>
      </c>
      <c r="D1062" s="2" t="s">
        <v>114</v>
      </c>
      <c r="E1062" s="2" t="s">
        <v>402</v>
      </c>
      <c r="F1062" s="3">
        <v>44938</v>
      </c>
      <c r="G1062" s="4">
        <f t="shared" si="121"/>
        <v>1</v>
      </c>
      <c r="H1062" s="4">
        <f t="shared" si="122"/>
        <v>2023</v>
      </c>
      <c r="I1062" s="2" t="s">
        <v>4</v>
      </c>
      <c r="J1062" s="2" t="s">
        <v>1713</v>
      </c>
      <c r="K1062" s="2" t="s">
        <v>390</v>
      </c>
      <c r="L1062" s="2" t="s">
        <v>391</v>
      </c>
      <c r="M1062" s="2" t="s">
        <v>119</v>
      </c>
      <c r="N1062" s="4" t="str">
        <f t="shared" si="123"/>
        <v>TON</v>
      </c>
      <c r="O1062" s="5">
        <v>8.01</v>
      </c>
      <c r="S1062" s="32">
        <f t="shared" si="124"/>
        <v>0</v>
      </c>
    </row>
    <row r="1063" spans="2:19" x14ac:dyDescent="0.25">
      <c r="B1063" s="1" t="s">
        <v>1520</v>
      </c>
      <c r="C1063" s="2" t="s">
        <v>196</v>
      </c>
      <c r="D1063" s="2" t="s">
        <v>444</v>
      </c>
      <c r="E1063" s="2" t="s">
        <v>686</v>
      </c>
      <c r="F1063" s="3">
        <v>44938</v>
      </c>
      <c r="G1063" s="4">
        <f t="shared" si="121"/>
        <v>1</v>
      </c>
      <c r="H1063" s="4">
        <f t="shared" si="122"/>
        <v>2023</v>
      </c>
      <c r="I1063" s="2" t="s">
        <v>4</v>
      </c>
      <c r="J1063" s="2" t="s">
        <v>1714</v>
      </c>
      <c r="K1063" s="2" t="s">
        <v>394</v>
      </c>
      <c r="L1063" s="2" t="s">
        <v>395</v>
      </c>
      <c r="M1063" s="2" t="s">
        <v>119</v>
      </c>
      <c r="N1063" s="4" t="str">
        <f t="shared" si="123"/>
        <v>TON</v>
      </c>
      <c r="O1063" s="5">
        <v>1.2675000000000001</v>
      </c>
      <c r="S1063" s="32">
        <f t="shared" si="124"/>
        <v>0</v>
      </c>
    </row>
    <row r="1064" spans="2:19" x14ac:dyDescent="0.25">
      <c r="B1064" s="1" t="s">
        <v>1520</v>
      </c>
      <c r="C1064" s="2" t="s">
        <v>196</v>
      </c>
      <c r="D1064" s="2" t="s">
        <v>114</v>
      </c>
      <c r="E1064" s="2" t="s">
        <v>369</v>
      </c>
      <c r="F1064" s="3">
        <v>44938</v>
      </c>
      <c r="G1064" s="4">
        <f t="shared" si="121"/>
        <v>1</v>
      </c>
      <c r="H1064" s="4">
        <f t="shared" si="122"/>
        <v>2023</v>
      </c>
      <c r="I1064" s="2" t="s">
        <v>4</v>
      </c>
      <c r="J1064" s="2" t="s">
        <v>1715</v>
      </c>
      <c r="K1064" s="2" t="s">
        <v>390</v>
      </c>
      <c r="L1064" s="2" t="s">
        <v>391</v>
      </c>
      <c r="M1064" s="2" t="s">
        <v>119</v>
      </c>
      <c r="N1064" s="4" t="str">
        <f t="shared" si="123"/>
        <v>TON</v>
      </c>
      <c r="O1064" s="5">
        <v>11.0375</v>
      </c>
      <c r="S1064" s="32">
        <f t="shared" si="124"/>
        <v>0</v>
      </c>
    </row>
    <row r="1065" spans="2:19" x14ac:dyDescent="0.25">
      <c r="B1065" s="1" t="s">
        <v>1520</v>
      </c>
      <c r="C1065" s="2" t="s">
        <v>196</v>
      </c>
      <c r="D1065" s="2" t="s">
        <v>884</v>
      </c>
      <c r="E1065" s="2" t="s">
        <v>881</v>
      </c>
      <c r="F1065" s="3">
        <v>44938</v>
      </c>
      <c r="G1065" s="4">
        <f t="shared" si="121"/>
        <v>1</v>
      </c>
      <c r="H1065" s="4">
        <f t="shared" si="122"/>
        <v>2023</v>
      </c>
      <c r="I1065" s="2" t="s">
        <v>4</v>
      </c>
      <c r="J1065" s="2" t="s">
        <v>1716</v>
      </c>
      <c r="K1065" s="2" t="s">
        <v>122</v>
      </c>
      <c r="L1065" s="2" t="s">
        <v>123</v>
      </c>
      <c r="M1065" s="2" t="s">
        <v>119</v>
      </c>
      <c r="N1065" s="4" t="str">
        <f t="shared" si="123"/>
        <v>TON</v>
      </c>
      <c r="O1065" s="5">
        <v>1.25</v>
      </c>
      <c r="S1065" s="32">
        <f t="shared" si="124"/>
        <v>0</v>
      </c>
    </row>
    <row r="1066" spans="2:19" x14ac:dyDescent="0.25">
      <c r="B1066" s="1" t="s">
        <v>645</v>
      </c>
      <c r="C1066" s="2" t="s">
        <v>196</v>
      </c>
      <c r="D1066" s="2" t="s">
        <v>285</v>
      </c>
      <c r="E1066" s="2" t="s">
        <v>297</v>
      </c>
      <c r="F1066" s="3">
        <v>44938</v>
      </c>
      <c r="G1066" s="4">
        <f t="shared" si="121"/>
        <v>1</v>
      </c>
      <c r="H1066" s="4">
        <f t="shared" si="122"/>
        <v>2023</v>
      </c>
      <c r="I1066" s="2" t="s">
        <v>4</v>
      </c>
      <c r="J1066" s="2" t="s">
        <v>1717</v>
      </c>
      <c r="K1066" s="2" t="s">
        <v>292</v>
      </c>
      <c r="L1066" s="2" t="s">
        <v>293</v>
      </c>
      <c r="M1066" s="2" t="s">
        <v>119</v>
      </c>
      <c r="N1066" s="4" t="str">
        <f t="shared" si="123"/>
        <v>TON</v>
      </c>
      <c r="O1066" s="5">
        <v>8.0075000000000003</v>
      </c>
      <c r="S1066" s="32">
        <f t="shared" si="124"/>
        <v>0</v>
      </c>
    </row>
    <row r="1067" spans="2:19" x14ac:dyDescent="0.25">
      <c r="B1067" s="1" t="s">
        <v>645</v>
      </c>
      <c r="C1067" s="2" t="s">
        <v>196</v>
      </c>
      <c r="D1067" s="2" t="s">
        <v>207</v>
      </c>
      <c r="E1067" s="2" t="s">
        <v>208</v>
      </c>
      <c r="F1067" s="3">
        <v>44938</v>
      </c>
      <c r="G1067" s="4">
        <f t="shared" si="121"/>
        <v>1</v>
      </c>
      <c r="H1067" s="4">
        <f t="shared" si="122"/>
        <v>2023</v>
      </c>
      <c r="I1067" s="2" t="s">
        <v>4</v>
      </c>
      <c r="J1067" s="2" t="s">
        <v>1718</v>
      </c>
      <c r="K1067" s="2" t="s">
        <v>236</v>
      </c>
      <c r="L1067" s="2" t="s">
        <v>237</v>
      </c>
      <c r="M1067" s="2" t="s">
        <v>119</v>
      </c>
      <c r="N1067" s="4" t="str">
        <f t="shared" si="123"/>
        <v>TON</v>
      </c>
      <c r="O1067" s="5">
        <v>3.5175000000000001</v>
      </c>
      <c r="S1067" s="32">
        <f t="shared" si="124"/>
        <v>0</v>
      </c>
    </row>
    <row r="1068" spans="2:19" x14ac:dyDescent="0.25">
      <c r="B1068" s="1" t="s">
        <v>382</v>
      </c>
      <c r="C1068" s="2" t="s">
        <v>506</v>
      </c>
      <c r="D1068" s="2" t="s">
        <v>507</v>
      </c>
      <c r="E1068" s="2" t="s">
        <v>508</v>
      </c>
      <c r="F1068" s="3">
        <v>44939</v>
      </c>
      <c r="G1068" s="4">
        <f t="shared" si="121"/>
        <v>1</v>
      </c>
      <c r="H1068" s="4">
        <f t="shared" si="122"/>
        <v>2023</v>
      </c>
      <c r="I1068" s="2" t="s">
        <v>4</v>
      </c>
      <c r="J1068" s="2" t="s">
        <v>1719</v>
      </c>
      <c r="K1068" s="2" t="s">
        <v>1489</v>
      </c>
      <c r="L1068" s="2" t="s">
        <v>1490</v>
      </c>
      <c r="M1068" s="2" t="s">
        <v>1491</v>
      </c>
      <c r="N1068" s="4" t="str">
        <f t="shared" si="123"/>
        <v>GAL</v>
      </c>
      <c r="O1068" s="5">
        <v>25</v>
      </c>
      <c r="S1068" s="32">
        <f t="shared" si="124"/>
        <v>0</v>
      </c>
    </row>
    <row r="1069" spans="2:19" x14ac:dyDescent="0.25">
      <c r="B1069" s="1" t="s">
        <v>382</v>
      </c>
      <c r="C1069" s="2" t="s">
        <v>506</v>
      </c>
      <c r="D1069" s="2" t="s">
        <v>507</v>
      </c>
      <c r="E1069" s="2" t="s">
        <v>508</v>
      </c>
      <c r="F1069" s="3">
        <v>44939</v>
      </c>
      <c r="G1069" s="4">
        <f t="shared" si="121"/>
        <v>1</v>
      </c>
      <c r="H1069" s="4">
        <f t="shared" si="122"/>
        <v>2023</v>
      </c>
      <c r="I1069" s="2" t="s">
        <v>4</v>
      </c>
      <c r="J1069" s="2" t="s">
        <v>1720</v>
      </c>
      <c r="K1069" s="2" t="s">
        <v>560</v>
      </c>
      <c r="L1069" s="2" t="s">
        <v>602</v>
      </c>
      <c r="M1069" s="2" t="s">
        <v>41</v>
      </c>
      <c r="N1069" s="4" t="str">
        <f t="shared" si="123"/>
        <v>GAL</v>
      </c>
      <c r="O1069" s="5">
        <v>250</v>
      </c>
      <c r="S1069" s="32">
        <f t="shared" si="124"/>
        <v>0</v>
      </c>
    </row>
    <row r="1070" spans="2:19" x14ac:dyDescent="0.25">
      <c r="B1070" s="6" t="s">
        <v>382</v>
      </c>
      <c r="C1070" s="7" t="s">
        <v>506</v>
      </c>
      <c r="D1070" s="8" t="s">
        <v>995</v>
      </c>
      <c r="E1070" s="8" t="s">
        <v>1721</v>
      </c>
      <c r="F1070" s="12">
        <v>44939</v>
      </c>
      <c r="G1070" s="10">
        <f t="shared" si="121"/>
        <v>1</v>
      </c>
      <c r="H1070" s="10">
        <f t="shared" si="122"/>
        <v>2023</v>
      </c>
      <c r="I1070" s="8" t="s">
        <v>4</v>
      </c>
      <c r="J1070" s="7" t="s">
        <v>1722</v>
      </c>
      <c r="K1070" s="8" t="s">
        <v>1723</v>
      </c>
      <c r="L1070" s="8" t="s">
        <v>1724</v>
      </c>
      <c r="M1070" s="8" t="s">
        <v>13</v>
      </c>
      <c r="N1070" s="10" t="str">
        <f t="shared" si="123"/>
        <v>GAL</v>
      </c>
      <c r="O1070" s="11">
        <v>250</v>
      </c>
      <c r="S1070" s="32">
        <f t="shared" si="124"/>
        <v>0</v>
      </c>
    </row>
    <row r="1071" spans="2:19" x14ac:dyDescent="0.25">
      <c r="B1071" s="1" t="s">
        <v>382</v>
      </c>
      <c r="C1071" s="2" t="s">
        <v>506</v>
      </c>
      <c r="D1071" s="2" t="s">
        <v>515</v>
      </c>
      <c r="E1071" s="2" t="s">
        <v>516</v>
      </c>
      <c r="F1071" s="3">
        <v>44939</v>
      </c>
      <c r="G1071" s="4">
        <f t="shared" si="121"/>
        <v>1</v>
      </c>
      <c r="H1071" s="4">
        <f t="shared" si="122"/>
        <v>2023</v>
      </c>
      <c r="I1071" s="2" t="s">
        <v>4</v>
      </c>
      <c r="J1071" s="2" t="s">
        <v>1725</v>
      </c>
      <c r="K1071" s="2" t="s">
        <v>143</v>
      </c>
      <c r="L1071" s="2" t="s">
        <v>1726</v>
      </c>
      <c r="M1071" s="2" t="s">
        <v>145</v>
      </c>
      <c r="N1071" s="4" t="str">
        <f t="shared" si="123"/>
        <v>GAL</v>
      </c>
      <c r="O1071" s="5">
        <v>255</v>
      </c>
      <c r="S1071" s="32">
        <f t="shared" si="124"/>
        <v>0</v>
      </c>
    </row>
    <row r="1072" spans="2:19" x14ac:dyDescent="0.25">
      <c r="B1072" s="1" t="s">
        <v>382</v>
      </c>
      <c r="C1072" s="2" t="s">
        <v>506</v>
      </c>
      <c r="D1072" s="2" t="s">
        <v>1727</v>
      </c>
      <c r="E1072" s="2" t="s">
        <v>141</v>
      </c>
      <c r="F1072" s="3">
        <v>44939</v>
      </c>
      <c r="G1072" s="4">
        <f t="shared" si="121"/>
        <v>1</v>
      </c>
      <c r="H1072" s="4">
        <f t="shared" si="122"/>
        <v>2023</v>
      </c>
      <c r="I1072" s="2" t="s">
        <v>4</v>
      </c>
      <c r="J1072" s="2" t="s">
        <v>1728</v>
      </c>
      <c r="K1072" s="2" t="s">
        <v>1729</v>
      </c>
      <c r="L1072" s="2" t="s">
        <v>1730</v>
      </c>
      <c r="M1072" s="2" t="s">
        <v>1731</v>
      </c>
      <c r="N1072" s="4" t="str">
        <f t="shared" si="123"/>
        <v>GAL</v>
      </c>
      <c r="O1072" s="5">
        <v>60</v>
      </c>
      <c r="S1072" s="32">
        <f t="shared" si="124"/>
        <v>0</v>
      </c>
    </row>
    <row r="1073" spans="2:19" x14ac:dyDescent="0.25">
      <c r="B1073" s="1" t="s">
        <v>382</v>
      </c>
      <c r="C1073" s="2" t="s">
        <v>506</v>
      </c>
      <c r="D1073" s="2" t="s">
        <v>1727</v>
      </c>
      <c r="E1073" s="2" t="s">
        <v>141</v>
      </c>
      <c r="F1073" s="3">
        <v>44939</v>
      </c>
      <c r="G1073" s="4">
        <f t="shared" si="121"/>
        <v>1</v>
      </c>
      <c r="H1073" s="4">
        <f t="shared" si="122"/>
        <v>2023</v>
      </c>
      <c r="I1073" s="2" t="s">
        <v>4</v>
      </c>
      <c r="J1073" s="2" t="s">
        <v>1728</v>
      </c>
      <c r="K1073" s="2" t="s">
        <v>25</v>
      </c>
      <c r="L1073" s="2" t="s">
        <v>1732</v>
      </c>
      <c r="M1073" s="2" t="s">
        <v>27</v>
      </c>
      <c r="N1073" s="4" t="str">
        <f t="shared" si="123"/>
        <v>GAL</v>
      </c>
      <c r="O1073" s="5">
        <v>60</v>
      </c>
      <c r="S1073" s="32">
        <f t="shared" si="124"/>
        <v>0</v>
      </c>
    </row>
    <row r="1074" spans="2:19" x14ac:dyDescent="0.25">
      <c r="B1074" s="1" t="s">
        <v>382</v>
      </c>
      <c r="C1074" s="2" t="s">
        <v>506</v>
      </c>
      <c r="D1074" s="2" t="s">
        <v>507</v>
      </c>
      <c r="E1074" s="2" t="s">
        <v>508</v>
      </c>
      <c r="F1074" s="3">
        <v>44946</v>
      </c>
      <c r="G1074" s="4">
        <f t="shared" si="121"/>
        <v>1</v>
      </c>
      <c r="H1074" s="4">
        <f t="shared" si="122"/>
        <v>2023</v>
      </c>
      <c r="I1074" s="2" t="s">
        <v>4</v>
      </c>
      <c r="J1074" s="2" t="s">
        <v>1733</v>
      </c>
      <c r="K1074" s="2" t="s">
        <v>1734</v>
      </c>
      <c r="L1074" s="2" t="s">
        <v>1735</v>
      </c>
      <c r="M1074" s="2" t="s">
        <v>1736</v>
      </c>
      <c r="N1074" s="4" t="str">
        <f t="shared" si="123"/>
        <v>GAL</v>
      </c>
      <c r="O1074" s="5">
        <v>75</v>
      </c>
      <c r="S1074" s="32">
        <f t="shared" si="124"/>
        <v>0</v>
      </c>
    </row>
    <row r="1075" spans="2:19" x14ac:dyDescent="0.25">
      <c r="B1075" s="1" t="s">
        <v>382</v>
      </c>
      <c r="C1075" s="2" t="s">
        <v>506</v>
      </c>
      <c r="D1075" s="2" t="s">
        <v>521</v>
      </c>
      <c r="E1075" s="2" t="s">
        <v>522</v>
      </c>
      <c r="F1075" s="3">
        <v>44946</v>
      </c>
      <c r="G1075" s="4">
        <f t="shared" si="121"/>
        <v>1</v>
      </c>
      <c r="H1075" s="4">
        <f t="shared" si="122"/>
        <v>2023</v>
      </c>
      <c r="I1075" s="2" t="s">
        <v>4</v>
      </c>
      <c r="J1075" s="2" t="s">
        <v>1737</v>
      </c>
      <c r="K1075" s="2" t="s">
        <v>1400</v>
      </c>
      <c r="L1075" s="2" t="s">
        <v>1396</v>
      </c>
      <c r="M1075" s="2" t="s">
        <v>1397</v>
      </c>
      <c r="N1075" s="4" t="str">
        <f t="shared" si="123"/>
        <v>GAL</v>
      </c>
      <c r="O1075" s="5">
        <v>750</v>
      </c>
      <c r="S1075" s="32">
        <f t="shared" si="124"/>
        <v>0</v>
      </c>
    </row>
    <row r="1076" spans="2:19" x14ac:dyDescent="0.25">
      <c r="B1076" s="1" t="s">
        <v>382</v>
      </c>
      <c r="C1076" s="2" t="s">
        <v>506</v>
      </c>
      <c r="D1076" s="2" t="s">
        <v>521</v>
      </c>
      <c r="E1076" s="2" t="s">
        <v>522</v>
      </c>
      <c r="F1076" s="3">
        <v>44946</v>
      </c>
      <c r="G1076" s="4">
        <f t="shared" si="121"/>
        <v>1</v>
      </c>
      <c r="H1076" s="4">
        <f t="shared" si="122"/>
        <v>2023</v>
      </c>
      <c r="I1076" s="2" t="s">
        <v>4</v>
      </c>
      <c r="J1076" s="2" t="s">
        <v>1737</v>
      </c>
      <c r="K1076" s="2" t="s">
        <v>1395</v>
      </c>
      <c r="L1076" s="2" t="s">
        <v>1396</v>
      </c>
      <c r="M1076" s="2" t="s">
        <v>1397</v>
      </c>
      <c r="N1076" s="4" t="str">
        <f t="shared" si="123"/>
        <v>GAL</v>
      </c>
      <c r="O1076" s="5">
        <v>180</v>
      </c>
      <c r="S1076" s="32">
        <f t="shared" si="124"/>
        <v>0</v>
      </c>
    </row>
    <row r="1077" spans="2:19" x14ac:dyDescent="0.25">
      <c r="B1077" s="1" t="s">
        <v>382</v>
      </c>
      <c r="C1077" s="2" t="s">
        <v>506</v>
      </c>
      <c r="D1077" s="2" t="s">
        <v>507</v>
      </c>
      <c r="E1077" s="2" t="s">
        <v>508</v>
      </c>
      <c r="F1077" s="3">
        <v>44946</v>
      </c>
      <c r="G1077" s="4">
        <f t="shared" si="121"/>
        <v>1</v>
      </c>
      <c r="H1077" s="4">
        <f t="shared" si="122"/>
        <v>2023</v>
      </c>
      <c r="I1077" s="2" t="s">
        <v>4</v>
      </c>
      <c r="J1077" s="2" t="s">
        <v>1738</v>
      </c>
      <c r="K1077" s="2" t="s">
        <v>1489</v>
      </c>
      <c r="L1077" s="2" t="s">
        <v>1490</v>
      </c>
      <c r="M1077" s="2" t="s">
        <v>1491</v>
      </c>
      <c r="N1077" s="4" t="str">
        <f t="shared" si="123"/>
        <v>GAL</v>
      </c>
      <c r="O1077" s="5">
        <v>25</v>
      </c>
      <c r="S1077" s="32">
        <f t="shared" si="124"/>
        <v>0</v>
      </c>
    </row>
    <row r="1078" spans="2:19" x14ac:dyDescent="0.25">
      <c r="B1078" s="1" t="s">
        <v>382</v>
      </c>
      <c r="C1078" s="2" t="s">
        <v>506</v>
      </c>
      <c r="D1078" s="2" t="s">
        <v>507</v>
      </c>
      <c r="E1078" s="2" t="s">
        <v>508</v>
      </c>
      <c r="F1078" s="3">
        <v>44946</v>
      </c>
      <c r="G1078" s="4">
        <f t="shared" si="121"/>
        <v>1</v>
      </c>
      <c r="H1078" s="4">
        <f t="shared" si="122"/>
        <v>2023</v>
      </c>
      <c r="I1078" s="2" t="s">
        <v>4</v>
      </c>
      <c r="J1078" s="2" t="s">
        <v>1738</v>
      </c>
      <c r="K1078" s="2" t="s">
        <v>1734</v>
      </c>
      <c r="L1078" s="2" t="s">
        <v>1735</v>
      </c>
      <c r="M1078" s="2" t="s">
        <v>1736</v>
      </c>
      <c r="N1078" s="4" t="str">
        <f t="shared" si="123"/>
        <v>GAL</v>
      </c>
      <c r="O1078" s="5">
        <v>30</v>
      </c>
      <c r="S1078" s="32">
        <f t="shared" si="124"/>
        <v>0</v>
      </c>
    </row>
    <row r="1079" spans="2:19" x14ac:dyDescent="0.25">
      <c r="B1079" s="1" t="s">
        <v>382</v>
      </c>
      <c r="C1079" s="2" t="s">
        <v>506</v>
      </c>
      <c r="D1079" s="2" t="s">
        <v>507</v>
      </c>
      <c r="E1079" s="2" t="s">
        <v>508</v>
      </c>
      <c r="F1079" s="3">
        <v>44946</v>
      </c>
      <c r="G1079" s="4">
        <f t="shared" si="121"/>
        <v>1</v>
      </c>
      <c r="H1079" s="4">
        <f t="shared" si="122"/>
        <v>2023</v>
      </c>
      <c r="I1079" s="2" t="s">
        <v>4</v>
      </c>
      <c r="J1079" s="2" t="s">
        <v>1738</v>
      </c>
      <c r="K1079" s="2" t="s">
        <v>158</v>
      </c>
      <c r="L1079" s="2" t="s">
        <v>159</v>
      </c>
      <c r="M1079" s="2" t="s">
        <v>160</v>
      </c>
      <c r="N1079" s="4" t="str">
        <f t="shared" si="123"/>
        <v>GAL</v>
      </c>
      <c r="O1079" s="5">
        <v>540</v>
      </c>
      <c r="S1079" s="32">
        <f t="shared" si="124"/>
        <v>0</v>
      </c>
    </row>
    <row r="1080" spans="2:19" x14ac:dyDescent="0.25">
      <c r="B1080" s="1" t="s">
        <v>382</v>
      </c>
      <c r="C1080" s="2" t="s">
        <v>506</v>
      </c>
      <c r="D1080" s="2" t="s">
        <v>515</v>
      </c>
      <c r="E1080" s="2" t="s">
        <v>516</v>
      </c>
      <c r="F1080" s="3">
        <v>44935</v>
      </c>
      <c r="G1080" s="4">
        <f t="shared" si="121"/>
        <v>1</v>
      </c>
      <c r="H1080" s="4">
        <f t="shared" si="122"/>
        <v>2023</v>
      </c>
      <c r="I1080" s="2" t="s">
        <v>4</v>
      </c>
      <c r="J1080" s="2" t="s">
        <v>1739</v>
      </c>
      <c r="K1080" s="2" t="s">
        <v>642</v>
      </c>
      <c r="L1080" s="2" t="s">
        <v>111</v>
      </c>
      <c r="M1080" s="2" t="s">
        <v>112</v>
      </c>
      <c r="N1080" s="4" t="str">
        <f t="shared" si="123"/>
        <v>GAL</v>
      </c>
      <c r="O1080" s="5">
        <v>60</v>
      </c>
      <c r="S1080" s="32">
        <f t="shared" si="124"/>
        <v>0</v>
      </c>
    </row>
    <row r="1081" spans="2:19" x14ac:dyDescent="0.25">
      <c r="B1081" s="1" t="s">
        <v>382</v>
      </c>
      <c r="C1081" s="2" t="s">
        <v>506</v>
      </c>
      <c r="D1081" s="2" t="s">
        <v>515</v>
      </c>
      <c r="E1081" s="2" t="s">
        <v>516</v>
      </c>
      <c r="F1081" s="3">
        <v>44935</v>
      </c>
      <c r="G1081" s="4">
        <f t="shared" si="121"/>
        <v>1</v>
      </c>
      <c r="H1081" s="4">
        <f t="shared" si="122"/>
        <v>2023</v>
      </c>
      <c r="I1081" s="2" t="s">
        <v>4</v>
      </c>
      <c r="J1081" s="2" t="s">
        <v>1739</v>
      </c>
      <c r="K1081" s="2" t="s">
        <v>1014</v>
      </c>
      <c r="L1081" s="2" t="s">
        <v>472</v>
      </c>
      <c r="M1081" s="2" t="s">
        <v>473</v>
      </c>
      <c r="N1081" s="4" t="str">
        <f t="shared" si="123"/>
        <v>GAL</v>
      </c>
      <c r="O1081" s="5">
        <v>30</v>
      </c>
      <c r="S1081" s="32">
        <f t="shared" si="124"/>
        <v>0</v>
      </c>
    </row>
    <row r="1082" spans="2:19" x14ac:dyDescent="0.25">
      <c r="B1082" s="1" t="s">
        <v>495</v>
      </c>
      <c r="C1082" s="2" t="s">
        <v>1025</v>
      </c>
      <c r="D1082" s="2" t="s">
        <v>1740</v>
      </c>
      <c r="E1082" s="2" t="s">
        <v>102</v>
      </c>
      <c r="F1082" s="3">
        <v>44929</v>
      </c>
      <c r="G1082" s="4">
        <f t="shared" si="121"/>
        <v>1</v>
      </c>
      <c r="H1082" s="4">
        <f t="shared" si="122"/>
        <v>2023</v>
      </c>
      <c r="I1082" s="2" t="s">
        <v>4</v>
      </c>
      <c r="J1082" s="2" t="s">
        <v>1741</v>
      </c>
      <c r="K1082" s="2" t="s">
        <v>19</v>
      </c>
      <c r="L1082" s="2" t="s">
        <v>565</v>
      </c>
      <c r="M1082" s="2" t="s">
        <v>21</v>
      </c>
      <c r="N1082" s="4" t="str">
        <f t="shared" si="123"/>
        <v>GAL</v>
      </c>
      <c r="O1082" s="5">
        <v>30</v>
      </c>
      <c r="S1082" s="32">
        <f t="shared" si="124"/>
        <v>0</v>
      </c>
    </row>
    <row r="1083" spans="2:19" x14ac:dyDescent="0.25">
      <c r="B1083" s="1" t="s">
        <v>495</v>
      </c>
      <c r="C1083" s="2" t="s">
        <v>1025</v>
      </c>
      <c r="D1083" s="2" t="s">
        <v>1740</v>
      </c>
      <c r="E1083" s="2" t="s">
        <v>102</v>
      </c>
      <c r="F1083" s="3">
        <v>44929</v>
      </c>
      <c r="G1083" s="4">
        <f t="shared" si="121"/>
        <v>1</v>
      </c>
      <c r="H1083" s="4">
        <f t="shared" si="122"/>
        <v>2023</v>
      </c>
      <c r="I1083" s="2" t="s">
        <v>4</v>
      </c>
      <c r="J1083" s="2" t="s">
        <v>1741</v>
      </c>
      <c r="K1083" s="2" t="s">
        <v>25</v>
      </c>
      <c r="L1083" s="2" t="s">
        <v>541</v>
      </c>
      <c r="M1083" s="2" t="s">
        <v>27</v>
      </c>
      <c r="N1083" s="4" t="str">
        <f t="shared" si="123"/>
        <v>GAL</v>
      </c>
      <c r="O1083" s="5">
        <v>30</v>
      </c>
      <c r="S1083" s="32">
        <f t="shared" si="124"/>
        <v>0</v>
      </c>
    </row>
    <row r="1084" spans="2:19" x14ac:dyDescent="0.25">
      <c r="B1084" s="1" t="s">
        <v>495</v>
      </c>
      <c r="C1084" s="2" t="s">
        <v>1025</v>
      </c>
      <c r="D1084" s="2" t="s">
        <v>1740</v>
      </c>
      <c r="E1084" s="2" t="s">
        <v>102</v>
      </c>
      <c r="F1084" s="3">
        <v>44929</v>
      </c>
      <c r="G1084" s="4">
        <f t="shared" si="121"/>
        <v>1</v>
      </c>
      <c r="H1084" s="4">
        <f t="shared" si="122"/>
        <v>2023</v>
      </c>
      <c r="I1084" s="2" t="s">
        <v>4</v>
      </c>
      <c r="J1084" s="2" t="s">
        <v>1741</v>
      </c>
      <c r="K1084" s="2" t="s">
        <v>158</v>
      </c>
      <c r="L1084" s="2" t="s">
        <v>159</v>
      </c>
      <c r="M1084" s="2" t="s">
        <v>160</v>
      </c>
      <c r="N1084" s="4" t="str">
        <f t="shared" si="123"/>
        <v>GAL</v>
      </c>
      <c r="O1084" s="5">
        <v>30</v>
      </c>
      <c r="S1084" s="32">
        <f t="shared" si="124"/>
        <v>0</v>
      </c>
    </row>
    <row r="1085" spans="2:19" x14ac:dyDescent="0.25">
      <c r="B1085" s="1" t="s">
        <v>1742</v>
      </c>
      <c r="C1085" s="2" t="s">
        <v>1025</v>
      </c>
      <c r="D1085" s="2" t="s">
        <v>496</v>
      </c>
      <c r="E1085" s="2" t="s">
        <v>497</v>
      </c>
      <c r="F1085" s="3">
        <v>44932</v>
      </c>
      <c r="G1085" s="4">
        <f t="shared" si="121"/>
        <v>1</v>
      </c>
      <c r="H1085" s="4">
        <f t="shared" si="122"/>
        <v>2023</v>
      </c>
      <c r="I1085" s="2" t="s">
        <v>4</v>
      </c>
      <c r="J1085" s="2" t="s">
        <v>1743</v>
      </c>
      <c r="K1085" s="2" t="s">
        <v>1744</v>
      </c>
      <c r="L1085" s="2" t="s">
        <v>1745</v>
      </c>
      <c r="M1085" s="2" t="s">
        <v>119</v>
      </c>
      <c r="N1085" s="4" t="str">
        <f t="shared" si="123"/>
        <v>TON</v>
      </c>
      <c r="O1085" s="5">
        <v>1.25</v>
      </c>
      <c r="S1085" s="32">
        <f t="shared" si="124"/>
        <v>0</v>
      </c>
    </row>
    <row r="1086" spans="2:19" x14ac:dyDescent="0.25">
      <c r="B1086" s="1" t="s">
        <v>1742</v>
      </c>
      <c r="C1086" s="2" t="s">
        <v>1025</v>
      </c>
      <c r="D1086" s="2" t="s">
        <v>1746</v>
      </c>
      <c r="E1086" s="2" t="s">
        <v>102</v>
      </c>
      <c r="F1086" s="3">
        <v>44938</v>
      </c>
      <c r="G1086" s="4">
        <f t="shared" si="121"/>
        <v>1</v>
      </c>
      <c r="H1086" s="4">
        <f t="shared" si="122"/>
        <v>2023</v>
      </c>
      <c r="I1086" s="2" t="s">
        <v>4</v>
      </c>
      <c r="J1086" s="2" t="s">
        <v>1747</v>
      </c>
      <c r="K1086" s="2" t="s">
        <v>1748</v>
      </c>
      <c r="L1086" s="2" t="s">
        <v>987</v>
      </c>
      <c r="M1086" s="2" t="s">
        <v>988</v>
      </c>
      <c r="N1086" s="4" t="str">
        <f t="shared" si="123"/>
        <v>GAL</v>
      </c>
      <c r="O1086" s="5">
        <v>250</v>
      </c>
      <c r="S1086" s="32">
        <f t="shared" si="124"/>
        <v>0</v>
      </c>
    </row>
    <row r="1087" spans="2:19" x14ac:dyDescent="0.25">
      <c r="B1087" s="1" t="s">
        <v>1410</v>
      </c>
      <c r="C1087" s="2" t="s">
        <v>525</v>
      </c>
      <c r="D1087" s="2" t="s">
        <v>646</v>
      </c>
      <c r="E1087" s="2" t="s">
        <v>647</v>
      </c>
      <c r="F1087" s="3">
        <v>44939</v>
      </c>
      <c r="G1087" s="4">
        <f t="shared" si="121"/>
        <v>1</v>
      </c>
      <c r="H1087" s="4">
        <f t="shared" si="122"/>
        <v>2023</v>
      </c>
      <c r="I1087" s="2" t="s">
        <v>4</v>
      </c>
      <c r="J1087" s="2" t="s">
        <v>1749</v>
      </c>
      <c r="K1087" s="2" t="s">
        <v>649</v>
      </c>
      <c r="L1087" s="2" t="s">
        <v>538</v>
      </c>
      <c r="M1087" s="2" t="s">
        <v>539</v>
      </c>
      <c r="N1087" s="4" t="str">
        <f t="shared" si="123"/>
        <v>GAL</v>
      </c>
      <c r="O1087" s="5">
        <v>750</v>
      </c>
      <c r="S1087" s="32">
        <f t="shared" si="124"/>
        <v>0</v>
      </c>
    </row>
    <row r="1088" spans="2:19" x14ac:dyDescent="0.25">
      <c r="B1088" s="1" t="s">
        <v>1410</v>
      </c>
      <c r="C1088" s="2" t="s">
        <v>525</v>
      </c>
      <c r="D1088" s="2" t="s">
        <v>124</v>
      </c>
      <c r="E1088" s="2" t="s">
        <v>526</v>
      </c>
      <c r="F1088" s="3">
        <v>44944</v>
      </c>
      <c r="G1088" s="4">
        <f t="shared" si="121"/>
        <v>1</v>
      </c>
      <c r="H1088" s="4">
        <f t="shared" si="122"/>
        <v>2023</v>
      </c>
      <c r="I1088" s="2" t="s">
        <v>4</v>
      </c>
      <c r="J1088" s="2" t="s">
        <v>1750</v>
      </c>
      <c r="K1088" s="2" t="s">
        <v>531</v>
      </c>
      <c r="L1088" s="2" t="s">
        <v>1493</v>
      </c>
      <c r="M1088" s="2" t="s">
        <v>202</v>
      </c>
      <c r="N1088" s="4" t="str">
        <f t="shared" si="123"/>
        <v>GAL</v>
      </c>
      <c r="O1088" s="5">
        <v>30</v>
      </c>
      <c r="S1088" s="32">
        <f t="shared" si="124"/>
        <v>0</v>
      </c>
    </row>
    <row r="1089" spans="2:19" x14ac:dyDescent="0.25">
      <c r="B1089" s="6" t="s">
        <v>1410</v>
      </c>
      <c r="C1089" s="7" t="s">
        <v>525</v>
      </c>
      <c r="D1089" s="8" t="s">
        <v>124</v>
      </c>
      <c r="E1089" s="8" t="s">
        <v>526</v>
      </c>
      <c r="F1089" s="12">
        <v>44946</v>
      </c>
      <c r="G1089" s="10">
        <f t="shared" si="121"/>
        <v>1</v>
      </c>
      <c r="H1089" s="10">
        <f t="shared" si="122"/>
        <v>2023</v>
      </c>
      <c r="I1089" s="8" t="s">
        <v>4</v>
      </c>
      <c r="J1089" s="8" t="s">
        <v>1751</v>
      </c>
      <c r="K1089" s="8" t="s">
        <v>1034</v>
      </c>
      <c r="L1089" s="8" t="s">
        <v>1035</v>
      </c>
      <c r="M1089" s="8" t="s">
        <v>119</v>
      </c>
      <c r="N1089" s="10" t="str">
        <f t="shared" si="123"/>
        <v>TON</v>
      </c>
      <c r="O1089" s="11">
        <v>12.48</v>
      </c>
      <c r="S1089" s="32">
        <f t="shared" si="124"/>
        <v>0</v>
      </c>
    </row>
    <row r="1090" spans="2:19" x14ac:dyDescent="0.25">
      <c r="B1090" s="1" t="s">
        <v>1410</v>
      </c>
      <c r="C1090" s="2" t="s">
        <v>525</v>
      </c>
      <c r="D1090" s="2" t="s">
        <v>507</v>
      </c>
      <c r="E1090" s="2" t="s">
        <v>508</v>
      </c>
      <c r="F1090" s="3">
        <v>44951</v>
      </c>
      <c r="G1090" s="4">
        <f t="shared" si="121"/>
        <v>1</v>
      </c>
      <c r="H1090" s="4">
        <f t="shared" si="122"/>
        <v>2023</v>
      </c>
      <c r="I1090" s="2" t="s">
        <v>4</v>
      </c>
      <c r="J1090" s="2" t="s">
        <v>1752</v>
      </c>
      <c r="K1090" s="2" t="s">
        <v>1489</v>
      </c>
      <c r="L1090" s="2" t="s">
        <v>1490</v>
      </c>
      <c r="M1090" s="2" t="s">
        <v>1491</v>
      </c>
      <c r="N1090" s="4" t="str">
        <f t="shared" si="123"/>
        <v>GAL</v>
      </c>
      <c r="O1090" s="5">
        <v>92.5</v>
      </c>
      <c r="S1090" s="32">
        <f t="shared" si="124"/>
        <v>0</v>
      </c>
    </row>
    <row r="1091" spans="2:19" x14ac:dyDescent="0.25">
      <c r="B1091" s="1" t="s">
        <v>1410</v>
      </c>
      <c r="C1091" s="2" t="s">
        <v>525</v>
      </c>
      <c r="D1091" s="2" t="s">
        <v>507</v>
      </c>
      <c r="E1091" s="2" t="s">
        <v>508</v>
      </c>
      <c r="F1091" s="3">
        <v>44951</v>
      </c>
      <c r="G1091" s="4">
        <f t="shared" ref="G1091:G1154" si="125">+MONTH(F1091)</f>
        <v>1</v>
      </c>
      <c r="H1091" s="4">
        <f t="shared" ref="H1091:H1154" si="126">+YEAR(F1091)</f>
        <v>2023</v>
      </c>
      <c r="I1091" s="2" t="s">
        <v>4</v>
      </c>
      <c r="J1091" s="2" t="s">
        <v>1753</v>
      </c>
      <c r="K1091" s="2" t="s">
        <v>560</v>
      </c>
      <c r="L1091" s="2" t="s">
        <v>602</v>
      </c>
      <c r="M1091" s="2" t="s">
        <v>41</v>
      </c>
      <c r="N1091" s="4" t="str">
        <f t="shared" ref="N1091:N1154" si="127">+LEFT(M1091,3)</f>
        <v>GAL</v>
      </c>
      <c r="O1091" s="5">
        <v>500</v>
      </c>
      <c r="S1091" s="32">
        <f t="shared" si="124"/>
        <v>0</v>
      </c>
    </row>
    <row r="1092" spans="2:19" x14ac:dyDescent="0.25">
      <c r="B1092" s="1" t="s">
        <v>1410</v>
      </c>
      <c r="C1092" s="2" t="s">
        <v>525</v>
      </c>
      <c r="D1092" s="2" t="s">
        <v>124</v>
      </c>
      <c r="E1092" s="2" t="s">
        <v>526</v>
      </c>
      <c r="F1092" s="3">
        <v>44957</v>
      </c>
      <c r="G1092" s="4">
        <f t="shared" si="125"/>
        <v>1</v>
      </c>
      <c r="H1092" s="4">
        <f t="shared" si="126"/>
        <v>2023</v>
      </c>
      <c r="I1092" s="2" t="s">
        <v>4</v>
      </c>
      <c r="J1092" s="2" t="s">
        <v>1754</v>
      </c>
      <c r="K1092" s="2" t="s">
        <v>528</v>
      </c>
      <c r="L1092" s="2" t="s">
        <v>529</v>
      </c>
      <c r="M1092" s="2" t="s">
        <v>119</v>
      </c>
      <c r="N1092" s="4" t="str">
        <f t="shared" si="127"/>
        <v>TON</v>
      </c>
      <c r="O1092" s="5">
        <v>1.25</v>
      </c>
      <c r="S1092" s="32">
        <f t="shared" ref="S1092:S1155" si="128">SUMIF($R$3:$R$885, $R1092, $O$3:$O$885)</f>
        <v>0</v>
      </c>
    </row>
    <row r="1093" spans="2:19" x14ac:dyDescent="0.25">
      <c r="B1093" s="6" t="s">
        <v>1410</v>
      </c>
      <c r="C1093" s="7" t="s">
        <v>525</v>
      </c>
      <c r="D1093" s="8" t="s">
        <v>124</v>
      </c>
      <c r="E1093" s="8" t="s">
        <v>526</v>
      </c>
      <c r="F1093" s="12">
        <v>44957</v>
      </c>
      <c r="G1093" s="10">
        <f t="shared" si="125"/>
        <v>1</v>
      </c>
      <c r="H1093" s="10">
        <f t="shared" si="126"/>
        <v>2023</v>
      </c>
      <c r="I1093" s="8" t="s">
        <v>4</v>
      </c>
      <c r="J1093" s="7" t="s">
        <v>1755</v>
      </c>
      <c r="K1093" s="8" t="s">
        <v>1756</v>
      </c>
      <c r="L1093" s="8" t="s">
        <v>1757</v>
      </c>
      <c r="M1093" s="8" t="s">
        <v>119</v>
      </c>
      <c r="N1093" s="10" t="str">
        <f t="shared" si="127"/>
        <v>TON</v>
      </c>
      <c r="O1093" s="11">
        <v>1.25</v>
      </c>
      <c r="S1093" s="32">
        <f t="shared" si="128"/>
        <v>0</v>
      </c>
    </row>
    <row r="1094" spans="2:19" x14ac:dyDescent="0.25">
      <c r="B1094" s="1" t="s">
        <v>1410</v>
      </c>
      <c r="C1094" s="2" t="s">
        <v>525</v>
      </c>
      <c r="D1094" s="2" t="s">
        <v>628</v>
      </c>
      <c r="E1094" s="2" t="s">
        <v>1115</v>
      </c>
      <c r="F1094" s="3">
        <v>44957</v>
      </c>
      <c r="G1094" s="4">
        <f t="shared" si="125"/>
        <v>1</v>
      </c>
      <c r="H1094" s="4">
        <f t="shared" si="126"/>
        <v>2023</v>
      </c>
      <c r="I1094" s="2" t="s">
        <v>4</v>
      </c>
      <c r="J1094" s="2" t="s">
        <v>1758</v>
      </c>
      <c r="K1094" s="2" t="s">
        <v>422</v>
      </c>
      <c r="L1094" s="2" t="s">
        <v>423</v>
      </c>
      <c r="M1094" s="2" t="s">
        <v>119</v>
      </c>
      <c r="N1094" s="4" t="str">
        <f t="shared" si="127"/>
        <v>TON</v>
      </c>
      <c r="O1094" s="5">
        <v>3.7450000000000001</v>
      </c>
      <c r="S1094" s="32">
        <f t="shared" si="128"/>
        <v>0</v>
      </c>
    </row>
    <row r="1095" spans="2:19" x14ac:dyDescent="0.25">
      <c r="B1095" s="1" t="s">
        <v>524</v>
      </c>
      <c r="C1095" s="2" t="s">
        <v>525</v>
      </c>
      <c r="D1095" s="2" t="s">
        <v>628</v>
      </c>
      <c r="E1095" s="2" t="s">
        <v>1036</v>
      </c>
      <c r="F1095" s="3">
        <v>44932</v>
      </c>
      <c r="G1095" s="4">
        <f t="shared" si="125"/>
        <v>1</v>
      </c>
      <c r="H1095" s="4">
        <f t="shared" si="126"/>
        <v>2023</v>
      </c>
      <c r="I1095" s="2" t="s">
        <v>4</v>
      </c>
      <c r="J1095" s="2" t="s">
        <v>1759</v>
      </c>
      <c r="K1095" s="2" t="s">
        <v>25</v>
      </c>
      <c r="L1095" s="2" t="s">
        <v>541</v>
      </c>
      <c r="M1095" s="2" t="s">
        <v>27</v>
      </c>
      <c r="N1095" s="4" t="str">
        <f t="shared" si="127"/>
        <v>GAL</v>
      </c>
      <c r="O1095" s="5">
        <v>180</v>
      </c>
      <c r="S1095" s="32">
        <f t="shared" si="128"/>
        <v>0</v>
      </c>
    </row>
    <row r="1096" spans="2:19" x14ac:dyDescent="0.25">
      <c r="B1096" s="1" t="s">
        <v>782</v>
      </c>
      <c r="C1096" s="2" t="s">
        <v>525</v>
      </c>
      <c r="D1096" s="2" t="s">
        <v>628</v>
      </c>
      <c r="E1096" s="2" t="s">
        <v>1036</v>
      </c>
      <c r="F1096" s="3">
        <v>44936</v>
      </c>
      <c r="G1096" s="4">
        <f t="shared" si="125"/>
        <v>1</v>
      </c>
      <c r="H1096" s="4">
        <f t="shared" si="126"/>
        <v>2023</v>
      </c>
      <c r="I1096" s="2" t="s">
        <v>4</v>
      </c>
      <c r="J1096" s="2" t="s">
        <v>1760</v>
      </c>
      <c r="K1096" s="2" t="s">
        <v>609</v>
      </c>
      <c r="L1096" s="2" t="s">
        <v>610</v>
      </c>
      <c r="M1096" s="2" t="s">
        <v>611</v>
      </c>
      <c r="N1096" s="4" t="str">
        <f t="shared" si="127"/>
        <v>GAL</v>
      </c>
      <c r="O1096" s="5">
        <v>180</v>
      </c>
      <c r="S1096" s="32">
        <f t="shared" si="128"/>
        <v>0</v>
      </c>
    </row>
    <row r="1097" spans="2:19" x14ac:dyDescent="0.25">
      <c r="B1097" s="1" t="s">
        <v>1410</v>
      </c>
      <c r="C1097" s="2" t="s">
        <v>525</v>
      </c>
      <c r="D1097" s="2" t="s">
        <v>628</v>
      </c>
      <c r="E1097" s="2" t="s">
        <v>1036</v>
      </c>
      <c r="F1097" s="3">
        <v>44936</v>
      </c>
      <c r="G1097" s="4">
        <f t="shared" si="125"/>
        <v>1</v>
      </c>
      <c r="H1097" s="4">
        <f t="shared" si="126"/>
        <v>2023</v>
      </c>
      <c r="I1097" s="2" t="s">
        <v>4</v>
      </c>
      <c r="J1097" s="2" t="s">
        <v>1761</v>
      </c>
      <c r="K1097" s="2" t="s">
        <v>158</v>
      </c>
      <c r="L1097" s="2" t="s">
        <v>159</v>
      </c>
      <c r="M1097" s="2" t="s">
        <v>160</v>
      </c>
      <c r="N1097" s="4" t="str">
        <f t="shared" si="127"/>
        <v>GAL</v>
      </c>
      <c r="O1097" s="5">
        <v>180</v>
      </c>
      <c r="S1097" s="32">
        <f t="shared" si="128"/>
        <v>0</v>
      </c>
    </row>
    <row r="1098" spans="2:19" x14ac:dyDescent="0.25">
      <c r="B1098" s="1" t="s">
        <v>1410</v>
      </c>
      <c r="C1098" s="2" t="s">
        <v>525</v>
      </c>
      <c r="D1098" s="2" t="s">
        <v>628</v>
      </c>
      <c r="E1098" s="2" t="s">
        <v>1036</v>
      </c>
      <c r="F1098" s="3">
        <v>44936</v>
      </c>
      <c r="G1098" s="4">
        <f t="shared" si="125"/>
        <v>1</v>
      </c>
      <c r="H1098" s="4">
        <f t="shared" si="126"/>
        <v>2023</v>
      </c>
      <c r="I1098" s="2" t="s">
        <v>4</v>
      </c>
      <c r="J1098" s="2" t="s">
        <v>1761</v>
      </c>
      <c r="K1098" s="2" t="s">
        <v>531</v>
      </c>
      <c r="L1098" s="2" t="s">
        <v>201</v>
      </c>
      <c r="M1098" s="2" t="s">
        <v>202</v>
      </c>
      <c r="N1098" s="4" t="str">
        <f t="shared" si="127"/>
        <v>GAL</v>
      </c>
      <c r="O1098" s="5">
        <v>300</v>
      </c>
      <c r="S1098" s="32">
        <f t="shared" si="128"/>
        <v>0</v>
      </c>
    </row>
    <row r="1099" spans="2:19" x14ac:dyDescent="0.25">
      <c r="B1099" s="1" t="s">
        <v>1410</v>
      </c>
      <c r="C1099" s="2" t="s">
        <v>525</v>
      </c>
      <c r="D1099" s="2" t="s">
        <v>628</v>
      </c>
      <c r="E1099" s="2" t="s">
        <v>1036</v>
      </c>
      <c r="F1099" s="3">
        <v>44936</v>
      </c>
      <c r="G1099" s="4">
        <f t="shared" si="125"/>
        <v>1</v>
      </c>
      <c r="H1099" s="4">
        <f t="shared" si="126"/>
        <v>2023</v>
      </c>
      <c r="I1099" s="2" t="s">
        <v>4</v>
      </c>
      <c r="J1099" s="2" t="s">
        <v>1762</v>
      </c>
      <c r="K1099" s="2" t="s">
        <v>1489</v>
      </c>
      <c r="L1099" s="2" t="s">
        <v>1490</v>
      </c>
      <c r="M1099" s="2" t="s">
        <v>1491</v>
      </c>
      <c r="N1099" s="4" t="str">
        <f t="shared" si="127"/>
        <v>GAL</v>
      </c>
      <c r="O1099" s="5">
        <v>180</v>
      </c>
      <c r="S1099" s="32">
        <f t="shared" si="128"/>
        <v>0</v>
      </c>
    </row>
    <row r="1100" spans="2:19" x14ac:dyDescent="0.25">
      <c r="B1100" s="1" t="s">
        <v>1050</v>
      </c>
      <c r="C1100" s="2" t="s">
        <v>533</v>
      </c>
      <c r="D1100" s="2" t="s">
        <v>557</v>
      </c>
      <c r="E1100" s="2" t="s">
        <v>1763</v>
      </c>
      <c r="F1100" s="3">
        <v>44942</v>
      </c>
      <c r="G1100" s="4">
        <f t="shared" si="125"/>
        <v>1</v>
      </c>
      <c r="H1100" s="4">
        <f t="shared" si="126"/>
        <v>2023</v>
      </c>
      <c r="I1100" s="2" t="s">
        <v>4</v>
      </c>
      <c r="J1100" s="2" t="s">
        <v>1764</v>
      </c>
      <c r="K1100" s="2" t="s">
        <v>1056</v>
      </c>
      <c r="L1100" s="2" t="s">
        <v>1057</v>
      </c>
      <c r="M1100" s="2" t="s">
        <v>1058</v>
      </c>
      <c r="N1100" s="4" t="str">
        <f t="shared" si="127"/>
        <v>GAL</v>
      </c>
      <c r="O1100" s="5">
        <v>3710</v>
      </c>
      <c r="S1100" s="32">
        <f t="shared" si="128"/>
        <v>0</v>
      </c>
    </row>
    <row r="1101" spans="2:19" x14ac:dyDescent="0.25">
      <c r="B1101" s="1" t="s">
        <v>1050</v>
      </c>
      <c r="C1101" s="2" t="s">
        <v>533</v>
      </c>
      <c r="D1101" s="2" t="s">
        <v>557</v>
      </c>
      <c r="E1101" s="2" t="s">
        <v>1765</v>
      </c>
      <c r="F1101" s="3">
        <v>44946</v>
      </c>
      <c r="G1101" s="4">
        <f t="shared" si="125"/>
        <v>1</v>
      </c>
      <c r="H1101" s="4">
        <f t="shared" si="126"/>
        <v>2023</v>
      </c>
      <c r="I1101" s="2" t="s">
        <v>4</v>
      </c>
      <c r="J1101" s="2" t="s">
        <v>1766</v>
      </c>
      <c r="K1101" s="2" t="s">
        <v>1056</v>
      </c>
      <c r="L1101" s="2" t="s">
        <v>1057</v>
      </c>
      <c r="M1101" s="2" t="s">
        <v>1058</v>
      </c>
      <c r="N1101" s="4" t="str">
        <f t="shared" si="127"/>
        <v>GAL</v>
      </c>
      <c r="O1101" s="5">
        <v>3710</v>
      </c>
      <c r="S1101" s="32">
        <f t="shared" si="128"/>
        <v>0</v>
      </c>
    </row>
    <row r="1102" spans="2:19" x14ac:dyDescent="0.25">
      <c r="B1102" s="1" t="s">
        <v>1050</v>
      </c>
      <c r="C1102" s="2" t="s">
        <v>533</v>
      </c>
      <c r="D1102" s="2" t="s">
        <v>557</v>
      </c>
      <c r="E1102" s="2" t="s">
        <v>1767</v>
      </c>
      <c r="F1102" s="3">
        <v>44950</v>
      </c>
      <c r="G1102" s="4">
        <f t="shared" si="125"/>
        <v>1</v>
      </c>
      <c r="H1102" s="4">
        <f t="shared" si="126"/>
        <v>2023</v>
      </c>
      <c r="I1102" s="2" t="s">
        <v>4</v>
      </c>
      <c r="J1102" s="2" t="s">
        <v>1768</v>
      </c>
      <c r="K1102" s="2" t="s">
        <v>1056</v>
      </c>
      <c r="L1102" s="2" t="s">
        <v>1057</v>
      </c>
      <c r="M1102" s="2" t="s">
        <v>1058</v>
      </c>
      <c r="N1102" s="4" t="str">
        <f t="shared" si="127"/>
        <v>GAL</v>
      </c>
      <c r="O1102" s="5">
        <v>3710</v>
      </c>
      <c r="S1102" s="32">
        <f t="shared" si="128"/>
        <v>0</v>
      </c>
    </row>
    <row r="1103" spans="2:19" x14ac:dyDescent="0.25">
      <c r="B1103" s="1" t="s">
        <v>1050</v>
      </c>
      <c r="C1103" s="2" t="s">
        <v>533</v>
      </c>
      <c r="D1103" s="2" t="s">
        <v>557</v>
      </c>
      <c r="E1103" s="2" t="s">
        <v>1767</v>
      </c>
      <c r="F1103" s="3">
        <v>44951</v>
      </c>
      <c r="G1103" s="4">
        <f t="shared" si="125"/>
        <v>1</v>
      </c>
      <c r="H1103" s="4">
        <f t="shared" si="126"/>
        <v>2023</v>
      </c>
      <c r="I1103" s="2" t="s">
        <v>4</v>
      </c>
      <c r="J1103" s="2" t="s">
        <v>1769</v>
      </c>
      <c r="K1103" s="2" t="s">
        <v>1056</v>
      </c>
      <c r="L1103" s="2" t="s">
        <v>1057</v>
      </c>
      <c r="M1103" s="2" t="s">
        <v>1058</v>
      </c>
      <c r="N1103" s="4" t="str">
        <f t="shared" si="127"/>
        <v>GAL</v>
      </c>
      <c r="O1103" s="5">
        <v>3710</v>
      </c>
      <c r="S1103" s="32">
        <f t="shared" si="128"/>
        <v>0</v>
      </c>
    </row>
    <row r="1104" spans="2:19" x14ac:dyDescent="0.25">
      <c r="B1104" s="1" t="s">
        <v>1050</v>
      </c>
      <c r="C1104" s="2" t="s">
        <v>533</v>
      </c>
      <c r="D1104" s="2" t="s">
        <v>557</v>
      </c>
      <c r="E1104" s="2" t="s">
        <v>1767</v>
      </c>
      <c r="F1104" s="3">
        <v>44952</v>
      </c>
      <c r="G1104" s="4">
        <f t="shared" si="125"/>
        <v>1</v>
      </c>
      <c r="H1104" s="4">
        <f t="shared" si="126"/>
        <v>2023</v>
      </c>
      <c r="I1104" s="2" t="s">
        <v>4</v>
      </c>
      <c r="J1104" s="2" t="s">
        <v>1770</v>
      </c>
      <c r="K1104" s="2" t="s">
        <v>1056</v>
      </c>
      <c r="L1104" s="2" t="s">
        <v>1057</v>
      </c>
      <c r="M1104" s="2" t="s">
        <v>1058</v>
      </c>
      <c r="N1104" s="4" t="str">
        <f t="shared" si="127"/>
        <v>GAL</v>
      </c>
      <c r="O1104" s="5">
        <v>3710</v>
      </c>
      <c r="S1104" s="32">
        <f t="shared" si="128"/>
        <v>0</v>
      </c>
    </row>
    <row r="1105" spans="2:19" x14ac:dyDescent="0.25">
      <c r="B1105" s="1" t="s">
        <v>1050</v>
      </c>
      <c r="C1105" s="2" t="s">
        <v>533</v>
      </c>
      <c r="D1105" s="2" t="s">
        <v>557</v>
      </c>
      <c r="E1105" s="2" t="s">
        <v>558</v>
      </c>
      <c r="F1105" s="3">
        <v>44956</v>
      </c>
      <c r="G1105" s="4">
        <f t="shared" si="125"/>
        <v>1</v>
      </c>
      <c r="H1105" s="4">
        <f t="shared" si="126"/>
        <v>2023</v>
      </c>
      <c r="I1105" s="2" t="s">
        <v>4</v>
      </c>
      <c r="J1105" s="2" t="s">
        <v>1771</v>
      </c>
      <c r="K1105" s="2" t="s">
        <v>1772</v>
      </c>
      <c r="L1105" s="2" t="s">
        <v>1773</v>
      </c>
      <c r="M1105" s="2" t="s">
        <v>106</v>
      </c>
      <c r="N1105" s="4" t="str">
        <f t="shared" si="127"/>
        <v>LBS</v>
      </c>
      <c r="O1105" s="5">
        <v>2500</v>
      </c>
      <c r="S1105" s="32">
        <f t="shared" si="128"/>
        <v>0</v>
      </c>
    </row>
    <row r="1106" spans="2:19" x14ac:dyDescent="0.25">
      <c r="B1106" s="1" t="s">
        <v>1050</v>
      </c>
      <c r="C1106" s="2" t="s">
        <v>533</v>
      </c>
      <c r="D1106" s="2" t="s">
        <v>557</v>
      </c>
      <c r="E1106" s="2" t="s">
        <v>558</v>
      </c>
      <c r="F1106" s="3">
        <v>44956</v>
      </c>
      <c r="G1106" s="4">
        <f t="shared" si="125"/>
        <v>1</v>
      </c>
      <c r="H1106" s="4">
        <f t="shared" si="126"/>
        <v>2023</v>
      </c>
      <c r="I1106" s="2" t="s">
        <v>4</v>
      </c>
      <c r="J1106" s="2" t="s">
        <v>1771</v>
      </c>
      <c r="K1106" s="2" t="s">
        <v>1774</v>
      </c>
      <c r="L1106" s="2" t="s">
        <v>1773</v>
      </c>
      <c r="M1106" s="2" t="s">
        <v>106</v>
      </c>
      <c r="N1106" s="4" t="str">
        <f t="shared" si="127"/>
        <v>LBS</v>
      </c>
      <c r="O1106" s="5">
        <v>1800</v>
      </c>
      <c r="S1106" s="32">
        <f t="shared" si="128"/>
        <v>0</v>
      </c>
    </row>
    <row r="1107" spans="2:19" x14ac:dyDescent="0.25">
      <c r="B1107" s="1" t="s">
        <v>0</v>
      </c>
      <c r="C1107" s="2" t="s">
        <v>1</v>
      </c>
      <c r="D1107" s="2" t="s">
        <v>2</v>
      </c>
      <c r="E1107" s="2" t="s">
        <v>14</v>
      </c>
      <c r="F1107" s="3">
        <f>DATE(2023,2,3)</f>
        <v>44960</v>
      </c>
      <c r="G1107" s="4">
        <f t="shared" si="125"/>
        <v>2</v>
      </c>
      <c r="H1107" s="4">
        <f t="shared" si="126"/>
        <v>2023</v>
      </c>
      <c r="I1107" s="2" t="s">
        <v>4</v>
      </c>
      <c r="J1107" s="2" t="s">
        <v>1775</v>
      </c>
      <c r="K1107" s="2" t="s">
        <v>47</v>
      </c>
      <c r="L1107" s="2" t="s">
        <v>48</v>
      </c>
      <c r="M1107" s="2" t="s">
        <v>49</v>
      </c>
      <c r="N1107" s="4" t="str">
        <f t="shared" si="127"/>
        <v>GAL</v>
      </c>
      <c r="O1107" s="5">
        <v>35</v>
      </c>
      <c r="S1107" s="32">
        <f t="shared" si="128"/>
        <v>0</v>
      </c>
    </row>
    <row r="1108" spans="2:19" x14ac:dyDescent="0.25">
      <c r="B1108" s="1" t="s">
        <v>0</v>
      </c>
      <c r="C1108" s="2" t="s">
        <v>1</v>
      </c>
      <c r="D1108" s="2" t="s">
        <v>2</v>
      </c>
      <c r="E1108" s="2" t="s">
        <v>1776</v>
      </c>
      <c r="F1108" s="3">
        <f>DATE(2023,2,7)</f>
        <v>44964</v>
      </c>
      <c r="G1108" s="4">
        <f t="shared" si="125"/>
        <v>2</v>
      </c>
      <c r="H1108" s="4">
        <f t="shared" si="126"/>
        <v>2023</v>
      </c>
      <c r="I1108" s="2" t="s">
        <v>4</v>
      </c>
      <c r="J1108" s="2" t="s">
        <v>1777</v>
      </c>
      <c r="K1108" s="2" t="s">
        <v>1778</v>
      </c>
      <c r="L1108" s="2" t="s">
        <v>66</v>
      </c>
      <c r="M1108" s="2" t="s">
        <v>67</v>
      </c>
      <c r="N1108" s="4" t="str">
        <f t="shared" si="127"/>
        <v>GAL</v>
      </c>
      <c r="O1108" s="5">
        <v>55</v>
      </c>
      <c r="S1108" s="32">
        <f t="shared" si="128"/>
        <v>0</v>
      </c>
    </row>
    <row r="1109" spans="2:19" x14ac:dyDescent="0.25">
      <c r="B1109" s="1" t="s">
        <v>0</v>
      </c>
      <c r="C1109" s="2" t="s">
        <v>1</v>
      </c>
      <c r="D1109" s="2" t="s">
        <v>2</v>
      </c>
      <c r="E1109" s="2" t="s">
        <v>1776</v>
      </c>
      <c r="F1109" s="3">
        <f>DATE(2023,2,7)</f>
        <v>44964</v>
      </c>
      <c r="G1109" s="4">
        <f t="shared" si="125"/>
        <v>2</v>
      </c>
      <c r="H1109" s="4">
        <f t="shared" si="126"/>
        <v>2023</v>
      </c>
      <c r="I1109" s="2" t="s">
        <v>4</v>
      </c>
      <c r="J1109" s="2" t="s">
        <v>1777</v>
      </c>
      <c r="K1109" s="2" t="s">
        <v>1779</v>
      </c>
      <c r="L1109" s="2" t="s">
        <v>48</v>
      </c>
      <c r="M1109" s="2" t="s">
        <v>67</v>
      </c>
      <c r="N1109" s="4" t="str">
        <f t="shared" si="127"/>
        <v>GAL</v>
      </c>
      <c r="O1109" s="5">
        <v>55</v>
      </c>
      <c r="S1109" s="32">
        <f t="shared" si="128"/>
        <v>0</v>
      </c>
    </row>
    <row r="1110" spans="2:19" x14ac:dyDescent="0.25">
      <c r="B1110" s="1" t="s">
        <v>0</v>
      </c>
      <c r="C1110" s="2" t="s">
        <v>1</v>
      </c>
      <c r="D1110" s="2" t="s">
        <v>2</v>
      </c>
      <c r="E1110" s="2" t="s">
        <v>1776</v>
      </c>
      <c r="F1110" s="3">
        <f>DATE(2023,2,7)</f>
        <v>44964</v>
      </c>
      <c r="G1110" s="4">
        <f t="shared" si="125"/>
        <v>2</v>
      </c>
      <c r="H1110" s="4">
        <f t="shared" si="126"/>
        <v>2023</v>
      </c>
      <c r="I1110" s="2" t="s">
        <v>4</v>
      </c>
      <c r="J1110" s="2" t="s">
        <v>1777</v>
      </c>
      <c r="K1110" s="2" t="s">
        <v>1780</v>
      </c>
      <c r="L1110" s="2" t="s">
        <v>72</v>
      </c>
      <c r="M1110" s="2" t="s">
        <v>73</v>
      </c>
      <c r="N1110" s="4" t="str">
        <f t="shared" si="127"/>
        <v>GAL</v>
      </c>
      <c r="O1110" s="5">
        <v>55</v>
      </c>
      <c r="S1110" s="32">
        <f t="shared" si="128"/>
        <v>0</v>
      </c>
    </row>
    <row r="1111" spans="2:19" x14ac:dyDescent="0.25">
      <c r="B1111" s="1" t="s">
        <v>0</v>
      </c>
      <c r="C1111" s="2" t="s">
        <v>1</v>
      </c>
      <c r="D1111" s="2" t="s">
        <v>2</v>
      </c>
      <c r="E1111" s="2" t="s">
        <v>42</v>
      </c>
      <c r="F1111" s="3">
        <f t="shared" ref="F1111:F1116" si="129">DATE(2023,2,9)</f>
        <v>44966</v>
      </c>
      <c r="G1111" s="4">
        <f t="shared" si="125"/>
        <v>2</v>
      </c>
      <c r="H1111" s="4">
        <f t="shared" si="126"/>
        <v>2023</v>
      </c>
      <c r="I1111" s="2" t="s">
        <v>4</v>
      </c>
      <c r="J1111" s="2" t="s">
        <v>1781</v>
      </c>
      <c r="K1111" s="2" t="s">
        <v>33</v>
      </c>
      <c r="L1111" s="2" t="s">
        <v>34</v>
      </c>
      <c r="M1111" s="2" t="s">
        <v>35</v>
      </c>
      <c r="N1111" s="4" t="str">
        <f t="shared" si="127"/>
        <v>GAL</v>
      </c>
      <c r="O1111" s="5">
        <v>120</v>
      </c>
      <c r="S1111" s="32">
        <f t="shared" si="128"/>
        <v>0</v>
      </c>
    </row>
    <row r="1112" spans="2:19" x14ac:dyDescent="0.25">
      <c r="B1112" s="1" t="s">
        <v>0</v>
      </c>
      <c r="C1112" s="2" t="s">
        <v>1</v>
      </c>
      <c r="D1112" s="2" t="s">
        <v>2</v>
      </c>
      <c r="E1112" s="2" t="s">
        <v>42</v>
      </c>
      <c r="F1112" s="3">
        <f t="shared" si="129"/>
        <v>44966</v>
      </c>
      <c r="G1112" s="4">
        <f t="shared" si="125"/>
        <v>2</v>
      </c>
      <c r="H1112" s="4">
        <f t="shared" si="126"/>
        <v>2023</v>
      </c>
      <c r="I1112" s="2" t="s">
        <v>4</v>
      </c>
      <c r="J1112" s="2" t="s">
        <v>1781</v>
      </c>
      <c r="K1112" s="2" t="s">
        <v>36</v>
      </c>
      <c r="L1112" s="2" t="s">
        <v>1782</v>
      </c>
      <c r="M1112" s="2" t="s">
        <v>38</v>
      </c>
      <c r="N1112" s="4" t="str">
        <f t="shared" si="127"/>
        <v>GAL</v>
      </c>
      <c r="O1112" s="5">
        <v>60</v>
      </c>
      <c r="S1112" s="32">
        <f t="shared" si="128"/>
        <v>0</v>
      </c>
    </row>
    <row r="1113" spans="2:19" x14ac:dyDescent="0.25">
      <c r="B1113" s="1" t="s">
        <v>0</v>
      </c>
      <c r="C1113" s="2" t="s">
        <v>1</v>
      </c>
      <c r="D1113" s="2" t="s">
        <v>2</v>
      </c>
      <c r="E1113" s="2" t="s">
        <v>42</v>
      </c>
      <c r="F1113" s="3">
        <f t="shared" si="129"/>
        <v>44966</v>
      </c>
      <c r="G1113" s="4">
        <f t="shared" si="125"/>
        <v>2</v>
      </c>
      <c r="H1113" s="4">
        <f t="shared" si="126"/>
        <v>2023</v>
      </c>
      <c r="I1113" s="2" t="s">
        <v>4</v>
      </c>
      <c r="J1113" s="2" t="s">
        <v>1781</v>
      </c>
      <c r="K1113" s="2" t="s">
        <v>44</v>
      </c>
      <c r="L1113" s="2" t="s">
        <v>45</v>
      </c>
      <c r="M1113" s="2" t="s">
        <v>46</v>
      </c>
      <c r="N1113" s="4" t="str">
        <f t="shared" si="127"/>
        <v>GAL</v>
      </c>
      <c r="O1113" s="5">
        <v>60</v>
      </c>
      <c r="S1113" s="32">
        <f t="shared" si="128"/>
        <v>0</v>
      </c>
    </row>
    <row r="1114" spans="2:19" x14ac:dyDescent="0.25">
      <c r="B1114" s="1" t="s">
        <v>0</v>
      </c>
      <c r="C1114" s="2" t="s">
        <v>1</v>
      </c>
      <c r="D1114" s="2" t="s">
        <v>2</v>
      </c>
      <c r="E1114" s="2" t="s">
        <v>42</v>
      </c>
      <c r="F1114" s="3">
        <f t="shared" si="129"/>
        <v>44966</v>
      </c>
      <c r="G1114" s="4">
        <f t="shared" si="125"/>
        <v>2</v>
      </c>
      <c r="H1114" s="4">
        <f t="shared" si="126"/>
        <v>2023</v>
      </c>
      <c r="I1114" s="2" t="s">
        <v>4</v>
      </c>
      <c r="J1114" s="2" t="s">
        <v>1781</v>
      </c>
      <c r="K1114" s="2" t="s">
        <v>47</v>
      </c>
      <c r="L1114" s="2" t="s">
        <v>48</v>
      </c>
      <c r="M1114" s="2" t="s">
        <v>49</v>
      </c>
      <c r="N1114" s="4" t="str">
        <f t="shared" si="127"/>
        <v>GAL</v>
      </c>
      <c r="O1114" s="5">
        <v>60</v>
      </c>
      <c r="S1114" s="32">
        <f t="shared" si="128"/>
        <v>0</v>
      </c>
    </row>
    <row r="1115" spans="2:19" x14ac:dyDescent="0.25">
      <c r="B1115" s="1" t="s">
        <v>0</v>
      </c>
      <c r="C1115" s="2" t="s">
        <v>1</v>
      </c>
      <c r="D1115" s="2" t="s">
        <v>2</v>
      </c>
      <c r="E1115" s="2" t="s">
        <v>42</v>
      </c>
      <c r="F1115" s="3">
        <f t="shared" si="129"/>
        <v>44966</v>
      </c>
      <c r="G1115" s="4">
        <f t="shared" si="125"/>
        <v>2</v>
      </c>
      <c r="H1115" s="4">
        <f t="shared" si="126"/>
        <v>2023</v>
      </c>
      <c r="I1115" s="2" t="s">
        <v>4</v>
      </c>
      <c r="J1115" s="2" t="s">
        <v>1781</v>
      </c>
      <c r="K1115" s="2" t="s">
        <v>80</v>
      </c>
      <c r="L1115" s="2" t="s">
        <v>81</v>
      </c>
      <c r="M1115" s="2" t="s">
        <v>82</v>
      </c>
      <c r="N1115" s="4" t="str">
        <f t="shared" si="127"/>
        <v>GAL</v>
      </c>
      <c r="O1115" s="5">
        <v>120</v>
      </c>
      <c r="S1115" s="32">
        <f t="shared" si="128"/>
        <v>0</v>
      </c>
    </row>
    <row r="1116" spans="2:19" x14ac:dyDescent="0.25">
      <c r="B1116" s="1" t="s">
        <v>0</v>
      </c>
      <c r="C1116" s="2" t="s">
        <v>1</v>
      </c>
      <c r="D1116" s="2" t="s">
        <v>2</v>
      </c>
      <c r="E1116" s="2" t="s">
        <v>42</v>
      </c>
      <c r="F1116" s="3">
        <f t="shared" si="129"/>
        <v>44966</v>
      </c>
      <c r="G1116" s="4">
        <f t="shared" si="125"/>
        <v>2</v>
      </c>
      <c r="H1116" s="4">
        <f t="shared" si="126"/>
        <v>2023</v>
      </c>
      <c r="I1116" s="2" t="s">
        <v>4</v>
      </c>
      <c r="J1116" s="2" t="s">
        <v>1781</v>
      </c>
      <c r="K1116" s="2" t="s">
        <v>28</v>
      </c>
      <c r="L1116" s="2" t="s">
        <v>29</v>
      </c>
      <c r="M1116" s="2" t="s">
        <v>30</v>
      </c>
      <c r="N1116" s="4" t="str">
        <f t="shared" si="127"/>
        <v>GAL</v>
      </c>
      <c r="O1116" s="5">
        <v>60</v>
      </c>
      <c r="S1116" s="32">
        <f t="shared" si="128"/>
        <v>0</v>
      </c>
    </row>
    <row r="1117" spans="2:19" x14ac:dyDescent="0.25">
      <c r="B1117" s="1" t="s">
        <v>0</v>
      </c>
      <c r="C1117" s="2" t="s">
        <v>1</v>
      </c>
      <c r="D1117" s="2" t="s">
        <v>2</v>
      </c>
      <c r="E1117" s="2" t="s">
        <v>3</v>
      </c>
      <c r="F1117" s="3">
        <f>DATE(2023,2,15)</f>
        <v>44972</v>
      </c>
      <c r="G1117" s="4">
        <f t="shared" si="125"/>
        <v>2</v>
      </c>
      <c r="H1117" s="4">
        <f t="shared" si="126"/>
        <v>2023</v>
      </c>
      <c r="I1117" s="2" t="s">
        <v>4</v>
      </c>
      <c r="J1117" s="2" t="s">
        <v>1783</v>
      </c>
      <c r="K1117" s="2" t="s">
        <v>566</v>
      </c>
      <c r="L1117" s="2" t="s">
        <v>20</v>
      </c>
      <c r="M1117" s="2" t="s">
        <v>21</v>
      </c>
      <c r="N1117" s="4" t="str">
        <f t="shared" si="127"/>
        <v>GAL</v>
      </c>
      <c r="O1117" s="5">
        <v>55</v>
      </c>
      <c r="S1117" s="32">
        <f t="shared" si="128"/>
        <v>0</v>
      </c>
    </row>
    <row r="1118" spans="2:19" x14ac:dyDescent="0.25">
      <c r="B1118" s="1" t="s">
        <v>0</v>
      </c>
      <c r="C1118" s="2" t="s">
        <v>1</v>
      </c>
      <c r="D1118" s="2" t="s">
        <v>2</v>
      </c>
      <c r="E1118" s="2" t="s">
        <v>3</v>
      </c>
      <c r="F1118" s="3">
        <f>DATE(2023,2,15)</f>
        <v>44972</v>
      </c>
      <c r="G1118" s="4">
        <f t="shared" si="125"/>
        <v>2</v>
      </c>
      <c r="H1118" s="4">
        <f t="shared" si="126"/>
        <v>2023</v>
      </c>
      <c r="I1118" s="2" t="s">
        <v>4</v>
      </c>
      <c r="J1118" s="2" t="s">
        <v>1783</v>
      </c>
      <c r="K1118" s="2" t="s">
        <v>6</v>
      </c>
      <c r="L1118" s="2" t="s">
        <v>7</v>
      </c>
      <c r="M1118" s="2" t="s">
        <v>8</v>
      </c>
      <c r="N1118" s="4" t="str">
        <f t="shared" si="127"/>
        <v>GAL</v>
      </c>
      <c r="O1118" s="5">
        <v>55</v>
      </c>
      <c r="S1118" s="32">
        <f t="shared" si="128"/>
        <v>0</v>
      </c>
    </row>
    <row r="1119" spans="2:19" x14ac:dyDescent="0.25">
      <c r="B1119" s="1" t="s">
        <v>0</v>
      </c>
      <c r="C1119" s="2" t="s">
        <v>1</v>
      </c>
      <c r="D1119" s="2" t="s">
        <v>2</v>
      </c>
      <c r="E1119" s="2" t="s">
        <v>1784</v>
      </c>
      <c r="F1119" s="3">
        <f t="shared" ref="F1119:F1125" si="130">DATE(2023,2,21)</f>
        <v>44978</v>
      </c>
      <c r="G1119" s="4">
        <f t="shared" si="125"/>
        <v>2</v>
      </c>
      <c r="H1119" s="4">
        <f t="shared" si="126"/>
        <v>2023</v>
      </c>
      <c r="I1119" s="2" t="s">
        <v>4</v>
      </c>
      <c r="J1119" s="2" t="s">
        <v>1785</v>
      </c>
      <c r="K1119" s="2" t="s">
        <v>1786</v>
      </c>
      <c r="L1119" s="2" t="s">
        <v>84</v>
      </c>
      <c r="M1119" s="2" t="s">
        <v>85</v>
      </c>
      <c r="N1119" s="4" t="str">
        <f t="shared" si="127"/>
        <v>GAL</v>
      </c>
      <c r="O1119" s="5">
        <v>55</v>
      </c>
      <c r="S1119" s="32">
        <f t="shared" si="128"/>
        <v>0</v>
      </c>
    </row>
    <row r="1120" spans="2:19" x14ac:dyDescent="0.25">
      <c r="B1120" s="1" t="s">
        <v>0</v>
      </c>
      <c r="C1120" s="2" t="s">
        <v>1</v>
      </c>
      <c r="D1120" s="2" t="s">
        <v>2</v>
      </c>
      <c r="E1120" s="2" t="s">
        <v>1784</v>
      </c>
      <c r="F1120" s="3">
        <f t="shared" si="130"/>
        <v>44978</v>
      </c>
      <c r="G1120" s="4">
        <f t="shared" si="125"/>
        <v>2</v>
      </c>
      <c r="H1120" s="4">
        <f t="shared" si="126"/>
        <v>2023</v>
      </c>
      <c r="I1120" s="2" t="s">
        <v>4</v>
      </c>
      <c r="J1120" s="2" t="s">
        <v>1785</v>
      </c>
      <c r="K1120" s="2" t="s">
        <v>28</v>
      </c>
      <c r="L1120" s="2" t="s">
        <v>29</v>
      </c>
      <c r="M1120" s="2" t="s">
        <v>30</v>
      </c>
      <c r="N1120" s="4" t="str">
        <f t="shared" si="127"/>
        <v>GAL</v>
      </c>
      <c r="O1120" s="5">
        <v>30</v>
      </c>
      <c r="S1120" s="32">
        <f t="shared" si="128"/>
        <v>0</v>
      </c>
    </row>
    <row r="1121" spans="2:19" x14ac:dyDescent="0.25">
      <c r="B1121" s="1" t="s">
        <v>0</v>
      </c>
      <c r="C1121" s="2" t="s">
        <v>1</v>
      </c>
      <c r="D1121" s="2" t="s">
        <v>2</v>
      </c>
      <c r="E1121" s="2" t="s">
        <v>1784</v>
      </c>
      <c r="F1121" s="3">
        <f t="shared" si="130"/>
        <v>44978</v>
      </c>
      <c r="G1121" s="4">
        <f t="shared" si="125"/>
        <v>2</v>
      </c>
      <c r="H1121" s="4">
        <f t="shared" si="126"/>
        <v>2023</v>
      </c>
      <c r="I1121" s="2" t="s">
        <v>4</v>
      </c>
      <c r="J1121" s="2" t="s">
        <v>1785</v>
      </c>
      <c r="K1121" s="2" t="s">
        <v>6</v>
      </c>
      <c r="L1121" s="2" t="s">
        <v>7</v>
      </c>
      <c r="M1121" s="2" t="s">
        <v>8</v>
      </c>
      <c r="N1121" s="4" t="str">
        <f t="shared" si="127"/>
        <v>GAL</v>
      </c>
      <c r="O1121" s="5">
        <v>55</v>
      </c>
      <c r="S1121" s="32">
        <f t="shared" si="128"/>
        <v>0</v>
      </c>
    </row>
    <row r="1122" spans="2:19" x14ac:dyDescent="0.25">
      <c r="B1122" s="1" t="s">
        <v>0</v>
      </c>
      <c r="C1122" s="2" t="s">
        <v>1</v>
      </c>
      <c r="D1122" s="2" t="s">
        <v>2</v>
      </c>
      <c r="E1122" s="2" t="s">
        <v>1787</v>
      </c>
      <c r="F1122" s="3">
        <f t="shared" si="130"/>
        <v>44978</v>
      </c>
      <c r="G1122" s="4">
        <f t="shared" si="125"/>
        <v>2</v>
      </c>
      <c r="H1122" s="4">
        <f t="shared" si="126"/>
        <v>2023</v>
      </c>
      <c r="I1122" s="2" t="s">
        <v>4</v>
      </c>
      <c r="J1122" s="2" t="s">
        <v>1788</v>
      </c>
      <c r="K1122" s="2" t="s">
        <v>566</v>
      </c>
      <c r="L1122" s="2" t="s">
        <v>20</v>
      </c>
      <c r="M1122" s="2" t="s">
        <v>21</v>
      </c>
      <c r="N1122" s="4" t="str">
        <f t="shared" si="127"/>
        <v>GAL</v>
      </c>
      <c r="O1122" s="5">
        <v>55</v>
      </c>
      <c r="S1122" s="32">
        <f t="shared" si="128"/>
        <v>0</v>
      </c>
    </row>
    <row r="1123" spans="2:19" x14ac:dyDescent="0.25">
      <c r="B1123" s="1" t="s">
        <v>0</v>
      </c>
      <c r="C1123" s="2" t="s">
        <v>1</v>
      </c>
      <c r="D1123" s="2" t="s">
        <v>2</v>
      </c>
      <c r="E1123" s="2" t="s">
        <v>1787</v>
      </c>
      <c r="F1123" s="3">
        <f t="shared" si="130"/>
        <v>44978</v>
      </c>
      <c r="G1123" s="4">
        <f t="shared" si="125"/>
        <v>2</v>
      </c>
      <c r="H1123" s="4">
        <f t="shared" si="126"/>
        <v>2023</v>
      </c>
      <c r="I1123" s="2" t="s">
        <v>4</v>
      </c>
      <c r="J1123" s="2" t="s">
        <v>1788</v>
      </c>
      <c r="K1123" s="2" t="s">
        <v>1786</v>
      </c>
      <c r="L1123" s="2" t="s">
        <v>84</v>
      </c>
      <c r="M1123" s="2" t="s">
        <v>85</v>
      </c>
      <c r="N1123" s="4" t="str">
        <f t="shared" si="127"/>
        <v>GAL</v>
      </c>
      <c r="O1123" s="5">
        <v>55</v>
      </c>
      <c r="S1123" s="32">
        <f t="shared" si="128"/>
        <v>0</v>
      </c>
    </row>
    <row r="1124" spans="2:19" x14ac:dyDescent="0.25">
      <c r="B1124" s="1" t="s">
        <v>0</v>
      </c>
      <c r="C1124" s="2" t="s">
        <v>1</v>
      </c>
      <c r="D1124" s="2" t="s">
        <v>2</v>
      </c>
      <c r="E1124" s="2" t="s">
        <v>1787</v>
      </c>
      <c r="F1124" s="3">
        <f t="shared" si="130"/>
        <v>44978</v>
      </c>
      <c r="G1124" s="4">
        <f t="shared" si="125"/>
        <v>2</v>
      </c>
      <c r="H1124" s="4">
        <f t="shared" si="126"/>
        <v>2023</v>
      </c>
      <c r="I1124" s="2" t="s">
        <v>4</v>
      </c>
      <c r="J1124" s="2" t="s">
        <v>1788</v>
      </c>
      <c r="K1124" s="2" t="s">
        <v>28</v>
      </c>
      <c r="L1124" s="2" t="s">
        <v>29</v>
      </c>
      <c r="M1124" s="2" t="s">
        <v>30</v>
      </c>
      <c r="N1124" s="4" t="str">
        <f t="shared" si="127"/>
        <v>GAL</v>
      </c>
      <c r="O1124" s="5">
        <v>55</v>
      </c>
      <c r="S1124" s="32">
        <f t="shared" si="128"/>
        <v>0</v>
      </c>
    </row>
    <row r="1125" spans="2:19" x14ac:dyDescent="0.25">
      <c r="B1125" s="1" t="s">
        <v>0</v>
      </c>
      <c r="C1125" s="2" t="s">
        <v>1</v>
      </c>
      <c r="D1125" s="2" t="s">
        <v>2</v>
      </c>
      <c r="E1125" s="2" t="s">
        <v>1787</v>
      </c>
      <c r="F1125" s="3">
        <f t="shared" si="130"/>
        <v>44978</v>
      </c>
      <c r="G1125" s="4">
        <f t="shared" si="125"/>
        <v>2</v>
      </c>
      <c r="H1125" s="4">
        <f t="shared" si="126"/>
        <v>2023</v>
      </c>
      <c r="I1125" s="2" t="s">
        <v>4</v>
      </c>
      <c r="J1125" s="2" t="s">
        <v>1788</v>
      </c>
      <c r="K1125" s="2" t="s">
        <v>6</v>
      </c>
      <c r="L1125" s="2" t="s">
        <v>7</v>
      </c>
      <c r="M1125" s="2" t="s">
        <v>8</v>
      </c>
      <c r="N1125" s="4" t="str">
        <f t="shared" si="127"/>
        <v>GAL</v>
      </c>
      <c r="O1125" s="5">
        <v>55</v>
      </c>
      <c r="S1125" s="32">
        <f t="shared" si="128"/>
        <v>0</v>
      </c>
    </row>
    <row r="1126" spans="2:19" x14ac:dyDescent="0.25">
      <c r="B1126" s="1" t="s">
        <v>0</v>
      </c>
      <c r="C1126" s="2" t="s">
        <v>1</v>
      </c>
      <c r="D1126" s="2" t="s">
        <v>2</v>
      </c>
      <c r="E1126" s="2" t="s">
        <v>61</v>
      </c>
      <c r="F1126" s="3">
        <f>DATE(2023,2,23)</f>
        <v>44980</v>
      </c>
      <c r="G1126" s="4">
        <f t="shared" si="125"/>
        <v>2</v>
      </c>
      <c r="H1126" s="4">
        <f t="shared" si="126"/>
        <v>2023</v>
      </c>
      <c r="I1126" s="2" t="s">
        <v>4</v>
      </c>
      <c r="J1126" s="2" t="s">
        <v>1789</v>
      </c>
      <c r="K1126" s="2" t="s">
        <v>19</v>
      </c>
      <c r="L1126" s="2" t="s">
        <v>20</v>
      </c>
      <c r="M1126" s="2" t="s">
        <v>21</v>
      </c>
      <c r="N1126" s="4" t="str">
        <f t="shared" si="127"/>
        <v>GAL</v>
      </c>
      <c r="O1126" s="5">
        <v>50</v>
      </c>
      <c r="S1126" s="32">
        <f t="shared" si="128"/>
        <v>0</v>
      </c>
    </row>
    <row r="1127" spans="2:19" x14ac:dyDescent="0.25">
      <c r="B1127" s="1" t="s">
        <v>0</v>
      </c>
      <c r="C1127" s="2" t="s">
        <v>1</v>
      </c>
      <c r="D1127" s="2" t="s">
        <v>2</v>
      </c>
      <c r="E1127" s="2" t="s">
        <v>61</v>
      </c>
      <c r="F1127" s="3">
        <f>DATE(2023,2,23)</f>
        <v>44980</v>
      </c>
      <c r="G1127" s="4">
        <f t="shared" si="125"/>
        <v>2</v>
      </c>
      <c r="H1127" s="4">
        <f t="shared" si="126"/>
        <v>2023</v>
      </c>
      <c r="I1127" s="2" t="s">
        <v>4</v>
      </c>
      <c r="J1127" s="2" t="s">
        <v>1789</v>
      </c>
      <c r="K1127" s="2" t="s">
        <v>25</v>
      </c>
      <c r="L1127" s="2" t="s">
        <v>26</v>
      </c>
      <c r="M1127" s="2" t="s">
        <v>27</v>
      </c>
      <c r="N1127" s="4" t="str">
        <f t="shared" si="127"/>
        <v>GAL</v>
      </c>
      <c r="O1127" s="5">
        <v>100</v>
      </c>
      <c r="S1127" s="32">
        <f t="shared" si="128"/>
        <v>0</v>
      </c>
    </row>
    <row r="1128" spans="2:19" x14ac:dyDescent="0.25">
      <c r="B1128" s="1" t="s">
        <v>0</v>
      </c>
      <c r="C1128" s="2" t="s">
        <v>1</v>
      </c>
      <c r="D1128" s="2" t="s">
        <v>2</v>
      </c>
      <c r="E1128" s="2" t="s">
        <v>61</v>
      </c>
      <c r="F1128" s="3">
        <f>DATE(2023,2,23)</f>
        <v>44980</v>
      </c>
      <c r="G1128" s="4">
        <f t="shared" si="125"/>
        <v>2</v>
      </c>
      <c r="H1128" s="4">
        <f t="shared" si="126"/>
        <v>2023</v>
      </c>
      <c r="I1128" s="2" t="s">
        <v>4</v>
      </c>
      <c r="J1128" s="2" t="s">
        <v>1789</v>
      </c>
      <c r="K1128" s="2" t="s">
        <v>28</v>
      </c>
      <c r="L1128" s="2" t="s">
        <v>29</v>
      </c>
      <c r="M1128" s="2" t="s">
        <v>30</v>
      </c>
      <c r="N1128" s="4" t="str">
        <f t="shared" si="127"/>
        <v>GAL</v>
      </c>
      <c r="O1128" s="5">
        <v>50</v>
      </c>
      <c r="S1128" s="32">
        <f t="shared" si="128"/>
        <v>0</v>
      </c>
    </row>
    <row r="1129" spans="2:19" x14ac:dyDescent="0.25">
      <c r="B1129" s="1" t="s">
        <v>0</v>
      </c>
      <c r="C1129" s="2" t="s">
        <v>1</v>
      </c>
      <c r="D1129" s="2" t="s">
        <v>2</v>
      </c>
      <c r="E1129" s="2" t="s">
        <v>61</v>
      </c>
      <c r="F1129" s="3">
        <f>DATE(2023,2,23)</f>
        <v>44980</v>
      </c>
      <c r="G1129" s="4">
        <f t="shared" si="125"/>
        <v>2</v>
      </c>
      <c r="H1129" s="4">
        <f t="shared" si="126"/>
        <v>2023</v>
      </c>
      <c r="I1129" s="2" t="s">
        <v>4</v>
      </c>
      <c r="J1129" s="2" t="s">
        <v>1789</v>
      </c>
      <c r="K1129" s="2" t="s">
        <v>16</v>
      </c>
      <c r="L1129" s="2" t="s">
        <v>7</v>
      </c>
      <c r="M1129" s="2" t="s">
        <v>8</v>
      </c>
      <c r="N1129" s="4" t="str">
        <f t="shared" si="127"/>
        <v>GAL</v>
      </c>
      <c r="O1129" s="5">
        <v>100</v>
      </c>
      <c r="S1129" s="32">
        <f t="shared" si="128"/>
        <v>0</v>
      </c>
    </row>
    <row r="1130" spans="2:19" x14ac:dyDescent="0.25">
      <c r="B1130" s="1" t="s">
        <v>0</v>
      </c>
      <c r="C1130" s="2" t="s">
        <v>1</v>
      </c>
      <c r="D1130" s="2" t="s">
        <v>2</v>
      </c>
      <c r="E1130" s="2" t="s">
        <v>1790</v>
      </c>
      <c r="F1130" s="3">
        <f t="shared" ref="F1130:F1135" si="131">DATE(2023,2,24)</f>
        <v>44981</v>
      </c>
      <c r="G1130" s="4">
        <f t="shared" si="125"/>
        <v>2</v>
      </c>
      <c r="H1130" s="4">
        <f t="shared" si="126"/>
        <v>2023</v>
      </c>
      <c r="I1130" s="2" t="s">
        <v>4</v>
      </c>
      <c r="J1130" s="2" t="s">
        <v>1791</v>
      </c>
      <c r="K1130" s="2" t="s">
        <v>19</v>
      </c>
      <c r="L1130" s="2" t="s">
        <v>20</v>
      </c>
      <c r="M1130" s="2" t="s">
        <v>21</v>
      </c>
      <c r="N1130" s="4" t="str">
        <f t="shared" si="127"/>
        <v>GAL</v>
      </c>
      <c r="O1130" s="5">
        <v>40</v>
      </c>
      <c r="S1130" s="32">
        <f t="shared" si="128"/>
        <v>0</v>
      </c>
    </row>
    <row r="1131" spans="2:19" x14ac:dyDescent="0.25">
      <c r="B1131" s="1" t="s">
        <v>0</v>
      </c>
      <c r="C1131" s="2" t="s">
        <v>1</v>
      </c>
      <c r="D1131" s="2" t="s">
        <v>2</v>
      </c>
      <c r="E1131" s="2" t="s">
        <v>1790</v>
      </c>
      <c r="F1131" s="3">
        <f t="shared" si="131"/>
        <v>44981</v>
      </c>
      <c r="G1131" s="4">
        <f t="shared" si="125"/>
        <v>2</v>
      </c>
      <c r="H1131" s="4">
        <f t="shared" si="126"/>
        <v>2023</v>
      </c>
      <c r="I1131" s="2" t="s">
        <v>4</v>
      </c>
      <c r="J1131" s="2" t="s">
        <v>1791</v>
      </c>
      <c r="K1131" s="2" t="s">
        <v>22</v>
      </c>
      <c r="L1131" s="2" t="s">
        <v>23</v>
      </c>
      <c r="M1131" s="2" t="s">
        <v>24</v>
      </c>
      <c r="N1131" s="4" t="str">
        <f t="shared" si="127"/>
        <v>GAL</v>
      </c>
      <c r="O1131" s="5">
        <v>40</v>
      </c>
      <c r="S1131" s="32">
        <f t="shared" si="128"/>
        <v>0</v>
      </c>
    </row>
    <row r="1132" spans="2:19" x14ac:dyDescent="0.25">
      <c r="B1132" s="1" t="s">
        <v>0</v>
      </c>
      <c r="C1132" s="2" t="s">
        <v>1</v>
      </c>
      <c r="D1132" s="2" t="s">
        <v>2</v>
      </c>
      <c r="E1132" s="2" t="s">
        <v>1790</v>
      </c>
      <c r="F1132" s="3">
        <f t="shared" si="131"/>
        <v>44981</v>
      </c>
      <c r="G1132" s="4">
        <f t="shared" si="125"/>
        <v>2</v>
      </c>
      <c r="H1132" s="4">
        <f t="shared" si="126"/>
        <v>2023</v>
      </c>
      <c r="I1132" s="2" t="s">
        <v>4</v>
      </c>
      <c r="J1132" s="2" t="s">
        <v>1791</v>
      </c>
      <c r="K1132" s="2" t="s">
        <v>25</v>
      </c>
      <c r="L1132" s="2" t="s">
        <v>26</v>
      </c>
      <c r="M1132" s="2" t="s">
        <v>27</v>
      </c>
      <c r="N1132" s="4" t="str">
        <f t="shared" si="127"/>
        <v>GAL</v>
      </c>
      <c r="O1132" s="5">
        <v>40</v>
      </c>
      <c r="S1132" s="32">
        <f t="shared" si="128"/>
        <v>0</v>
      </c>
    </row>
    <row r="1133" spans="2:19" x14ac:dyDescent="0.25">
      <c r="B1133" s="1" t="s">
        <v>0</v>
      </c>
      <c r="C1133" s="2" t="s">
        <v>1</v>
      </c>
      <c r="D1133" s="2" t="s">
        <v>2</v>
      </c>
      <c r="E1133" s="2" t="s">
        <v>1790</v>
      </c>
      <c r="F1133" s="3">
        <f t="shared" si="131"/>
        <v>44981</v>
      </c>
      <c r="G1133" s="4">
        <f t="shared" si="125"/>
        <v>2</v>
      </c>
      <c r="H1133" s="4">
        <f t="shared" si="126"/>
        <v>2023</v>
      </c>
      <c r="I1133" s="2" t="s">
        <v>4</v>
      </c>
      <c r="J1133" s="2" t="s">
        <v>1791</v>
      </c>
      <c r="K1133" s="2" t="s">
        <v>28</v>
      </c>
      <c r="L1133" s="2" t="s">
        <v>29</v>
      </c>
      <c r="M1133" s="2" t="s">
        <v>30</v>
      </c>
      <c r="N1133" s="4" t="str">
        <f t="shared" si="127"/>
        <v>GAL</v>
      </c>
      <c r="O1133" s="5">
        <v>40</v>
      </c>
      <c r="S1133" s="32">
        <f t="shared" si="128"/>
        <v>0</v>
      </c>
    </row>
    <row r="1134" spans="2:19" x14ac:dyDescent="0.25">
      <c r="B1134" s="1" t="s">
        <v>0</v>
      </c>
      <c r="C1134" s="2" t="s">
        <v>1</v>
      </c>
      <c r="D1134" s="2" t="s">
        <v>2</v>
      </c>
      <c r="E1134" s="2" t="s">
        <v>1790</v>
      </c>
      <c r="F1134" s="3">
        <f t="shared" si="131"/>
        <v>44981</v>
      </c>
      <c r="G1134" s="4">
        <f t="shared" si="125"/>
        <v>2</v>
      </c>
      <c r="H1134" s="4">
        <f t="shared" si="126"/>
        <v>2023</v>
      </c>
      <c r="I1134" s="2" t="s">
        <v>4</v>
      </c>
      <c r="J1134" s="2" t="s">
        <v>1791</v>
      </c>
      <c r="K1134" s="2" t="s">
        <v>16</v>
      </c>
      <c r="L1134" s="2" t="s">
        <v>7</v>
      </c>
      <c r="M1134" s="2" t="s">
        <v>8</v>
      </c>
      <c r="N1134" s="4" t="str">
        <f t="shared" si="127"/>
        <v>GAL</v>
      </c>
      <c r="O1134" s="5">
        <v>40</v>
      </c>
      <c r="S1134" s="32">
        <f t="shared" si="128"/>
        <v>0</v>
      </c>
    </row>
    <row r="1135" spans="2:19" x14ac:dyDescent="0.25">
      <c r="B1135" s="1" t="s">
        <v>0</v>
      </c>
      <c r="C1135" s="2" t="s">
        <v>1</v>
      </c>
      <c r="D1135" s="2" t="s">
        <v>2</v>
      </c>
      <c r="E1135" s="2" t="s">
        <v>1432</v>
      </c>
      <c r="F1135" s="3">
        <f t="shared" si="131"/>
        <v>44981</v>
      </c>
      <c r="G1135" s="4">
        <f t="shared" si="125"/>
        <v>2</v>
      </c>
      <c r="H1135" s="4">
        <f t="shared" si="126"/>
        <v>2023</v>
      </c>
      <c r="I1135" s="2" t="s">
        <v>4</v>
      </c>
      <c r="J1135" s="2" t="s">
        <v>1792</v>
      </c>
      <c r="K1135" s="2" t="s">
        <v>11</v>
      </c>
      <c r="L1135" s="2" t="s">
        <v>12</v>
      </c>
      <c r="M1135" s="2" t="s">
        <v>13</v>
      </c>
      <c r="N1135" s="4" t="str">
        <f t="shared" si="127"/>
        <v>GAL</v>
      </c>
      <c r="O1135" s="5">
        <v>55</v>
      </c>
      <c r="S1135" s="32">
        <f t="shared" si="128"/>
        <v>0</v>
      </c>
    </row>
    <row r="1136" spans="2:19" x14ac:dyDescent="0.25">
      <c r="B1136" s="1" t="s">
        <v>88</v>
      </c>
      <c r="C1136" s="2" t="s">
        <v>89</v>
      </c>
      <c r="D1136" s="2" t="s">
        <v>134</v>
      </c>
      <c r="E1136" s="2" t="s">
        <v>135</v>
      </c>
      <c r="F1136" s="3">
        <f>DATE(2023,2,2)</f>
        <v>44959</v>
      </c>
      <c r="G1136" s="4">
        <f t="shared" si="125"/>
        <v>2</v>
      </c>
      <c r="H1136" s="4">
        <f t="shared" si="126"/>
        <v>2023</v>
      </c>
      <c r="I1136" s="2" t="s">
        <v>4</v>
      </c>
      <c r="J1136" s="2" t="s">
        <v>1793</v>
      </c>
      <c r="K1136" s="2" t="s">
        <v>143</v>
      </c>
      <c r="L1136" s="2" t="s">
        <v>1794</v>
      </c>
      <c r="M1136" s="2" t="s">
        <v>145</v>
      </c>
      <c r="N1136" s="4" t="str">
        <f t="shared" si="127"/>
        <v>GAL</v>
      </c>
      <c r="O1136" s="5">
        <v>220</v>
      </c>
      <c r="S1136" s="32">
        <f t="shared" si="128"/>
        <v>0</v>
      </c>
    </row>
    <row r="1137" spans="2:19" x14ac:dyDescent="0.25">
      <c r="B1137" s="1" t="s">
        <v>88</v>
      </c>
      <c r="C1137" s="2" t="s">
        <v>89</v>
      </c>
      <c r="D1137" s="2" t="s">
        <v>616</v>
      </c>
      <c r="E1137" s="2" t="s">
        <v>617</v>
      </c>
      <c r="F1137" s="3">
        <f>DATE(2023,2,2)</f>
        <v>44959</v>
      </c>
      <c r="G1137" s="4">
        <f t="shared" si="125"/>
        <v>2</v>
      </c>
      <c r="H1137" s="4">
        <f t="shared" si="126"/>
        <v>2023</v>
      </c>
      <c r="I1137" s="2" t="s">
        <v>4</v>
      </c>
      <c r="J1137" s="2" t="s">
        <v>1795</v>
      </c>
      <c r="K1137" s="2" t="s">
        <v>83</v>
      </c>
      <c r="L1137" s="2" t="s">
        <v>518</v>
      </c>
      <c r="M1137" s="2" t="s">
        <v>85</v>
      </c>
      <c r="N1137" s="4" t="str">
        <f t="shared" si="127"/>
        <v>GAL</v>
      </c>
      <c r="O1137" s="5">
        <v>50</v>
      </c>
      <c r="S1137" s="32">
        <f t="shared" si="128"/>
        <v>0</v>
      </c>
    </row>
    <row r="1138" spans="2:19" x14ac:dyDescent="0.25">
      <c r="B1138" s="1" t="s">
        <v>88</v>
      </c>
      <c r="C1138" s="2" t="s">
        <v>89</v>
      </c>
      <c r="D1138" s="2" t="s">
        <v>146</v>
      </c>
      <c r="E1138" s="2" t="s">
        <v>147</v>
      </c>
      <c r="F1138" s="3">
        <f>DATE(2023,2,3)</f>
        <v>44960</v>
      </c>
      <c r="G1138" s="4">
        <f t="shared" si="125"/>
        <v>2</v>
      </c>
      <c r="H1138" s="4">
        <f t="shared" si="126"/>
        <v>2023</v>
      </c>
      <c r="I1138" s="2" t="s">
        <v>4</v>
      </c>
      <c r="J1138" s="2" t="s">
        <v>1796</v>
      </c>
      <c r="K1138" s="2" t="s">
        <v>149</v>
      </c>
      <c r="L1138" s="2" t="s">
        <v>150</v>
      </c>
      <c r="M1138" s="2" t="s">
        <v>21</v>
      </c>
      <c r="N1138" s="4" t="str">
        <f t="shared" si="127"/>
        <v>GAL</v>
      </c>
      <c r="O1138" s="5">
        <v>5</v>
      </c>
      <c r="S1138" s="32">
        <f t="shared" si="128"/>
        <v>0</v>
      </c>
    </row>
    <row r="1139" spans="2:19" x14ac:dyDescent="0.25">
      <c r="B1139" s="1" t="s">
        <v>88</v>
      </c>
      <c r="C1139" s="2" t="s">
        <v>89</v>
      </c>
      <c r="D1139" s="2" t="s">
        <v>146</v>
      </c>
      <c r="E1139" s="2" t="s">
        <v>147</v>
      </c>
      <c r="F1139" s="3">
        <f>DATE(2023,2,3)</f>
        <v>44960</v>
      </c>
      <c r="G1139" s="4">
        <f t="shared" si="125"/>
        <v>2</v>
      </c>
      <c r="H1139" s="4">
        <f t="shared" si="126"/>
        <v>2023</v>
      </c>
      <c r="I1139" s="2" t="s">
        <v>4</v>
      </c>
      <c r="J1139" s="2" t="s">
        <v>1796</v>
      </c>
      <c r="K1139" s="2" t="s">
        <v>609</v>
      </c>
      <c r="L1139" s="2" t="s">
        <v>610</v>
      </c>
      <c r="M1139" s="2" t="s">
        <v>611</v>
      </c>
      <c r="N1139" s="4" t="str">
        <f t="shared" si="127"/>
        <v>GAL</v>
      </c>
      <c r="O1139" s="5">
        <v>10</v>
      </c>
      <c r="S1139" s="32">
        <f t="shared" si="128"/>
        <v>0</v>
      </c>
    </row>
    <row r="1140" spans="2:19" x14ac:dyDescent="0.25">
      <c r="B1140" s="1" t="s">
        <v>88</v>
      </c>
      <c r="C1140" s="2" t="s">
        <v>89</v>
      </c>
      <c r="D1140" s="2" t="s">
        <v>134</v>
      </c>
      <c r="E1140" s="2" t="s">
        <v>135</v>
      </c>
      <c r="F1140" s="3">
        <f>DATE(2023,2,13)</f>
        <v>44970</v>
      </c>
      <c r="G1140" s="4">
        <f t="shared" si="125"/>
        <v>2</v>
      </c>
      <c r="H1140" s="4">
        <f t="shared" si="126"/>
        <v>2023</v>
      </c>
      <c r="I1140" s="2" t="s">
        <v>4</v>
      </c>
      <c r="J1140" s="2" t="s">
        <v>1797</v>
      </c>
      <c r="K1140" s="2" t="s">
        <v>143</v>
      </c>
      <c r="L1140" s="2" t="s">
        <v>1794</v>
      </c>
      <c r="M1140" s="2" t="s">
        <v>145</v>
      </c>
      <c r="N1140" s="4" t="str">
        <f t="shared" si="127"/>
        <v>GAL</v>
      </c>
      <c r="O1140" s="5">
        <v>220</v>
      </c>
      <c r="S1140" s="32">
        <f t="shared" si="128"/>
        <v>0</v>
      </c>
    </row>
    <row r="1141" spans="2:19" x14ac:dyDescent="0.25">
      <c r="B1141" s="1" t="s">
        <v>88</v>
      </c>
      <c r="C1141" s="2" t="s">
        <v>89</v>
      </c>
      <c r="D1141" s="2" t="s">
        <v>628</v>
      </c>
      <c r="E1141" s="2" t="s">
        <v>1798</v>
      </c>
      <c r="F1141" s="3">
        <f>DATE(2023,2,10)</f>
        <v>44967</v>
      </c>
      <c r="G1141" s="4">
        <f t="shared" si="125"/>
        <v>2</v>
      </c>
      <c r="H1141" s="4">
        <f t="shared" si="126"/>
        <v>2023</v>
      </c>
      <c r="I1141" s="2" t="s">
        <v>4</v>
      </c>
      <c r="J1141" s="2" t="s">
        <v>1799</v>
      </c>
      <c r="K1141" s="2" t="s">
        <v>1800</v>
      </c>
      <c r="L1141" s="2" t="s">
        <v>916</v>
      </c>
      <c r="M1141" s="2" t="s">
        <v>119</v>
      </c>
      <c r="N1141" s="4" t="str">
        <f t="shared" si="127"/>
        <v>TON</v>
      </c>
      <c r="O1141" s="5">
        <v>17.427700000000002</v>
      </c>
      <c r="S1141" s="32">
        <f t="shared" si="128"/>
        <v>0</v>
      </c>
    </row>
    <row r="1142" spans="2:19" x14ac:dyDescent="0.25">
      <c r="B1142" s="1" t="s">
        <v>88</v>
      </c>
      <c r="C1142" s="2" t="s">
        <v>89</v>
      </c>
      <c r="D1142" s="2" t="s">
        <v>1444</v>
      </c>
      <c r="E1142" s="2" t="s">
        <v>102</v>
      </c>
      <c r="F1142" s="3">
        <f>DATE(2023,2,15)</f>
        <v>44972</v>
      </c>
      <c r="G1142" s="4">
        <f t="shared" si="125"/>
        <v>2</v>
      </c>
      <c r="H1142" s="4">
        <f t="shared" si="126"/>
        <v>2023</v>
      </c>
      <c r="I1142" s="2" t="s">
        <v>4</v>
      </c>
      <c r="J1142" s="2" t="s">
        <v>1801</v>
      </c>
      <c r="K1142" s="2" t="s">
        <v>1446</v>
      </c>
      <c r="L1142" s="2" t="s">
        <v>1453</v>
      </c>
      <c r="M1142" s="2" t="s">
        <v>1448</v>
      </c>
      <c r="N1142" s="4" t="str">
        <f t="shared" si="127"/>
        <v>GAL</v>
      </c>
      <c r="O1142" s="5">
        <v>180</v>
      </c>
      <c r="S1142" s="32">
        <f t="shared" si="128"/>
        <v>0</v>
      </c>
    </row>
    <row r="1143" spans="2:19" x14ac:dyDescent="0.25">
      <c r="B1143" s="1" t="s">
        <v>88</v>
      </c>
      <c r="C1143" s="2" t="s">
        <v>89</v>
      </c>
      <c r="D1143" s="2" t="s">
        <v>140</v>
      </c>
      <c r="E1143" s="2" t="s">
        <v>141</v>
      </c>
      <c r="F1143" s="3">
        <f>DATE(2023,2,16)</f>
        <v>44973</v>
      </c>
      <c r="G1143" s="4">
        <f t="shared" si="125"/>
        <v>2</v>
      </c>
      <c r="H1143" s="4">
        <f t="shared" si="126"/>
        <v>2023</v>
      </c>
      <c r="I1143" s="2" t="s">
        <v>4</v>
      </c>
      <c r="J1143" s="2" t="s">
        <v>1802</v>
      </c>
      <c r="K1143" s="2" t="s">
        <v>1464</v>
      </c>
      <c r="L1143" s="2" t="s">
        <v>1465</v>
      </c>
      <c r="M1143" s="2" t="s">
        <v>1466</v>
      </c>
      <c r="N1143" s="4" t="str">
        <f t="shared" si="127"/>
        <v>GAL</v>
      </c>
      <c r="O1143" s="5">
        <v>250</v>
      </c>
      <c r="S1143" s="32">
        <f t="shared" si="128"/>
        <v>0</v>
      </c>
    </row>
    <row r="1144" spans="2:19" x14ac:dyDescent="0.25">
      <c r="B1144" s="1" t="s">
        <v>88</v>
      </c>
      <c r="C1144" s="2" t="s">
        <v>89</v>
      </c>
      <c r="D1144" s="2" t="s">
        <v>616</v>
      </c>
      <c r="E1144" s="2" t="s">
        <v>617</v>
      </c>
      <c r="F1144" s="3">
        <f>DATE(2023,2,21)</f>
        <v>44978</v>
      </c>
      <c r="G1144" s="4">
        <f t="shared" si="125"/>
        <v>2</v>
      </c>
      <c r="H1144" s="4">
        <f t="shared" si="126"/>
        <v>2023</v>
      </c>
      <c r="I1144" s="2" t="s">
        <v>4</v>
      </c>
      <c r="J1144" s="2" t="s">
        <v>1803</v>
      </c>
      <c r="K1144" s="2" t="s">
        <v>1460</v>
      </c>
      <c r="L1144" s="2" t="s">
        <v>1461</v>
      </c>
      <c r="M1144" s="2" t="s">
        <v>553</v>
      </c>
      <c r="N1144" s="4" t="str">
        <f t="shared" si="127"/>
        <v>GAL</v>
      </c>
      <c r="O1144" s="5">
        <v>20</v>
      </c>
      <c r="S1144" s="32">
        <f t="shared" si="128"/>
        <v>0</v>
      </c>
    </row>
    <row r="1145" spans="2:19" x14ac:dyDescent="0.25">
      <c r="B1145" s="1" t="s">
        <v>88</v>
      </c>
      <c r="C1145" s="2" t="s">
        <v>89</v>
      </c>
      <c r="D1145" s="2" t="s">
        <v>1804</v>
      </c>
      <c r="E1145" s="2" t="s">
        <v>102</v>
      </c>
      <c r="F1145" s="3">
        <f>DATE(2023,2,22)</f>
        <v>44979</v>
      </c>
      <c r="G1145" s="4">
        <f t="shared" si="125"/>
        <v>2</v>
      </c>
      <c r="H1145" s="4">
        <f t="shared" si="126"/>
        <v>2023</v>
      </c>
      <c r="I1145" s="2" t="s">
        <v>4</v>
      </c>
      <c r="J1145" s="2" t="s">
        <v>1805</v>
      </c>
      <c r="K1145" s="2" t="s">
        <v>171</v>
      </c>
      <c r="L1145" s="2" t="s">
        <v>172</v>
      </c>
      <c r="M1145" s="2" t="s">
        <v>27</v>
      </c>
      <c r="N1145" s="4" t="str">
        <f t="shared" si="127"/>
        <v>GAL</v>
      </c>
      <c r="O1145" s="5">
        <v>2.5</v>
      </c>
      <c r="S1145" s="32">
        <f t="shared" si="128"/>
        <v>0</v>
      </c>
    </row>
    <row r="1146" spans="2:19" x14ac:dyDescent="0.25">
      <c r="B1146" s="1" t="s">
        <v>88</v>
      </c>
      <c r="C1146" s="2" t="s">
        <v>89</v>
      </c>
      <c r="D1146" s="2" t="s">
        <v>604</v>
      </c>
      <c r="E1146" s="2" t="s">
        <v>102</v>
      </c>
      <c r="F1146" s="3">
        <f>DATE(2023,2,24)</f>
        <v>44981</v>
      </c>
      <c r="G1146" s="4">
        <f t="shared" si="125"/>
        <v>2</v>
      </c>
      <c r="H1146" s="4">
        <f t="shared" si="126"/>
        <v>2023</v>
      </c>
      <c r="I1146" s="2" t="s">
        <v>4</v>
      </c>
      <c r="J1146" s="2" t="s">
        <v>1806</v>
      </c>
      <c r="K1146" s="2" t="s">
        <v>1807</v>
      </c>
      <c r="L1146" s="2" t="s">
        <v>1808</v>
      </c>
      <c r="M1146" s="2" t="s">
        <v>106</v>
      </c>
      <c r="N1146" s="4" t="str">
        <f t="shared" si="127"/>
        <v>LBS</v>
      </c>
      <c r="O1146" s="5">
        <v>7942.5</v>
      </c>
      <c r="S1146" s="32">
        <f t="shared" si="128"/>
        <v>0</v>
      </c>
    </row>
    <row r="1147" spans="2:19" x14ac:dyDescent="0.25">
      <c r="B1147" s="1" t="s">
        <v>88</v>
      </c>
      <c r="C1147" s="2" t="s">
        <v>89</v>
      </c>
      <c r="D1147" s="2" t="s">
        <v>507</v>
      </c>
      <c r="E1147" s="2" t="s">
        <v>508</v>
      </c>
      <c r="F1147" s="3">
        <f>DATE(2023,2,24)</f>
        <v>44981</v>
      </c>
      <c r="G1147" s="4">
        <f t="shared" si="125"/>
        <v>2</v>
      </c>
      <c r="H1147" s="4">
        <f t="shared" si="126"/>
        <v>2023</v>
      </c>
      <c r="I1147" s="2" t="s">
        <v>4</v>
      </c>
      <c r="J1147" s="2" t="s">
        <v>1809</v>
      </c>
      <c r="K1147" s="2" t="s">
        <v>158</v>
      </c>
      <c r="L1147" s="2" t="s">
        <v>159</v>
      </c>
      <c r="M1147" s="2" t="s">
        <v>160</v>
      </c>
      <c r="N1147" s="4" t="str">
        <f t="shared" si="127"/>
        <v>GAL</v>
      </c>
      <c r="O1147" s="5">
        <v>360</v>
      </c>
      <c r="S1147" s="32">
        <f t="shared" si="128"/>
        <v>0</v>
      </c>
    </row>
    <row r="1148" spans="2:19" x14ac:dyDescent="0.25">
      <c r="B1148" s="1" t="s">
        <v>88</v>
      </c>
      <c r="C1148" s="2" t="s">
        <v>89</v>
      </c>
      <c r="D1148" s="2" t="s">
        <v>515</v>
      </c>
      <c r="E1148" s="2" t="s">
        <v>516</v>
      </c>
      <c r="F1148" s="3">
        <f>DATE(2023,2,28)</f>
        <v>44985</v>
      </c>
      <c r="G1148" s="4">
        <f t="shared" si="125"/>
        <v>2</v>
      </c>
      <c r="H1148" s="4">
        <f t="shared" si="126"/>
        <v>2023</v>
      </c>
      <c r="I1148" s="2" t="s">
        <v>4</v>
      </c>
      <c r="J1148" s="2" t="s">
        <v>1810</v>
      </c>
      <c r="K1148" s="2" t="s">
        <v>110</v>
      </c>
      <c r="L1148" s="2" t="s">
        <v>111</v>
      </c>
      <c r="M1148" s="2" t="s">
        <v>112</v>
      </c>
      <c r="N1148" s="4" t="str">
        <f t="shared" si="127"/>
        <v>GAL</v>
      </c>
      <c r="O1148" s="5">
        <v>1233.3</v>
      </c>
      <c r="S1148" s="32">
        <f t="shared" si="128"/>
        <v>0</v>
      </c>
    </row>
    <row r="1149" spans="2:19" x14ac:dyDescent="0.25">
      <c r="B1149" s="1" t="s">
        <v>645</v>
      </c>
      <c r="C1149" s="2" t="s">
        <v>155</v>
      </c>
      <c r="D1149" s="2" t="s">
        <v>646</v>
      </c>
      <c r="E1149" s="2" t="s">
        <v>647</v>
      </c>
      <c r="F1149" s="3">
        <f t="shared" ref="F1149:F1156" si="132">DATE(2023,2,2)</f>
        <v>44959</v>
      </c>
      <c r="G1149" s="4">
        <f t="shared" si="125"/>
        <v>2</v>
      </c>
      <c r="H1149" s="4">
        <f t="shared" si="126"/>
        <v>2023</v>
      </c>
      <c r="I1149" s="2" t="s">
        <v>4</v>
      </c>
      <c r="J1149" s="2" t="s">
        <v>1811</v>
      </c>
      <c r="K1149" s="2" t="s">
        <v>189</v>
      </c>
      <c r="L1149" s="2" t="s">
        <v>190</v>
      </c>
      <c r="M1149" s="2" t="s">
        <v>191</v>
      </c>
      <c r="N1149" s="4" t="str">
        <f t="shared" si="127"/>
        <v>GAL</v>
      </c>
      <c r="O1149" s="5">
        <v>360</v>
      </c>
      <c r="S1149" s="32">
        <f t="shared" si="128"/>
        <v>0</v>
      </c>
    </row>
    <row r="1150" spans="2:19" x14ac:dyDescent="0.25">
      <c r="B1150" s="1" t="s">
        <v>645</v>
      </c>
      <c r="C1150" s="2" t="s">
        <v>155</v>
      </c>
      <c r="D1150" s="2" t="s">
        <v>646</v>
      </c>
      <c r="E1150" s="2" t="s">
        <v>647</v>
      </c>
      <c r="F1150" s="3">
        <f t="shared" si="132"/>
        <v>44959</v>
      </c>
      <c r="G1150" s="4">
        <f t="shared" si="125"/>
        <v>2</v>
      </c>
      <c r="H1150" s="4">
        <f t="shared" si="126"/>
        <v>2023</v>
      </c>
      <c r="I1150" s="2" t="s">
        <v>4</v>
      </c>
      <c r="J1150" s="2" t="s">
        <v>1812</v>
      </c>
      <c r="K1150" s="2" t="s">
        <v>25</v>
      </c>
      <c r="L1150" s="2" t="s">
        <v>541</v>
      </c>
      <c r="M1150" s="2" t="s">
        <v>27</v>
      </c>
      <c r="N1150" s="4" t="str">
        <f t="shared" si="127"/>
        <v>GAL</v>
      </c>
      <c r="O1150" s="5">
        <v>180</v>
      </c>
      <c r="S1150" s="32">
        <f t="shared" si="128"/>
        <v>0</v>
      </c>
    </row>
    <row r="1151" spans="2:19" x14ac:dyDescent="0.25">
      <c r="B1151" s="1" t="s">
        <v>154</v>
      </c>
      <c r="C1151" s="2" t="s">
        <v>155</v>
      </c>
      <c r="D1151" s="2" t="s">
        <v>173</v>
      </c>
      <c r="E1151" s="2" t="s">
        <v>174</v>
      </c>
      <c r="F1151" s="3">
        <f t="shared" si="132"/>
        <v>44959</v>
      </c>
      <c r="G1151" s="4">
        <f t="shared" si="125"/>
        <v>2</v>
      </c>
      <c r="H1151" s="4">
        <f t="shared" si="126"/>
        <v>2023</v>
      </c>
      <c r="I1151" s="2" t="s">
        <v>4</v>
      </c>
      <c r="J1151" s="2" t="s">
        <v>1813</v>
      </c>
      <c r="K1151" s="2" t="s">
        <v>1814</v>
      </c>
      <c r="L1151" s="2" t="s">
        <v>1815</v>
      </c>
      <c r="M1151" s="2" t="s">
        <v>1816</v>
      </c>
      <c r="N1151" s="4" t="str">
        <f t="shared" si="127"/>
        <v>GAL</v>
      </c>
      <c r="O1151" s="5">
        <v>360</v>
      </c>
      <c r="S1151" s="32">
        <f t="shared" si="128"/>
        <v>0</v>
      </c>
    </row>
    <row r="1152" spans="2:19" x14ac:dyDescent="0.25">
      <c r="B1152" s="1" t="s">
        <v>154</v>
      </c>
      <c r="C1152" s="2" t="s">
        <v>155</v>
      </c>
      <c r="D1152" s="2" t="s">
        <v>161</v>
      </c>
      <c r="E1152" s="2" t="s">
        <v>162</v>
      </c>
      <c r="F1152" s="3">
        <f t="shared" si="132"/>
        <v>44959</v>
      </c>
      <c r="G1152" s="4">
        <f t="shared" si="125"/>
        <v>2</v>
      </c>
      <c r="H1152" s="4">
        <f t="shared" si="126"/>
        <v>2023</v>
      </c>
      <c r="I1152" s="2" t="s">
        <v>4</v>
      </c>
      <c r="J1152" s="2" t="s">
        <v>1817</v>
      </c>
      <c r="K1152" s="2" t="s">
        <v>631</v>
      </c>
      <c r="L1152" s="2" t="s">
        <v>632</v>
      </c>
      <c r="M1152" s="2" t="s">
        <v>633</v>
      </c>
      <c r="N1152" s="4" t="str">
        <f t="shared" si="127"/>
        <v>GAL</v>
      </c>
      <c r="O1152" s="5">
        <v>1250</v>
      </c>
      <c r="S1152" s="32">
        <f t="shared" si="128"/>
        <v>0</v>
      </c>
    </row>
    <row r="1153" spans="2:19" x14ac:dyDescent="0.25">
      <c r="B1153" s="1" t="s">
        <v>154</v>
      </c>
      <c r="C1153" s="2" t="s">
        <v>155</v>
      </c>
      <c r="D1153" s="2" t="s">
        <v>161</v>
      </c>
      <c r="E1153" s="2" t="s">
        <v>162</v>
      </c>
      <c r="F1153" s="3">
        <f t="shared" si="132"/>
        <v>44959</v>
      </c>
      <c r="G1153" s="4">
        <f t="shared" si="125"/>
        <v>2</v>
      </c>
      <c r="H1153" s="4">
        <f t="shared" si="126"/>
        <v>2023</v>
      </c>
      <c r="I1153" s="2" t="s">
        <v>4</v>
      </c>
      <c r="J1153" s="2" t="s">
        <v>1817</v>
      </c>
      <c r="K1153" s="2" t="s">
        <v>25</v>
      </c>
      <c r="L1153" s="2" t="s">
        <v>541</v>
      </c>
      <c r="M1153" s="2" t="s">
        <v>27</v>
      </c>
      <c r="N1153" s="4" t="str">
        <f t="shared" si="127"/>
        <v>GAL</v>
      </c>
      <c r="O1153" s="5">
        <v>180</v>
      </c>
      <c r="S1153" s="32">
        <f t="shared" si="128"/>
        <v>0</v>
      </c>
    </row>
    <row r="1154" spans="2:19" x14ac:dyDescent="0.25">
      <c r="B1154" s="1" t="s">
        <v>154</v>
      </c>
      <c r="C1154" s="2" t="s">
        <v>155</v>
      </c>
      <c r="D1154" s="2" t="s">
        <v>161</v>
      </c>
      <c r="E1154" s="2" t="s">
        <v>162</v>
      </c>
      <c r="F1154" s="3">
        <f t="shared" si="132"/>
        <v>44959</v>
      </c>
      <c r="G1154" s="4">
        <f t="shared" si="125"/>
        <v>2</v>
      </c>
      <c r="H1154" s="4">
        <f t="shared" si="126"/>
        <v>2023</v>
      </c>
      <c r="I1154" s="2" t="s">
        <v>4</v>
      </c>
      <c r="J1154" s="2" t="s">
        <v>1817</v>
      </c>
      <c r="K1154" s="2" t="s">
        <v>164</v>
      </c>
      <c r="L1154" s="2" t="s">
        <v>165</v>
      </c>
      <c r="M1154" s="2" t="s">
        <v>166</v>
      </c>
      <c r="N1154" s="4" t="str">
        <f t="shared" si="127"/>
        <v>GAL</v>
      </c>
      <c r="O1154" s="5">
        <v>360</v>
      </c>
      <c r="S1154" s="32">
        <f t="shared" si="128"/>
        <v>0</v>
      </c>
    </row>
    <row r="1155" spans="2:19" x14ac:dyDescent="0.25">
      <c r="B1155" s="1" t="s">
        <v>154</v>
      </c>
      <c r="C1155" s="2" t="s">
        <v>155</v>
      </c>
      <c r="D1155" s="2" t="s">
        <v>161</v>
      </c>
      <c r="E1155" s="2" t="s">
        <v>162</v>
      </c>
      <c r="F1155" s="3">
        <f t="shared" si="132"/>
        <v>44959</v>
      </c>
      <c r="G1155" s="4">
        <f t="shared" ref="G1155:G1218" si="133">+MONTH(F1155)</f>
        <v>2</v>
      </c>
      <c r="H1155" s="4">
        <f t="shared" ref="H1155:H1218" si="134">+YEAR(F1155)</f>
        <v>2023</v>
      </c>
      <c r="I1155" s="2" t="s">
        <v>4</v>
      </c>
      <c r="J1155" s="2" t="s">
        <v>1817</v>
      </c>
      <c r="K1155" s="2" t="s">
        <v>1266</v>
      </c>
      <c r="L1155" s="2" t="s">
        <v>1267</v>
      </c>
      <c r="M1155" s="2" t="s">
        <v>191</v>
      </c>
      <c r="N1155" s="4" t="str">
        <f t="shared" ref="N1155:N1218" si="135">+LEFT(M1155,3)</f>
        <v>GAL</v>
      </c>
      <c r="O1155" s="5">
        <v>180</v>
      </c>
      <c r="S1155" s="32">
        <f t="shared" si="128"/>
        <v>0</v>
      </c>
    </row>
    <row r="1156" spans="2:19" x14ac:dyDescent="0.25">
      <c r="B1156" s="1" t="s">
        <v>154</v>
      </c>
      <c r="C1156" s="2" t="s">
        <v>155</v>
      </c>
      <c r="D1156" s="2" t="s">
        <v>161</v>
      </c>
      <c r="E1156" s="2" t="s">
        <v>162</v>
      </c>
      <c r="F1156" s="3">
        <f t="shared" si="132"/>
        <v>44959</v>
      </c>
      <c r="G1156" s="4">
        <f t="shared" si="133"/>
        <v>2</v>
      </c>
      <c r="H1156" s="4">
        <f t="shared" si="134"/>
        <v>2023</v>
      </c>
      <c r="I1156" s="2" t="s">
        <v>4</v>
      </c>
      <c r="J1156" s="2" t="s">
        <v>1817</v>
      </c>
      <c r="K1156" s="2" t="s">
        <v>609</v>
      </c>
      <c r="L1156" s="2" t="s">
        <v>610</v>
      </c>
      <c r="M1156" s="2" t="s">
        <v>611</v>
      </c>
      <c r="N1156" s="4" t="str">
        <f t="shared" si="135"/>
        <v>GAL</v>
      </c>
      <c r="O1156" s="5">
        <v>180</v>
      </c>
      <c r="S1156" s="32">
        <f t="shared" ref="S1156:S1219" si="136">SUMIF($R$3:$R$885, $R1156, $O$3:$O$885)</f>
        <v>0</v>
      </c>
    </row>
    <row r="1157" spans="2:19" x14ac:dyDescent="0.25">
      <c r="B1157" s="1" t="s">
        <v>154</v>
      </c>
      <c r="C1157" s="2" t="s">
        <v>155</v>
      </c>
      <c r="D1157" s="2" t="s">
        <v>623</v>
      </c>
      <c r="E1157" s="2" t="s">
        <v>624</v>
      </c>
      <c r="F1157" s="3">
        <f>DATE(2023,2,3)</f>
        <v>44960</v>
      </c>
      <c r="G1157" s="4">
        <f t="shared" si="133"/>
        <v>2</v>
      </c>
      <c r="H1157" s="4">
        <f t="shared" si="134"/>
        <v>2023</v>
      </c>
      <c r="I1157" s="2" t="s">
        <v>4</v>
      </c>
      <c r="J1157" s="2" t="s">
        <v>1818</v>
      </c>
      <c r="K1157" s="2" t="s">
        <v>626</v>
      </c>
      <c r="L1157" s="2" t="s">
        <v>627</v>
      </c>
      <c r="M1157" s="2" t="s">
        <v>119</v>
      </c>
      <c r="N1157" s="4" t="str">
        <f t="shared" si="135"/>
        <v>TON</v>
      </c>
      <c r="O1157" s="5">
        <v>15.005000000000001</v>
      </c>
      <c r="S1157" s="32">
        <f t="shared" si="136"/>
        <v>0</v>
      </c>
    </row>
    <row r="1158" spans="2:19" x14ac:dyDescent="0.25">
      <c r="B1158" s="1" t="s">
        <v>154</v>
      </c>
      <c r="C1158" s="2" t="s">
        <v>155</v>
      </c>
      <c r="D1158" s="2" t="s">
        <v>167</v>
      </c>
      <c r="E1158" s="2" t="s">
        <v>168</v>
      </c>
      <c r="F1158" s="3">
        <f>DATE(2023,2,6)</f>
        <v>44963</v>
      </c>
      <c r="G1158" s="4">
        <f t="shared" si="133"/>
        <v>2</v>
      </c>
      <c r="H1158" s="4">
        <f t="shared" si="134"/>
        <v>2023</v>
      </c>
      <c r="I1158" s="2" t="s">
        <v>4</v>
      </c>
      <c r="J1158" s="2" t="s">
        <v>1819</v>
      </c>
      <c r="K1158" s="2" t="s">
        <v>1820</v>
      </c>
      <c r="L1158" s="2" t="s">
        <v>1815</v>
      </c>
      <c r="M1158" s="2" t="s">
        <v>1816</v>
      </c>
      <c r="N1158" s="4" t="str">
        <f t="shared" si="135"/>
        <v>GAL</v>
      </c>
      <c r="O1158" s="5">
        <v>500</v>
      </c>
      <c r="S1158" s="32">
        <f t="shared" si="136"/>
        <v>0</v>
      </c>
    </row>
    <row r="1159" spans="2:19" x14ac:dyDescent="0.25">
      <c r="B1159" s="1" t="s">
        <v>154</v>
      </c>
      <c r="C1159" s="2" t="s">
        <v>155</v>
      </c>
      <c r="D1159" s="2" t="s">
        <v>161</v>
      </c>
      <c r="E1159" s="2" t="s">
        <v>162</v>
      </c>
      <c r="F1159" s="3">
        <f>DATE(2023,2,7)</f>
        <v>44964</v>
      </c>
      <c r="G1159" s="4">
        <f t="shared" si="133"/>
        <v>2</v>
      </c>
      <c r="H1159" s="4">
        <f t="shared" si="134"/>
        <v>2023</v>
      </c>
      <c r="I1159" s="2" t="s">
        <v>4</v>
      </c>
      <c r="J1159" s="2" t="s">
        <v>1821</v>
      </c>
      <c r="K1159" s="2" t="s">
        <v>1814</v>
      </c>
      <c r="L1159" s="2" t="s">
        <v>1815</v>
      </c>
      <c r="M1159" s="2" t="s">
        <v>1816</v>
      </c>
      <c r="N1159" s="4" t="str">
        <f t="shared" si="135"/>
        <v>GAL</v>
      </c>
      <c r="O1159" s="5">
        <v>180</v>
      </c>
      <c r="S1159" s="32">
        <f t="shared" si="136"/>
        <v>0</v>
      </c>
    </row>
    <row r="1160" spans="2:19" x14ac:dyDescent="0.25">
      <c r="B1160" s="1" t="s">
        <v>645</v>
      </c>
      <c r="C1160" s="2" t="s">
        <v>155</v>
      </c>
      <c r="D1160" s="2" t="s">
        <v>646</v>
      </c>
      <c r="E1160" s="2" t="s">
        <v>647</v>
      </c>
      <c r="F1160" s="3">
        <f>DATE(2023,2,8)</f>
        <v>44965</v>
      </c>
      <c r="G1160" s="4">
        <f t="shared" si="133"/>
        <v>2</v>
      </c>
      <c r="H1160" s="4">
        <f t="shared" si="134"/>
        <v>2023</v>
      </c>
      <c r="I1160" s="2" t="s">
        <v>4</v>
      </c>
      <c r="J1160" s="2" t="s">
        <v>1822</v>
      </c>
      <c r="K1160" s="2" t="s">
        <v>25</v>
      </c>
      <c r="L1160" s="2" t="s">
        <v>541</v>
      </c>
      <c r="M1160" s="2" t="s">
        <v>27</v>
      </c>
      <c r="N1160" s="4" t="str">
        <f t="shared" si="135"/>
        <v>GAL</v>
      </c>
      <c r="O1160" s="5">
        <v>360</v>
      </c>
      <c r="S1160" s="32">
        <f t="shared" si="136"/>
        <v>0</v>
      </c>
    </row>
    <row r="1161" spans="2:19" x14ac:dyDescent="0.25">
      <c r="B1161" s="1" t="s">
        <v>645</v>
      </c>
      <c r="C1161" s="2" t="s">
        <v>155</v>
      </c>
      <c r="D1161" s="2" t="s">
        <v>646</v>
      </c>
      <c r="E1161" s="2" t="s">
        <v>647</v>
      </c>
      <c r="F1161" s="3">
        <f>DATE(2023,2,8)</f>
        <v>44965</v>
      </c>
      <c r="G1161" s="4">
        <f t="shared" si="133"/>
        <v>2</v>
      </c>
      <c r="H1161" s="4">
        <f t="shared" si="134"/>
        <v>2023</v>
      </c>
      <c r="I1161" s="2" t="s">
        <v>4</v>
      </c>
      <c r="J1161" s="2" t="s">
        <v>1822</v>
      </c>
      <c r="K1161" s="2" t="s">
        <v>137</v>
      </c>
      <c r="L1161" s="2" t="s">
        <v>1190</v>
      </c>
      <c r="M1161" s="2" t="s">
        <v>139</v>
      </c>
      <c r="N1161" s="4" t="str">
        <f t="shared" si="135"/>
        <v>GAL</v>
      </c>
      <c r="O1161" s="5">
        <v>180</v>
      </c>
      <c r="S1161" s="32">
        <f t="shared" si="136"/>
        <v>0</v>
      </c>
    </row>
    <row r="1162" spans="2:19" x14ac:dyDescent="0.25">
      <c r="B1162" s="1" t="s">
        <v>154</v>
      </c>
      <c r="C1162" s="2" t="s">
        <v>155</v>
      </c>
      <c r="D1162" s="2" t="s">
        <v>623</v>
      </c>
      <c r="E1162" s="2" t="s">
        <v>624</v>
      </c>
      <c r="F1162" s="3">
        <f>DATE(2023,2,9)</f>
        <v>44966</v>
      </c>
      <c r="G1162" s="4">
        <f t="shared" si="133"/>
        <v>2</v>
      </c>
      <c r="H1162" s="4">
        <f t="shared" si="134"/>
        <v>2023</v>
      </c>
      <c r="I1162" s="2" t="s">
        <v>4</v>
      </c>
      <c r="J1162" s="2" t="s">
        <v>1823</v>
      </c>
      <c r="K1162" s="2" t="s">
        <v>1824</v>
      </c>
      <c r="L1162" s="2" t="s">
        <v>1825</v>
      </c>
      <c r="M1162" s="2" t="s">
        <v>119</v>
      </c>
      <c r="N1162" s="4" t="str">
        <f t="shared" si="135"/>
        <v>TON</v>
      </c>
      <c r="O1162" s="5">
        <v>15.0025</v>
      </c>
      <c r="S1162" s="32">
        <f t="shared" si="136"/>
        <v>0</v>
      </c>
    </row>
    <row r="1163" spans="2:19" x14ac:dyDescent="0.25">
      <c r="B1163" s="1" t="s">
        <v>154</v>
      </c>
      <c r="C1163" s="2" t="s">
        <v>155</v>
      </c>
      <c r="D1163" s="2" t="s">
        <v>167</v>
      </c>
      <c r="E1163" s="2" t="s">
        <v>168</v>
      </c>
      <c r="F1163" s="3">
        <f>DATE(2023,2,10)</f>
        <v>44967</v>
      </c>
      <c r="G1163" s="4">
        <f t="shared" si="133"/>
        <v>2</v>
      </c>
      <c r="H1163" s="4">
        <f t="shared" si="134"/>
        <v>2023</v>
      </c>
      <c r="I1163" s="2" t="s">
        <v>4</v>
      </c>
      <c r="J1163" s="2" t="s">
        <v>1826</v>
      </c>
      <c r="K1163" s="2" t="s">
        <v>158</v>
      </c>
      <c r="L1163" s="2" t="s">
        <v>159</v>
      </c>
      <c r="M1163" s="2" t="s">
        <v>160</v>
      </c>
      <c r="N1163" s="4" t="str">
        <f t="shared" si="135"/>
        <v>GAL</v>
      </c>
      <c r="O1163" s="5">
        <v>180</v>
      </c>
      <c r="S1163" s="32">
        <f t="shared" si="136"/>
        <v>0</v>
      </c>
    </row>
    <row r="1164" spans="2:19" x14ac:dyDescent="0.25">
      <c r="B1164" s="1" t="s">
        <v>154</v>
      </c>
      <c r="C1164" s="2" t="s">
        <v>155</v>
      </c>
      <c r="D1164" s="2" t="s">
        <v>107</v>
      </c>
      <c r="E1164" s="2" t="s">
        <v>108</v>
      </c>
      <c r="F1164" s="3">
        <f>DATE(2023,2,10)</f>
        <v>44967</v>
      </c>
      <c r="G1164" s="4">
        <f t="shared" si="133"/>
        <v>2</v>
      </c>
      <c r="H1164" s="4">
        <f t="shared" si="134"/>
        <v>2023</v>
      </c>
      <c r="I1164" s="2" t="s">
        <v>4</v>
      </c>
      <c r="J1164" s="2" t="s">
        <v>1827</v>
      </c>
      <c r="K1164" s="2" t="s">
        <v>1501</v>
      </c>
      <c r="L1164" s="2" t="s">
        <v>602</v>
      </c>
      <c r="M1164" s="2" t="s">
        <v>41</v>
      </c>
      <c r="N1164" s="4" t="str">
        <f t="shared" si="135"/>
        <v>GAL</v>
      </c>
      <c r="O1164" s="5">
        <v>120</v>
      </c>
      <c r="S1164" s="32">
        <f t="shared" si="136"/>
        <v>0</v>
      </c>
    </row>
    <row r="1165" spans="2:19" x14ac:dyDescent="0.25">
      <c r="B1165" s="1" t="s">
        <v>154</v>
      </c>
      <c r="C1165" s="2" t="s">
        <v>155</v>
      </c>
      <c r="D1165" s="2" t="s">
        <v>107</v>
      </c>
      <c r="E1165" s="2" t="s">
        <v>108</v>
      </c>
      <c r="F1165" s="3">
        <f>DATE(2023,2,10)</f>
        <v>44967</v>
      </c>
      <c r="G1165" s="4">
        <f t="shared" si="133"/>
        <v>2</v>
      </c>
      <c r="H1165" s="4">
        <f t="shared" si="134"/>
        <v>2023</v>
      </c>
      <c r="I1165" s="2" t="s">
        <v>4</v>
      </c>
      <c r="J1165" s="2" t="s">
        <v>1827</v>
      </c>
      <c r="K1165" s="2" t="s">
        <v>192</v>
      </c>
      <c r="L1165" s="2" t="s">
        <v>193</v>
      </c>
      <c r="M1165" s="2" t="s">
        <v>160</v>
      </c>
      <c r="N1165" s="4" t="str">
        <f t="shared" si="135"/>
        <v>GAL</v>
      </c>
      <c r="O1165" s="5">
        <v>500</v>
      </c>
      <c r="S1165" s="32">
        <f t="shared" si="136"/>
        <v>0</v>
      </c>
    </row>
    <row r="1166" spans="2:19" x14ac:dyDescent="0.25">
      <c r="B1166" s="1" t="s">
        <v>154</v>
      </c>
      <c r="C1166" s="2" t="s">
        <v>155</v>
      </c>
      <c r="D1166" s="2" t="s">
        <v>167</v>
      </c>
      <c r="E1166" s="2" t="s">
        <v>168</v>
      </c>
      <c r="F1166" s="3">
        <f>DATE(2023,2,10)</f>
        <v>44967</v>
      </c>
      <c r="G1166" s="4">
        <f t="shared" si="133"/>
        <v>2</v>
      </c>
      <c r="H1166" s="4">
        <f t="shared" si="134"/>
        <v>2023</v>
      </c>
      <c r="I1166" s="2" t="s">
        <v>4</v>
      </c>
      <c r="J1166" s="2" t="s">
        <v>1828</v>
      </c>
      <c r="K1166" s="2" t="s">
        <v>609</v>
      </c>
      <c r="L1166" s="2" t="s">
        <v>610</v>
      </c>
      <c r="M1166" s="2" t="s">
        <v>611</v>
      </c>
      <c r="N1166" s="4" t="str">
        <f t="shared" si="135"/>
        <v>GAL</v>
      </c>
      <c r="O1166" s="5">
        <v>720</v>
      </c>
      <c r="S1166" s="32">
        <f t="shared" si="136"/>
        <v>0</v>
      </c>
    </row>
    <row r="1167" spans="2:19" x14ac:dyDescent="0.25">
      <c r="B1167" s="1" t="s">
        <v>154</v>
      </c>
      <c r="C1167" s="2" t="s">
        <v>155</v>
      </c>
      <c r="D1167" s="2" t="s">
        <v>161</v>
      </c>
      <c r="E1167" s="2" t="s">
        <v>162</v>
      </c>
      <c r="F1167" s="3">
        <f>DATE(2023,2,13)</f>
        <v>44970</v>
      </c>
      <c r="G1167" s="4">
        <f t="shared" si="133"/>
        <v>2</v>
      </c>
      <c r="H1167" s="4">
        <f t="shared" si="134"/>
        <v>2023</v>
      </c>
      <c r="I1167" s="2" t="s">
        <v>4</v>
      </c>
      <c r="J1167" s="2" t="s">
        <v>1829</v>
      </c>
      <c r="K1167" s="2" t="s">
        <v>25</v>
      </c>
      <c r="L1167" s="2" t="s">
        <v>541</v>
      </c>
      <c r="M1167" s="2" t="s">
        <v>27</v>
      </c>
      <c r="N1167" s="4" t="str">
        <f t="shared" si="135"/>
        <v>GAL</v>
      </c>
      <c r="O1167" s="5">
        <v>180</v>
      </c>
      <c r="S1167" s="32">
        <f t="shared" si="136"/>
        <v>0</v>
      </c>
    </row>
    <row r="1168" spans="2:19" x14ac:dyDescent="0.25">
      <c r="B1168" s="1" t="s">
        <v>154</v>
      </c>
      <c r="C1168" s="2" t="s">
        <v>155</v>
      </c>
      <c r="D1168" s="2" t="s">
        <v>161</v>
      </c>
      <c r="E1168" s="2" t="s">
        <v>162</v>
      </c>
      <c r="F1168" s="3">
        <f>DATE(2023,2,13)</f>
        <v>44970</v>
      </c>
      <c r="G1168" s="4">
        <f t="shared" si="133"/>
        <v>2</v>
      </c>
      <c r="H1168" s="4">
        <f t="shared" si="134"/>
        <v>2023</v>
      </c>
      <c r="I1168" s="2" t="s">
        <v>4</v>
      </c>
      <c r="J1168" s="2" t="s">
        <v>1830</v>
      </c>
      <c r="K1168" s="2" t="s">
        <v>1119</v>
      </c>
      <c r="L1168" s="2" t="s">
        <v>1023</v>
      </c>
      <c r="M1168" s="2" t="s">
        <v>1024</v>
      </c>
      <c r="N1168" s="4" t="str">
        <f t="shared" si="135"/>
        <v>GAL</v>
      </c>
      <c r="O1168" s="5">
        <v>180</v>
      </c>
      <c r="S1168" s="32">
        <f t="shared" si="136"/>
        <v>0</v>
      </c>
    </row>
    <row r="1169" spans="2:19" x14ac:dyDescent="0.25">
      <c r="B1169" s="1" t="s">
        <v>154</v>
      </c>
      <c r="C1169" s="2" t="s">
        <v>155</v>
      </c>
      <c r="D1169" s="2" t="s">
        <v>167</v>
      </c>
      <c r="E1169" s="2" t="s">
        <v>168</v>
      </c>
      <c r="F1169" s="3">
        <f t="shared" ref="F1169:F1174" si="137">DATE(2023,2,14)</f>
        <v>44971</v>
      </c>
      <c r="G1169" s="4">
        <f t="shared" si="133"/>
        <v>2</v>
      </c>
      <c r="H1169" s="4">
        <f t="shared" si="134"/>
        <v>2023</v>
      </c>
      <c r="I1169" s="2" t="s">
        <v>4</v>
      </c>
      <c r="J1169" s="2" t="s">
        <v>1831</v>
      </c>
      <c r="K1169" s="2" t="s">
        <v>171</v>
      </c>
      <c r="L1169" s="2" t="s">
        <v>172</v>
      </c>
      <c r="M1169" s="2" t="s">
        <v>27</v>
      </c>
      <c r="N1169" s="4" t="str">
        <f t="shared" si="135"/>
        <v>GAL</v>
      </c>
      <c r="O1169" s="5">
        <v>180</v>
      </c>
      <c r="S1169" s="32">
        <f t="shared" si="136"/>
        <v>0</v>
      </c>
    </row>
    <row r="1170" spans="2:19" x14ac:dyDescent="0.25">
      <c r="B1170" s="1" t="s">
        <v>645</v>
      </c>
      <c r="C1170" s="2" t="s">
        <v>155</v>
      </c>
      <c r="D1170" s="2" t="s">
        <v>646</v>
      </c>
      <c r="E1170" s="2" t="s">
        <v>647</v>
      </c>
      <c r="F1170" s="3">
        <f t="shared" si="137"/>
        <v>44971</v>
      </c>
      <c r="G1170" s="4">
        <f t="shared" si="133"/>
        <v>2</v>
      </c>
      <c r="H1170" s="4">
        <f t="shared" si="134"/>
        <v>2023</v>
      </c>
      <c r="I1170" s="2" t="s">
        <v>4</v>
      </c>
      <c r="J1170" s="2" t="s">
        <v>1832</v>
      </c>
      <c r="K1170" s="2" t="s">
        <v>158</v>
      </c>
      <c r="L1170" s="2" t="s">
        <v>159</v>
      </c>
      <c r="M1170" s="2" t="s">
        <v>160</v>
      </c>
      <c r="N1170" s="4" t="str">
        <f t="shared" si="135"/>
        <v>GAL</v>
      </c>
      <c r="O1170" s="5">
        <v>360</v>
      </c>
      <c r="S1170" s="32">
        <f t="shared" si="136"/>
        <v>0</v>
      </c>
    </row>
    <row r="1171" spans="2:19" x14ac:dyDescent="0.25">
      <c r="B1171" s="1" t="s">
        <v>154</v>
      </c>
      <c r="C1171" s="2" t="s">
        <v>155</v>
      </c>
      <c r="D1171" s="2" t="s">
        <v>167</v>
      </c>
      <c r="E1171" s="2" t="s">
        <v>168</v>
      </c>
      <c r="F1171" s="3">
        <f t="shared" si="137"/>
        <v>44971</v>
      </c>
      <c r="G1171" s="4">
        <f t="shared" si="133"/>
        <v>2</v>
      </c>
      <c r="H1171" s="4">
        <f t="shared" si="134"/>
        <v>2023</v>
      </c>
      <c r="I1171" s="2" t="s">
        <v>4</v>
      </c>
      <c r="J1171" s="2" t="s">
        <v>1833</v>
      </c>
      <c r="K1171" s="2" t="s">
        <v>1496</v>
      </c>
      <c r="L1171" s="2" t="s">
        <v>159</v>
      </c>
      <c r="M1171" s="2" t="s">
        <v>160</v>
      </c>
      <c r="N1171" s="4" t="str">
        <f t="shared" si="135"/>
        <v>GAL</v>
      </c>
      <c r="O1171" s="5">
        <v>1500</v>
      </c>
      <c r="S1171" s="32">
        <f t="shared" si="136"/>
        <v>0</v>
      </c>
    </row>
    <row r="1172" spans="2:19" x14ac:dyDescent="0.25">
      <c r="B1172" s="1" t="s">
        <v>154</v>
      </c>
      <c r="C1172" s="2" t="s">
        <v>155</v>
      </c>
      <c r="D1172" s="2" t="s">
        <v>167</v>
      </c>
      <c r="E1172" s="2" t="s">
        <v>168</v>
      </c>
      <c r="F1172" s="3">
        <f t="shared" si="137"/>
        <v>44971</v>
      </c>
      <c r="G1172" s="4">
        <f t="shared" si="133"/>
        <v>2</v>
      </c>
      <c r="H1172" s="4">
        <f t="shared" si="134"/>
        <v>2023</v>
      </c>
      <c r="I1172" s="2" t="s">
        <v>4</v>
      </c>
      <c r="J1172" s="2" t="s">
        <v>1834</v>
      </c>
      <c r="K1172" s="2" t="s">
        <v>158</v>
      </c>
      <c r="L1172" s="2" t="s">
        <v>159</v>
      </c>
      <c r="M1172" s="2" t="s">
        <v>160</v>
      </c>
      <c r="N1172" s="4" t="str">
        <f t="shared" si="135"/>
        <v>GAL</v>
      </c>
      <c r="O1172" s="5">
        <v>360</v>
      </c>
      <c r="S1172" s="32">
        <f t="shared" si="136"/>
        <v>0</v>
      </c>
    </row>
    <row r="1173" spans="2:19" x14ac:dyDescent="0.25">
      <c r="B1173" s="1" t="s">
        <v>154</v>
      </c>
      <c r="C1173" s="2" t="s">
        <v>155</v>
      </c>
      <c r="D1173" s="2" t="s">
        <v>173</v>
      </c>
      <c r="E1173" s="2" t="s">
        <v>1835</v>
      </c>
      <c r="F1173" s="3">
        <f t="shared" si="137"/>
        <v>44971</v>
      </c>
      <c r="G1173" s="4">
        <f t="shared" si="133"/>
        <v>2</v>
      </c>
      <c r="H1173" s="4">
        <f t="shared" si="134"/>
        <v>2023</v>
      </c>
      <c r="I1173" s="2" t="s">
        <v>4</v>
      </c>
      <c r="J1173" s="2" t="s">
        <v>1836</v>
      </c>
      <c r="K1173" s="2" t="s">
        <v>1837</v>
      </c>
      <c r="L1173" s="2" t="s">
        <v>159</v>
      </c>
      <c r="M1173" s="2" t="s">
        <v>160</v>
      </c>
      <c r="N1173" s="4" t="str">
        <f t="shared" si="135"/>
        <v>GAL</v>
      </c>
      <c r="O1173" s="5">
        <v>472</v>
      </c>
      <c r="S1173" s="32">
        <f t="shared" si="136"/>
        <v>0</v>
      </c>
    </row>
    <row r="1174" spans="2:19" x14ac:dyDescent="0.25">
      <c r="B1174" s="1" t="s">
        <v>154</v>
      </c>
      <c r="C1174" s="2" t="s">
        <v>155</v>
      </c>
      <c r="D1174" s="2" t="s">
        <v>1838</v>
      </c>
      <c r="E1174" s="2" t="s">
        <v>1839</v>
      </c>
      <c r="F1174" s="3">
        <f t="shared" si="137"/>
        <v>44971</v>
      </c>
      <c r="G1174" s="4">
        <f t="shared" si="133"/>
        <v>2</v>
      </c>
      <c r="H1174" s="4">
        <f t="shared" si="134"/>
        <v>2023</v>
      </c>
      <c r="I1174" s="2" t="s">
        <v>4</v>
      </c>
      <c r="J1174" s="2" t="s">
        <v>1840</v>
      </c>
      <c r="K1174" s="2" t="s">
        <v>1841</v>
      </c>
      <c r="L1174" s="2" t="s">
        <v>1842</v>
      </c>
      <c r="M1174" s="2" t="s">
        <v>41</v>
      </c>
      <c r="N1174" s="4" t="str">
        <f t="shared" si="135"/>
        <v>GAL</v>
      </c>
      <c r="O1174" s="5">
        <v>740</v>
      </c>
      <c r="S1174" s="32">
        <f t="shared" si="136"/>
        <v>0</v>
      </c>
    </row>
    <row r="1175" spans="2:19" x14ac:dyDescent="0.25">
      <c r="B1175" s="1" t="s">
        <v>154</v>
      </c>
      <c r="C1175" s="2" t="s">
        <v>155</v>
      </c>
      <c r="D1175" s="2" t="s">
        <v>591</v>
      </c>
      <c r="E1175" s="2" t="s">
        <v>592</v>
      </c>
      <c r="F1175" s="3">
        <f>DATE(2023,2,15)</f>
        <v>44972</v>
      </c>
      <c r="G1175" s="4">
        <f t="shared" si="133"/>
        <v>2</v>
      </c>
      <c r="H1175" s="4">
        <f t="shared" si="134"/>
        <v>2023</v>
      </c>
      <c r="I1175" s="2" t="s">
        <v>4</v>
      </c>
      <c r="J1175" s="2" t="s">
        <v>1843</v>
      </c>
      <c r="K1175" s="2" t="s">
        <v>1098</v>
      </c>
      <c r="L1175" s="2" t="s">
        <v>632</v>
      </c>
      <c r="M1175" s="2" t="s">
        <v>633</v>
      </c>
      <c r="N1175" s="4" t="str">
        <f t="shared" si="135"/>
        <v>GAL</v>
      </c>
      <c r="O1175" s="5">
        <v>3045</v>
      </c>
      <c r="S1175" s="32">
        <f t="shared" si="136"/>
        <v>0</v>
      </c>
    </row>
    <row r="1176" spans="2:19" x14ac:dyDescent="0.25">
      <c r="B1176" s="1" t="s">
        <v>154</v>
      </c>
      <c r="C1176" s="2" t="s">
        <v>155</v>
      </c>
      <c r="D1176" s="2" t="s">
        <v>173</v>
      </c>
      <c r="E1176" s="2" t="s">
        <v>174</v>
      </c>
      <c r="F1176" s="3">
        <f>DATE(2023,2,16)</f>
        <v>44973</v>
      </c>
      <c r="G1176" s="4">
        <f t="shared" si="133"/>
        <v>2</v>
      </c>
      <c r="H1176" s="4">
        <f t="shared" si="134"/>
        <v>2023</v>
      </c>
      <c r="I1176" s="2" t="s">
        <v>4</v>
      </c>
      <c r="J1176" s="2" t="s">
        <v>1844</v>
      </c>
      <c r="K1176" s="2" t="s">
        <v>1837</v>
      </c>
      <c r="L1176" s="2" t="s">
        <v>159</v>
      </c>
      <c r="M1176" s="2" t="s">
        <v>160</v>
      </c>
      <c r="N1176" s="4" t="str">
        <f t="shared" si="135"/>
        <v>GAL</v>
      </c>
      <c r="O1176" s="5">
        <v>900</v>
      </c>
      <c r="S1176" s="32">
        <f t="shared" si="136"/>
        <v>0</v>
      </c>
    </row>
    <row r="1177" spans="2:19" x14ac:dyDescent="0.25">
      <c r="B1177" s="1" t="s">
        <v>154</v>
      </c>
      <c r="C1177" s="2" t="s">
        <v>155</v>
      </c>
      <c r="D1177" s="2" t="s">
        <v>1838</v>
      </c>
      <c r="E1177" s="2" t="s">
        <v>1839</v>
      </c>
      <c r="F1177" s="3">
        <f>DATE(2023,2,16)</f>
        <v>44973</v>
      </c>
      <c r="G1177" s="4">
        <f t="shared" si="133"/>
        <v>2</v>
      </c>
      <c r="H1177" s="4">
        <f t="shared" si="134"/>
        <v>2023</v>
      </c>
      <c r="I1177" s="2" t="s">
        <v>4</v>
      </c>
      <c r="J1177" s="2" t="s">
        <v>1845</v>
      </c>
      <c r="K1177" s="2" t="s">
        <v>1130</v>
      </c>
      <c r="L1177" s="2" t="s">
        <v>632</v>
      </c>
      <c r="M1177" s="2" t="s">
        <v>633</v>
      </c>
      <c r="N1177" s="4" t="str">
        <f t="shared" si="135"/>
        <v>GAL</v>
      </c>
      <c r="O1177" s="5">
        <v>50</v>
      </c>
      <c r="S1177" s="32">
        <f t="shared" si="136"/>
        <v>0</v>
      </c>
    </row>
    <row r="1178" spans="2:19" x14ac:dyDescent="0.25">
      <c r="B1178" s="1" t="s">
        <v>154</v>
      </c>
      <c r="C1178" s="2" t="s">
        <v>155</v>
      </c>
      <c r="D1178" s="2" t="s">
        <v>1838</v>
      </c>
      <c r="E1178" s="2" t="s">
        <v>1839</v>
      </c>
      <c r="F1178" s="3">
        <f>DATE(2023,2,16)</f>
        <v>44973</v>
      </c>
      <c r="G1178" s="4">
        <f t="shared" si="133"/>
        <v>2</v>
      </c>
      <c r="H1178" s="4">
        <f t="shared" si="134"/>
        <v>2023</v>
      </c>
      <c r="I1178" s="2" t="s">
        <v>4</v>
      </c>
      <c r="J1178" s="2" t="s">
        <v>1845</v>
      </c>
      <c r="K1178" s="2" t="s">
        <v>816</v>
      </c>
      <c r="L1178" s="2" t="s">
        <v>545</v>
      </c>
      <c r="M1178" s="2" t="s">
        <v>67</v>
      </c>
      <c r="N1178" s="4" t="str">
        <f t="shared" si="135"/>
        <v>GAL</v>
      </c>
      <c r="O1178" s="5">
        <v>740</v>
      </c>
      <c r="S1178" s="32">
        <f t="shared" si="136"/>
        <v>0</v>
      </c>
    </row>
    <row r="1179" spans="2:19" x14ac:dyDescent="0.25">
      <c r="B1179" s="1" t="s">
        <v>154</v>
      </c>
      <c r="C1179" s="2" t="s">
        <v>155</v>
      </c>
      <c r="D1179" s="2" t="s">
        <v>1111</v>
      </c>
      <c r="E1179" s="2" t="s">
        <v>1112</v>
      </c>
      <c r="F1179" s="3">
        <f>DATE(2023,2,17)</f>
        <v>44974</v>
      </c>
      <c r="G1179" s="4">
        <f t="shared" si="133"/>
        <v>2</v>
      </c>
      <c r="H1179" s="4">
        <f t="shared" si="134"/>
        <v>2023</v>
      </c>
      <c r="I1179" s="2" t="s">
        <v>4</v>
      </c>
      <c r="J1179" s="2" t="s">
        <v>1846</v>
      </c>
      <c r="K1179" s="2" t="s">
        <v>1496</v>
      </c>
      <c r="L1179" s="2" t="s">
        <v>159</v>
      </c>
      <c r="M1179" s="2" t="s">
        <v>160</v>
      </c>
      <c r="N1179" s="4" t="str">
        <f t="shared" si="135"/>
        <v>GAL</v>
      </c>
      <c r="O1179" s="5">
        <v>1500</v>
      </c>
      <c r="S1179" s="32">
        <f t="shared" si="136"/>
        <v>0</v>
      </c>
    </row>
    <row r="1180" spans="2:19" x14ac:dyDescent="0.25">
      <c r="B1180" s="1" t="s">
        <v>154</v>
      </c>
      <c r="C1180" s="2" t="s">
        <v>155</v>
      </c>
      <c r="D1180" s="2" t="s">
        <v>1111</v>
      </c>
      <c r="E1180" s="2" t="s">
        <v>1112</v>
      </c>
      <c r="F1180" s="3">
        <f>DATE(2023,2,17)</f>
        <v>44974</v>
      </c>
      <c r="G1180" s="4">
        <f t="shared" si="133"/>
        <v>2</v>
      </c>
      <c r="H1180" s="4">
        <f t="shared" si="134"/>
        <v>2023</v>
      </c>
      <c r="I1180" s="2" t="s">
        <v>4</v>
      </c>
      <c r="J1180" s="2" t="s">
        <v>1847</v>
      </c>
      <c r="K1180" s="2" t="s">
        <v>185</v>
      </c>
      <c r="L1180" s="2" t="s">
        <v>165</v>
      </c>
      <c r="M1180" s="2" t="s">
        <v>166</v>
      </c>
      <c r="N1180" s="4" t="str">
        <f t="shared" si="135"/>
        <v>GAL</v>
      </c>
      <c r="O1180" s="5">
        <v>1160</v>
      </c>
      <c r="S1180" s="32">
        <f t="shared" si="136"/>
        <v>0</v>
      </c>
    </row>
    <row r="1181" spans="2:19" x14ac:dyDescent="0.25">
      <c r="B1181" s="1" t="s">
        <v>154</v>
      </c>
      <c r="C1181" s="2" t="s">
        <v>155</v>
      </c>
      <c r="D1181" s="2" t="s">
        <v>623</v>
      </c>
      <c r="E1181" s="2" t="s">
        <v>1099</v>
      </c>
      <c r="F1181" s="3">
        <f>DATE(2023,2,17)</f>
        <v>44974</v>
      </c>
      <c r="G1181" s="4">
        <f t="shared" si="133"/>
        <v>2</v>
      </c>
      <c r="H1181" s="4">
        <f t="shared" si="134"/>
        <v>2023</v>
      </c>
      <c r="I1181" s="2" t="s">
        <v>4</v>
      </c>
      <c r="J1181" s="2" t="s">
        <v>1848</v>
      </c>
      <c r="K1181" s="2" t="s">
        <v>1824</v>
      </c>
      <c r="L1181" s="2" t="s">
        <v>1825</v>
      </c>
      <c r="M1181" s="2" t="s">
        <v>119</v>
      </c>
      <c r="N1181" s="4" t="str">
        <f t="shared" si="135"/>
        <v>TON</v>
      </c>
      <c r="O1181" s="5">
        <v>10.005000000000001</v>
      </c>
      <c r="S1181" s="32">
        <f t="shared" si="136"/>
        <v>0</v>
      </c>
    </row>
    <row r="1182" spans="2:19" x14ac:dyDescent="0.25">
      <c r="B1182" s="1" t="s">
        <v>154</v>
      </c>
      <c r="C1182" s="2" t="s">
        <v>155</v>
      </c>
      <c r="D1182" s="2" t="s">
        <v>107</v>
      </c>
      <c r="E1182" s="2" t="s">
        <v>1132</v>
      </c>
      <c r="F1182" s="3">
        <f>DATE(2023,2,20)</f>
        <v>44977</v>
      </c>
      <c r="G1182" s="4">
        <f t="shared" si="133"/>
        <v>2</v>
      </c>
      <c r="H1182" s="4">
        <f t="shared" si="134"/>
        <v>2023</v>
      </c>
      <c r="I1182" s="2" t="s">
        <v>4</v>
      </c>
      <c r="J1182" s="2" t="s">
        <v>1849</v>
      </c>
      <c r="K1182" s="2" t="s">
        <v>1078</v>
      </c>
      <c r="L1182" s="2" t="s">
        <v>1079</v>
      </c>
      <c r="M1182" s="2" t="s">
        <v>1080</v>
      </c>
      <c r="N1182" s="4" t="str">
        <f t="shared" si="135"/>
        <v>GAL</v>
      </c>
      <c r="O1182" s="5">
        <v>4782</v>
      </c>
      <c r="S1182" s="32">
        <f t="shared" si="136"/>
        <v>0</v>
      </c>
    </row>
    <row r="1183" spans="2:19" x14ac:dyDescent="0.25">
      <c r="B1183" s="1" t="s">
        <v>154</v>
      </c>
      <c r="C1183" s="2" t="s">
        <v>155</v>
      </c>
      <c r="D1183" s="2" t="s">
        <v>507</v>
      </c>
      <c r="E1183" s="2" t="s">
        <v>508</v>
      </c>
      <c r="F1183" s="3">
        <f>DATE(2023,2,21)</f>
        <v>44978</v>
      </c>
      <c r="G1183" s="4">
        <f t="shared" si="133"/>
        <v>2</v>
      </c>
      <c r="H1183" s="4">
        <f t="shared" si="134"/>
        <v>2023</v>
      </c>
      <c r="I1183" s="2" t="s">
        <v>4</v>
      </c>
      <c r="J1183" s="2" t="s">
        <v>1850</v>
      </c>
      <c r="K1183" s="2" t="s">
        <v>631</v>
      </c>
      <c r="L1183" s="2" t="s">
        <v>632</v>
      </c>
      <c r="M1183" s="2" t="s">
        <v>633</v>
      </c>
      <c r="N1183" s="4" t="str">
        <f t="shared" si="135"/>
        <v>GAL</v>
      </c>
      <c r="O1183" s="5">
        <v>1250</v>
      </c>
      <c r="S1183" s="32">
        <f t="shared" si="136"/>
        <v>0</v>
      </c>
    </row>
    <row r="1184" spans="2:19" x14ac:dyDescent="0.25">
      <c r="B1184" s="1" t="s">
        <v>154</v>
      </c>
      <c r="C1184" s="2" t="s">
        <v>155</v>
      </c>
      <c r="D1184" s="2" t="s">
        <v>623</v>
      </c>
      <c r="E1184" s="2" t="s">
        <v>624</v>
      </c>
      <c r="F1184" s="3">
        <f>DATE(2023,2,21)</f>
        <v>44978</v>
      </c>
      <c r="G1184" s="4">
        <f t="shared" si="133"/>
        <v>2</v>
      </c>
      <c r="H1184" s="4">
        <f t="shared" si="134"/>
        <v>2023</v>
      </c>
      <c r="I1184" s="2" t="s">
        <v>4</v>
      </c>
      <c r="J1184" s="2" t="s">
        <v>1851</v>
      </c>
      <c r="K1184" s="2" t="s">
        <v>1824</v>
      </c>
      <c r="L1184" s="2" t="s">
        <v>1825</v>
      </c>
      <c r="M1184" s="2" t="s">
        <v>119</v>
      </c>
      <c r="N1184" s="4" t="str">
        <f t="shared" si="135"/>
        <v>TON</v>
      </c>
      <c r="O1184" s="5">
        <v>15.0275</v>
      </c>
      <c r="S1184" s="32">
        <f t="shared" si="136"/>
        <v>0</v>
      </c>
    </row>
    <row r="1185" spans="2:19" x14ac:dyDescent="0.25">
      <c r="B1185" s="1" t="s">
        <v>154</v>
      </c>
      <c r="C1185" s="2" t="s">
        <v>155</v>
      </c>
      <c r="D1185" s="2" t="s">
        <v>167</v>
      </c>
      <c r="E1185" s="2" t="s">
        <v>168</v>
      </c>
      <c r="F1185" s="3">
        <f>DATE(2023,2,22)</f>
        <v>44979</v>
      </c>
      <c r="G1185" s="4">
        <f t="shared" si="133"/>
        <v>2</v>
      </c>
      <c r="H1185" s="4">
        <f t="shared" si="134"/>
        <v>2023</v>
      </c>
      <c r="I1185" s="2" t="s">
        <v>4</v>
      </c>
      <c r="J1185" s="2" t="s">
        <v>1852</v>
      </c>
      <c r="K1185" s="2" t="s">
        <v>1853</v>
      </c>
      <c r="L1185" s="2" t="s">
        <v>1854</v>
      </c>
      <c r="M1185" s="2" t="s">
        <v>1816</v>
      </c>
      <c r="N1185" s="4" t="str">
        <f t="shared" si="135"/>
        <v>GAL</v>
      </c>
      <c r="O1185" s="5">
        <v>180</v>
      </c>
      <c r="S1185" s="32">
        <f t="shared" si="136"/>
        <v>0</v>
      </c>
    </row>
    <row r="1186" spans="2:19" x14ac:dyDescent="0.25">
      <c r="B1186" s="1" t="s">
        <v>154</v>
      </c>
      <c r="C1186" s="2" t="s">
        <v>155</v>
      </c>
      <c r="D1186" s="2" t="s">
        <v>107</v>
      </c>
      <c r="E1186" s="2" t="s">
        <v>108</v>
      </c>
      <c r="F1186" s="3">
        <f>DATE(2023,2,22)</f>
        <v>44979</v>
      </c>
      <c r="G1186" s="4">
        <f t="shared" si="133"/>
        <v>2</v>
      </c>
      <c r="H1186" s="4">
        <f t="shared" si="134"/>
        <v>2023</v>
      </c>
      <c r="I1186" s="2" t="s">
        <v>4</v>
      </c>
      <c r="J1186" s="2" t="s">
        <v>1855</v>
      </c>
      <c r="K1186" s="2" t="s">
        <v>1120</v>
      </c>
      <c r="L1186" s="2" t="s">
        <v>1856</v>
      </c>
      <c r="M1186" s="2" t="s">
        <v>131</v>
      </c>
      <c r="N1186" s="4" t="str">
        <f t="shared" si="135"/>
        <v>GAL</v>
      </c>
      <c r="O1186" s="5">
        <v>180</v>
      </c>
      <c r="S1186" s="32">
        <f t="shared" si="136"/>
        <v>0</v>
      </c>
    </row>
    <row r="1187" spans="2:19" x14ac:dyDescent="0.25">
      <c r="B1187" s="1" t="s">
        <v>645</v>
      </c>
      <c r="C1187" s="2" t="s">
        <v>155</v>
      </c>
      <c r="D1187" s="2" t="s">
        <v>646</v>
      </c>
      <c r="E1187" s="2" t="s">
        <v>647</v>
      </c>
      <c r="F1187" s="3">
        <f>DATE(2023,2,22)</f>
        <v>44979</v>
      </c>
      <c r="G1187" s="4">
        <f t="shared" si="133"/>
        <v>2</v>
      </c>
      <c r="H1187" s="4">
        <f t="shared" si="134"/>
        <v>2023</v>
      </c>
      <c r="I1187" s="2" t="s">
        <v>4</v>
      </c>
      <c r="J1187" s="2" t="s">
        <v>1857</v>
      </c>
      <c r="K1187" s="2" t="s">
        <v>25</v>
      </c>
      <c r="L1187" s="2" t="s">
        <v>541</v>
      </c>
      <c r="M1187" s="2" t="s">
        <v>27</v>
      </c>
      <c r="N1187" s="4" t="str">
        <f t="shared" si="135"/>
        <v>GAL</v>
      </c>
      <c r="O1187" s="5">
        <v>360</v>
      </c>
      <c r="S1187" s="32">
        <f t="shared" si="136"/>
        <v>0</v>
      </c>
    </row>
    <row r="1188" spans="2:19" x14ac:dyDescent="0.25">
      <c r="B1188" s="1" t="s">
        <v>154</v>
      </c>
      <c r="C1188" s="2" t="s">
        <v>155</v>
      </c>
      <c r="D1188" s="2" t="s">
        <v>628</v>
      </c>
      <c r="E1188" s="2" t="s">
        <v>629</v>
      </c>
      <c r="F1188" s="3">
        <f t="shared" ref="F1188:F1195" si="138">DATE(2023,2,23)</f>
        <v>44980</v>
      </c>
      <c r="G1188" s="4">
        <f t="shared" si="133"/>
        <v>2</v>
      </c>
      <c r="H1188" s="4">
        <f t="shared" si="134"/>
        <v>2023</v>
      </c>
      <c r="I1188" s="2" t="s">
        <v>4</v>
      </c>
      <c r="J1188" s="2" t="s">
        <v>1858</v>
      </c>
      <c r="K1188" s="2" t="s">
        <v>631</v>
      </c>
      <c r="L1188" s="2" t="s">
        <v>632</v>
      </c>
      <c r="M1188" s="2" t="s">
        <v>633</v>
      </c>
      <c r="N1188" s="4" t="str">
        <f t="shared" si="135"/>
        <v>GAL</v>
      </c>
      <c r="O1188" s="5">
        <v>250</v>
      </c>
      <c r="S1188" s="32">
        <f t="shared" si="136"/>
        <v>0</v>
      </c>
    </row>
    <row r="1189" spans="2:19" x14ac:dyDescent="0.25">
      <c r="B1189" s="1" t="s">
        <v>154</v>
      </c>
      <c r="C1189" s="2" t="s">
        <v>155</v>
      </c>
      <c r="D1189" s="2" t="s">
        <v>161</v>
      </c>
      <c r="E1189" s="2" t="s">
        <v>162</v>
      </c>
      <c r="F1189" s="3">
        <f t="shared" si="138"/>
        <v>44980</v>
      </c>
      <c r="G1189" s="4">
        <f t="shared" si="133"/>
        <v>2</v>
      </c>
      <c r="H1189" s="4">
        <f t="shared" si="134"/>
        <v>2023</v>
      </c>
      <c r="I1189" s="2" t="s">
        <v>4</v>
      </c>
      <c r="J1189" s="2" t="s">
        <v>1859</v>
      </c>
      <c r="K1189" s="2" t="s">
        <v>25</v>
      </c>
      <c r="L1189" s="2" t="s">
        <v>541</v>
      </c>
      <c r="M1189" s="2" t="s">
        <v>27</v>
      </c>
      <c r="N1189" s="4" t="str">
        <f t="shared" si="135"/>
        <v>GAL</v>
      </c>
      <c r="O1189" s="5">
        <v>180</v>
      </c>
      <c r="S1189" s="32">
        <f t="shared" si="136"/>
        <v>0</v>
      </c>
    </row>
    <row r="1190" spans="2:19" x14ac:dyDescent="0.25">
      <c r="B1190" s="1" t="s">
        <v>154</v>
      </c>
      <c r="C1190" s="2" t="s">
        <v>155</v>
      </c>
      <c r="D1190" s="2" t="s">
        <v>167</v>
      </c>
      <c r="E1190" s="2" t="s">
        <v>168</v>
      </c>
      <c r="F1190" s="3">
        <f t="shared" si="138"/>
        <v>44980</v>
      </c>
      <c r="G1190" s="4">
        <f t="shared" si="133"/>
        <v>2</v>
      </c>
      <c r="H1190" s="4">
        <f t="shared" si="134"/>
        <v>2023</v>
      </c>
      <c r="I1190" s="2" t="s">
        <v>4</v>
      </c>
      <c r="J1190" s="2" t="s">
        <v>1860</v>
      </c>
      <c r="K1190" s="2" t="s">
        <v>171</v>
      </c>
      <c r="L1190" s="2" t="s">
        <v>172</v>
      </c>
      <c r="M1190" s="2" t="s">
        <v>27</v>
      </c>
      <c r="N1190" s="4" t="str">
        <f t="shared" si="135"/>
        <v>GAL</v>
      </c>
      <c r="O1190" s="5">
        <v>180</v>
      </c>
      <c r="S1190" s="32">
        <f t="shared" si="136"/>
        <v>0</v>
      </c>
    </row>
    <row r="1191" spans="2:19" x14ac:dyDescent="0.25">
      <c r="B1191" s="1" t="s">
        <v>154</v>
      </c>
      <c r="C1191" s="2" t="s">
        <v>155</v>
      </c>
      <c r="D1191" s="2" t="s">
        <v>167</v>
      </c>
      <c r="E1191" s="2" t="s">
        <v>168</v>
      </c>
      <c r="F1191" s="3">
        <f t="shared" si="138"/>
        <v>44980</v>
      </c>
      <c r="G1191" s="4">
        <f t="shared" si="133"/>
        <v>2</v>
      </c>
      <c r="H1191" s="4">
        <f t="shared" si="134"/>
        <v>2023</v>
      </c>
      <c r="I1191" s="2" t="s">
        <v>4</v>
      </c>
      <c r="J1191" s="2" t="s">
        <v>1861</v>
      </c>
      <c r="K1191" s="2" t="s">
        <v>158</v>
      </c>
      <c r="L1191" s="2" t="s">
        <v>159</v>
      </c>
      <c r="M1191" s="2" t="s">
        <v>160</v>
      </c>
      <c r="N1191" s="4" t="str">
        <f t="shared" si="135"/>
        <v>GAL</v>
      </c>
      <c r="O1191" s="5">
        <v>360</v>
      </c>
      <c r="S1191" s="32">
        <f t="shared" si="136"/>
        <v>0</v>
      </c>
    </row>
    <row r="1192" spans="2:19" x14ac:dyDescent="0.25">
      <c r="B1192" s="1" t="s">
        <v>645</v>
      </c>
      <c r="C1192" s="2" t="s">
        <v>155</v>
      </c>
      <c r="D1192" s="2" t="s">
        <v>646</v>
      </c>
      <c r="E1192" s="2" t="s">
        <v>647</v>
      </c>
      <c r="F1192" s="3">
        <f t="shared" si="138"/>
        <v>44980</v>
      </c>
      <c r="G1192" s="4">
        <f t="shared" si="133"/>
        <v>2</v>
      </c>
      <c r="H1192" s="4">
        <f t="shared" si="134"/>
        <v>2023</v>
      </c>
      <c r="I1192" s="2" t="s">
        <v>4</v>
      </c>
      <c r="J1192" s="2" t="s">
        <v>1862</v>
      </c>
      <c r="K1192" s="2" t="s">
        <v>649</v>
      </c>
      <c r="L1192" s="2" t="s">
        <v>538</v>
      </c>
      <c r="M1192" s="2" t="s">
        <v>539</v>
      </c>
      <c r="N1192" s="4" t="str">
        <f t="shared" si="135"/>
        <v>GAL</v>
      </c>
      <c r="O1192" s="5">
        <v>500</v>
      </c>
      <c r="S1192" s="32">
        <f t="shared" si="136"/>
        <v>0</v>
      </c>
    </row>
    <row r="1193" spans="2:19" x14ac:dyDescent="0.25">
      <c r="B1193" s="1" t="s">
        <v>154</v>
      </c>
      <c r="C1193" s="2" t="s">
        <v>155</v>
      </c>
      <c r="D1193" s="2" t="s">
        <v>167</v>
      </c>
      <c r="E1193" s="2" t="s">
        <v>168</v>
      </c>
      <c r="F1193" s="3">
        <f t="shared" si="138"/>
        <v>44980</v>
      </c>
      <c r="G1193" s="4">
        <f t="shared" si="133"/>
        <v>2</v>
      </c>
      <c r="H1193" s="4">
        <f t="shared" si="134"/>
        <v>2023</v>
      </c>
      <c r="I1193" s="2" t="s">
        <v>4</v>
      </c>
      <c r="J1193" s="2" t="s">
        <v>1863</v>
      </c>
      <c r="K1193" s="2" t="s">
        <v>1496</v>
      </c>
      <c r="L1193" s="2" t="s">
        <v>159</v>
      </c>
      <c r="M1193" s="2" t="s">
        <v>160</v>
      </c>
      <c r="N1193" s="4" t="str">
        <f t="shared" si="135"/>
        <v>GAL</v>
      </c>
      <c r="O1193" s="5">
        <v>500</v>
      </c>
      <c r="S1193" s="32">
        <f t="shared" si="136"/>
        <v>0</v>
      </c>
    </row>
    <row r="1194" spans="2:19" x14ac:dyDescent="0.25">
      <c r="B1194" s="1" t="s">
        <v>154</v>
      </c>
      <c r="C1194" s="2" t="s">
        <v>155</v>
      </c>
      <c r="D1194" s="2" t="s">
        <v>173</v>
      </c>
      <c r="E1194" s="2" t="s">
        <v>174</v>
      </c>
      <c r="F1194" s="3">
        <f t="shared" si="138"/>
        <v>44980</v>
      </c>
      <c r="G1194" s="4">
        <f t="shared" si="133"/>
        <v>2</v>
      </c>
      <c r="H1194" s="4">
        <f t="shared" si="134"/>
        <v>2023</v>
      </c>
      <c r="I1194" s="2" t="s">
        <v>4</v>
      </c>
      <c r="J1194" s="2" t="s">
        <v>1864</v>
      </c>
      <c r="K1194" s="2" t="s">
        <v>158</v>
      </c>
      <c r="L1194" s="2" t="s">
        <v>159</v>
      </c>
      <c r="M1194" s="2" t="s">
        <v>160</v>
      </c>
      <c r="N1194" s="4" t="str">
        <f t="shared" si="135"/>
        <v>GAL</v>
      </c>
      <c r="O1194" s="5">
        <v>180</v>
      </c>
      <c r="S1194" s="32">
        <f t="shared" si="136"/>
        <v>0</v>
      </c>
    </row>
    <row r="1195" spans="2:19" x14ac:dyDescent="0.25">
      <c r="B1195" s="1" t="s">
        <v>645</v>
      </c>
      <c r="C1195" s="2" t="s">
        <v>155</v>
      </c>
      <c r="D1195" s="2" t="s">
        <v>646</v>
      </c>
      <c r="E1195" s="2" t="s">
        <v>647</v>
      </c>
      <c r="F1195" s="3">
        <f t="shared" si="138"/>
        <v>44980</v>
      </c>
      <c r="G1195" s="4">
        <f t="shared" si="133"/>
        <v>2</v>
      </c>
      <c r="H1195" s="4">
        <f t="shared" si="134"/>
        <v>2023</v>
      </c>
      <c r="I1195" s="2" t="s">
        <v>4</v>
      </c>
      <c r="J1195" s="2" t="s">
        <v>1865</v>
      </c>
      <c r="K1195" s="2" t="s">
        <v>158</v>
      </c>
      <c r="L1195" s="2" t="s">
        <v>159</v>
      </c>
      <c r="M1195" s="2" t="s">
        <v>160</v>
      </c>
      <c r="N1195" s="4" t="str">
        <f t="shared" si="135"/>
        <v>GAL</v>
      </c>
      <c r="O1195" s="5">
        <v>180</v>
      </c>
      <c r="S1195" s="32">
        <f t="shared" si="136"/>
        <v>0</v>
      </c>
    </row>
    <row r="1196" spans="2:19" x14ac:dyDescent="0.25">
      <c r="B1196" s="1" t="s">
        <v>154</v>
      </c>
      <c r="C1196" s="2" t="s">
        <v>155</v>
      </c>
      <c r="D1196" s="2" t="s">
        <v>1127</v>
      </c>
      <c r="E1196" s="2" t="s">
        <v>174</v>
      </c>
      <c r="F1196" s="3">
        <f t="shared" ref="F1196:F1201" si="139">DATE(2023,2,28)</f>
        <v>44985</v>
      </c>
      <c r="G1196" s="4">
        <f t="shared" si="133"/>
        <v>2</v>
      </c>
      <c r="H1196" s="4">
        <f t="shared" si="134"/>
        <v>2023</v>
      </c>
      <c r="I1196" s="2" t="s">
        <v>4</v>
      </c>
      <c r="J1196" s="2" t="s">
        <v>1866</v>
      </c>
      <c r="K1196" s="2" t="s">
        <v>578</v>
      </c>
      <c r="L1196" s="2" t="s">
        <v>1867</v>
      </c>
      <c r="M1196" s="2" t="s">
        <v>73</v>
      </c>
      <c r="N1196" s="4" t="str">
        <f t="shared" si="135"/>
        <v>GAL</v>
      </c>
      <c r="O1196" s="5">
        <v>50</v>
      </c>
      <c r="S1196" s="32">
        <f t="shared" si="136"/>
        <v>0</v>
      </c>
    </row>
    <row r="1197" spans="2:19" x14ac:dyDescent="0.25">
      <c r="B1197" s="1" t="s">
        <v>154</v>
      </c>
      <c r="C1197" s="2" t="s">
        <v>155</v>
      </c>
      <c r="D1197" s="2" t="s">
        <v>1127</v>
      </c>
      <c r="E1197" s="2" t="s">
        <v>174</v>
      </c>
      <c r="F1197" s="3">
        <f t="shared" si="139"/>
        <v>44985</v>
      </c>
      <c r="G1197" s="4">
        <f t="shared" si="133"/>
        <v>2</v>
      </c>
      <c r="H1197" s="4">
        <f t="shared" si="134"/>
        <v>2023</v>
      </c>
      <c r="I1197" s="2" t="s">
        <v>4</v>
      </c>
      <c r="J1197" s="2" t="s">
        <v>1866</v>
      </c>
      <c r="K1197" s="2" t="s">
        <v>1734</v>
      </c>
      <c r="L1197" s="2" t="s">
        <v>1735</v>
      </c>
      <c r="M1197" s="2" t="s">
        <v>1736</v>
      </c>
      <c r="N1197" s="4" t="str">
        <f t="shared" si="135"/>
        <v>GAL</v>
      </c>
      <c r="O1197" s="5">
        <v>50</v>
      </c>
      <c r="S1197" s="32">
        <f t="shared" si="136"/>
        <v>0</v>
      </c>
    </row>
    <row r="1198" spans="2:19" x14ac:dyDescent="0.25">
      <c r="B1198" s="1" t="s">
        <v>154</v>
      </c>
      <c r="C1198" s="2" t="s">
        <v>155</v>
      </c>
      <c r="D1198" s="2" t="s">
        <v>1111</v>
      </c>
      <c r="E1198" s="2" t="s">
        <v>1112</v>
      </c>
      <c r="F1198" s="3">
        <f t="shared" si="139"/>
        <v>44985</v>
      </c>
      <c r="G1198" s="4">
        <f t="shared" si="133"/>
        <v>2</v>
      </c>
      <c r="H1198" s="4">
        <f t="shared" si="134"/>
        <v>2023</v>
      </c>
      <c r="I1198" s="2" t="s">
        <v>4</v>
      </c>
      <c r="J1198" s="2" t="s">
        <v>1868</v>
      </c>
      <c r="K1198" s="2" t="s">
        <v>1869</v>
      </c>
      <c r="L1198" s="2" t="s">
        <v>172</v>
      </c>
      <c r="M1198" s="2" t="s">
        <v>27</v>
      </c>
      <c r="N1198" s="4" t="str">
        <f t="shared" si="135"/>
        <v>GAL</v>
      </c>
      <c r="O1198" s="5">
        <v>1500</v>
      </c>
      <c r="S1198" s="32">
        <f t="shared" si="136"/>
        <v>0</v>
      </c>
    </row>
    <row r="1199" spans="2:19" x14ac:dyDescent="0.25">
      <c r="B1199" s="1" t="s">
        <v>154</v>
      </c>
      <c r="C1199" s="2" t="s">
        <v>155</v>
      </c>
      <c r="D1199" s="2" t="s">
        <v>173</v>
      </c>
      <c r="E1199" s="2" t="s">
        <v>174</v>
      </c>
      <c r="F1199" s="3">
        <f t="shared" si="139"/>
        <v>44985</v>
      </c>
      <c r="G1199" s="4">
        <f t="shared" si="133"/>
        <v>2</v>
      </c>
      <c r="H1199" s="4">
        <f t="shared" si="134"/>
        <v>2023</v>
      </c>
      <c r="I1199" s="2" t="s">
        <v>4</v>
      </c>
      <c r="J1199" s="2" t="s">
        <v>1870</v>
      </c>
      <c r="K1199" s="2" t="s">
        <v>1496</v>
      </c>
      <c r="L1199" s="2" t="s">
        <v>159</v>
      </c>
      <c r="M1199" s="2" t="s">
        <v>160</v>
      </c>
      <c r="N1199" s="4" t="str">
        <f t="shared" si="135"/>
        <v>GAL</v>
      </c>
      <c r="O1199" s="5">
        <v>1500</v>
      </c>
      <c r="S1199" s="32">
        <f t="shared" si="136"/>
        <v>0</v>
      </c>
    </row>
    <row r="1200" spans="2:19" x14ac:dyDescent="0.25">
      <c r="B1200" s="1" t="s">
        <v>645</v>
      </c>
      <c r="C1200" s="2" t="s">
        <v>155</v>
      </c>
      <c r="D1200" s="2" t="s">
        <v>646</v>
      </c>
      <c r="E1200" s="2" t="s">
        <v>647</v>
      </c>
      <c r="F1200" s="3">
        <f t="shared" si="139"/>
        <v>44985</v>
      </c>
      <c r="G1200" s="4">
        <f t="shared" si="133"/>
        <v>2</v>
      </c>
      <c r="H1200" s="4">
        <f t="shared" si="134"/>
        <v>2023</v>
      </c>
      <c r="I1200" s="2" t="s">
        <v>4</v>
      </c>
      <c r="J1200" s="2" t="s">
        <v>1871</v>
      </c>
      <c r="K1200" s="2" t="s">
        <v>158</v>
      </c>
      <c r="L1200" s="2" t="s">
        <v>159</v>
      </c>
      <c r="M1200" s="2" t="s">
        <v>160</v>
      </c>
      <c r="N1200" s="4" t="str">
        <f t="shared" si="135"/>
        <v>GAL</v>
      </c>
      <c r="O1200" s="5">
        <v>360</v>
      </c>
      <c r="S1200" s="32">
        <f t="shared" si="136"/>
        <v>0</v>
      </c>
    </row>
    <row r="1201" spans="2:19" x14ac:dyDescent="0.25">
      <c r="B1201" s="1" t="s">
        <v>154</v>
      </c>
      <c r="C1201" s="2" t="s">
        <v>155</v>
      </c>
      <c r="D1201" s="2" t="s">
        <v>178</v>
      </c>
      <c r="E1201" s="2" t="s">
        <v>179</v>
      </c>
      <c r="F1201" s="3">
        <f t="shared" si="139"/>
        <v>44985</v>
      </c>
      <c r="G1201" s="4">
        <f t="shared" si="133"/>
        <v>2</v>
      </c>
      <c r="H1201" s="4">
        <f t="shared" si="134"/>
        <v>2023</v>
      </c>
      <c r="I1201" s="2" t="s">
        <v>4</v>
      </c>
      <c r="J1201" s="2" t="s">
        <v>1872</v>
      </c>
      <c r="K1201" s="2" t="s">
        <v>1873</v>
      </c>
      <c r="L1201" s="2" t="s">
        <v>1874</v>
      </c>
      <c r="M1201" s="2" t="s">
        <v>1875</v>
      </c>
      <c r="N1201" s="4" t="str">
        <f t="shared" si="135"/>
        <v>GAL</v>
      </c>
      <c r="O1201" s="5">
        <v>250</v>
      </c>
      <c r="S1201" s="32">
        <f t="shared" si="136"/>
        <v>0</v>
      </c>
    </row>
    <row r="1202" spans="2:19" x14ac:dyDescent="0.25">
      <c r="B1202" s="1" t="s">
        <v>1520</v>
      </c>
      <c r="C1202" s="2" t="s">
        <v>196</v>
      </c>
      <c r="D1202" s="2" t="s">
        <v>285</v>
      </c>
      <c r="E1202" s="2" t="s">
        <v>297</v>
      </c>
      <c r="F1202" s="3">
        <f>DATE(2023,2,1)</f>
        <v>44958</v>
      </c>
      <c r="G1202" s="4">
        <f t="shared" si="133"/>
        <v>2</v>
      </c>
      <c r="H1202" s="4">
        <f t="shared" si="134"/>
        <v>2023</v>
      </c>
      <c r="I1202" s="2" t="s">
        <v>4</v>
      </c>
      <c r="J1202" s="2" t="s">
        <v>1876</v>
      </c>
      <c r="K1202" s="2" t="s">
        <v>205</v>
      </c>
      <c r="L1202" s="2" t="s">
        <v>206</v>
      </c>
      <c r="M1202" s="2" t="s">
        <v>119</v>
      </c>
      <c r="N1202" s="4" t="str">
        <f t="shared" si="135"/>
        <v>TON</v>
      </c>
      <c r="O1202" s="5">
        <v>8.0075000000000003</v>
      </c>
      <c r="S1202" s="32">
        <f t="shared" si="136"/>
        <v>0</v>
      </c>
    </row>
    <row r="1203" spans="2:19" x14ac:dyDescent="0.25">
      <c r="B1203" s="1" t="s">
        <v>1520</v>
      </c>
      <c r="C1203" s="2" t="s">
        <v>196</v>
      </c>
      <c r="D1203" s="2" t="s">
        <v>440</v>
      </c>
      <c r="E1203" s="2" t="s">
        <v>441</v>
      </c>
      <c r="F1203" s="3">
        <f>DATE(2023,2,2)</f>
        <v>44959</v>
      </c>
      <c r="G1203" s="4">
        <f t="shared" si="133"/>
        <v>2</v>
      </c>
      <c r="H1203" s="4">
        <f t="shared" si="134"/>
        <v>2023</v>
      </c>
      <c r="I1203" s="2" t="s">
        <v>4</v>
      </c>
      <c r="J1203" s="2" t="s">
        <v>1877</v>
      </c>
      <c r="K1203" s="2" t="s">
        <v>1529</v>
      </c>
      <c r="L1203" s="2" t="s">
        <v>1530</v>
      </c>
      <c r="M1203" s="2" t="s">
        <v>119</v>
      </c>
      <c r="N1203" s="4" t="str">
        <f t="shared" si="135"/>
        <v>TON</v>
      </c>
      <c r="O1203" s="5">
        <v>14.994999999999999</v>
      </c>
      <c r="S1203" s="32">
        <f t="shared" si="136"/>
        <v>0</v>
      </c>
    </row>
    <row r="1204" spans="2:19" x14ac:dyDescent="0.25">
      <c r="B1204" s="1" t="s">
        <v>1520</v>
      </c>
      <c r="C1204" s="2" t="s">
        <v>196</v>
      </c>
      <c r="D1204" s="2" t="s">
        <v>210</v>
      </c>
      <c r="E1204" s="2" t="s">
        <v>827</v>
      </c>
      <c r="F1204" s="3">
        <f>DATE(2023,2,2)</f>
        <v>44959</v>
      </c>
      <c r="G1204" s="4">
        <f t="shared" si="133"/>
        <v>2</v>
      </c>
      <c r="H1204" s="4">
        <f t="shared" si="134"/>
        <v>2023</v>
      </c>
      <c r="I1204" s="2" t="s">
        <v>4</v>
      </c>
      <c r="J1204" s="2" t="s">
        <v>1878</v>
      </c>
      <c r="K1204" s="2" t="s">
        <v>1119</v>
      </c>
      <c r="L1204" s="2" t="s">
        <v>1023</v>
      </c>
      <c r="M1204" s="2" t="s">
        <v>1024</v>
      </c>
      <c r="N1204" s="4" t="str">
        <f t="shared" si="135"/>
        <v>GAL</v>
      </c>
      <c r="O1204" s="5">
        <v>20</v>
      </c>
      <c r="S1204" s="32">
        <f t="shared" si="136"/>
        <v>0</v>
      </c>
    </row>
    <row r="1205" spans="2:19" x14ac:dyDescent="0.25">
      <c r="B1205" s="1" t="s">
        <v>1520</v>
      </c>
      <c r="C1205" s="2" t="s">
        <v>196</v>
      </c>
      <c r="D1205" s="2" t="s">
        <v>310</v>
      </c>
      <c r="E1205" s="2" t="s">
        <v>426</v>
      </c>
      <c r="F1205" s="3">
        <f>DATE(2023,2,2)</f>
        <v>44959</v>
      </c>
      <c r="G1205" s="4">
        <f t="shared" si="133"/>
        <v>2</v>
      </c>
      <c r="H1205" s="4">
        <f t="shared" si="134"/>
        <v>2023</v>
      </c>
      <c r="I1205" s="2" t="s">
        <v>4</v>
      </c>
      <c r="J1205" s="2" t="s">
        <v>1879</v>
      </c>
      <c r="K1205" s="2" t="s">
        <v>428</v>
      </c>
      <c r="L1205" s="2" t="s">
        <v>429</v>
      </c>
      <c r="M1205" s="2" t="s">
        <v>119</v>
      </c>
      <c r="N1205" s="4" t="str">
        <f t="shared" si="135"/>
        <v>TON</v>
      </c>
      <c r="O1205" s="5">
        <v>4.01</v>
      </c>
      <c r="S1205" s="32">
        <f t="shared" si="136"/>
        <v>0</v>
      </c>
    </row>
    <row r="1206" spans="2:19" x14ac:dyDescent="0.25">
      <c r="B1206" s="1" t="s">
        <v>1520</v>
      </c>
      <c r="C1206" s="2" t="s">
        <v>196</v>
      </c>
      <c r="D1206" s="2" t="s">
        <v>374</v>
      </c>
      <c r="E1206" s="2" t="s">
        <v>710</v>
      </c>
      <c r="F1206" s="3">
        <f>DATE(2023,2,2)</f>
        <v>44959</v>
      </c>
      <c r="G1206" s="4">
        <f t="shared" si="133"/>
        <v>2</v>
      </c>
      <c r="H1206" s="4">
        <f t="shared" si="134"/>
        <v>2023</v>
      </c>
      <c r="I1206" s="2" t="s">
        <v>4</v>
      </c>
      <c r="J1206" s="2" t="s">
        <v>1880</v>
      </c>
      <c r="K1206" s="2" t="s">
        <v>122</v>
      </c>
      <c r="L1206" s="2" t="s">
        <v>123</v>
      </c>
      <c r="M1206" s="2" t="s">
        <v>119</v>
      </c>
      <c r="N1206" s="4" t="str">
        <f t="shared" si="135"/>
        <v>TON</v>
      </c>
      <c r="O1206" s="5">
        <v>10.0525</v>
      </c>
      <c r="S1206" s="32">
        <f t="shared" si="136"/>
        <v>0</v>
      </c>
    </row>
    <row r="1207" spans="2:19" x14ac:dyDescent="0.25">
      <c r="B1207" s="1" t="s">
        <v>1520</v>
      </c>
      <c r="C1207" s="2" t="s">
        <v>196</v>
      </c>
      <c r="D1207" s="2" t="s">
        <v>317</v>
      </c>
      <c r="E1207" s="2" t="s">
        <v>677</v>
      </c>
      <c r="F1207" s="3">
        <f>DATE(2023,2,2)</f>
        <v>44959</v>
      </c>
      <c r="G1207" s="4">
        <f t="shared" si="133"/>
        <v>2</v>
      </c>
      <c r="H1207" s="4">
        <f t="shared" si="134"/>
        <v>2023</v>
      </c>
      <c r="I1207" s="2" t="s">
        <v>4</v>
      </c>
      <c r="J1207" s="2" t="s">
        <v>1881</v>
      </c>
      <c r="K1207" s="2" t="s">
        <v>390</v>
      </c>
      <c r="L1207" s="2" t="s">
        <v>391</v>
      </c>
      <c r="M1207" s="2" t="s">
        <v>119</v>
      </c>
      <c r="N1207" s="4" t="str">
        <f t="shared" si="135"/>
        <v>TON</v>
      </c>
      <c r="O1207" s="5">
        <v>10.005000000000001</v>
      </c>
      <c r="S1207" s="32">
        <f t="shared" si="136"/>
        <v>0</v>
      </c>
    </row>
    <row r="1208" spans="2:19" x14ac:dyDescent="0.25">
      <c r="B1208" s="1" t="s">
        <v>1520</v>
      </c>
      <c r="C1208" s="2" t="s">
        <v>196</v>
      </c>
      <c r="D1208" s="2" t="s">
        <v>669</v>
      </c>
      <c r="E1208" s="2" t="s">
        <v>861</v>
      </c>
      <c r="F1208" s="3">
        <f>DATE(2023,2,3)</f>
        <v>44960</v>
      </c>
      <c r="G1208" s="4">
        <f t="shared" si="133"/>
        <v>2</v>
      </c>
      <c r="H1208" s="4">
        <f t="shared" si="134"/>
        <v>2023</v>
      </c>
      <c r="I1208" s="2" t="s">
        <v>4</v>
      </c>
      <c r="J1208" s="2" t="s">
        <v>1882</v>
      </c>
      <c r="K1208" s="2" t="s">
        <v>384</v>
      </c>
      <c r="L1208" s="2" t="s">
        <v>385</v>
      </c>
      <c r="M1208" s="2" t="s">
        <v>119</v>
      </c>
      <c r="N1208" s="4" t="str">
        <f t="shared" si="135"/>
        <v>TON</v>
      </c>
      <c r="O1208" s="5">
        <v>1.9724999999999999</v>
      </c>
      <c r="S1208" s="32">
        <f t="shared" si="136"/>
        <v>0</v>
      </c>
    </row>
    <row r="1209" spans="2:19" x14ac:dyDescent="0.25">
      <c r="B1209" s="1" t="s">
        <v>1520</v>
      </c>
      <c r="C1209" s="2" t="s">
        <v>196</v>
      </c>
      <c r="D1209" s="2" t="s">
        <v>321</v>
      </c>
      <c r="E1209" s="2" t="s">
        <v>697</v>
      </c>
      <c r="F1209" s="3">
        <f>DATE(2023,2,3)</f>
        <v>44960</v>
      </c>
      <c r="G1209" s="4">
        <f t="shared" si="133"/>
        <v>2</v>
      </c>
      <c r="H1209" s="4">
        <f t="shared" si="134"/>
        <v>2023</v>
      </c>
      <c r="I1209" s="2" t="s">
        <v>4</v>
      </c>
      <c r="J1209" s="2" t="s">
        <v>1883</v>
      </c>
      <c r="K1209" s="2" t="s">
        <v>394</v>
      </c>
      <c r="L1209" s="2" t="s">
        <v>395</v>
      </c>
      <c r="M1209" s="2" t="s">
        <v>119</v>
      </c>
      <c r="N1209" s="4" t="str">
        <f t="shared" si="135"/>
        <v>TON</v>
      </c>
      <c r="O1209" s="5">
        <v>14.9925</v>
      </c>
      <c r="S1209" s="32">
        <f t="shared" si="136"/>
        <v>0</v>
      </c>
    </row>
    <row r="1210" spans="2:19" x14ac:dyDescent="0.25">
      <c r="B1210" s="1" t="s">
        <v>1520</v>
      </c>
      <c r="C1210" s="2" t="s">
        <v>196</v>
      </c>
      <c r="D1210" s="2" t="s">
        <v>790</v>
      </c>
      <c r="E1210" s="2" t="s">
        <v>1205</v>
      </c>
      <c r="F1210" s="3">
        <f>DATE(2023,2,3)</f>
        <v>44960</v>
      </c>
      <c r="G1210" s="4">
        <f t="shared" si="133"/>
        <v>2</v>
      </c>
      <c r="H1210" s="4">
        <f t="shared" si="134"/>
        <v>2023</v>
      </c>
      <c r="I1210" s="2" t="s">
        <v>4</v>
      </c>
      <c r="J1210" s="2" t="s">
        <v>1884</v>
      </c>
      <c r="K1210" s="2" t="s">
        <v>845</v>
      </c>
      <c r="L1210" s="2" t="s">
        <v>843</v>
      </c>
      <c r="M1210" s="2" t="s">
        <v>844</v>
      </c>
      <c r="N1210" s="4" t="str">
        <f t="shared" si="135"/>
        <v>GAL</v>
      </c>
      <c r="O1210" s="5">
        <v>55</v>
      </c>
      <c r="S1210" s="32">
        <f t="shared" si="136"/>
        <v>0</v>
      </c>
    </row>
    <row r="1211" spans="2:19" x14ac:dyDescent="0.25">
      <c r="B1211" s="1" t="s">
        <v>1520</v>
      </c>
      <c r="C1211" s="2" t="s">
        <v>196</v>
      </c>
      <c r="D1211" s="2" t="s">
        <v>241</v>
      </c>
      <c r="E1211" s="2" t="s">
        <v>242</v>
      </c>
      <c r="F1211" s="3">
        <f>DATE(2023,2,3)</f>
        <v>44960</v>
      </c>
      <c r="G1211" s="4">
        <f t="shared" si="133"/>
        <v>2</v>
      </c>
      <c r="H1211" s="4">
        <f t="shared" si="134"/>
        <v>2023</v>
      </c>
      <c r="I1211" s="2" t="s">
        <v>4</v>
      </c>
      <c r="J1211" s="2" t="s">
        <v>1885</v>
      </c>
      <c r="K1211" s="2" t="s">
        <v>1886</v>
      </c>
      <c r="L1211" s="2" t="s">
        <v>1887</v>
      </c>
      <c r="M1211" s="2" t="s">
        <v>119</v>
      </c>
      <c r="N1211" s="4" t="str">
        <f t="shared" si="135"/>
        <v>TON</v>
      </c>
      <c r="O1211" s="5">
        <v>0.05</v>
      </c>
      <c r="S1211" s="32">
        <f t="shared" si="136"/>
        <v>0</v>
      </c>
    </row>
    <row r="1212" spans="2:19" x14ac:dyDescent="0.25">
      <c r="B1212" s="1" t="s">
        <v>1520</v>
      </c>
      <c r="C1212" s="2" t="s">
        <v>196</v>
      </c>
      <c r="D1212" s="2" t="s">
        <v>303</v>
      </c>
      <c r="E1212" s="2" t="s">
        <v>942</v>
      </c>
      <c r="F1212" s="3">
        <f>DATE(2023,2,4)</f>
        <v>44961</v>
      </c>
      <c r="G1212" s="4">
        <f t="shared" si="133"/>
        <v>2</v>
      </c>
      <c r="H1212" s="4">
        <f t="shared" si="134"/>
        <v>2023</v>
      </c>
      <c r="I1212" s="2" t="s">
        <v>4</v>
      </c>
      <c r="J1212" s="2" t="s">
        <v>1888</v>
      </c>
      <c r="K1212" s="2" t="s">
        <v>1581</v>
      </c>
      <c r="L1212" s="2" t="s">
        <v>1582</v>
      </c>
      <c r="M1212" s="2" t="s">
        <v>119</v>
      </c>
      <c r="N1212" s="4" t="str">
        <f t="shared" si="135"/>
        <v>TON</v>
      </c>
      <c r="O1212" s="5">
        <v>4.99</v>
      </c>
      <c r="S1212" s="32">
        <f t="shared" si="136"/>
        <v>0</v>
      </c>
    </row>
    <row r="1213" spans="2:19" x14ac:dyDescent="0.25">
      <c r="B1213" s="1" t="s">
        <v>1520</v>
      </c>
      <c r="C1213" s="2" t="s">
        <v>196</v>
      </c>
      <c r="D1213" s="2" t="s">
        <v>715</v>
      </c>
      <c r="E1213" s="2" t="s">
        <v>971</v>
      </c>
      <c r="F1213" s="3">
        <f>DATE(2023,2,4)</f>
        <v>44961</v>
      </c>
      <c r="G1213" s="4">
        <f t="shared" si="133"/>
        <v>2</v>
      </c>
      <c r="H1213" s="4">
        <f t="shared" si="134"/>
        <v>2023</v>
      </c>
      <c r="I1213" s="2" t="s">
        <v>4</v>
      </c>
      <c r="J1213" s="2" t="s">
        <v>1889</v>
      </c>
      <c r="K1213" s="2" t="s">
        <v>307</v>
      </c>
      <c r="L1213" s="2" t="s">
        <v>308</v>
      </c>
      <c r="M1213" s="2" t="s">
        <v>119</v>
      </c>
      <c r="N1213" s="4" t="str">
        <f t="shared" si="135"/>
        <v>TON</v>
      </c>
      <c r="O1213" s="5">
        <v>2.4900000000000002</v>
      </c>
      <c r="S1213" s="32">
        <f t="shared" si="136"/>
        <v>0</v>
      </c>
    </row>
    <row r="1214" spans="2:19" x14ac:dyDescent="0.25">
      <c r="B1214" s="1" t="s">
        <v>1520</v>
      </c>
      <c r="C1214" s="2" t="s">
        <v>196</v>
      </c>
      <c r="D1214" s="2" t="s">
        <v>280</v>
      </c>
      <c r="E1214" s="2" t="s">
        <v>868</v>
      </c>
      <c r="F1214" s="3">
        <f>DATE(2023,2,4)</f>
        <v>44961</v>
      </c>
      <c r="G1214" s="4">
        <f t="shared" si="133"/>
        <v>2</v>
      </c>
      <c r="H1214" s="4">
        <f t="shared" si="134"/>
        <v>2023</v>
      </c>
      <c r="I1214" s="2" t="s">
        <v>4</v>
      </c>
      <c r="J1214" s="2" t="s">
        <v>1890</v>
      </c>
      <c r="K1214" s="2" t="s">
        <v>390</v>
      </c>
      <c r="L1214" s="2" t="s">
        <v>391</v>
      </c>
      <c r="M1214" s="2" t="s">
        <v>119</v>
      </c>
      <c r="N1214" s="4" t="str">
        <f t="shared" si="135"/>
        <v>TON</v>
      </c>
      <c r="O1214" s="5">
        <v>9.5</v>
      </c>
      <c r="S1214" s="32">
        <f t="shared" si="136"/>
        <v>0</v>
      </c>
    </row>
    <row r="1215" spans="2:19" x14ac:dyDescent="0.25">
      <c r="B1215" s="1" t="s">
        <v>1520</v>
      </c>
      <c r="C1215" s="2" t="s">
        <v>196</v>
      </c>
      <c r="D1215" s="2" t="s">
        <v>715</v>
      </c>
      <c r="E1215" s="2" t="s">
        <v>893</v>
      </c>
      <c r="F1215" s="3">
        <f>DATE(2023,2,4)</f>
        <v>44961</v>
      </c>
      <c r="G1215" s="4">
        <f t="shared" si="133"/>
        <v>2</v>
      </c>
      <c r="H1215" s="4">
        <f t="shared" si="134"/>
        <v>2023</v>
      </c>
      <c r="I1215" s="2" t="s">
        <v>4</v>
      </c>
      <c r="J1215" s="2" t="s">
        <v>1891</v>
      </c>
      <c r="K1215" s="2" t="s">
        <v>307</v>
      </c>
      <c r="L1215" s="2" t="s">
        <v>308</v>
      </c>
      <c r="M1215" s="2" t="s">
        <v>119</v>
      </c>
      <c r="N1215" s="4" t="str">
        <f t="shared" si="135"/>
        <v>TON</v>
      </c>
      <c r="O1215" s="5">
        <v>2.4975000000000001</v>
      </c>
      <c r="S1215" s="32">
        <f t="shared" si="136"/>
        <v>0</v>
      </c>
    </row>
    <row r="1216" spans="2:19" x14ac:dyDescent="0.25">
      <c r="B1216" s="1" t="s">
        <v>1520</v>
      </c>
      <c r="C1216" s="2" t="s">
        <v>196</v>
      </c>
      <c r="D1216" s="2" t="s">
        <v>444</v>
      </c>
      <c r="E1216" s="2" t="s">
        <v>686</v>
      </c>
      <c r="F1216" s="3">
        <f>DATE(2023,2,4)</f>
        <v>44961</v>
      </c>
      <c r="G1216" s="4">
        <f t="shared" si="133"/>
        <v>2</v>
      </c>
      <c r="H1216" s="4">
        <f t="shared" si="134"/>
        <v>2023</v>
      </c>
      <c r="I1216" s="2" t="s">
        <v>4</v>
      </c>
      <c r="J1216" s="2" t="s">
        <v>1892</v>
      </c>
      <c r="K1216" s="2" t="s">
        <v>394</v>
      </c>
      <c r="L1216" s="2" t="s">
        <v>395</v>
      </c>
      <c r="M1216" s="2" t="s">
        <v>119</v>
      </c>
      <c r="N1216" s="4" t="str">
        <f t="shared" si="135"/>
        <v>TON</v>
      </c>
      <c r="O1216" s="5">
        <v>1.24</v>
      </c>
      <c r="S1216" s="32">
        <f t="shared" si="136"/>
        <v>0</v>
      </c>
    </row>
    <row r="1217" spans="2:19" x14ac:dyDescent="0.25">
      <c r="B1217" s="1" t="s">
        <v>1520</v>
      </c>
      <c r="C1217" s="2" t="s">
        <v>196</v>
      </c>
      <c r="D1217" s="2" t="s">
        <v>276</v>
      </c>
      <c r="E1217" s="2" t="s">
        <v>692</v>
      </c>
      <c r="F1217" s="3">
        <f>DATE(2023,2,6)</f>
        <v>44963</v>
      </c>
      <c r="G1217" s="4">
        <f t="shared" si="133"/>
        <v>2</v>
      </c>
      <c r="H1217" s="4">
        <f t="shared" si="134"/>
        <v>2023</v>
      </c>
      <c r="I1217" s="2" t="s">
        <v>4</v>
      </c>
      <c r="J1217" s="2" t="s">
        <v>1893</v>
      </c>
      <c r="K1217" s="2" t="s">
        <v>122</v>
      </c>
      <c r="L1217" s="2" t="s">
        <v>123</v>
      </c>
      <c r="M1217" s="2" t="s">
        <v>119</v>
      </c>
      <c r="N1217" s="4" t="str">
        <f t="shared" si="135"/>
        <v>TON</v>
      </c>
      <c r="O1217" s="5">
        <v>10</v>
      </c>
      <c r="S1217" s="32">
        <f t="shared" si="136"/>
        <v>0</v>
      </c>
    </row>
    <row r="1218" spans="2:19" x14ac:dyDescent="0.25">
      <c r="B1218" s="1" t="s">
        <v>1520</v>
      </c>
      <c r="C1218" s="2" t="s">
        <v>196</v>
      </c>
      <c r="D1218" s="2" t="s">
        <v>280</v>
      </c>
      <c r="E1218" s="2" t="s">
        <v>371</v>
      </c>
      <c r="F1218" s="3">
        <f>DATE(2023,2,4)</f>
        <v>44961</v>
      </c>
      <c r="G1218" s="4">
        <f t="shared" si="133"/>
        <v>2</v>
      </c>
      <c r="H1218" s="4">
        <f t="shared" si="134"/>
        <v>2023</v>
      </c>
      <c r="I1218" s="2" t="s">
        <v>4</v>
      </c>
      <c r="J1218" s="2" t="s">
        <v>1894</v>
      </c>
      <c r="K1218" s="2" t="s">
        <v>390</v>
      </c>
      <c r="L1218" s="2" t="s">
        <v>391</v>
      </c>
      <c r="M1218" s="2" t="s">
        <v>119</v>
      </c>
      <c r="N1218" s="4" t="str">
        <f t="shared" si="135"/>
        <v>TON</v>
      </c>
      <c r="O1218" s="5">
        <v>12.9975</v>
      </c>
      <c r="S1218" s="32">
        <f t="shared" si="136"/>
        <v>0</v>
      </c>
    </row>
    <row r="1219" spans="2:19" x14ac:dyDescent="0.25">
      <c r="B1219" s="1" t="s">
        <v>1520</v>
      </c>
      <c r="C1219" s="2" t="s">
        <v>196</v>
      </c>
      <c r="D1219" s="2" t="s">
        <v>210</v>
      </c>
      <c r="E1219" s="2" t="s">
        <v>827</v>
      </c>
      <c r="F1219" s="3">
        <f t="shared" ref="F1219:F1231" si="140">DATE(2023,2,6)</f>
        <v>44963</v>
      </c>
      <c r="G1219" s="4">
        <f t="shared" ref="G1219:G1282" si="141">+MONTH(F1219)</f>
        <v>2</v>
      </c>
      <c r="H1219" s="4">
        <f t="shared" ref="H1219:H1282" si="142">+YEAR(F1219)</f>
        <v>2023</v>
      </c>
      <c r="I1219" s="2" t="s">
        <v>4</v>
      </c>
      <c r="J1219" s="2" t="s">
        <v>1895</v>
      </c>
      <c r="K1219" s="2" t="s">
        <v>1379</v>
      </c>
      <c r="L1219" s="2" t="s">
        <v>1380</v>
      </c>
      <c r="M1219" s="2" t="s">
        <v>119</v>
      </c>
      <c r="N1219" s="4" t="str">
        <f t="shared" ref="N1219:N1282" si="143">+LEFT(M1219,3)</f>
        <v>TON</v>
      </c>
      <c r="O1219" s="5">
        <v>15</v>
      </c>
      <c r="S1219" s="32">
        <f t="shared" si="136"/>
        <v>0</v>
      </c>
    </row>
    <row r="1220" spans="2:19" x14ac:dyDescent="0.25">
      <c r="B1220" s="1" t="s">
        <v>1520</v>
      </c>
      <c r="C1220" s="2" t="s">
        <v>196</v>
      </c>
      <c r="D1220" s="2" t="s">
        <v>294</v>
      </c>
      <c r="E1220" s="2" t="s">
        <v>295</v>
      </c>
      <c r="F1220" s="3">
        <f t="shared" si="140"/>
        <v>44963</v>
      </c>
      <c r="G1220" s="4">
        <f t="shared" si="141"/>
        <v>2</v>
      </c>
      <c r="H1220" s="4">
        <f t="shared" si="142"/>
        <v>2023</v>
      </c>
      <c r="I1220" s="2" t="s">
        <v>4</v>
      </c>
      <c r="J1220" s="2" t="s">
        <v>1896</v>
      </c>
      <c r="K1220" s="2" t="s">
        <v>834</v>
      </c>
      <c r="L1220" s="2" t="s">
        <v>835</v>
      </c>
      <c r="M1220" s="2" t="s">
        <v>119</v>
      </c>
      <c r="N1220" s="4" t="str">
        <f t="shared" si="143"/>
        <v>TON</v>
      </c>
      <c r="O1220" s="5">
        <v>1.25</v>
      </c>
      <c r="S1220" s="32">
        <f t="shared" ref="S1220:S1283" si="144">SUMIF($R$3:$R$885, $R1220, $O$3:$O$885)</f>
        <v>0</v>
      </c>
    </row>
    <row r="1221" spans="2:19" x14ac:dyDescent="0.25">
      <c r="B1221" s="1" t="s">
        <v>1520</v>
      </c>
      <c r="C1221" s="2" t="s">
        <v>196</v>
      </c>
      <c r="D1221" s="2" t="s">
        <v>280</v>
      </c>
      <c r="E1221" s="2" t="s">
        <v>1673</v>
      </c>
      <c r="F1221" s="3">
        <f t="shared" si="140"/>
        <v>44963</v>
      </c>
      <c r="G1221" s="4">
        <f t="shared" si="141"/>
        <v>2</v>
      </c>
      <c r="H1221" s="4">
        <f t="shared" si="142"/>
        <v>2023</v>
      </c>
      <c r="I1221" s="2" t="s">
        <v>4</v>
      </c>
      <c r="J1221" s="2" t="s">
        <v>1897</v>
      </c>
      <c r="K1221" s="2" t="s">
        <v>1189</v>
      </c>
      <c r="L1221" s="2" t="s">
        <v>1190</v>
      </c>
      <c r="M1221" s="2" t="s">
        <v>139</v>
      </c>
      <c r="N1221" s="4" t="str">
        <f t="shared" si="143"/>
        <v>GAL</v>
      </c>
      <c r="O1221" s="5">
        <v>250</v>
      </c>
      <c r="S1221" s="32">
        <f t="shared" si="144"/>
        <v>0</v>
      </c>
    </row>
    <row r="1222" spans="2:19" x14ac:dyDescent="0.25">
      <c r="B1222" s="1" t="s">
        <v>1520</v>
      </c>
      <c r="C1222" s="2" t="s">
        <v>196</v>
      </c>
      <c r="D1222" s="2" t="s">
        <v>114</v>
      </c>
      <c r="E1222" s="2" t="s">
        <v>274</v>
      </c>
      <c r="F1222" s="3">
        <f t="shared" si="140"/>
        <v>44963</v>
      </c>
      <c r="G1222" s="4">
        <f t="shared" si="141"/>
        <v>2</v>
      </c>
      <c r="H1222" s="4">
        <f t="shared" si="142"/>
        <v>2023</v>
      </c>
      <c r="I1222" s="2" t="s">
        <v>4</v>
      </c>
      <c r="J1222" s="2" t="s">
        <v>1898</v>
      </c>
      <c r="K1222" s="2" t="s">
        <v>390</v>
      </c>
      <c r="L1222" s="2" t="s">
        <v>391</v>
      </c>
      <c r="M1222" s="2" t="s">
        <v>119</v>
      </c>
      <c r="N1222" s="4" t="str">
        <f t="shared" si="143"/>
        <v>TON</v>
      </c>
      <c r="O1222" s="5">
        <v>3.99</v>
      </c>
      <c r="S1222" s="32">
        <f t="shared" si="144"/>
        <v>0</v>
      </c>
    </row>
    <row r="1223" spans="2:19" x14ac:dyDescent="0.25">
      <c r="B1223" s="1" t="s">
        <v>1520</v>
      </c>
      <c r="C1223" s="2" t="s">
        <v>196</v>
      </c>
      <c r="D1223" s="2" t="s">
        <v>331</v>
      </c>
      <c r="E1223" s="2" t="s">
        <v>432</v>
      </c>
      <c r="F1223" s="3">
        <f t="shared" si="140"/>
        <v>44963</v>
      </c>
      <c r="G1223" s="4">
        <f t="shared" si="141"/>
        <v>2</v>
      </c>
      <c r="H1223" s="4">
        <f t="shared" si="142"/>
        <v>2023</v>
      </c>
      <c r="I1223" s="2" t="s">
        <v>4</v>
      </c>
      <c r="J1223" s="2" t="s">
        <v>1899</v>
      </c>
      <c r="K1223" s="2" t="s">
        <v>334</v>
      </c>
      <c r="L1223" s="2" t="s">
        <v>335</v>
      </c>
      <c r="M1223" s="2" t="s">
        <v>119</v>
      </c>
      <c r="N1223" s="4" t="str">
        <f t="shared" si="143"/>
        <v>TON</v>
      </c>
      <c r="O1223" s="5">
        <v>5.0025000000000004</v>
      </c>
      <c r="S1223" s="32">
        <f t="shared" si="144"/>
        <v>0</v>
      </c>
    </row>
    <row r="1224" spans="2:19" x14ac:dyDescent="0.25">
      <c r="B1224" s="1" t="s">
        <v>1520</v>
      </c>
      <c r="C1224" s="2" t="s">
        <v>196</v>
      </c>
      <c r="D1224" s="2" t="s">
        <v>262</v>
      </c>
      <c r="E1224" s="2" t="s">
        <v>747</v>
      </c>
      <c r="F1224" s="3">
        <f t="shared" si="140"/>
        <v>44963</v>
      </c>
      <c r="G1224" s="4">
        <f t="shared" si="141"/>
        <v>2</v>
      </c>
      <c r="H1224" s="4">
        <f t="shared" si="142"/>
        <v>2023</v>
      </c>
      <c r="I1224" s="2" t="s">
        <v>4</v>
      </c>
      <c r="J1224" s="2" t="s">
        <v>1900</v>
      </c>
      <c r="K1224" s="2" t="s">
        <v>292</v>
      </c>
      <c r="L1224" s="2" t="s">
        <v>293</v>
      </c>
      <c r="M1224" s="2" t="s">
        <v>119</v>
      </c>
      <c r="N1224" s="4" t="str">
        <f t="shared" si="143"/>
        <v>TON</v>
      </c>
      <c r="O1224" s="5">
        <v>9.5</v>
      </c>
      <c r="S1224" s="32">
        <f t="shared" si="144"/>
        <v>0</v>
      </c>
    </row>
    <row r="1225" spans="2:19" x14ac:dyDescent="0.25">
      <c r="B1225" s="1" t="s">
        <v>1520</v>
      </c>
      <c r="C1225" s="2" t="s">
        <v>196</v>
      </c>
      <c r="D1225" s="2" t="s">
        <v>270</v>
      </c>
      <c r="E1225" s="2" t="s">
        <v>400</v>
      </c>
      <c r="F1225" s="3">
        <f t="shared" si="140"/>
        <v>44963</v>
      </c>
      <c r="G1225" s="4">
        <f t="shared" si="141"/>
        <v>2</v>
      </c>
      <c r="H1225" s="4">
        <f t="shared" si="142"/>
        <v>2023</v>
      </c>
      <c r="I1225" s="2" t="s">
        <v>4</v>
      </c>
      <c r="J1225" s="2" t="s">
        <v>1901</v>
      </c>
      <c r="K1225" s="2" t="s">
        <v>329</v>
      </c>
      <c r="L1225" s="2" t="s">
        <v>330</v>
      </c>
      <c r="M1225" s="2" t="s">
        <v>119</v>
      </c>
      <c r="N1225" s="4" t="str">
        <f t="shared" si="143"/>
        <v>TON</v>
      </c>
      <c r="O1225" s="5">
        <v>2.5</v>
      </c>
      <c r="S1225" s="32">
        <f t="shared" si="144"/>
        <v>0</v>
      </c>
    </row>
    <row r="1226" spans="2:19" x14ac:dyDescent="0.25">
      <c r="B1226" s="1" t="s">
        <v>1520</v>
      </c>
      <c r="C1226" s="2" t="s">
        <v>196</v>
      </c>
      <c r="D1226" s="2" t="s">
        <v>280</v>
      </c>
      <c r="E1226" s="2" t="s">
        <v>434</v>
      </c>
      <c r="F1226" s="3">
        <f t="shared" si="140"/>
        <v>44963</v>
      </c>
      <c r="G1226" s="4">
        <f t="shared" si="141"/>
        <v>2</v>
      </c>
      <c r="H1226" s="4">
        <f t="shared" si="142"/>
        <v>2023</v>
      </c>
      <c r="I1226" s="2" t="s">
        <v>4</v>
      </c>
      <c r="J1226" s="2" t="s">
        <v>1902</v>
      </c>
      <c r="K1226" s="2" t="s">
        <v>390</v>
      </c>
      <c r="L1226" s="2" t="s">
        <v>391</v>
      </c>
      <c r="M1226" s="2" t="s">
        <v>119</v>
      </c>
      <c r="N1226" s="4" t="str">
        <f t="shared" si="143"/>
        <v>TON</v>
      </c>
      <c r="O1226" s="5">
        <v>8.5124999999999993</v>
      </c>
      <c r="S1226" s="32">
        <f t="shared" si="144"/>
        <v>0</v>
      </c>
    </row>
    <row r="1227" spans="2:19" x14ac:dyDescent="0.25">
      <c r="B1227" s="1" t="s">
        <v>1520</v>
      </c>
      <c r="C1227" s="2" t="s">
        <v>196</v>
      </c>
      <c r="D1227" s="2" t="s">
        <v>452</v>
      </c>
      <c r="E1227" s="2" t="s">
        <v>453</v>
      </c>
      <c r="F1227" s="3">
        <f t="shared" si="140"/>
        <v>44963</v>
      </c>
      <c r="G1227" s="4">
        <f t="shared" si="141"/>
        <v>2</v>
      </c>
      <c r="H1227" s="4">
        <f t="shared" si="142"/>
        <v>2023</v>
      </c>
      <c r="I1227" s="2" t="s">
        <v>4</v>
      </c>
      <c r="J1227" s="2" t="s">
        <v>1903</v>
      </c>
      <c r="K1227" s="2" t="s">
        <v>117</v>
      </c>
      <c r="L1227" s="2" t="s">
        <v>118</v>
      </c>
      <c r="M1227" s="2" t="s">
        <v>119</v>
      </c>
      <c r="N1227" s="4" t="str">
        <f t="shared" si="143"/>
        <v>TON</v>
      </c>
      <c r="O1227" s="5">
        <v>3.4925000000000002</v>
      </c>
      <c r="S1227" s="32">
        <f t="shared" si="144"/>
        <v>0</v>
      </c>
    </row>
    <row r="1228" spans="2:19" x14ac:dyDescent="0.25">
      <c r="B1228" s="1" t="s">
        <v>1520</v>
      </c>
      <c r="C1228" s="2" t="s">
        <v>196</v>
      </c>
      <c r="D1228" s="2" t="s">
        <v>672</v>
      </c>
      <c r="E1228" s="2" t="s">
        <v>1904</v>
      </c>
      <c r="F1228" s="3">
        <f t="shared" si="140"/>
        <v>44963</v>
      </c>
      <c r="G1228" s="4">
        <f t="shared" si="141"/>
        <v>2</v>
      </c>
      <c r="H1228" s="4">
        <f t="shared" si="142"/>
        <v>2023</v>
      </c>
      <c r="I1228" s="2" t="s">
        <v>4</v>
      </c>
      <c r="J1228" s="2" t="s">
        <v>1905</v>
      </c>
      <c r="K1228" s="2" t="s">
        <v>675</v>
      </c>
      <c r="L1228" s="2" t="s">
        <v>676</v>
      </c>
      <c r="M1228" s="2" t="s">
        <v>119</v>
      </c>
      <c r="N1228" s="4" t="str">
        <f t="shared" si="143"/>
        <v>TON</v>
      </c>
      <c r="O1228" s="5">
        <v>5.4974999999999996</v>
      </c>
      <c r="S1228" s="32">
        <f t="shared" si="144"/>
        <v>0</v>
      </c>
    </row>
    <row r="1229" spans="2:19" x14ac:dyDescent="0.25">
      <c r="B1229" s="1" t="s">
        <v>1520</v>
      </c>
      <c r="C1229" s="2" t="s">
        <v>196</v>
      </c>
      <c r="D1229" s="2" t="s">
        <v>215</v>
      </c>
      <c r="E1229" s="2" t="s">
        <v>858</v>
      </c>
      <c r="F1229" s="3">
        <f t="shared" si="140"/>
        <v>44963</v>
      </c>
      <c r="G1229" s="4">
        <f t="shared" si="141"/>
        <v>2</v>
      </c>
      <c r="H1229" s="4">
        <f t="shared" si="142"/>
        <v>2023</v>
      </c>
      <c r="I1229" s="2" t="s">
        <v>4</v>
      </c>
      <c r="J1229" s="2" t="s">
        <v>1906</v>
      </c>
      <c r="K1229" s="2" t="s">
        <v>329</v>
      </c>
      <c r="L1229" s="2" t="s">
        <v>330</v>
      </c>
      <c r="M1229" s="2" t="s">
        <v>119</v>
      </c>
      <c r="N1229" s="4" t="str">
        <f t="shared" si="143"/>
        <v>TON</v>
      </c>
      <c r="O1229" s="5">
        <v>5.0225</v>
      </c>
      <c r="S1229" s="32">
        <f t="shared" si="144"/>
        <v>0</v>
      </c>
    </row>
    <row r="1230" spans="2:19" x14ac:dyDescent="0.25">
      <c r="B1230" s="1" t="s">
        <v>1520</v>
      </c>
      <c r="C1230" s="2" t="s">
        <v>196</v>
      </c>
      <c r="D1230" s="2" t="s">
        <v>280</v>
      </c>
      <c r="E1230" s="2" t="s">
        <v>254</v>
      </c>
      <c r="F1230" s="3">
        <f t="shared" si="140"/>
        <v>44963</v>
      </c>
      <c r="G1230" s="4">
        <f t="shared" si="141"/>
        <v>2</v>
      </c>
      <c r="H1230" s="4">
        <f t="shared" si="142"/>
        <v>2023</v>
      </c>
      <c r="I1230" s="2" t="s">
        <v>4</v>
      </c>
      <c r="J1230" s="2" t="s">
        <v>1907</v>
      </c>
      <c r="K1230" s="2" t="s">
        <v>390</v>
      </c>
      <c r="L1230" s="2" t="s">
        <v>391</v>
      </c>
      <c r="M1230" s="2" t="s">
        <v>119</v>
      </c>
      <c r="N1230" s="4" t="str">
        <f t="shared" si="143"/>
        <v>TON</v>
      </c>
      <c r="O1230" s="5">
        <v>5</v>
      </c>
      <c r="S1230" s="32">
        <f t="shared" si="144"/>
        <v>0</v>
      </c>
    </row>
    <row r="1231" spans="2:19" x14ac:dyDescent="0.25">
      <c r="B1231" s="1" t="s">
        <v>1520</v>
      </c>
      <c r="C1231" s="2" t="s">
        <v>196</v>
      </c>
      <c r="D1231" s="2" t="s">
        <v>294</v>
      </c>
      <c r="E1231" s="2" t="s">
        <v>295</v>
      </c>
      <c r="F1231" s="3">
        <f t="shared" si="140"/>
        <v>44963</v>
      </c>
      <c r="G1231" s="4">
        <f t="shared" si="141"/>
        <v>2</v>
      </c>
      <c r="H1231" s="4">
        <f t="shared" si="142"/>
        <v>2023</v>
      </c>
      <c r="I1231" s="2" t="s">
        <v>4</v>
      </c>
      <c r="J1231" s="2" t="s">
        <v>1908</v>
      </c>
      <c r="K1231" s="2" t="s">
        <v>122</v>
      </c>
      <c r="L1231" s="2" t="s">
        <v>123</v>
      </c>
      <c r="M1231" s="2" t="s">
        <v>119</v>
      </c>
      <c r="N1231" s="4" t="str">
        <f t="shared" si="143"/>
        <v>TON</v>
      </c>
      <c r="O1231" s="5">
        <v>7.52</v>
      </c>
      <c r="S1231" s="32">
        <f t="shared" si="144"/>
        <v>0</v>
      </c>
    </row>
    <row r="1232" spans="2:19" x14ac:dyDescent="0.25">
      <c r="B1232" s="1" t="s">
        <v>1520</v>
      </c>
      <c r="C1232" s="2" t="s">
        <v>196</v>
      </c>
      <c r="D1232" s="2" t="s">
        <v>276</v>
      </c>
      <c r="E1232" s="2" t="s">
        <v>682</v>
      </c>
      <c r="F1232" s="3">
        <f t="shared" ref="F1232:F1239" si="145">DATE(2023,2,7)</f>
        <v>44964</v>
      </c>
      <c r="G1232" s="4">
        <f t="shared" si="141"/>
        <v>2</v>
      </c>
      <c r="H1232" s="4">
        <f t="shared" si="142"/>
        <v>2023</v>
      </c>
      <c r="I1232" s="2" t="s">
        <v>4</v>
      </c>
      <c r="J1232" s="2" t="s">
        <v>1909</v>
      </c>
      <c r="K1232" s="2" t="s">
        <v>122</v>
      </c>
      <c r="L1232" s="2" t="s">
        <v>123</v>
      </c>
      <c r="M1232" s="2" t="s">
        <v>119</v>
      </c>
      <c r="N1232" s="4" t="str">
        <f t="shared" si="143"/>
        <v>TON</v>
      </c>
      <c r="O1232" s="5">
        <v>15.022500000000001</v>
      </c>
      <c r="S1232" s="32">
        <f t="shared" si="144"/>
        <v>0</v>
      </c>
    </row>
    <row r="1233" spans="2:19" x14ac:dyDescent="0.25">
      <c r="B1233" s="1" t="s">
        <v>1520</v>
      </c>
      <c r="C1233" s="2" t="s">
        <v>196</v>
      </c>
      <c r="D1233" s="2" t="s">
        <v>248</v>
      </c>
      <c r="E1233" s="2" t="s">
        <v>785</v>
      </c>
      <c r="F1233" s="3">
        <f t="shared" si="145"/>
        <v>44964</v>
      </c>
      <c r="G1233" s="4">
        <f t="shared" si="141"/>
        <v>2</v>
      </c>
      <c r="H1233" s="4">
        <f t="shared" si="142"/>
        <v>2023</v>
      </c>
      <c r="I1233" s="2" t="s">
        <v>4</v>
      </c>
      <c r="J1233" s="2" t="s">
        <v>1910</v>
      </c>
      <c r="K1233" s="2" t="s">
        <v>1622</v>
      </c>
      <c r="L1233" s="2" t="s">
        <v>1623</v>
      </c>
      <c r="M1233" s="2" t="s">
        <v>119</v>
      </c>
      <c r="N1233" s="4" t="str">
        <f t="shared" si="143"/>
        <v>TON</v>
      </c>
      <c r="O1233" s="5">
        <v>15</v>
      </c>
      <c r="S1233" s="32">
        <f t="shared" si="144"/>
        <v>0</v>
      </c>
    </row>
    <row r="1234" spans="2:19" x14ac:dyDescent="0.25">
      <c r="B1234" s="1" t="s">
        <v>1520</v>
      </c>
      <c r="C1234" s="2" t="s">
        <v>196</v>
      </c>
      <c r="D1234" s="2" t="s">
        <v>270</v>
      </c>
      <c r="E1234" s="2" t="s">
        <v>141</v>
      </c>
      <c r="F1234" s="3">
        <f t="shared" si="145"/>
        <v>44964</v>
      </c>
      <c r="G1234" s="4">
        <f t="shared" si="141"/>
        <v>2</v>
      </c>
      <c r="H1234" s="4">
        <f t="shared" si="142"/>
        <v>2023</v>
      </c>
      <c r="I1234" s="2" t="s">
        <v>4</v>
      </c>
      <c r="J1234" s="2" t="s">
        <v>1911</v>
      </c>
      <c r="K1234" s="2" t="s">
        <v>531</v>
      </c>
      <c r="L1234" s="2" t="s">
        <v>201</v>
      </c>
      <c r="M1234" s="2" t="s">
        <v>202</v>
      </c>
      <c r="N1234" s="4" t="str">
        <f t="shared" si="143"/>
        <v>GAL</v>
      </c>
      <c r="O1234" s="5">
        <v>60</v>
      </c>
      <c r="S1234" s="32">
        <f t="shared" si="144"/>
        <v>0</v>
      </c>
    </row>
    <row r="1235" spans="2:19" x14ac:dyDescent="0.25">
      <c r="B1235" s="1" t="s">
        <v>1520</v>
      </c>
      <c r="C1235" s="2" t="s">
        <v>196</v>
      </c>
      <c r="D1235" s="2" t="s">
        <v>374</v>
      </c>
      <c r="E1235" s="2" t="s">
        <v>424</v>
      </c>
      <c r="F1235" s="3">
        <f t="shared" si="145"/>
        <v>44964</v>
      </c>
      <c r="G1235" s="4">
        <f t="shared" si="141"/>
        <v>2</v>
      </c>
      <c r="H1235" s="4">
        <f t="shared" si="142"/>
        <v>2023</v>
      </c>
      <c r="I1235" s="2" t="s">
        <v>4</v>
      </c>
      <c r="J1235" s="2" t="s">
        <v>1912</v>
      </c>
      <c r="K1235" s="2" t="s">
        <v>329</v>
      </c>
      <c r="L1235" s="2" t="s">
        <v>330</v>
      </c>
      <c r="M1235" s="2" t="s">
        <v>119</v>
      </c>
      <c r="N1235" s="4" t="str">
        <f t="shared" si="143"/>
        <v>TON</v>
      </c>
      <c r="O1235" s="5">
        <v>5</v>
      </c>
      <c r="S1235" s="32">
        <f t="shared" si="144"/>
        <v>0</v>
      </c>
    </row>
    <row r="1236" spans="2:19" x14ac:dyDescent="0.25">
      <c r="B1236" s="1" t="s">
        <v>1520</v>
      </c>
      <c r="C1236" s="2" t="s">
        <v>196</v>
      </c>
      <c r="D1236" s="2" t="s">
        <v>114</v>
      </c>
      <c r="E1236" s="2" t="s">
        <v>274</v>
      </c>
      <c r="F1236" s="3">
        <f t="shared" si="145"/>
        <v>44964</v>
      </c>
      <c r="G1236" s="4">
        <f t="shared" si="141"/>
        <v>2</v>
      </c>
      <c r="H1236" s="4">
        <f t="shared" si="142"/>
        <v>2023</v>
      </c>
      <c r="I1236" s="2" t="s">
        <v>4</v>
      </c>
      <c r="J1236" s="2" t="s">
        <v>1913</v>
      </c>
      <c r="K1236" s="2" t="s">
        <v>390</v>
      </c>
      <c r="L1236" s="2" t="s">
        <v>391</v>
      </c>
      <c r="M1236" s="2" t="s">
        <v>119</v>
      </c>
      <c r="N1236" s="4" t="str">
        <f t="shared" si="143"/>
        <v>TON</v>
      </c>
      <c r="O1236" s="5">
        <v>10</v>
      </c>
      <c r="S1236" s="32">
        <f t="shared" si="144"/>
        <v>0</v>
      </c>
    </row>
    <row r="1237" spans="2:19" x14ac:dyDescent="0.25">
      <c r="B1237" s="1" t="s">
        <v>1520</v>
      </c>
      <c r="C1237" s="2" t="s">
        <v>196</v>
      </c>
      <c r="D1237" s="2" t="s">
        <v>437</v>
      </c>
      <c r="E1237" s="2" t="s">
        <v>738</v>
      </c>
      <c r="F1237" s="3">
        <f t="shared" si="145"/>
        <v>44964</v>
      </c>
      <c r="G1237" s="4">
        <f t="shared" si="141"/>
        <v>2</v>
      </c>
      <c r="H1237" s="4">
        <f t="shared" si="142"/>
        <v>2023</v>
      </c>
      <c r="I1237" s="2" t="s">
        <v>4</v>
      </c>
      <c r="J1237" s="2" t="s">
        <v>1914</v>
      </c>
      <c r="K1237" s="2" t="s">
        <v>1291</v>
      </c>
      <c r="L1237" s="2" t="s">
        <v>1292</v>
      </c>
      <c r="M1237" s="2" t="s">
        <v>119</v>
      </c>
      <c r="N1237" s="4" t="str">
        <f t="shared" si="143"/>
        <v>TON</v>
      </c>
      <c r="O1237" s="5">
        <v>2.5</v>
      </c>
      <c r="S1237" s="32">
        <f t="shared" si="144"/>
        <v>0</v>
      </c>
    </row>
    <row r="1238" spans="2:19" x14ac:dyDescent="0.25">
      <c r="B1238" s="1" t="s">
        <v>1520</v>
      </c>
      <c r="C1238" s="2" t="s">
        <v>196</v>
      </c>
      <c r="D1238" s="2" t="s">
        <v>280</v>
      </c>
      <c r="E1238" s="2" t="s">
        <v>254</v>
      </c>
      <c r="F1238" s="3">
        <f t="shared" si="145"/>
        <v>44964</v>
      </c>
      <c r="G1238" s="4">
        <f t="shared" si="141"/>
        <v>2</v>
      </c>
      <c r="H1238" s="4">
        <f t="shared" si="142"/>
        <v>2023</v>
      </c>
      <c r="I1238" s="2" t="s">
        <v>4</v>
      </c>
      <c r="J1238" s="2" t="s">
        <v>1915</v>
      </c>
      <c r="K1238" s="2" t="s">
        <v>390</v>
      </c>
      <c r="L1238" s="2" t="s">
        <v>391</v>
      </c>
      <c r="M1238" s="2" t="s">
        <v>119</v>
      </c>
      <c r="N1238" s="4" t="str">
        <f t="shared" si="143"/>
        <v>TON</v>
      </c>
      <c r="O1238" s="5">
        <v>15</v>
      </c>
      <c r="S1238" s="32">
        <f t="shared" si="144"/>
        <v>0</v>
      </c>
    </row>
    <row r="1239" spans="2:19" x14ac:dyDescent="0.25">
      <c r="B1239" s="1" t="s">
        <v>1520</v>
      </c>
      <c r="C1239" s="2" t="s">
        <v>196</v>
      </c>
      <c r="D1239" s="2" t="s">
        <v>280</v>
      </c>
      <c r="E1239" s="2" t="s">
        <v>281</v>
      </c>
      <c r="F1239" s="3">
        <f t="shared" si="145"/>
        <v>44964</v>
      </c>
      <c r="G1239" s="4">
        <f t="shared" si="141"/>
        <v>2</v>
      </c>
      <c r="H1239" s="4">
        <f t="shared" si="142"/>
        <v>2023</v>
      </c>
      <c r="I1239" s="2" t="s">
        <v>4</v>
      </c>
      <c r="J1239" s="2" t="s">
        <v>1916</v>
      </c>
      <c r="K1239" s="2" t="s">
        <v>390</v>
      </c>
      <c r="L1239" s="2" t="s">
        <v>391</v>
      </c>
      <c r="M1239" s="2" t="s">
        <v>119</v>
      </c>
      <c r="N1239" s="4" t="str">
        <f t="shared" si="143"/>
        <v>TON</v>
      </c>
      <c r="O1239" s="5">
        <v>10.005000000000001</v>
      </c>
      <c r="S1239" s="32">
        <f t="shared" si="144"/>
        <v>0</v>
      </c>
    </row>
    <row r="1240" spans="2:19" x14ac:dyDescent="0.25">
      <c r="B1240" s="1" t="s">
        <v>1520</v>
      </c>
      <c r="C1240" s="2" t="s">
        <v>196</v>
      </c>
      <c r="D1240" s="2" t="s">
        <v>210</v>
      </c>
      <c r="E1240" s="2" t="s">
        <v>141</v>
      </c>
      <c r="F1240" s="3">
        <f t="shared" ref="F1240:F1250" si="146">DATE(2023,2,8)</f>
        <v>44965</v>
      </c>
      <c r="G1240" s="4">
        <f t="shared" si="141"/>
        <v>2</v>
      </c>
      <c r="H1240" s="4">
        <f t="shared" si="142"/>
        <v>2023</v>
      </c>
      <c r="I1240" s="2" t="s">
        <v>4</v>
      </c>
      <c r="J1240" s="2" t="s">
        <v>1917</v>
      </c>
      <c r="K1240" s="2" t="s">
        <v>817</v>
      </c>
      <c r="L1240" s="2" t="s">
        <v>818</v>
      </c>
      <c r="M1240" s="2" t="s">
        <v>556</v>
      </c>
      <c r="N1240" s="4" t="str">
        <f t="shared" si="143"/>
        <v>GAL</v>
      </c>
      <c r="O1240" s="5">
        <v>10</v>
      </c>
      <c r="S1240" s="32">
        <f t="shared" si="144"/>
        <v>0</v>
      </c>
    </row>
    <row r="1241" spans="2:19" x14ac:dyDescent="0.25">
      <c r="B1241" s="1" t="s">
        <v>1520</v>
      </c>
      <c r="C1241" s="2" t="s">
        <v>196</v>
      </c>
      <c r="D1241" s="2" t="s">
        <v>285</v>
      </c>
      <c r="E1241" s="2" t="s">
        <v>297</v>
      </c>
      <c r="F1241" s="3">
        <f t="shared" si="146"/>
        <v>44965</v>
      </c>
      <c r="G1241" s="4">
        <f t="shared" si="141"/>
        <v>2</v>
      </c>
      <c r="H1241" s="4">
        <f t="shared" si="142"/>
        <v>2023</v>
      </c>
      <c r="I1241" s="2" t="s">
        <v>4</v>
      </c>
      <c r="J1241" s="2" t="s">
        <v>1918</v>
      </c>
      <c r="K1241" s="2" t="s">
        <v>1232</v>
      </c>
      <c r="L1241" s="2" t="s">
        <v>1233</v>
      </c>
      <c r="M1241" s="2" t="s">
        <v>119</v>
      </c>
      <c r="N1241" s="4" t="str">
        <f t="shared" si="143"/>
        <v>TON</v>
      </c>
      <c r="O1241" s="5">
        <v>8.0024999999999995</v>
      </c>
      <c r="S1241" s="32">
        <f t="shared" si="144"/>
        <v>0</v>
      </c>
    </row>
    <row r="1242" spans="2:19" x14ac:dyDescent="0.25">
      <c r="B1242" s="1" t="s">
        <v>1520</v>
      </c>
      <c r="C1242" s="2" t="s">
        <v>196</v>
      </c>
      <c r="D1242" s="2" t="s">
        <v>1276</v>
      </c>
      <c r="E1242" s="2" t="s">
        <v>1277</v>
      </c>
      <c r="F1242" s="3">
        <f t="shared" si="146"/>
        <v>44965</v>
      </c>
      <c r="G1242" s="4">
        <f t="shared" si="141"/>
        <v>2</v>
      </c>
      <c r="H1242" s="4">
        <f t="shared" si="142"/>
        <v>2023</v>
      </c>
      <c r="I1242" s="2" t="s">
        <v>4</v>
      </c>
      <c r="J1242" s="2" t="s">
        <v>1919</v>
      </c>
      <c r="K1242" s="2" t="s">
        <v>122</v>
      </c>
      <c r="L1242" s="2" t="s">
        <v>123</v>
      </c>
      <c r="M1242" s="2" t="s">
        <v>119</v>
      </c>
      <c r="N1242" s="4" t="str">
        <f t="shared" si="143"/>
        <v>TON</v>
      </c>
      <c r="O1242" s="5">
        <v>2.4900000000000002</v>
      </c>
      <c r="S1242" s="32">
        <f t="shared" si="144"/>
        <v>0</v>
      </c>
    </row>
    <row r="1243" spans="2:19" x14ac:dyDescent="0.25">
      <c r="B1243" s="1" t="s">
        <v>1520</v>
      </c>
      <c r="C1243" s="2" t="s">
        <v>196</v>
      </c>
      <c r="D1243" s="2" t="s">
        <v>1345</v>
      </c>
      <c r="E1243" s="2" t="s">
        <v>1346</v>
      </c>
      <c r="F1243" s="3">
        <f t="shared" si="146"/>
        <v>44965</v>
      </c>
      <c r="G1243" s="4">
        <f t="shared" si="141"/>
        <v>2</v>
      </c>
      <c r="H1243" s="4">
        <f t="shared" si="142"/>
        <v>2023</v>
      </c>
      <c r="I1243" s="2" t="s">
        <v>4</v>
      </c>
      <c r="J1243" s="2" t="s">
        <v>1920</v>
      </c>
      <c r="K1243" s="2" t="s">
        <v>122</v>
      </c>
      <c r="L1243" s="2" t="s">
        <v>123</v>
      </c>
      <c r="M1243" s="2" t="s">
        <v>119</v>
      </c>
      <c r="N1243" s="4" t="str">
        <f t="shared" si="143"/>
        <v>TON</v>
      </c>
      <c r="O1243" s="5">
        <v>3.7725</v>
      </c>
      <c r="S1243" s="32">
        <f t="shared" si="144"/>
        <v>0</v>
      </c>
    </row>
    <row r="1244" spans="2:19" x14ac:dyDescent="0.25">
      <c r="B1244" s="1" t="s">
        <v>645</v>
      </c>
      <c r="C1244" s="2" t="s">
        <v>196</v>
      </c>
      <c r="D1244" s="2" t="s">
        <v>790</v>
      </c>
      <c r="E1244" s="2" t="s">
        <v>791</v>
      </c>
      <c r="F1244" s="3">
        <f t="shared" si="146"/>
        <v>44965</v>
      </c>
      <c r="G1244" s="4">
        <f t="shared" si="141"/>
        <v>2</v>
      </c>
      <c r="H1244" s="4">
        <f t="shared" si="142"/>
        <v>2023</v>
      </c>
      <c r="I1244" s="2" t="s">
        <v>4</v>
      </c>
      <c r="J1244" s="2" t="s">
        <v>1921</v>
      </c>
      <c r="K1244" s="2" t="s">
        <v>122</v>
      </c>
      <c r="L1244" s="2" t="s">
        <v>123</v>
      </c>
      <c r="M1244" s="2" t="s">
        <v>119</v>
      </c>
      <c r="N1244" s="4" t="str">
        <f t="shared" si="143"/>
        <v>TON</v>
      </c>
      <c r="O1244" s="5">
        <v>4.9850000000000003</v>
      </c>
      <c r="S1244" s="32">
        <f t="shared" si="144"/>
        <v>0</v>
      </c>
    </row>
    <row r="1245" spans="2:19" x14ac:dyDescent="0.25">
      <c r="B1245" s="1" t="s">
        <v>1520</v>
      </c>
      <c r="C1245" s="2" t="s">
        <v>196</v>
      </c>
      <c r="D1245" s="2" t="s">
        <v>215</v>
      </c>
      <c r="E1245" s="2" t="s">
        <v>701</v>
      </c>
      <c r="F1245" s="3">
        <f t="shared" si="146"/>
        <v>44965</v>
      </c>
      <c r="G1245" s="4">
        <f t="shared" si="141"/>
        <v>2</v>
      </c>
      <c r="H1245" s="4">
        <f t="shared" si="142"/>
        <v>2023</v>
      </c>
      <c r="I1245" s="2" t="s">
        <v>4</v>
      </c>
      <c r="J1245" s="2" t="s">
        <v>1922</v>
      </c>
      <c r="K1245" s="2" t="s">
        <v>447</v>
      </c>
      <c r="L1245" s="2" t="s">
        <v>448</v>
      </c>
      <c r="M1245" s="2" t="s">
        <v>119</v>
      </c>
      <c r="N1245" s="4" t="str">
        <f t="shared" si="143"/>
        <v>TON</v>
      </c>
      <c r="O1245" s="5">
        <v>3.9975000000000001</v>
      </c>
      <c r="S1245" s="32">
        <f t="shared" si="144"/>
        <v>0</v>
      </c>
    </row>
    <row r="1246" spans="2:19" x14ac:dyDescent="0.25">
      <c r="B1246" s="1" t="s">
        <v>1520</v>
      </c>
      <c r="C1246" s="2" t="s">
        <v>196</v>
      </c>
      <c r="D1246" s="2" t="s">
        <v>715</v>
      </c>
      <c r="E1246" s="2" t="s">
        <v>450</v>
      </c>
      <c r="F1246" s="3">
        <f t="shared" si="146"/>
        <v>44965</v>
      </c>
      <c r="G1246" s="4">
        <f t="shared" si="141"/>
        <v>2</v>
      </c>
      <c r="H1246" s="4">
        <f t="shared" si="142"/>
        <v>2023</v>
      </c>
      <c r="I1246" s="2" t="s">
        <v>4</v>
      </c>
      <c r="J1246" s="2" t="s">
        <v>1923</v>
      </c>
      <c r="K1246" s="2" t="s">
        <v>329</v>
      </c>
      <c r="L1246" s="2" t="s">
        <v>330</v>
      </c>
      <c r="M1246" s="2" t="s">
        <v>119</v>
      </c>
      <c r="N1246" s="4" t="str">
        <f t="shared" si="143"/>
        <v>TON</v>
      </c>
      <c r="O1246" s="5">
        <v>2.5024999999999999</v>
      </c>
      <c r="S1246" s="32">
        <f t="shared" si="144"/>
        <v>0</v>
      </c>
    </row>
    <row r="1247" spans="2:19" x14ac:dyDescent="0.25">
      <c r="B1247" s="1" t="s">
        <v>1520</v>
      </c>
      <c r="C1247" s="2" t="s">
        <v>196</v>
      </c>
      <c r="D1247" s="2" t="s">
        <v>283</v>
      </c>
      <c r="E1247" s="2" t="s">
        <v>382</v>
      </c>
      <c r="F1247" s="3">
        <f t="shared" si="146"/>
        <v>44965</v>
      </c>
      <c r="G1247" s="4">
        <f t="shared" si="141"/>
        <v>2</v>
      </c>
      <c r="H1247" s="4">
        <f t="shared" si="142"/>
        <v>2023</v>
      </c>
      <c r="I1247" s="2" t="s">
        <v>4</v>
      </c>
      <c r="J1247" s="2" t="s">
        <v>1924</v>
      </c>
      <c r="K1247" s="2" t="s">
        <v>329</v>
      </c>
      <c r="L1247" s="2" t="s">
        <v>330</v>
      </c>
      <c r="M1247" s="2" t="s">
        <v>119</v>
      </c>
      <c r="N1247" s="4" t="str">
        <f t="shared" si="143"/>
        <v>TON</v>
      </c>
      <c r="O1247" s="5">
        <v>1.5</v>
      </c>
      <c r="S1247" s="32">
        <f t="shared" si="144"/>
        <v>0</v>
      </c>
    </row>
    <row r="1248" spans="2:19" x14ac:dyDescent="0.25">
      <c r="B1248" s="1" t="s">
        <v>1520</v>
      </c>
      <c r="C1248" s="2" t="s">
        <v>196</v>
      </c>
      <c r="D1248" s="2" t="s">
        <v>289</v>
      </c>
      <c r="E1248" s="2" t="s">
        <v>290</v>
      </c>
      <c r="F1248" s="3">
        <f t="shared" si="146"/>
        <v>44965</v>
      </c>
      <c r="G1248" s="4">
        <f t="shared" si="141"/>
        <v>2</v>
      </c>
      <c r="H1248" s="4">
        <f t="shared" si="142"/>
        <v>2023</v>
      </c>
      <c r="I1248" s="2" t="s">
        <v>4</v>
      </c>
      <c r="J1248" s="2" t="s">
        <v>1925</v>
      </c>
      <c r="K1248" s="2" t="s">
        <v>865</v>
      </c>
      <c r="L1248" s="2" t="s">
        <v>866</v>
      </c>
      <c r="M1248" s="2" t="s">
        <v>119</v>
      </c>
      <c r="N1248" s="4" t="str">
        <f t="shared" si="143"/>
        <v>TON</v>
      </c>
      <c r="O1248" s="5">
        <v>1</v>
      </c>
      <c r="S1248" s="32">
        <f t="shared" si="144"/>
        <v>0</v>
      </c>
    </row>
    <row r="1249" spans="2:19" x14ac:dyDescent="0.25">
      <c r="B1249" s="1" t="s">
        <v>645</v>
      </c>
      <c r="C1249" s="2" t="s">
        <v>196</v>
      </c>
      <c r="D1249" s="2" t="s">
        <v>660</v>
      </c>
      <c r="E1249" s="2" t="s">
        <v>102</v>
      </c>
      <c r="F1249" s="3">
        <f t="shared" si="146"/>
        <v>44965</v>
      </c>
      <c r="G1249" s="4">
        <f t="shared" si="141"/>
        <v>2</v>
      </c>
      <c r="H1249" s="4">
        <f t="shared" si="142"/>
        <v>2023</v>
      </c>
      <c r="I1249" s="2" t="s">
        <v>4</v>
      </c>
      <c r="J1249" s="2" t="s">
        <v>1926</v>
      </c>
      <c r="K1249" s="2" t="s">
        <v>329</v>
      </c>
      <c r="L1249" s="2" t="s">
        <v>330</v>
      </c>
      <c r="M1249" s="2" t="s">
        <v>119</v>
      </c>
      <c r="N1249" s="4" t="str">
        <f t="shared" si="143"/>
        <v>TON</v>
      </c>
      <c r="O1249" s="5">
        <v>2.2524999999999999</v>
      </c>
      <c r="S1249" s="32">
        <f t="shared" si="144"/>
        <v>0</v>
      </c>
    </row>
    <row r="1250" spans="2:19" x14ac:dyDescent="0.25">
      <c r="B1250" s="1" t="s">
        <v>1520</v>
      </c>
      <c r="C1250" s="2" t="s">
        <v>196</v>
      </c>
      <c r="D1250" s="2" t="s">
        <v>317</v>
      </c>
      <c r="E1250" s="2" t="s">
        <v>319</v>
      </c>
      <c r="F1250" s="3">
        <f t="shared" si="146"/>
        <v>44965</v>
      </c>
      <c r="G1250" s="4">
        <f t="shared" si="141"/>
        <v>2</v>
      </c>
      <c r="H1250" s="4">
        <f t="shared" si="142"/>
        <v>2023</v>
      </c>
      <c r="I1250" s="2" t="s">
        <v>4</v>
      </c>
      <c r="J1250" s="2" t="s">
        <v>1927</v>
      </c>
      <c r="K1250" s="2" t="s">
        <v>390</v>
      </c>
      <c r="L1250" s="2" t="s">
        <v>391</v>
      </c>
      <c r="M1250" s="2" t="s">
        <v>119</v>
      </c>
      <c r="N1250" s="4" t="str">
        <f t="shared" si="143"/>
        <v>TON</v>
      </c>
      <c r="O1250" s="5">
        <v>7.5125000000000002</v>
      </c>
      <c r="S1250" s="32">
        <f t="shared" si="144"/>
        <v>0</v>
      </c>
    </row>
    <row r="1251" spans="2:19" x14ac:dyDescent="0.25">
      <c r="B1251" s="1" t="s">
        <v>1520</v>
      </c>
      <c r="C1251" s="2" t="s">
        <v>196</v>
      </c>
      <c r="D1251" s="2" t="s">
        <v>387</v>
      </c>
      <c r="E1251" s="2" t="s">
        <v>797</v>
      </c>
      <c r="F1251" s="3">
        <f t="shared" ref="F1251:F1258" si="147">DATE(2023,2,9)</f>
        <v>44966</v>
      </c>
      <c r="G1251" s="4">
        <f t="shared" si="141"/>
        <v>2</v>
      </c>
      <c r="H1251" s="4">
        <f t="shared" si="142"/>
        <v>2023</v>
      </c>
      <c r="I1251" s="2" t="s">
        <v>4</v>
      </c>
      <c r="J1251" s="2" t="s">
        <v>1928</v>
      </c>
      <c r="K1251" s="2" t="s">
        <v>1529</v>
      </c>
      <c r="L1251" s="2" t="s">
        <v>1530</v>
      </c>
      <c r="M1251" s="2" t="s">
        <v>119</v>
      </c>
      <c r="N1251" s="4" t="str">
        <f t="shared" si="143"/>
        <v>TON</v>
      </c>
      <c r="O1251" s="5">
        <v>10.012499999999999</v>
      </c>
      <c r="S1251" s="32">
        <f t="shared" si="144"/>
        <v>0</v>
      </c>
    </row>
    <row r="1252" spans="2:19" x14ac:dyDescent="0.25">
      <c r="B1252" s="1" t="s">
        <v>1520</v>
      </c>
      <c r="C1252" s="2" t="s">
        <v>196</v>
      </c>
      <c r="D1252" s="2" t="s">
        <v>280</v>
      </c>
      <c r="E1252" s="2" t="s">
        <v>811</v>
      </c>
      <c r="F1252" s="3">
        <f t="shared" si="147"/>
        <v>44966</v>
      </c>
      <c r="G1252" s="4">
        <f t="shared" si="141"/>
        <v>2</v>
      </c>
      <c r="H1252" s="4">
        <f t="shared" si="142"/>
        <v>2023</v>
      </c>
      <c r="I1252" s="2" t="s">
        <v>4</v>
      </c>
      <c r="J1252" s="2" t="s">
        <v>1929</v>
      </c>
      <c r="K1252" s="2" t="s">
        <v>390</v>
      </c>
      <c r="L1252" s="2" t="s">
        <v>391</v>
      </c>
      <c r="M1252" s="2" t="s">
        <v>119</v>
      </c>
      <c r="N1252" s="4" t="str">
        <f t="shared" si="143"/>
        <v>TON</v>
      </c>
      <c r="O1252" s="5">
        <v>7.5</v>
      </c>
      <c r="S1252" s="32">
        <f t="shared" si="144"/>
        <v>0</v>
      </c>
    </row>
    <row r="1253" spans="2:19" x14ac:dyDescent="0.25">
      <c r="B1253" s="1" t="s">
        <v>1520</v>
      </c>
      <c r="C1253" s="2" t="s">
        <v>196</v>
      </c>
      <c r="D1253" s="2" t="s">
        <v>669</v>
      </c>
      <c r="E1253" s="2" t="s">
        <v>670</v>
      </c>
      <c r="F1253" s="3">
        <f t="shared" si="147"/>
        <v>44966</v>
      </c>
      <c r="G1253" s="4">
        <f t="shared" si="141"/>
        <v>2</v>
      </c>
      <c r="H1253" s="4">
        <f t="shared" si="142"/>
        <v>2023</v>
      </c>
      <c r="I1253" s="2" t="s">
        <v>4</v>
      </c>
      <c r="J1253" s="2" t="s">
        <v>1930</v>
      </c>
      <c r="K1253" s="2" t="s">
        <v>384</v>
      </c>
      <c r="L1253" s="2" t="s">
        <v>385</v>
      </c>
      <c r="M1253" s="2" t="s">
        <v>119</v>
      </c>
      <c r="N1253" s="4" t="str">
        <f t="shared" si="143"/>
        <v>TON</v>
      </c>
      <c r="O1253" s="5">
        <v>2.5</v>
      </c>
      <c r="S1253" s="32">
        <f t="shared" si="144"/>
        <v>0</v>
      </c>
    </row>
    <row r="1254" spans="2:19" x14ac:dyDescent="0.25">
      <c r="B1254" s="1" t="s">
        <v>1520</v>
      </c>
      <c r="C1254" s="2" t="s">
        <v>196</v>
      </c>
      <c r="D1254" s="2" t="s">
        <v>227</v>
      </c>
      <c r="E1254" s="2" t="s">
        <v>357</v>
      </c>
      <c r="F1254" s="3">
        <f t="shared" si="147"/>
        <v>44966</v>
      </c>
      <c r="G1254" s="4">
        <f t="shared" si="141"/>
        <v>2</v>
      </c>
      <c r="H1254" s="4">
        <f t="shared" si="142"/>
        <v>2023</v>
      </c>
      <c r="I1254" s="2" t="s">
        <v>4</v>
      </c>
      <c r="J1254" s="2" t="s">
        <v>1931</v>
      </c>
      <c r="K1254" s="2" t="s">
        <v>220</v>
      </c>
      <c r="L1254" s="2" t="s">
        <v>201</v>
      </c>
      <c r="M1254" s="2" t="s">
        <v>202</v>
      </c>
      <c r="N1254" s="4" t="str">
        <f t="shared" si="143"/>
        <v>GAL</v>
      </c>
      <c r="O1254" s="5">
        <v>250</v>
      </c>
      <c r="S1254" s="32">
        <f t="shared" si="144"/>
        <v>0</v>
      </c>
    </row>
    <row r="1255" spans="2:19" x14ac:dyDescent="0.25">
      <c r="B1255" s="1" t="s">
        <v>1520</v>
      </c>
      <c r="C1255" s="2" t="s">
        <v>196</v>
      </c>
      <c r="D1255" s="2" t="s">
        <v>299</v>
      </c>
      <c r="E1255" s="2" t="s">
        <v>300</v>
      </c>
      <c r="F1255" s="3">
        <f t="shared" si="147"/>
        <v>44966</v>
      </c>
      <c r="G1255" s="4">
        <f t="shared" si="141"/>
        <v>2</v>
      </c>
      <c r="H1255" s="4">
        <f t="shared" si="142"/>
        <v>2023</v>
      </c>
      <c r="I1255" s="2" t="s">
        <v>4</v>
      </c>
      <c r="J1255" s="2" t="s">
        <v>1932</v>
      </c>
      <c r="K1255" s="2" t="s">
        <v>390</v>
      </c>
      <c r="L1255" s="2" t="s">
        <v>391</v>
      </c>
      <c r="M1255" s="2" t="s">
        <v>119</v>
      </c>
      <c r="N1255" s="4" t="str">
        <f t="shared" si="143"/>
        <v>TON</v>
      </c>
      <c r="O1255" s="5">
        <v>15</v>
      </c>
      <c r="S1255" s="32">
        <f t="shared" si="144"/>
        <v>0</v>
      </c>
    </row>
    <row r="1256" spans="2:19" x14ac:dyDescent="0.25">
      <c r="B1256" s="1" t="s">
        <v>1520</v>
      </c>
      <c r="C1256" s="2" t="s">
        <v>196</v>
      </c>
      <c r="D1256" s="2" t="s">
        <v>303</v>
      </c>
      <c r="E1256" s="2" t="s">
        <v>981</v>
      </c>
      <c r="F1256" s="3">
        <f t="shared" si="147"/>
        <v>44966</v>
      </c>
      <c r="G1256" s="4">
        <f t="shared" si="141"/>
        <v>2</v>
      </c>
      <c r="H1256" s="4">
        <f t="shared" si="142"/>
        <v>2023</v>
      </c>
      <c r="I1256" s="2" t="s">
        <v>4</v>
      </c>
      <c r="J1256" s="2" t="s">
        <v>1933</v>
      </c>
      <c r="K1256" s="2" t="s">
        <v>1581</v>
      </c>
      <c r="L1256" s="2" t="s">
        <v>1582</v>
      </c>
      <c r="M1256" s="2" t="s">
        <v>119</v>
      </c>
      <c r="N1256" s="4" t="str">
        <f t="shared" si="143"/>
        <v>TON</v>
      </c>
      <c r="O1256" s="5">
        <v>10.012499999999999</v>
      </c>
      <c r="S1256" s="32">
        <f t="shared" si="144"/>
        <v>0</v>
      </c>
    </row>
    <row r="1257" spans="2:19" x14ac:dyDescent="0.25">
      <c r="B1257" s="1" t="s">
        <v>1520</v>
      </c>
      <c r="C1257" s="2" t="s">
        <v>196</v>
      </c>
      <c r="D1257" s="2" t="s">
        <v>475</v>
      </c>
      <c r="E1257" s="2" t="s">
        <v>476</v>
      </c>
      <c r="F1257" s="3">
        <f t="shared" si="147"/>
        <v>44966</v>
      </c>
      <c r="G1257" s="4">
        <f t="shared" si="141"/>
        <v>2</v>
      </c>
      <c r="H1257" s="4">
        <f t="shared" si="142"/>
        <v>2023</v>
      </c>
      <c r="I1257" s="2" t="s">
        <v>4</v>
      </c>
      <c r="J1257" s="2" t="s">
        <v>1934</v>
      </c>
      <c r="K1257" s="2" t="s">
        <v>478</v>
      </c>
      <c r="L1257" s="2" t="s">
        <v>479</v>
      </c>
      <c r="M1257" s="2" t="s">
        <v>119</v>
      </c>
      <c r="N1257" s="4" t="str">
        <f t="shared" si="143"/>
        <v>TON</v>
      </c>
      <c r="O1257" s="5">
        <v>5.0250000000000004</v>
      </c>
      <c r="S1257" s="32">
        <f t="shared" si="144"/>
        <v>0</v>
      </c>
    </row>
    <row r="1258" spans="2:19" x14ac:dyDescent="0.25">
      <c r="B1258" s="1" t="s">
        <v>1520</v>
      </c>
      <c r="C1258" s="2" t="s">
        <v>196</v>
      </c>
      <c r="D1258" s="2" t="s">
        <v>280</v>
      </c>
      <c r="E1258" s="2" t="s">
        <v>364</v>
      </c>
      <c r="F1258" s="3">
        <f t="shared" si="147"/>
        <v>44966</v>
      </c>
      <c r="G1258" s="4">
        <f t="shared" si="141"/>
        <v>2</v>
      </c>
      <c r="H1258" s="4">
        <f t="shared" si="142"/>
        <v>2023</v>
      </c>
      <c r="I1258" s="2" t="s">
        <v>4</v>
      </c>
      <c r="J1258" s="2" t="s">
        <v>1935</v>
      </c>
      <c r="K1258" s="2" t="s">
        <v>390</v>
      </c>
      <c r="L1258" s="2" t="s">
        <v>391</v>
      </c>
      <c r="M1258" s="2" t="s">
        <v>119</v>
      </c>
      <c r="N1258" s="4" t="str">
        <f t="shared" si="143"/>
        <v>TON</v>
      </c>
      <c r="O1258" s="5">
        <v>10.022500000000001</v>
      </c>
      <c r="S1258" s="32">
        <f t="shared" si="144"/>
        <v>0</v>
      </c>
    </row>
    <row r="1259" spans="2:19" x14ac:dyDescent="0.25">
      <c r="B1259" s="1" t="s">
        <v>1520</v>
      </c>
      <c r="C1259" s="2" t="s">
        <v>196</v>
      </c>
      <c r="D1259" s="2" t="s">
        <v>227</v>
      </c>
      <c r="E1259" s="2" t="s">
        <v>357</v>
      </c>
      <c r="F1259" s="3">
        <f t="shared" ref="F1259:F1273" si="148">DATE(2023,2,10)</f>
        <v>44967</v>
      </c>
      <c r="G1259" s="4">
        <f t="shared" si="141"/>
        <v>2</v>
      </c>
      <c r="H1259" s="4">
        <f t="shared" si="142"/>
        <v>2023</v>
      </c>
      <c r="I1259" s="2" t="s">
        <v>4</v>
      </c>
      <c r="J1259" s="2" t="s">
        <v>1936</v>
      </c>
      <c r="K1259" s="2" t="s">
        <v>1364</v>
      </c>
      <c r="L1259" s="2" t="s">
        <v>1365</v>
      </c>
      <c r="M1259" s="2" t="s">
        <v>119</v>
      </c>
      <c r="N1259" s="4" t="str">
        <f t="shared" si="143"/>
        <v>TON</v>
      </c>
      <c r="O1259" s="5">
        <v>4</v>
      </c>
      <c r="S1259" s="32">
        <f t="shared" si="144"/>
        <v>0</v>
      </c>
    </row>
    <row r="1260" spans="2:19" x14ac:dyDescent="0.25">
      <c r="B1260" s="1" t="s">
        <v>1520</v>
      </c>
      <c r="C1260" s="2" t="s">
        <v>196</v>
      </c>
      <c r="D1260" s="2" t="s">
        <v>227</v>
      </c>
      <c r="E1260" s="2" t="s">
        <v>757</v>
      </c>
      <c r="F1260" s="3">
        <f t="shared" si="148"/>
        <v>44967</v>
      </c>
      <c r="G1260" s="4">
        <f t="shared" si="141"/>
        <v>2</v>
      </c>
      <c r="H1260" s="4">
        <f t="shared" si="142"/>
        <v>2023</v>
      </c>
      <c r="I1260" s="2" t="s">
        <v>4</v>
      </c>
      <c r="J1260" s="2" t="s">
        <v>1937</v>
      </c>
      <c r="K1260" s="2" t="s">
        <v>1232</v>
      </c>
      <c r="L1260" s="2" t="s">
        <v>1233</v>
      </c>
      <c r="M1260" s="2" t="s">
        <v>119</v>
      </c>
      <c r="N1260" s="4" t="str">
        <f t="shared" si="143"/>
        <v>TON</v>
      </c>
      <c r="O1260" s="5">
        <v>5.01</v>
      </c>
      <c r="S1260" s="32">
        <f t="shared" si="144"/>
        <v>0</v>
      </c>
    </row>
    <row r="1261" spans="2:19" x14ac:dyDescent="0.25">
      <c r="B1261" s="1" t="s">
        <v>1520</v>
      </c>
      <c r="C1261" s="2" t="s">
        <v>196</v>
      </c>
      <c r="D1261" s="2" t="s">
        <v>672</v>
      </c>
      <c r="E1261" s="2" t="s">
        <v>699</v>
      </c>
      <c r="F1261" s="3">
        <f t="shared" si="148"/>
        <v>44967</v>
      </c>
      <c r="G1261" s="4">
        <f t="shared" si="141"/>
        <v>2</v>
      </c>
      <c r="H1261" s="4">
        <f t="shared" si="142"/>
        <v>2023</v>
      </c>
      <c r="I1261" s="2" t="s">
        <v>4</v>
      </c>
      <c r="J1261" s="2" t="s">
        <v>1938</v>
      </c>
      <c r="K1261" s="2" t="s">
        <v>675</v>
      </c>
      <c r="L1261" s="2" t="s">
        <v>676</v>
      </c>
      <c r="M1261" s="2" t="s">
        <v>119</v>
      </c>
      <c r="N1261" s="4" t="str">
        <f t="shared" si="143"/>
        <v>TON</v>
      </c>
      <c r="O1261" s="5">
        <v>4</v>
      </c>
      <c r="S1261" s="32">
        <f t="shared" si="144"/>
        <v>0</v>
      </c>
    </row>
    <row r="1262" spans="2:19" x14ac:dyDescent="0.25">
      <c r="B1262" s="1" t="s">
        <v>1520</v>
      </c>
      <c r="C1262" s="2" t="s">
        <v>196</v>
      </c>
      <c r="D1262" s="2" t="s">
        <v>444</v>
      </c>
      <c r="E1262" s="2" t="s">
        <v>445</v>
      </c>
      <c r="F1262" s="3">
        <f t="shared" si="148"/>
        <v>44967</v>
      </c>
      <c r="G1262" s="4">
        <f t="shared" si="141"/>
        <v>2</v>
      </c>
      <c r="H1262" s="4">
        <f t="shared" si="142"/>
        <v>2023</v>
      </c>
      <c r="I1262" s="2" t="s">
        <v>4</v>
      </c>
      <c r="J1262" s="2" t="s">
        <v>1939</v>
      </c>
      <c r="K1262" s="2" t="s">
        <v>394</v>
      </c>
      <c r="L1262" s="2" t="s">
        <v>395</v>
      </c>
      <c r="M1262" s="2" t="s">
        <v>119</v>
      </c>
      <c r="N1262" s="4" t="str">
        <f t="shared" si="143"/>
        <v>TON</v>
      </c>
      <c r="O1262" s="5">
        <v>5.0049999999999999</v>
      </c>
      <c r="S1262" s="32">
        <f t="shared" si="144"/>
        <v>0</v>
      </c>
    </row>
    <row r="1263" spans="2:19" x14ac:dyDescent="0.25">
      <c r="B1263" s="1" t="s">
        <v>1520</v>
      </c>
      <c r="C1263" s="2" t="s">
        <v>196</v>
      </c>
      <c r="D1263" s="2" t="s">
        <v>310</v>
      </c>
      <c r="E1263" s="2" t="s">
        <v>355</v>
      </c>
      <c r="F1263" s="3">
        <f t="shared" si="148"/>
        <v>44967</v>
      </c>
      <c r="G1263" s="4">
        <f t="shared" si="141"/>
        <v>2</v>
      </c>
      <c r="H1263" s="4">
        <f t="shared" si="142"/>
        <v>2023</v>
      </c>
      <c r="I1263" s="2" t="s">
        <v>4</v>
      </c>
      <c r="J1263" s="2" t="s">
        <v>1940</v>
      </c>
      <c r="K1263" s="2" t="s">
        <v>329</v>
      </c>
      <c r="L1263" s="2" t="s">
        <v>330</v>
      </c>
      <c r="M1263" s="2" t="s">
        <v>119</v>
      </c>
      <c r="N1263" s="4" t="str">
        <f t="shared" si="143"/>
        <v>TON</v>
      </c>
      <c r="O1263" s="5">
        <v>2.0699999999999998</v>
      </c>
      <c r="S1263" s="32">
        <f t="shared" si="144"/>
        <v>0</v>
      </c>
    </row>
    <row r="1264" spans="2:19" x14ac:dyDescent="0.25">
      <c r="B1264" s="1" t="s">
        <v>1520</v>
      </c>
      <c r="C1264" s="2" t="s">
        <v>196</v>
      </c>
      <c r="D1264" s="2" t="s">
        <v>215</v>
      </c>
      <c r="E1264" s="2" t="s">
        <v>858</v>
      </c>
      <c r="F1264" s="3">
        <f t="shared" si="148"/>
        <v>44967</v>
      </c>
      <c r="G1264" s="4">
        <f t="shared" si="141"/>
        <v>2</v>
      </c>
      <c r="H1264" s="4">
        <f t="shared" si="142"/>
        <v>2023</v>
      </c>
      <c r="I1264" s="2" t="s">
        <v>4</v>
      </c>
      <c r="J1264" s="2" t="s">
        <v>1941</v>
      </c>
      <c r="K1264" s="2" t="s">
        <v>822</v>
      </c>
      <c r="L1264" s="2" t="s">
        <v>565</v>
      </c>
      <c r="M1264" s="2" t="s">
        <v>21</v>
      </c>
      <c r="N1264" s="4" t="str">
        <f t="shared" si="143"/>
        <v>GAL</v>
      </c>
      <c r="O1264" s="5">
        <v>250</v>
      </c>
      <c r="S1264" s="32">
        <f t="shared" si="144"/>
        <v>0</v>
      </c>
    </row>
    <row r="1265" spans="2:19" x14ac:dyDescent="0.25">
      <c r="B1265" s="1" t="s">
        <v>1520</v>
      </c>
      <c r="C1265" s="2" t="s">
        <v>196</v>
      </c>
      <c r="D1265" s="2" t="s">
        <v>215</v>
      </c>
      <c r="E1265" s="2" t="s">
        <v>858</v>
      </c>
      <c r="F1265" s="3">
        <f t="shared" si="148"/>
        <v>44967</v>
      </c>
      <c r="G1265" s="4">
        <f t="shared" si="141"/>
        <v>2</v>
      </c>
      <c r="H1265" s="4">
        <f t="shared" si="142"/>
        <v>2023</v>
      </c>
      <c r="I1265" s="2" t="s">
        <v>4</v>
      </c>
      <c r="J1265" s="2" t="s">
        <v>1941</v>
      </c>
      <c r="K1265" s="2" t="s">
        <v>823</v>
      </c>
      <c r="L1265" s="2" t="s">
        <v>776</v>
      </c>
      <c r="M1265" s="2" t="s">
        <v>82</v>
      </c>
      <c r="N1265" s="4" t="str">
        <f t="shared" si="143"/>
        <v>GAL</v>
      </c>
      <c r="O1265" s="5">
        <v>250</v>
      </c>
      <c r="S1265" s="32">
        <f t="shared" si="144"/>
        <v>0</v>
      </c>
    </row>
    <row r="1266" spans="2:19" x14ac:dyDescent="0.25">
      <c r="B1266" s="1" t="s">
        <v>1520</v>
      </c>
      <c r="C1266" s="2" t="s">
        <v>196</v>
      </c>
      <c r="D1266" s="2" t="s">
        <v>215</v>
      </c>
      <c r="E1266" s="2" t="s">
        <v>858</v>
      </c>
      <c r="F1266" s="3">
        <f t="shared" si="148"/>
        <v>44967</v>
      </c>
      <c r="G1266" s="4">
        <f t="shared" si="141"/>
        <v>2</v>
      </c>
      <c r="H1266" s="4">
        <f t="shared" si="142"/>
        <v>2023</v>
      </c>
      <c r="I1266" s="2" t="s">
        <v>4</v>
      </c>
      <c r="J1266" s="2" t="s">
        <v>1941</v>
      </c>
      <c r="K1266" s="2" t="s">
        <v>1204</v>
      </c>
      <c r="L1266" s="2" t="s">
        <v>1151</v>
      </c>
      <c r="M1266" s="2" t="s">
        <v>8</v>
      </c>
      <c r="N1266" s="4" t="str">
        <f t="shared" si="143"/>
        <v>GAL</v>
      </c>
      <c r="O1266" s="5">
        <v>250</v>
      </c>
      <c r="S1266" s="32">
        <f t="shared" si="144"/>
        <v>0</v>
      </c>
    </row>
    <row r="1267" spans="2:19" x14ac:dyDescent="0.25">
      <c r="B1267" s="1" t="s">
        <v>1520</v>
      </c>
      <c r="C1267" s="2" t="s">
        <v>196</v>
      </c>
      <c r="D1267" s="2" t="s">
        <v>232</v>
      </c>
      <c r="E1267" s="2" t="s">
        <v>233</v>
      </c>
      <c r="F1267" s="3">
        <f t="shared" si="148"/>
        <v>44967</v>
      </c>
      <c r="G1267" s="4">
        <f t="shared" si="141"/>
        <v>2</v>
      </c>
      <c r="H1267" s="4">
        <f t="shared" si="142"/>
        <v>2023</v>
      </c>
      <c r="I1267" s="2" t="s">
        <v>4</v>
      </c>
      <c r="J1267" s="2" t="s">
        <v>1942</v>
      </c>
      <c r="K1267" s="2" t="s">
        <v>1943</v>
      </c>
      <c r="L1267" s="2" t="s">
        <v>1944</v>
      </c>
      <c r="M1267" s="2" t="s">
        <v>119</v>
      </c>
      <c r="N1267" s="4" t="str">
        <f t="shared" si="143"/>
        <v>TON</v>
      </c>
      <c r="O1267" s="5">
        <v>2.5</v>
      </c>
      <c r="S1267" s="32">
        <f t="shared" si="144"/>
        <v>0</v>
      </c>
    </row>
    <row r="1268" spans="2:19" x14ac:dyDescent="0.25">
      <c r="B1268" s="1" t="s">
        <v>1520</v>
      </c>
      <c r="C1268" s="2" t="s">
        <v>196</v>
      </c>
      <c r="D1268" s="2" t="s">
        <v>114</v>
      </c>
      <c r="E1268" s="2" t="s">
        <v>927</v>
      </c>
      <c r="F1268" s="3">
        <f t="shared" si="148"/>
        <v>44967</v>
      </c>
      <c r="G1268" s="4">
        <f t="shared" si="141"/>
        <v>2</v>
      </c>
      <c r="H1268" s="4">
        <f t="shared" si="142"/>
        <v>2023</v>
      </c>
      <c r="I1268" s="2" t="s">
        <v>4</v>
      </c>
      <c r="J1268" s="2" t="s">
        <v>1945</v>
      </c>
      <c r="K1268" s="2" t="s">
        <v>390</v>
      </c>
      <c r="L1268" s="2" t="s">
        <v>391</v>
      </c>
      <c r="M1268" s="2" t="s">
        <v>119</v>
      </c>
      <c r="N1268" s="4" t="str">
        <f t="shared" si="143"/>
        <v>TON</v>
      </c>
      <c r="O1268" s="5">
        <v>4.5075000000000003</v>
      </c>
      <c r="S1268" s="32">
        <f t="shared" si="144"/>
        <v>0</v>
      </c>
    </row>
    <row r="1269" spans="2:19" x14ac:dyDescent="0.25">
      <c r="B1269" s="1" t="s">
        <v>1520</v>
      </c>
      <c r="C1269" s="2" t="s">
        <v>196</v>
      </c>
      <c r="D1269" s="2" t="s">
        <v>890</v>
      </c>
      <c r="E1269" s="2" t="s">
        <v>891</v>
      </c>
      <c r="F1269" s="3">
        <f t="shared" si="148"/>
        <v>44967</v>
      </c>
      <c r="G1269" s="4">
        <f t="shared" si="141"/>
        <v>2</v>
      </c>
      <c r="H1269" s="4">
        <f t="shared" si="142"/>
        <v>2023</v>
      </c>
      <c r="I1269" s="2" t="s">
        <v>4</v>
      </c>
      <c r="J1269" s="2" t="s">
        <v>1946</v>
      </c>
      <c r="K1269" s="2" t="s">
        <v>205</v>
      </c>
      <c r="L1269" s="2" t="s">
        <v>206</v>
      </c>
      <c r="M1269" s="2" t="s">
        <v>119</v>
      </c>
      <c r="N1269" s="4" t="str">
        <f t="shared" si="143"/>
        <v>TON</v>
      </c>
      <c r="O1269" s="5">
        <v>6.0175000000000001</v>
      </c>
      <c r="S1269" s="32">
        <f t="shared" si="144"/>
        <v>0</v>
      </c>
    </row>
    <row r="1270" spans="2:19" x14ac:dyDescent="0.25">
      <c r="B1270" s="1" t="s">
        <v>1520</v>
      </c>
      <c r="C1270" s="2" t="s">
        <v>196</v>
      </c>
      <c r="D1270" s="2" t="s">
        <v>1345</v>
      </c>
      <c r="E1270" s="2" t="s">
        <v>1346</v>
      </c>
      <c r="F1270" s="3">
        <f t="shared" si="148"/>
        <v>44967</v>
      </c>
      <c r="G1270" s="4">
        <f t="shared" si="141"/>
        <v>2</v>
      </c>
      <c r="H1270" s="4">
        <f t="shared" si="142"/>
        <v>2023</v>
      </c>
      <c r="I1270" s="2" t="s">
        <v>4</v>
      </c>
      <c r="J1270" s="2" t="s">
        <v>1947</v>
      </c>
      <c r="K1270" s="2" t="s">
        <v>842</v>
      </c>
      <c r="L1270" s="2" t="s">
        <v>843</v>
      </c>
      <c r="M1270" s="2" t="s">
        <v>844</v>
      </c>
      <c r="N1270" s="4" t="str">
        <f t="shared" si="143"/>
        <v>GAL</v>
      </c>
      <c r="O1270" s="5">
        <v>250</v>
      </c>
      <c r="S1270" s="32">
        <f t="shared" si="144"/>
        <v>0</v>
      </c>
    </row>
    <row r="1271" spans="2:19" x14ac:dyDescent="0.25">
      <c r="B1271" s="1" t="s">
        <v>1520</v>
      </c>
      <c r="C1271" s="2" t="s">
        <v>196</v>
      </c>
      <c r="D1271" s="2" t="s">
        <v>715</v>
      </c>
      <c r="E1271" s="2" t="s">
        <v>1948</v>
      </c>
      <c r="F1271" s="3">
        <f t="shared" si="148"/>
        <v>44967</v>
      </c>
      <c r="G1271" s="4">
        <f t="shared" si="141"/>
        <v>2</v>
      </c>
      <c r="H1271" s="4">
        <f t="shared" si="142"/>
        <v>2023</v>
      </c>
      <c r="I1271" s="2" t="s">
        <v>4</v>
      </c>
      <c r="J1271" s="2" t="s">
        <v>1949</v>
      </c>
      <c r="K1271" s="2" t="s">
        <v>329</v>
      </c>
      <c r="L1271" s="2" t="s">
        <v>330</v>
      </c>
      <c r="M1271" s="2" t="s">
        <v>119</v>
      </c>
      <c r="N1271" s="4" t="str">
        <f t="shared" si="143"/>
        <v>TON</v>
      </c>
      <c r="O1271" s="5">
        <v>2.5</v>
      </c>
      <c r="S1271" s="32">
        <f t="shared" si="144"/>
        <v>0</v>
      </c>
    </row>
    <row r="1272" spans="2:19" x14ac:dyDescent="0.25">
      <c r="B1272" s="1" t="s">
        <v>1520</v>
      </c>
      <c r="C1272" s="2" t="s">
        <v>196</v>
      </c>
      <c r="D1272" s="2" t="s">
        <v>114</v>
      </c>
      <c r="E1272" s="2" t="s">
        <v>115</v>
      </c>
      <c r="F1272" s="3">
        <f t="shared" si="148"/>
        <v>44967</v>
      </c>
      <c r="G1272" s="4">
        <f t="shared" si="141"/>
        <v>2</v>
      </c>
      <c r="H1272" s="4">
        <f t="shared" si="142"/>
        <v>2023</v>
      </c>
      <c r="I1272" s="2" t="s">
        <v>4</v>
      </c>
      <c r="J1272" s="2" t="s">
        <v>1950</v>
      </c>
      <c r="K1272" s="2" t="s">
        <v>390</v>
      </c>
      <c r="L1272" s="2" t="s">
        <v>391</v>
      </c>
      <c r="M1272" s="2" t="s">
        <v>119</v>
      </c>
      <c r="N1272" s="4" t="str">
        <f t="shared" si="143"/>
        <v>TON</v>
      </c>
      <c r="O1272" s="5">
        <v>2.5024999999999999</v>
      </c>
      <c r="S1272" s="32">
        <f t="shared" si="144"/>
        <v>0</v>
      </c>
    </row>
    <row r="1273" spans="2:19" x14ac:dyDescent="0.25">
      <c r="B1273" s="1" t="s">
        <v>1520</v>
      </c>
      <c r="C1273" s="2" t="s">
        <v>196</v>
      </c>
      <c r="D1273" s="2" t="s">
        <v>800</v>
      </c>
      <c r="E1273" s="2" t="s">
        <v>907</v>
      </c>
      <c r="F1273" s="3">
        <f t="shared" si="148"/>
        <v>44967</v>
      </c>
      <c r="G1273" s="4">
        <f t="shared" si="141"/>
        <v>2</v>
      </c>
      <c r="H1273" s="4">
        <f t="shared" si="142"/>
        <v>2023</v>
      </c>
      <c r="I1273" s="2" t="s">
        <v>4</v>
      </c>
      <c r="J1273" s="2" t="s">
        <v>1951</v>
      </c>
      <c r="K1273" s="2" t="s">
        <v>122</v>
      </c>
      <c r="L1273" s="2" t="s">
        <v>123</v>
      </c>
      <c r="M1273" s="2" t="s">
        <v>119</v>
      </c>
      <c r="N1273" s="4" t="str">
        <f t="shared" si="143"/>
        <v>TON</v>
      </c>
      <c r="O1273" s="5">
        <v>5.5175000000000001</v>
      </c>
      <c r="S1273" s="32">
        <f t="shared" si="144"/>
        <v>0</v>
      </c>
    </row>
    <row r="1274" spans="2:19" x14ac:dyDescent="0.25">
      <c r="B1274" s="1" t="s">
        <v>1520</v>
      </c>
      <c r="C1274" s="2" t="s">
        <v>196</v>
      </c>
      <c r="D1274" s="2" t="s">
        <v>207</v>
      </c>
      <c r="E1274" s="2" t="s">
        <v>208</v>
      </c>
      <c r="F1274" s="3">
        <f t="shared" ref="F1274:F1280" si="149">DATE(2023,2,13)</f>
        <v>44970</v>
      </c>
      <c r="G1274" s="4">
        <f t="shared" si="141"/>
        <v>2</v>
      </c>
      <c r="H1274" s="4">
        <f t="shared" si="142"/>
        <v>2023</v>
      </c>
      <c r="I1274" s="2" t="s">
        <v>4</v>
      </c>
      <c r="J1274" s="2" t="s">
        <v>1952</v>
      </c>
      <c r="K1274" s="2" t="s">
        <v>236</v>
      </c>
      <c r="L1274" s="2" t="s">
        <v>237</v>
      </c>
      <c r="M1274" s="2" t="s">
        <v>119</v>
      </c>
      <c r="N1274" s="4" t="str">
        <f t="shared" si="143"/>
        <v>TON</v>
      </c>
      <c r="O1274" s="5">
        <v>3.53</v>
      </c>
      <c r="S1274" s="32">
        <f t="shared" si="144"/>
        <v>0</v>
      </c>
    </row>
    <row r="1275" spans="2:19" x14ac:dyDescent="0.25">
      <c r="B1275" s="1" t="s">
        <v>1520</v>
      </c>
      <c r="C1275" s="2" t="s">
        <v>196</v>
      </c>
      <c r="D1275" s="2" t="s">
        <v>207</v>
      </c>
      <c r="E1275" s="2" t="s">
        <v>208</v>
      </c>
      <c r="F1275" s="3">
        <f t="shared" si="149"/>
        <v>44970</v>
      </c>
      <c r="G1275" s="4">
        <f t="shared" si="141"/>
        <v>2</v>
      </c>
      <c r="H1275" s="4">
        <f t="shared" si="142"/>
        <v>2023</v>
      </c>
      <c r="I1275" s="2" t="s">
        <v>4</v>
      </c>
      <c r="J1275" s="2" t="s">
        <v>1953</v>
      </c>
      <c r="K1275" s="2" t="s">
        <v>205</v>
      </c>
      <c r="L1275" s="2" t="s">
        <v>206</v>
      </c>
      <c r="M1275" s="2" t="s">
        <v>119</v>
      </c>
      <c r="N1275" s="4" t="str">
        <f t="shared" si="143"/>
        <v>TON</v>
      </c>
      <c r="O1275" s="5">
        <v>2.5099999999999998</v>
      </c>
      <c r="S1275" s="32">
        <f t="shared" si="144"/>
        <v>0</v>
      </c>
    </row>
    <row r="1276" spans="2:19" x14ac:dyDescent="0.25">
      <c r="B1276" s="1" t="s">
        <v>1520</v>
      </c>
      <c r="C1276" s="2" t="s">
        <v>196</v>
      </c>
      <c r="D1276" s="2" t="s">
        <v>285</v>
      </c>
      <c r="E1276" s="2" t="s">
        <v>695</v>
      </c>
      <c r="F1276" s="3">
        <f t="shared" si="149"/>
        <v>44970</v>
      </c>
      <c r="G1276" s="4">
        <f t="shared" si="141"/>
        <v>2</v>
      </c>
      <c r="H1276" s="4">
        <f t="shared" si="142"/>
        <v>2023</v>
      </c>
      <c r="I1276" s="2" t="s">
        <v>4</v>
      </c>
      <c r="J1276" s="2" t="s">
        <v>1954</v>
      </c>
      <c r="K1276" s="2" t="s">
        <v>1232</v>
      </c>
      <c r="L1276" s="2" t="s">
        <v>1233</v>
      </c>
      <c r="M1276" s="2" t="s">
        <v>119</v>
      </c>
      <c r="N1276" s="4" t="str">
        <f t="shared" si="143"/>
        <v>TON</v>
      </c>
      <c r="O1276" s="5">
        <v>11</v>
      </c>
      <c r="S1276" s="32">
        <f t="shared" si="144"/>
        <v>0</v>
      </c>
    </row>
    <row r="1277" spans="2:19" x14ac:dyDescent="0.25">
      <c r="B1277" s="1" t="s">
        <v>1520</v>
      </c>
      <c r="C1277" s="2" t="s">
        <v>196</v>
      </c>
      <c r="D1277" s="2" t="s">
        <v>265</v>
      </c>
      <c r="E1277" s="2" t="s">
        <v>266</v>
      </c>
      <c r="F1277" s="3">
        <f t="shared" si="149"/>
        <v>44970</v>
      </c>
      <c r="G1277" s="4">
        <f t="shared" si="141"/>
        <v>2</v>
      </c>
      <c r="H1277" s="4">
        <f t="shared" si="142"/>
        <v>2023</v>
      </c>
      <c r="I1277" s="2" t="s">
        <v>4</v>
      </c>
      <c r="J1277" s="2" t="s">
        <v>1955</v>
      </c>
      <c r="K1277" s="2" t="s">
        <v>268</v>
      </c>
      <c r="L1277" s="2" t="s">
        <v>269</v>
      </c>
      <c r="M1277" s="2" t="s">
        <v>119</v>
      </c>
      <c r="N1277" s="4" t="str">
        <f t="shared" si="143"/>
        <v>TON</v>
      </c>
      <c r="O1277" s="5">
        <v>0.15</v>
      </c>
      <c r="S1277" s="32">
        <f t="shared" si="144"/>
        <v>0</v>
      </c>
    </row>
    <row r="1278" spans="2:19" x14ac:dyDescent="0.25">
      <c r="B1278" s="1" t="s">
        <v>1520</v>
      </c>
      <c r="C1278" s="2" t="s">
        <v>196</v>
      </c>
      <c r="D1278" s="2" t="s">
        <v>1956</v>
      </c>
      <c r="E1278" s="2" t="s">
        <v>102</v>
      </c>
      <c r="F1278" s="3">
        <f t="shared" si="149"/>
        <v>44970</v>
      </c>
      <c r="G1278" s="4">
        <f t="shared" si="141"/>
        <v>2</v>
      </c>
      <c r="H1278" s="4">
        <f t="shared" si="142"/>
        <v>2023</v>
      </c>
      <c r="I1278" s="2" t="s">
        <v>4</v>
      </c>
      <c r="J1278" s="2" t="s">
        <v>1957</v>
      </c>
      <c r="K1278" s="2" t="s">
        <v>122</v>
      </c>
      <c r="L1278" s="2" t="s">
        <v>123</v>
      </c>
      <c r="M1278" s="2" t="s">
        <v>119</v>
      </c>
      <c r="N1278" s="4" t="str">
        <f t="shared" si="143"/>
        <v>TON</v>
      </c>
      <c r="O1278" s="5">
        <v>0.6</v>
      </c>
      <c r="S1278" s="32">
        <f t="shared" si="144"/>
        <v>0</v>
      </c>
    </row>
    <row r="1279" spans="2:19" x14ac:dyDescent="0.25">
      <c r="B1279" s="1" t="s">
        <v>1520</v>
      </c>
      <c r="C1279" s="2" t="s">
        <v>196</v>
      </c>
      <c r="D1279" s="2" t="s">
        <v>221</v>
      </c>
      <c r="E1279" s="2" t="s">
        <v>355</v>
      </c>
      <c r="F1279" s="3">
        <f t="shared" si="149"/>
        <v>44970</v>
      </c>
      <c r="G1279" s="4">
        <f t="shared" si="141"/>
        <v>2</v>
      </c>
      <c r="H1279" s="4">
        <f t="shared" si="142"/>
        <v>2023</v>
      </c>
      <c r="I1279" s="2" t="s">
        <v>4</v>
      </c>
      <c r="J1279" s="2" t="s">
        <v>1958</v>
      </c>
      <c r="K1279" s="2" t="s">
        <v>334</v>
      </c>
      <c r="L1279" s="2" t="s">
        <v>335</v>
      </c>
      <c r="M1279" s="2" t="s">
        <v>119</v>
      </c>
      <c r="N1279" s="4" t="str">
        <f t="shared" si="143"/>
        <v>TON</v>
      </c>
      <c r="O1279" s="5">
        <v>5.0225</v>
      </c>
      <c r="S1279" s="32">
        <f t="shared" si="144"/>
        <v>0</v>
      </c>
    </row>
    <row r="1280" spans="2:19" x14ac:dyDescent="0.25">
      <c r="B1280" s="1" t="s">
        <v>1520</v>
      </c>
      <c r="C1280" s="2" t="s">
        <v>196</v>
      </c>
      <c r="D1280" s="2" t="s">
        <v>321</v>
      </c>
      <c r="E1280" s="2" t="s">
        <v>697</v>
      </c>
      <c r="F1280" s="3">
        <f t="shared" si="149"/>
        <v>44970</v>
      </c>
      <c r="G1280" s="4">
        <f t="shared" si="141"/>
        <v>2</v>
      </c>
      <c r="H1280" s="4">
        <f t="shared" si="142"/>
        <v>2023</v>
      </c>
      <c r="I1280" s="2" t="s">
        <v>4</v>
      </c>
      <c r="J1280" s="2" t="s">
        <v>1959</v>
      </c>
      <c r="K1280" s="2" t="s">
        <v>394</v>
      </c>
      <c r="L1280" s="2" t="s">
        <v>395</v>
      </c>
      <c r="M1280" s="2" t="s">
        <v>119</v>
      </c>
      <c r="N1280" s="4" t="str">
        <f t="shared" si="143"/>
        <v>TON</v>
      </c>
      <c r="O1280" s="5">
        <v>10.01</v>
      </c>
      <c r="S1280" s="32">
        <f t="shared" si="144"/>
        <v>0</v>
      </c>
    </row>
    <row r="1281" spans="2:19" x14ac:dyDescent="0.25">
      <c r="B1281" s="1" t="s">
        <v>1520</v>
      </c>
      <c r="C1281" s="2" t="s">
        <v>196</v>
      </c>
      <c r="D1281" s="2" t="s">
        <v>285</v>
      </c>
      <c r="E1281" s="2" t="s">
        <v>297</v>
      </c>
      <c r="F1281" s="3">
        <f t="shared" ref="F1281:F1286" si="150">DATE(2023,2,14)</f>
        <v>44971</v>
      </c>
      <c r="G1281" s="4">
        <f t="shared" si="141"/>
        <v>2</v>
      </c>
      <c r="H1281" s="4">
        <f t="shared" si="142"/>
        <v>2023</v>
      </c>
      <c r="I1281" s="2" t="s">
        <v>4</v>
      </c>
      <c r="J1281" s="2" t="s">
        <v>1960</v>
      </c>
      <c r="K1281" s="2" t="s">
        <v>205</v>
      </c>
      <c r="L1281" s="2" t="s">
        <v>206</v>
      </c>
      <c r="M1281" s="2" t="s">
        <v>119</v>
      </c>
      <c r="N1281" s="4" t="str">
        <f t="shared" si="143"/>
        <v>TON</v>
      </c>
      <c r="O1281" s="5">
        <v>5.0025000000000004</v>
      </c>
      <c r="S1281" s="32">
        <f t="shared" si="144"/>
        <v>0</v>
      </c>
    </row>
    <row r="1282" spans="2:19" x14ac:dyDescent="0.25">
      <c r="B1282" s="1" t="s">
        <v>1520</v>
      </c>
      <c r="C1282" s="2" t="s">
        <v>196</v>
      </c>
      <c r="D1282" s="2" t="s">
        <v>285</v>
      </c>
      <c r="E1282" s="2" t="s">
        <v>297</v>
      </c>
      <c r="F1282" s="3">
        <f t="shared" si="150"/>
        <v>44971</v>
      </c>
      <c r="G1282" s="4">
        <f t="shared" si="141"/>
        <v>2</v>
      </c>
      <c r="H1282" s="4">
        <f t="shared" si="142"/>
        <v>2023</v>
      </c>
      <c r="I1282" s="2" t="s">
        <v>4</v>
      </c>
      <c r="J1282" s="2" t="s">
        <v>1961</v>
      </c>
      <c r="K1282" s="2" t="s">
        <v>1232</v>
      </c>
      <c r="L1282" s="2" t="s">
        <v>1233</v>
      </c>
      <c r="M1282" s="2" t="s">
        <v>119</v>
      </c>
      <c r="N1282" s="4" t="str">
        <f t="shared" si="143"/>
        <v>TON</v>
      </c>
      <c r="O1282" s="5">
        <v>7.9974999999999996</v>
      </c>
      <c r="S1282" s="32">
        <f t="shared" si="144"/>
        <v>0</v>
      </c>
    </row>
    <row r="1283" spans="2:19" x14ac:dyDescent="0.25">
      <c r="B1283" s="1" t="s">
        <v>1520</v>
      </c>
      <c r="C1283" s="2" t="s">
        <v>196</v>
      </c>
      <c r="D1283" s="2" t="s">
        <v>437</v>
      </c>
      <c r="E1283" s="2" t="s">
        <v>438</v>
      </c>
      <c r="F1283" s="3">
        <f t="shared" si="150"/>
        <v>44971</v>
      </c>
      <c r="G1283" s="4">
        <f t="shared" ref="G1283:G1346" si="151">+MONTH(F1283)</f>
        <v>2</v>
      </c>
      <c r="H1283" s="4">
        <f t="shared" ref="H1283:H1346" si="152">+YEAR(F1283)</f>
        <v>2023</v>
      </c>
      <c r="I1283" s="2" t="s">
        <v>4</v>
      </c>
      <c r="J1283" s="2" t="s">
        <v>1962</v>
      </c>
      <c r="K1283" s="2" t="s">
        <v>1291</v>
      </c>
      <c r="L1283" s="2" t="s">
        <v>1292</v>
      </c>
      <c r="M1283" s="2" t="s">
        <v>119</v>
      </c>
      <c r="N1283" s="4" t="str">
        <f t="shared" ref="N1283:N1346" si="153">+LEFT(M1283,3)</f>
        <v>TON</v>
      </c>
      <c r="O1283" s="5">
        <v>5</v>
      </c>
      <c r="S1283" s="32">
        <f t="shared" si="144"/>
        <v>0</v>
      </c>
    </row>
    <row r="1284" spans="2:19" x14ac:dyDescent="0.25">
      <c r="B1284" s="1" t="s">
        <v>1520</v>
      </c>
      <c r="C1284" s="2" t="s">
        <v>196</v>
      </c>
      <c r="D1284" s="2" t="s">
        <v>238</v>
      </c>
      <c r="E1284" s="2" t="s">
        <v>1156</v>
      </c>
      <c r="F1284" s="3">
        <f t="shared" si="150"/>
        <v>44971</v>
      </c>
      <c r="G1284" s="4">
        <f t="shared" si="151"/>
        <v>2</v>
      </c>
      <c r="H1284" s="4">
        <f t="shared" si="152"/>
        <v>2023</v>
      </c>
      <c r="I1284" s="2" t="s">
        <v>4</v>
      </c>
      <c r="J1284" s="2" t="s">
        <v>1963</v>
      </c>
      <c r="K1284" s="2" t="s">
        <v>1291</v>
      </c>
      <c r="L1284" s="2" t="s">
        <v>1292</v>
      </c>
      <c r="M1284" s="2" t="s">
        <v>119</v>
      </c>
      <c r="N1284" s="4" t="str">
        <f t="shared" si="153"/>
        <v>TON</v>
      </c>
      <c r="O1284" s="5">
        <v>6.5</v>
      </c>
      <c r="S1284" s="32">
        <f t="shared" ref="S1284:S1347" si="154">SUMIF($R$3:$R$885, $R1284, $O$3:$O$885)</f>
        <v>0</v>
      </c>
    </row>
    <row r="1285" spans="2:19" x14ac:dyDescent="0.25">
      <c r="B1285" s="1" t="s">
        <v>1520</v>
      </c>
      <c r="C1285" s="2" t="s">
        <v>196</v>
      </c>
      <c r="D1285" s="2" t="s">
        <v>715</v>
      </c>
      <c r="E1285" s="2" t="s">
        <v>893</v>
      </c>
      <c r="F1285" s="3">
        <f t="shared" si="150"/>
        <v>44971</v>
      </c>
      <c r="G1285" s="4">
        <f t="shared" si="151"/>
        <v>2</v>
      </c>
      <c r="H1285" s="4">
        <f t="shared" si="152"/>
        <v>2023</v>
      </c>
      <c r="I1285" s="2" t="s">
        <v>4</v>
      </c>
      <c r="J1285" s="2" t="s">
        <v>1964</v>
      </c>
      <c r="K1285" s="2" t="s">
        <v>329</v>
      </c>
      <c r="L1285" s="2" t="s">
        <v>330</v>
      </c>
      <c r="M1285" s="2" t="s">
        <v>119</v>
      </c>
      <c r="N1285" s="4" t="str">
        <f t="shared" si="153"/>
        <v>TON</v>
      </c>
      <c r="O1285" s="5">
        <v>2.5</v>
      </c>
      <c r="S1285" s="32">
        <f t="shared" si="154"/>
        <v>0</v>
      </c>
    </row>
    <row r="1286" spans="2:19" x14ac:dyDescent="0.25">
      <c r="B1286" s="1" t="s">
        <v>1520</v>
      </c>
      <c r="C1286" s="2" t="s">
        <v>196</v>
      </c>
      <c r="D1286" s="2" t="s">
        <v>197</v>
      </c>
      <c r="E1286" s="2" t="s">
        <v>198</v>
      </c>
      <c r="F1286" s="3">
        <f t="shared" si="150"/>
        <v>44971</v>
      </c>
      <c r="G1286" s="4">
        <f t="shared" si="151"/>
        <v>2</v>
      </c>
      <c r="H1286" s="4">
        <f t="shared" si="152"/>
        <v>2023</v>
      </c>
      <c r="I1286" s="2" t="s">
        <v>4</v>
      </c>
      <c r="J1286" s="2" t="s">
        <v>1965</v>
      </c>
      <c r="K1286" s="2" t="s">
        <v>307</v>
      </c>
      <c r="L1286" s="2" t="s">
        <v>308</v>
      </c>
      <c r="M1286" s="2" t="s">
        <v>119</v>
      </c>
      <c r="N1286" s="4" t="str">
        <f t="shared" si="153"/>
        <v>TON</v>
      </c>
      <c r="O1286" s="5">
        <v>4</v>
      </c>
      <c r="S1286" s="32">
        <f t="shared" si="154"/>
        <v>0</v>
      </c>
    </row>
    <row r="1287" spans="2:19" x14ac:dyDescent="0.25">
      <c r="B1287" s="1" t="s">
        <v>1520</v>
      </c>
      <c r="C1287" s="2" t="s">
        <v>196</v>
      </c>
      <c r="D1287" s="2" t="s">
        <v>114</v>
      </c>
      <c r="E1287" s="2" t="s">
        <v>369</v>
      </c>
      <c r="F1287" s="3">
        <f t="shared" ref="F1287:F1292" si="155">DATE(2023,2,15)</f>
        <v>44972</v>
      </c>
      <c r="G1287" s="4">
        <f t="shared" si="151"/>
        <v>2</v>
      </c>
      <c r="H1287" s="4">
        <f t="shared" si="152"/>
        <v>2023</v>
      </c>
      <c r="I1287" s="2" t="s">
        <v>4</v>
      </c>
      <c r="J1287" s="2" t="s">
        <v>1966</v>
      </c>
      <c r="K1287" s="2" t="s">
        <v>390</v>
      </c>
      <c r="L1287" s="2" t="s">
        <v>391</v>
      </c>
      <c r="M1287" s="2" t="s">
        <v>119</v>
      </c>
      <c r="N1287" s="4" t="str">
        <f t="shared" si="153"/>
        <v>TON</v>
      </c>
      <c r="O1287" s="5">
        <v>2</v>
      </c>
      <c r="S1287" s="32">
        <f t="shared" si="154"/>
        <v>0</v>
      </c>
    </row>
    <row r="1288" spans="2:19" x14ac:dyDescent="0.25">
      <c r="B1288" s="1" t="s">
        <v>1520</v>
      </c>
      <c r="C1288" s="2" t="s">
        <v>196</v>
      </c>
      <c r="D1288" s="2" t="s">
        <v>669</v>
      </c>
      <c r="E1288" s="2" t="s">
        <v>56</v>
      </c>
      <c r="F1288" s="3">
        <f t="shared" si="155"/>
        <v>44972</v>
      </c>
      <c r="G1288" s="4">
        <f t="shared" si="151"/>
        <v>2</v>
      </c>
      <c r="H1288" s="4">
        <f t="shared" si="152"/>
        <v>2023</v>
      </c>
      <c r="I1288" s="2" t="s">
        <v>4</v>
      </c>
      <c r="J1288" s="2" t="s">
        <v>1967</v>
      </c>
      <c r="K1288" s="2" t="s">
        <v>384</v>
      </c>
      <c r="L1288" s="2" t="s">
        <v>385</v>
      </c>
      <c r="M1288" s="2" t="s">
        <v>119</v>
      </c>
      <c r="N1288" s="4" t="str">
        <f t="shared" si="153"/>
        <v>TON</v>
      </c>
      <c r="O1288" s="5">
        <v>1.9750000000000001</v>
      </c>
      <c r="S1288" s="32">
        <f t="shared" si="154"/>
        <v>0</v>
      </c>
    </row>
    <row r="1289" spans="2:19" x14ac:dyDescent="0.25">
      <c r="B1289" s="1" t="s">
        <v>1520</v>
      </c>
      <c r="C1289" s="2" t="s">
        <v>196</v>
      </c>
      <c r="D1289" s="2" t="s">
        <v>440</v>
      </c>
      <c r="E1289" s="2" t="s">
        <v>441</v>
      </c>
      <c r="F1289" s="3">
        <f t="shared" si="155"/>
        <v>44972</v>
      </c>
      <c r="G1289" s="4">
        <f t="shared" si="151"/>
        <v>2</v>
      </c>
      <c r="H1289" s="4">
        <f t="shared" si="152"/>
        <v>2023</v>
      </c>
      <c r="I1289" s="2" t="s">
        <v>4</v>
      </c>
      <c r="J1289" s="2" t="s">
        <v>1968</v>
      </c>
      <c r="K1289" s="2" t="s">
        <v>1969</v>
      </c>
      <c r="L1289" s="2" t="s">
        <v>1970</v>
      </c>
      <c r="M1289" s="2" t="s">
        <v>119</v>
      </c>
      <c r="N1289" s="4" t="str">
        <f t="shared" si="153"/>
        <v>TON</v>
      </c>
      <c r="O1289" s="5">
        <v>15.0175</v>
      </c>
      <c r="S1289" s="32">
        <f t="shared" si="154"/>
        <v>0</v>
      </c>
    </row>
    <row r="1290" spans="2:19" x14ac:dyDescent="0.25">
      <c r="B1290" s="1" t="s">
        <v>1520</v>
      </c>
      <c r="C1290" s="2" t="s">
        <v>196</v>
      </c>
      <c r="D1290" s="2" t="s">
        <v>1257</v>
      </c>
      <c r="E1290" s="2" t="s">
        <v>102</v>
      </c>
      <c r="F1290" s="3">
        <f t="shared" si="155"/>
        <v>44972</v>
      </c>
      <c r="G1290" s="4">
        <f t="shared" si="151"/>
        <v>2</v>
      </c>
      <c r="H1290" s="4">
        <f t="shared" si="152"/>
        <v>2023</v>
      </c>
      <c r="I1290" s="2" t="s">
        <v>4</v>
      </c>
      <c r="J1290" s="2" t="s">
        <v>1971</v>
      </c>
      <c r="K1290" s="2" t="s">
        <v>834</v>
      </c>
      <c r="L1290" s="2" t="s">
        <v>835</v>
      </c>
      <c r="M1290" s="2" t="s">
        <v>119</v>
      </c>
      <c r="N1290" s="4" t="str">
        <f t="shared" si="153"/>
        <v>TON</v>
      </c>
      <c r="O1290" s="5">
        <v>1.25</v>
      </c>
      <c r="S1290" s="32">
        <f t="shared" si="154"/>
        <v>0</v>
      </c>
    </row>
    <row r="1291" spans="2:19" x14ac:dyDescent="0.25">
      <c r="B1291" s="1" t="s">
        <v>1520</v>
      </c>
      <c r="C1291" s="2" t="s">
        <v>196</v>
      </c>
      <c r="D1291" s="2" t="s">
        <v>452</v>
      </c>
      <c r="E1291" s="2" t="s">
        <v>1167</v>
      </c>
      <c r="F1291" s="3">
        <f t="shared" si="155"/>
        <v>44972</v>
      </c>
      <c r="G1291" s="4">
        <f t="shared" si="151"/>
        <v>2</v>
      </c>
      <c r="H1291" s="4">
        <f t="shared" si="152"/>
        <v>2023</v>
      </c>
      <c r="I1291" s="2" t="s">
        <v>4</v>
      </c>
      <c r="J1291" s="2" t="s">
        <v>1972</v>
      </c>
      <c r="K1291" s="2" t="s">
        <v>117</v>
      </c>
      <c r="L1291" s="2" t="s">
        <v>118</v>
      </c>
      <c r="M1291" s="2" t="s">
        <v>119</v>
      </c>
      <c r="N1291" s="4" t="str">
        <f t="shared" si="153"/>
        <v>TON</v>
      </c>
      <c r="O1291" s="5">
        <v>5.5025000000000004</v>
      </c>
      <c r="S1291" s="32">
        <f t="shared" si="154"/>
        <v>0</v>
      </c>
    </row>
    <row r="1292" spans="2:19" x14ac:dyDescent="0.25">
      <c r="B1292" s="1" t="s">
        <v>1520</v>
      </c>
      <c r="C1292" s="2" t="s">
        <v>196</v>
      </c>
      <c r="D1292" s="2" t="s">
        <v>387</v>
      </c>
      <c r="E1292" s="2" t="s">
        <v>797</v>
      </c>
      <c r="F1292" s="3">
        <f t="shared" si="155"/>
        <v>44972</v>
      </c>
      <c r="G1292" s="4">
        <f t="shared" si="151"/>
        <v>2</v>
      </c>
      <c r="H1292" s="4">
        <f t="shared" si="152"/>
        <v>2023</v>
      </c>
      <c r="I1292" s="2" t="s">
        <v>4</v>
      </c>
      <c r="J1292" s="2" t="s">
        <v>1973</v>
      </c>
      <c r="K1292" s="2" t="s">
        <v>1969</v>
      </c>
      <c r="L1292" s="2" t="s">
        <v>1970</v>
      </c>
      <c r="M1292" s="2" t="s">
        <v>119</v>
      </c>
      <c r="N1292" s="4" t="str">
        <f t="shared" si="153"/>
        <v>TON</v>
      </c>
      <c r="O1292" s="5">
        <v>10</v>
      </c>
      <c r="S1292" s="32">
        <f t="shared" si="154"/>
        <v>0</v>
      </c>
    </row>
    <row r="1293" spans="2:19" x14ac:dyDescent="0.25">
      <c r="B1293" s="6" t="s">
        <v>1520</v>
      </c>
      <c r="C1293" s="7" t="s">
        <v>196</v>
      </c>
      <c r="D1293" s="8" t="s">
        <v>1974</v>
      </c>
      <c r="E1293" s="8" t="s">
        <v>141</v>
      </c>
      <c r="F1293" s="9">
        <f t="shared" ref="F1293:F1300" si="156">DATE(2023,2,16)</f>
        <v>44973</v>
      </c>
      <c r="G1293" s="10">
        <f t="shared" si="151"/>
        <v>2</v>
      </c>
      <c r="H1293" s="10">
        <f t="shared" si="152"/>
        <v>2023</v>
      </c>
      <c r="I1293" s="8" t="s">
        <v>4</v>
      </c>
      <c r="J1293" s="7" t="s">
        <v>1975</v>
      </c>
      <c r="K1293" s="8" t="s">
        <v>36</v>
      </c>
      <c r="L1293" s="8" t="s">
        <v>511</v>
      </c>
      <c r="M1293" s="8" t="s">
        <v>38</v>
      </c>
      <c r="N1293" s="10" t="str">
        <f t="shared" si="153"/>
        <v>GAL</v>
      </c>
      <c r="O1293" s="11">
        <v>35</v>
      </c>
      <c r="S1293" s="32">
        <f t="shared" si="154"/>
        <v>0</v>
      </c>
    </row>
    <row r="1294" spans="2:19" x14ac:dyDescent="0.25">
      <c r="B1294" s="1" t="s">
        <v>1520</v>
      </c>
      <c r="C1294" s="2" t="s">
        <v>196</v>
      </c>
      <c r="D1294" s="2" t="s">
        <v>294</v>
      </c>
      <c r="E1294" s="2" t="s">
        <v>295</v>
      </c>
      <c r="F1294" s="3">
        <f t="shared" si="156"/>
        <v>44973</v>
      </c>
      <c r="G1294" s="4">
        <f t="shared" si="151"/>
        <v>2</v>
      </c>
      <c r="H1294" s="4">
        <f t="shared" si="152"/>
        <v>2023</v>
      </c>
      <c r="I1294" s="2" t="s">
        <v>4</v>
      </c>
      <c r="J1294" s="2" t="s">
        <v>1976</v>
      </c>
      <c r="K1294" s="2" t="s">
        <v>122</v>
      </c>
      <c r="L1294" s="2" t="s">
        <v>123</v>
      </c>
      <c r="M1294" s="2" t="s">
        <v>119</v>
      </c>
      <c r="N1294" s="4" t="str">
        <f t="shared" si="153"/>
        <v>TON</v>
      </c>
      <c r="O1294" s="5">
        <v>7.49</v>
      </c>
      <c r="S1294" s="32">
        <f t="shared" si="154"/>
        <v>0</v>
      </c>
    </row>
    <row r="1295" spans="2:19" x14ac:dyDescent="0.25">
      <c r="B1295" s="1" t="s">
        <v>1520</v>
      </c>
      <c r="C1295" s="2" t="s">
        <v>196</v>
      </c>
      <c r="D1295" s="2" t="s">
        <v>210</v>
      </c>
      <c r="E1295" s="2" t="s">
        <v>141</v>
      </c>
      <c r="F1295" s="3">
        <f t="shared" si="156"/>
        <v>44973</v>
      </c>
      <c r="G1295" s="4">
        <f t="shared" si="151"/>
        <v>2</v>
      </c>
      <c r="H1295" s="4">
        <f t="shared" si="152"/>
        <v>2023</v>
      </c>
      <c r="I1295" s="2" t="s">
        <v>4</v>
      </c>
      <c r="J1295" s="2" t="s">
        <v>1977</v>
      </c>
      <c r="K1295" s="2" t="s">
        <v>1119</v>
      </c>
      <c r="L1295" s="2" t="s">
        <v>1023</v>
      </c>
      <c r="M1295" s="2" t="s">
        <v>1024</v>
      </c>
      <c r="N1295" s="4" t="str">
        <f t="shared" si="153"/>
        <v>GAL</v>
      </c>
      <c r="O1295" s="5">
        <v>12.5</v>
      </c>
      <c r="S1295" s="32">
        <f t="shared" si="154"/>
        <v>0</v>
      </c>
    </row>
    <row r="1296" spans="2:19" x14ac:dyDescent="0.25">
      <c r="B1296" s="1" t="s">
        <v>1520</v>
      </c>
      <c r="C1296" s="2" t="s">
        <v>196</v>
      </c>
      <c r="D1296" s="2" t="s">
        <v>374</v>
      </c>
      <c r="E1296" s="2" t="s">
        <v>379</v>
      </c>
      <c r="F1296" s="3">
        <f t="shared" si="156"/>
        <v>44973</v>
      </c>
      <c r="G1296" s="4">
        <f t="shared" si="151"/>
        <v>2</v>
      </c>
      <c r="H1296" s="4">
        <f t="shared" si="152"/>
        <v>2023</v>
      </c>
      <c r="I1296" s="2" t="s">
        <v>4</v>
      </c>
      <c r="J1296" s="2" t="s">
        <v>1978</v>
      </c>
      <c r="K1296" s="2" t="s">
        <v>122</v>
      </c>
      <c r="L1296" s="2" t="s">
        <v>123</v>
      </c>
      <c r="M1296" s="2" t="s">
        <v>119</v>
      </c>
      <c r="N1296" s="4" t="str">
        <f t="shared" si="153"/>
        <v>TON</v>
      </c>
      <c r="O1296" s="5">
        <v>8.0050000000000008</v>
      </c>
      <c r="S1296" s="32">
        <f t="shared" si="154"/>
        <v>0</v>
      </c>
    </row>
    <row r="1297" spans="2:19" x14ac:dyDescent="0.25">
      <c r="B1297" s="1" t="s">
        <v>645</v>
      </c>
      <c r="C1297" s="2" t="s">
        <v>196</v>
      </c>
      <c r="D1297" s="2" t="s">
        <v>283</v>
      </c>
      <c r="E1297" s="2" t="s">
        <v>102</v>
      </c>
      <c r="F1297" s="3">
        <f t="shared" si="156"/>
        <v>44973</v>
      </c>
      <c r="G1297" s="4">
        <f t="shared" si="151"/>
        <v>2</v>
      </c>
      <c r="H1297" s="4">
        <f t="shared" si="152"/>
        <v>2023</v>
      </c>
      <c r="I1297" s="2" t="s">
        <v>4</v>
      </c>
      <c r="J1297" s="2" t="s">
        <v>1979</v>
      </c>
      <c r="K1297" s="2" t="s">
        <v>531</v>
      </c>
      <c r="L1297" s="2" t="s">
        <v>201</v>
      </c>
      <c r="M1297" s="2" t="s">
        <v>202</v>
      </c>
      <c r="N1297" s="4" t="str">
        <f t="shared" si="153"/>
        <v>GAL</v>
      </c>
      <c r="O1297" s="5">
        <v>30</v>
      </c>
      <c r="S1297" s="32">
        <f t="shared" si="154"/>
        <v>0</v>
      </c>
    </row>
    <row r="1298" spans="2:19" x14ac:dyDescent="0.25">
      <c r="B1298" s="1" t="s">
        <v>1520</v>
      </c>
      <c r="C1298" s="2" t="s">
        <v>196</v>
      </c>
      <c r="D1298" s="2" t="s">
        <v>114</v>
      </c>
      <c r="E1298" s="2" t="s">
        <v>402</v>
      </c>
      <c r="F1298" s="3">
        <f t="shared" si="156"/>
        <v>44973</v>
      </c>
      <c r="G1298" s="4">
        <f t="shared" si="151"/>
        <v>2</v>
      </c>
      <c r="H1298" s="4">
        <f t="shared" si="152"/>
        <v>2023</v>
      </c>
      <c r="I1298" s="2" t="s">
        <v>4</v>
      </c>
      <c r="J1298" s="2" t="s">
        <v>1980</v>
      </c>
      <c r="K1298" s="2" t="s">
        <v>390</v>
      </c>
      <c r="L1298" s="2" t="s">
        <v>391</v>
      </c>
      <c r="M1298" s="2" t="s">
        <v>119</v>
      </c>
      <c r="N1298" s="4" t="str">
        <f t="shared" si="153"/>
        <v>TON</v>
      </c>
      <c r="O1298" s="5">
        <v>5.01</v>
      </c>
      <c r="S1298" s="32">
        <f t="shared" si="154"/>
        <v>0</v>
      </c>
    </row>
    <row r="1299" spans="2:19" x14ac:dyDescent="0.25">
      <c r="B1299" s="1" t="s">
        <v>1520</v>
      </c>
      <c r="C1299" s="2" t="s">
        <v>196</v>
      </c>
      <c r="D1299" s="2" t="s">
        <v>262</v>
      </c>
      <c r="E1299" s="2" t="s">
        <v>1170</v>
      </c>
      <c r="F1299" s="3">
        <f t="shared" si="156"/>
        <v>44973</v>
      </c>
      <c r="G1299" s="4">
        <f t="shared" si="151"/>
        <v>2</v>
      </c>
      <c r="H1299" s="4">
        <f t="shared" si="152"/>
        <v>2023</v>
      </c>
      <c r="I1299" s="2" t="s">
        <v>4</v>
      </c>
      <c r="J1299" s="2" t="s">
        <v>1981</v>
      </c>
      <c r="K1299" s="2" t="s">
        <v>329</v>
      </c>
      <c r="L1299" s="2" t="s">
        <v>330</v>
      </c>
      <c r="M1299" s="2" t="s">
        <v>119</v>
      </c>
      <c r="N1299" s="4" t="str">
        <f t="shared" si="153"/>
        <v>TON</v>
      </c>
      <c r="O1299" s="5">
        <v>3.9925000000000002</v>
      </c>
      <c r="S1299" s="32">
        <f t="shared" si="154"/>
        <v>0</v>
      </c>
    </row>
    <row r="1300" spans="2:19" x14ac:dyDescent="0.25">
      <c r="B1300" s="1" t="s">
        <v>1520</v>
      </c>
      <c r="C1300" s="2" t="s">
        <v>196</v>
      </c>
      <c r="D1300" s="2" t="s">
        <v>317</v>
      </c>
      <c r="E1300" s="2" t="s">
        <v>366</v>
      </c>
      <c r="F1300" s="3">
        <f t="shared" si="156"/>
        <v>44973</v>
      </c>
      <c r="G1300" s="4">
        <f t="shared" si="151"/>
        <v>2</v>
      </c>
      <c r="H1300" s="4">
        <f t="shared" si="152"/>
        <v>2023</v>
      </c>
      <c r="I1300" s="2" t="s">
        <v>4</v>
      </c>
      <c r="J1300" s="2" t="s">
        <v>1982</v>
      </c>
      <c r="K1300" s="2" t="s">
        <v>390</v>
      </c>
      <c r="L1300" s="2" t="s">
        <v>391</v>
      </c>
      <c r="M1300" s="2" t="s">
        <v>119</v>
      </c>
      <c r="N1300" s="4" t="str">
        <f t="shared" si="153"/>
        <v>TON</v>
      </c>
      <c r="O1300" s="5">
        <v>4.0175000000000001</v>
      </c>
      <c r="S1300" s="32">
        <f t="shared" si="154"/>
        <v>0</v>
      </c>
    </row>
    <row r="1301" spans="2:19" x14ac:dyDescent="0.25">
      <c r="B1301" s="1" t="s">
        <v>1520</v>
      </c>
      <c r="C1301" s="2" t="s">
        <v>196</v>
      </c>
      <c r="D1301" s="2" t="s">
        <v>232</v>
      </c>
      <c r="E1301" s="2" t="s">
        <v>778</v>
      </c>
      <c r="F1301" s="3">
        <f t="shared" ref="F1301:F1308" si="157">DATE(2023,2,17)</f>
        <v>44974</v>
      </c>
      <c r="G1301" s="4">
        <f t="shared" si="151"/>
        <v>2</v>
      </c>
      <c r="H1301" s="4">
        <f t="shared" si="152"/>
        <v>2023</v>
      </c>
      <c r="I1301" s="2" t="s">
        <v>4</v>
      </c>
      <c r="J1301" s="2" t="s">
        <v>1983</v>
      </c>
      <c r="K1301" s="2" t="s">
        <v>329</v>
      </c>
      <c r="L1301" s="2" t="s">
        <v>330</v>
      </c>
      <c r="M1301" s="2" t="s">
        <v>119</v>
      </c>
      <c r="N1301" s="4" t="str">
        <f t="shared" si="153"/>
        <v>TON</v>
      </c>
      <c r="O1301" s="5">
        <v>5</v>
      </c>
      <c r="S1301" s="32">
        <f t="shared" si="154"/>
        <v>0</v>
      </c>
    </row>
    <row r="1302" spans="2:19" x14ac:dyDescent="0.25">
      <c r="B1302" s="1" t="s">
        <v>1520</v>
      </c>
      <c r="C1302" s="2" t="s">
        <v>196</v>
      </c>
      <c r="D1302" s="2" t="s">
        <v>303</v>
      </c>
      <c r="E1302" s="2" t="s">
        <v>304</v>
      </c>
      <c r="F1302" s="3">
        <f t="shared" si="157"/>
        <v>44974</v>
      </c>
      <c r="G1302" s="4">
        <f t="shared" si="151"/>
        <v>2</v>
      </c>
      <c r="H1302" s="4">
        <f t="shared" si="152"/>
        <v>2023</v>
      </c>
      <c r="I1302" s="2" t="s">
        <v>4</v>
      </c>
      <c r="J1302" s="2" t="s">
        <v>1984</v>
      </c>
      <c r="K1302" s="2" t="s">
        <v>1581</v>
      </c>
      <c r="L1302" s="2" t="s">
        <v>1582</v>
      </c>
      <c r="M1302" s="2" t="s">
        <v>119</v>
      </c>
      <c r="N1302" s="4" t="str">
        <f t="shared" si="153"/>
        <v>TON</v>
      </c>
      <c r="O1302" s="5">
        <v>12.5175</v>
      </c>
      <c r="S1302" s="32">
        <f t="shared" si="154"/>
        <v>0</v>
      </c>
    </row>
    <row r="1303" spans="2:19" x14ac:dyDescent="0.25">
      <c r="B1303" s="1" t="s">
        <v>1520</v>
      </c>
      <c r="C1303" s="2" t="s">
        <v>196</v>
      </c>
      <c r="D1303" s="2" t="s">
        <v>888</v>
      </c>
      <c r="E1303" s="2" t="s">
        <v>888</v>
      </c>
      <c r="F1303" s="3">
        <f t="shared" si="157"/>
        <v>44974</v>
      </c>
      <c r="G1303" s="4">
        <f t="shared" si="151"/>
        <v>2</v>
      </c>
      <c r="H1303" s="4">
        <f t="shared" si="152"/>
        <v>2023</v>
      </c>
      <c r="I1303" s="2" t="s">
        <v>4</v>
      </c>
      <c r="J1303" s="2" t="s">
        <v>1985</v>
      </c>
      <c r="K1303" s="2" t="s">
        <v>1239</v>
      </c>
      <c r="L1303" s="2" t="s">
        <v>916</v>
      </c>
      <c r="M1303" s="2" t="s">
        <v>917</v>
      </c>
      <c r="N1303" s="4" t="str">
        <f t="shared" si="153"/>
        <v>GAL</v>
      </c>
      <c r="O1303" s="5">
        <v>5</v>
      </c>
      <c r="S1303" s="32">
        <f t="shared" si="154"/>
        <v>0</v>
      </c>
    </row>
    <row r="1304" spans="2:19" x14ac:dyDescent="0.25">
      <c r="B1304" s="1" t="s">
        <v>1520</v>
      </c>
      <c r="C1304" s="2" t="s">
        <v>196</v>
      </c>
      <c r="D1304" s="2" t="s">
        <v>224</v>
      </c>
      <c r="E1304" s="2" t="s">
        <v>361</v>
      </c>
      <c r="F1304" s="3">
        <f t="shared" si="157"/>
        <v>44974</v>
      </c>
      <c r="G1304" s="4">
        <f t="shared" si="151"/>
        <v>2</v>
      </c>
      <c r="H1304" s="4">
        <f t="shared" si="152"/>
        <v>2023</v>
      </c>
      <c r="I1304" s="2" t="s">
        <v>4</v>
      </c>
      <c r="J1304" s="2" t="s">
        <v>1986</v>
      </c>
      <c r="K1304" s="2" t="s">
        <v>122</v>
      </c>
      <c r="L1304" s="2" t="s">
        <v>123</v>
      </c>
      <c r="M1304" s="2" t="s">
        <v>119</v>
      </c>
      <c r="N1304" s="4" t="str">
        <f t="shared" si="153"/>
        <v>TON</v>
      </c>
      <c r="O1304" s="5">
        <v>5.0475000000000003</v>
      </c>
      <c r="S1304" s="32">
        <f t="shared" si="154"/>
        <v>0</v>
      </c>
    </row>
    <row r="1305" spans="2:19" x14ac:dyDescent="0.25">
      <c r="B1305" s="1" t="s">
        <v>1520</v>
      </c>
      <c r="C1305" s="2" t="s">
        <v>196</v>
      </c>
      <c r="D1305" s="2" t="s">
        <v>114</v>
      </c>
      <c r="E1305" s="2" t="s">
        <v>1585</v>
      </c>
      <c r="F1305" s="3">
        <f t="shared" si="157"/>
        <v>44974</v>
      </c>
      <c r="G1305" s="4">
        <f t="shared" si="151"/>
        <v>2</v>
      </c>
      <c r="H1305" s="4">
        <f t="shared" si="152"/>
        <v>2023</v>
      </c>
      <c r="I1305" s="2" t="s">
        <v>4</v>
      </c>
      <c r="J1305" s="2" t="s">
        <v>1987</v>
      </c>
      <c r="K1305" s="2" t="s">
        <v>390</v>
      </c>
      <c r="L1305" s="2" t="s">
        <v>391</v>
      </c>
      <c r="M1305" s="2" t="s">
        <v>119</v>
      </c>
      <c r="N1305" s="4" t="str">
        <f t="shared" si="153"/>
        <v>TON</v>
      </c>
      <c r="O1305" s="5">
        <v>13.2525</v>
      </c>
      <c r="S1305" s="32">
        <f t="shared" si="154"/>
        <v>0</v>
      </c>
    </row>
    <row r="1306" spans="2:19" x14ac:dyDescent="0.25">
      <c r="B1306" s="1" t="s">
        <v>1520</v>
      </c>
      <c r="C1306" s="2" t="s">
        <v>196</v>
      </c>
      <c r="D1306" s="2" t="s">
        <v>283</v>
      </c>
      <c r="E1306" s="2" t="s">
        <v>1988</v>
      </c>
      <c r="F1306" s="3">
        <f t="shared" si="157"/>
        <v>44974</v>
      </c>
      <c r="G1306" s="4">
        <f t="shared" si="151"/>
        <v>2</v>
      </c>
      <c r="H1306" s="4">
        <f t="shared" si="152"/>
        <v>2023</v>
      </c>
      <c r="I1306" s="2" t="s">
        <v>4</v>
      </c>
      <c r="J1306" s="2" t="s">
        <v>1989</v>
      </c>
      <c r="K1306" s="2" t="s">
        <v>329</v>
      </c>
      <c r="L1306" s="2" t="s">
        <v>330</v>
      </c>
      <c r="M1306" s="2" t="s">
        <v>119</v>
      </c>
      <c r="N1306" s="4" t="str">
        <f t="shared" si="153"/>
        <v>TON</v>
      </c>
      <c r="O1306" s="5">
        <v>1</v>
      </c>
      <c r="S1306" s="32">
        <f t="shared" si="154"/>
        <v>0</v>
      </c>
    </row>
    <row r="1307" spans="2:19" x14ac:dyDescent="0.25">
      <c r="B1307" s="1" t="s">
        <v>1520</v>
      </c>
      <c r="C1307" s="2" t="s">
        <v>196</v>
      </c>
      <c r="D1307" s="2" t="s">
        <v>317</v>
      </c>
      <c r="E1307" s="2" t="s">
        <v>677</v>
      </c>
      <c r="F1307" s="3">
        <f t="shared" si="157"/>
        <v>44974</v>
      </c>
      <c r="G1307" s="4">
        <f t="shared" si="151"/>
        <v>2</v>
      </c>
      <c r="H1307" s="4">
        <f t="shared" si="152"/>
        <v>2023</v>
      </c>
      <c r="I1307" s="2" t="s">
        <v>4</v>
      </c>
      <c r="J1307" s="2" t="s">
        <v>1990</v>
      </c>
      <c r="K1307" s="2" t="s">
        <v>390</v>
      </c>
      <c r="L1307" s="2" t="s">
        <v>391</v>
      </c>
      <c r="M1307" s="2" t="s">
        <v>119</v>
      </c>
      <c r="N1307" s="4" t="str">
        <f t="shared" si="153"/>
        <v>TON</v>
      </c>
      <c r="O1307" s="5">
        <v>10.005000000000001</v>
      </c>
      <c r="S1307" s="32">
        <f t="shared" si="154"/>
        <v>0</v>
      </c>
    </row>
    <row r="1308" spans="2:19" x14ac:dyDescent="0.25">
      <c r="B1308" s="1" t="s">
        <v>1520</v>
      </c>
      <c r="C1308" s="2" t="s">
        <v>196</v>
      </c>
      <c r="D1308" s="2" t="s">
        <v>227</v>
      </c>
      <c r="E1308" s="2" t="s">
        <v>228</v>
      </c>
      <c r="F1308" s="3">
        <f t="shared" si="157"/>
        <v>44974</v>
      </c>
      <c r="G1308" s="4">
        <f t="shared" si="151"/>
        <v>2</v>
      </c>
      <c r="H1308" s="4">
        <f t="shared" si="152"/>
        <v>2023</v>
      </c>
      <c r="I1308" s="2" t="s">
        <v>4</v>
      </c>
      <c r="J1308" s="2" t="s">
        <v>1991</v>
      </c>
      <c r="K1308" s="2" t="s">
        <v>329</v>
      </c>
      <c r="L1308" s="2" t="s">
        <v>330</v>
      </c>
      <c r="M1308" s="2" t="s">
        <v>119</v>
      </c>
      <c r="N1308" s="4" t="str">
        <f t="shared" si="153"/>
        <v>TON</v>
      </c>
      <c r="O1308" s="5">
        <v>10</v>
      </c>
      <c r="S1308" s="32">
        <f t="shared" si="154"/>
        <v>0</v>
      </c>
    </row>
    <row r="1309" spans="2:19" x14ac:dyDescent="0.25">
      <c r="B1309" s="1" t="s">
        <v>1520</v>
      </c>
      <c r="C1309" s="2" t="s">
        <v>196</v>
      </c>
      <c r="D1309" s="2" t="s">
        <v>884</v>
      </c>
      <c r="E1309" s="2" t="s">
        <v>141</v>
      </c>
      <c r="F1309" s="3">
        <f t="shared" ref="F1309:F1317" si="158">DATE(2023,2,20)</f>
        <v>44977</v>
      </c>
      <c r="G1309" s="4">
        <f t="shared" si="151"/>
        <v>2</v>
      </c>
      <c r="H1309" s="4">
        <f t="shared" si="152"/>
        <v>2023</v>
      </c>
      <c r="I1309" s="2" t="s">
        <v>4</v>
      </c>
      <c r="J1309" s="2" t="s">
        <v>1992</v>
      </c>
      <c r="K1309" s="2" t="s">
        <v>531</v>
      </c>
      <c r="L1309" s="2" t="s">
        <v>201</v>
      </c>
      <c r="M1309" s="2" t="s">
        <v>202</v>
      </c>
      <c r="N1309" s="4" t="str">
        <f t="shared" si="153"/>
        <v>GAL</v>
      </c>
      <c r="O1309" s="5">
        <v>30</v>
      </c>
      <c r="S1309" s="32">
        <f t="shared" si="154"/>
        <v>0</v>
      </c>
    </row>
    <row r="1310" spans="2:19" x14ac:dyDescent="0.25">
      <c r="B1310" s="1" t="s">
        <v>1520</v>
      </c>
      <c r="C1310" s="2" t="s">
        <v>196</v>
      </c>
      <c r="D1310" s="2" t="s">
        <v>280</v>
      </c>
      <c r="E1310" s="2" t="s">
        <v>254</v>
      </c>
      <c r="F1310" s="3">
        <f t="shared" si="158"/>
        <v>44977</v>
      </c>
      <c r="G1310" s="4">
        <f t="shared" si="151"/>
        <v>2</v>
      </c>
      <c r="H1310" s="4">
        <f t="shared" si="152"/>
        <v>2023</v>
      </c>
      <c r="I1310" s="2" t="s">
        <v>4</v>
      </c>
      <c r="J1310" s="2" t="s">
        <v>1993</v>
      </c>
      <c r="K1310" s="2" t="s">
        <v>390</v>
      </c>
      <c r="L1310" s="2" t="s">
        <v>391</v>
      </c>
      <c r="M1310" s="2" t="s">
        <v>119</v>
      </c>
      <c r="N1310" s="4" t="str">
        <f t="shared" si="153"/>
        <v>TON</v>
      </c>
      <c r="O1310" s="5">
        <v>15.01</v>
      </c>
      <c r="S1310" s="32">
        <f t="shared" si="154"/>
        <v>0</v>
      </c>
    </row>
    <row r="1311" spans="2:19" x14ac:dyDescent="0.25">
      <c r="B1311" s="1" t="s">
        <v>1520</v>
      </c>
      <c r="C1311" s="2" t="s">
        <v>196</v>
      </c>
      <c r="D1311" s="2" t="s">
        <v>280</v>
      </c>
      <c r="E1311" s="2" t="s">
        <v>254</v>
      </c>
      <c r="F1311" s="3">
        <f t="shared" si="158"/>
        <v>44977</v>
      </c>
      <c r="G1311" s="4">
        <f t="shared" si="151"/>
        <v>2</v>
      </c>
      <c r="H1311" s="4">
        <f t="shared" si="152"/>
        <v>2023</v>
      </c>
      <c r="I1311" s="2" t="s">
        <v>4</v>
      </c>
      <c r="J1311" s="2" t="s">
        <v>1994</v>
      </c>
      <c r="K1311" s="2" t="s">
        <v>390</v>
      </c>
      <c r="L1311" s="2" t="s">
        <v>391</v>
      </c>
      <c r="M1311" s="2" t="s">
        <v>119</v>
      </c>
      <c r="N1311" s="4" t="str">
        <f t="shared" si="153"/>
        <v>TON</v>
      </c>
      <c r="O1311" s="5">
        <v>5.0125000000000002</v>
      </c>
      <c r="S1311" s="32">
        <f t="shared" si="154"/>
        <v>0</v>
      </c>
    </row>
    <row r="1312" spans="2:19" x14ac:dyDescent="0.25">
      <c r="B1312" s="1" t="s">
        <v>1520</v>
      </c>
      <c r="C1312" s="2" t="s">
        <v>196</v>
      </c>
      <c r="D1312" s="2" t="s">
        <v>299</v>
      </c>
      <c r="E1312" s="2" t="s">
        <v>300</v>
      </c>
      <c r="F1312" s="3">
        <f t="shared" si="158"/>
        <v>44977</v>
      </c>
      <c r="G1312" s="4">
        <f t="shared" si="151"/>
        <v>2</v>
      </c>
      <c r="H1312" s="4">
        <f t="shared" si="152"/>
        <v>2023</v>
      </c>
      <c r="I1312" s="2" t="s">
        <v>4</v>
      </c>
      <c r="J1312" s="2" t="s">
        <v>1995</v>
      </c>
      <c r="K1312" s="2" t="s">
        <v>390</v>
      </c>
      <c r="L1312" s="2" t="s">
        <v>391</v>
      </c>
      <c r="M1312" s="2" t="s">
        <v>119</v>
      </c>
      <c r="N1312" s="4" t="str">
        <f t="shared" si="153"/>
        <v>TON</v>
      </c>
      <c r="O1312" s="5">
        <v>15</v>
      </c>
      <c r="S1312" s="32">
        <f t="shared" si="154"/>
        <v>0</v>
      </c>
    </row>
    <row r="1313" spans="2:19" x14ac:dyDescent="0.25">
      <c r="B1313" s="1" t="s">
        <v>1520</v>
      </c>
      <c r="C1313" s="2" t="s">
        <v>196</v>
      </c>
      <c r="D1313" s="2" t="s">
        <v>452</v>
      </c>
      <c r="E1313" s="2" t="s">
        <v>453</v>
      </c>
      <c r="F1313" s="3">
        <f t="shared" si="158"/>
        <v>44977</v>
      </c>
      <c r="G1313" s="4">
        <f t="shared" si="151"/>
        <v>2</v>
      </c>
      <c r="H1313" s="4">
        <f t="shared" si="152"/>
        <v>2023</v>
      </c>
      <c r="I1313" s="2" t="s">
        <v>4</v>
      </c>
      <c r="J1313" s="2" t="s">
        <v>1996</v>
      </c>
      <c r="K1313" s="2" t="s">
        <v>117</v>
      </c>
      <c r="L1313" s="2" t="s">
        <v>118</v>
      </c>
      <c r="M1313" s="2" t="s">
        <v>119</v>
      </c>
      <c r="N1313" s="4" t="str">
        <f t="shared" si="153"/>
        <v>TON</v>
      </c>
      <c r="O1313" s="5">
        <v>3.5</v>
      </c>
      <c r="S1313" s="32">
        <f t="shared" si="154"/>
        <v>0</v>
      </c>
    </row>
    <row r="1314" spans="2:19" x14ac:dyDescent="0.25">
      <c r="B1314" s="1" t="s">
        <v>1520</v>
      </c>
      <c r="C1314" s="2" t="s">
        <v>196</v>
      </c>
      <c r="D1314" s="2" t="s">
        <v>672</v>
      </c>
      <c r="E1314" s="2" t="s">
        <v>673</v>
      </c>
      <c r="F1314" s="3">
        <f t="shared" si="158"/>
        <v>44977</v>
      </c>
      <c r="G1314" s="4">
        <f t="shared" si="151"/>
        <v>2</v>
      </c>
      <c r="H1314" s="4">
        <f t="shared" si="152"/>
        <v>2023</v>
      </c>
      <c r="I1314" s="2" t="s">
        <v>4</v>
      </c>
      <c r="J1314" s="2" t="s">
        <v>1997</v>
      </c>
      <c r="K1314" s="2" t="s">
        <v>675</v>
      </c>
      <c r="L1314" s="2" t="s">
        <v>676</v>
      </c>
      <c r="M1314" s="2" t="s">
        <v>119</v>
      </c>
      <c r="N1314" s="4" t="str">
        <f t="shared" si="153"/>
        <v>TON</v>
      </c>
      <c r="O1314" s="5">
        <v>4.5</v>
      </c>
      <c r="S1314" s="32">
        <f t="shared" si="154"/>
        <v>0</v>
      </c>
    </row>
    <row r="1315" spans="2:19" x14ac:dyDescent="0.25">
      <c r="B1315" s="1" t="s">
        <v>1520</v>
      </c>
      <c r="C1315" s="2" t="s">
        <v>196</v>
      </c>
      <c r="D1315" s="2" t="s">
        <v>303</v>
      </c>
      <c r="E1315" s="2" t="s">
        <v>1998</v>
      </c>
      <c r="F1315" s="3">
        <f t="shared" si="158"/>
        <v>44977</v>
      </c>
      <c r="G1315" s="4">
        <f t="shared" si="151"/>
        <v>2</v>
      </c>
      <c r="H1315" s="4">
        <f t="shared" si="152"/>
        <v>2023</v>
      </c>
      <c r="I1315" s="2" t="s">
        <v>4</v>
      </c>
      <c r="J1315" s="2" t="s">
        <v>1999</v>
      </c>
      <c r="K1315" s="2" t="s">
        <v>2000</v>
      </c>
      <c r="L1315" s="2" t="s">
        <v>2001</v>
      </c>
      <c r="M1315" s="2" t="s">
        <v>119</v>
      </c>
      <c r="N1315" s="4" t="str">
        <f t="shared" si="153"/>
        <v>TON</v>
      </c>
      <c r="O1315" s="5">
        <v>5</v>
      </c>
      <c r="S1315" s="32">
        <f t="shared" si="154"/>
        <v>0</v>
      </c>
    </row>
    <row r="1316" spans="2:19" x14ac:dyDescent="0.25">
      <c r="B1316" s="1" t="s">
        <v>1520</v>
      </c>
      <c r="C1316" s="2" t="s">
        <v>196</v>
      </c>
      <c r="D1316" s="2" t="s">
        <v>2002</v>
      </c>
      <c r="E1316" s="2" t="s">
        <v>102</v>
      </c>
      <c r="F1316" s="3">
        <f t="shared" si="158"/>
        <v>44977</v>
      </c>
      <c r="G1316" s="4">
        <f t="shared" si="151"/>
        <v>2</v>
      </c>
      <c r="H1316" s="4">
        <f t="shared" si="152"/>
        <v>2023</v>
      </c>
      <c r="I1316" s="2" t="s">
        <v>4</v>
      </c>
      <c r="J1316" s="2" t="s">
        <v>2003</v>
      </c>
      <c r="K1316" s="2" t="s">
        <v>2004</v>
      </c>
      <c r="L1316" s="2" t="s">
        <v>190</v>
      </c>
      <c r="M1316" s="2" t="s">
        <v>191</v>
      </c>
      <c r="N1316" s="4" t="str">
        <f t="shared" si="153"/>
        <v>GAL</v>
      </c>
      <c r="O1316" s="5">
        <v>30</v>
      </c>
      <c r="S1316" s="32">
        <f t="shared" si="154"/>
        <v>0</v>
      </c>
    </row>
    <row r="1317" spans="2:19" x14ac:dyDescent="0.25">
      <c r="B1317" s="1" t="s">
        <v>1520</v>
      </c>
      <c r="C1317" s="2" t="s">
        <v>196</v>
      </c>
      <c r="D1317" s="2" t="s">
        <v>2002</v>
      </c>
      <c r="E1317" s="2" t="s">
        <v>102</v>
      </c>
      <c r="F1317" s="3">
        <f t="shared" si="158"/>
        <v>44977</v>
      </c>
      <c r="G1317" s="4">
        <f t="shared" si="151"/>
        <v>2</v>
      </c>
      <c r="H1317" s="4">
        <f t="shared" si="152"/>
        <v>2023</v>
      </c>
      <c r="I1317" s="2" t="s">
        <v>4</v>
      </c>
      <c r="J1317" s="2" t="s">
        <v>2003</v>
      </c>
      <c r="K1317" s="2" t="s">
        <v>189</v>
      </c>
      <c r="L1317" s="2" t="s">
        <v>190</v>
      </c>
      <c r="M1317" s="2" t="s">
        <v>191</v>
      </c>
      <c r="N1317" s="4" t="str">
        <f t="shared" si="153"/>
        <v>GAL</v>
      </c>
      <c r="O1317" s="5">
        <v>20</v>
      </c>
      <c r="S1317" s="32">
        <f t="shared" si="154"/>
        <v>0</v>
      </c>
    </row>
    <row r="1318" spans="2:19" x14ac:dyDescent="0.25">
      <c r="B1318" s="1" t="s">
        <v>1520</v>
      </c>
      <c r="C1318" s="2" t="s">
        <v>196</v>
      </c>
      <c r="D1318" s="2" t="s">
        <v>285</v>
      </c>
      <c r="E1318" s="2" t="s">
        <v>297</v>
      </c>
      <c r="F1318" s="3">
        <f t="shared" ref="F1318:F1323" si="159">DATE(2023,2,21)</f>
        <v>44978</v>
      </c>
      <c r="G1318" s="4">
        <f t="shared" si="151"/>
        <v>2</v>
      </c>
      <c r="H1318" s="4">
        <f t="shared" si="152"/>
        <v>2023</v>
      </c>
      <c r="I1318" s="2" t="s">
        <v>4</v>
      </c>
      <c r="J1318" s="2" t="s">
        <v>2005</v>
      </c>
      <c r="K1318" s="2" t="s">
        <v>1150</v>
      </c>
      <c r="L1318" s="2" t="s">
        <v>1151</v>
      </c>
      <c r="M1318" s="2" t="s">
        <v>8</v>
      </c>
      <c r="N1318" s="4" t="str">
        <f t="shared" si="153"/>
        <v>GAL</v>
      </c>
      <c r="O1318" s="5">
        <v>60</v>
      </c>
      <c r="S1318" s="32">
        <f t="shared" si="154"/>
        <v>0</v>
      </c>
    </row>
    <row r="1319" spans="2:19" x14ac:dyDescent="0.25">
      <c r="B1319" s="1" t="s">
        <v>1520</v>
      </c>
      <c r="C1319" s="2" t="s">
        <v>196</v>
      </c>
      <c r="D1319" s="2" t="s">
        <v>232</v>
      </c>
      <c r="E1319" s="2" t="s">
        <v>233</v>
      </c>
      <c r="F1319" s="3">
        <f t="shared" si="159"/>
        <v>44978</v>
      </c>
      <c r="G1319" s="4">
        <f t="shared" si="151"/>
        <v>2</v>
      </c>
      <c r="H1319" s="4">
        <f t="shared" si="152"/>
        <v>2023</v>
      </c>
      <c r="I1319" s="2" t="s">
        <v>4</v>
      </c>
      <c r="J1319" s="2" t="s">
        <v>2006</v>
      </c>
      <c r="K1319" s="2" t="s">
        <v>205</v>
      </c>
      <c r="L1319" s="2" t="s">
        <v>206</v>
      </c>
      <c r="M1319" s="2" t="s">
        <v>119</v>
      </c>
      <c r="N1319" s="4" t="str">
        <f t="shared" si="153"/>
        <v>TON</v>
      </c>
      <c r="O1319" s="5">
        <v>2.5</v>
      </c>
      <c r="S1319" s="32">
        <f t="shared" si="154"/>
        <v>0</v>
      </c>
    </row>
    <row r="1320" spans="2:19" x14ac:dyDescent="0.25">
      <c r="B1320" s="1" t="s">
        <v>1520</v>
      </c>
      <c r="C1320" s="2" t="s">
        <v>196</v>
      </c>
      <c r="D1320" s="2" t="s">
        <v>221</v>
      </c>
      <c r="E1320" s="2" t="s">
        <v>271</v>
      </c>
      <c r="F1320" s="3">
        <f t="shared" si="159"/>
        <v>44978</v>
      </c>
      <c r="G1320" s="4">
        <f t="shared" si="151"/>
        <v>2</v>
      </c>
      <c r="H1320" s="4">
        <f t="shared" si="152"/>
        <v>2023</v>
      </c>
      <c r="I1320" s="2" t="s">
        <v>4</v>
      </c>
      <c r="J1320" s="2" t="s">
        <v>2007</v>
      </c>
      <c r="K1320" s="2" t="s">
        <v>292</v>
      </c>
      <c r="L1320" s="2" t="s">
        <v>293</v>
      </c>
      <c r="M1320" s="2" t="s">
        <v>119</v>
      </c>
      <c r="N1320" s="4" t="str">
        <f t="shared" si="153"/>
        <v>TON</v>
      </c>
      <c r="O1320" s="5">
        <v>10</v>
      </c>
      <c r="S1320" s="32">
        <f t="shared" si="154"/>
        <v>0</v>
      </c>
    </row>
    <row r="1321" spans="2:19" x14ac:dyDescent="0.25">
      <c r="B1321" s="1" t="s">
        <v>1520</v>
      </c>
      <c r="C1321" s="2" t="s">
        <v>196</v>
      </c>
      <c r="D1321" s="2" t="s">
        <v>800</v>
      </c>
      <c r="E1321" s="2" t="s">
        <v>911</v>
      </c>
      <c r="F1321" s="3">
        <f t="shared" si="159"/>
        <v>44978</v>
      </c>
      <c r="G1321" s="4">
        <f t="shared" si="151"/>
        <v>2</v>
      </c>
      <c r="H1321" s="4">
        <f t="shared" si="152"/>
        <v>2023</v>
      </c>
      <c r="I1321" s="2" t="s">
        <v>4</v>
      </c>
      <c r="J1321" s="2" t="s">
        <v>2008</v>
      </c>
      <c r="K1321" s="2" t="s">
        <v>122</v>
      </c>
      <c r="L1321" s="2" t="s">
        <v>123</v>
      </c>
      <c r="M1321" s="2" t="s">
        <v>119</v>
      </c>
      <c r="N1321" s="4" t="str">
        <f t="shared" si="153"/>
        <v>TON</v>
      </c>
      <c r="O1321" s="5">
        <v>2</v>
      </c>
      <c r="S1321" s="32">
        <f t="shared" si="154"/>
        <v>0</v>
      </c>
    </row>
    <row r="1322" spans="2:19" x14ac:dyDescent="0.25">
      <c r="B1322" s="1" t="s">
        <v>1520</v>
      </c>
      <c r="C1322" s="2" t="s">
        <v>196</v>
      </c>
      <c r="D1322" s="2" t="s">
        <v>374</v>
      </c>
      <c r="E1322" s="2" t="s">
        <v>717</v>
      </c>
      <c r="F1322" s="3">
        <f t="shared" si="159"/>
        <v>44978</v>
      </c>
      <c r="G1322" s="4">
        <f t="shared" si="151"/>
        <v>2</v>
      </c>
      <c r="H1322" s="4">
        <f t="shared" si="152"/>
        <v>2023</v>
      </c>
      <c r="I1322" s="2" t="s">
        <v>4</v>
      </c>
      <c r="J1322" s="2" t="s">
        <v>2009</v>
      </c>
      <c r="K1322" s="2" t="s">
        <v>1232</v>
      </c>
      <c r="L1322" s="2" t="s">
        <v>1233</v>
      </c>
      <c r="M1322" s="2" t="s">
        <v>119</v>
      </c>
      <c r="N1322" s="4" t="str">
        <f t="shared" si="153"/>
        <v>TON</v>
      </c>
      <c r="O1322" s="5">
        <v>10.015000000000001</v>
      </c>
      <c r="S1322" s="32">
        <f t="shared" si="154"/>
        <v>0</v>
      </c>
    </row>
    <row r="1323" spans="2:19" x14ac:dyDescent="0.25">
      <c r="B1323" s="1" t="s">
        <v>1520</v>
      </c>
      <c r="C1323" s="2" t="s">
        <v>196</v>
      </c>
      <c r="D1323" s="2" t="s">
        <v>221</v>
      </c>
      <c r="E1323" s="2" t="s">
        <v>222</v>
      </c>
      <c r="F1323" s="3">
        <f t="shared" si="159"/>
        <v>44978</v>
      </c>
      <c r="G1323" s="4">
        <f t="shared" si="151"/>
        <v>2</v>
      </c>
      <c r="H1323" s="4">
        <f t="shared" si="152"/>
        <v>2023</v>
      </c>
      <c r="I1323" s="2" t="s">
        <v>4</v>
      </c>
      <c r="J1323" s="2" t="s">
        <v>2010</v>
      </c>
      <c r="K1323" s="2" t="s">
        <v>205</v>
      </c>
      <c r="L1323" s="2" t="s">
        <v>206</v>
      </c>
      <c r="M1323" s="2" t="s">
        <v>119</v>
      </c>
      <c r="N1323" s="4" t="str">
        <f t="shared" si="153"/>
        <v>TON</v>
      </c>
      <c r="O1323" s="5">
        <v>2.5125000000000002</v>
      </c>
      <c r="S1323" s="32">
        <f t="shared" si="154"/>
        <v>0</v>
      </c>
    </row>
    <row r="1324" spans="2:19" x14ac:dyDescent="0.25">
      <c r="B1324" s="1" t="s">
        <v>1520</v>
      </c>
      <c r="C1324" s="2" t="s">
        <v>196</v>
      </c>
      <c r="D1324" s="2" t="s">
        <v>232</v>
      </c>
      <c r="E1324" s="2" t="s">
        <v>778</v>
      </c>
      <c r="F1324" s="3">
        <f t="shared" ref="F1324:F1330" si="160">DATE(2023,2,22)</f>
        <v>44979</v>
      </c>
      <c r="G1324" s="4">
        <f t="shared" si="151"/>
        <v>2</v>
      </c>
      <c r="H1324" s="4">
        <f t="shared" si="152"/>
        <v>2023</v>
      </c>
      <c r="I1324" s="2" t="s">
        <v>4</v>
      </c>
      <c r="J1324" s="2" t="s">
        <v>2011</v>
      </c>
      <c r="K1324" s="2" t="s">
        <v>823</v>
      </c>
      <c r="L1324" s="2" t="s">
        <v>776</v>
      </c>
      <c r="M1324" s="2" t="s">
        <v>82</v>
      </c>
      <c r="N1324" s="4" t="str">
        <f t="shared" si="153"/>
        <v>GAL</v>
      </c>
      <c r="O1324" s="5">
        <v>250</v>
      </c>
      <c r="S1324" s="32">
        <f t="shared" si="154"/>
        <v>0</v>
      </c>
    </row>
    <row r="1325" spans="2:19" x14ac:dyDescent="0.25">
      <c r="B1325" s="1" t="s">
        <v>1520</v>
      </c>
      <c r="C1325" s="2" t="s">
        <v>196</v>
      </c>
      <c r="D1325" s="2" t="s">
        <v>248</v>
      </c>
      <c r="E1325" s="2" t="s">
        <v>785</v>
      </c>
      <c r="F1325" s="3">
        <f t="shared" si="160"/>
        <v>44979</v>
      </c>
      <c r="G1325" s="4">
        <f t="shared" si="151"/>
        <v>2</v>
      </c>
      <c r="H1325" s="4">
        <f t="shared" si="152"/>
        <v>2023</v>
      </c>
      <c r="I1325" s="2" t="s">
        <v>4</v>
      </c>
      <c r="J1325" s="2" t="s">
        <v>2012</v>
      </c>
      <c r="K1325" s="2" t="s">
        <v>1622</v>
      </c>
      <c r="L1325" s="2" t="s">
        <v>1623</v>
      </c>
      <c r="M1325" s="2" t="s">
        <v>119</v>
      </c>
      <c r="N1325" s="4" t="str">
        <f t="shared" si="153"/>
        <v>TON</v>
      </c>
      <c r="O1325" s="5">
        <v>15.015000000000001</v>
      </c>
      <c r="S1325" s="32">
        <f t="shared" si="154"/>
        <v>0</v>
      </c>
    </row>
    <row r="1326" spans="2:19" x14ac:dyDescent="0.25">
      <c r="B1326" s="1" t="s">
        <v>1520</v>
      </c>
      <c r="C1326" s="2" t="s">
        <v>196</v>
      </c>
      <c r="D1326" s="2" t="s">
        <v>285</v>
      </c>
      <c r="E1326" s="2" t="s">
        <v>297</v>
      </c>
      <c r="F1326" s="3">
        <f t="shared" si="160"/>
        <v>44979</v>
      </c>
      <c r="G1326" s="4">
        <f t="shared" si="151"/>
        <v>2</v>
      </c>
      <c r="H1326" s="4">
        <f t="shared" si="152"/>
        <v>2023</v>
      </c>
      <c r="I1326" s="2" t="s">
        <v>4</v>
      </c>
      <c r="J1326" s="2" t="s">
        <v>2013</v>
      </c>
      <c r="K1326" s="2" t="s">
        <v>205</v>
      </c>
      <c r="L1326" s="2" t="s">
        <v>206</v>
      </c>
      <c r="M1326" s="2" t="s">
        <v>119</v>
      </c>
      <c r="N1326" s="4" t="str">
        <f t="shared" si="153"/>
        <v>TON</v>
      </c>
      <c r="O1326" s="5">
        <v>5.0175000000000001</v>
      </c>
      <c r="S1326" s="32">
        <f t="shared" si="154"/>
        <v>0</v>
      </c>
    </row>
    <row r="1327" spans="2:19" x14ac:dyDescent="0.25">
      <c r="B1327" s="1" t="s">
        <v>1520</v>
      </c>
      <c r="C1327" s="2" t="s">
        <v>196</v>
      </c>
      <c r="D1327" s="2" t="s">
        <v>285</v>
      </c>
      <c r="E1327" s="2" t="s">
        <v>297</v>
      </c>
      <c r="F1327" s="3">
        <f t="shared" si="160"/>
        <v>44979</v>
      </c>
      <c r="G1327" s="4">
        <f t="shared" si="151"/>
        <v>2</v>
      </c>
      <c r="H1327" s="4">
        <f t="shared" si="152"/>
        <v>2023</v>
      </c>
      <c r="I1327" s="2" t="s">
        <v>4</v>
      </c>
      <c r="J1327" s="2" t="s">
        <v>2014</v>
      </c>
      <c r="K1327" s="2" t="s">
        <v>1232</v>
      </c>
      <c r="L1327" s="2" t="s">
        <v>1233</v>
      </c>
      <c r="M1327" s="2" t="s">
        <v>119</v>
      </c>
      <c r="N1327" s="4" t="str">
        <f t="shared" si="153"/>
        <v>TON</v>
      </c>
      <c r="O1327" s="5">
        <v>8.01</v>
      </c>
      <c r="S1327" s="32">
        <f t="shared" si="154"/>
        <v>0</v>
      </c>
    </row>
    <row r="1328" spans="2:19" x14ac:dyDescent="0.25">
      <c r="B1328" s="1" t="s">
        <v>1520</v>
      </c>
      <c r="C1328" s="2" t="s">
        <v>196</v>
      </c>
      <c r="D1328" s="2" t="s">
        <v>387</v>
      </c>
      <c r="E1328" s="2" t="s">
        <v>797</v>
      </c>
      <c r="F1328" s="3">
        <f t="shared" si="160"/>
        <v>44979</v>
      </c>
      <c r="G1328" s="4">
        <f t="shared" si="151"/>
        <v>2</v>
      </c>
      <c r="H1328" s="4">
        <f t="shared" si="152"/>
        <v>2023</v>
      </c>
      <c r="I1328" s="2" t="s">
        <v>4</v>
      </c>
      <c r="J1328" s="2" t="s">
        <v>2015</v>
      </c>
      <c r="K1328" s="2" t="s">
        <v>2016</v>
      </c>
      <c r="L1328" s="2" t="s">
        <v>2017</v>
      </c>
      <c r="M1328" s="2" t="s">
        <v>119</v>
      </c>
      <c r="N1328" s="4" t="str">
        <f t="shared" si="153"/>
        <v>TON</v>
      </c>
      <c r="O1328" s="5">
        <v>10</v>
      </c>
      <c r="S1328" s="32">
        <f t="shared" si="154"/>
        <v>0</v>
      </c>
    </row>
    <row r="1329" spans="2:19" x14ac:dyDescent="0.25">
      <c r="B1329" s="1" t="s">
        <v>1520</v>
      </c>
      <c r="C1329" s="2" t="s">
        <v>196</v>
      </c>
      <c r="D1329" s="2" t="s">
        <v>276</v>
      </c>
      <c r="E1329" s="2" t="s">
        <v>692</v>
      </c>
      <c r="F1329" s="3">
        <f t="shared" si="160"/>
        <v>44979</v>
      </c>
      <c r="G1329" s="4">
        <f t="shared" si="151"/>
        <v>2</v>
      </c>
      <c r="H1329" s="4">
        <f t="shared" si="152"/>
        <v>2023</v>
      </c>
      <c r="I1329" s="2" t="s">
        <v>4</v>
      </c>
      <c r="J1329" s="2" t="s">
        <v>2018</v>
      </c>
      <c r="K1329" s="2" t="s">
        <v>122</v>
      </c>
      <c r="L1329" s="2" t="s">
        <v>123</v>
      </c>
      <c r="M1329" s="2" t="s">
        <v>119</v>
      </c>
      <c r="N1329" s="4" t="str">
        <f t="shared" si="153"/>
        <v>TON</v>
      </c>
      <c r="O1329" s="5">
        <v>10</v>
      </c>
      <c r="S1329" s="32">
        <f t="shared" si="154"/>
        <v>0</v>
      </c>
    </row>
    <row r="1330" spans="2:19" x14ac:dyDescent="0.25">
      <c r="B1330" s="1" t="s">
        <v>1520</v>
      </c>
      <c r="C1330" s="2" t="s">
        <v>196</v>
      </c>
      <c r="D1330" s="2" t="s">
        <v>679</v>
      </c>
      <c r="E1330" s="2" t="s">
        <v>680</v>
      </c>
      <c r="F1330" s="3">
        <f t="shared" si="160"/>
        <v>44979</v>
      </c>
      <c r="G1330" s="4">
        <f t="shared" si="151"/>
        <v>2</v>
      </c>
      <c r="H1330" s="4">
        <f t="shared" si="152"/>
        <v>2023</v>
      </c>
      <c r="I1330" s="2" t="s">
        <v>4</v>
      </c>
      <c r="J1330" s="2" t="s">
        <v>2019</v>
      </c>
      <c r="K1330" s="2" t="s">
        <v>122</v>
      </c>
      <c r="L1330" s="2" t="s">
        <v>123</v>
      </c>
      <c r="M1330" s="2" t="s">
        <v>119</v>
      </c>
      <c r="N1330" s="4" t="str">
        <f t="shared" si="153"/>
        <v>TON</v>
      </c>
      <c r="O1330" s="5">
        <v>2</v>
      </c>
      <c r="S1330" s="32">
        <f t="shared" si="154"/>
        <v>0</v>
      </c>
    </row>
    <row r="1331" spans="2:19" x14ac:dyDescent="0.25">
      <c r="B1331" s="1" t="s">
        <v>1520</v>
      </c>
      <c r="C1331" s="2" t="s">
        <v>196</v>
      </c>
      <c r="D1331" s="2" t="s">
        <v>276</v>
      </c>
      <c r="E1331" s="2" t="s">
        <v>682</v>
      </c>
      <c r="F1331" s="3">
        <f t="shared" ref="F1331:F1338" si="161">DATE(2023,2,23)</f>
        <v>44980</v>
      </c>
      <c r="G1331" s="4">
        <f t="shared" si="151"/>
        <v>2</v>
      </c>
      <c r="H1331" s="4">
        <f t="shared" si="152"/>
        <v>2023</v>
      </c>
      <c r="I1331" s="2" t="s">
        <v>4</v>
      </c>
      <c r="J1331" s="2" t="s">
        <v>2020</v>
      </c>
      <c r="K1331" s="2" t="s">
        <v>122</v>
      </c>
      <c r="L1331" s="2" t="s">
        <v>123</v>
      </c>
      <c r="M1331" s="2" t="s">
        <v>119</v>
      </c>
      <c r="N1331" s="4" t="str">
        <f t="shared" si="153"/>
        <v>TON</v>
      </c>
      <c r="O1331" s="5">
        <v>14.012499999999999</v>
      </c>
      <c r="S1331" s="32">
        <f t="shared" si="154"/>
        <v>0</v>
      </c>
    </row>
    <row r="1332" spans="2:19" x14ac:dyDescent="0.25">
      <c r="B1332" s="1" t="s">
        <v>1520</v>
      </c>
      <c r="C1332" s="2" t="s">
        <v>196</v>
      </c>
      <c r="D1332" s="2" t="s">
        <v>721</v>
      </c>
      <c r="E1332" s="2" t="s">
        <v>141</v>
      </c>
      <c r="F1332" s="3">
        <f t="shared" si="161"/>
        <v>44980</v>
      </c>
      <c r="G1332" s="4">
        <f t="shared" si="151"/>
        <v>2</v>
      </c>
      <c r="H1332" s="4">
        <f t="shared" si="152"/>
        <v>2023</v>
      </c>
      <c r="I1332" s="2" t="s">
        <v>4</v>
      </c>
      <c r="J1332" s="2" t="s">
        <v>2021</v>
      </c>
      <c r="K1332" s="2" t="s">
        <v>531</v>
      </c>
      <c r="L1332" s="2" t="s">
        <v>201</v>
      </c>
      <c r="M1332" s="2" t="s">
        <v>202</v>
      </c>
      <c r="N1332" s="4" t="str">
        <f t="shared" si="153"/>
        <v>GAL</v>
      </c>
      <c r="O1332" s="5">
        <v>30</v>
      </c>
      <c r="S1332" s="32">
        <f t="shared" si="154"/>
        <v>0</v>
      </c>
    </row>
    <row r="1333" spans="2:19" x14ac:dyDescent="0.25">
      <c r="B1333" s="1" t="s">
        <v>1520</v>
      </c>
      <c r="C1333" s="2" t="s">
        <v>196</v>
      </c>
      <c r="D1333" s="2" t="s">
        <v>1345</v>
      </c>
      <c r="E1333" s="2" t="s">
        <v>1346</v>
      </c>
      <c r="F1333" s="3">
        <f t="shared" si="161"/>
        <v>44980</v>
      </c>
      <c r="G1333" s="4">
        <f t="shared" si="151"/>
        <v>2</v>
      </c>
      <c r="H1333" s="4">
        <f t="shared" si="152"/>
        <v>2023</v>
      </c>
      <c r="I1333" s="2" t="s">
        <v>4</v>
      </c>
      <c r="J1333" s="2" t="s">
        <v>2022</v>
      </c>
      <c r="K1333" s="2" t="s">
        <v>122</v>
      </c>
      <c r="L1333" s="2" t="s">
        <v>123</v>
      </c>
      <c r="M1333" s="2" t="s">
        <v>119</v>
      </c>
      <c r="N1333" s="4" t="str">
        <f t="shared" si="153"/>
        <v>TON</v>
      </c>
      <c r="O1333" s="5">
        <v>3.7625000000000002</v>
      </c>
      <c r="S1333" s="32">
        <f t="shared" si="154"/>
        <v>0</v>
      </c>
    </row>
    <row r="1334" spans="2:19" x14ac:dyDescent="0.25">
      <c r="B1334" s="1" t="s">
        <v>1520</v>
      </c>
      <c r="C1334" s="2" t="s">
        <v>196</v>
      </c>
      <c r="D1334" s="2" t="s">
        <v>215</v>
      </c>
      <c r="E1334" s="2" t="s">
        <v>315</v>
      </c>
      <c r="F1334" s="3">
        <f t="shared" si="161"/>
        <v>44980</v>
      </c>
      <c r="G1334" s="4">
        <f t="shared" si="151"/>
        <v>2</v>
      </c>
      <c r="H1334" s="4">
        <f t="shared" si="152"/>
        <v>2023</v>
      </c>
      <c r="I1334" s="2" t="s">
        <v>4</v>
      </c>
      <c r="J1334" s="2" t="s">
        <v>2023</v>
      </c>
      <c r="K1334" s="2" t="s">
        <v>447</v>
      </c>
      <c r="L1334" s="2" t="s">
        <v>448</v>
      </c>
      <c r="M1334" s="2" t="s">
        <v>119</v>
      </c>
      <c r="N1334" s="4" t="str">
        <f t="shared" si="153"/>
        <v>TON</v>
      </c>
      <c r="O1334" s="5">
        <v>4.0125000000000002</v>
      </c>
      <c r="S1334" s="32">
        <f t="shared" si="154"/>
        <v>0</v>
      </c>
    </row>
    <row r="1335" spans="2:19" x14ac:dyDescent="0.25">
      <c r="B1335" s="1" t="s">
        <v>1520</v>
      </c>
      <c r="C1335" s="2" t="s">
        <v>196</v>
      </c>
      <c r="D1335" s="2" t="s">
        <v>1276</v>
      </c>
      <c r="E1335" s="2" t="s">
        <v>1277</v>
      </c>
      <c r="F1335" s="3">
        <f t="shared" si="161"/>
        <v>44980</v>
      </c>
      <c r="G1335" s="4">
        <f t="shared" si="151"/>
        <v>2</v>
      </c>
      <c r="H1335" s="4">
        <f t="shared" si="152"/>
        <v>2023</v>
      </c>
      <c r="I1335" s="2" t="s">
        <v>4</v>
      </c>
      <c r="J1335" s="2" t="s">
        <v>2024</v>
      </c>
      <c r="K1335" s="2" t="s">
        <v>122</v>
      </c>
      <c r="L1335" s="2" t="s">
        <v>123</v>
      </c>
      <c r="M1335" s="2" t="s">
        <v>119</v>
      </c>
      <c r="N1335" s="4" t="str">
        <f t="shared" si="153"/>
        <v>TON</v>
      </c>
      <c r="O1335" s="5">
        <v>2.4674999999999998</v>
      </c>
      <c r="S1335" s="32">
        <f t="shared" si="154"/>
        <v>0</v>
      </c>
    </row>
    <row r="1336" spans="2:19" x14ac:dyDescent="0.25">
      <c r="B1336" s="1" t="s">
        <v>1520</v>
      </c>
      <c r="C1336" s="2" t="s">
        <v>196</v>
      </c>
      <c r="D1336" s="2" t="s">
        <v>721</v>
      </c>
      <c r="E1336" s="2" t="s">
        <v>881</v>
      </c>
      <c r="F1336" s="3">
        <f t="shared" si="161"/>
        <v>44980</v>
      </c>
      <c r="G1336" s="4">
        <f t="shared" si="151"/>
        <v>2</v>
      </c>
      <c r="H1336" s="4">
        <f t="shared" si="152"/>
        <v>2023</v>
      </c>
      <c r="I1336" s="2" t="s">
        <v>4</v>
      </c>
      <c r="J1336" s="2" t="s">
        <v>2025</v>
      </c>
      <c r="K1336" s="2" t="s">
        <v>422</v>
      </c>
      <c r="L1336" s="2" t="s">
        <v>423</v>
      </c>
      <c r="M1336" s="2" t="s">
        <v>119</v>
      </c>
      <c r="N1336" s="4" t="str">
        <f t="shared" si="153"/>
        <v>TON</v>
      </c>
      <c r="O1336" s="5">
        <v>2.5</v>
      </c>
      <c r="S1336" s="32">
        <f t="shared" si="154"/>
        <v>0</v>
      </c>
    </row>
    <row r="1337" spans="2:19" x14ac:dyDescent="0.25">
      <c r="B1337" s="1" t="s">
        <v>1520</v>
      </c>
      <c r="C1337" s="2" t="s">
        <v>196</v>
      </c>
      <c r="D1337" s="2" t="s">
        <v>114</v>
      </c>
      <c r="E1337" s="2" t="s">
        <v>274</v>
      </c>
      <c r="F1337" s="3">
        <f t="shared" si="161"/>
        <v>44980</v>
      </c>
      <c r="G1337" s="4">
        <f t="shared" si="151"/>
        <v>2</v>
      </c>
      <c r="H1337" s="4">
        <f t="shared" si="152"/>
        <v>2023</v>
      </c>
      <c r="I1337" s="2" t="s">
        <v>4</v>
      </c>
      <c r="J1337" s="2" t="s">
        <v>2026</v>
      </c>
      <c r="K1337" s="2" t="s">
        <v>390</v>
      </c>
      <c r="L1337" s="2" t="s">
        <v>391</v>
      </c>
      <c r="M1337" s="2" t="s">
        <v>119</v>
      </c>
      <c r="N1337" s="4" t="str">
        <f t="shared" si="153"/>
        <v>TON</v>
      </c>
      <c r="O1337" s="5">
        <v>6.5175000000000001</v>
      </c>
      <c r="S1337" s="32">
        <f t="shared" si="154"/>
        <v>0</v>
      </c>
    </row>
    <row r="1338" spans="2:19" x14ac:dyDescent="0.25">
      <c r="B1338" s="1" t="s">
        <v>1520</v>
      </c>
      <c r="C1338" s="2" t="s">
        <v>196</v>
      </c>
      <c r="D1338" s="2" t="s">
        <v>418</v>
      </c>
      <c r="E1338" s="2" t="s">
        <v>2027</v>
      </c>
      <c r="F1338" s="3">
        <f t="shared" si="161"/>
        <v>44980</v>
      </c>
      <c r="G1338" s="4">
        <f t="shared" si="151"/>
        <v>2</v>
      </c>
      <c r="H1338" s="4">
        <f t="shared" si="152"/>
        <v>2023</v>
      </c>
      <c r="I1338" s="2" t="s">
        <v>4</v>
      </c>
      <c r="J1338" s="2" t="s">
        <v>2028</v>
      </c>
      <c r="K1338" s="2" t="s">
        <v>422</v>
      </c>
      <c r="L1338" s="2" t="s">
        <v>423</v>
      </c>
      <c r="M1338" s="2" t="s">
        <v>119</v>
      </c>
      <c r="N1338" s="4" t="str">
        <f t="shared" si="153"/>
        <v>TON</v>
      </c>
      <c r="O1338" s="5">
        <v>10.76</v>
      </c>
      <c r="S1338" s="32">
        <f t="shared" si="154"/>
        <v>0</v>
      </c>
    </row>
    <row r="1339" spans="2:19" x14ac:dyDescent="0.25">
      <c r="B1339" s="1" t="s">
        <v>1520</v>
      </c>
      <c r="C1339" s="2" t="s">
        <v>196</v>
      </c>
      <c r="D1339" s="2" t="s">
        <v>331</v>
      </c>
      <c r="E1339" s="2" t="s">
        <v>432</v>
      </c>
      <c r="F1339" s="3">
        <f t="shared" ref="F1339:F1350" si="162">DATE(2023,2,24)</f>
        <v>44981</v>
      </c>
      <c r="G1339" s="4">
        <f t="shared" si="151"/>
        <v>2</v>
      </c>
      <c r="H1339" s="4">
        <f t="shared" si="152"/>
        <v>2023</v>
      </c>
      <c r="I1339" s="2" t="s">
        <v>4</v>
      </c>
      <c r="J1339" s="2" t="s">
        <v>2029</v>
      </c>
      <c r="K1339" s="2" t="s">
        <v>334</v>
      </c>
      <c r="L1339" s="2" t="s">
        <v>335</v>
      </c>
      <c r="M1339" s="2" t="s">
        <v>119</v>
      </c>
      <c r="N1339" s="4" t="str">
        <f t="shared" si="153"/>
        <v>TON</v>
      </c>
      <c r="O1339" s="5">
        <v>5</v>
      </c>
      <c r="S1339" s="32">
        <f t="shared" si="154"/>
        <v>0</v>
      </c>
    </row>
    <row r="1340" spans="2:19" x14ac:dyDescent="0.25">
      <c r="B1340" s="1" t="s">
        <v>1520</v>
      </c>
      <c r="C1340" s="2" t="s">
        <v>196</v>
      </c>
      <c r="D1340" s="2" t="s">
        <v>331</v>
      </c>
      <c r="E1340" s="2" t="s">
        <v>332</v>
      </c>
      <c r="F1340" s="3">
        <f t="shared" si="162"/>
        <v>44981</v>
      </c>
      <c r="G1340" s="4">
        <f t="shared" si="151"/>
        <v>2</v>
      </c>
      <c r="H1340" s="4">
        <f t="shared" si="152"/>
        <v>2023</v>
      </c>
      <c r="I1340" s="2" t="s">
        <v>4</v>
      </c>
      <c r="J1340" s="2" t="s">
        <v>2030</v>
      </c>
      <c r="K1340" s="2" t="s">
        <v>1364</v>
      </c>
      <c r="L1340" s="2" t="s">
        <v>1365</v>
      </c>
      <c r="M1340" s="2" t="s">
        <v>119</v>
      </c>
      <c r="N1340" s="4" t="str">
        <f t="shared" si="153"/>
        <v>TON</v>
      </c>
      <c r="O1340" s="5">
        <v>10</v>
      </c>
      <c r="S1340" s="32">
        <f t="shared" si="154"/>
        <v>0</v>
      </c>
    </row>
    <row r="1341" spans="2:19" x14ac:dyDescent="0.25">
      <c r="B1341" s="1" t="s">
        <v>1520</v>
      </c>
      <c r="C1341" s="2" t="s">
        <v>196</v>
      </c>
      <c r="D1341" s="2" t="s">
        <v>2031</v>
      </c>
      <c r="E1341" s="2" t="s">
        <v>102</v>
      </c>
      <c r="F1341" s="3">
        <f t="shared" si="162"/>
        <v>44981</v>
      </c>
      <c r="G1341" s="4">
        <f t="shared" si="151"/>
        <v>2</v>
      </c>
      <c r="H1341" s="4">
        <f t="shared" si="152"/>
        <v>2023</v>
      </c>
      <c r="I1341" s="2" t="s">
        <v>4</v>
      </c>
      <c r="J1341" s="2" t="s">
        <v>2032</v>
      </c>
      <c r="K1341" s="2" t="s">
        <v>268</v>
      </c>
      <c r="L1341" s="2" t="s">
        <v>269</v>
      </c>
      <c r="M1341" s="2" t="s">
        <v>119</v>
      </c>
      <c r="N1341" s="4" t="str">
        <f t="shared" si="153"/>
        <v>TON</v>
      </c>
      <c r="O1341" s="5">
        <v>0.15</v>
      </c>
      <c r="S1341" s="32">
        <f t="shared" si="154"/>
        <v>0</v>
      </c>
    </row>
    <row r="1342" spans="2:19" x14ac:dyDescent="0.25">
      <c r="B1342" s="1" t="s">
        <v>1520</v>
      </c>
      <c r="C1342" s="2" t="s">
        <v>196</v>
      </c>
      <c r="D1342" s="2" t="s">
        <v>215</v>
      </c>
      <c r="E1342" s="2" t="s">
        <v>2033</v>
      </c>
      <c r="F1342" s="3">
        <f t="shared" si="162"/>
        <v>44981</v>
      </c>
      <c r="G1342" s="4">
        <f t="shared" si="151"/>
        <v>2</v>
      </c>
      <c r="H1342" s="4">
        <f t="shared" si="152"/>
        <v>2023</v>
      </c>
      <c r="I1342" s="2" t="s">
        <v>4</v>
      </c>
      <c r="J1342" s="2" t="s">
        <v>2034</v>
      </c>
      <c r="K1342" s="2" t="s">
        <v>822</v>
      </c>
      <c r="L1342" s="2" t="s">
        <v>565</v>
      </c>
      <c r="M1342" s="2" t="s">
        <v>21</v>
      </c>
      <c r="N1342" s="4" t="str">
        <f t="shared" si="153"/>
        <v>GAL</v>
      </c>
      <c r="O1342" s="5">
        <v>250</v>
      </c>
      <c r="S1342" s="32">
        <f t="shared" si="154"/>
        <v>0</v>
      </c>
    </row>
    <row r="1343" spans="2:19" x14ac:dyDescent="0.25">
      <c r="B1343" s="1" t="s">
        <v>1520</v>
      </c>
      <c r="C1343" s="2" t="s">
        <v>196</v>
      </c>
      <c r="D1343" s="2" t="s">
        <v>215</v>
      </c>
      <c r="E1343" s="2" t="s">
        <v>2033</v>
      </c>
      <c r="F1343" s="3">
        <f t="shared" si="162"/>
        <v>44981</v>
      </c>
      <c r="G1343" s="4">
        <f t="shared" si="151"/>
        <v>2</v>
      </c>
      <c r="H1343" s="4">
        <f t="shared" si="152"/>
        <v>2023</v>
      </c>
      <c r="I1343" s="2" t="s">
        <v>4</v>
      </c>
      <c r="J1343" s="2" t="s">
        <v>2034</v>
      </c>
      <c r="K1343" s="2" t="s">
        <v>823</v>
      </c>
      <c r="L1343" s="2" t="s">
        <v>776</v>
      </c>
      <c r="M1343" s="2" t="s">
        <v>82</v>
      </c>
      <c r="N1343" s="4" t="str">
        <f t="shared" si="153"/>
        <v>GAL</v>
      </c>
      <c r="O1343" s="5">
        <v>250</v>
      </c>
      <c r="S1343" s="32">
        <f t="shared" si="154"/>
        <v>0</v>
      </c>
    </row>
    <row r="1344" spans="2:19" x14ac:dyDescent="0.25">
      <c r="B1344" s="1" t="s">
        <v>1520</v>
      </c>
      <c r="C1344" s="2" t="s">
        <v>196</v>
      </c>
      <c r="D1344" s="2" t="s">
        <v>215</v>
      </c>
      <c r="E1344" s="2" t="s">
        <v>2033</v>
      </c>
      <c r="F1344" s="3">
        <f t="shared" si="162"/>
        <v>44981</v>
      </c>
      <c r="G1344" s="4">
        <f t="shared" si="151"/>
        <v>2</v>
      </c>
      <c r="H1344" s="4">
        <f t="shared" si="152"/>
        <v>2023</v>
      </c>
      <c r="I1344" s="2" t="s">
        <v>4</v>
      </c>
      <c r="J1344" s="2" t="s">
        <v>2034</v>
      </c>
      <c r="K1344" s="2" t="s">
        <v>1204</v>
      </c>
      <c r="L1344" s="2" t="s">
        <v>1151</v>
      </c>
      <c r="M1344" s="2" t="s">
        <v>8</v>
      </c>
      <c r="N1344" s="4" t="str">
        <f t="shared" si="153"/>
        <v>GAL</v>
      </c>
      <c r="O1344" s="5">
        <v>250</v>
      </c>
      <c r="S1344" s="32">
        <f t="shared" si="154"/>
        <v>0</v>
      </c>
    </row>
    <row r="1345" spans="2:19" x14ac:dyDescent="0.25">
      <c r="B1345" s="1" t="s">
        <v>1520</v>
      </c>
      <c r="C1345" s="2" t="s">
        <v>196</v>
      </c>
      <c r="D1345" s="2" t="s">
        <v>348</v>
      </c>
      <c r="E1345" s="2" t="s">
        <v>349</v>
      </c>
      <c r="F1345" s="3">
        <f t="shared" si="162"/>
        <v>44981</v>
      </c>
      <c r="G1345" s="4">
        <f t="shared" si="151"/>
        <v>2</v>
      </c>
      <c r="H1345" s="4">
        <f t="shared" si="152"/>
        <v>2023</v>
      </c>
      <c r="I1345" s="2" t="s">
        <v>4</v>
      </c>
      <c r="J1345" s="2" t="s">
        <v>2035</v>
      </c>
      <c r="K1345" s="2" t="s">
        <v>822</v>
      </c>
      <c r="L1345" s="2" t="s">
        <v>565</v>
      </c>
      <c r="M1345" s="2" t="s">
        <v>21</v>
      </c>
      <c r="N1345" s="4" t="str">
        <f t="shared" si="153"/>
        <v>GAL</v>
      </c>
      <c r="O1345" s="5">
        <v>500</v>
      </c>
      <c r="S1345" s="32">
        <f t="shared" si="154"/>
        <v>0</v>
      </c>
    </row>
    <row r="1346" spans="2:19" x14ac:dyDescent="0.25">
      <c r="B1346" s="1" t="s">
        <v>1520</v>
      </c>
      <c r="C1346" s="2" t="s">
        <v>196</v>
      </c>
      <c r="D1346" s="2" t="s">
        <v>348</v>
      </c>
      <c r="E1346" s="2" t="s">
        <v>349</v>
      </c>
      <c r="F1346" s="3">
        <f t="shared" si="162"/>
        <v>44981</v>
      </c>
      <c r="G1346" s="4">
        <f t="shared" si="151"/>
        <v>2</v>
      </c>
      <c r="H1346" s="4">
        <f t="shared" si="152"/>
        <v>2023</v>
      </c>
      <c r="I1346" s="2" t="s">
        <v>4</v>
      </c>
      <c r="J1346" s="2" t="s">
        <v>2035</v>
      </c>
      <c r="K1346" s="2" t="s">
        <v>823</v>
      </c>
      <c r="L1346" s="2" t="s">
        <v>776</v>
      </c>
      <c r="M1346" s="2" t="s">
        <v>82</v>
      </c>
      <c r="N1346" s="4" t="str">
        <f t="shared" si="153"/>
        <v>GAL</v>
      </c>
      <c r="O1346" s="5">
        <v>500</v>
      </c>
      <c r="S1346" s="32">
        <f t="shared" si="154"/>
        <v>0</v>
      </c>
    </row>
    <row r="1347" spans="2:19" x14ac:dyDescent="0.25">
      <c r="B1347" s="1" t="s">
        <v>1520</v>
      </c>
      <c r="C1347" s="2" t="s">
        <v>196</v>
      </c>
      <c r="D1347" s="2" t="s">
        <v>215</v>
      </c>
      <c r="E1347" s="2" t="s">
        <v>313</v>
      </c>
      <c r="F1347" s="3">
        <f t="shared" si="162"/>
        <v>44981</v>
      </c>
      <c r="G1347" s="4">
        <f t="shared" ref="G1347:G1410" si="163">+MONTH(F1347)</f>
        <v>2</v>
      </c>
      <c r="H1347" s="4">
        <f t="shared" ref="H1347:H1410" si="164">+YEAR(F1347)</f>
        <v>2023</v>
      </c>
      <c r="I1347" s="2" t="s">
        <v>4</v>
      </c>
      <c r="J1347" s="2" t="s">
        <v>2036</v>
      </c>
      <c r="K1347" s="2" t="s">
        <v>205</v>
      </c>
      <c r="L1347" s="2" t="s">
        <v>206</v>
      </c>
      <c r="M1347" s="2" t="s">
        <v>119</v>
      </c>
      <c r="N1347" s="4" t="str">
        <f t="shared" ref="N1347:N1410" si="165">+LEFT(M1347,3)</f>
        <v>TON</v>
      </c>
      <c r="O1347" s="5">
        <v>3.5074999999999998</v>
      </c>
      <c r="S1347" s="32">
        <f t="shared" si="154"/>
        <v>0</v>
      </c>
    </row>
    <row r="1348" spans="2:19" x14ac:dyDescent="0.25">
      <c r="B1348" s="1" t="s">
        <v>1520</v>
      </c>
      <c r="C1348" s="2" t="s">
        <v>196</v>
      </c>
      <c r="D1348" s="2" t="s">
        <v>317</v>
      </c>
      <c r="E1348" s="2" t="s">
        <v>677</v>
      </c>
      <c r="F1348" s="3">
        <f t="shared" si="162"/>
        <v>44981</v>
      </c>
      <c r="G1348" s="4">
        <f t="shared" si="163"/>
        <v>2</v>
      </c>
      <c r="H1348" s="4">
        <f t="shared" si="164"/>
        <v>2023</v>
      </c>
      <c r="I1348" s="2" t="s">
        <v>4</v>
      </c>
      <c r="J1348" s="2" t="s">
        <v>2037</v>
      </c>
      <c r="K1348" s="2" t="s">
        <v>390</v>
      </c>
      <c r="L1348" s="2" t="s">
        <v>391</v>
      </c>
      <c r="M1348" s="2" t="s">
        <v>119</v>
      </c>
      <c r="N1348" s="4" t="str">
        <f t="shared" si="165"/>
        <v>TON</v>
      </c>
      <c r="O1348" s="5">
        <v>5.0025000000000004</v>
      </c>
      <c r="S1348" s="32">
        <f t="shared" ref="S1348:S1411" si="166">SUMIF($R$3:$R$885, $R1348, $O$3:$O$885)</f>
        <v>0</v>
      </c>
    </row>
    <row r="1349" spans="2:19" x14ac:dyDescent="0.25">
      <c r="B1349" s="6" t="s">
        <v>1520</v>
      </c>
      <c r="C1349" s="7" t="s">
        <v>196</v>
      </c>
      <c r="D1349" s="8" t="s">
        <v>114</v>
      </c>
      <c r="E1349" s="8" t="s">
        <v>402</v>
      </c>
      <c r="F1349" s="9">
        <f t="shared" si="162"/>
        <v>44981</v>
      </c>
      <c r="G1349" s="10">
        <f t="shared" si="163"/>
        <v>2</v>
      </c>
      <c r="H1349" s="10">
        <f t="shared" si="164"/>
        <v>2023</v>
      </c>
      <c r="I1349" s="8" t="s">
        <v>4</v>
      </c>
      <c r="J1349" s="7" t="s">
        <v>2038</v>
      </c>
      <c r="K1349" s="8" t="s">
        <v>2039</v>
      </c>
      <c r="L1349" s="8" t="s">
        <v>2040</v>
      </c>
      <c r="M1349" s="8" t="s">
        <v>119</v>
      </c>
      <c r="N1349" s="10" t="str">
        <f t="shared" si="165"/>
        <v>TON</v>
      </c>
      <c r="O1349" s="11">
        <v>4.0049999999999999</v>
      </c>
      <c r="S1349" s="32">
        <f t="shared" si="166"/>
        <v>0</v>
      </c>
    </row>
    <row r="1350" spans="2:19" x14ac:dyDescent="0.25">
      <c r="B1350" s="1" t="s">
        <v>1520</v>
      </c>
      <c r="C1350" s="2" t="s">
        <v>196</v>
      </c>
      <c r="D1350" s="2" t="s">
        <v>2041</v>
      </c>
      <c r="E1350" s="2" t="s">
        <v>102</v>
      </c>
      <c r="F1350" s="3">
        <f t="shared" si="162"/>
        <v>44981</v>
      </c>
      <c r="G1350" s="4">
        <f t="shared" si="163"/>
        <v>2</v>
      </c>
      <c r="H1350" s="4">
        <f t="shared" si="164"/>
        <v>2023</v>
      </c>
      <c r="I1350" s="2" t="s">
        <v>4</v>
      </c>
      <c r="J1350" s="2" t="s">
        <v>2042</v>
      </c>
      <c r="K1350" s="2" t="s">
        <v>329</v>
      </c>
      <c r="L1350" s="2" t="s">
        <v>330</v>
      </c>
      <c r="M1350" s="2" t="s">
        <v>119</v>
      </c>
      <c r="N1350" s="4" t="str">
        <f t="shared" si="165"/>
        <v>TON</v>
      </c>
      <c r="O1350" s="5">
        <v>2</v>
      </c>
      <c r="S1350" s="32">
        <f t="shared" si="166"/>
        <v>0</v>
      </c>
    </row>
    <row r="1351" spans="2:19" x14ac:dyDescent="0.25">
      <c r="B1351" s="6" t="s">
        <v>1520</v>
      </c>
      <c r="C1351" s="7" t="s">
        <v>196</v>
      </c>
      <c r="D1351" s="8" t="s">
        <v>280</v>
      </c>
      <c r="E1351" s="8" t="s">
        <v>1308</v>
      </c>
      <c r="F1351" s="9">
        <f>DATE(2023,2,27)</f>
        <v>44984</v>
      </c>
      <c r="G1351" s="10">
        <f t="shared" si="163"/>
        <v>2</v>
      </c>
      <c r="H1351" s="10">
        <f t="shared" si="164"/>
        <v>2023</v>
      </c>
      <c r="I1351" s="8" t="s">
        <v>4</v>
      </c>
      <c r="J1351" s="7" t="s">
        <v>2043</v>
      </c>
      <c r="K1351" s="8" t="s">
        <v>2039</v>
      </c>
      <c r="L1351" s="8" t="s">
        <v>2040</v>
      </c>
      <c r="M1351" s="8" t="s">
        <v>119</v>
      </c>
      <c r="N1351" s="10" t="str">
        <f t="shared" si="165"/>
        <v>TON</v>
      </c>
      <c r="O1351" s="11">
        <v>9.0124999999999993</v>
      </c>
      <c r="S1351" s="32">
        <f t="shared" si="166"/>
        <v>0</v>
      </c>
    </row>
    <row r="1352" spans="2:19" x14ac:dyDescent="0.25">
      <c r="B1352" s="1" t="s">
        <v>1520</v>
      </c>
      <c r="C1352" s="2" t="s">
        <v>196</v>
      </c>
      <c r="D1352" s="2" t="s">
        <v>224</v>
      </c>
      <c r="E1352" s="2" t="s">
        <v>895</v>
      </c>
      <c r="F1352" s="3">
        <f>DATE(2023,2,24)</f>
        <v>44981</v>
      </c>
      <c r="G1352" s="4">
        <f t="shared" si="163"/>
        <v>2</v>
      </c>
      <c r="H1352" s="4">
        <f t="shared" si="164"/>
        <v>2023</v>
      </c>
      <c r="I1352" s="2" t="s">
        <v>4</v>
      </c>
      <c r="J1352" s="2" t="s">
        <v>2044</v>
      </c>
      <c r="K1352" s="2" t="s">
        <v>205</v>
      </c>
      <c r="L1352" s="2" t="s">
        <v>206</v>
      </c>
      <c r="M1352" s="2" t="s">
        <v>119</v>
      </c>
      <c r="N1352" s="4" t="str">
        <f t="shared" si="165"/>
        <v>TON</v>
      </c>
      <c r="O1352" s="5">
        <v>5.0149999999999997</v>
      </c>
      <c r="S1352" s="32">
        <f t="shared" si="166"/>
        <v>0</v>
      </c>
    </row>
    <row r="1353" spans="2:19" x14ac:dyDescent="0.25">
      <c r="B1353" s="6" t="s">
        <v>1520</v>
      </c>
      <c r="C1353" s="7" t="s">
        <v>196</v>
      </c>
      <c r="D1353" s="8" t="s">
        <v>299</v>
      </c>
      <c r="E1353" s="8" t="s">
        <v>398</v>
      </c>
      <c r="F1353" s="9">
        <f>DATE(2023,2,25)</f>
        <v>44982</v>
      </c>
      <c r="G1353" s="10">
        <f t="shared" si="163"/>
        <v>2</v>
      </c>
      <c r="H1353" s="10">
        <f t="shared" si="164"/>
        <v>2023</v>
      </c>
      <c r="I1353" s="8" t="s">
        <v>4</v>
      </c>
      <c r="J1353" s="7" t="s">
        <v>2045</v>
      </c>
      <c r="K1353" s="8" t="s">
        <v>2039</v>
      </c>
      <c r="L1353" s="8" t="s">
        <v>2040</v>
      </c>
      <c r="M1353" s="8" t="s">
        <v>119</v>
      </c>
      <c r="N1353" s="10" t="str">
        <f t="shared" si="165"/>
        <v>TON</v>
      </c>
      <c r="O1353" s="11">
        <v>2.5024999999999999</v>
      </c>
      <c r="S1353" s="32">
        <f t="shared" si="166"/>
        <v>0</v>
      </c>
    </row>
    <row r="1354" spans="2:19" x14ac:dyDescent="0.25">
      <c r="B1354" s="1" t="s">
        <v>1520</v>
      </c>
      <c r="C1354" s="2" t="s">
        <v>196</v>
      </c>
      <c r="D1354" s="2" t="s">
        <v>669</v>
      </c>
      <c r="E1354" s="2" t="s">
        <v>56</v>
      </c>
      <c r="F1354" s="3">
        <f>DATE(2023,2,24)</f>
        <v>44981</v>
      </c>
      <c r="G1354" s="4">
        <f t="shared" si="163"/>
        <v>2</v>
      </c>
      <c r="H1354" s="4">
        <f t="shared" si="164"/>
        <v>2023</v>
      </c>
      <c r="I1354" s="2" t="s">
        <v>4</v>
      </c>
      <c r="J1354" s="2" t="s">
        <v>2046</v>
      </c>
      <c r="K1354" s="2" t="s">
        <v>205</v>
      </c>
      <c r="L1354" s="2" t="s">
        <v>206</v>
      </c>
      <c r="M1354" s="2" t="s">
        <v>119</v>
      </c>
      <c r="N1354" s="4" t="str">
        <f t="shared" si="165"/>
        <v>TON</v>
      </c>
      <c r="O1354" s="5">
        <v>2</v>
      </c>
      <c r="S1354" s="32">
        <f t="shared" si="166"/>
        <v>0</v>
      </c>
    </row>
    <row r="1355" spans="2:19" x14ac:dyDescent="0.25">
      <c r="B1355" s="1" t="s">
        <v>1520</v>
      </c>
      <c r="C1355" s="2" t="s">
        <v>196</v>
      </c>
      <c r="D1355" s="2" t="s">
        <v>672</v>
      </c>
      <c r="E1355" s="2" t="s">
        <v>1193</v>
      </c>
      <c r="F1355" s="3">
        <f>DATE(2023,2,25)</f>
        <v>44982</v>
      </c>
      <c r="G1355" s="4">
        <f t="shared" si="163"/>
        <v>2</v>
      </c>
      <c r="H1355" s="4">
        <f t="shared" si="164"/>
        <v>2023</v>
      </c>
      <c r="I1355" s="2" t="s">
        <v>4</v>
      </c>
      <c r="J1355" s="2" t="s">
        <v>2047</v>
      </c>
      <c r="K1355" s="2" t="s">
        <v>675</v>
      </c>
      <c r="L1355" s="2" t="s">
        <v>676</v>
      </c>
      <c r="M1355" s="2" t="s">
        <v>119</v>
      </c>
      <c r="N1355" s="4" t="str">
        <f t="shared" si="165"/>
        <v>TON</v>
      </c>
      <c r="O1355" s="5">
        <v>4.0025000000000004</v>
      </c>
      <c r="S1355" s="32">
        <f t="shared" si="166"/>
        <v>0</v>
      </c>
    </row>
    <row r="1356" spans="2:19" x14ac:dyDescent="0.25">
      <c r="B1356" s="6" t="s">
        <v>1520</v>
      </c>
      <c r="C1356" s="7" t="s">
        <v>196</v>
      </c>
      <c r="D1356" s="8" t="s">
        <v>280</v>
      </c>
      <c r="E1356" s="8" t="s">
        <v>371</v>
      </c>
      <c r="F1356" s="9">
        <f>DATE(2023,2,25)</f>
        <v>44982</v>
      </c>
      <c r="G1356" s="10">
        <f t="shared" si="163"/>
        <v>2</v>
      </c>
      <c r="H1356" s="10">
        <f t="shared" si="164"/>
        <v>2023</v>
      </c>
      <c r="I1356" s="8" t="s">
        <v>4</v>
      </c>
      <c r="J1356" s="7" t="s">
        <v>2048</v>
      </c>
      <c r="K1356" s="8" t="s">
        <v>2039</v>
      </c>
      <c r="L1356" s="8" t="s">
        <v>2040</v>
      </c>
      <c r="M1356" s="8" t="s">
        <v>119</v>
      </c>
      <c r="N1356" s="10" t="str">
        <f t="shared" si="165"/>
        <v>TON</v>
      </c>
      <c r="O1356" s="11">
        <v>5.0049999999999999</v>
      </c>
      <c r="S1356" s="32">
        <f t="shared" si="166"/>
        <v>0</v>
      </c>
    </row>
    <row r="1357" spans="2:19" x14ac:dyDescent="0.25">
      <c r="B1357" s="1" t="s">
        <v>645</v>
      </c>
      <c r="C1357" s="2" t="s">
        <v>196</v>
      </c>
      <c r="D1357" s="2" t="s">
        <v>790</v>
      </c>
      <c r="E1357" s="2" t="s">
        <v>791</v>
      </c>
      <c r="F1357" s="3">
        <f>DATE(2023,2,27)</f>
        <v>44984</v>
      </c>
      <c r="G1357" s="4">
        <f t="shared" si="163"/>
        <v>2</v>
      </c>
      <c r="H1357" s="4">
        <f t="shared" si="164"/>
        <v>2023</v>
      </c>
      <c r="I1357" s="2" t="s">
        <v>4</v>
      </c>
      <c r="J1357" s="2" t="s">
        <v>2049</v>
      </c>
      <c r="K1357" s="2" t="s">
        <v>122</v>
      </c>
      <c r="L1357" s="2" t="s">
        <v>123</v>
      </c>
      <c r="M1357" s="2" t="s">
        <v>119</v>
      </c>
      <c r="N1357" s="4" t="str">
        <f t="shared" si="165"/>
        <v>TON</v>
      </c>
      <c r="O1357" s="5">
        <v>5.04</v>
      </c>
      <c r="S1357" s="32">
        <f t="shared" si="166"/>
        <v>0</v>
      </c>
    </row>
    <row r="1358" spans="2:19" x14ac:dyDescent="0.25">
      <c r="B1358" s="1" t="s">
        <v>1520</v>
      </c>
      <c r="C1358" s="2" t="s">
        <v>196</v>
      </c>
      <c r="D1358" s="2" t="s">
        <v>715</v>
      </c>
      <c r="E1358" s="2" t="s">
        <v>1293</v>
      </c>
      <c r="F1358" s="3">
        <f>DATE(2023,2,25)</f>
        <v>44982</v>
      </c>
      <c r="G1358" s="4">
        <f t="shared" si="163"/>
        <v>2</v>
      </c>
      <c r="H1358" s="4">
        <f t="shared" si="164"/>
        <v>2023</v>
      </c>
      <c r="I1358" s="2" t="s">
        <v>4</v>
      </c>
      <c r="J1358" s="2" t="s">
        <v>2050</v>
      </c>
      <c r="K1358" s="2" t="s">
        <v>329</v>
      </c>
      <c r="L1358" s="2" t="s">
        <v>330</v>
      </c>
      <c r="M1358" s="2" t="s">
        <v>119</v>
      </c>
      <c r="N1358" s="4" t="str">
        <f t="shared" si="165"/>
        <v>TON</v>
      </c>
      <c r="O1358" s="5">
        <v>2.5074999999999998</v>
      </c>
      <c r="S1358" s="32">
        <f t="shared" si="166"/>
        <v>0</v>
      </c>
    </row>
    <row r="1359" spans="2:19" x14ac:dyDescent="0.25">
      <c r="B1359" s="1" t="s">
        <v>1520</v>
      </c>
      <c r="C1359" s="2" t="s">
        <v>196</v>
      </c>
      <c r="D1359" s="2" t="s">
        <v>221</v>
      </c>
      <c r="E1359" s="2" t="s">
        <v>2051</v>
      </c>
      <c r="F1359" s="3">
        <f>DATE(2023,2,25)</f>
        <v>44982</v>
      </c>
      <c r="G1359" s="4">
        <f t="shared" si="163"/>
        <v>2</v>
      </c>
      <c r="H1359" s="4">
        <f t="shared" si="164"/>
        <v>2023</v>
      </c>
      <c r="I1359" s="2" t="s">
        <v>4</v>
      </c>
      <c r="J1359" s="2" t="s">
        <v>2052</v>
      </c>
      <c r="K1359" s="2" t="s">
        <v>292</v>
      </c>
      <c r="L1359" s="2" t="s">
        <v>293</v>
      </c>
      <c r="M1359" s="2" t="s">
        <v>119</v>
      </c>
      <c r="N1359" s="4" t="str">
        <f t="shared" si="165"/>
        <v>TON</v>
      </c>
      <c r="O1359" s="5">
        <v>2.5</v>
      </c>
      <c r="S1359" s="32">
        <f t="shared" si="166"/>
        <v>0</v>
      </c>
    </row>
    <row r="1360" spans="2:19" x14ac:dyDescent="0.25">
      <c r="B1360" s="1" t="s">
        <v>1520</v>
      </c>
      <c r="C1360" s="2" t="s">
        <v>196</v>
      </c>
      <c r="D1360" s="2" t="s">
        <v>114</v>
      </c>
      <c r="E1360" s="2" t="s">
        <v>1332</v>
      </c>
      <c r="F1360" s="3">
        <f>DATE(2023,2,27)</f>
        <v>44984</v>
      </c>
      <c r="G1360" s="4">
        <f t="shared" si="163"/>
        <v>2</v>
      </c>
      <c r="H1360" s="4">
        <f t="shared" si="164"/>
        <v>2023</v>
      </c>
      <c r="I1360" s="2" t="s">
        <v>4</v>
      </c>
      <c r="J1360" s="2" t="s">
        <v>2053</v>
      </c>
      <c r="K1360" s="2" t="s">
        <v>390</v>
      </c>
      <c r="L1360" s="2" t="s">
        <v>391</v>
      </c>
      <c r="M1360" s="2" t="s">
        <v>119</v>
      </c>
      <c r="N1360" s="4" t="str">
        <f t="shared" si="165"/>
        <v>TON</v>
      </c>
      <c r="O1360" s="5">
        <v>10.02</v>
      </c>
      <c r="S1360" s="32">
        <f t="shared" si="166"/>
        <v>0</v>
      </c>
    </row>
    <row r="1361" spans="2:19" x14ac:dyDescent="0.25">
      <c r="B1361" s="1" t="s">
        <v>1520</v>
      </c>
      <c r="C1361" s="2" t="s">
        <v>196</v>
      </c>
      <c r="D1361" s="2" t="s">
        <v>374</v>
      </c>
      <c r="E1361" s="2" t="s">
        <v>710</v>
      </c>
      <c r="F1361" s="3">
        <f>DATE(2023,2,27)</f>
        <v>44984</v>
      </c>
      <c r="G1361" s="4">
        <f t="shared" si="163"/>
        <v>2</v>
      </c>
      <c r="H1361" s="4">
        <f t="shared" si="164"/>
        <v>2023</v>
      </c>
      <c r="I1361" s="2" t="s">
        <v>4</v>
      </c>
      <c r="J1361" s="2" t="s">
        <v>2054</v>
      </c>
      <c r="K1361" s="2" t="s">
        <v>1232</v>
      </c>
      <c r="L1361" s="2" t="s">
        <v>1233</v>
      </c>
      <c r="M1361" s="2" t="s">
        <v>119</v>
      </c>
      <c r="N1361" s="4" t="str">
        <f t="shared" si="165"/>
        <v>TON</v>
      </c>
      <c r="O1361" s="5">
        <v>5</v>
      </c>
      <c r="S1361" s="32">
        <f t="shared" si="166"/>
        <v>0</v>
      </c>
    </row>
    <row r="1362" spans="2:19" x14ac:dyDescent="0.25">
      <c r="B1362" s="1" t="s">
        <v>1520</v>
      </c>
      <c r="C1362" s="2" t="s">
        <v>196</v>
      </c>
      <c r="D1362" s="2" t="s">
        <v>276</v>
      </c>
      <c r="E1362" s="2" t="s">
        <v>878</v>
      </c>
      <c r="F1362" s="3">
        <f>DATE(2023,2,27)</f>
        <v>44984</v>
      </c>
      <c r="G1362" s="4">
        <f t="shared" si="163"/>
        <v>2</v>
      </c>
      <c r="H1362" s="4">
        <f t="shared" si="164"/>
        <v>2023</v>
      </c>
      <c r="I1362" s="2" t="s">
        <v>4</v>
      </c>
      <c r="J1362" s="2" t="s">
        <v>2055</v>
      </c>
      <c r="K1362" s="2" t="s">
        <v>205</v>
      </c>
      <c r="L1362" s="2" t="s">
        <v>206</v>
      </c>
      <c r="M1362" s="2" t="s">
        <v>119</v>
      </c>
      <c r="N1362" s="4" t="str">
        <f t="shared" si="165"/>
        <v>TON</v>
      </c>
      <c r="O1362" s="5">
        <v>8</v>
      </c>
      <c r="S1362" s="32">
        <f t="shared" si="166"/>
        <v>0</v>
      </c>
    </row>
    <row r="1363" spans="2:19" x14ac:dyDescent="0.25">
      <c r="B1363" s="6" t="s">
        <v>1520</v>
      </c>
      <c r="C1363" s="7" t="s">
        <v>196</v>
      </c>
      <c r="D1363" s="8" t="s">
        <v>341</v>
      </c>
      <c r="E1363" s="8" t="s">
        <v>91</v>
      </c>
      <c r="F1363" s="9">
        <f t="shared" ref="F1363:F1378" si="167">DATE(2023,2,28)</f>
        <v>44985</v>
      </c>
      <c r="G1363" s="10">
        <f t="shared" si="163"/>
        <v>2</v>
      </c>
      <c r="H1363" s="10">
        <f t="shared" si="164"/>
        <v>2023</v>
      </c>
      <c r="I1363" s="8" t="s">
        <v>4</v>
      </c>
      <c r="J1363" s="7" t="s">
        <v>2056</v>
      </c>
      <c r="K1363" s="8" t="s">
        <v>344</v>
      </c>
      <c r="L1363" s="8" t="s">
        <v>345</v>
      </c>
      <c r="M1363" s="8" t="s">
        <v>346</v>
      </c>
      <c r="N1363" s="10" t="str">
        <f t="shared" si="165"/>
        <v>GAL</v>
      </c>
      <c r="O1363" s="11">
        <v>50</v>
      </c>
      <c r="S1363" s="32">
        <f t="shared" si="166"/>
        <v>0</v>
      </c>
    </row>
    <row r="1364" spans="2:19" x14ac:dyDescent="0.25">
      <c r="B1364" s="1" t="s">
        <v>1520</v>
      </c>
      <c r="C1364" s="2" t="s">
        <v>196</v>
      </c>
      <c r="D1364" s="2" t="s">
        <v>452</v>
      </c>
      <c r="E1364" s="2" t="s">
        <v>1611</v>
      </c>
      <c r="F1364" s="3">
        <f t="shared" si="167"/>
        <v>44985</v>
      </c>
      <c r="G1364" s="4">
        <f t="shared" si="163"/>
        <v>2</v>
      </c>
      <c r="H1364" s="4">
        <f t="shared" si="164"/>
        <v>2023</v>
      </c>
      <c r="I1364" s="2" t="s">
        <v>4</v>
      </c>
      <c r="J1364" s="2" t="s">
        <v>2057</v>
      </c>
      <c r="K1364" s="2" t="s">
        <v>117</v>
      </c>
      <c r="L1364" s="2" t="s">
        <v>118</v>
      </c>
      <c r="M1364" s="2" t="s">
        <v>119</v>
      </c>
      <c r="N1364" s="4" t="str">
        <f t="shared" si="165"/>
        <v>TON</v>
      </c>
      <c r="O1364" s="5">
        <v>1.25</v>
      </c>
      <c r="S1364" s="32">
        <f t="shared" si="166"/>
        <v>0</v>
      </c>
    </row>
    <row r="1365" spans="2:19" x14ac:dyDescent="0.25">
      <c r="B1365" s="1" t="s">
        <v>1520</v>
      </c>
      <c r="C1365" s="2" t="s">
        <v>196</v>
      </c>
      <c r="D1365" s="2" t="s">
        <v>1375</v>
      </c>
      <c r="E1365" s="2" t="s">
        <v>102</v>
      </c>
      <c r="F1365" s="3">
        <f t="shared" si="167"/>
        <v>44985</v>
      </c>
      <c r="G1365" s="4">
        <f t="shared" si="163"/>
        <v>2</v>
      </c>
      <c r="H1365" s="4">
        <f t="shared" si="164"/>
        <v>2023</v>
      </c>
      <c r="I1365" s="2" t="s">
        <v>4</v>
      </c>
      <c r="J1365" s="2" t="s">
        <v>2058</v>
      </c>
      <c r="K1365" s="2" t="s">
        <v>205</v>
      </c>
      <c r="L1365" s="2" t="s">
        <v>206</v>
      </c>
      <c r="M1365" s="2" t="s">
        <v>119</v>
      </c>
      <c r="N1365" s="4" t="str">
        <f t="shared" si="165"/>
        <v>TON</v>
      </c>
      <c r="O1365" s="5">
        <v>5</v>
      </c>
      <c r="S1365" s="32">
        <f t="shared" si="166"/>
        <v>0</v>
      </c>
    </row>
    <row r="1366" spans="2:19" x14ac:dyDescent="0.25">
      <c r="B1366" s="1" t="s">
        <v>1520</v>
      </c>
      <c r="C1366" s="2" t="s">
        <v>196</v>
      </c>
      <c r="D1366" s="2" t="s">
        <v>215</v>
      </c>
      <c r="E1366" s="2" t="s">
        <v>858</v>
      </c>
      <c r="F1366" s="3">
        <f t="shared" si="167"/>
        <v>44985</v>
      </c>
      <c r="G1366" s="4">
        <f t="shared" si="163"/>
        <v>2</v>
      </c>
      <c r="H1366" s="4">
        <f t="shared" si="164"/>
        <v>2023</v>
      </c>
      <c r="I1366" s="2" t="s">
        <v>4</v>
      </c>
      <c r="J1366" s="2" t="s">
        <v>2059</v>
      </c>
      <c r="K1366" s="2" t="s">
        <v>447</v>
      </c>
      <c r="L1366" s="2" t="s">
        <v>448</v>
      </c>
      <c r="M1366" s="2" t="s">
        <v>119</v>
      </c>
      <c r="N1366" s="4" t="str">
        <f t="shared" si="165"/>
        <v>TON</v>
      </c>
      <c r="O1366" s="5">
        <v>5</v>
      </c>
      <c r="S1366" s="32">
        <f t="shared" si="166"/>
        <v>0</v>
      </c>
    </row>
    <row r="1367" spans="2:19" x14ac:dyDescent="0.25">
      <c r="B1367" s="1" t="s">
        <v>1520</v>
      </c>
      <c r="C1367" s="2" t="s">
        <v>196</v>
      </c>
      <c r="D1367" s="2" t="s">
        <v>232</v>
      </c>
      <c r="E1367" s="2" t="s">
        <v>778</v>
      </c>
      <c r="F1367" s="3">
        <f t="shared" si="167"/>
        <v>44985</v>
      </c>
      <c r="G1367" s="4">
        <f t="shared" si="163"/>
        <v>2</v>
      </c>
      <c r="H1367" s="4">
        <f t="shared" si="164"/>
        <v>2023</v>
      </c>
      <c r="I1367" s="2" t="s">
        <v>4</v>
      </c>
      <c r="J1367" s="2" t="s">
        <v>2060</v>
      </c>
      <c r="K1367" s="2" t="s">
        <v>329</v>
      </c>
      <c r="L1367" s="2" t="s">
        <v>330</v>
      </c>
      <c r="M1367" s="2" t="s">
        <v>119</v>
      </c>
      <c r="N1367" s="4" t="str">
        <f t="shared" si="165"/>
        <v>TON</v>
      </c>
      <c r="O1367" s="5">
        <v>5</v>
      </c>
      <c r="S1367" s="32">
        <f t="shared" si="166"/>
        <v>0</v>
      </c>
    </row>
    <row r="1368" spans="2:19" x14ac:dyDescent="0.25">
      <c r="B1368" s="1" t="s">
        <v>1520</v>
      </c>
      <c r="C1368" s="2" t="s">
        <v>196</v>
      </c>
      <c r="D1368" s="2" t="s">
        <v>660</v>
      </c>
      <c r="E1368" s="2" t="s">
        <v>699</v>
      </c>
      <c r="F1368" s="3">
        <f t="shared" si="167"/>
        <v>44985</v>
      </c>
      <c r="G1368" s="4">
        <f t="shared" si="163"/>
        <v>2</v>
      </c>
      <c r="H1368" s="4">
        <f t="shared" si="164"/>
        <v>2023</v>
      </c>
      <c r="I1368" s="2" t="s">
        <v>4</v>
      </c>
      <c r="J1368" s="2" t="s">
        <v>2061</v>
      </c>
      <c r="K1368" s="2" t="s">
        <v>329</v>
      </c>
      <c r="L1368" s="2" t="s">
        <v>330</v>
      </c>
      <c r="M1368" s="2" t="s">
        <v>119</v>
      </c>
      <c r="N1368" s="4" t="str">
        <f t="shared" si="165"/>
        <v>TON</v>
      </c>
      <c r="O1368" s="5">
        <v>3.5</v>
      </c>
      <c r="S1368" s="32">
        <f t="shared" si="166"/>
        <v>0</v>
      </c>
    </row>
    <row r="1369" spans="2:19" x14ac:dyDescent="0.25">
      <c r="B1369" s="1" t="s">
        <v>1520</v>
      </c>
      <c r="C1369" s="2" t="s">
        <v>196</v>
      </c>
      <c r="D1369" s="2" t="s">
        <v>2002</v>
      </c>
      <c r="E1369" s="2" t="s">
        <v>102</v>
      </c>
      <c r="F1369" s="3">
        <f t="shared" si="167"/>
        <v>44985</v>
      </c>
      <c r="G1369" s="4">
        <f t="shared" si="163"/>
        <v>2</v>
      </c>
      <c r="H1369" s="4">
        <f t="shared" si="164"/>
        <v>2023</v>
      </c>
      <c r="I1369" s="2" t="s">
        <v>4</v>
      </c>
      <c r="J1369" s="2" t="s">
        <v>2062</v>
      </c>
      <c r="K1369" s="2" t="s">
        <v>158</v>
      </c>
      <c r="L1369" s="2" t="s">
        <v>159</v>
      </c>
      <c r="M1369" s="2" t="s">
        <v>160</v>
      </c>
      <c r="N1369" s="4" t="str">
        <f t="shared" si="165"/>
        <v>GAL</v>
      </c>
      <c r="O1369" s="5">
        <v>40</v>
      </c>
      <c r="S1369" s="32">
        <f t="shared" si="166"/>
        <v>0</v>
      </c>
    </row>
    <row r="1370" spans="2:19" x14ac:dyDescent="0.25">
      <c r="B1370" s="1" t="s">
        <v>1520</v>
      </c>
      <c r="C1370" s="2" t="s">
        <v>196</v>
      </c>
      <c r="D1370" s="2" t="s">
        <v>715</v>
      </c>
      <c r="E1370" s="2" t="s">
        <v>971</v>
      </c>
      <c r="F1370" s="3">
        <f t="shared" si="167"/>
        <v>44985</v>
      </c>
      <c r="G1370" s="4">
        <f t="shared" si="163"/>
        <v>2</v>
      </c>
      <c r="H1370" s="4">
        <f t="shared" si="164"/>
        <v>2023</v>
      </c>
      <c r="I1370" s="2" t="s">
        <v>4</v>
      </c>
      <c r="J1370" s="2" t="s">
        <v>2063</v>
      </c>
      <c r="K1370" s="2" t="s">
        <v>329</v>
      </c>
      <c r="L1370" s="2" t="s">
        <v>330</v>
      </c>
      <c r="M1370" s="2" t="s">
        <v>119</v>
      </c>
      <c r="N1370" s="4" t="str">
        <f t="shared" si="165"/>
        <v>TON</v>
      </c>
      <c r="O1370" s="5">
        <v>2.4975000000000001</v>
      </c>
      <c r="S1370" s="32">
        <f t="shared" si="166"/>
        <v>0</v>
      </c>
    </row>
    <row r="1371" spans="2:19" x14ac:dyDescent="0.25">
      <c r="B1371" s="1" t="s">
        <v>1520</v>
      </c>
      <c r="C1371" s="2" t="s">
        <v>196</v>
      </c>
      <c r="D1371" s="2" t="s">
        <v>440</v>
      </c>
      <c r="E1371" s="2" t="s">
        <v>1274</v>
      </c>
      <c r="F1371" s="3">
        <f t="shared" si="167"/>
        <v>44985</v>
      </c>
      <c r="G1371" s="4">
        <f t="shared" si="163"/>
        <v>2</v>
      </c>
      <c r="H1371" s="4">
        <f t="shared" si="164"/>
        <v>2023</v>
      </c>
      <c r="I1371" s="2" t="s">
        <v>4</v>
      </c>
      <c r="J1371" s="2" t="s">
        <v>2064</v>
      </c>
      <c r="K1371" s="2" t="s">
        <v>2016</v>
      </c>
      <c r="L1371" s="2" t="s">
        <v>2017</v>
      </c>
      <c r="M1371" s="2" t="s">
        <v>119</v>
      </c>
      <c r="N1371" s="4" t="str">
        <f t="shared" si="165"/>
        <v>TON</v>
      </c>
      <c r="O1371" s="5">
        <v>5.0075000000000003</v>
      </c>
      <c r="S1371" s="32">
        <f t="shared" si="166"/>
        <v>0</v>
      </c>
    </row>
    <row r="1372" spans="2:19" x14ac:dyDescent="0.25">
      <c r="B1372" s="1" t="s">
        <v>1520</v>
      </c>
      <c r="C1372" s="2" t="s">
        <v>196</v>
      </c>
      <c r="D1372" s="2" t="s">
        <v>458</v>
      </c>
      <c r="E1372" s="2" t="s">
        <v>699</v>
      </c>
      <c r="F1372" s="3">
        <f t="shared" si="167"/>
        <v>44985</v>
      </c>
      <c r="G1372" s="4">
        <f t="shared" si="163"/>
        <v>2</v>
      </c>
      <c r="H1372" s="4">
        <f t="shared" si="164"/>
        <v>2023</v>
      </c>
      <c r="I1372" s="2" t="s">
        <v>4</v>
      </c>
      <c r="J1372" s="2" t="s">
        <v>2065</v>
      </c>
      <c r="K1372" s="2" t="s">
        <v>122</v>
      </c>
      <c r="L1372" s="2" t="s">
        <v>123</v>
      </c>
      <c r="M1372" s="2" t="s">
        <v>119</v>
      </c>
      <c r="N1372" s="4" t="str">
        <f t="shared" si="165"/>
        <v>TON</v>
      </c>
      <c r="O1372" s="5">
        <v>5.0125000000000002</v>
      </c>
      <c r="S1372" s="32">
        <f t="shared" si="166"/>
        <v>0</v>
      </c>
    </row>
    <row r="1373" spans="2:19" x14ac:dyDescent="0.25">
      <c r="B1373" s="6" t="s">
        <v>1520</v>
      </c>
      <c r="C1373" s="7" t="s">
        <v>196</v>
      </c>
      <c r="D1373" s="8" t="s">
        <v>114</v>
      </c>
      <c r="E1373" s="8" t="s">
        <v>377</v>
      </c>
      <c r="F1373" s="9">
        <f t="shared" si="167"/>
        <v>44985</v>
      </c>
      <c r="G1373" s="10">
        <f t="shared" si="163"/>
        <v>2</v>
      </c>
      <c r="H1373" s="10">
        <f t="shared" si="164"/>
        <v>2023</v>
      </c>
      <c r="I1373" s="8" t="s">
        <v>4</v>
      </c>
      <c r="J1373" s="7" t="s">
        <v>2066</v>
      </c>
      <c r="K1373" s="8" t="s">
        <v>2039</v>
      </c>
      <c r="L1373" s="8" t="s">
        <v>2040</v>
      </c>
      <c r="M1373" s="8" t="s">
        <v>119</v>
      </c>
      <c r="N1373" s="10" t="str">
        <f t="shared" si="165"/>
        <v>TON</v>
      </c>
      <c r="O1373" s="11">
        <v>3.9925000000000002</v>
      </c>
      <c r="S1373" s="32">
        <f t="shared" si="166"/>
        <v>0</v>
      </c>
    </row>
    <row r="1374" spans="2:19" x14ac:dyDescent="0.25">
      <c r="B1374" s="1" t="s">
        <v>1520</v>
      </c>
      <c r="C1374" s="2" t="s">
        <v>196</v>
      </c>
      <c r="D1374" s="2" t="s">
        <v>440</v>
      </c>
      <c r="E1374" s="2" t="s">
        <v>1274</v>
      </c>
      <c r="F1374" s="3">
        <f t="shared" si="167"/>
        <v>44985</v>
      </c>
      <c r="G1374" s="4">
        <f t="shared" si="163"/>
        <v>2</v>
      </c>
      <c r="H1374" s="4">
        <f t="shared" si="164"/>
        <v>2023</v>
      </c>
      <c r="I1374" s="2" t="s">
        <v>4</v>
      </c>
      <c r="J1374" s="2" t="s">
        <v>2067</v>
      </c>
      <c r="K1374" s="2" t="s">
        <v>2016</v>
      </c>
      <c r="L1374" s="2" t="s">
        <v>2017</v>
      </c>
      <c r="M1374" s="2" t="s">
        <v>119</v>
      </c>
      <c r="N1374" s="4" t="str">
        <f t="shared" si="165"/>
        <v>TON</v>
      </c>
      <c r="O1374" s="5">
        <v>2.5074999999999998</v>
      </c>
      <c r="S1374" s="32">
        <f t="shared" si="166"/>
        <v>0</v>
      </c>
    </row>
    <row r="1375" spans="2:19" x14ac:dyDescent="0.25">
      <c r="B1375" s="1" t="s">
        <v>1520</v>
      </c>
      <c r="C1375" s="2" t="s">
        <v>196</v>
      </c>
      <c r="D1375" s="2" t="s">
        <v>458</v>
      </c>
      <c r="E1375" s="2" t="s">
        <v>1177</v>
      </c>
      <c r="F1375" s="3">
        <f t="shared" si="167"/>
        <v>44985</v>
      </c>
      <c r="G1375" s="4">
        <f t="shared" si="163"/>
        <v>2</v>
      </c>
      <c r="H1375" s="4">
        <f t="shared" si="164"/>
        <v>2023</v>
      </c>
      <c r="I1375" s="2" t="s">
        <v>4</v>
      </c>
      <c r="J1375" s="2" t="s">
        <v>2068</v>
      </c>
      <c r="K1375" s="2" t="s">
        <v>205</v>
      </c>
      <c r="L1375" s="2" t="s">
        <v>206</v>
      </c>
      <c r="M1375" s="2" t="s">
        <v>119</v>
      </c>
      <c r="N1375" s="4" t="str">
        <f t="shared" si="165"/>
        <v>TON</v>
      </c>
      <c r="O1375" s="5">
        <v>2.5</v>
      </c>
      <c r="S1375" s="32">
        <f t="shared" si="166"/>
        <v>0</v>
      </c>
    </row>
    <row r="1376" spans="2:19" x14ac:dyDescent="0.25">
      <c r="B1376" s="1" t="s">
        <v>1520</v>
      </c>
      <c r="C1376" s="2" t="s">
        <v>196</v>
      </c>
      <c r="D1376" s="2" t="s">
        <v>1385</v>
      </c>
      <c r="E1376" s="2" t="s">
        <v>102</v>
      </c>
      <c r="F1376" s="3">
        <f t="shared" si="167"/>
        <v>44985</v>
      </c>
      <c r="G1376" s="4">
        <f t="shared" si="163"/>
        <v>2</v>
      </c>
      <c r="H1376" s="4">
        <f t="shared" si="164"/>
        <v>2023</v>
      </c>
      <c r="I1376" s="2" t="s">
        <v>4</v>
      </c>
      <c r="J1376" s="2" t="s">
        <v>2069</v>
      </c>
      <c r="K1376" s="2" t="s">
        <v>1387</v>
      </c>
      <c r="L1376" s="2" t="s">
        <v>1388</v>
      </c>
      <c r="M1376" s="2" t="s">
        <v>119</v>
      </c>
      <c r="N1376" s="4" t="str">
        <f t="shared" si="165"/>
        <v>TON</v>
      </c>
      <c r="O1376" s="5">
        <v>0.75</v>
      </c>
      <c r="S1376" s="32">
        <f t="shared" si="166"/>
        <v>0</v>
      </c>
    </row>
    <row r="1377" spans="2:19" x14ac:dyDescent="0.25">
      <c r="B1377" s="1" t="s">
        <v>1520</v>
      </c>
      <c r="C1377" s="2" t="s">
        <v>196</v>
      </c>
      <c r="D1377" s="2" t="s">
        <v>374</v>
      </c>
      <c r="E1377" s="2" t="s">
        <v>424</v>
      </c>
      <c r="F1377" s="3">
        <f t="shared" si="167"/>
        <v>44985</v>
      </c>
      <c r="G1377" s="4">
        <f t="shared" si="163"/>
        <v>2</v>
      </c>
      <c r="H1377" s="4">
        <f t="shared" si="164"/>
        <v>2023</v>
      </c>
      <c r="I1377" s="2" t="s">
        <v>4</v>
      </c>
      <c r="J1377" s="2" t="s">
        <v>2070</v>
      </c>
      <c r="K1377" s="2" t="s">
        <v>329</v>
      </c>
      <c r="L1377" s="2" t="s">
        <v>330</v>
      </c>
      <c r="M1377" s="2" t="s">
        <v>119</v>
      </c>
      <c r="N1377" s="4" t="str">
        <f t="shared" si="165"/>
        <v>TON</v>
      </c>
      <c r="O1377" s="5">
        <v>10.0075</v>
      </c>
      <c r="S1377" s="32">
        <f t="shared" si="166"/>
        <v>0</v>
      </c>
    </row>
    <row r="1378" spans="2:19" x14ac:dyDescent="0.25">
      <c r="B1378" s="1" t="s">
        <v>1520</v>
      </c>
      <c r="C1378" s="2" t="s">
        <v>196</v>
      </c>
      <c r="D1378" s="2" t="s">
        <v>374</v>
      </c>
      <c r="E1378" s="2" t="s">
        <v>710</v>
      </c>
      <c r="F1378" s="3">
        <f t="shared" si="167"/>
        <v>44985</v>
      </c>
      <c r="G1378" s="4">
        <f t="shared" si="163"/>
        <v>2</v>
      </c>
      <c r="H1378" s="4">
        <f t="shared" si="164"/>
        <v>2023</v>
      </c>
      <c r="I1378" s="2" t="s">
        <v>4</v>
      </c>
      <c r="J1378" s="2" t="s">
        <v>2071</v>
      </c>
      <c r="K1378" s="2" t="s">
        <v>1232</v>
      </c>
      <c r="L1378" s="2" t="s">
        <v>1233</v>
      </c>
      <c r="M1378" s="2" t="s">
        <v>119</v>
      </c>
      <c r="N1378" s="4" t="str">
        <f t="shared" si="165"/>
        <v>TON</v>
      </c>
      <c r="O1378" s="5">
        <v>5.0075000000000003</v>
      </c>
      <c r="S1378" s="32">
        <f t="shared" si="166"/>
        <v>0</v>
      </c>
    </row>
    <row r="1379" spans="2:19" x14ac:dyDescent="0.25">
      <c r="B1379" s="1" t="s">
        <v>382</v>
      </c>
      <c r="C1379" s="2" t="s">
        <v>506</v>
      </c>
      <c r="D1379" s="2" t="s">
        <v>515</v>
      </c>
      <c r="E1379" s="2" t="s">
        <v>516</v>
      </c>
      <c r="F1379" s="3">
        <f>DATE(2023,2,13)</f>
        <v>44970</v>
      </c>
      <c r="G1379" s="4">
        <f t="shared" si="163"/>
        <v>2</v>
      </c>
      <c r="H1379" s="4">
        <f t="shared" si="164"/>
        <v>2023</v>
      </c>
      <c r="I1379" s="2" t="s">
        <v>4</v>
      </c>
      <c r="J1379" s="2" t="s">
        <v>2072</v>
      </c>
      <c r="K1379" s="2" t="s">
        <v>642</v>
      </c>
      <c r="L1379" s="2" t="s">
        <v>111</v>
      </c>
      <c r="M1379" s="2" t="s">
        <v>112</v>
      </c>
      <c r="N1379" s="4" t="str">
        <f t="shared" si="165"/>
        <v>GAL</v>
      </c>
      <c r="O1379" s="5">
        <v>60</v>
      </c>
      <c r="S1379" s="32">
        <f t="shared" si="166"/>
        <v>0</v>
      </c>
    </row>
    <row r="1380" spans="2:19" x14ac:dyDescent="0.25">
      <c r="B1380" s="1" t="s">
        <v>382</v>
      </c>
      <c r="C1380" s="2" t="s">
        <v>506</v>
      </c>
      <c r="D1380" s="2" t="s">
        <v>515</v>
      </c>
      <c r="E1380" s="2" t="s">
        <v>516</v>
      </c>
      <c r="F1380" s="3">
        <f>DATE(2023,2,13)</f>
        <v>44970</v>
      </c>
      <c r="G1380" s="4">
        <f t="shared" si="163"/>
        <v>2</v>
      </c>
      <c r="H1380" s="4">
        <f t="shared" si="164"/>
        <v>2023</v>
      </c>
      <c r="I1380" s="2" t="s">
        <v>4</v>
      </c>
      <c r="J1380" s="2" t="s">
        <v>2072</v>
      </c>
      <c r="K1380" s="2" t="s">
        <v>25</v>
      </c>
      <c r="L1380" s="2" t="s">
        <v>541</v>
      </c>
      <c r="M1380" s="2" t="s">
        <v>27</v>
      </c>
      <c r="N1380" s="4" t="str">
        <f t="shared" si="165"/>
        <v>GAL</v>
      </c>
      <c r="O1380" s="5">
        <v>180</v>
      </c>
      <c r="S1380" s="32">
        <f t="shared" si="166"/>
        <v>0</v>
      </c>
    </row>
    <row r="1381" spans="2:19" x14ac:dyDescent="0.25">
      <c r="B1381" s="1" t="s">
        <v>382</v>
      </c>
      <c r="C1381" s="2" t="s">
        <v>506</v>
      </c>
      <c r="D1381" s="2" t="s">
        <v>515</v>
      </c>
      <c r="E1381" s="2" t="s">
        <v>516</v>
      </c>
      <c r="F1381" s="3">
        <f>DATE(2023,2,13)</f>
        <v>44970</v>
      </c>
      <c r="G1381" s="4">
        <f t="shared" si="163"/>
        <v>2</v>
      </c>
      <c r="H1381" s="4">
        <f t="shared" si="164"/>
        <v>2023</v>
      </c>
      <c r="I1381" s="2" t="s">
        <v>4</v>
      </c>
      <c r="J1381" s="2" t="s">
        <v>2072</v>
      </c>
      <c r="K1381" s="2" t="s">
        <v>609</v>
      </c>
      <c r="L1381" s="2" t="s">
        <v>610</v>
      </c>
      <c r="M1381" s="2" t="s">
        <v>611</v>
      </c>
      <c r="N1381" s="4" t="str">
        <f t="shared" si="165"/>
        <v>GAL</v>
      </c>
      <c r="O1381" s="5">
        <v>60</v>
      </c>
      <c r="S1381" s="32">
        <f t="shared" si="166"/>
        <v>0</v>
      </c>
    </row>
    <row r="1382" spans="2:19" x14ac:dyDescent="0.25">
      <c r="B1382" s="1" t="s">
        <v>382</v>
      </c>
      <c r="C1382" s="2" t="s">
        <v>506</v>
      </c>
      <c r="D1382" s="2" t="s">
        <v>515</v>
      </c>
      <c r="E1382" s="2" t="s">
        <v>516</v>
      </c>
      <c r="F1382" s="3">
        <f>DATE(2023,2,13)</f>
        <v>44970</v>
      </c>
      <c r="G1382" s="4">
        <f t="shared" si="163"/>
        <v>2</v>
      </c>
      <c r="H1382" s="4">
        <f t="shared" si="164"/>
        <v>2023</v>
      </c>
      <c r="I1382" s="2" t="s">
        <v>4</v>
      </c>
      <c r="J1382" s="2" t="s">
        <v>2072</v>
      </c>
      <c r="K1382" s="2" t="s">
        <v>1729</v>
      </c>
      <c r="L1382" s="2" t="s">
        <v>2073</v>
      </c>
      <c r="M1382" s="2" t="s">
        <v>1731</v>
      </c>
      <c r="N1382" s="4" t="str">
        <f t="shared" si="165"/>
        <v>GAL</v>
      </c>
      <c r="O1382" s="5">
        <v>30</v>
      </c>
      <c r="S1382" s="32">
        <f t="shared" si="166"/>
        <v>0</v>
      </c>
    </row>
    <row r="1383" spans="2:19" x14ac:dyDescent="0.25">
      <c r="B1383" s="1" t="s">
        <v>382</v>
      </c>
      <c r="C1383" s="2" t="s">
        <v>506</v>
      </c>
      <c r="D1383" s="2" t="s">
        <v>989</v>
      </c>
      <c r="E1383" s="2" t="s">
        <v>990</v>
      </c>
      <c r="F1383" s="3">
        <f>DATE(2023,2,15)</f>
        <v>44972</v>
      </c>
      <c r="G1383" s="4">
        <f t="shared" si="163"/>
        <v>2</v>
      </c>
      <c r="H1383" s="4">
        <f t="shared" si="164"/>
        <v>2023</v>
      </c>
      <c r="I1383" s="2" t="s">
        <v>4</v>
      </c>
      <c r="J1383" s="2" t="s">
        <v>2074</v>
      </c>
      <c r="K1383" s="2" t="s">
        <v>609</v>
      </c>
      <c r="L1383" s="2" t="s">
        <v>610</v>
      </c>
      <c r="M1383" s="2" t="s">
        <v>611</v>
      </c>
      <c r="N1383" s="4" t="str">
        <f t="shared" si="165"/>
        <v>GAL</v>
      </c>
      <c r="O1383" s="5">
        <v>15</v>
      </c>
      <c r="S1383" s="32">
        <f t="shared" si="166"/>
        <v>0</v>
      </c>
    </row>
    <row r="1384" spans="2:19" x14ac:dyDescent="0.25">
      <c r="B1384" s="1" t="s">
        <v>382</v>
      </c>
      <c r="C1384" s="2" t="s">
        <v>506</v>
      </c>
      <c r="D1384" s="2" t="s">
        <v>639</v>
      </c>
      <c r="E1384" s="2" t="s">
        <v>640</v>
      </c>
      <c r="F1384" s="3">
        <f>DATE(2023,2,15)</f>
        <v>44972</v>
      </c>
      <c r="G1384" s="4">
        <f t="shared" si="163"/>
        <v>2</v>
      </c>
      <c r="H1384" s="4">
        <f t="shared" si="164"/>
        <v>2023</v>
      </c>
      <c r="I1384" s="2" t="s">
        <v>4</v>
      </c>
      <c r="J1384" s="2" t="s">
        <v>2075</v>
      </c>
      <c r="K1384" s="2" t="s">
        <v>642</v>
      </c>
      <c r="L1384" s="2" t="s">
        <v>111</v>
      </c>
      <c r="M1384" s="2" t="s">
        <v>112</v>
      </c>
      <c r="N1384" s="4" t="str">
        <f t="shared" si="165"/>
        <v>GAL</v>
      </c>
      <c r="O1384" s="5">
        <v>360</v>
      </c>
      <c r="S1384" s="32">
        <f t="shared" si="166"/>
        <v>0</v>
      </c>
    </row>
    <row r="1385" spans="2:19" x14ac:dyDescent="0.25">
      <c r="B1385" s="1" t="s">
        <v>382</v>
      </c>
      <c r="C1385" s="2" t="s">
        <v>506</v>
      </c>
      <c r="D1385" s="2" t="s">
        <v>521</v>
      </c>
      <c r="E1385" s="2" t="s">
        <v>522</v>
      </c>
      <c r="F1385" s="3">
        <f>DATE(2023,2,16)</f>
        <v>44973</v>
      </c>
      <c r="G1385" s="4">
        <f t="shared" si="163"/>
        <v>2</v>
      </c>
      <c r="H1385" s="4">
        <f t="shared" si="164"/>
        <v>2023</v>
      </c>
      <c r="I1385" s="2" t="s">
        <v>4</v>
      </c>
      <c r="J1385" s="2" t="s">
        <v>2076</v>
      </c>
      <c r="K1385" s="2" t="s">
        <v>1400</v>
      </c>
      <c r="L1385" s="2" t="s">
        <v>1396</v>
      </c>
      <c r="M1385" s="2" t="s">
        <v>1397</v>
      </c>
      <c r="N1385" s="4" t="str">
        <f t="shared" si="165"/>
        <v>GAL</v>
      </c>
      <c r="O1385" s="5">
        <v>1000</v>
      </c>
      <c r="S1385" s="32">
        <f t="shared" si="166"/>
        <v>0</v>
      </c>
    </row>
    <row r="1386" spans="2:19" x14ac:dyDescent="0.25">
      <c r="B1386" s="1" t="s">
        <v>382</v>
      </c>
      <c r="C1386" s="2" t="s">
        <v>506</v>
      </c>
      <c r="D1386" s="2" t="s">
        <v>1006</v>
      </c>
      <c r="E1386" s="2" t="s">
        <v>1007</v>
      </c>
      <c r="F1386" s="3">
        <f>DATE(2023,2,28)</f>
        <v>44985</v>
      </c>
      <c r="G1386" s="4">
        <f t="shared" si="163"/>
        <v>2</v>
      </c>
      <c r="H1386" s="4">
        <f t="shared" si="164"/>
        <v>2023</v>
      </c>
      <c r="I1386" s="2" t="s">
        <v>4</v>
      </c>
      <c r="J1386" s="2" t="s">
        <v>2077</v>
      </c>
      <c r="K1386" s="2" t="s">
        <v>642</v>
      </c>
      <c r="L1386" s="2" t="s">
        <v>111</v>
      </c>
      <c r="M1386" s="2" t="s">
        <v>112</v>
      </c>
      <c r="N1386" s="4" t="str">
        <f t="shared" si="165"/>
        <v>GAL</v>
      </c>
      <c r="O1386" s="5">
        <v>180</v>
      </c>
      <c r="S1386" s="32">
        <f t="shared" si="166"/>
        <v>0</v>
      </c>
    </row>
    <row r="1387" spans="2:19" x14ac:dyDescent="0.25">
      <c r="B1387" s="1" t="s">
        <v>1742</v>
      </c>
      <c r="C1387" s="2" t="s">
        <v>1025</v>
      </c>
      <c r="D1387" s="2" t="s">
        <v>1401</v>
      </c>
      <c r="E1387" s="2" t="s">
        <v>1402</v>
      </c>
      <c r="F1387" s="3">
        <f>DATE(2023,2,1)</f>
        <v>44958</v>
      </c>
      <c r="G1387" s="4">
        <f t="shared" si="163"/>
        <v>2</v>
      </c>
      <c r="H1387" s="4">
        <f t="shared" si="164"/>
        <v>2023</v>
      </c>
      <c r="I1387" s="2" t="s">
        <v>4</v>
      </c>
      <c r="J1387" s="2" t="s">
        <v>2078</v>
      </c>
      <c r="K1387" s="2" t="s">
        <v>1404</v>
      </c>
      <c r="L1387" s="2" t="s">
        <v>1405</v>
      </c>
      <c r="M1387" s="2" t="s">
        <v>1397</v>
      </c>
      <c r="N1387" s="4" t="str">
        <f t="shared" si="165"/>
        <v>GAL</v>
      </c>
      <c r="O1387" s="5">
        <v>1200</v>
      </c>
      <c r="S1387" s="32">
        <f t="shared" si="166"/>
        <v>0</v>
      </c>
    </row>
    <row r="1388" spans="2:19" x14ac:dyDescent="0.25">
      <c r="B1388" s="1" t="s">
        <v>645</v>
      </c>
      <c r="C1388" s="2" t="s">
        <v>1025</v>
      </c>
      <c r="D1388" s="2" t="s">
        <v>2079</v>
      </c>
      <c r="E1388" s="2" t="s">
        <v>1402</v>
      </c>
      <c r="F1388" s="3">
        <f>DATE(2023,2,1)</f>
        <v>44958</v>
      </c>
      <c r="G1388" s="4">
        <f t="shared" si="163"/>
        <v>2</v>
      </c>
      <c r="H1388" s="4">
        <f t="shared" si="164"/>
        <v>2023</v>
      </c>
      <c r="I1388" s="2" t="s">
        <v>4</v>
      </c>
      <c r="J1388" s="2" t="s">
        <v>2080</v>
      </c>
      <c r="K1388" s="2" t="s">
        <v>1404</v>
      </c>
      <c r="L1388" s="2" t="s">
        <v>1405</v>
      </c>
      <c r="M1388" s="2" t="s">
        <v>1397</v>
      </c>
      <c r="N1388" s="4" t="str">
        <f t="shared" si="165"/>
        <v>GAL</v>
      </c>
      <c r="O1388" s="5">
        <v>600</v>
      </c>
      <c r="S1388" s="32">
        <f t="shared" si="166"/>
        <v>0</v>
      </c>
    </row>
    <row r="1389" spans="2:19" x14ac:dyDescent="0.25">
      <c r="B1389" s="1" t="s">
        <v>645</v>
      </c>
      <c r="C1389" s="2" t="s">
        <v>1025</v>
      </c>
      <c r="D1389" s="2" t="s">
        <v>2079</v>
      </c>
      <c r="E1389" s="2" t="s">
        <v>1402</v>
      </c>
      <c r="F1389" s="3">
        <f>DATE(2023,2,1)</f>
        <v>44958</v>
      </c>
      <c r="G1389" s="4">
        <f t="shared" si="163"/>
        <v>2</v>
      </c>
      <c r="H1389" s="4">
        <f t="shared" si="164"/>
        <v>2023</v>
      </c>
      <c r="I1389" s="2" t="s">
        <v>4</v>
      </c>
      <c r="J1389" s="2" t="s">
        <v>2080</v>
      </c>
      <c r="K1389" s="2" t="s">
        <v>2081</v>
      </c>
      <c r="L1389" s="2" t="s">
        <v>1405</v>
      </c>
      <c r="M1389" s="2" t="s">
        <v>1397</v>
      </c>
      <c r="N1389" s="4" t="str">
        <f t="shared" si="165"/>
        <v>GAL</v>
      </c>
      <c r="O1389" s="5">
        <v>500</v>
      </c>
      <c r="S1389" s="32">
        <f t="shared" si="166"/>
        <v>0</v>
      </c>
    </row>
    <row r="1390" spans="2:19" x14ac:dyDescent="0.25">
      <c r="B1390" s="1" t="s">
        <v>1742</v>
      </c>
      <c r="C1390" s="2" t="s">
        <v>1025</v>
      </c>
      <c r="D1390" s="2" t="s">
        <v>1401</v>
      </c>
      <c r="E1390" s="2" t="s">
        <v>1402</v>
      </c>
      <c r="F1390" s="3">
        <f>DATE(2023,2,1)</f>
        <v>44958</v>
      </c>
      <c r="G1390" s="4">
        <f t="shared" si="163"/>
        <v>2</v>
      </c>
      <c r="H1390" s="4">
        <f t="shared" si="164"/>
        <v>2023</v>
      </c>
      <c r="I1390" s="2" t="s">
        <v>4</v>
      </c>
      <c r="J1390" s="2" t="s">
        <v>2082</v>
      </c>
      <c r="K1390" s="2" t="s">
        <v>2083</v>
      </c>
      <c r="L1390" s="2" t="s">
        <v>2084</v>
      </c>
      <c r="M1390" s="2" t="s">
        <v>119</v>
      </c>
      <c r="N1390" s="4" t="str">
        <f t="shared" si="165"/>
        <v>TON</v>
      </c>
      <c r="O1390" s="5">
        <v>5.01</v>
      </c>
      <c r="S1390" s="32">
        <f t="shared" si="166"/>
        <v>0</v>
      </c>
    </row>
    <row r="1391" spans="2:19" x14ac:dyDescent="0.25">
      <c r="B1391" s="1" t="s">
        <v>645</v>
      </c>
      <c r="C1391" s="2" t="s">
        <v>1025</v>
      </c>
      <c r="D1391" s="2" t="s">
        <v>2079</v>
      </c>
      <c r="E1391" s="2" t="s">
        <v>1402</v>
      </c>
      <c r="F1391" s="3">
        <f>DATE(2023,2,8)</f>
        <v>44965</v>
      </c>
      <c r="G1391" s="4">
        <f t="shared" si="163"/>
        <v>2</v>
      </c>
      <c r="H1391" s="4">
        <f t="shared" si="164"/>
        <v>2023</v>
      </c>
      <c r="I1391" s="2" t="s">
        <v>4</v>
      </c>
      <c r="J1391" s="2" t="s">
        <v>2085</v>
      </c>
      <c r="K1391" s="2" t="s">
        <v>609</v>
      </c>
      <c r="L1391" s="2" t="s">
        <v>610</v>
      </c>
      <c r="M1391" s="2" t="s">
        <v>611</v>
      </c>
      <c r="N1391" s="4" t="str">
        <f t="shared" si="165"/>
        <v>GAL</v>
      </c>
      <c r="O1391" s="5">
        <v>180</v>
      </c>
      <c r="S1391" s="32">
        <f t="shared" si="166"/>
        <v>0</v>
      </c>
    </row>
    <row r="1392" spans="2:19" x14ac:dyDescent="0.25">
      <c r="B1392" s="1" t="s">
        <v>645</v>
      </c>
      <c r="C1392" s="2" t="s">
        <v>1025</v>
      </c>
      <c r="D1392" s="2" t="s">
        <v>1401</v>
      </c>
      <c r="E1392" s="2" t="s">
        <v>1402</v>
      </c>
      <c r="F1392" s="3">
        <f>DATE(2023,2,13)</f>
        <v>44970</v>
      </c>
      <c r="G1392" s="4">
        <f t="shared" si="163"/>
        <v>2</v>
      </c>
      <c r="H1392" s="4">
        <f t="shared" si="164"/>
        <v>2023</v>
      </c>
      <c r="I1392" s="2" t="s">
        <v>4</v>
      </c>
      <c r="J1392" s="2" t="s">
        <v>2086</v>
      </c>
      <c r="K1392" s="2" t="s">
        <v>642</v>
      </c>
      <c r="L1392" s="2" t="s">
        <v>111</v>
      </c>
      <c r="M1392" s="2" t="s">
        <v>112</v>
      </c>
      <c r="N1392" s="4" t="str">
        <f t="shared" si="165"/>
        <v>GAL</v>
      </c>
      <c r="O1392" s="5">
        <v>180</v>
      </c>
      <c r="S1392" s="32">
        <f t="shared" si="166"/>
        <v>0</v>
      </c>
    </row>
    <row r="1393" spans="2:19" x14ac:dyDescent="0.25">
      <c r="B1393" s="1" t="s">
        <v>645</v>
      </c>
      <c r="C1393" s="2" t="s">
        <v>1025</v>
      </c>
      <c r="D1393" s="2" t="s">
        <v>1401</v>
      </c>
      <c r="E1393" s="2" t="s">
        <v>1402</v>
      </c>
      <c r="F1393" s="3">
        <f>DATE(2023,2,13)</f>
        <v>44970</v>
      </c>
      <c r="G1393" s="4">
        <f t="shared" si="163"/>
        <v>2</v>
      </c>
      <c r="H1393" s="4">
        <f t="shared" si="164"/>
        <v>2023</v>
      </c>
      <c r="I1393" s="2" t="s">
        <v>4</v>
      </c>
      <c r="J1393" s="2" t="s">
        <v>2086</v>
      </c>
      <c r="K1393" s="2" t="s">
        <v>2081</v>
      </c>
      <c r="L1393" s="2" t="s">
        <v>1405</v>
      </c>
      <c r="M1393" s="2" t="s">
        <v>1397</v>
      </c>
      <c r="N1393" s="4" t="str">
        <f t="shared" si="165"/>
        <v>GAL</v>
      </c>
      <c r="O1393" s="5">
        <v>500</v>
      </c>
      <c r="S1393" s="32">
        <f t="shared" si="166"/>
        <v>0</v>
      </c>
    </row>
    <row r="1394" spans="2:19" x14ac:dyDescent="0.25">
      <c r="B1394" s="1" t="s">
        <v>645</v>
      </c>
      <c r="C1394" s="2" t="s">
        <v>1025</v>
      </c>
      <c r="D1394" s="2" t="s">
        <v>1401</v>
      </c>
      <c r="E1394" s="2" t="s">
        <v>1402</v>
      </c>
      <c r="F1394" s="3">
        <f>DATE(2023,2,13)</f>
        <v>44970</v>
      </c>
      <c r="G1394" s="4">
        <f t="shared" si="163"/>
        <v>2</v>
      </c>
      <c r="H1394" s="4">
        <f t="shared" si="164"/>
        <v>2023</v>
      </c>
      <c r="I1394" s="2" t="s">
        <v>4</v>
      </c>
      <c r="J1394" s="2" t="s">
        <v>2087</v>
      </c>
      <c r="K1394" s="2" t="s">
        <v>2083</v>
      </c>
      <c r="L1394" s="2" t="s">
        <v>2084</v>
      </c>
      <c r="M1394" s="2" t="s">
        <v>119</v>
      </c>
      <c r="N1394" s="4" t="str">
        <f t="shared" si="165"/>
        <v>TON</v>
      </c>
      <c r="O1394" s="5">
        <v>5.0075000000000003</v>
      </c>
      <c r="S1394" s="32">
        <f t="shared" si="166"/>
        <v>0</v>
      </c>
    </row>
    <row r="1395" spans="2:19" x14ac:dyDescent="0.25">
      <c r="B1395" s="1" t="s">
        <v>645</v>
      </c>
      <c r="C1395" s="2" t="s">
        <v>1025</v>
      </c>
      <c r="D1395" s="2" t="s">
        <v>1401</v>
      </c>
      <c r="E1395" s="2" t="s">
        <v>1402</v>
      </c>
      <c r="F1395" s="3">
        <f>DATE(2023,2,20)</f>
        <v>44977</v>
      </c>
      <c r="G1395" s="4">
        <f t="shared" si="163"/>
        <v>2</v>
      </c>
      <c r="H1395" s="4">
        <f t="shared" si="164"/>
        <v>2023</v>
      </c>
      <c r="I1395" s="2" t="s">
        <v>4</v>
      </c>
      <c r="J1395" s="2" t="s">
        <v>2088</v>
      </c>
      <c r="K1395" s="2" t="s">
        <v>2083</v>
      </c>
      <c r="L1395" s="2" t="s">
        <v>2084</v>
      </c>
      <c r="M1395" s="2" t="s">
        <v>119</v>
      </c>
      <c r="N1395" s="4" t="str">
        <f t="shared" si="165"/>
        <v>TON</v>
      </c>
      <c r="O1395" s="5">
        <v>5.0175000000000001</v>
      </c>
      <c r="S1395" s="32">
        <f t="shared" si="166"/>
        <v>0</v>
      </c>
    </row>
    <row r="1396" spans="2:19" x14ac:dyDescent="0.25">
      <c r="B1396" s="1" t="s">
        <v>645</v>
      </c>
      <c r="C1396" s="2" t="s">
        <v>1025</v>
      </c>
      <c r="D1396" s="2" t="s">
        <v>1401</v>
      </c>
      <c r="E1396" s="2" t="s">
        <v>1402</v>
      </c>
      <c r="F1396" s="3">
        <f>DATE(2023,2,21)</f>
        <v>44978</v>
      </c>
      <c r="G1396" s="4">
        <f t="shared" si="163"/>
        <v>2</v>
      </c>
      <c r="H1396" s="4">
        <f t="shared" si="164"/>
        <v>2023</v>
      </c>
      <c r="I1396" s="2" t="s">
        <v>4</v>
      </c>
      <c r="J1396" s="2" t="s">
        <v>2089</v>
      </c>
      <c r="K1396" s="2" t="s">
        <v>2081</v>
      </c>
      <c r="L1396" s="2" t="s">
        <v>1405</v>
      </c>
      <c r="M1396" s="2" t="s">
        <v>1397</v>
      </c>
      <c r="N1396" s="4" t="str">
        <f t="shared" si="165"/>
        <v>GAL</v>
      </c>
      <c r="O1396" s="5">
        <v>500</v>
      </c>
      <c r="S1396" s="32">
        <f t="shared" si="166"/>
        <v>0</v>
      </c>
    </row>
    <row r="1397" spans="2:19" x14ac:dyDescent="0.25">
      <c r="B1397" s="1" t="s">
        <v>645</v>
      </c>
      <c r="C1397" s="2" t="s">
        <v>1025</v>
      </c>
      <c r="D1397" s="2" t="s">
        <v>2079</v>
      </c>
      <c r="E1397" s="2" t="s">
        <v>1402</v>
      </c>
      <c r="F1397" s="3">
        <f>DATE(2023,2,21)</f>
        <v>44978</v>
      </c>
      <c r="G1397" s="4">
        <f t="shared" si="163"/>
        <v>2</v>
      </c>
      <c r="H1397" s="4">
        <f t="shared" si="164"/>
        <v>2023</v>
      </c>
      <c r="I1397" s="2" t="s">
        <v>4</v>
      </c>
      <c r="J1397" s="2" t="s">
        <v>2090</v>
      </c>
      <c r="K1397" s="2" t="s">
        <v>2081</v>
      </c>
      <c r="L1397" s="2" t="s">
        <v>1405</v>
      </c>
      <c r="M1397" s="2" t="s">
        <v>1397</v>
      </c>
      <c r="N1397" s="4" t="str">
        <f t="shared" si="165"/>
        <v>GAL</v>
      </c>
      <c r="O1397" s="5">
        <v>500</v>
      </c>
      <c r="S1397" s="32">
        <f t="shared" si="166"/>
        <v>0</v>
      </c>
    </row>
    <row r="1398" spans="2:19" x14ac:dyDescent="0.25">
      <c r="B1398" s="1" t="s">
        <v>645</v>
      </c>
      <c r="C1398" s="2" t="s">
        <v>1025</v>
      </c>
      <c r="D1398" s="2" t="s">
        <v>2079</v>
      </c>
      <c r="E1398" s="2" t="s">
        <v>1402</v>
      </c>
      <c r="F1398" s="3">
        <f>DATE(2023,2,21)</f>
        <v>44978</v>
      </c>
      <c r="G1398" s="4">
        <f t="shared" si="163"/>
        <v>2</v>
      </c>
      <c r="H1398" s="4">
        <f t="shared" si="164"/>
        <v>2023</v>
      </c>
      <c r="I1398" s="2" t="s">
        <v>4</v>
      </c>
      <c r="J1398" s="2" t="s">
        <v>2090</v>
      </c>
      <c r="K1398" s="2" t="s">
        <v>1404</v>
      </c>
      <c r="L1398" s="2" t="s">
        <v>1405</v>
      </c>
      <c r="M1398" s="2" t="s">
        <v>1397</v>
      </c>
      <c r="N1398" s="4" t="str">
        <f t="shared" si="165"/>
        <v>GAL</v>
      </c>
      <c r="O1398" s="5">
        <v>480</v>
      </c>
      <c r="S1398" s="32">
        <f t="shared" si="166"/>
        <v>0</v>
      </c>
    </row>
    <row r="1399" spans="2:19" x14ac:dyDescent="0.25">
      <c r="B1399" s="1" t="s">
        <v>1742</v>
      </c>
      <c r="C1399" s="2" t="s">
        <v>1025</v>
      </c>
      <c r="D1399" s="2" t="s">
        <v>1026</v>
      </c>
      <c r="E1399" s="2" t="s">
        <v>102</v>
      </c>
      <c r="F1399" s="3">
        <f>DATE(2023,2,23)</f>
        <v>44980</v>
      </c>
      <c r="G1399" s="4">
        <f t="shared" si="163"/>
        <v>2</v>
      </c>
      <c r="H1399" s="4">
        <f t="shared" si="164"/>
        <v>2023</v>
      </c>
      <c r="I1399" s="2" t="s">
        <v>4</v>
      </c>
      <c r="J1399" s="2" t="s">
        <v>2091</v>
      </c>
      <c r="K1399" s="2" t="s">
        <v>1028</v>
      </c>
      <c r="L1399" s="2" t="s">
        <v>1029</v>
      </c>
      <c r="M1399" s="2" t="s">
        <v>106</v>
      </c>
      <c r="N1399" s="4" t="str">
        <f t="shared" si="165"/>
        <v>LBS</v>
      </c>
      <c r="O1399" s="5">
        <v>25360</v>
      </c>
      <c r="S1399" s="32">
        <f t="shared" si="166"/>
        <v>0</v>
      </c>
    </row>
    <row r="1400" spans="2:19" x14ac:dyDescent="0.25">
      <c r="B1400" s="1" t="s">
        <v>645</v>
      </c>
      <c r="C1400" s="2" t="s">
        <v>1025</v>
      </c>
      <c r="D1400" s="2" t="s">
        <v>2092</v>
      </c>
      <c r="E1400" s="2" t="s">
        <v>2093</v>
      </c>
      <c r="F1400" s="3">
        <f>DATE(2023,2,23)</f>
        <v>44980</v>
      </c>
      <c r="G1400" s="4">
        <f t="shared" si="163"/>
        <v>2</v>
      </c>
      <c r="H1400" s="4">
        <f t="shared" si="164"/>
        <v>2023</v>
      </c>
      <c r="I1400" s="2" t="s">
        <v>4</v>
      </c>
      <c r="J1400" s="2" t="s">
        <v>2094</v>
      </c>
      <c r="K1400" s="2" t="s">
        <v>2095</v>
      </c>
      <c r="L1400" s="2" t="s">
        <v>2096</v>
      </c>
      <c r="M1400" s="2" t="s">
        <v>119</v>
      </c>
      <c r="N1400" s="4" t="str">
        <f t="shared" si="165"/>
        <v>TON</v>
      </c>
      <c r="O1400" s="5">
        <v>15.0075</v>
      </c>
      <c r="S1400" s="32">
        <f t="shared" si="166"/>
        <v>0</v>
      </c>
    </row>
    <row r="1401" spans="2:19" x14ac:dyDescent="0.25">
      <c r="B1401" s="1" t="s">
        <v>1410</v>
      </c>
      <c r="C1401" s="2" t="s">
        <v>525</v>
      </c>
      <c r="D1401" s="2" t="s">
        <v>507</v>
      </c>
      <c r="E1401" s="2" t="s">
        <v>508</v>
      </c>
      <c r="F1401" s="3">
        <f>DATE(2023,2,2)</f>
        <v>44959</v>
      </c>
      <c r="G1401" s="4">
        <f t="shared" si="163"/>
        <v>2</v>
      </c>
      <c r="H1401" s="4">
        <f t="shared" si="164"/>
        <v>2023</v>
      </c>
      <c r="I1401" s="2" t="s">
        <v>4</v>
      </c>
      <c r="J1401" s="2" t="s">
        <v>2097</v>
      </c>
      <c r="K1401" s="2" t="s">
        <v>2098</v>
      </c>
      <c r="L1401" s="2" t="s">
        <v>2099</v>
      </c>
      <c r="M1401" s="2" t="s">
        <v>2100</v>
      </c>
      <c r="N1401" s="4" t="str">
        <f t="shared" si="165"/>
        <v>GAL</v>
      </c>
      <c r="O1401" s="5">
        <v>90</v>
      </c>
      <c r="S1401" s="32">
        <f t="shared" si="166"/>
        <v>0</v>
      </c>
    </row>
    <row r="1402" spans="2:19" x14ac:dyDescent="0.25">
      <c r="B1402" s="1" t="s">
        <v>1410</v>
      </c>
      <c r="C1402" s="2" t="s">
        <v>525</v>
      </c>
      <c r="D1402" s="2" t="s">
        <v>507</v>
      </c>
      <c r="E1402" s="2" t="s">
        <v>141</v>
      </c>
      <c r="F1402" s="3">
        <f>DATE(2023,2,2)</f>
        <v>44959</v>
      </c>
      <c r="G1402" s="4">
        <f t="shared" si="163"/>
        <v>2</v>
      </c>
      <c r="H1402" s="4">
        <f t="shared" si="164"/>
        <v>2023</v>
      </c>
      <c r="I1402" s="2" t="s">
        <v>4</v>
      </c>
      <c r="J1402" s="2" t="s">
        <v>2101</v>
      </c>
      <c r="K1402" s="2" t="s">
        <v>244</v>
      </c>
      <c r="L1402" s="2" t="s">
        <v>182</v>
      </c>
      <c r="M1402" s="2" t="s">
        <v>183</v>
      </c>
      <c r="N1402" s="4" t="str">
        <f t="shared" si="165"/>
        <v>GAL</v>
      </c>
      <c r="O1402" s="5">
        <v>500</v>
      </c>
      <c r="S1402" s="32">
        <f t="shared" si="166"/>
        <v>0</v>
      </c>
    </row>
    <row r="1403" spans="2:19" x14ac:dyDescent="0.25">
      <c r="B1403" s="1" t="s">
        <v>1410</v>
      </c>
      <c r="C1403" s="2" t="s">
        <v>525</v>
      </c>
      <c r="D1403" s="2" t="s">
        <v>628</v>
      </c>
      <c r="E1403" s="2" t="s">
        <v>1036</v>
      </c>
      <c r="F1403" s="3">
        <f>DATE(2023,2,3)</f>
        <v>44960</v>
      </c>
      <c r="G1403" s="4">
        <f t="shared" si="163"/>
        <v>2</v>
      </c>
      <c r="H1403" s="4">
        <f t="shared" si="164"/>
        <v>2023</v>
      </c>
      <c r="I1403" s="2" t="s">
        <v>4</v>
      </c>
      <c r="J1403" s="2" t="s">
        <v>2102</v>
      </c>
      <c r="K1403" s="2" t="s">
        <v>189</v>
      </c>
      <c r="L1403" s="2" t="s">
        <v>190</v>
      </c>
      <c r="M1403" s="2" t="s">
        <v>191</v>
      </c>
      <c r="N1403" s="4" t="str">
        <f t="shared" si="165"/>
        <v>GAL</v>
      </c>
      <c r="O1403" s="5">
        <v>180</v>
      </c>
      <c r="S1403" s="32">
        <f t="shared" si="166"/>
        <v>0</v>
      </c>
    </row>
    <row r="1404" spans="2:19" x14ac:dyDescent="0.25">
      <c r="B1404" s="1" t="s">
        <v>1410</v>
      </c>
      <c r="C1404" s="2" t="s">
        <v>525</v>
      </c>
      <c r="D1404" s="2" t="s">
        <v>628</v>
      </c>
      <c r="E1404" s="2" t="s">
        <v>1036</v>
      </c>
      <c r="F1404" s="3">
        <f>DATE(2023,2,3)</f>
        <v>44960</v>
      </c>
      <c r="G1404" s="4">
        <f t="shared" si="163"/>
        <v>2</v>
      </c>
      <c r="H1404" s="4">
        <f t="shared" si="164"/>
        <v>2023</v>
      </c>
      <c r="I1404" s="2" t="s">
        <v>4</v>
      </c>
      <c r="J1404" s="2" t="s">
        <v>2103</v>
      </c>
      <c r="K1404" s="2" t="s">
        <v>158</v>
      </c>
      <c r="L1404" s="2" t="s">
        <v>159</v>
      </c>
      <c r="M1404" s="2" t="s">
        <v>160</v>
      </c>
      <c r="N1404" s="4" t="str">
        <f t="shared" si="165"/>
        <v>GAL</v>
      </c>
      <c r="O1404" s="5">
        <v>180</v>
      </c>
      <c r="S1404" s="32">
        <f t="shared" si="166"/>
        <v>0</v>
      </c>
    </row>
    <row r="1405" spans="2:19" x14ac:dyDescent="0.25">
      <c r="B1405" s="1" t="s">
        <v>1410</v>
      </c>
      <c r="C1405" s="2" t="s">
        <v>525</v>
      </c>
      <c r="D1405" s="2" t="s">
        <v>646</v>
      </c>
      <c r="E1405" s="2" t="s">
        <v>647</v>
      </c>
      <c r="F1405" s="3">
        <f>DATE(2023,2,9)</f>
        <v>44966</v>
      </c>
      <c r="G1405" s="4">
        <f t="shared" si="163"/>
        <v>2</v>
      </c>
      <c r="H1405" s="4">
        <f t="shared" si="164"/>
        <v>2023</v>
      </c>
      <c r="I1405" s="2" t="s">
        <v>4</v>
      </c>
      <c r="J1405" s="2" t="s">
        <v>2104</v>
      </c>
      <c r="K1405" s="2" t="s">
        <v>649</v>
      </c>
      <c r="L1405" s="2" t="s">
        <v>538</v>
      </c>
      <c r="M1405" s="2" t="s">
        <v>539</v>
      </c>
      <c r="N1405" s="4" t="str">
        <f t="shared" si="165"/>
        <v>GAL</v>
      </c>
      <c r="O1405" s="5">
        <v>1000</v>
      </c>
      <c r="S1405" s="32">
        <f t="shared" si="166"/>
        <v>0</v>
      </c>
    </row>
    <row r="1406" spans="2:19" x14ac:dyDescent="0.25">
      <c r="B1406" s="1" t="s">
        <v>1410</v>
      </c>
      <c r="C1406" s="2" t="s">
        <v>525</v>
      </c>
      <c r="D1406" s="2" t="s">
        <v>124</v>
      </c>
      <c r="E1406" s="2" t="s">
        <v>526</v>
      </c>
      <c r="F1406" s="3">
        <f>DATE(2023,2,10)</f>
        <v>44967</v>
      </c>
      <c r="G1406" s="4">
        <f t="shared" si="163"/>
        <v>2</v>
      </c>
      <c r="H1406" s="4">
        <f t="shared" si="164"/>
        <v>2023</v>
      </c>
      <c r="I1406" s="2" t="s">
        <v>4</v>
      </c>
      <c r="J1406" s="2" t="s">
        <v>2105</v>
      </c>
      <c r="K1406" s="2" t="s">
        <v>531</v>
      </c>
      <c r="L1406" s="2" t="s">
        <v>201</v>
      </c>
      <c r="M1406" s="2" t="s">
        <v>202</v>
      </c>
      <c r="N1406" s="4" t="str">
        <f t="shared" si="165"/>
        <v>GAL</v>
      </c>
      <c r="O1406" s="5">
        <v>30</v>
      </c>
      <c r="S1406" s="32">
        <f t="shared" si="166"/>
        <v>0</v>
      </c>
    </row>
    <row r="1407" spans="2:19" x14ac:dyDescent="0.25">
      <c r="B1407" s="1" t="s">
        <v>1410</v>
      </c>
      <c r="C1407" s="2" t="s">
        <v>525</v>
      </c>
      <c r="D1407" s="2" t="s">
        <v>628</v>
      </c>
      <c r="E1407" s="2" t="s">
        <v>1036</v>
      </c>
      <c r="F1407" s="3">
        <f>DATE(2023,2,13)</f>
        <v>44970</v>
      </c>
      <c r="G1407" s="4">
        <f t="shared" si="163"/>
        <v>2</v>
      </c>
      <c r="H1407" s="4">
        <f t="shared" si="164"/>
        <v>2023</v>
      </c>
      <c r="I1407" s="2" t="s">
        <v>4</v>
      </c>
      <c r="J1407" s="2" t="s">
        <v>2106</v>
      </c>
      <c r="K1407" s="2" t="s">
        <v>25</v>
      </c>
      <c r="L1407" s="2" t="s">
        <v>541</v>
      </c>
      <c r="M1407" s="2" t="s">
        <v>27</v>
      </c>
      <c r="N1407" s="4" t="str">
        <f t="shared" si="165"/>
        <v>GAL</v>
      </c>
      <c r="O1407" s="5">
        <v>180</v>
      </c>
      <c r="S1407" s="32">
        <f t="shared" si="166"/>
        <v>0</v>
      </c>
    </row>
    <row r="1408" spans="2:19" x14ac:dyDescent="0.25">
      <c r="B1408" s="1" t="s">
        <v>1410</v>
      </c>
      <c r="C1408" s="2" t="s">
        <v>525</v>
      </c>
      <c r="D1408" s="2" t="s">
        <v>628</v>
      </c>
      <c r="E1408" s="2" t="s">
        <v>1036</v>
      </c>
      <c r="F1408" s="3">
        <f>DATE(2023,2,13)</f>
        <v>44970</v>
      </c>
      <c r="G1408" s="4">
        <f t="shared" si="163"/>
        <v>2</v>
      </c>
      <c r="H1408" s="4">
        <f t="shared" si="164"/>
        <v>2023</v>
      </c>
      <c r="I1408" s="2" t="s">
        <v>4</v>
      </c>
      <c r="J1408" s="2" t="s">
        <v>2106</v>
      </c>
      <c r="K1408" s="2" t="s">
        <v>531</v>
      </c>
      <c r="L1408" s="2" t="s">
        <v>201</v>
      </c>
      <c r="M1408" s="2" t="s">
        <v>202</v>
      </c>
      <c r="N1408" s="4" t="str">
        <f t="shared" si="165"/>
        <v>GAL</v>
      </c>
      <c r="O1408" s="5">
        <v>300</v>
      </c>
      <c r="S1408" s="32">
        <f t="shared" si="166"/>
        <v>0</v>
      </c>
    </row>
    <row r="1409" spans="2:19" x14ac:dyDescent="0.25">
      <c r="B1409" s="1" t="s">
        <v>1410</v>
      </c>
      <c r="C1409" s="2" t="s">
        <v>525</v>
      </c>
      <c r="D1409" s="2" t="s">
        <v>507</v>
      </c>
      <c r="E1409" s="2" t="s">
        <v>508</v>
      </c>
      <c r="F1409" s="3">
        <f>DATE(2023,2,16)</f>
        <v>44973</v>
      </c>
      <c r="G1409" s="4">
        <f t="shared" si="163"/>
        <v>2</v>
      </c>
      <c r="H1409" s="4">
        <f t="shared" si="164"/>
        <v>2023</v>
      </c>
      <c r="I1409" s="2" t="s">
        <v>4</v>
      </c>
      <c r="J1409" s="2" t="s">
        <v>2107</v>
      </c>
      <c r="K1409" s="2" t="s">
        <v>329</v>
      </c>
      <c r="L1409" s="2" t="s">
        <v>330</v>
      </c>
      <c r="M1409" s="2" t="s">
        <v>119</v>
      </c>
      <c r="N1409" s="4" t="str">
        <f t="shared" si="165"/>
        <v>TON</v>
      </c>
      <c r="O1409" s="5">
        <v>3.7574999999999998</v>
      </c>
      <c r="S1409" s="32">
        <f t="shared" si="166"/>
        <v>0</v>
      </c>
    </row>
    <row r="1410" spans="2:19" x14ac:dyDescent="0.25">
      <c r="B1410" s="1" t="s">
        <v>1410</v>
      </c>
      <c r="C1410" s="2" t="s">
        <v>525</v>
      </c>
      <c r="D1410" s="2" t="s">
        <v>646</v>
      </c>
      <c r="E1410" s="2" t="s">
        <v>647</v>
      </c>
      <c r="F1410" s="3">
        <f>DATE(2023,2,22)</f>
        <v>44979</v>
      </c>
      <c r="G1410" s="4">
        <f t="shared" si="163"/>
        <v>2</v>
      </c>
      <c r="H1410" s="4">
        <f t="shared" si="164"/>
        <v>2023</v>
      </c>
      <c r="I1410" s="2" t="s">
        <v>4</v>
      </c>
      <c r="J1410" s="2" t="s">
        <v>2108</v>
      </c>
      <c r="K1410" s="2" t="s">
        <v>137</v>
      </c>
      <c r="L1410" s="2" t="s">
        <v>1190</v>
      </c>
      <c r="M1410" s="2" t="s">
        <v>139</v>
      </c>
      <c r="N1410" s="4" t="str">
        <f t="shared" si="165"/>
        <v>GAL</v>
      </c>
      <c r="O1410" s="5">
        <v>180</v>
      </c>
      <c r="S1410" s="32">
        <f t="shared" si="166"/>
        <v>0</v>
      </c>
    </row>
    <row r="1411" spans="2:19" x14ac:dyDescent="0.25">
      <c r="B1411" s="1" t="s">
        <v>1410</v>
      </c>
      <c r="C1411" s="2" t="s">
        <v>525</v>
      </c>
      <c r="D1411" s="2" t="s">
        <v>646</v>
      </c>
      <c r="E1411" s="2" t="s">
        <v>647</v>
      </c>
      <c r="F1411" s="3">
        <f>DATE(2023,2,22)</f>
        <v>44979</v>
      </c>
      <c r="G1411" s="4">
        <f t="shared" ref="G1411:G1474" si="168">+MONTH(F1411)</f>
        <v>2</v>
      </c>
      <c r="H1411" s="4">
        <f t="shared" ref="H1411:H1474" si="169">+YEAR(F1411)</f>
        <v>2023</v>
      </c>
      <c r="I1411" s="2" t="s">
        <v>4</v>
      </c>
      <c r="J1411" s="2" t="s">
        <v>2109</v>
      </c>
      <c r="K1411" s="2" t="s">
        <v>649</v>
      </c>
      <c r="L1411" s="2" t="s">
        <v>538</v>
      </c>
      <c r="M1411" s="2" t="s">
        <v>539</v>
      </c>
      <c r="N1411" s="4" t="str">
        <f t="shared" ref="N1411:N1474" si="170">+LEFT(M1411,3)</f>
        <v>GAL</v>
      </c>
      <c r="O1411" s="5">
        <v>500</v>
      </c>
      <c r="S1411" s="32">
        <f t="shared" si="166"/>
        <v>0</v>
      </c>
    </row>
    <row r="1412" spans="2:19" x14ac:dyDescent="0.25">
      <c r="B1412" s="1" t="s">
        <v>1410</v>
      </c>
      <c r="C1412" s="2" t="s">
        <v>525</v>
      </c>
      <c r="D1412" s="2" t="s">
        <v>646</v>
      </c>
      <c r="E1412" s="2" t="s">
        <v>647</v>
      </c>
      <c r="F1412" s="3">
        <f>DATE(2023,2,22)</f>
        <v>44979</v>
      </c>
      <c r="G1412" s="4">
        <f t="shared" si="168"/>
        <v>2</v>
      </c>
      <c r="H1412" s="4">
        <f t="shared" si="169"/>
        <v>2023</v>
      </c>
      <c r="I1412" s="2" t="s">
        <v>4</v>
      </c>
      <c r="J1412" s="2" t="s">
        <v>2109</v>
      </c>
      <c r="K1412" s="2" t="s">
        <v>158</v>
      </c>
      <c r="L1412" s="2" t="s">
        <v>159</v>
      </c>
      <c r="M1412" s="2" t="s">
        <v>160</v>
      </c>
      <c r="N1412" s="4" t="str">
        <f t="shared" si="170"/>
        <v>GAL</v>
      </c>
      <c r="O1412" s="5">
        <v>180</v>
      </c>
      <c r="S1412" s="32">
        <f t="shared" ref="S1412:S1475" si="171">SUMIF($R$3:$R$885, $R1412, $O$3:$O$885)</f>
        <v>0</v>
      </c>
    </row>
    <row r="1413" spans="2:19" x14ac:dyDescent="0.25">
      <c r="B1413" s="1" t="s">
        <v>1410</v>
      </c>
      <c r="C1413" s="2" t="s">
        <v>525</v>
      </c>
      <c r="D1413" s="2" t="s">
        <v>507</v>
      </c>
      <c r="E1413" s="2" t="s">
        <v>508</v>
      </c>
      <c r="F1413" s="3">
        <f>DATE(2023,2,24)</f>
        <v>44981</v>
      </c>
      <c r="G1413" s="4">
        <f t="shared" si="168"/>
        <v>2</v>
      </c>
      <c r="H1413" s="4">
        <f t="shared" si="169"/>
        <v>2023</v>
      </c>
      <c r="I1413" s="2" t="s">
        <v>4</v>
      </c>
      <c r="J1413" s="2" t="s">
        <v>2110</v>
      </c>
      <c r="K1413" s="2" t="s">
        <v>513</v>
      </c>
      <c r="L1413" s="2" t="s">
        <v>514</v>
      </c>
      <c r="M1413" s="2" t="s">
        <v>119</v>
      </c>
      <c r="N1413" s="4" t="str">
        <f t="shared" si="170"/>
        <v>TON</v>
      </c>
      <c r="O1413" s="5">
        <v>1.25</v>
      </c>
      <c r="S1413" s="32">
        <f t="shared" si="171"/>
        <v>0</v>
      </c>
    </row>
    <row r="1414" spans="2:19" x14ac:dyDescent="0.25">
      <c r="B1414" s="1" t="s">
        <v>1410</v>
      </c>
      <c r="C1414" s="2" t="s">
        <v>525</v>
      </c>
      <c r="D1414" s="2" t="s">
        <v>507</v>
      </c>
      <c r="E1414" s="2" t="s">
        <v>508</v>
      </c>
      <c r="F1414" s="3">
        <f>DATE(2023,2,24)</f>
        <v>44981</v>
      </c>
      <c r="G1414" s="4">
        <f t="shared" si="168"/>
        <v>2</v>
      </c>
      <c r="H1414" s="4">
        <f t="shared" si="169"/>
        <v>2023</v>
      </c>
      <c r="I1414" s="2" t="s">
        <v>4</v>
      </c>
      <c r="J1414" s="2" t="s">
        <v>2111</v>
      </c>
      <c r="K1414" s="2" t="s">
        <v>25</v>
      </c>
      <c r="L1414" s="2" t="s">
        <v>541</v>
      </c>
      <c r="M1414" s="2" t="s">
        <v>27</v>
      </c>
      <c r="N1414" s="4" t="str">
        <f t="shared" si="170"/>
        <v>GAL</v>
      </c>
      <c r="O1414" s="5">
        <v>720</v>
      </c>
      <c r="S1414" s="32">
        <f t="shared" si="171"/>
        <v>0</v>
      </c>
    </row>
    <row r="1415" spans="2:19" x14ac:dyDescent="0.25">
      <c r="B1415" s="1" t="s">
        <v>1410</v>
      </c>
      <c r="C1415" s="2" t="s">
        <v>525</v>
      </c>
      <c r="D1415" s="2" t="s">
        <v>124</v>
      </c>
      <c r="E1415" s="2" t="s">
        <v>526</v>
      </c>
      <c r="F1415" s="3">
        <f>DATE(2023,2,24)</f>
        <v>44981</v>
      </c>
      <c r="G1415" s="4">
        <f t="shared" si="168"/>
        <v>2</v>
      </c>
      <c r="H1415" s="4">
        <f t="shared" si="169"/>
        <v>2023</v>
      </c>
      <c r="I1415" s="2" t="s">
        <v>4</v>
      </c>
      <c r="J1415" s="2" t="s">
        <v>2112</v>
      </c>
      <c r="K1415" s="2" t="s">
        <v>2113</v>
      </c>
      <c r="L1415" s="2" t="s">
        <v>2114</v>
      </c>
      <c r="M1415" s="2" t="s">
        <v>119</v>
      </c>
      <c r="N1415" s="4" t="str">
        <f t="shared" si="170"/>
        <v>TON</v>
      </c>
      <c r="O1415" s="5">
        <v>12.01</v>
      </c>
      <c r="S1415" s="32">
        <f t="shared" si="171"/>
        <v>0</v>
      </c>
    </row>
    <row r="1416" spans="2:19" x14ac:dyDescent="0.25">
      <c r="B1416" s="1" t="s">
        <v>1410</v>
      </c>
      <c r="C1416" s="2" t="s">
        <v>525</v>
      </c>
      <c r="D1416" s="2" t="s">
        <v>628</v>
      </c>
      <c r="E1416" s="2" t="s">
        <v>1036</v>
      </c>
      <c r="F1416" s="3">
        <f>DATE(2023,2,27)</f>
        <v>44984</v>
      </c>
      <c r="G1416" s="4">
        <f t="shared" si="168"/>
        <v>2</v>
      </c>
      <c r="H1416" s="4">
        <f t="shared" si="169"/>
        <v>2023</v>
      </c>
      <c r="I1416" s="2" t="s">
        <v>4</v>
      </c>
      <c r="J1416" s="2" t="s">
        <v>2115</v>
      </c>
      <c r="K1416" s="2" t="s">
        <v>25</v>
      </c>
      <c r="L1416" s="2" t="s">
        <v>541</v>
      </c>
      <c r="M1416" s="2" t="s">
        <v>27</v>
      </c>
      <c r="N1416" s="4" t="str">
        <f t="shared" si="170"/>
        <v>GAL</v>
      </c>
      <c r="O1416" s="5">
        <v>180</v>
      </c>
      <c r="S1416" s="32">
        <f t="shared" si="171"/>
        <v>0</v>
      </c>
    </row>
    <row r="1417" spans="2:19" x14ac:dyDescent="0.25">
      <c r="B1417" s="1" t="s">
        <v>1410</v>
      </c>
      <c r="C1417" s="2" t="s">
        <v>525</v>
      </c>
      <c r="D1417" s="2" t="s">
        <v>628</v>
      </c>
      <c r="E1417" s="2" t="s">
        <v>1036</v>
      </c>
      <c r="F1417" s="3">
        <f>DATE(2023,2,27)</f>
        <v>44984</v>
      </c>
      <c r="G1417" s="4">
        <f t="shared" si="168"/>
        <v>2</v>
      </c>
      <c r="H1417" s="4">
        <f t="shared" si="169"/>
        <v>2023</v>
      </c>
      <c r="I1417" s="2" t="s">
        <v>4</v>
      </c>
      <c r="J1417" s="2" t="s">
        <v>2116</v>
      </c>
      <c r="K1417" s="2" t="s">
        <v>609</v>
      </c>
      <c r="L1417" s="2" t="s">
        <v>610</v>
      </c>
      <c r="M1417" s="2" t="s">
        <v>611</v>
      </c>
      <c r="N1417" s="4" t="str">
        <f t="shared" si="170"/>
        <v>GAL</v>
      </c>
      <c r="O1417" s="5">
        <v>180</v>
      </c>
      <c r="S1417" s="32">
        <f t="shared" si="171"/>
        <v>0</v>
      </c>
    </row>
    <row r="1418" spans="2:19" x14ac:dyDescent="0.25">
      <c r="B1418" s="1" t="s">
        <v>1050</v>
      </c>
      <c r="C1418" s="2" t="s">
        <v>533</v>
      </c>
      <c r="D1418" s="2" t="s">
        <v>562</v>
      </c>
      <c r="E1418" s="2" t="s">
        <v>563</v>
      </c>
      <c r="F1418" s="3">
        <f>DATE(2023,2,2)</f>
        <v>44959</v>
      </c>
      <c r="G1418" s="4">
        <f t="shared" si="168"/>
        <v>2</v>
      </c>
      <c r="H1418" s="4">
        <f t="shared" si="169"/>
        <v>2023</v>
      </c>
      <c r="I1418" s="2" t="s">
        <v>4</v>
      </c>
      <c r="J1418" s="2" t="s">
        <v>2117</v>
      </c>
      <c r="K1418" s="2" t="s">
        <v>19</v>
      </c>
      <c r="L1418" s="2" t="s">
        <v>565</v>
      </c>
      <c r="M1418" s="2" t="s">
        <v>21</v>
      </c>
      <c r="N1418" s="4" t="str">
        <f t="shared" si="170"/>
        <v>GAL</v>
      </c>
      <c r="O1418" s="5">
        <v>180</v>
      </c>
      <c r="S1418" s="32">
        <f t="shared" si="171"/>
        <v>0</v>
      </c>
    </row>
    <row r="1419" spans="2:19" x14ac:dyDescent="0.25">
      <c r="B1419" s="1" t="s">
        <v>1050</v>
      </c>
      <c r="C1419" s="2" t="s">
        <v>533</v>
      </c>
      <c r="D1419" s="2" t="s">
        <v>562</v>
      </c>
      <c r="E1419" s="2" t="s">
        <v>563</v>
      </c>
      <c r="F1419" s="3">
        <f>DATE(2023,2,2)</f>
        <v>44959</v>
      </c>
      <c r="G1419" s="4">
        <f t="shared" si="168"/>
        <v>2</v>
      </c>
      <c r="H1419" s="4">
        <f t="shared" si="169"/>
        <v>2023</v>
      </c>
      <c r="I1419" s="2" t="s">
        <v>4</v>
      </c>
      <c r="J1419" s="2" t="s">
        <v>2117</v>
      </c>
      <c r="K1419" s="2" t="s">
        <v>83</v>
      </c>
      <c r="L1419" s="2" t="s">
        <v>518</v>
      </c>
      <c r="M1419" s="2" t="s">
        <v>85</v>
      </c>
      <c r="N1419" s="4" t="str">
        <f t="shared" si="170"/>
        <v>GAL</v>
      </c>
      <c r="O1419" s="5">
        <v>180</v>
      </c>
      <c r="S1419" s="32">
        <f t="shared" si="171"/>
        <v>0</v>
      </c>
    </row>
    <row r="1420" spans="2:19" x14ac:dyDescent="0.25">
      <c r="B1420" s="1" t="s">
        <v>645</v>
      </c>
      <c r="C1420" s="2" t="s">
        <v>533</v>
      </c>
      <c r="D1420" s="2" t="s">
        <v>562</v>
      </c>
      <c r="E1420" s="2" t="s">
        <v>2118</v>
      </c>
      <c r="F1420" s="3">
        <f>DATE(2023,2,6)</f>
        <v>44963</v>
      </c>
      <c r="G1420" s="4">
        <f t="shared" si="168"/>
        <v>2</v>
      </c>
      <c r="H1420" s="4">
        <f t="shared" si="169"/>
        <v>2023</v>
      </c>
      <c r="I1420" s="2" t="s">
        <v>4</v>
      </c>
      <c r="J1420" s="2" t="s">
        <v>2119</v>
      </c>
      <c r="K1420" s="2" t="s">
        <v>19</v>
      </c>
      <c r="L1420" s="2" t="s">
        <v>565</v>
      </c>
      <c r="M1420" s="2" t="s">
        <v>21</v>
      </c>
      <c r="N1420" s="4" t="str">
        <f t="shared" si="170"/>
        <v>GAL</v>
      </c>
      <c r="O1420" s="5">
        <v>360</v>
      </c>
      <c r="S1420" s="32">
        <f t="shared" si="171"/>
        <v>0</v>
      </c>
    </row>
    <row r="1421" spans="2:19" x14ac:dyDescent="0.25">
      <c r="B1421" s="1" t="s">
        <v>645</v>
      </c>
      <c r="C1421" s="2" t="s">
        <v>533</v>
      </c>
      <c r="D1421" s="2" t="s">
        <v>562</v>
      </c>
      <c r="E1421" s="2" t="s">
        <v>2118</v>
      </c>
      <c r="F1421" s="3">
        <f>DATE(2023,2,6)</f>
        <v>44963</v>
      </c>
      <c r="G1421" s="4">
        <f t="shared" si="168"/>
        <v>2</v>
      </c>
      <c r="H1421" s="4">
        <f t="shared" si="169"/>
        <v>2023</v>
      </c>
      <c r="I1421" s="2" t="s">
        <v>4</v>
      </c>
      <c r="J1421" s="2" t="s">
        <v>2119</v>
      </c>
      <c r="K1421" s="2" t="s">
        <v>2120</v>
      </c>
      <c r="L1421" s="2" t="s">
        <v>2121</v>
      </c>
      <c r="M1421" s="2" t="s">
        <v>85</v>
      </c>
      <c r="N1421" s="4" t="str">
        <f t="shared" si="170"/>
        <v>GAL</v>
      </c>
      <c r="O1421" s="5">
        <v>60</v>
      </c>
      <c r="S1421" s="32">
        <f t="shared" si="171"/>
        <v>0</v>
      </c>
    </row>
    <row r="1422" spans="2:19" x14ac:dyDescent="0.25">
      <c r="B1422" s="1" t="s">
        <v>645</v>
      </c>
      <c r="C1422" s="2" t="s">
        <v>533</v>
      </c>
      <c r="D1422" s="2" t="s">
        <v>557</v>
      </c>
      <c r="E1422" s="2" t="s">
        <v>1090</v>
      </c>
      <c r="F1422" s="3">
        <f t="shared" ref="F1422:F1435" si="172">DATE(2023,2,7)</f>
        <v>44964</v>
      </c>
      <c r="G1422" s="4">
        <f t="shared" si="168"/>
        <v>2</v>
      </c>
      <c r="H1422" s="4">
        <f t="shared" si="169"/>
        <v>2023</v>
      </c>
      <c r="I1422" s="2" t="s">
        <v>4</v>
      </c>
      <c r="J1422" s="2" t="s">
        <v>2122</v>
      </c>
      <c r="K1422" s="2" t="s">
        <v>1772</v>
      </c>
      <c r="L1422" s="2" t="s">
        <v>1773</v>
      </c>
      <c r="M1422" s="2" t="s">
        <v>106</v>
      </c>
      <c r="N1422" s="4" t="str">
        <f t="shared" si="170"/>
        <v>LBS</v>
      </c>
      <c r="O1422" s="5">
        <v>12500</v>
      </c>
      <c r="S1422" s="32">
        <f t="shared" si="171"/>
        <v>0</v>
      </c>
    </row>
    <row r="1423" spans="2:19" x14ac:dyDescent="0.25">
      <c r="B1423" s="1" t="s">
        <v>645</v>
      </c>
      <c r="C1423" s="2" t="s">
        <v>533</v>
      </c>
      <c r="D1423" s="2" t="s">
        <v>557</v>
      </c>
      <c r="E1423" s="2" t="s">
        <v>1090</v>
      </c>
      <c r="F1423" s="3">
        <f t="shared" si="172"/>
        <v>44964</v>
      </c>
      <c r="G1423" s="4">
        <f t="shared" si="168"/>
        <v>2</v>
      </c>
      <c r="H1423" s="4">
        <f t="shared" si="169"/>
        <v>2023</v>
      </c>
      <c r="I1423" s="2" t="s">
        <v>4</v>
      </c>
      <c r="J1423" s="2" t="s">
        <v>2122</v>
      </c>
      <c r="K1423" s="2" t="s">
        <v>1774</v>
      </c>
      <c r="L1423" s="2" t="s">
        <v>1773</v>
      </c>
      <c r="M1423" s="2" t="s">
        <v>106</v>
      </c>
      <c r="N1423" s="4" t="str">
        <f t="shared" si="170"/>
        <v>LBS</v>
      </c>
      <c r="O1423" s="5">
        <v>1800</v>
      </c>
      <c r="S1423" s="32">
        <f t="shared" si="171"/>
        <v>0</v>
      </c>
    </row>
    <row r="1424" spans="2:19" x14ac:dyDescent="0.25">
      <c r="B1424" s="1" t="s">
        <v>645</v>
      </c>
      <c r="C1424" s="2" t="s">
        <v>533</v>
      </c>
      <c r="D1424" s="2" t="s">
        <v>557</v>
      </c>
      <c r="E1424" s="2" t="s">
        <v>1090</v>
      </c>
      <c r="F1424" s="3">
        <f t="shared" si="172"/>
        <v>44964</v>
      </c>
      <c r="G1424" s="4">
        <f t="shared" si="168"/>
        <v>2</v>
      </c>
      <c r="H1424" s="4">
        <f t="shared" si="169"/>
        <v>2023</v>
      </c>
      <c r="I1424" s="2" t="s">
        <v>4</v>
      </c>
      <c r="J1424" s="2" t="s">
        <v>2122</v>
      </c>
      <c r="K1424" s="2" t="s">
        <v>2123</v>
      </c>
      <c r="L1424" s="2" t="s">
        <v>2124</v>
      </c>
      <c r="M1424" s="2" t="s">
        <v>106</v>
      </c>
      <c r="N1424" s="4" t="str">
        <f t="shared" si="170"/>
        <v>LBS</v>
      </c>
      <c r="O1424" s="5">
        <v>12600</v>
      </c>
      <c r="S1424" s="32">
        <f t="shared" si="171"/>
        <v>0</v>
      </c>
    </row>
    <row r="1425" spans="2:19" x14ac:dyDescent="0.25">
      <c r="B1425" s="1" t="s">
        <v>645</v>
      </c>
      <c r="C1425" s="2" t="s">
        <v>533</v>
      </c>
      <c r="D1425" s="2" t="s">
        <v>557</v>
      </c>
      <c r="E1425" s="2" t="s">
        <v>1090</v>
      </c>
      <c r="F1425" s="3">
        <f t="shared" si="172"/>
        <v>44964</v>
      </c>
      <c r="G1425" s="4">
        <f t="shared" si="168"/>
        <v>2</v>
      </c>
      <c r="H1425" s="4">
        <f t="shared" si="169"/>
        <v>2023</v>
      </c>
      <c r="I1425" s="2" t="s">
        <v>4</v>
      </c>
      <c r="J1425" s="2" t="s">
        <v>2122</v>
      </c>
      <c r="K1425" s="2" t="s">
        <v>2125</v>
      </c>
      <c r="L1425" s="2" t="s">
        <v>2126</v>
      </c>
      <c r="M1425" s="2" t="s">
        <v>106</v>
      </c>
      <c r="N1425" s="4" t="str">
        <f t="shared" si="170"/>
        <v>LBS</v>
      </c>
      <c r="O1425" s="5">
        <v>7500</v>
      </c>
      <c r="S1425" s="32">
        <f t="shared" si="171"/>
        <v>0</v>
      </c>
    </row>
    <row r="1426" spans="2:19" x14ac:dyDescent="0.25">
      <c r="B1426" s="1" t="s">
        <v>645</v>
      </c>
      <c r="C1426" s="2" t="s">
        <v>533</v>
      </c>
      <c r="D1426" s="2" t="s">
        <v>557</v>
      </c>
      <c r="E1426" s="2" t="s">
        <v>1090</v>
      </c>
      <c r="F1426" s="3">
        <f t="shared" si="172"/>
        <v>44964</v>
      </c>
      <c r="G1426" s="4">
        <f t="shared" si="168"/>
        <v>2</v>
      </c>
      <c r="H1426" s="4">
        <f t="shared" si="169"/>
        <v>2023</v>
      </c>
      <c r="I1426" s="2" t="s">
        <v>4</v>
      </c>
      <c r="J1426" s="2" t="s">
        <v>2122</v>
      </c>
      <c r="K1426" s="2" t="s">
        <v>2127</v>
      </c>
      <c r="L1426" s="2" t="s">
        <v>2126</v>
      </c>
      <c r="M1426" s="2" t="s">
        <v>106</v>
      </c>
      <c r="N1426" s="4" t="str">
        <f t="shared" si="170"/>
        <v>LBS</v>
      </c>
      <c r="O1426" s="5">
        <v>5400</v>
      </c>
      <c r="S1426" s="32">
        <f t="shared" si="171"/>
        <v>0</v>
      </c>
    </row>
    <row r="1427" spans="2:19" x14ac:dyDescent="0.25">
      <c r="B1427" s="1" t="s">
        <v>645</v>
      </c>
      <c r="C1427" s="2" t="s">
        <v>533</v>
      </c>
      <c r="D1427" s="2" t="s">
        <v>557</v>
      </c>
      <c r="E1427" s="2" t="s">
        <v>1090</v>
      </c>
      <c r="F1427" s="3">
        <f t="shared" si="172"/>
        <v>44964</v>
      </c>
      <c r="G1427" s="4">
        <f t="shared" si="168"/>
        <v>2</v>
      </c>
      <c r="H1427" s="4">
        <f t="shared" si="169"/>
        <v>2023</v>
      </c>
      <c r="I1427" s="2" t="s">
        <v>4</v>
      </c>
      <c r="J1427" s="2" t="s">
        <v>2122</v>
      </c>
      <c r="K1427" s="2" t="s">
        <v>2128</v>
      </c>
      <c r="L1427" s="2" t="s">
        <v>2129</v>
      </c>
      <c r="M1427" s="2" t="s">
        <v>106</v>
      </c>
      <c r="N1427" s="4" t="str">
        <f t="shared" si="170"/>
        <v>LBS</v>
      </c>
      <c r="O1427" s="5">
        <v>2500</v>
      </c>
      <c r="S1427" s="32">
        <f t="shared" si="171"/>
        <v>0</v>
      </c>
    </row>
    <row r="1428" spans="2:19" x14ac:dyDescent="0.25">
      <c r="B1428" s="1" t="s">
        <v>645</v>
      </c>
      <c r="C1428" s="2" t="s">
        <v>533</v>
      </c>
      <c r="D1428" s="2" t="s">
        <v>557</v>
      </c>
      <c r="E1428" s="2" t="s">
        <v>1090</v>
      </c>
      <c r="F1428" s="3">
        <f t="shared" si="172"/>
        <v>44964</v>
      </c>
      <c r="G1428" s="4">
        <f t="shared" si="168"/>
        <v>2</v>
      </c>
      <c r="H1428" s="4">
        <f t="shared" si="169"/>
        <v>2023</v>
      </c>
      <c r="I1428" s="2" t="s">
        <v>4</v>
      </c>
      <c r="J1428" s="2" t="s">
        <v>2122</v>
      </c>
      <c r="K1428" s="2" t="s">
        <v>2130</v>
      </c>
      <c r="L1428" s="2" t="s">
        <v>2131</v>
      </c>
      <c r="M1428" s="2" t="s">
        <v>2132</v>
      </c>
      <c r="N1428" s="4" t="str">
        <f t="shared" si="170"/>
        <v>GAL</v>
      </c>
      <c r="O1428" s="5">
        <v>180</v>
      </c>
      <c r="S1428" s="32">
        <f t="shared" si="171"/>
        <v>0</v>
      </c>
    </row>
    <row r="1429" spans="2:19" x14ac:dyDescent="0.25">
      <c r="B1429" s="1" t="s">
        <v>1050</v>
      </c>
      <c r="C1429" s="2" t="s">
        <v>533</v>
      </c>
      <c r="D1429" s="2" t="s">
        <v>2133</v>
      </c>
      <c r="E1429" s="2" t="s">
        <v>2134</v>
      </c>
      <c r="F1429" s="3">
        <f t="shared" si="172"/>
        <v>44964</v>
      </c>
      <c r="G1429" s="4">
        <f t="shared" si="168"/>
        <v>2</v>
      </c>
      <c r="H1429" s="4">
        <f t="shared" si="169"/>
        <v>2023</v>
      </c>
      <c r="I1429" s="2" t="s">
        <v>4</v>
      </c>
      <c r="J1429" s="2" t="s">
        <v>2135</v>
      </c>
      <c r="K1429" s="2" t="s">
        <v>149</v>
      </c>
      <c r="L1429" s="2" t="s">
        <v>150</v>
      </c>
      <c r="M1429" s="2" t="s">
        <v>21</v>
      </c>
      <c r="N1429" s="4" t="str">
        <f t="shared" si="170"/>
        <v>GAL</v>
      </c>
      <c r="O1429" s="5">
        <v>270</v>
      </c>
      <c r="S1429" s="32">
        <f t="shared" si="171"/>
        <v>0</v>
      </c>
    </row>
    <row r="1430" spans="2:19" x14ac:dyDescent="0.25">
      <c r="B1430" s="1" t="s">
        <v>1050</v>
      </c>
      <c r="C1430" s="2" t="s">
        <v>533</v>
      </c>
      <c r="D1430" s="2" t="s">
        <v>2133</v>
      </c>
      <c r="E1430" s="2" t="s">
        <v>2134</v>
      </c>
      <c r="F1430" s="3">
        <f t="shared" si="172"/>
        <v>44964</v>
      </c>
      <c r="G1430" s="4">
        <f t="shared" si="168"/>
        <v>2</v>
      </c>
      <c r="H1430" s="4">
        <f t="shared" si="169"/>
        <v>2023</v>
      </c>
      <c r="I1430" s="2" t="s">
        <v>4</v>
      </c>
      <c r="J1430" s="2" t="s">
        <v>2135</v>
      </c>
      <c r="K1430" s="2" t="s">
        <v>25</v>
      </c>
      <c r="L1430" s="2" t="s">
        <v>541</v>
      </c>
      <c r="M1430" s="2" t="s">
        <v>27</v>
      </c>
      <c r="N1430" s="4" t="str">
        <f t="shared" si="170"/>
        <v>GAL</v>
      </c>
      <c r="O1430" s="5">
        <v>1440</v>
      </c>
      <c r="S1430" s="32">
        <f t="shared" si="171"/>
        <v>0</v>
      </c>
    </row>
    <row r="1431" spans="2:19" x14ac:dyDescent="0.25">
      <c r="B1431" s="1" t="s">
        <v>1050</v>
      </c>
      <c r="C1431" s="2" t="s">
        <v>533</v>
      </c>
      <c r="D1431" s="2" t="s">
        <v>2133</v>
      </c>
      <c r="E1431" s="2" t="s">
        <v>2134</v>
      </c>
      <c r="F1431" s="3">
        <f t="shared" si="172"/>
        <v>44964</v>
      </c>
      <c r="G1431" s="4">
        <f t="shared" si="168"/>
        <v>2</v>
      </c>
      <c r="H1431" s="4">
        <f t="shared" si="169"/>
        <v>2023</v>
      </c>
      <c r="I1431" s="2" t="s">
        <v>4</v>
      </c>
      <c r="J1431" s="2" t="s">
        <v>2135</v>
      </c>
      <c r="K1431" s="2" t="s">
        <v>816</v>
      </c>
      <c r="L1431" s="2" t="s">
        <v>545</v>
      </c>
      <c r="M1431" s="2" t="s">
        <v>67</v>
      </c>
      <c r="N1431" s="4" t="str">
        <f t="shared" si="170"/>
        <v>GAL</v>
      </c>
      <c r="O1431" s="5">
        <v>60</v>
      </c>
      <c r="S1431" s="32">
        <f t="shared" si="171"/>
        <v>0</v>
      </c>
    </row>
    <row r="1432" spans="2:19" x14ac:dyDescent="0.25">
      <c r="B1432" s="1" t="s">
        <v>1050</v>
      </c>
      <c r="C1432" s="2" t="s">
        <v>533</v>
      </c>
      <c r="D1432" s="2" t="s">
        <v>2133</v>
      </c>
      <c r="E1432" s="2" t="s">
        <v>2134</v>
      </c>
      <c r="F1432" s="3">
        <f t="shared" si="172"/>
        <v>44964</v>
      </c>
      <c r="G1432" s="4">
        <f t="shared" si="168"/>
        <v>2</v>
      </c>
      <c r="H1432" s="4">
        <f t="shared" si="169"/>
        <v>2023</v>
      </c>
      <c r="I1432" s="2" t="s">
        <v>4</v>
      </c>
      <c r="J1432" s="2" t="s">
        <v>2135</v>
      </c>
      <c r="K1432" s="2" t="s">
        <v>83</v>
      </c>
      <c r="L1432" s="2" t="s">
        <v>518</v>
      </c>
      <c r="M1432" s="2" t="s">
        <v>85</v>
      </c>
      <c r="N1432" s="4" t="str">
        <f t="shared" si="170"/>
        <v>GAL</v>
      </c>
      <c r="O1432" s="5">
        <v>900</v>
      </c>
      <c r="S1432" s="32">
        <f t="shared" si="171"/>
        <v>0</v>
      </c>
    </row>
    <row r="1433" spans="2:19" x14ac:dyDescent="0.25">
      <c r="B1433" s="1" t="s">
        <v>1050</v>
      </c>
      <c r="C1433" s="2" t="s">
        <v>533</v>
      </c>
      <c r="D1433" s="2" t="s">
        <v>2133</v>
      </c>
      <c r="E1433" s="2" t="s">
        <v>2134</v>
      </c>
      <c r="F1433" s="3">
        <f t="shared" si="172"/>
        <v>44964</v>
      </c>
      <c r="G1433" s="4">
        <f t="shared" si="168"/>
        <v>2</v>
      </c>
      <c r="H1433" s="4">
        <f t="shared" si="169"/>
        <v>2023</v>
      </c>
      <c r="I1433" s="2" t="s">
        <v>4</v>
      </c>
      <c r="J1433" s="2" t="s">
        <v>2135</v>
      </c>
      <c r="K1433" s="2" t="s">
        <v>1786</v>
      </c>
      <c r="L1433" s="2" t="s">
        <v>518</v>
      </c>
      <c r="M1433" s="2" t="s">
        <v>85</v>
      </c>
      <c r="N1433" s="4" t="str">
        <f t="shared" si="170"/>
        <v>GAL</v>
      </c>
      <c r="O1433" s="5">
        <v>220</v>
      </c>
      <c r="S1433" s="32">
        <f t="shared" si="171"/>
        <v>0</v>
      </c>
    </row>
    <row r="1434" spans="2:19" x14ac:dyDescent="0.25">
      <c r="B1434" s="1" t="s">
        <v>1050</v>
      </c>
      <c r="C1434" s="2" t="s">
        <v>533</v>
      </c>
      <c r="D1434" s="2" t="s">
        <v>2133</v>
      </c>
      <c r="E1434" s="2" t="s">
        <v>2134</v>
      </c>
      <c r="F1434" s="3">
        <f t="shared" si="172"/>
        <v>44964</v>
      </c>
      <c r="G1434" s="4">
        <f t="shared" si="168"/>
        <v>2</v>
      </c>
      <c r="H1434" s="4">
        <f t="shared" si="169"/>
        <v>2023</v>
      </c>
      <c r="I1434" s="2" t="s">
        <v>4</v>
      </c>
      <c r="J1434" s="2" t="s">
        <v>2135</v>
      </c>
      <c r="K1434" s="2" t="s">
        <v>1014</v>
      </c>
      <c r="L1434" s="2" t="s">
        <v>472</v>
      </c>
      <c r="M1434" s="2" t="s">
        <v>473</v>
      </c>
      <c r="N1434" s="4" t="str">
        <f t="shared" si="170"/>
        <v>GAL</v>
      </c>
      <c r="O1434" s="5">
        <v>120</v>
      </c>
      <c r="S1434" s="32">
        <f t="shared" si="171"/>
        <v>0</v>
      </c>
    </row>
    <row r="1435" spans="2:19" x14ac:dyDescent="0.25">
      <c r="B1435" s="1" t="s">
        <v>1050</v>
      </c>
      <c r="C1435" s="2" t="s">
        <v>533</v>
      </c>
      <c r="D1435" s="2" t="s">
        <v>2133</v>
      </c>
      <c r="E1435" s="2" t="s">
        <v>2134</v>
      </c>
      <c r="F1435" s="3">
        <f t="shared" si="172"/>
        <v>44964</v>
      </c>
      <c r="G1435" s="4">
        <f t="shared" si="168"/>
        <v>2</v>
      </c>
      <c r="H1435" s="4">
        <f t="shared" si="169"/>
        <v>2023</v>
      </c>
      <c r="I1435" s="2" t="s">
        <v>4</v>
      </c>
      <c r="J1435" s="2" t="s">
        <v>2135</v>
      </c>
      <c r="K1435" s="2" t="s">
        <v>609</v>
      </c>
      <c r="L1435" s="2" t="s">
        <v>610</v>
      </c>
      <c r="M1435" s="2" t="s">
        <v>611</v>
      </c>
      <c r="N1435" s="4" t="str">
        <f t="shared" si="170"/>
        <v>GAL</v>
      </c>
      <c r="O1435" s="5">
        <v>900</v>
      </c>
      <c r="S1435" s="32">
        <f t="shared" si="171"/>
        <v>0</v>
      </c>
    </row>
    <row r="1436" spans="2:19" x14ac:dyDescent="0.25">
      <c r="B1436" s="1" t="s">
        <v>1050</v>
      </c>
      <c r="C1436" s="2" t="s">
        <v>533</v>
      </c>
      <c r="D1436" s="2" t="s">
        <v>1047</v>
      </c>
      <c r="E1436" s="2" t="s">
        <v>2136</v>
      </c>
      <c r="F1436" s="3">
        <f>DATE(2023,2,9)</f>
        <v>44966</v>
      </c>
      <c r="G1436" s="4">
        <f t="shared" si="168"/>
        <v>2</v>
      </c>
      <c r="H1436" s="4">
        <f t="shared" si="169"/>
        <v>2023</v>
      </c>
      <c r="I1436" s="2" t="s">
        <v>4</v>
      </c>
      <c r="J1436" s="2" t="s">
        <v>2137</v>
      </c>
      <c r="K1436" s="2" t="s">
        <v>2138</v>
      </c>
      <c r="L1436" s="2" t="s">
        <v>2139</v>
      </c>
      <c r="M1436" s="2" t="s">
        <v>1472</v>
      </c>
      <c r="N1436" s="4" t="str">
        <f t="shared" si="170"/>
        <v>GAL</v>
      </c>
      <c r="O1436" s="5">
        <v>250</v>
      </c>
      <c r="S1436" s="32">
        <f t="shared" si="171"/>
        <v>0</v>
      </c>
    </row>
    <row r="1437" spans="2:19" x14ac:dyDescent="0.25">
      <c r="B1437" s="1" t="s">
        <v>1050</v>
      </c>
      <c r="C1437" s="2" t="s">
        <v>533</v>
      </c>
      <c r="D1437" s="2" t="s">
        <v>557</v>
      </c>
      <c r="E1437" s="2" t="s">
        <v>2140</v>
      </c>
      <c r="F1437" s="3">
        <f>DATE(2023,2,13)</f>
        <v>44970</v>
      </c>
      <c r="G1437" s="4">
        <f t="shared" si="168"/>
        <v>2</v>
      </c>
      <c r="H1437" s="4">
        <f t="shared" si="169"/>
        <v>2023</v>
      </c>
      <c r="I1437" s="2" t="s">
        <v>4</v>
      </c>
      <c r="J1437" s="2" t="s">
        <v>2141</v>
      </c>
      <c r="K1437" s="2" t="s">
        <v>2125</v>
      </c>
      <c r="L1437" s="2" t="s">
        <v>2126</v>
      </c>
      <c r="M1437" s="2" t="s">
        <v>106</v>
      </c>
      <c r="N1437" s="4" t="str">
        <f t="shared" si="170"/>
        <v>LBS</v>
      </c>
      <c r="O1437" s="5">
        <v>5000</v>
      </c>
      <c r="S1437" s="32">
        <f t="shared" si="171"/>
        <v>0</v>
      </c>
    </row>
    <row r="1438" spans="2:19" x14ac:dyDescent="0.25">
      <c r="B1438" s="1" t="s">
        <v>1050</v>
      </c>
      <c r="C1438" s="2" t="s">
        <v>533</v>
      </c>
      <c r="D1438" s="2" t="s">
        <v>557</v>
      </c>
      <c r="E1438" s="2" t="s">
        <v>2142</v>
      </c>
      <c r="F1438" s="3">
        <f>DATE(2023,2,13)</f>
        <v>44970</v>
      </c>
      <c r="G1438" s="4">
        <f t="shared" si="168"/>
        <v>2</v>
      </c>
      <c r="H1438" s="4">
        <f t="shared" si="169"/>
        <v>2023</v>
      </c>
      <c r="I1438" s="2" t="s">
        <v>4</v>
      </c>
      <c r="J1438" s="2" t="s">
        <v>2143</v>
      </c>
      <c r="K1438" s="2" t="s">
        <v>2127</v>
      </c>
      <c r="L1438" s="2" t="s">
        <v>2126</v>
      </c>
      <c r="M1438" s="2" t="s">
        <v>106</v>
      </c>
      <c r="N1438" s="4" t="str">
        <f t="shared" si="170"/>
        <v>LBS</v>
      </c>
      <c r="O1438" s="5">
        <v>5400</v>
      </c>
      <c r="S1438" s="32">
        <f t="shared" si="171"/>
        <v>0</v>
      </c>
    </row>
    <row r="1439" spans="2:19" x14ac:dyDescent="0.25">
      <c r="B1439" s="1" t="s">
        <v>1050</v>
      </c>
      <c r="C1439" s="2" t="s">
        <v>533</v>
      </c>
      <c r="D1439" s="2" t="s">
        <v>2144</v>
      </c>
      <c r="E1439" s="2" t="s">
        <v>2145</v>
      </c>
      <c r="F1439" s="3">
        <f>DATE(2023,2,15)</f>
        <v>44972</v>
      </c>
      <c r="G1439" s="4">
        <f t="shared" si="168"/>
        <v>2</v>
      </c>
      <c r="H1439" s="4">
        <f t="shared" si="169"/>
        <v>2023</v>
      </c>
      <c r="I1439" s="2" t="s">
        <v>4</v>
      </c>
      <c r="J1439" s="2" t="s">
        <v>2146</v>
      </c>
      <c r="K1439" s="2" t="s">
        <v>2147</v>
      </c>
      <c r="L1439" s="2" t="s">
        <v>2148</v>
      </c>
      <c r="M1439" s="2" t="s">
        <v>41</v>
      </c>
      <c r="N1439" s="4" t="str">
        <f t="shared" si="170"/>
        <v>GAL</v>
      </c>
      <c r="O1439" s="5">
        <v>360</v>
      </c>
      <c r="S1439" s="32">
        <f t="shared" si="171"/>
        <v>0</v>
      </c>
    </row>
    <row r="1440" spans="2:19" x14ac:dyDescent="0.25">
      <c r="B1440" s="1" t="s">
        <v>1050</v>
      </c>
      <c r="C1440" s="2" t="s">
        <v>533</v>
      </c>
      <c r="D1440" s="2" t="s">
        <v>2144</v>
      </c>
      <c r="E1440" s="2" t="s">
        <v>2149</v>
      </c>
      <c r="F1440" s="3">
        <f>DATE(2023,2,16)</f>
        <v>44973</v>
      </c>
      <c r="G1440" s="4">
        <f t="shared" si="168"/>
        <v>2</v>
      </c>
      <c r="H1440" s="4">
        <f t="shared" si="169"/>
        <v>2023</v>
      </c>
      <c r="I1440" s="2" t="s">
        <v>4</v>
      </c>
      <c r="J1440" s="2" t="s">
        <v>2150</v>
      </c>
      <c r="K1440" s="2" t="s">
        <v>2147</v>
      </c>
      <c r="L1440" s="2" t="s">
        <v>2148</v>
      </c>
      <c r="M1440" s="2" t="s">
        <v>41</v>
      </c>
      <c r="N1440" s="4" t="str">
        <f t="shared" si="170"/>
        <v>GAL</v>
      </c>
      <c r="O1440" s="5">
        <v>360</v>
      </c>
      <c r="S1440" s="32">
        <f t="shared" si="171"/>
        <v>0</v>
      </c>
    </row>
    <row r="1441" spans="2:19" x14ac:dyDescent="0.25">
      <c r="B1441" s="1" t="s">
        <v>1050</v>
      </c>
      <c r="C1441" s="2" t="s">
        <v>533</v>
      </c>
      <c r="D1441" s="2" t="s">
        <v>562</v>
      </c>
      <c r="E1441" s="2" t="s">
        <v>2151</v>
      </c>
      <c r="F1441" s="3">
        <f>DATE(2023,2,16)</f>
        <v>44973</v>
      </c>
      <c r="G1441" s="4">
        <f t="shared" si="168"/>
        <v>2</v>
      </c>
      <c r="H1441" s="4">
        <f t="shared" si="169"/>
        <v>2023</v>
      </c>
      <c r="I1441" s="2" t="s">
        <v>4</v>
      </c>
      <c r="J1441" s="2" t="s">
        <v>2152</v>
      </c>
      <c r="K1441" s="2" t="s">
        <v>83</v>
      </c>
      <c r="L1441" s="2" t="s">
        <v>518</v>
      </c>
      <c r="M1441" s="2" t="s">
        <v>85</v>
      </c>
      <c r="N1441" s="4" t="str">
        <f t="shared" si="170"/>
        <v>GAL</v>
      </c>
      <c r="O1441" s="5">
        <v>360</v>
      </c>
      <c r="S1441" s="32">
        <f t="shared" si="171"/>
        <v>0</v>
      </c>
    </row>
    <row r="1442" spans="2:19" x14ac:dyDescent="0.25">
      <c r="B1442" s="1" t="s">
        <v>1050</v>
      </c>
      <c r="C1442" s="2" t="s">
        <v>533</v>
      </c>
      <c r="D1442" s="2" t="s">
        <v>562</v>
      </c>
      <c r="E1442" s="2" t="s">
        <v>2151</v>
      </c>
      <c r="F1442" s="3">
        <f>DATE(2023,2,16)</f>
        <v>44973</v>
      </c>
      <c r="G1442" s="4">
        <f t="shared" si="168"/>
        <v>2</v>
      </c>
      <c r="H1442" s="4">
        <f t="shared" si="169"/>
        <v>2023</v>
      </c>
      <c r="I1442" s="2" t="s">
        <v>4</v>
      </c>
      <c r="J1442" s="2" t="s">
        <v>2152</v>
      </c>
      <c r="K1442" s="2" t="s">
        <v>1786</v>
      </c>
      <c r="L1442" s="2" t="s">
        <v>518</v>
      </c>
      <c r="M1442" s="2" t="s">
        <v>85</v>
      </c>
      <c r="N1442" s="4" t="str">
        <f t="shared" si="170"/>
        <v>GAL</v>
      </c>
      <c r="O1442" s="5">
        <v>440</v>
      </c>
      <c r="S1442" s="32">
        <f t="shared" si="171"/>
        <v>0</v>
      </c>
    </row>
    <row r="1443" spans="2:19" x14ac:dyDescent="0.25">
      <c r="B1443" s="1" t="s">
        <v>1050</v>
      </c>
      <c r="C1443" s="2" t="s">
        <v>533</v>
      </c>
      <c r="D1443" s="2" t="s">
        <v>557</v>
      </c>
      <c r="E1443" s="2" t="s">
        <v>2153</v>
      </c>
      <c r="F1443" s="3">
        <f>DATE(2023,2,22)</f>
        <v>44979</v>
      </c>
      <c r="G1443" s="4">
        <f t="shared" si="168"/>
        <v>2</v>
      </c>
      <c r="H1443" s="4">
        <f t="shared" si="169"/>
        <v>2023</v>
      </c>
      <c r="I1443" s="2" t="s">
        <v>4</v>
      </c>
      <c r="J1443" s="2" t="s">
        <v>2154</v>
      </c>
      <c r="K1443" s="2" t="s">
        <v>2155</v>
      </c>
      <c r="L1443" s="2" t="s">
        <v>2156</v>
      </c>
      <c r="M1443" s="2" t="s">
        <v>106</v>
      </c>
      <c r="N1443" s="4" t="str">
        <f t="shared" si="170"/>
        <v>LBS</v>
      </c>
      <c r="O1443" s="5">
        <v>3600</v>
      </c>
      <c r="S1443" s="32">
        <f t="shared" si="171"/>
        <v>0</v>
      </c>
    </row>
    <row r="1444" spans="2:19" x14ac:dyDescent="0.25">
      <c r="B1444" s="1" t="s">
        <v>645</v>
      </c>
      <c r="C1444" s="2" t="s">
        <v>533</v>
      </c>
      <c r="D1444" s="2" t="s">
        <v>557</v>
      </c>
      <c r="E1444" s="2" t="s">
        <v>1090</v>
      </c>
      <c r="F1444" s="3">
        <f>DATE(2023,2,23)</f>
        <v>44980</v>
      </c>
      <c r="G1444" s="4">
        <f t="shared" si="168"/>
        <v>2</v>
      </c>
      <c r="H1444" s="4">
        <f t="shared" si="169"/>
        <v>2023</v>
      </c>
      <c r="I1444" s="2" t="s">
        <v>4</v>
      </c>
      <c r="J1444" s="2" t="s">
        <v>2157</v>
      </c>
      <c r="K1444" s="2" t="s">
        <v>2130</v>
      </c>
      <c r="L1444" s="2" t="s">
        <v>2131</v>
      </c>
      <c r="M1444" s="2" t="s">
        <v>2132</v>
      </c>
      <c r="N1444" s="4" t="str">
        <f t="shared" si="170"/>
        <v>GAL</v>
      </c>
      <c r="O1444" s="5">
        <v>180</v>
      </c>
      <c r="S1444" s="32">
        <f t="shared" si="171"/>
        <v>0</v>
      </c>
    </row>
    <row r="1445" spans="2:19" x14ac:dyDescent="0.25">
      <c r="B1445" s="1" t="s">
        <v>1050</v>
      </c>
      <c r="C1445" s="2" t="s">
        <v>533</v>
      </c>
      <c r="D1445" s="2" t="s">
        <v>557</v>
      </c>
      <c r="E1445" s="2" t="s">
        <v>2158</v>
      </c>
      <c r="F1445" s="3">
        <f>DATE(2023,2,23)</f>
        <v>44980</v>
      </c>
      <c r="G1445" s="4">
        <f t="shared" si="168"/>
        <v>2</v>
      </c>
      <c r="H1445" s="4">
        <f t="shared" si="169"/>
        <v>2023</v>
      </c>
      <c r="I1445" s="2" t="s">
        <v>4</v>
      </c>
      <c r="J1445" s="2" t="s">
        <v>2159</v>
      </c>
      <c r="K1445" s="2" t="s">
        <v>2130</v>
      </c>
      <c r="L1445" s="2" t="s">
        <v>2131</v>
      </c>
      <c r="M1445" s="2" t="s">
        <v>2132</v>
      </c>
      <c r="N1445" s="4" t="str">
        <f t="shared" si="170"/>
        <v>GAL</v>
      </c>
      <c r="O1445" s="5">
        <v>180</v>
      </c>
      <c r="S1445" s="32">
        <f t="shared" si="171"/>
        <v>0</v>
      </c>
    </row>
    <row r="1446" spans="2:19" x14ac:dyDescent="0.25">
      <c r="B1446" s="1" t="s">
        <v>1050</v>
      </c>
      <c r="C1446" s="2" t="s">
        <v>533</v>
      </c>
      <c r="D1446" s="2" t="s">
        <v>557</v>
      </c>
      <c r="E1446" s="2" t="s">
        <v>2160</v>
      </c>
      <c r="F1446" s="3">
        <f>DATE(2023,2,27)</f>
        <v>44984</v>
      </c>
      <c r="G1446" s="4">
        <f t="shared" si="168"/>
        <v>2</v>
      </c>
      <c r="H1446" s="4">
        <f t="shared" si="169"/>
        <v>2023</v>
      </c>
      <c r="I1446" s="2" t="s">
        <v>4</v>
      </c>
      <c r="J1446" s="2" t="s">
        <v>2161</v>
      </c>
      <c r="K1446" s="2" t="s">
        <v>2162</v>
      </c>
      <c r="L1446" s="2" t="s">
        <v>2163</v>
      </c>
      <c r="M1446" s="2" t="s">
        <v>106</v>
      </c>
      <c r="N1446" s="4" t="str">
        <f t="shared" si="170"/>
        <v>LBS</v>
      </c>
      <c r="O1446" s="5">
        <v>5100</v>
      </c>
      <c r="S1446" s="32">
        <f t="shared" si="171"/>
        <v>0</v>
      </c>
    </row>
    <row r="1447" spans="2:19" x14ac:dyDescent="0.25">
      <c r="B1447" s="1" t="s">
        <v>1050</v>
      </c>
      <c r="C1447" s="2" t="s">
        <v>533</v>
      </c>
      <c r="D1447" s="2" t="s">
        <v>557</v>
      </c>
      <c r="E1447" s="2" t="s">
        <v>2160</v>
      </c>
      <c r="F1447" s="3">
        <f>DATE(2023,2,27)</f>
        <v>44984</v>
      </c>
      <c r="G1447" s="4">
        <f t="shared" si="168"/>
        <v>2</v>
      </c>
      <c r="H1447" s="4">
        <f t="shared" si="169"/>
        <v>2023</v>
      </c>
      <c r="I1447" s="2" t="s">
        <v>4</v>
      </c>
      <c r="J1447" s="2" t="s">
        <v>2161</v>
      </c>
      <c r="K1447" s="2" t="s">
        <v>2162</v>
      </c>
      <c r="L1447" s="2" t="s">
        <v>2163</v>
      </c>
      <c r="M1447" s="2" t="s">
        <v>106</v>
      </c>
      <c r="N1447" s="4" t="str">
        <f t="shared" si="170"/>
        <v>LBS</v>
      </c>
      <c r="O1447" s="5">
        <v>12600</v>
      </c>
      <c r="S1447" s="32">
        <f t="shared" si="171"/>
        <v>0</v>
      </c>
    </row>
    <row r="1448" spans="2:19" x14ac:dyDescent="0.25">
      <c r="B1448" s="1" t="s">
        <v>1050</v>
      </c>
      <c r="C1448" s="2" t="s">
        <v>533</v>
      </c>
      <c r="D1448" s="2" t="s">
        <v>557</v>
      </c>
      <c r="E1448" s="2" t="s">
        <v>2160</v>
      </c>
      <c r="F1448" s="3">
        <f>DATE(2023,2,27)</f>
        <v>44984</v>
      </c>
      <c r="G1448" s="4">
        <f t="shared" si="168"/>
        <v>2</v>
      </c>
      <c r="H1448" s="4">
        <f t="shared" si="169"/>
        <v>2023</v>
      </c>
      <c r="I1448" s="2" t="s">
        <v>4</v>
      </c>
      <c r="J1448" s="2" t="s">
        <v>2161</v>
      </c>
      <c r="K1448" s="2" t="s">
        <v>2164</v>
      </c>
      <c r="L1448" s="2" t="s">
        <v>2156</v>
      </c>
      <c r="M1448" s="2" t="s">
        <v>106</v>
      </c>
      <c r="N1448" s="4" t="str">
        <f t="shared" si="170"/>
        <v>LBS</v>
      </c>
      <c r="O1448" s="5">
        <v>5200</v>
      </c>
      <c r="S1448" s="32">
        <f t="shared" si="171"/>
        <v>0</v>
      </c>
    </row>
    <row r="1449" spans="2:19" x14ac:dyDescent="0.25">
      <c r="B1449" s="1" t="s">
        <v>1050</v>
      </c>
      <c r="C1449" s="2" t="s">
        <v>533</v>
      </c>
      <c r="D1449" s="2" t="s">
        <v>557</v>
      </c>
      <c r="E1449" s="2" t="s">
        <v>2160</v>
      </c>
      <c r="F1449" s="3">
        <f>DATE(2023,2,27)</f>
        <v>44984</v>
      </c>
      <c r="G1449" s="4">
        <f t="shared" si="168"/>
        <v>2</v>
      </c>
      <c r="H1449" s="4">
        <f t="shared" si="169"/>
        <v>2023</v>
      </c>
      <c r="I1449" s="2" t="s">
        <v>4</v>
      </c>
      <c r="J1449" s="2" t="s">
        <v>2161</v>
      </c>
      <c r="K1449" s="2" t="s">
        <v>2128</v>
      </c>
      <c r="L1449" s="2" t="s">
        <v>2129</v>
      </c>
      <c r="M1449" s="2" t="s">
        <v>106</v>
      </c>
      <c r="N1449" s="4" t="str">
        <f t="shared" si="170"/>
        <v>LBS</v>
      </c>
      <c r="O1449" s="5">
        <v>7980</v>
      </c>
      <c r="S1449" s="32">
        <f t="shared" si="171"/>
        <v>0</v>
      </c>
    </row>
    <row r="1450" spans="2:19" x14ac:dyDescent="0.25">
      <c r="B1450" s="1" t="s">
        <v>0</v>
      </c>
      <c r="C1450" s="2" t="s">
        <v>1</v>
      </c>
      <c r="D1450" s="2" t="s">
        <v>2</v>
      </c>
      <c r="E1450" s="2" t="s">
        <v>42</v>
      </c>
      <c r="F1450" s="3">
        <f t="shared" ref="F1450:F1455" si="173">DATE(2023,3,1)</f>
        <v>44986</v>
      </c>
      <c r="G1450" s="4">
        <f t="shared" si="168"/>
        <v>3</v>
      </c>
      <c r="H1450" s="4">
        <f t="shared" si="169"/>
        <v>2023</v>
      </c>
      <c r="I1450" s="2" t="s">
        <v>4</v>
      </c>
      <c r="J1450" s="2" t="s">
        <v>2165</v>
      </c>
      <c r="K1450" s="2" t="s">
        <v>19</v>
      </c>
      <c r="L1450" s="2" t="s">
        <v>20</v>
      </c>
      <c r="M1450" s="2" t="s">
        <v>21</v>
      </c>
      <c r="N1450" s="4" t="str">
        <f t="shared" si="170"/>
        <v>GAL</v>
      </c>
      <c r="O1450" s="5">
        <v>120</v>
      </c>
      <c r="S1450" s="32">
        <f t="shared" si="171"/>
        <v>0</v>
      </c>
    </row>
    <row r="1451" spans="2:19" x14ac:dyDescent="0.25">
      <c r="B1451" s="1" t="s">
        <v>0</v>
      </c>
      <c r="C1451" s="2" t="s">
        <v>1</v>
      </c>
      <c r="D1451" s="2" t="s">
        <v>2</v>
      </c>
      <c r="E1451" s="2" t="s">
        <v>42</v>
      </c>
      <c r="F1451" s="3">
        <f t="shared" si="173"/>
        <v>44986</v>
      </c>
      <c r="G1451" s="4">
        <f t="shared" si="168"/>
        <v>3</v>
      </c>
      <c r="H1451" s="4">
        <f t="shared" si="169"/>
        <v>2023</v>
      </c>
      <c r="I1451" s="2" t="s">
        <v>4</v>
      </c>
      <c r="J1451" s="2" t="s">
        <v>2165</v>
      </c>
      <c r="K1451" s="2" t="s">
        <v>25</v>
      </c>
      <c r="L1451" s="2" t="s">
        <v>26</v>
      </c>
      <c r="M1451" s="2" t="s">
        <v>27</v>
      </c>
      <c r="N1451" s="4" t="str">
        <f t="shared" si="170"/>
        <v>GAL</v>
      </c>
      <c r="O1451" s="5">
        <v>120</v>
      </c>
      <c r="S1451" s="32">
        <f t="shared" si="171"/>
        <v>0</v>
      </c>
    </row>
    <row r="1452" spans="2:19" x14ac:dyDescent="0.25">
      <c r="B1452" s="1" t="s">
        <v>0</v>
      </c>
      <c r="C1452" s="2" t="s">
        <v>1</v>
      </c>
      <c r="D1452" s="2" t="s">
        <v>2</v>
      </c>
      <c r="E1452" s="2" t="s">
        <v>42</v>
      </c>
      <c r="F1452" s="3">
        <f t="shared" si="173"/>
        <v>44986</v>
      </c>
      <c r="G1452" s="4">
        <f t="shared" si="168"/>
        <v>3</v>
      </c>
      <c r="H1452" s="4">
        <f t="shared" si="169"/>
        <v>2023</v>
      </c>
      <c r="I1452" s="2" t="s">
        <v>4</v>
      </c>
      <c r="J1452" s="2" t="s">
        <v>2165</v>
      </c>
      <c r="K1452" s="2" t="s">
        <v>2166</v>
      </c>
      <c r="L1452" s="2" t="s">
        <v>2167</v>
      </c>
      <c r="M1452" s="2" t="s">
        <v>2168</v>
      </c>
      <c r="N1452" s="4" t="str">
        <f t="shared" si="170"/>
        <v>GAL</v>
      </c>
      <c r="O1452" s="5">
        <v>60</v>
      </c>
      <c r="S1452" s="32">
        <f t="shared" si="171"/>
        <v>0</v>
      </c>
    </row>
    <row r="1453" spans="2:19" x14ac:dyDescent="0.25">
      <c r="B1453" s="1" t="s">
        <v>0</v>
      </c>
      <c r="C1453" s="2" t="s">
        <v>1</v>
      </c>
      <c r="D1453" s="2" t="s">
        <v>2</v>
      </c>
      <c r="E1453" s="2" t="s">
        <v>42</v>
      </c>
      <c r="F1453" s="3">
        <f t="shared" si="173"/>
        <v>44986</v>
      </c>
      <c r="G1453" s="4">
        <f t="shared" si="168"/>
        <v>3</v>
      </c>
      <c r="H1453" s="4">
        <f t="shared" si="169"/>
        <v>2023</v>
      </c>
      <c r="I1453" s="2" t="s">
        <v>4</v>
      </c>
      <c r="J1453" s="2" t="s">
        <v>2165</v>
      </c>
      <c r="K1453" s="2" t="s">
        <v>50</v>
      </c>
      <c r="L1453" s="2" t="s">
        <v>51</v>
      </c>
      <c r="M1453" s="2" t="s">
        <v>52</v>
      </c>
      <c r="N1453" s="4" t="str">
        <f t="shared" si="170"/>
        <v>GAL</v>
      </c>
      <c r="O1453" s="5">
        <v>60</v>
      </c>
      <c r="S1453" s="32">
        <f t="shared" si="171"/>
        <v>0</v>
      </c>
    </row>
    <row r="1454" spans="2:19" x14ac:dyDescent="0.25">
      <c r="B1454" s="1" t="s">
        <v>0</v>
      </c>
      <c r="C1454" s="2" t="s">
        <v>1</v>
      </c>
      <c r="D1454" s="2" t="s">
        <v>2</v>
      </c>
      <c r="E1454" s="2" t="s">
        <v>42</v>
      </c>
      <c r="F1454" s="3">
        <f t="shared" si="173"/>
        <v>44986</v>
      </c>
      <c r="G1454" s="4">
        <f t="shared" si="168"/>
        <v>3</v>
      </c>
      <c r="H1454" s="4">
        <f t="shared" si="169"/>
        <v>2023</v>
      </c>
      <c r="I1454" s="2" t="s">
        <v>4</v>
      </c>
      <c r="J1454" s="2" t="s">
        <v>2165</v>
      </c>
      <c r="K1454" s="2" t="s">
        <v>28</v>
      </c>
      <c r="L1454" s="2" t="s">
        <v>29</v>
      </c>
      <c r="M1454" s="2" t="s">
        <v>30</v>
      </c>
      <c r="N1454" s="4" t="str">
        <f t="shared" si="170"/>
        <v>GAL</v>
      </c>
      <c r="O1454" s="5">
        <v>120</v>
      </c>
      <c r="S1454" s="32">
        <f t="shared" si="171"/>
        <v>0</v>
      </c>
    </row>
    <row r="1455" spans="2:19" x14ac:dyDescent="0.25">
      <c r="B1455" s="1" t="s">
        <v>0</v>
      </c>
      <c r="C1455" s="2" t="s">
        <v>1</v>
      </c>
      <c r="D1455" s="2" t="s">
        <v>2</v>
      </c>
      <c r="E1455" s="2" t="s">
        <v>42</v>
      </c>
      <c r="F1455" s="3">
        <f t="shared" si="173"/>
        <v>44986</v>
      </c>
      <c r="G1455" s="4">
        <f t="shared" si="168"/>
        <v>3</v>
      </c>
      <c r="H1455" s="4">
        <f t="shared" si="169"/>
        <v>2023</v>
      </c>
      <c r="I1455" s="2" t="s">
        <v>4</v>
      </c>
      <c r="J1455" s="2" t="s">
        <v>2165</v>
      </c>
      <c r="K1455" s="2" t="s">
        <v>16</v>
      </c>
      <c r="L1455" s="2" t="s">
        <v>7</v>
      </c>
      <c r="M1455" s="2" t="s">
        <v>8</v>
      </c>
      <c r="N1455" s="4" t="str">
        <f t="shared" si="170"/>
        <v>GAL</v>
      </c>
      <c r="O1455" s="5">
        <v>120</v>
      </c>
      <c r="S1455" s="32">
        <f t="shared" si="171"/>
        <v>0</v>
      </c>
    </row>
    <row r="1456" spans="2:19" x14ac:dyDescent="0.25">
      <c r="B1456" s="1" t="s">
        <v>0</v>
      </c>
      <c r="C1456" s="2" t="s">
        <v>1</v>
      </c>
      <c r="D1456" s="2" t="s">
        <v>55</v>
      </c>
      <c r="E1456" s="2" t="s">
        <v>56</v>
      </c>
      <c r="F1456" s="3">
        <f>DATE(2023,3,6)</f>
        <v>44991</v>
      </c>
      <c r="G1456" s="4">
        <f t="shared" si="168"/>
        <v>3</v>
      </c>
      <c r="H1456" s="4">
        <f t="shared" si="169"/>
        <v>2023</v>
      </c>
      <c r="I1456" s="2" t="s">
        <v>4</v>
      </c>
      <c r="J1456" s="2" t="s">
        <v>2169</v>
      </c>
      <c r="K1456" s="2" t="s">
        <v>582</v>
      </c>
      <c r="L1456" s="2" t="s">
        <v>583</v>
      </c>
      <c r="M1456" s="2" t="s">
        <v>553</v>
      </c>
      <c r="N1456" s="4" t="str">
        <f t="shared" si="170"/>
        <v>GAL</v>
      </c>
      <c r="O1456" s="5">
        <v>110</v>
      </c>
      <c r="S1456" s="32">
        <f t="shared" si="171"/>
        <v>0</v>
      </c>
    </row>
    <row r="1457" spans="2:19" x14ac:dyDescent="0.25">
      <c r="B1457" s="1" t="s">
        <v>0</v>
      </c>
      <c r="C1457" s="2" t="s">
        <v>1</v>
      </c>
      <c r="D1457" s="2" t="s">
        <v>55</v>
      </c>
      <c r="E1457" s="2" t="s">
        <v>56</v>
      </c>
      <c r="F1457" s="3">
        <f>DATE(2023,3,6)</f>
        <v>44991</v>
      </c>
      <c r="G1457" s="4">
        <f t="shared" si="168"/>
        <v>3</v>
      </c>
      <c r="H1457" s="4">
        <f t="shared" si="169"/>
        <v>2023</v>
      </c>
      <c r="I1457" s="2" t="s">
        <v>4</v>
      </c>
      <c r="J1457" s="2" t="s">
        <v>2169</v>
      </c>
      <c r="K1457" s="2" t="s">
        <v>83</v>
      </c>
      <c r="L1457" s="2" t="s">
        <v>584</v>
      </c>
      <c r="M1457" s="2" t="s">
        <v>85</v>
      </c>
      <c r="N1457" s="4" t="str">
        <f t="shared" si="170"/>
        <v>GAL</v>
      </c>
      <c r="O1457" s="5">
        <v>55</v>
      </c>
      <c r="S1457" s="32">
        <f t="shared" si="171"/>
        <v>0</v>
      </c>
    </row>
    <row r="1458" spans="2:19" x14ac:dyDescent="0.25">
      <c r="B1458" s="1" t="s">
        <v>0</v>
      </c>
      <c r="C1458" s="2" t="s">
        <v>1</v>
      </c>
      <c r="D1458" s="2" t="s">
        <v>55</v>
      </c>
      <c r="E1458" s="2" t="s">
        <v>56</v>
      </c>
      <c r="F1458" s="3">
        <f>DATE(2023,3,6)</f>
        <v>44991</v>
      </c>
      <c r="G1458" s="4">
        <f t="shared" si="168"/>
        <v>3</v>
      </c>
      <c r="H1458" s="4">
        <f t="shared" si="169"/>
        <v>2023</v>
      </c>
      <c r="I1458" s="2" t="s">
        <v>4</v>
      </c>
      <c r="J1458" s="2" t="s">
        <v>2169</v>
      </c>
      <c r="K1458" s="2" t="s">
        <v>2170</v>
      </c>
      <c r="L1458" s="2" t="s">
        <v>2171</v>
      </c>
      <c r="M1458" s="2" t="s">
        <v>100</v>
      </c>
      <c r="N1458" s="4" t="str">
        <f t="shared" si="170"/>
        <v>GAL</v>
      </c>
      <c r="O1458" s="5">
        <v>55</v>
      </c>
      <c r="S1458" s="32">
        <f t="shared" si="171"/>
        <v>0</v>
      </c>
    </row>
    <row r="1459" spans="2:19" x14ac:dyDescent="0.25">
      <c r="B1459" s="1" t="s">
        <v>0</v>
      </c>
      <c r="C1459" s="2" t="s">
        <v>1</v>
      </c>
      <c r="D1459" s="2" t="s">
        <v>55</v>
      </c>
      <c r="E1459" s="2" t="s">
        <v>56</v>
      </c>
      <c r="F1459" s="3">
        <f>DATE(2023,3,6)</f>
        <v>44991</v>
      </c>
      <c r="G1459" s="4">
        <f t="shared" si="168"/>
        <v>3</v>
      </c>
      <c r="H1459" s="4">
        <f t="shared" si="169"/>
        <v>2023</v>
      </c>
      <c r="I1459" s="2" t="s">
        <v>4</v>
      </c>
      <c r="J1459" s="2" t="s">
        <v>2169</v>
      </c>
      <c r="K1459" s="2" t="s">
        <v>585</v>
      </c>
      <c r="L1459" s="2" t="s">
        <v>586</v>
      </c>
      <c r="M1459" s="2" t="s">
        <v>587</v>
      </c>
      <c r="N1459" s="4" t="str">
        <f t="shared" si="170"/>
        <v>GAL</v>
      </c>
      <c r="O1459" s="5">
        <v>55</v>
      </c>
      <c r="S1459" s="32">
        <f t="shared" si="171"/>
        <v>0</v>
      </c>
    </row>
    <row r="1460" spans="2:19" x14ac:dyDescent="0.25">
      <c r="B1460" s="1" t="s">
        <v>0</v>
      </c>
      <c r="C1460" s="2" t="s">
        <v>1</v>
      </c>
      <c r="D1460" s="2" t="s">
        <v>55</v>
      </c>
      <c r="E1460" s="2" t="s">
        <v>56</v>
      </c>
      <c r="F1460" s="3">
        <f>DATE(2023,3,6)</f>
        <v>44991</v>
      </c>
      <c r="G1460" s="4">
        <f t="shared" si="168"/>
        <v>3</v>
      </c>
      <c r="H1460" s="4">
        <f t="shared" si="169"/>
        <v>2023</v>
      </c>
      <c r="I1460" s="2" t="s">
        <v>4</v>
      </c>
      <c r="J1460" s="2" t="s">
        <v>2169</v>
      </c>
      <c r="K1460" s="2" t="s">
        <v>39</v>
      </c>
      <c r="L1460" s="2" t="s">
        <v>1431</v>
      </c>
      <c r="M1460" s="2" t="s">
        <v>41</v>
      </c>
      <c r="N1460" s="4" t="str">
        <f t="shared" si="170"/>
        <v>GAL</v>
      </c>
      <c r="O1460" s="5">
        <v>55</v>
      </c>
      <c r="S1460" s="32">
        <f t="shared" si="171"/>
        <v>0</v>
      </c>
    </row>
    <row r="1461" spans="2:19" x14ac:dyDescent="0.25">
      <c r="B1461" s="1" t="s">
        <v>0</v>
      </c>
      <c r="C1461" s="2" t="s">
        <v>1</v>
      </c>
      <c r="D1461" s="2" t="s">
        <v>2</v>
      </c>
      <c r="E1461" s="2" t="s">
        <v>63</v>
      </c>
      <c r="F1461" s="3">
        <f t="shared" ref="F1461:F1467" si="174">DATE(2023,3,15)</f>
        <v>45000</v>
      </c>
      <c r="G1461" s="4">
        <f t="shared" si="168"/>
        <v>3</v>
      </c>
      <c r="H1461" s="4">
        <f t="shared" si="169"/>
        <v>2023</v>
      </c>
      <c r="I1461" s="2" t="s">
        <v>4</v>
      </c>
      <c r="J1461" s="2" t="s">
        <v>2172</v>
      </c>
      <c r="K1461" s="2" t="s">
        <v>65</v>
      </c>
      <c r="L1461" s="2" t="s">
        <v>66</v>
      </c>
      <c r="M1461" s="2" t="s">
        <v>67</v>
      </c>
      <c r="N1461" s="4" t="str">
        <f t="shared" si="170"/>
        <v>GAL</v>
      </c>
      <c r="O1461" s="5">
        <v>30</v>
      </c>
      <c r="S1461" s="32">
        <f t="shared" si="171"/>
        <v>0</v>
      </c>
    </row>
    <row r="1462" spans="2:19" x14ac:dyDescent="0.25">
      <c r="B1462" s="1" t="s">
        <v>0</v>
      </c>
      <c r="C1462" s="2" t="s">
        <v>1</v>
      </c>
      <c r="D1462" s="2" t="s">
        <v>2</v>
      </c>
      <c r="E1462" s="2" t="s">
        <v>63</v>
      </c>
      <c r="F1462" s="3">
        <f t="shared" si="174"/>
        <v>45000</v>
      </c>
      <c r="G1462" s="4">
        <f t="shared" si="168"/>
        <v>3</v>
      </c>
      <c r="H1462" s="4">
        <f t="shared" si="169"/>
        <v>2023</v>
      </c>
      <c r="I1462" s="2" t="s">
        <v>4</v>
      </c>
      <c r="J1462" s="2" t="s">
        <v>2172</v>
      </c>
      <c r="K1462" s="2" t="s">
        <v>68</v>
      </c>
      <c r="L1462" s="2" t="s">
        <v>34</v>
      </c>
      <c r="M1462" s="2" t="s">
        <v>35</v>
      </c>
      <c r="N1462" s="4" t="str">
        <f t="shared" si="170"/>
        <v>GAL</v>
      </c>
      <c r="O1462" s="5">
        <v>30</v>
      </c>
      <c r="S1462" s="32">
        <f t="shared" si="171"/>
        <v>0</v>
      </c>
    </row>
    <row r="1463" spans="2:19" x14ac:dyDescent="0.25">
      <c r="B1463" s="1" t="s">
        <v>0</v>
      </c>
      <c r="C1463" s="2" t="s">
        <v>1</v>
      </c>
      <c r="D1463" s="2" t="s">
        <v>2</v>
      </c>
      <c r="E1463" s="2" t="s">
        <v>63</v>
      </c>
      <c r="F1463" s="3">
        <f t="shared" si="174"/>
        <v>45000</v>
      </c>
      <c r="G1463" s="4">
        <f t="shared" si="168"/>
        <v>3</v>
      </c>
      <c r="H1463" s="4">
        <f t="shared" si="169"/>
        <v>2023</v>
      </c>
      <c r="I1463" s="2" t="s">
        <v>4</v>
      </c>
      <c r="J1463" s="2" t="s">
        <v>2172</v>
      </c>
      <c r="K1463" s="2" t="s">
        <v>69</v>
      </c>
      <c r="L1463" s="2" t="s">
        <v>20</v>
      </c>
      <c r="M1463" s="2" t="s">
        <v>21</v>
      </c>
      <c r="N1463" s="4" t="str">
        <f t="shared" si="170"/>
        <v>GAL</v>
      </c>
      <c r="O1463" s="5">
        <v>30</v>
      </c>
      <c r="S1463" s="32">
        <f t="shared" si="171"/>
        <v>0</v>
      </c>
    </row>
    <row r="1464" spans="2:19" x14ac:dyDescent="0.25">
      <c r="B1464" s="1" t="s">
        <v>0</v>
      </c>
      <c r="C1464" s="2" t="s">
        <v>1</v>
      </c>
      <c r="D1464" s="2" t="s">
        <v>2</v>
      </c>
      <c r="E1464" s="2" t="s">
        <v>63</v>
      </c>
      <c r="F1464" s="3">
        <f t="shared" si="174"/>
        <v>45000</v>
      </c>
      <c r="G1464" s="4">
        <f t="shared" si="168"/>
        <v>3</v>
      </c>
      <c r="H1464" s="4">
        <f t="shared" si="169"/>
        <v>2023</v>
      </c>
      <c r="I1464" s="2" t="s">
        <v>4</v>
      </c>
      <c r="J1464" s="2" t="s">
        <v>2172</v>
      </c>
      <c r="K1464" s="2" t="s">
        <v>71</v>
      </c>
      <c r="L1464" s="2" t="s">
        <v>2173</v>
      </c>
      <c r="M1464" s="2" t="s">
        <v>73</v>
      </c>
      <c r="N1464" s="4" t="str">
        <f t="shared" si="170"/>
        <v>GAL</v>
      </c>
      <c r="O1464" s="5">
        <v>30</v>
      </c>
      <c r="S1464" s="32">
        <f t="shared" si="171"/>
        <v>0</v>
      </c>
    </row>
    <row r="1465" spans="2:19" x14ac:dyDescent="0.25">
      <c r="B1465" s="1" t="s">
        <v>0</v>
      </c>
      <c r="C1465" s="2" t="s">
        <v>1</v>
      </c>
      <c r="D1465" s="2" t="s">
        <v>2</v>
      </c>
      <c r="E1465" s="2" t="s">
        <v>63</v>
      </c>
      <c r="F1465" s="3">
        <f t="shared" si="174"/>
        <v>45000</v>
      </c>
      <c r="G1465" s="4">
        <f t="shared" si="168"/>
        <v>3</v>
      </c>
      <c r="H1465" s="4">
        <f t="shared" si="169"/>
        <v>2023</v>
      </c>
      <c r="I1465" s="2" t="s">
        <v>4</v>
      </c>
      <c r="J1465" s="2" t="s">
        <v>2172</v>
      </c>
      <c r="K1465" s="2" t="s">
        <v>70</v>
      </c>
      <c r="L1465" s="2" t="s">
        <v>48</v>
      </c>
      <c r="M1465" s="2" t="s">
        <v>49</v>
      </c>
      <c r="N1465" s="4" t="str">
        <f t="shared" si="170"/>
        <v>GAL</v>
      </c>
      <c r="O1465" s="5">
        <v>30</v>
      </c>
      <c r="S1465" s="32">
        <f t="shared" si="171"/>
        <v>0</v>
      </c>
    </row>
    <row r="1466" spans="2:19" x14ac:dyDescent="0.25">
      <c r="B1466" s="1" t="s">
        <v>0</v>
      </c>
      <c r="C1466" s="2" t="s">
        <v>1</v>
      </c>
      <c r="D1466" s="2" t="s">
        <v>2</v>
      </c>
      <c r="E1466" s="2" t="s">
        <v>63</v>
      </c>
      <c r="F1466" s="3">
        <f t="shared" si="174"/>
        <v>45000</v>
      </c>
      <c r="G1466" s="4">
        <f t="shared" si="168"/>
        <v>3</v>
      </c>
      <c r="H1466" s="4">
        <f t="shared" si="169"/>
        <v>2023</v>
      </c>
      <c r="I1466" s="2" t="s">
        <v>4</v>
      </c>
      <c r="J1466" s="2" t="s">
        <v>2172</v>
      </c>
      <c r="K1466" s="2" t="s">
        <v>74</v>
      </c>
      <c r="L1466" s="2" t="s">
        <v>75</v>
      </c>
      <c r="M1466" s="2" t="s">
        <v>76</v>
      </c>
      <c r="N1466" s="4" t="str">
        <f t="shared" si="170"/>
        <v>GAL</v>
      </c>
      <c r="O1466" s="5">
        <v>30</v>
      </c>
      <c r="S1466" s="32">
        <f t="shared" si="171"/>
        <v>0</v>
      </c>
    </row>
    <row r="1467" spans="2:19" x14ac:dyDescent="0.25">
      <c r="B1467" s="1" t="s">
        <v>0</v>
      </c>
      <c r="C1467" s="2" t="s">
        <v>1</v>
      </c>
      <c r="D1467" s="2" t="s">
        <v>2</v>
      </c>
      <c r="E1467" s="2" t="s">
        <v>63</v>
      </c>
      <c r="F1467" s="3">
        <f t="shared" si="174"/>
        <v>45000</v>
      </c>
      <c r="G1467" s="4">
        <f t="shared" si="168"/>
        <v>3</v>
      </c>
      <c r="H1467" s="4">
        <f t="shared" si="169"/>
        <v>2023</v>
      </c>
      <c r="I1467" s="2" t="s">
        <v>4</v>
      </c>
      <c r="J1467" s="2" t="s">
        <v>2172</v>
      </c>
      <c r="K1467" s="2" t="s">
        <v>77</v>
      </c>
      <c r="L1467" s="2" t="s">
        <v>7</v>
      </c>
      <c r="M1467" s="2" t="s">
        <v>8</v>
      </c>
      <c r="N1467" s="4" t="str">
        <f t="shared" si="170"/>
        <v>GAL</v>
      </c>
      <c r="O1467" s="5">
        <v>30</v>
      </c>
      <c r="S1467" s="32">
        <f t="shared" si="171"/>
        <v>0</v>
      </c>
    </row>
    <row r="1468" spans="2:19" x14ac:dyDescent="0.25">
      <c r="B1468" s="1" t="s">
        <v>0</v>
      </c>
      <c r="C1468" s="2" t="s">
        <v>1</v>
      </c>
      <c r="D1468" s="2" t="s">
        <v>2</v>
      </c>
      <c r="E1468" s="2" t="s">
        <v>2174</v>
      </c>
      <c r="F1468" s="3">
        <f t="shared" ref="F1468:F1476" si="175">DATE(2023,3,23)</f>
        <v>45008</v>
      </c>
      <c r="G1468" s="4">
        <f t="shared" si="168"/>
        <v>3</v>
      </c>
      <c r="H1468" s="4">
        <f t="shared" si="169"/>
        <v>2023</v>
      </c>
      <c r="I1468" s="2" t="s">
        <v>4</v>
      </c>
      <c r="J1468" s="2" t="s">
        <v>2175</v>
      </c>
      <c r="K1468" s="2" t="s">
        <v>11</v>
      </c>
      <c r="L1468" s="2" t="s">
        <v>12</v>
      </c>
      <c r="M1468" s="2" t="s">
        <v>13</v>
      </c>
      <c r="N1468" s="4" t="str">
        <f t="shared" si="170"/>
        <v>GAL</v>
      </c>
      <c r="O1468" s="5">
        <v>55</v>
      </c>
      <c r="S1468" s="32">
        <f t="shared" si="171"/>
        <v>0</v>
      </c>
    </row>
    <row r="1469" spans="2:19" x14ac:dyDescent="0.25">
      <c r="B1469" s="1" t="s">
        <v>0</v>
      </c>
      <c r="C1469" s="2" t="s">
        <v>1</v>
      </c>
      <c r="D1469" s="2" t="s">
        <v>2</v>
      </c>
      <c r="E1469" s="2" t="s">
        <v>42</v>
      </c>
      <c r="F1469" s="3">
        <f t="shared" si="175"/>
        <v>45008</v>
      </c>
      <c r="G1469" s="4">
        <f t="shared" si="168"/>
        <v>3</v>
      </c>
      <c r="H1469" s="4">
        <f t="shared" si="169"/>
        <v>2023</v>
      </c>
      <c r="I1469" s="2" t="s">
        <v>4</v>
      </c>
      <c r="J1469" s="2" t="s">
        <v>2176</v>
      </c>
      <c r="K1469" s="2" t="s">
        <v>22</v>
      </c>
      <c r="L1469" s="2" t="s">
        <v>23</v>
      </c>
      <c r="M1469" s="2" t="s">
        <v>24</v>
      </c>
      <c r="N1469" s="4" t="str">
        <f t="shared" si="170"/>
        <v>GAL</v>
      </c>
      <c r="O1469" s="5">
        <v>60</v>
      </c>
      <c r="S1469" s="32">
        <f t="shared" si="171"/>
        <v>0</v>
      </c>
    </row>
    <row r="1470" spans="2:19" x14ac:dyDescent="0.25">
      <c r="B1470" s="1" t="s">
        <v>0</v>
      </c>
      <c r="C1470" s="2" t="s">
        <v>1</v>
      </c>
      <c r="D1470" s="2" t="s">
        <v>2</v>
      </c>
      <c r="E1470" s="2" t="s">
        <v>42</v>
      </c>
      <c r="F1470" s="3">
        <f t="shared" si="175"/>
        <v>45008</v>
      </c>
      <c r="G1470" s="4">
        <f t="shared" si="168"/>
        <v>3</v>
      </c>
      <c r="H1470" s="4">
        <f t="shared" si="169"/>
        <v>2023</v>
      </c>
      <c r="I1470" s="2" t="s">
        <v>4</v>
      </c>
      <c r="J1470" s="2" t="s">
        <v>2176</v>
      </c>
      <c r="K1470" s="2" t="s">
        <v>36</v>
      </c>
      <c r="L1470" s="2" t="s">
        <v>37</v>
      </c>
      <c r="M1470" s="2" t="s">
        <v>38</v>
      </c>
      <c r="N1470" s="4" t="str">
        <f t="shared" si="170"/>
        <v>GAL</v>
      </c>
      <c r="O1470" s="5">
        <v>60</v>
      </c>
      <c r="S1470" s="32">
        <f t="shared" si="171"/>
        <v>0</v>
      </c>
    </row>
    <row r="1471" spans="2:19" x14ac:dyDescent="0.25">
      <c r="B1471" s="1" t="s">
        <v>0</v>
      </c>
      <c r="C1471" s="2" t="s">
        <v>1</v>
      </c>
      <c r="D1471" s="2" t="s">
        <v>2</v>
      </c>
      <c r="E1471" s="2" t="s">
        <v>42</v>
      </c>
      <c r="F1471" s="3">
        <f t="shared" si="175"/>
        <v>45008</v>
      </c>
      <c r="G1471" s="4">
        <f t="shared" si="168"/>
        <v>3</v>
      </c>
      <c r="H1471" s="4">
        <f t="shared" si="169"/>
        <v>2023</v>
      </c>
      <c r="I1471" s="2" t="s">
        <v>4</v>
      </c>
      <c r="J1471" s="2" t="s">
        <v>2176</v>
      </c>
      <c r="K1471" s="2" t="s">
        <v>44</v>
      </c>
      <c r="L1471" s="2" t="s">
        <v>45</v>
      </c>
      <c r="M1471" s="2" t="s">
        <v>46</v>
      </c>
      <c r="N1471" s="4" t="str">
        <f t="shared" si="170"/>
        <v>GAL</v>
      </c>
      <c r="O1471" s="5">
        <v>60</v>
      </c>
      <c r="S1471" s="32">
        <f t="shared" si="171"/>
        <v>0</v>
      </c>
    </row>
    <row r="1472" spans="2:19" x14ac:dyDescent="0.25">
      <c r="B1472" s="1" t="s">
        <v>0</v>
      </c>
      <c r="C1472" s="2" t="s">
        <v>1</v>
      </c>
      <c r="D1472" s="2" t="s">
        <v>2</v>
      </c>
      <c r="E1472" s="2" t="s">
        <v>42</v>
      </c>
      <c r="F1472" s="3">
        <f t="shared" si="175"/>
        <v>45008</v>
      </c>
      <c r="G1472" s="4">
        <f t="shared" si="168"/>
        <v>3</v>
      </c>
      <c r="H1472" s="4">
        <f t="shared" si="169"/>
        <v>2023</v>
      </c>
      <c r="I1472" s="2" t="s">
        <v>4</v>
      </c>
      <c r="J1472" s="2" t="s">
        <v>2176</v>
      </c>
      <c r="K1472" s="2" t="s">
        <v>80</v>
      </c>
      <c r="L1472" s="2" t="s">
        <v>81</v>
      </c>
      <c r="M1472" s="2" t="s">
        <v>82</v>
      </c>
      <c r="N1472" s="4" t="str">
        <f t="shared" si="170"/>
        <v>GAL</v>
      </c>
      <c r="O1472" s="5">
        <v>60</v>
      </c>
      <c r="S1472" s="32">
        <f t="shared" si="171"/>
        <v>0</v>
      </c>
    </row>
    <row r="1473" spans="2:19" x14ac:dyDescent="0.25">
      <c r="B1473" s="1" t="s">
        <v>0</v>
      </c>
      <c r="C1473" s="2" t="s">
        <v>1</v>
      </c>
      <c r="D1473" s="2" t="s">
        <v>2</v>
      </c>
      <c r="E1473" s="2" t="s">
        <v>42</v>
      </c>
      <c r="F1473" s="3">
        <f t="shared" si="175"/>
        <v>45008</v>
      </c>
      <c r="G1473" s="4">
        <f t="shared" si="168"/>
        <v>3</v>
      </c>
      <c r="H1473" s="4">
        <f t="shared" si="169"/>
        <v>2023</v>
      </c>
      <c r="I1473" s="2" t="s">
        <v>4</v>
      </c>
      <c r="J1473" s="2" t="s">
        <v>2176</v>
      </c>
      <c r="K1473" s="2" t="s">
        <v>28</v>
      </c>
      <c r="L1473" s="2" t="s">
        <v>29</v>
      </c>
      <c r="M1473" s="2" t="s">
        <v>30</v>
      </c>
      <c r="N1473" s="4" t="str">
        <f t="shared" si="170"/>
        <v>GAL</v>
      </c>
      <c r="O1473" s="5">
        <v>120</v>
      </c>
      <c r="S1473" s="32">
        <f t="shared" si="171"/>
        <v>0</v>
      </c>
    </row>
    <row r="1474" spans="2:19" x14ac:dyDescent="0.25">
      <c r="B1474" s="1" t="s">
        <v>0</v>
      </c>
      <c r="C1474" s="2" t="s">
        <v>1</v>
      </c>
      <c r="D1474" s="2" t="s">
        <v>2</v>
      </c>
      <c r="E1474" s="2" t="s">
        <v>42</v>
      </c>
      <c r="F1474" s="3">
        <f t="shared" si="175"/>
        <v>45008</v>
      </c>
      <c r="G1474" s="4">
        <f t="shared" si="168"/>
        <v>3</v>
      </c>
      <c r="H1474" s="4">
        <f t="shared" si="169"/>
        <v>2023</v>
      </c>
      <c r="I1474" s="2" t="s">
        <v>4</v>
      </c>
      <c r="J1474" s="2" t="s">
        <v>2176</v>
      </c>
      <c r="K1474" s="2" t="s">
        <v>16</v>
      </c>
      <c r="L1474" s="2" t="s">
        <v>7</v>
      </c>
      <c r="M1474" s="2" t="s">
        <v>8</v>
      </c>
      <c r="N1474" s="4" t="str">
        <f t="shared" si="170"/>
        <v>GAL</v>
      </c>
      <c r="O1474" s="5">
        <v>120</v>
      </c>
      <c r="S1474" s="32">
        <f t="shared" si="171"/>
        <v>0</v>
      </c>
    </row>
    <row r="1475" spans="2:19" x14ac:dyDescent="0.25">
      <c r="B1475" s="1" t="s">
        <v>0</v>
      </c>
      <c r="C1475" s="2" t="s">
        <v>1</v>
      </c>
      <c r="D1475" s="2" t="s">
        <v>2</v>
      </c>
      <c r="E1475" s="2" t="s">
        <v>3</v>
      </c>
      <c r="F1475" s="3">
        <f t="shared" si="175"/>
        <v>45008</v>
      </c>
      <c r="G1475" s="4">
        <f t="shared" ref="G1475:G1538" si="176">+MONTH(F1475)</f>
        <v>3</v>
      </c>
      <c r="H1475" s="4">
        <f t="shared" ref="H1475:H1538" si="177">+YEAR(F1475)</f>
        <v>2023</v>
      </c>
      <c r="I1475" s="2" t="s">
        <v>4</v>
      </c>
      <c r="J1475" s="2" t="s">
        <v>2177</v>
      </c>
      <c r="K1475" s="2" t="s">
        <v>566</v>
      </c>
      <c r="L1475" s="2" t="s">
        <v>20</v>
      </c>
      <c r="M1475" s="2" t="s">
        <v>21</v>
      </c>
      <c r="N1475" s="4" t="str">
        <f t="shared" ref="N1475:N1538" si="178">+LEFT(M1475,3)</f>
        <v>GAL</v>
      </c>
      <c r="O1475" s="5">
        <v>55</v>
      </c>
      <c r="S1475" s="32">
        <f t="shared" si="171"/>
        <v>0</v>
      </c>
    </row>
    <row r="1476" spans="2:19" x14ac:dyDescent="0.25">
      <c r="B1476" s="1" t="s">
        <v>0</v>
      </c>
      <c r="C1476" s="2" t="s">
        <v>1</v>
      </c>
      <c r="D1476" s="2" t="s">
        <v>2</v>
      </c>
      <c r="E1476" s="2" t="s">
        <v>3</v>
      </c>
      <c r="F1476" s="3">
        <f t="shared" si="175"/>
        <v>45008</v>
      </c>
      <c r="G1476" s="4">
        <f t="shared" si="176"/>
        <v>3</v>
      </c>
      <c r="H1476" s="4">
        <f t="shared" si="177"/>
        <v>2023</v>
      </c>
      <c r="I1476" s="2" t="s">
        <v>4</v>
      </c>
      <c r="J1476" s="2" t="s">
        <v>2177</v>
      </c>
      <c r="K1476" s="2" t="s">
        <v>6</v>
      </c>
      <c r="L1476" s="2" t="s">
        <v>7</v>
      </c>
      <c r="M1476" s="2" t="s">
        <v>8</v>
      </c>
      <c r="N1476" s="4" t="str">
        <f t="shared" si="178"/>
        <v>GAL</v>
      </c>
      <c r="O1476" s="5">
        <v>55</v>
      </c>
      <c r="S1476" s="32">
        <f>SUMIF($R$3:$R$885, $R1476, $O$3:$O$885)</f>
        <v>0</v>
      </c>
    </row>
    <row r="1477" spans="2:19" x14ac:dyDescent="0.25">
      <c r="B1477" s="1" t="s">
        <v>88</v>
      </c>
      <c r="C1477" s="2" t="s">
        <v>89</v>
      </c>
      <c r="D1477" s="2" t="s">
        <v>604</v>
      </c>
      <c r="E1477" s="2" t="s">
        <v>102</v>
      </c>
      <c r="F1477" s="3">
        <f>DATE(2023,3,1)</f>
        <v>44986</v>
      </c>
      <c r="G1477" s="4">
        <f t="shared" si="176"/>
        <v>3</v>
      </c>
      <c r="H1477" s="4">
        <f t="shared" si="177"/>
        <v>2023</v>
      </c>
      <c r="I1477" s="2" t="s">
        <v>4</v>
      </c>
      <c r="J1477" s="2" t="s">
        <v>2178</v>
      </c>
      <c r="K1477" s="2" t="s">
        <v>1807</v>
      </c>
      <c r="L1477" s="2" t="s">
        <v>1808</v>
      </c>
      <c r="M1477" s="2" t="s">
        <v>106</v>
      </c>
      <c r="N1477" s="4" t="str">
        <f t="shared" si="178"/>
        <v>LBS</v>
      </c>
      <c r="O1477" s="5">
        <v>10590</v>
      </c>
      <c r="S1477" s="32">
        <f>SUMIF($R$3:$R$885, $R1477, $O$3:$O$885)</f>
        <v>0</v>
      </c>
    </row>
    <row r="1478" spans="2:19" x14ac:dyDescent="0.25">
      <c r="B1478" s="1" t="s">
        <v>88</v>
      </c>
      <c r="C1478" s="2" t="s">
        <v>89</v>
      </c>
      <c r="D1478" s="2" t="s">
        <v>628</v>
      </c>
      <c r="E1478" s="2" t="s">
        <v>2179</v>
      </c>
      <c r="F1478" s="3">
        <f>DATE(2023,3,6)</f>
        <v>44991</v>
      </c>
      <c r="G1478" s="4">
        <f t="shared" si="176"/>
        <v>3</v>
      </c>
      <c r="H1478" s="4">
        <f t="shared" si="177"/>
        <v>2023</v>
      </c>
      <c r="I1478" s="2" t="s">
        <v>4</v>
      </c>
      <c r="J1478" s="2" t="s">
        <v>2180</v>
      </c>
      <c r="K1478" s="2" t="s">
        <v>2181</v>
      </c>
      <c r="L1478" s="2" t="s">
        <v>2182</v>
      </c>
      <c r="M1478" s="2" t="s">
        <v>119</v>
      </c>
      <c r="N1478" s="4" t="str">
        <f t="shared" si="178"/>
        <v>TON</v>
      </c>
      <c r="O1478" s="5">
        <v>7.5025000000000004</v>
      </c>
    </row>
    <row r="1479" spans="2:19" x14ac:dyDescent="0.25">
      <c r="B1479" s="1" t="s">
        <v>88</v>
      </c>
      <c r="C1479" s="2" t="s">
        <v>89</v>
      </c>
      <c r="D1479" s="2" t="s">
        <v>107</v>
      </c>
      <c r="E1479" s="2" t="s">
        <v>1132</v>
      </c>
      <c r="F1479" s="3">
        <f>DATE(2023,3,7)</f>
        <v>44992</v>
      </c>
      <c r="G1479" s="4">
        <f t="shared" si="176"/>
        <v>3</v>
      </c>
      <c r="H1479" s="4">
        <f t="shared" si="177"/>
        <v>2023</v>
      </c>
      <c r="I1479" s="2" t="s">
        <v>4</v>
      </c>
      <c r="J1479" s="2" t="s">
        <v>2183</v>
      </c>
      <c r="K1479" s="2" t="s">
        <v>1078</v>
      </c>
      <c r="L1479" s="2" t="s">
        <v>1079</v>
      </c>
      <c r="M1479" s="2" t="s">
        <v>1080</v>
      </c>
      <c r="N1479" s="4" t="str">
        <f t="shared" si="178"/>
        <v>GAL</v>
      </c>
      <c r="O1479" s="5">
        <v>4169</v>
      </c>
    </row>
    <row r="1480" spans="2:19" x14ac:dyDescent="0.25">
      <c r="B1480" s="1" t="s">
        <v>88</v>
      </c>
      <c r="C1480" s="2" t="s">
        <v>89</v>
      </c>
      <c r="D1480" s="2" t="s">
        <v>101</v>
      </c>
      <c r="E1480" s="2" t="s">
        <v>141</v>
      </c>
      <c r="F1480" s="3">
        <f>DATE(2023,3,7)</f>
        <v>44992</v>
      </c>
      <c r="G1480" s="4">
        <f t="shared" si="176"/>
        <v>3</v>
      </c>
      <c r="H1480" s="4">
        <f t="shared" si="177"/>
        <v>2023</v>
      </c>
      <c r="I1480" s="2" t="s">
        <v>4</v>
      </c>
      <c r="J1480" s="2" t="s">
        <v>2184</v>
      </c>
      <c r="K1480" s="2" t="s">
        <v>104</v>
      </c>
      <c r="L1480" s="2" t="s">
        <v>105</v>
      </c>
      <c r="M1480" s="2" t="s">
        <v>106</v>
      </c>
      <c r="N1480" s="4" t="str">
        <f t="shared" si="178"/>
        <v>LBS</v>
      </c>
      <c r="O1480" s="5">
        <v>100</v>
      </c>
    </row>
    <row r="1481" spans="2:19" x14ac:dyDescent="0.25">
      <c r="B1481" s="1" t="s">
        <v>88</v>
      </c>
      <c r="C1481" s="2" t="s">
        <v>89</v>
      </c>
      <c r="D1481" s="2" t="s">
        <v>604</v>
      </c>
      <c r="E1481" s="2" t="s">
        <v>102</v>
      </c>
      <c r="F1481" s="3">
        <f>DATE(2023,3,8)</f>
        <v>44993</v>
      </c>
      <c r="G1481" s="4">
        <f t="shared" si="176"/>
        <v>3</v>
      </c>
      <c r="H1481" s="4">
        <f t="shared" si="177"/>
        <v>2023</v>
      </c>
      <c r="I1481" s="2" t="s">
        <v>4</v>
      </c>
      <c r="J1481" s="2" t="s">
        <v>2185</v>
      </c>
      <c r="K1481" s="2" t="s">
        <v>1807</v>
      </c>
      <c r="L1481" s="2" t="s">
        <v>1808</v>
      </c>
      <c r="M1481" s="2" t="s">
        <v>106</v>
      </c>
      <c r="N1481" s="4" t="str">
        <f t="shared" si="178"/>
        <v>LBS</v>
      </c>
      <c r="O1481" s="5">
        <v>10590</v>
      </c>
    </row>
    <row r="1482" spans="2:19" x14ac:dyDescent="0.25">
      <c r="B1482" s="1" t="s">
        <v>88</v>
      </c>
      <c r="C1482" s="2" t="s">
        <v>89</v>
      </c>
      <c r="D1482" s="2" t="s">
        <v>1103</v>
      </c>
      <c r="E1482" s="2" t="s">
        <v>1104</v>
      </c>
      <c r="F1482" s="3">
        <f>DATE(2023,3,10)</f>
        <v>44995</v>
      </c>
      <c r="G1482" s="4">
        <f t="shared" si="176"/>
        <v>3</v>
      </c>
      <c r="H1482" s="4">
        <f t="shared" si="177"/>
        <v>2023</v>
      </c>
      <c r="I1482" s="2" t="s">
        <v>4</v>
      </c>
      <c r="J1482" s="2" t="s">
        <v>2186</v>
      </c>
      <c r="K1482" s="2" t="s">
        <v>126</v>
      </c>
      <c r="L1482" s="2" t="s">
        <v>127</v>
      </c>
      <c r="M1482" s="2" t="s">
        <v>106</v>
      </c>
      <c r="N1482" s="4" t="str">
        <f t="shared" si="178"/>
        <v>LBS</v>
      </c>
      <c r="O1482" s="5">
        <v>6575</v>
      </c>
    </row>
    <row r="1483" spans="2:19" x14ac:dyDescent="0.25">
      <c r="B1483" s="1" t="s">
        <v>88</v>
      </c>
      <c r="C1483" s="2" t="s">
        <v>89</v>
      </c>
      <c r="D1483" s="2" t="s">
        <v>107</v>
      </c>
      <c r="E1483" s="2" t="s">
        <v>108</v>
      </c>
      <c r="F1483" s="3">
        <f>DATE(2023,3,13)</f>
        <v>44998</v>
      </c>
      <c r="G1483" s="4">
        <f t="shared" si="176"/>
        <v>3</v>
      </c>
      <c r="H1483" s="4">
        <f t="shared" si="177"/>
        <v>2023</v>
      </c>
      <c r="I1483" s="2" t="s">
        <v>4</v>
      </c>
      <c r="J1483" s="2" t="s">
        <v>2187</v>
      </c>
      <c r="K1483" s="2" t="s">
        <v>110</v>
      </c>
      <c r="L1483" s="2" t="s">
        <v>111</v>
      </c>
      <c r="M1483" s="2" t="s">
        <v>112</v>
      </c>
      <c r="N1483" s="4" t="str">
        <f t="shared" si="178"/>
        <v>GAL</v>
      </c>
      <c r="O1483" s="5">
        <v>760</v>
      </c>
    </row>
    <row r="1484" spans="2:19" x14ac:dyDescent="0.25">
      <c r="B1484" s="1" t="s">
        <v>88</v>
      </c>
      <c r="C1484" s="2" t="s">
        <v>89</v>
      </c>
      <c r="D1484" s="2" t="s">
        <v>1444</v>
      </c>
      <c r="E1484" s="2" t="s">
        <v>2188</v>
      </c>
      <c r="F1484" s="3">
        <f>DATE(2023,3,14)</f>
        <v>44999</v>
      </c>
      <c r="G1484" s="4">
        <f t="shared" si="176"/>
        <v>3</v>
      </c>
      <c r="H1484" s="4">
        <f t="shared" si="177"/>
        <v>2023</v>
      </c>
      <c r="I1484" s="2" t="s">
        <v>4</v>
      </c>
      <c r="J1484" s="2" t="s">
        <v>2189</v>
      </c>
      <c r="K1484" s="2" t="s">
        <v>1446</v>
      </c>
      <c r="L1484" s="2" t="s">
        <v>1453</v>
      </c>
      <c r="M1484" s="2" t="s">
        <v>1448</v>
      </c>
      <c r="N1484" s="4" t="str">
        <f t="shared" si="178"/>
        <v>GAL</v>
      </c>
      <c r="O1484" s="5">
        <v>360</v>
      </c>
    </row>
    <row r="1485" spans="2:19" x14ac:dyDescent="0.25">
      <c r="B1485" s="1" t="s">
        <v>88</v>
      </c>
      <c r="C1485" s="2" t="s">
        <v>89</v>
      </c>
      <c r="D1485" s="2" t="s">
        <v>604</v>
      </c>
      <c r="E1485" s="2" t="s">
        <v>102</v>
      </c>
      <c r="F1485" s="3">
        <f>DATE(2023,3,14)</f>
        <v>44999</v>
      </c>
      <c r="G1485" s="4">
        <f t="shared" si="176"/>
        <v>3</v>
      </c>
      <c r="H1485" s="4">
        <f t="shared" si="177"/>
        <v>2023</v>
      </c>
      <c r="I1485" s="2" t="s">
        <v>4</v>
      </c>
      <c r="J1485" s="2" t="s">
        <v>2190</v>
      </c>
      <c r="K1485" s="2" t="s">
        <v>1807</v>
      </c>
      <c r="L1485" s="2" t="s">
        <v>1808</v>
      </c>
      <c r="M1485" s="2" t="s">
        <v>106</v>
      </c>
      <c r="N1485" s="4" t="str">
        <f t="shared" si="178"/>
        <v>LBS</v>
      </c>
      <c r="O1485" s="5">
        <v>10590</v>
      </c>
    </row>
    <row r="1486" spans="2:19" x14ac:dyDescent="0.25">
      <c r="B1486" s="1" t="s">
        <v>88</v>
      </c>
      <c r="C1486" s="2" t="s">
        <v>89</v>
      </c>
      <c r="D1486" s="2" t="s">
        <v>124</v>
      </c>
      <c r="E1486" s="2" t="s">
        <v>124</v>
      </c>
      <c r="F1486" s="3">
        <f>DATE(2023,3,16)</f>
        <v>45001</v>
      </c>
      <c r="G1486" s="4">
        <f t="shared" si="176"/>
        <v>3</v>
      </c>
      <c r="H1486" s="4">
        <f t="shared" si="177"/>
        <v>2023</v>
      </c>
      <c r="I1486" s="2" t="s">
        <v>4</v>
      </c>
      <c r="J1486" s="2" t="s">
        <v>2191</v>
      </c>
      <c r="K1486" s="2" t="s">
        <v>2192</v>
      </c>
      <c r="L1486" s="2" t="s">
        <v>2193</v>
      </c>
      <c r="M1486" s="2" t="s">
        <v>106</v>
      </c>
      <c r="N1486" s="4" t="str">
        <f t="shared" si="178"/>
        <v>LBS</v>
      </c>
      <c r="O1486" s="5">
        <v>47760</v>
      </c>
    </row>
    <row r="1487" spans="2:19" x14ac:dyDescent="0.25">
      <c r="B1487" s="1" t="s">
        <v>88</v>
      </c>
      <c r="C1487" s="2" t="s">
        <v>89</v>
      </c>
      <c r="D1487" s="2" t="s">
        <v>107</v>
      </c>
      <c r="E1487" s="2" t="s">
        <v>1132</v>
      </c>
      <c r="F1487" s="3">
        <f>DATE(2023,3,16)</f>
        <v>45001</v>
      </c>
      <c r="G1487" s="4">
        <f t="shared" si="176"/>
        <v>3</v>
      </c>
      <c r="H1487" s="4">
        <f t="shared" si="177"/>
        <v>2023</v>
      </c>
      <c r="I1487" s="2" t="s">
        <v>4</v>
      </c>
      <c r="J1487" s="2" t="s">
        <v>2194</v>
      </c>
      <c r="K1487" s="2" t="s">
        <v>1078</v>
      </c>
      <c r="L1487" s="2" t="s">
        <v>1079</v>
      </c>
      <c r="M1487" s="2" t="s">
        <v>1080</v>
      </c>
      <c r="N1487" s="4" t="str">
        <f t="shared" si="178"/>
        <v>GAL</v>
      </c>
      <c r="O1487" s="5">
        <v>3980.63</v>
      </c>
    </row>
    <row r="1488" spans="2:19" x14ac:dyDescent="0.25">
      <c r="B1488" s="1" t="s">
        <v>88</v>
      </c>
      <c r="C1488" s="2" t="s">
        <v>89</v>
      </c>
      <c r="D1488" s="2" t="s">
        <v>2195</v>
      </c>
      <c r="E1488" s="2" t="s">
        <v>2196</v>
      </c>
      <c r="F1488" s="3">
        <f>DATE(2023,3,21)</f>
        <v>45006</v>
      </c>
      <c r="G1488" s="4">
        <f t="shared" si="176"/>
        <v>3</v>
      </c>
      <c r="H1488" s="4">
        <f t="shared" si="177"/>
        <v>2023</v>
      </c>
      <c r="I1488" s="2" t="s">
        <v>4</v>
      </c>
      <c r="J1488" s="2" t="s">
        <v>2197</v>
      </c>
      <c r="K1488" s="2" t="s">
        <v>1028</v>
      </c>
      <c r="L1488" s="2" t="s">
        <v>2198</v>
      </c>
      <c r="M1488" s="2" t="s">
        <v>106</v>
      </c>
      <c r="N1488" s="4" t="str">
        <f t="shared" si="178"/>
        <v>LBS</v>
      </c>
      <c r="O1488" s="5">
        <v>45140</v>
      </c>
    </row>
    <row r="1489" spans="2:15" x14ac:dyDescent="0.25">
      <c r="B1489" s="1" t="s">
        <v>88</v>
      </c>
      <c r="C1489" s="2" t="s">
        <v>89</v>
      </c>
      <c r="D1489" s="2" t="s">
        <v>107</v>
      </c>
      <c r="E1489" s="2" t="s">
        <v>1132</v>
      </c>
      <c r="F1489" s="3">
        <f>DATE(2023,3,22)</f>
        <v>45007</v>
      </c>
      <c r="G1489" s="4">
        <f t="shared" si="176"/>
        <v>3</v>
      </c>
      <c r="H1489" s="4">
        <f t="shared" si="177"/>
        <v>2023</v>
      </c>
      <c r="I1489" s="2" t="s">
        <v>4</v>
      </c>
      <c r="J1489" s="2" t="s">
        <v>2199</v>
      </c>
      <c r="K1489" s="2" t="s">
        <v>1078</v>
      </c>
      <c r="L1489" s="2" t="s">
        <v>1079</v>
      </c>
      <c r="M1489" s="2" t="s">
        <v>1080</v>
      </c>
      <c r="N1489" s="4" t="str">
        <f t="shared" si="178"/>
        <v>GAL</v>
      </c>
      <c r="O1489" s="5">
        <v>2833</v>
      </c>
    </row>
    <row r="1490" spans="2:15" x14ac:dyDescent="0.25">
      <c r="B1490" s="1" t="s">
        <v>88</v>
      </c>
      <c r="C1490" s="2" t="s">
        <v>89</v>
      </c>
      <c r="D1490" s="2" t="s">
        <v>628</v>
      </c>
      <c r="E1490" s="2" t="s">
        <v>2200</v>
      </c>
      <c r="F1490" s="3">
        <f>DATE(2023,3,23)</f>
        <v>45008</v>
      </c>
      <c r="G1490" s="4">
        <f t="shared" si="176"/>
        <v>3</v>
      </c>
      <c r="H1490" s="4">
        <f t="shared" si="177"/>
        <v>2023</v>
      </c>
      <c r="I1490" s="2" t="s">
        <v>4</v>
      </c>
      <c r="J1490" s="2" t="s">
        <v>2201</v>
      </c>
      <c r="K1490" s="2" t="s">
        <v>2202</v>
      </c>
      <c r="L1490" s="2" t="s">
        <v>2203</v>
      </c>
      <c r="M1490" s="2" t="s">
        <v>119</v>
      </c>
      <c r="N1490" s="4" t="str">
        <f t="shared" si="178"/>
        <v>TON</v>
      </c>
      <c r="O1490" s="5">
        <v>22.0425</v>
      </c>
    </row>
    <row r="1491" spans="2:15" x14ac:dyDescent="0.25">
      <c r="B1491" s="1" t="s">
        <v>88</v>
      </c>
      <c r="C1491" s="2" t="s">
        <v>89</v>
      </c>
      <c r="D1491" s="2" t="s">
        <v>1444</v>
      </c>
      <c r="E1491" s="2" t="s">
        <v>617</v>
      </c>
      <c r="F1491" s="3">
        <f>DATE(2023,3,27)</f>
        <v>45012</v>
      </c>
      <c r="G1491" s="4">
        <f t="shared" si="176"/>
        <v>3</v>
      </c>
      <c r="H1491" s="4">
        <f t="shared" si="177"/>
        <v>2023</v>
      </c>
      <c r="I1491" s="2" t="s">
        <v>4</v>
      </c>
      <c r="J1491" s="2" t="s">
        <v>2204</v>
      </c>
      <c r="K1491" s="2" t="s">
        <v>1446</v>
      </c>
      <c r="L1491" s="2" t="s">
        <v>1453</v>
      </c>
      <c r="M1491" s="2" t="s">
        <v>1448</v>
      </c>
      <c r="N1491" s="4" t="str">
        <f t="shared" si="178"/>
        <v>GAL</v>
      </c>
      <c r="O1491" s="5">
        <v>360</v>
      </c>
    </row>
    <row r="1492" spans="2:15" x14ac:dyDescent="0.25">
      <c r="B1492" s="1" t="s">
        <v>88</v>
      </c>
      <c r="C1492" s="2" t="s">
        <v>89</v>
      </c>
      <c r="D1492" s="2" t="s">
        <v>604</v>
      </c>
      <c r="E1492" s="2" t="s">
        <v>102</v>
      </c>
      <c r="F1492" s="3">
        <f>DATE(2023,3,27)</f>
        <v>45012</v>
      </c>
      <c r="G1492" s="4">
        <f t="shared" si="176"/>
        <v>3</v>
      </c>
      <c r="H1492" s="4">
        <f t="shared" si="177"/>
        <v>2023</v>
      </c>
      <c r="I1492" s="2" t="s">
        <v>4</v>
      </c>
      <c r="J1492" s="2" t="s">
        <v>2205</v>
      </c>
      <c r="K1492" s="2" t="s">
        <v>1807</v>
      </c>
      <c r="L1492" s="2" t="s">
        <v>1029</v>
      </c>
      <c r="M1492" s="2" t="s">
        <v>106</v>
      </c>
      <c r="N1492" s="4" t="str">
        <f t="shared" si="178"/>
        <v>LBS</v>
      </c>
      <c r="O1492" s="5">
        <v>10590</v>
      </c>
    </row>
    <row r="1493" spans="2:15" x14ac:dyDescent="0.25">
      <c r="B1493" s="1" t="s">
        <v>154</v>
      </c>
      <c r="C1493" s="2" t="s">
        <v>155</v>
      </c>
      <c r="D1493" s="2" t="s">
        <v>107</v>
      </c>
      <c r="E1493" s="2" t="s">
        <v>108</v>
      </c>
      <c r="F1493" s="3">
        <f>DATE(2023,3,1)</f>
        <v>44986</v>
      </c>
      <c r="G1493" s="4">
        <f t="shared" si="176"/>
        <v>3</v>
      </c>
      <c r="H1493" s="4">
        <f t="shared" si="177"/>
        <v>2023</v>
      </c>
      <c r="I1493" s="2" t="s">
        <v>4</v>
      </c>
      <c r="J1493" s="2" t="s">
        <v>2206</v>
      </c>
      <c r="K1493" s="2" t="s">
        <v>1501</v>
      </c>
      <c r="L1493" s="2" t="s">
        <v>602</v>
      </c>
      <c r="M1493" s="2" t="s">
        <v>41</v>
      </c>
      <c r="N1493" s="4" t="str">
        <f t="shared" si="178"/>
        <v>GAL</v>
      </c>
      <c r="O1493" s="5">
        <v>120</v>
      </c>
    </row>
    <row r="1494" spans="2:15" x14ac:dyDescent="0.25">
      <c r="B1494" s="1" t="s">
        <v>154</v>
      </c>
      <c r="C1494" s="2" t="s">
        <v>155</v>
      </c>
      <c r="D1494" s="2" t="s">
        <v>167</v>
      </c>
      <c r="E1494" s="2" t="s">
        <v>168</v>
      </c>
      <c r="F1494" s="3">
        <f>DATE(2023,3,1)</f>
        <v>44986</v>
      </c>
      <c r="G1494" s="4">
        <f t="shared" si="176"/>
        <v>3</v>
      </c>
      <c r="H1494" s="4">
        <f t="shared" si="177"/>
        <v>2023</v>
      </c>
      <c r="I1494" s="2" t="s">
        <v>4</v>
      </c>
      <c r="J1494" s="2" t="s">
        <v>2207</v>
      </c>
      <c r="K1494" s="2" t="s">
        <v>1814</v>
      </c>
      <c r="L1494" s="2" t="s">
        <v>1815</v>
      </c>
      <c r="M1494" s="2" t="s">
        <v>1816</v>
      </c>
      <c r="N1494" s="4" t="str">
        <f t="shared" si="178"/>
        <v>GAL</v>
      </c>
      <c r="O1494" s="5">
        <v>180</v>
      </c>
    </row>
    <row r="1495" spans="2:15" x14ac:dyDescent="0.25">
      <c r="B1495" s="1" t="s">
        <v>154</v>
      </c>
      <c r="C1495" s="2" t="s">
        <v>155</v>
      </c>
      <c r="D1495" s="2" t="s">
        <v>167</v>
      </c>
      <c r="E1495" s="2" t="s">
        <v>168</v>
      </c>
      <c r="F1495" s="3">
        <f>DATE(2023,3,1)</f>
        <v>44986</v>
      </c>
      <c r="G1495" s="4">
        <f t="shared" si="176"/>
        <v>3</v>
      </c>
      <c r="H1495" s="4">
        <f t="shared" si="177"/>
        <v>2023</v>
      </c>
      <c r="I1495" s="2" t="s">
        <v>4</v>
      </c>
      <c r="J1495" s="2" t="s">
        <v>2208</v>
      </c>
      <c r="K1495" s="2" t="s">
        <v>1820</v>
      </c>
      <c r="L1495" s="2" t="s">
        <v>1815</v>
      </c>
      <c r="M1495" s="2" t="s">
        <v>1816</v>
      </c>
      <c r="N1495" s="4" t="str">
        <f t="shared" si="178"/>
        <v>GAL</v>
      </c>
      <c r="O1495" s="5">
        <v>250</v>
      </c>
    </row>
    <row r="1496" spans="2:15" x14ac:dyDescent="0.25">
      <c r="B1496" s="1" t="s">
        <v>645</v>
      </c>
      <c r="C1496" s="2" t="s">
        <v>155</v>
      </c>
      <c r="D1496" s="2" t="s">
        <v>646</v>
      </c>
      <c r="E1496" s="2" t="s">
        <v>647</v>
      </c>
      <c r="F1496" s="3">
        <f>DATE(2023,3,2)</f>
        <v>44987</v>
      </c>
      <c r="G1496" s="4">
        <f t="shared" si="176"/>
        <v>3</v>
      </c>
      <c r="H1496" s="4">
        <f t="shared" si="177"/>
        <v>2023</v>
      </c>
      <c r="I1496" s="2" t="s">
        <v>4</v>
      </c>
      <c r="J1496" s="2" t="s">
        <v>2209</v>
      </c>
      <c r="K1496" s="2" t="s">
        <v>25</v>
      </c>
      <c r="L1496" s="2" t="s">
        <v>541</v>
      </c>
      <c r="M1496" s="2" t="s">
        <v>27</v>
      </c>
      <c r="N1496" s="4" t="str">
        <f t="shared" si="178"/>
        <v>GAL</v>
      </c>
      <c r="O1496" s="5">
        <v>180</v>
      </c>
    </row>
    <row r="1497" spans="2:15" x14ac:dyDescent="0.25">
      <c r="B1497" s="1" t="s">
        <v>645</v>
      </c>
      <c r="C1497" s="2" t="s">
        <v>155</v>
      </c>
      <c r="D1497" s="2" t="s">
        <v>646</v>
      </c>
      <c r="E1497" s="2" t="s">
        <v>647</v>
      </c>
      <c r="F1497" s="3">
        <f>DATE(2023,3,2)</f>
        <v>44987</v>
      </c>
      <c r="G1497" s="4">
        <f t="shared" si="176"/>
        <v>3</v>
      </c>
      <c r="H1497" s="4">
        <f t="shared" si="177"/>
        <v>2023</v>
      </c>
      <c r="I1497" s="2" t="s">
        <v>4</v>
      </c>
      <c r="J1497" s="2" t="s">
        <v>2210</v>
      </c>
      <c r="K1497" s="2" t="s">
        <v>609</v>
      </c>
      <c r="L1497" s="2" t="s">
        <v>610</v>
      </c>
      <c r="M1497" s="2" t="s">
        <v>611</v>
      </c>
      <c r="N1497" s="4" t="str">
        <f t="shared" si="178"/>
        <v>GAL</v>
      </c>
      <c r="O1497" s="5">
        <v>180</v>
      </c>
    </row>
    <row r="1498" spans="2:15" x14ac:dyDescent="0.25">
      <c r="B1498" s="1" t="s">
        <v>154</v>
      </c>
      <c r="C1498" s="2" t="s">
        <v>155</v>
      </c>
      <c r="D1498" s="2" t="s">
        <v>623</v>
      </c>
      <c r="E1498" s="2" t="s">
        <v>652</v>
      </c>
      <c r="F1498" s="3">
        <f>DATE(2023,3,3)</f>
        <v>44988</v>
      </c>
      <c r="G1498" s="4">
        <f t="shared" si="176"/>
        <v>3</v>
      </c>
      <c r="H1498" s="4">
        <f t="shared" si="177"/>
        <v>2023</v>
      </c>
      <c r="I1498" s="2" t="s">
        <v>4</v>
      </c>
      <c r="J1498" s="2" t="s">
        <v>2211</v>
      </c>
      <c r="K1498" s="2" t="s">
        <v>1824</v>
      </c>
      <c r="L1498" s="2" t="s">
        <v>1825</v>
      </c>
      <c r="M1498" s="2" t="s">
        <v>119</v>
      </c>
      <c r="N1498" s="4" t="str">
        <f t="shared" si="178"/>
        <v>TON</v>
      </c>
      <c r="O1498" s="5">
        <v>15.0025</v>
      </c>
    </row>
    <row r="1499" spans="2:15" x14ac:dyDescent="0.25">
      <c r="B1499" s="1" t="s">
        <v>154</v>
      </c>
      <c r="C1499" s="2" t="s">
        <v>155</v>
      </c>
      <c r="D1499" s="2" t="s">
        <v>167</v>
      </c>
      <c r="E1499" s="2" t="s">
        <v>168</v>
      </c>
      <c r="F1499" s="3">
        <f t="shared" ref="F1499:F1505" si="179">DATE(2023,3,7)</f>
        <v>44992</v>
      </c>
      <c r="G1499" s="4">
        <f t="shared" si="176"/>
        <v>3</v>
      </c>
      <c r="H1499" s="4">
        <f t="shared" si="177"/>
        <v>2023</v>
      </c>
      <c r="I1499" s="2" t="s">
        <v>4</v>
      </c>
      <c r="J1499" s="2" t="s">
        <v>2212</v>
      </c>
      <c r="K1499" s="2" t="s">
        <v>1853</v>
      </c>
      <c r="L1499" s="2" t="s">
        <v>1854</v>
      </c>
      <c r="M1499" s="2" t="s">
        <v>1816</v>
      </c>
      <c r="N1499" s="4" t="str">
        <f t="shared" si="178"/>
        <v>GAL</v>
      </c>
      <c r="O1499" s="5">
        <v>180</v>
      </c>
    </row>
    <row r="1500" spans="2:15" x14ac:dyDescent="0.25">
      <c r="B1500" s="1" t="s">
        <v>154</v>
      </c>
      <c r="C1500" s="2" t="s">
        <v>155</v>
      </c>
      <c r="D1500" s="2" t="s">
        <v>178</v>
      </c>
      <c r="E1500" s="2" t="s">
        <v>179</v>
      </c>
      <c r="F1500" s="3">
        <f t="shared" si="179"/>
        <v>44992</v>
      </c>
      <c r="G1500" s="4">
        <f t="shared" si="176"/>
        <v>3</v>
      </c>
      <c r="H1500" s="4">
        <f t="shared" si="177"/>
        <v>2023</v>
      </c>
      <c r="I1500" s="2" t="s">
        <v>4</v>
      </c>
      <c r="J1500" s="2" t="s">
        <v>2213</v>
      </c>
      <c r="K1500" s="2" t="s">
        <v>25</v>
      </c>
      <c r="L1500" s="2" t="s">
        <v>541</v>
      </c>
      <c r="M1500" s="2" t="s">
        <v>27</v>
      </c>
      <c r="N1500" s="4" t="str">
        <f t="shared" si="178"/>
        <v>GAL</v>
      </c>
      <c r="O1500" s="5">
        <v>180</v>
      </c>
    </row>
    <row r="1501" spans="2:15" x14ac:dyDescent="0.25">
      <c r="B1501" s="1" t="s">
        <v>154</v>
      </c>
      <c r="C1501" s="2" t="s">
        <v>155</v>
      </c>
      <c r="D1501" s="2" t="s">
        <v>178</v>
      </c>
      <c r="E1501" s="2" t="s">
        <v>179</v>
      </c>
      <c r="F1501" s="3">
        <f t="shared" si="179"/>
        <v>44992</v>
      </c>
      <c r="G1501" s="4">
        <f t="shared" si="176"/>
        <v>3</v>
      </c>
      <c r="H1501" s="4">
        <f t="shared" si="177"/>
        <v>2023</v>
      </c>
      <c r="I1501" s="2" t="s">
        <v>4</v>
      </c>
      <c r="J1501" s="2" t="s">
        <v>2213</v>
      </c>
      <c r="K1501" s="2" t="s">
        <v>1119</v>
      </c>
      <c r="L1501" s="2" t="s">
        <v>1023</v>
      </c>
      <c r="M1501" s="2" t="s">
        <v>1024</v>
      </c>
      <c r="N1501" s="4" t="str">
        <f t="shared" si="178"/>
        <v>GAL</v>
      </c>
      <c r="O1501" s="5">
        <v>180</v>
      </c>
    </row>
    <row r="1502" spans="2:15" x14ac:dyDescent="0.25">
      <c r="B1502" s="1" t="s">
        <v>154</v>
      </c>
      <c r="C1502" s="2" t="s">
        <v>155</v>
      </c>
      <c r="D1502" s="2" t="s">
        <v>178</v>
      </c>
      <c r="E1502" s="2" t="s">
        <v>179</v>
      </c>
      <c r="F1502" s="3">
        <f t="shared" si="179"/>
        <v>44992</v>
      </c>
      <c r="G1502" s="4">
        <f t="shared" si="176"/>
        <v>3</v>
      </c>
      <c r="H1502" s="4">
        <f t="shared" si="177"/>
        <v>2023</v>
      </c>
      <c r="I1502" s="2" t="s">
        <v>4</v>
      </c>
      <c r="J1502" s="2" t="s">
        <v>2213</v>
      </c>
      <c r="K1502" s="2" t="s">
        <v>158</v>
      </c>
      <c r="L1502" s="2" t="s">
        <v>159</v>
      </c>
      <c r="M1502" s="2" t="s">
        <v>160</v>
      </c>
      <c r="N1502" s="4" t="str">
        <f t="shared" si="178"/>
        <v>GAL</v>
      </c>
      <c r="O1502" s="5">
        <v>180</v>
      </c>
    </row>
    <row r="1503" spans="2:15" x14ac:dyDescent="0.25">
      <c r="B1503" s="1" t="s">
        <v>154</v>
      </c>
      <c r="C1503" s="2" t="s">
        <v>155</v>
      </c>
      <c r="D1503" s="2" t="s">
        <v>167</v>
      </c>
      <c r="E1503" s="2" t="s">
        <v>168</v>
      </c>
      <c r="F1503" s="3">
        <f t="shared" si="179"/>
        <v>44992</v>
      </c>
      <c r="G1503" s="4">
        <f t="shared" si="176"/>
        <v>3</v>
      </c>
      <c r="H1503" s="4">
        <f t="shared" si="177"/>
        <v>2023</v>
      </c>
      <c r="I1503" s="2" t="s">
        <v>4</v>
      </c>
      <c r="J1503" s="2" t="s">
        <v>2214</v>
      </c>
      <c r="K1503" s="2" t="s">
        <v>1496</v>
      </c>
      <c r="L1503" s="2" t="s">
        <v>159</v>
      </c>
      <c r="M1503" s="2" t="s">
        <v>160</v>
      </c>
      <c r="N1503" s="4" t="str">
        <f t="shared" si="178"/>
        <v>GAL</v>
      </c>
      <c r="O1503" s="5">
        <v>1000</v>
      </c>
    </row>
    <row r="1504" spans="2:15" x14ac:dyDescent="0.25">
      <c r="B1504" s="1" t="s">
        <v>154</v>
      </c>
      <c r="C1504" s="2" t="s">
        <v>155</v>
      </c>
      <c r="D1504" s="2" t="s">
        <v>167</v>
      </c>
      <c r="E1504" s="2" t="s">
        <v>168</v>
      </c>
      <c r="F1504" s="3">
        <f t="shared" si="179"/>
        <v>44992</v>
      </c>
      <c r="G1504" s="4">
        <f t="shared" si="176"/>
        <v>3</v>
      </c>
      <c r="H1504" s="4">
        <f t="shared" si="177"/>
        <v>2023</v>
      </c>
      <c r="I1504" s="2" t="s">
        <v>4</v>
      </c>
      <c r="J1504" s="2" t="s">
        <v>2214</v>
      </c>
      <c r="K1504" s="2" t="s">
        <v>158</v>
      </c>
      <c r="L1504" s="2" t="s">
        <v>159</v>
      </c>
      <c r="M1504" s="2" t="s">
        <v>160</v>
      </c>
      <c r="N1504" s="4" t="str">
        <f t="shared" si="178"/>
        <v>GAL</v>
      </c>
      <c r="O1504" s="5">
        <v>180</v>
      </c>
    </row>
    <row r="1505" spans="2:15" x14ac:dyDescent="0.25">
      <c r="B1505" s="6" t="s">
        <v>154</v>
      </c>
      <c r="C1505" s="7" t="s">
        <v>155</v>
      </c>
      <c r="D1505" s="8" t="s">
        <v>616</v>
      </c>
      <c r="E1505" s="8" t="s">
        <v>2215</v>
      </c>
      <c r="F1505" s="9">
        <f t="shared" si="179"/>
        <v>44992</v>
      </c>
      <c r="G1505" s="10">
        <f t="shared" si="176"/>
        <v>3</v>
      </c>
      <c r="H1505" s="10">
        <f t="shared" si="177"/>
        <v>2023</v>
      </c>
      <c r="I1505" s="8" t="s">
        <v>4</v>
      </c>
      <c r="J1505" s="7" t="s">
        <v>2216</v>
      </c>
      <c r="K1505" s="8" t="s">
        <v>1069</v>
      </c>
      <c r="L1505" s="8" t="s">
        <v>2217</v>
      </c>
      <c r="M1505" s="8" t="s">
        <v>1071</v>
      </c>
      <c r="N1505" s="10" t="str">
        <f t="shared" si="178"/>
        <v>GAL</v>
      </c>
      <c r="O1505" s="11">
        <v>7.5</v>
      </c>
    </row>
    <row r="1506" spans="2:15" x14ac:dyDescent="0.25">
      <c r="B1506" s="1" t="s">
        <v>154</v>
      </c>
      <c r="C1506" s="2" t="s">
        <v>155</v>
      </c>
      <c r="D1506" s="2" t="s">
        <v>646</v>
      </c>
      <c r="E1506" s="2" t="s">
        <v>647</v>
      </c>
      <c r="F1506" s="3">
        <f>DATE(2023,3,8)</f>
        <v>44993</v>
      </c>
      <c r="G1506" s="4">
        <f t="shared" si="176"/>
        <v>3</v>
      </c>
      <c r="H1506" s="4">
        <f t="shared" si="177"/>
        <v>2023</v>
      </c>
      <c r="I1506" s="2" t="s">
        <v>4</v>
      </c>
      <c r="J1506" s="2" t="s">
        <v>2218</v>
      </c>
      <c r="K1506" s="2" t="s">
        <v>1098</v>
      </c>
      <c r="L1506" s="2" t="s">
        <v>632</v>
      </c>
      <c r="M1506" s="2" t="s">
        <v>633</v>
      </c>
      <c r="N1506" s="4" t="str">
        <f t="shared" si="178"/>
        <v>GAL</v>
      </c>
      <c r="O1506" s="5">
        <v>1434</v>
      </c>
    </row>
    <row r="1507" spans="2:15" x14ac:dyDescent="0.25">
      <c r="B1507" s="1" t="s">
        <v>154</v>
      </c>
      <c r="C1507" s="2" t="s">
        <v>155</v>
      </c>
      <c r="D1507" s="2" t="s">
        <v>167</v>
      </c>
      <c r="E1507" s="2" t="s">
        <v>168</v>
      </c>
      <c r="F1507" s="3">
        <f>DATE(2023,3,9)</f>
        <v>44994</v>
      </c>
      <c r="G1507" s="4">
        <f t="shared" si="176"/>
        <v>3</v>
      </c>
      <c r="H1507" s="4">
        <f t="shared" si="177"/>
        <v>2023</v>
      </c>
      <c r="I1507" s="2" t="s">
        <v>4</v>
      </c>
      <c r="J1507" s="2" t="s">
        <v>2219</v>
      </c>
      <c r="K1507" s="2" t="s">
        <v>1853</v>
      </c>
      <c r="L1507" s="2" t="s">
        <v>1854</v>
      </c>
      <c r="M1507" s="2" t="s">
        <v>1816</v>
      </c>
      <c r="N1507" s="4" t="str">
        <f t="shared" si="178"/>
        <v>GAL</v>
      </c>
      <c r="O1507" s="5">
        <v>180</v>
      </c>
    </row>
    <row r="1508" spans="2:15" x14ac:dyDescent="0.25">
      <c r="B1508" s="1" t="s">
        <v>154</v>
      </c>
      <c r="C1508" s="2" t="s">
        <v>155</v>
      </c>
      <c r="D1508" s="2" t="s">
        <v>1111</v>
      </c>
      <c r="E1508" s="2" t="s">
        <v>1112</v>
      </c>
      <c r="F1508" s="3">
        <f>DATE(2023,3,10)</f>
        <v>44995</v>
      </c>
      <c r="G1508" s="4">
        <f t="shared" si="176"/>
        <v>3</v>
      </c>
      <c r="H1508" s="4">
        <f t="shared" si="177"/>
        <v>2023</v>
      </c>
      <c r="I1508" s="2" t="s">
        <v>4</v>
      </c>
      <c r="J1508" s="2" t="s">
        <v>2220</v>
      </c>
      <c r="K1508" s="2" t="s">
        <v>1496</v>
      </c>
      <c r="L1508" s="2" t="s">
        <v>159</v>
      </c>
      <c r="M1508" s="2" t="s">
        <v>160</v>
      </c>
      <c r="N1508" s="4" t="str">
        <f t="shared" si="178"/>
        <v>GAL</v>
      </c>
      <c r="O1508" s="5">
        <v>750</v>
      </c>
    </row>
    <row r="1509" spans="2:15" x14ac:dyDescent="0.25">
      <c r="B1509" s="1" t="s">
        <v>154</v>
      </c>
      <c r="C1509" s="2" t="s">
        <v>155</v>
      </c>
      <c r="D1509" s="2" t="s">
        <v>1111</v>
      </c>
      <c r="E1509" s="2" t="s">
        <v>1112</v>
      </c>
      <c r="F1509" s="3">
        <f>DATE(2023,3,10)</f>
        <v>44995</v>
      </c>
      <c r="G1509" s="4">
        <f t="shared" si="176"/>
        <v>3</v>
      </c>
      <c r="H1509" s="4">
        <f t="shared" si="177"/>
        <v>2023</v>
      </c>
      <c r="I1509" s="2" t="s">
        <v>4</v>
      </c>
      <c r="J1509" s="2" t="s">
        <v>2221</v>
      </c>
      <c r="K1509" s="2" t="s">
        <v>158</v>
      </c>
      <c r="L1509" s="2" t="s">
        <v>159</v>
      </c>
      <c r="M1509" s="2" t="s">
        <v>160</v>
      </c>
      <c r="N1509" s="4" t="str">
        <f t="shared" si="178"/>
        <v>GAL</v>
      </c>
      <c r="O1509" s="5">
        <v>180</v>
      </c>
    </row>
    <row r="1510" spans="2:15" x14ac:dyDescent="0.25">
      <c r="B1510" s="1" t="s">
        <v>154</v>
      </c>
      <c r="C1510" s="2" t="s">
        <v>155</v>
      </c>
      <c r="D1510" s="2" t="s">
        <v>107</v>
      </c>
      <c r="E1510" s="2" t="s">
        <v>108</v>
      </c>
      <c r="F1510" s="3">
        <f>DATE(2023,3,10)</f>
        <v>44995</v>
      </c>
      <c r="G1510" s="4">
        <f t="shared" si="176"/>
        <v>3</v>
      </c>
      <c r="H1510" s="4">
        <f t="shared" si="177"/>
        <v>2023</v>
      </c>
      <c r="I1510" s="2" t="s">
        <v>4</v>
      </c>
      <c r="J1510" s="2" t="s">
        <v>2222</v>
      </c>
      <c r="K1510" s="2" t="s">
        <v>1501</v>
      </c>
      <c r="L1510" s="2" t="s">
        <v>602</v>
      </c>
      <c r="M1510" s="2" t="s">
        <v>41</v>
      </c>
      <c r="N1510" s="4" t="str">
        <f t="shared" si="178"/>
        <v>GAL</v>
      </c>
      <c r="O1510" s="5">
        <v>120</v>
      </c>
    </row>
    <row r="1511" spans="2:15" x14ac:dyDescent="0.25">
      <c r="B1511" s="6" t="s">
        <v>154</v>
      </c>
      <c r="C1511" s="7" t="s">
        <v>155</v>
      </c>
      <c r="D1511" s="8" t="s">
        <v>178</v>
      </c>
      <c r="E1511" s="8" t="s">
        <v>179</v>
      </c>
      <c r="F1511" s="9">
        <f>DATE(2023,3,13)</f>
        <v>44998</v>
      </c>
      <c r="G1511" s="10">
        <f t="shared" si="176"/>
        <v>3</v>
      </c>
      <c r="H1511" s="10">
        <f t="shared" si="177"/>
        <v>2023</v>
      </c>
      <c r="I1511" s="8" t="s">
        <v>4</v>
      </c>
      <c r="J1511" s="7" t="s">
        <v>2223</v>
      </c>
      <c r="K1511" s="8" t="s">
        <v>510</v>
      </c>
      <c r="L1511" s="8" t="s">
        <v>511</v>
      </c>
      <c r="M1511" s="8" t="s">
        <v>38</v>
      </c>
      <c r="N1511" s="10" t="str">
        <f t="shared" si="178"/>
        <v>GAL</v>
      </c>
      <c r="O1511" s="11">
        <v>750</v>
      </c>
    </row>
    <row r="1512" spans="2:15" x14ac:dyDescent="0.25">
      <c r="B1512" s="1" t="s">
        <v>154</v>
      </c>
      <c r="C1512" s="2" t="s">
        <v>155</v>
      </c>
      <c r="D1512" s="2" t="s">
        <v>178</v>
      </c>
      <c r="E1512" s="2" t="s">
        <v>179</v>
      </c>
      <c r="F1512" s="3">
        <f>DATE(2023,3,13)</f>
        <v>44998</v>
      </c>
      <c r="G1512" s="4">
        <f t="shared" si="176"/>
        <v>3</v>
      </c>
      <c r="H1512" s="4">
        <f t="shared" si="177"/>
        <v>2023</v>
      </c>
      <c r="I1512" s="2" t="s">
        <v>4</v>
      </c>
      <c r="J1512" s="2" t="s">
        <v>2224</v>
      </c>
      <c r="K1512" s="2" t="s">
        <v>609</v>
      </c>
      <c r="L1512" s="2" t="s">
        <v>610</v>
      </c>
      <c r="M1512" s="2" t="s">
        <v>611</v>
      </c>
      <c r="N1512" s="4" t="str">
        <f t="shared" si="178"/>
        <v>GAL</v>
      </c>
      <c r="O1512" s="5">
        <v>60</v>
      </c>
    </row>
    <row r="1513" spans="2:15" x14ac:dyDescent="0.25">
      <c r="B1513" s="1" t="s">
        <v>645</v>
      </c>
      <c r="C1513" s="2" t="s">
        <v>155</v>
      </c>
      <c r="D1513" s="2" t="s">
        <v>646</v>
      </c>
      <c r="E1513" s="2" t="s">
        <v>647</v>
      </c>
      <c r="F1513" s="3">
        <f>DATE(2023,3,13)</f>
        <v>44998</v>
      </c>
      <c r="G1513" s="4">
        <f t="shared" si="176"/>
        <v>3</v>
      </c>
      <c r="H1513" s="4">
        <f t="shared" si="177"/>
        <v>2023</v>
      </c>
      <c r="I1513" s="2" t="s">
        <v>4</v>
      </c>
      <c r="J1513" s="2" t="s">
        <v>2225</v>
      </c>
      <c r="K1513" s="2" t="s">
        <v>137</v>
      </c>
      <c r="L1513" s="2" t="s">
        <v>1190</v>
      </c>
      <c r="M1513" s="2" t="s">
        <v>139</v>
      </c>
      <c r="N1513" s="4" t="str">
        <f t="shared" si="178"/>
        <v>GAL</v>
      </c>
      <c r="O1513" s="5">
        <v>180</v>
      </c>
    </row>
    <row r="1514" spans="2:15" x14ac:dyDescent="0.25">
      <c r="B1514" s="1" t="s">
        <v>154</v>
      </c>
      <c r="C1514" s="2" t="s">
        <v>155</v>
      </c>
      <c r="D1514" s="2" t="s">
        <v>591</v>
      </c>
      <c r="E1514" s="2" t="s">
        <v>592</v>
      </c>
      <c r="F1514" s="3">
        <f>DATE(2023,3,14)</f>
        <v>44999</v>
      </c>
      <c r="G1514" s="4">
        <f t="shared" si="176"/>
        <v>3</v>
      </c>
      <c r="H1514" s="4">
        <f t="shared" si="177"/>
        <v>2023</v>
      </c>
      <c r="I1514" s="2" t="s">
        <v>4</v>
      </c>
      <c r="J1514" s="2" t="s">
        <v>2226</v>
      </c>
      <c r="K1514" s="2" t="s">
        <v>1098</v>
      </c>
      <c r="L1514" s="2" t="s">
        <v>632</v>
      </c>
      <c r="M1514" s="2" t="s">
        <v>633</v>
      </c>
      <c r="N1514" s="4" t="str">
        <f t="shared" si="178"/>
        <v>GAL</v>
      </c>
      <c r="O1514" s="5">
        <v>2516.59</v>
      </c>
    </row>
    <row r="1515" spans="2:15" x14ac:dyDescent="0.25">
      <c r="B1515" s="1" t="s">
        <v>154</v>
      </c>
      <c r="C1515" s="2" t="s">
        <v>155</v>
      </c>
      <c r="D1515" s="2" t="s">
        <v>167</v>
      </c>
      <c r="E1515" s="2" t="s">
        <v>168</v>
      </c>
      <c r="F1515" s="3">
        <f>DATE(2023,3,15)</f>
        <v>45000</v>
      </c>
      <c r="G1515" s="4">
        <f t="shared" si="176"/>
        <v>3</v>
      </c>
      <c r="H1515" s="4">
        <f t="shared" si="177"/>
        <v>2023</v>
      </c>
      <c r="I1515" s="2" t="s">
        <v>4</v>
      </c>
      <c r="J1515" s="2" t="s">
        <v>2227</v>
      </c>
      <c r="K1515" s="2" t="s">
        <v>158</v>
      </c>
      <c r="L1515" s="2" t="s">
        <v>159</v>
      </c>
      <c r="M1515" s="2" t="s">
        <v>160</v>
      </c>
      <c r="N1515" s="4" t="str">
        <f t="shared" si="178"/>
        <v>GAL</v>
      </c>
      <c r="O1515" s="5">
        <v>360</v>
      </c>
    </row>
    <row r="1516" spans="2:15" x14ac:dyDescent="0.25">
      <c r="B1516" s="1" t="s">
        <v>154</v>
      </c>
      <c r="C1516" s="2" t="s">
        <v>155</v>
      </c>
      <c r="D1516" s="2" t="s">
        <v>1838</v>
      </c>
      <c r="E1516" s="2" t="s">
        <v>1839</v>
      </c>
      <c r="F1516" s="3">
        <f>DATE(2023,3,17)</f>
        <v>45002</v>
      </c>
      <c r="G1516" s="4">
        <f t="shared" si="176"/>
        <v>3</v>
      </c>
      <c r="H1516" s="4">
        <f t="shared" si="177"/>
        <v>2023</v>
      </c>
      <c r="I1516" s="2" t="s">
        <v>4</v>
      </c>
      <c r="J1516" s="2" t="s">
        <v>2228</v>
      </c>
      <c r="K1516" s="2" t="s">
        <v>158</v>
      </c>
      <c r="L1516" s="2" t="s">
        <v>159</v>
      </c>
      <c r="M1516" s="2" t="s">
        <v>160</v>
      </c>
      <c r="N1516" s="4" t="str">
        <f t="shared" si="178"/>
        <v>GAL</v>
      </c>
      <c r="O1516" s="5">
        <v>360</v>
      </c>
    </row>
    <row r="1517" spans="2:15" x14ac:dyDescent="0.25">
      <c r="B1517" s="1" t="s">
        <v>154</v>
      </c>
      <c r="C1517" s="2" t="s">
        <v>155</v>
      </c>
      <c r="D1517" s="2" t="s">
        <v>178</v>
      </c>
      <c r="E1517" s="2" t="s">
        <v>179</v>
      </c>
      <c r="F1517" s="3">
        <f>DATE(2023,3,17)</f>
        <v>45002</v>
      </c>
      <c r="G1517" s="4">
        <f t="shared" si="176"/>
        <v>3</v>
      </c>
      <c r="H1517" s="4">
        <f t="shared" si="177"/>
        <v>2023</v>
      </c>
      <c r="I1517" s="2" t="s">
        <v>4</v>
      </c>
      <c r="J1517" s="2" t="s">
        <v>2229</v>
      </c>
      <c r="K1517" s="2" t="s">
        <v>25</v>
      </c>
      <c r="L1517" s="2" t="s">
        <v>541</v>
      </c>
      <c r="M1517" s="2" t="s">
        <v>27</v>
      </c>
      <c r="N1517" s="4" t="str">
        <f t="shared" si="178"/>
        <v>GAL</v>
      </c>
      <c r="O1517" s="5">
        <v>180</v>
      </c>
    </row>
    <row r="1518" spans="2:15" x14ac:dyDescent="0.25">
      <c r="B1518" s="1" t="s">
        <v>154</v>
      </c>
      <c r="C1518" s="2" t="s">
        <v>155</v>
      </c>
      <c r="D1518" s="2" t="s">
        <v>167</v>
      </c>
      <c r="E1518" s="2" t="s">
        <v>168</v>
      </c>
      <c r="F1518" s="3">
        <f>DATE(2023,3,22)</f>
        <v>45007</v>
      </c>
      <c r="G1518" s="4">
        <f t="shared" si="176"/>
        <v>3</v>
      </c>
      <c r="H1518" s="4">
        <f t="shared" si="177"/>
        <v>2023</v>
      </c>
      <c r="I1518" s="2" t="s">
        <v>4</v>
      </c>
      <c r="J1518" s="2" t="s">
        <v>2230</v>
      </c>
      <c r="K1518" s="2" t="s">
        <v>158</v>
      </c>
      <c r="L1518" s="2" t="s">
        <v>159</v>
      </c>
      <c r="M1518" s="2" t="s">
        <v>160</v>
      </c>
      <c r="N1518" s="4" t="str">
        <f t="shared" si="178"/>
        <v>GAL</v>
      </c>
      <c r="O1518" s="5">
        <v>360</v>
      </c>
    </row>
    <row r="1519" spans="2:15" x14ac:dyDescent="0.25">
      <c r="B1519" s="1" t="s">
        <v>154</v>
      </c>
      <c r="C1519" s="2" t="s">
        <v>155</v>
      </c>
      <c r="D1519" s="2" t="s">
        <v>1838</v>
      </c>
      <c r="E1519" s="2" t="s">
        <v>1839</v>
      </c>
      <c r="F1519" s="3">
        <f>DATE(2023,3,22)</f>
        <v>45007</v>
      </c>
      <c r="G1519" s="4">
        <f t="shared" si="176"/>
        <v>3</v>
      </c>
      <c r="H1519" s="4">
        <f t="shared" si="177"/>
        <v>2023</v>
      </c>
      <c r="I1519" s="2" t="s">
        <v>4</v>
      </c>
      <c r="J1519" s="2" t="s">
        <v>2231</v>
      </c>
      <c r="K1519" s="2" t="s">
        <v>609</v>
      </c>
      <c r="L1519" s="2" t="s">
        <v>610</v>
      </c>
      <c r="M1519" s="2" t="s">
        <v>611</v>
      </c>
      <c r="N1519" s="4" t="str">
        <f t="shared" si="178"/>
        <v>GAL</v>
      </c>
      <c r="O1519" s="5">
        <v>180</v>
      </c>
    </row>
    <row r="1520" spans="2:15" x14ac:dyDescent="0.25">
      <c r="B1520" s="1" t="s">
        <v>154</v>
      </c>
      <c r="C1520" s="2" t="s">
        <v>155</v>
      </c>
      <c r="D1520" s="2" t="s">
        <v>628</v>
      </c>
      <c r="E1520" s="2" t="s">
        <v>629</v>
      </c>
      <c r="F1520" s="3">
        <f>DATE(2023,3,23)</f>
        <v>45008</v>
      </c>
      <c r="G1520" s="4">
        <f t="shared" si="176"/>
        <v>3</v>
      </c>
      <c r="H1520" s="4">
        <f t="shared" si="177"/>
        <v>2023</v>
      </c>
      <c r="I1520" s="2" t="s">
        <v>4</v>
      </c>
      <c r="J1520" s="2" t="s">
        <v>2232</v>
      </c>
      <c r="K1520" s="2" t="s">
        <v>1505</v>
      </c>
      <c r="L1520" s="2" t="s">
        <v>182</v>
      </c>
      <c r="M1520" s="2" t="s">
        <v>183</v>
      </c>
      <c r="N1520" s="4" t="str">
        <f t="shared" si="178"/>
        <v>GAL</v>
      </c>
      <c r="O1520" s="5">
        <v>250</v>
      </c>
    </row>
    <row r="1521" spans="2:15" x14ac:dyDescent="0.25">
      <c r="B1521" s="1" t="s">
        <v>154</v>
      </c>
      <c r="C1521" s="2" t="s">
        <v>155</v>
      </c>
      <c r="D1521" s="2" t="s">
        <v>628</v>
      </c>
      <c r="E1521" s="2" t="s">
        <v>629</v>
      </c>
      <c r="F1521" s="3">
        <f>DATE(2023,3,23)</f>
        <v>45008</v>
      </c>
      <c r="G1521" s="4">
        <f t="shared" si="176"/>
        <v>3</v>
      </c>
      <c r="H1521" s="4">
        <f t="shared" si="177"/>
        <v>2023</v>
      </c>
      <c r="I1521" s="2" t="s">
        <v>4</v>
      </c>
      <c r="J1521" s="2" t="s">
        <v>2233</v>
      </c>
      <c r="K1521" s="2" t="s">
        <v>631</v>
      </c>
      <c r="L1521" s="2" t="s">
        <v>632</v>
      </c>
      <c r="M1521" s="2" t="s">
        <v>633</v>
      </c>
      <c r="N1521" s="4" t="str">
        <f t="shared" si="178"/>
        <v>GAL</v>
      </c>
      <c r="O1521" s="5">
        <v>250</v>
      </c>
    </row>
    <row r="1522" spans="2:15" x14ac:dyDescent="0.25">
      <c r="B1522" s="1" t="s">
        <v>154</v>
      </c>
      <c r="C1522" s="2" t="s">
        <v>155</v>
      </c>
      <c r="D1522" s="2" t="s">
        <v>1103</v>
      </c>
      <c r="E1522" s="2" t="s">
        <v>1104</v>
      </c>
      <c r="F1522" s="3">
        <f>DATE(2023,3,24)</f>
        <v>45009</v>
      </c>
      <c r="G1522" s="4">
        <f t="shared" si="176"/>
        <v>3</v>
      </c>
      <c r="H1522" s="4">
        <f t="shared" si="177"/>
        <v>2023</v>
      </c>
      <c r="I1522" s="2" t="s">
        <v>4</v>
      </c>
      <c r="J1522" s="2" t="s">
        <v>2234</v>
      </c>
      <c r="K1522" s="2" t="s">
        <v>25</v>
      </c>
      <c r="L1522" s="2" t="s">
        <v>541</v>
      </c>
      <c r="M1522" s="2" t="s">
        <v>27</v>
      </c>
      <c r="N1522" s="4" t="str">
        <f t="shared" si="178"/>
        <v>GAL</v>
      </c>
      <c r="O1522" s="5">
        <v>120</v>
      </c>
    </row>
    <row r="1523" spans="2:15" x14ac:dyDescent="0.25">
      <c r="B1523" s="1" t="s">
        <v>154</v>
      </c>
      <c r="C1523" s="2" t="s">
        <v>155</v>
      </c>
      <c r="D1523" s="2" t="s">
        <v>1103</v>
      </c>
      <c r="E1523" s="2" t="s">
        <v>1104</v>
      </c>
      <c r="F1523" s="3">
        <f>DATE(2023,3,24)</f>
        <v>45009</v>
      </c>
      <c r="G1523" s="4">
        <f t="shared" si="176"/>
        <v>3</v>
      </c>
      <c r="H1523" s="4">
        <f t="shared" si="177"/>
        <v>2023</v>
      </c>
      <c r="I1523" s="2" t="s">
        <v>4</v>
      </c>
      <c r="J1523" s="2" t="s">
        <v>2234</v>
      </c>
      <c r="K1523" s="2" t="s">
        <v>2147</v>
      </c>
      <c r="L1523" s="2" t="s">
        <v>2148</v>
      </c>
      <c r="M1523" s="2" t="s">
        <v>41</v>
      </c>
      <c r="N1523" s="4" t="str">
        <f t="shared" si="178"/>
        <v>GAL</v>
      </c>
      <c r="O1523" s="5">
        <v>120</v>
      </c>
    </row>
    <row r="1524" spans="2:15" x14ac:dyDescent="0.25">
      <c r="B1524" s="1" t="s">
        <v>154</v>
      </c>
      <c r="C1524" s="2" t="s">
        <v>155</v>
      </c>
      <c r="D1524" s="2" t="s">
        <v>167</v>
      </c>
      <c r="E1524" s="2" t="s">
        <v>168</v>
      </c>
      <c r="F1524" s="3">
        <f>DATE(2023,3,24)</f>
        <v>45009</v>
      </c>
      <c r="G1524" s="4">
        <f t="shared" si="176"/>
        <v>3</v>
      </c>
      <c r="H1524" s="4">
        <f t="shared" si="177"/>
        <v>2023</v>
      </c>
      <c r="I1524" s="2" t="s">
        <v>4</v>
      </c>
      <c r="J1524" s="2" t="s">
        <v>2235</v>
      </c>
      <c r="K1524" s="2" t="s">
        <v>1496</v>
      </c>
      <c r="L1524" s="2" t="s">
        <v>159</v>
      </c>
      <c r="M1524" s="2" t="s">
        <v>160</v>
      </c>
      <c r="N1524" s="4" t="str">
        <f t="shared" si="178"/>
        <v>GAL</v>
      </c>
      <c r="O1524" s="5">
        <v>1000</v>
      </c>
    </row>
    <row r="1525" spans="2:15" x14ac:dyDescent="0.25">
      <c r="B1525" s="1" t="s">
        <v>154</v>
      </c>
      <c r="C1525" s="2" t="s">
        <v>155</v>
      </c>
      <c r="D1525" s="2" t="s">
        <v>107</v>
      </c>
      <c r="E1525" s="2" t="s">
        <v>108</v>
      </c>
      <c r="F1525" s="3">
        <f>DATE(2023,3,24)</f>
        <v>45009</v>
      </c>
      <c r="G1525" s="4">
        <f t="shared" si="176"/>
        <v>3</v>
      </c>
      <c r="H1525" s="4">
        <f t="shared" si="177"/>
        <v>2023</v>
      </c>
      <c r="I1525" s="2" t="s">
        <v>4</v>
      </c>
      <c r="J1525" s="2" t="s">
        <v>2236</v>
      </c>
      <c r="K1525" s="2" t="s">
        <v>189</v>
      </c>
      <c r="L1525" s="2" t="s">
        <v>190</v>
      </c>
      <c r="M1525" s="2" t="s">
        <v>191</v>
      </c>
      <c r="N1525" s="4" t="str">
        <f t="shared" si="178"/>
        <v>GAL</v>
      </c>
      <c r="O1525" s="5">
        <v>180</v>
      </c>
    </row>
    <row r="1526" spans="2:15" x14ac:dyDescent="0.25">
      <c r="B1526" s="1" t="s">
        <v>154</v>
      </c>
      <c r="C1526" s="2" t="s">
        <v>155</v>
      </c>
      <c r="D1526" s="2" t="s">
        <v>167</v>
      </c>
      <c r="E1526" s="2" t="s">
        <v>168</v>
      </c>
      <c r="F1526" s="3">
        <f>DATE(2023,3,28)</f>
        <v>45013</v>
      </c>
      <c r="G1526" s="4">
        <f t="shared" si="176"/>
        <v>3</v>
      </c>
      <c r="H1526" s="4">
        <f t="shared" si="177"/>
        <v>2023</v>
      </c>
      <c r="I1526" s="2" t="s">
        <v>4</v>
      </c>
      <c r="J1526" s="2" t="s">
        <v>2237</v>
      </c>
      <c r="K1526" s="2" t="s">
        <v>158</v>
      </c>
      <c r="L1526" s="2" t="s">
        <v>159</v>
      </c>
      <c r="M1526" s="2" t="s">
        <v>160</v>
      </c>
      <c r="N1526" s="4" t="str">
        <f t="shared" si="178"/>
        <v>GAL</v>
      </c>
      <c r="O1526" s="5">
        <v>360</v>
      </c>
    </row>
    <row r="1527" spans="2:15" x14ac:dyDescent="0.25">
      <c r="B1527" s="1" t="s">
        <v>154</v>
      </c>
      <c r="C1527" s="2" t="s">
        <v>155</v>
      </c>
      <c r="D1527" s="2" t="s">
        <v>628</v>
      </c>
      <c r="E1527" s="2" t="s">
        <v>629</v>
      </c>
      <c r="F1527" s="3">
        <f>DATE(2023,3,30)</f>
        <v>45015</v>
      </c>
      <c r="G1527" s="4">
        <f t="shared" si="176"/>
        <v>3</v>
      </c>
      <c r="H1527" s="4">
        <f t="shared" si="177"/>
        <v>2023</v>
      </c>
      <c r="I1527" s="2" t="s">
        <v>4</v>
      </c>
      <c r="J1527" s="2" t="s">
        <v>2238</v>
      </c>
      <c r="K1527" s="2" t="s">
        <v>1869</v>
      </c>
      <c r="L1527" s="2" t="s">
        <v>172</v>
      </c>
      <c r="M1527" s="2" t="s">
        <v>27</v>
      </c>
      <c r="N1527" s="4" t="str">
        <f t="shared" si="178"/>
        <v>GAL</v>
      </c>
      <c r="O1527" s="5">
        <v>500</v>
      </c>
    </row>
    <row r="1528" spans="2:15" x14ac:dyDescent="0.25">
      <c r="B1528" s="1" t="s">
        <v>154</v>
      </c>
      <c r="C1528" s="2" t="s">
        <v>155</v>
      </c>
      <c r="D1528" s="2" t="s">
        <v>107</v>
      </c>
      <c r="E1528" s="2" t="s">
        <v>108</v>
      </c>
      <c r="F1528" s="3">
        <f>DATE(2023,3,30)</f>
        <v>45015</v>
      </c>
      <c r="G1528" s="4">
        <f t="shared" si="176"/>
        <v>3</v>
      </c>
      <c r="H1528" s="4">
        <f t="shared" si="177"/>
        <v>2023</v>
      </c>
      <c r="I1528" s="2" t="s">
        <v>4</v>
      </c>
      <c r="J1528" s="2" t="s">
        <v>2239</v>
      </c>
      <c r="K1528" s="2" t="s">
        <v>158</v>
      </c>
      <c r="L1528" s="2" t="s">
        <v>159</v>
      </c>
      <c r="M1528" s="2" t="s">
        <v>160</v>
      </c>
      <c r="N1528" s="4" t="str">
        <f t="shared" si="178"/>
        <v>GAL</v>
      </c>
      <c r="O1528" s="5">
        <v>180</v>
      </c>
    </row>
    <row r="1529" spans="2:15" x14ac:dyDescent="0.25">
      <c r="B1529" s="1" t="s">
        <v>154</v>
      </c>
      <c r="C1529" s="2" t="s">
        <v>155</v>
      </c>
      <c r="D1529" s="2" t="s">
        <v>107</v>
      </c>
      <c r="E1529" s="2" t="s">
        <v>108</v>
      </c>
      <c r="F1529" s="3">
        <f>DATE(2023,3,30)</f>
        <v>45015</v>
      </c>
      <c r="G1529" s="4">
        <f t="shared" si="176"/>
        <v>3</v>
      </c>
      <c r="H1529" s="4">
        <f t="shared" si="177"/>
        <v>2023</v>
      </c>
      <c r="I1529" s="2" t="s">
        <v>4</v>
      </c>
      <c r="J1529" s="2" t="s">
        <v>2239</v>
      </c>
      <c r="K1529" s="2" t="s">
        <v>189</v>
      </c>
      <c r="L1529" s="2" t="s">
        <v>190</v>
      </c>
      <c r="M1529" s="2" t="s">
        <v>191</v>
      </c>
      <c r="N1529" s="4" t="str">
        <f t="shared" si="178"/>
        <v>GAL</v>
      </c>
      <c r="O1529" s="5">
        <v>180</v>
      </c>
    </row>
    <row r="1530" spans="2:15" x14ac:dyDescent="0.25">
      <c r="B1530" s="1" t="s">
        <v>154</v>
      </c>
      <c r="C1530" s="2" t="s">
        <v>155</v>
      </c>
      <c r="D1530" s="2" t="s">
        <v>562</v>
      </c>
      <c r="E1530" s="2" t="s">
        <v>1101</v>
      </c>
      <c r="F1530" s="3">
        <f>DATE(2023,3,31)</f>
        <v>45016</v>
      </c>
      <c r="G1530" s="4">
        <f t="shared" si="176"/>
        <v>3</v>
      </c>
      <c r="H1530" s="4">
        <f t="shared" si="177"/>
        <v>2023</v>
      </c>
      <c r="I1530" s="2" t="s">
        <v>4</v>
      </c>
      <c r="J1530" s="2" t="s">
        <v>2240</v>
      </c>
      <c r="K1530" s="2" t="s">
        <v>83</v>
      </c>
      <c r="L1530" s="2" t="s">
        <v>518</v>
      </c>
      <c r="M1530" s="2" t="s">
        <v>85</v>
      </c>
      <c r="N1530" s="4" t="str">
        <f t="shared" si="178"/>
        <v>GAL</v>
      </c>
      <c r="O1530" s="5">
        <v>180</v>
      </c>
    </row>
    <row r="1531" spans="2:15" x14ac:dyDescent="0.25">
      <c r="B1531" s="1" t="s">
        <v>154</v>
      </c>
      <c r="C1531" s="2" t="s">
        <v>155</v>
      </c>
      <c r="D1531" s="2" t="s">
        <v>591</v>
      </c>
      <c r="E1531" s="2" t="s">
        <v>592</v>
      </c>
      <c r="F1531" s="3">
        <f>DATE(2023,3,31)</f>
        <v>45016</v>
      </c>
      <c r="G1531" s="4">
        <f t="shared" si="176"/>
        <v>3</v>
      </c>
      <c r="H1531" s="4">
        <f t="shared" si="177"/>
        <v>2023</v>
      </c>
      <c r="I1531" s="2" t="s">
        <v>4</v>
      </c>
      <c r="J1531" s="2" t="s">
        <v>2241</v>
      </c>
      <c r="K1531" s="2" t="s">
        <v>1098</v>
      </c>
      <c r="L1531" s="2" t="s">
        <v>632</v>
      </c>
      <c r="M1531" s="2" t="s">
        <v>633</v>
      </c>
      <c r="N1531" s="4" t="str">
        <f t="shared" si="178"/>
        <v>GAL</v>
      </c>
      <c r="O1531" s="5">
        <v>3927</v>
      </c>
    </row>
    <row r="1532" spans="2:15" x14ac:dyDescent="0.25">
      <c r="B1532" s="1" t="s">
        <v>154</v>
      </c>
      <c r="C1532" s="2" t="s">
        <v>155</v>
      </c>
      <c r="D1532" s="2" t="s">
        <v>616</v>
      </c>
      <c r="E1532" s="2" t="s">
        <v>2242</v>
      </c>
      <c r="F1532" s="3">
        <f>DATE(2023,3,31)</f>
        <v>45016</v>
      </c>
      <c r="G1532" s="4">
        <f t="shared" si="176"/>
        <v>3</v>
      </c>
      <c r="H1532" s="4">
        <f t="shared" si="177"/>
        <v>2023</v>
      </c>
      <c r="I1532" s="2" t="s">
        <v>4</v>
      </c>
      <c r="J1532" s="2" t="s">
        <v>2243</v>
      </c>
      <c r="K1532" s="2" t="s">
        <v>83</v>
      </c>
      <c r="L1532" s="2" t="s">
        <v>518</v>
      </c>
      <c r="M1532" s="2" t="s">
        <v>85</v>
      </c>
      <c r="N1532" s="4" t="str">
        <f t="shared" si="178"/>
        <v>GAL</v>
      </c>
      <c r="O1532" s="5">
        <v>62.5</v>
      </c>
    </row>
    <row r="1533" spans="2:15" x14ac:dyDescent="0.25">
      <c r="B1533" s="1" t="s">
        <v>1520</v>
      </c>
      <c r="C1533" s="2" t="s">
        <v>196</v>
      </c>
      <c r="D1533" s="2" t="s">
        <v>449</v>
      </c>
      <c r="E1533" s="2" t="s">
        <v>450</v>
      </c>
      <c r="F1533" s="3">
        <f t="shared" ref="F1533:F1538" si="180">DATE(2023,3,1)</f>
        <v>44986</v>
      </c>
      <c r="G1533" s="4">
        <f t="shared" si="176"/>
        <v>3</v>
      </c>
      <c r="H1533" s="4">
        <f t="shared" si="177"/>
        <v>2023</v>
      </c>
      <c r="I1533" s="2" t="s">
        <v>4</v>
      </c>
      <c r="J1533" s="2" t="s">
        <v>2244</v>
      </c>
      <c r="K1533" s="2" t="s">
        <v>205</v>
      </c>
      <c r="L1533" s="2" t="s">
        <v>206</v>
      </c>
      <c r="M1533" s="2" t="s">
        <v>119</v>
      </c>
      <c r="N1533" s="4" t="str">
        <f t="shared" si="178"/>
        <v>TON</v>
      </c>
      <c r="O1533" s="5">
        <v>4.5</v>
      </c>
    </row>
    <row r="1534" spans="2:15" x14ac:dyDescent="0.25">
      <c r="B1534" s="1" t="s">
        <v>1520</v>
      </c>
      <c r="C1534" s="2" t="s">
        <v>196</v>
      </c>
      <c r="D1534" s="2" t="s">
        <v>210</v>
      </c>
      <c r="E1534" s="2" t="s">
        <v>827</v>
      </c>
      <c r="F1534" s="3">
        <f t="shared" si="180"/>
        <v>44986</v>
      </c>
      <c r="G1534" s="4">
        <f t="shared" si="176"/>
        <v>3</v>
      </c>
      <c r="H1534" s="4">
        <f t="shared" si="177"/>
        <v>2023</v>
      </c>
      <c r="I1534" s="2" t="s">
        <v>4</v>
      </c>
      <c r="J1534" s="2" t="s">
        <v>2245</v>
      </c>
      <c r="K1534" s="2" t="s">
        <v>1379</v>
      </c>
      <c r="L1534" s="2" t="s">
        <v>1380</v>
      </c>
      <c r="M1534" s="2" t="s">
        <v>119</v>
      </c>
      <c r="N1534" s="4" t="str">
        <f t="shared" si="178"/>
        <v>TON</v>
      </c>
      <c r="O1534" s="5">
        <v>4.9974999999999996</v>
      </c>
    </row>
    <row r="1535" spans="2:15" x14ac:dyDescent="0.25">
      <c r="B1535" s="1" t="s">
        <v>1520</v>
      </c>
      <c r="C1535" s="2" t="s">
        <v>196</v>
      </c>
      <c r="D1535" s="2" t="s">
        <v>210</v>
      </c>
      <c r="E1535" s="2" t="s">
        <v>827</v>
      </c>
      <c r="F1535" s="3">
        <f t="shared" si="180"/>
        <v>44986</v>
      </c>
      <c r="G1535" s="4">
        <f t="shared" si="176"/>
        <v>3</v>
      </c>
      <c r="H1535" s="4">
        <f t="shared" si="177"/>
        <v>2023</v>
      </c>
      <c r="I1535" s="2" t="s">
        <v>4</v>
      </c>
      <c r="J1535" s="2" t="s">
        <v>2246</v>
      </c>
      <c r="K1535" s="2" t="s">
        <v>351</v>
      </c>
      <c r="L1535" s="2" t="s">
        <v>352</v>
      </c>
      <c r="M1535" s="2" t="s">
        <v>119</v>
      </c>
      <c r="N1535" s="4" t="str">
        <f t="shared" si="178"/>
        <v>TON</v>
      </c>
      <c r="O1535" s="5">
        <v>10</v>
      </c>
    </row>
    <row r="1536" spans="2:15" x14ac:dyDescent="0.25">
      <c r="B1536" s="1" t="s">
        <v>1520</v>
      </c>
      <c r="C1536" s="2" t="s">
        <v>196</v>
      </c>
      <c r="D1536" s="2" t="s">
        <v>418</v>
      </c>
      <c r="E1536" s="2" t="s">
        <v>770</v>
      </c>
      <c r="F1536" s="3">
        <f t="shared" si="180"/>
        <v>44986</v>
      </c>
      <c r="G1536" s="4">
        <f t="shared" si="176"/>
        <v>3</v>
      </c>
      <c r="H1536" s="4">
        <f t="shared" si="177"/>
        <v>2023</v>
      </c>
      <c r="I1536" s="2" t="s">
        <v>4</v>
      </c>
      <c r="J1536" s="2" t="s">
        <v>2247</v>
      </c>
      <c r="K1536" s="2" t="s">
        <v>2248</v>
      </c>
      <c r="L1536" s="2" t="s">
        <v>2249</v>
      </c>
      <c r="M1536" s="2" t="s">
        <v>119</v>
      </c>
      <c r="N1536" s="4" t="str">
        <f t="shared" si="178"/>
        <v>TON</v>
      </c>
      <c r="O1536" s="5">
        <v>1.25</v>
      </c>
    </row>
    <row r="1537" spans="2:15" x14ac:dyDescent="0.25">
      <c r="B1537" s="1" t="s">
        <v>1520</v>
      </c>
      <c r="C1537" s="2" t="s">
        <v>196</v>
      </c>
      <c r="D1537" s="2" t="s">
        <v>114</v>
      </c>
      <c r="E1537" s="2" t="s">
        <v>927</v>
      </c>
      <c r="F1537" s="3">
        <f t="shared" si="180"/>
        <v>44986</v>
      </c>
      <c r="G1537" s="4">
        <f t="shared" si="176"/>
        <v>3</v>
      </c>
      <c r="H1537" s="4">
        <f t="shared" si="177"/>
        <v>2023</v>
      </c>
      <c r="I1537" s="2" t="s">
        <v>4</v>
      </c>
      <c r="J1537" s="2" t="s">
        <v>2250</v>
      </c>
      <c r="K1537" s="2" t="s">
        <v>390</v>
      </c>
      <c r="L1537" s="2" t="s">
        <v>391</v>
      </c>
      <c r="M1537" s="2" t="s">
        <v>119</v>
      </c>
      <c r="N1537" s="4" t="str">
        <f t="shared" si="178"/>
        <v>TON</v>
      </c>
      <c r="O1537" s="5">
        <v>4.5</v>
      </c>
    </row>
    <row r="1538" spans="2:15" x14ac:dyDescent="0.25">
      <c r="B1538" s="1" t="s">
        <v>1520</v>
      </c>
      <c r="C1538" s="2" t="s">
        <v>196</v>
      </c>
      <c r="D1538" s="2" t="s">
        <v>437</v>
      </c>
      <c r="E1538" s="2" t="s">
        <v>738</v>
      </c>
      <c r="F1538" s="3">
        <f t="shared" si="180"/>
        <v>44986</v>
      </c>
      <c r="G1538" s="4">
        <f t="shared" si="176"/>
        <v>3</v>
      </c>
      <c r="H1538" s="4">
        <f t="shared" si="177"/>
        <v>2023</v>
      </c>
      <c r="I1538" s="2" t="s">
        <v>4</v>
      </c>
      <c r="J1538" s="2" t="s">
        <v>2251</v>
      </c>
      <c r="K1538" s="2" t="s">
        <v>2252</v>
      </c>
      <c r="L1538" s="2" t="s">
        <v>2253</v>
      </c>
      <c r="M1538" s="2" t="s">
        <v>119</v>
      </c>
      <c r="N1538" s="4" t="str">
        <f t="shared" si="178"/>
        <v>TON</v>
      </c>
      <c r="O1538" s="5">
        <v>9.02</v>
      </c>
    </row>
    <row r="1539" spans="2:15" x14ac:dyDescent="0.25">
      <c r="B1539" s="1" t="s">
        <v>1520</v>
      </c>
      <c r="C1539" s="2" t="s">
        <v>196</v>
      </c>
      <c r="D1539" s="2" t="s">
        <v>197</v>
      </c>
      <c r="E1539" s="2" t="s">
        <v>198</v>
      </c>
      <c r="F1539" s="3">
        <f t="shared" ref="F1539:F1544" si="181">DATE(2023,3,2)</f>
        <v>44987</v>
      </c>
      <c r="G1539" s="4">
        <f t="shared" ref="G1539:G1602" si="182">+MONTH(F1539)</f>
        <v>3</v>
      </c>
      <c r="H1539" s="4">
        <f t="shared" ref="H1539:H1602" si="183">+YEAR(F1539)</f>
        <v>2023</v>
      </c>
      <c r="I1539" s="2" t="s">
        <v>4</v>
      </c>
      <c r="J1539" s="2" t="s">
        <v>2254</v>
      </c>
      <c r="K1539" s="2" t="s">
        <v>307</v>
      </c>
      <c r="L1539" s="2" t="s">
        <v>308</v>
      </c>
      <c r="M1539" s="2" t="s">
        <v>119</v>
      </c>
      <c r="N1539" s="4" t="str">
        <f t="shared" ref="N1539:N1602" si="184">+LEFT(M1539,3)</f>
        <v>TON</v>
      </c>
      <c r="O1539" s="5">
        <v>3.4975000000000001</v>
      </c>
    </row>
    <row r="1540" spans="2:15" x14ac:dyDescent="0.25">
      <c r="B1540" s="1" t="s">
        <v>1520</v>
      </c>
      <c r="C1540" s="2" t="s">
        <v>196</v>
      </c>
      <c r="D1540" s="2" t="s">
        <v>285</v>
      </c>
      <c r="E1540" s="2" t="s">
        <v>297</v>
      </c>
      <c r="F1540" s="3">
        <f t="shared" si="181"/>
        <v>44987</v>
      </c>
      <c r="G1540" s="4">
        <f t="shared" si="182"/>
        <v>3</v>
      </c>
      <c r="H1540" s="4">
        <f t="shared" si="183"/>
        <v>2023</v>
      </c>
      <c r="I1540" s="2" t="s">
        <v>4</v>
      </c>
      <c r="J1540" s="2" t="s">
        <v>2255</v>
      </c>
      <c r="K1540" s="2" t="s">
        <v>2256</v>
      </c>
      <c r="L1540" s="2" t="s">
        <v>2257</v>
      </c>
      <c r="M1540" s="2" t="s">
        <v>119</v>
      </c>
      <c r="N1540" s="4" t="str">
        <f t="shared" si="184"/>
        <v>TON</v>
      </c>
      <c r="O1540" s="5">
        <v>8.0124999999999993</v>
      </c>
    </row>
    <row r="1541" spans="2:15" x14ac:dyDescent="0.25">
      <c r="B1541" s="1" t="s">
        <v>1520</v>
      </c>
      <c r="C1541" s="2" t="s">
        <v>196</v>
      </c>
      <c r="D1541" s="2" t="s">
        <v>285</v>
      </c>
      <c r="E1541" s="2" t="s">
        <v>695</v>
      </c>
      <c r="F1541" s="3">
        <f t="shared" si="181"/>
        <v>44987</v>
      </c>
      <c r="G1541" s="4">
        <f t="shared" si="182"/>
        <v>3</v>
      </c>
      <c r="H1541" s="4">
        <f t="shared" si="183"/>
        <v>2023</v>
      </c>
      <c r="I1541" s="2" t="s">
        <v>4</v>
      </c>
      <c r="J1541" s="2" t="s">
        <v>2258</v>
      </c>
      <c r="K1541" s="2" t="s">
        <v>2256</v>
      </c>
      <c r="L1541" s="2" t="s">
        <v>2257</v>
      </c>
      <c r="M1541" s="2" t="s">
        <v>119</v>
      </c>
      <c r="N1541" s="4" t="str">
        <f t="shared" si="184"/>
        <v>TON</v>
      </c>
      <c r="O1541" s="5">
        <v>12</v>
      </c>
    </row>
    <row r="1542" spans="2:15" x14ac:dyDescent="0.25">
      <c r="B1542" s="1" t="s">
        <v>1520</v>
      </c>
      <c r="C1542" s="2" t="s">
        <v>196</v>
      </c>
      <c r="D1542" s="2" t="s">
        <v>280</v>
      </c>
      <c r="E1542" s="2" t="s">
        <v>1673</v>
      </c>
      <c r="F1542" s="3">
        <f t="shared" si="181"/>
        <v>44987</v>
      </c>
      <c r="G1542" s="4">
        <f t="shared" si="182"/>
        <v>3</v>
      </c>
      <c r="H1542" s="4">
        <f t="shared" si="183"/>
        <v>2023</v>
      </c>
      <c r="I1542" s="2" t="s">
        <v>4</v>
      </c>
      <c r="J1542" s="2" t="s">
        <v>2259</v>
      </c>
      <c r="K1542" s="2" t="s">
        <v>1189</v>
      </c>
      <c r="L1542" s="2" t="s">
        <v>1190</v>
      </c>
      <c r="M1542" s="2" t="s">
        <v>139</v>
      </c>
      <c r="N1542" s="4" t="str">
        <f t="shared" si="184"/>
        <v>GAL</v>
      </c>
      <c r="O1542" s="5">
        <v>250</v>
      </c>
    </row>
    <row r="1543" spans="2:15" x14ac:dyDescent="0.25">
      <c r="B1543" s="6" t="s">
        <v>1520</v>
      </c>
      <c r="C1543" s="7" t="s">
        <v>196</v>
      </c>
      <c r="D1543" s="8" t="s">
        <v>299</v>
      </c>
      <c r="E1543" s="8" t="s">
        <v>2260</v>
      </c>
      <c r="F1543" s="9">
        <f t="shared" si="181"/>
        <v>44987</v>
      </c>
      <c r="G1543" s="10">
        <f t="shared" si="182"/>
        <v>3</v>
      </c>
      <c r="H1543" s="10">
        <f t="shared" si="183"/>
        <v>2023</v>
      </c>
      <c r="I1543" s="8" t="s">
        <v>4</v>
      </c>
      <c r="J1543" s="7" t="s">
        <v>2261</v>
      </c>
      <c r="K1543" s="8" t="s">
        <v>2039</v>
      </c>
      <c r="L1543" s="8" t="s">
        <v>2040</v>
      </c>
      <c r="M1543" s="8" t="s">
        <v>119</v>
      </c>
      <c r="N1543" s="10" t="str">
        <f t="shared" si="184"/>
        <v>TON</v>
      </c>
      <c r="O1543" s="11">
        <v>7.0049999999999999</v>
      </c>
    </row>
    <row r="1544" spans="2:15" x14ac:dyDescent="0.25">
      <c r="B1544" s="1" t="s">
        <v>1520</v>
      </c>
      <c r="C1544" s="2" t="s">
        <v>196</v>
      </c>
      <c r="D1544" s="2" t="s">
        <v>299</v>
      </c>
      <c r="E1544" s="2" t="s">
        <v>2262</v>
      </c>
      <c r="F1544" s="3">
        <f t="shared" si="181"/>
        <v>44987</v>
      </c>
      <c r="G1544" s="4">
        <f t="shared" si="182"/>
        <v>3</v>
      </c>
      <c r="H1544" s="4">
        <f t="shared" si="183"/>
        <v>2023</v>
      </c>
      <c r="I1544" s="2" t="s">
        <v>4</v>
      </c>
      <c r="J1544" s="2" t="s">
        <v>2263</v>
      </c>
      <c r="K1544" s="2" t="s">
        <v>390</v>
      </c>
      <c r="L1544" s="2" t="s">
        <v>391</v>
      </c>
      <c r="M1544" s="2" t="s">
        <v>119</v>
      </c>
      <c r="N1544" s="4" t="str">
        <f t="shared" si="184"/>
        <v>TON</v>
      </c>
      <c r="O1544" s="5">
        <v>4.9950000000000001</v>
      </c>
    </row>
    <row r="1545" spans="2:15" x14ac:dyDescent="0.25">
      <c r="B1545" s="6" t="s">
        <v>1520</v>
      </c>
      <c r="C1545" s="7" t="s">
        <v>196</v>
      </c>
      <c r="D1545" s="8" t="s">
        <v>114</v>
      </c>
      <c r="E1545" s="8" t="s">
        <v>369</v>
      </c>
      <c r="F1545" s="9">
        <f t="shared" ref="F1545:F1550" si="185">DATE(2023,3,3)</f>
        <v>44988</v>
      </c>
      <c r="G1545" s="10">
        <f t="shared" si="182"/>
        <v>3</v>
      </c>
      <c r="H1545" s="10">
        <f t="shared" si="183"/>
        <v>2023</v>
      </c>
      <c r="I1545" s="8" t="s">
        <v>4</v>
      </c>
      <c r="J1545" s="7" t="s">
        <v>2264</v>
      </c>
      <c r="K1545" s="8" t="s">
        <v>2039</v>
      </c>
      <c r="L1545" s="8" t="s">
        <v>2040</v>
      </c>
      <c r="M1545" s="8" t="s">
        <v>119</v>
      </c>
      <c r="N1545" s="10" t="str">
        <f t="shared" si="184"/>
        <v>TON</v>
      </c>
      <c r="O1545" s="11">
        <v>2</v>
      </c>
    </row>
    <row r="1546" spans="2:15" x14ac:dyDescent="0.25">
      <c r="B1546" s="1" t="s">
        <v>1520</v>
      </c>
      <c r="C1546" s="2" t="s">
        <v>196</v>
      </c>
      <c r="D1546" s="2" t="s">
        <v>317</v>
      </c>
      <c r="E1546" s="2" t="s">
        <v>319</v>
      </c>
      <c r="F1546" s="3">
        <f t="shared" si="185"/>
        <v>44988</v>
      </c>
      <c r="G1546" s="4">
        <f t="shared" si="182"/>
        <v>3</v>
      </c>
      <c r="H1546" s="4">
        <f t="shared" si="183"/>
        <v>2023</v>
      </c>
      <c r="I1546" s="2" t="s">
        <v>4</v>
      </c>
      <c r="J1546" s="2" t="s">
        <v>2265</v>
      </c>
      <c r="K1546" s="2" t="s">
        <v>390</v>
      </c>
      <c r="L1546" s="2" t="s">
        <v>391</v>
      </c>
      <c r="M1546" s="2" t="s">
        <v>119</v>
      </c>
      <c r="N1546" s="4" t="str">
        <f t="shared" si="184"/>
        <v>TON</v>
      </c>
      <c r="O1546" s="5">
        <v>4.99</v>
      </c>
    </row>
    <row r="1547" spans="2:15" x14ac:dyDescent="0.25">
      <c r="B1547" s="1" t="s">
        <v>1520</v>
      </c>
      <c r="C1547" s="2" t="s">
        <v>196</v>
      </c>
      <c r="D1547" s="2" t="s">
        <v>317</v>
      </c>
      <c r="E1547" s="2" t="s">
        <v>677</v>
      </c>
      <c r="F1547" s="3">
        <f t="shared" si="185"/>
        <v>44988</v>
      </c>
      <c r="G1547" s="4">
        <f t="shared" si="182"/>
        <v>3</v>
      </c>
      <c r="H1547" s="4">
        <f t="shared" si="183"/>
        <v>2023</v>
      </c>
      <c r="I1547" s="2" t="s">
        <v>4</v>
      </c>
      <c r="J1547" s="2" t="s">
        <v>2266</v>
      </c>
      <c r="K1547" s="2" t="s">
        <v>390</v>
      </c>
      <c r="L1547" s="2" t="s">
        <v>391</v>
      </c>
      <c r="M1547" s="2" t="s">
        <v>119</v>
      </c>
      <c r="N1547" s="4" t="str">
        <f t="shared" si="184"/>
        <v>TON</v>
      </c>
      <c r="O1547" s="5">
        <v>5.0175000000000001</v>
      </c>
    </row>
    <row r="1548" spans="2:15" x14ac:dyDescent="0.25">
      <c r="B1548" s="6" t="s">
        <v>1520</v>
      </c>
      <c r="C1548" s="7" t="s">
        <v>196</v>
      </c>
      <c r="D1548" s="8" t="s">
        <v>317</v>
      </c>
      <c r="E1548" s="8" t="s">
        <v>677</v>
      </c>
      <c r="F1548" s="9">
        <f t="shared" si="185"/>
        <v>44988</v>
      </c>
      <c r="G1548" s="10">
        <f t="shared" si="182"/>
        <v>3</v>
      </c>
      <c r="H1548" s="10">
        <f t="shared" si="183"/>
        <v>2023</v>
      </c>
      <c r="I1548" s="8" t="s">
        <v>4</v>
      </c>
      <c r="J1548" s="7" t="s">
        <v>2267</v>
      </c>
      <c r="K1548" s="8" t="s">
        <v>2039</v>
      </c>
      <c r="L1548" s="8" t="s">
        <v>2040</v>
      </c>
      <c r="M1548" s="8" t="s">
        <v>119</v>
      </c>
      <c r="N1548" s="10" t="str">
        <f t="shared" si="184"/>
        <v>TON</v>
      </c>
      <c r="O1548" s="11">
        <v>2.5125000000000002</v>
      </c>
    </row>
    <row r="1549" spans="2:15" x14ac:dyDescent="0.25">
      <c r="B1549" s="1" t="s">
        <v>1520</v>
      </c>
      <c r="C1549" s="2" t="s">
        <v>196</v>
      </c>
      <c r="D1549" s="2" t="s">
        <v>207</v>
      </c>
      <c r="E1549" s="2" t="s">
        <v>208</v>
      </c>
      <c r="F1549" s="3">
        <f t="shared" si="185"/>
        <v>44988</v>
      </c>
      <c r="G1549" s="4">
        <f t="shared" si="182"/>
        <v>3</v>
      </c>
      <c r="H1549" s="4">
        <f t="shared" si="183"/>
        <v>2023</v>
      </c>
      <c r="I1549" s="2" t="s">
        <v>4</v>
      </c>
      <c r="J1549" s="2" t="s">
        <v>2268</v>
      </c>
      <c r="K1549" s="2" t="s">
        <v>205</v>
      </c>
      <c r="L1549" s="2" t="s">
        <v>206</v>
      </c>
      <c r="M1549" s="2" t="s">
        <v>119</v>
      </c>
      <c r="N1549" s="4" t="str">
        <f t="shared" si="184"/>
        <v>TON</v>
      </c>
      <c r="O1549" s="5">
        <v>2.0024999999999999</v>
      </c>
    </row>
    <row r="1550" spans="2:15" x14ac:dyDescent="0.25">
      <c r="B1550" s="1" t="s">
        <v>1520</v>
      </c>
      <c r="C1550" s="2" t="s">
        <v>196</v>
      </c>
      <c r="D1550" s="2" t="s">
        <v>265</v>
      </c>
      <c r="E1550" s="2" t="s">
        <v>266</v>
      </c>
      <c r="F1550" s="3">
        <f t="shared" si="185"/>
        <v>44988</v>
      </c>
      <c r="G1550" s="4">
        <f t="shared" si="182"/>
        <v>3</v>
      </c>
      <c r="H1550" s="4">
        <f t="shared" si="183"/>
        <v>2023</v>
      </c>
      <c r="I1550" s="2" t="s">
        <v>4</v>
      </c>
      <c r="J1550" s="2" t="s">
        <v>2269</v>
      </c>
      <c r="K1550" s="2" t="s">
        <v>268</v>
      </c>
      <c r="L1550" s="2" t="s">
        <v>269</v>
      </c>
      <c r="M1550" s="2" t="s">
        <v>119</v>
      </c>
      <c r="N1550" s="4" t="str">
        <f t="shared" si="184"/>
        <v>TON</v>
      </c>
      <c r="O1550" s="5">
        <v>0.15</v>
      </c>
    </row>
    <row r="1551" spans="2:15" x14ac:dyDescent="0.25">
      <c r="B1551" s="6" t="s">
        <v>1520</v>
      </c>
      <c r="C1551" s="7" t="s">
        <v>196</v>
      </c>
      <c r="D1551" s="8" t="s">
        <v>280</v>
      </c>
      <c r="E1551" s="8" t="s">
        <v>811</v>
      </c>
      <c r="F1551" s="9">
        <f>DATE(2023,3,4)</f>
        <v>44989</v>
      </c>
      <c r="G1551" s="10">
        <f t="shared" si="182"/>
        <v>3</v>
      </c>
      <c r="H1551" s="10">
        <f t="shared" si="183"/>
        <v>2023</v>
      </c>
      <c r="I1551" s="8" t="s">
        <v>4</v>
      </c>
      <c r="J1551" s="7" t="s">
        <v>2270</v>
      </c>
      <c r="K1551" s="8" t="s">
        <v>2039</v>
      </c>
      <c r="L1551" s="8" t="s">
        <v>2040</v>
      </c>
      <c r="M1551" s="8" t="s">
        <v>119</v>
      </c>
      <c r="N1551" s="10" t="str">
        <f t="shared" si="184"/>
        <v>TON</v>
      </c>
      <c r="O1551" s="11">
        <v>13.515000000000001</v>
      </c>
    </row>
    <row r="1552" spans="2:15" x14ac:dyDescent="0.25">
      <c r="B1552" s="1" t="s">
        <v>1520</v>
      </c>
      <c r="C1552" s="2" t="s">
        <v>196</v>
      </c>
      <c r="D1552" s="2" t="s">
        <v>289</v>
      </c>
      <c r="E1552" s="2" t="s">
        <v>290</v>
      </c>
      <c r="F1552" s="3">
        <f>DATE(2023,3,4)</f>
        <v>44989</v>
      </c>
      <c r="G1552" s="4">
        <f t="shared" si="182"/>
        <v>3</v>
      </c>
      <c r="H1552" s="4">
        <f t="shared" si="183"/>
        <v>2023</v>
      </c>
      <c r="I1552" s="2" t="s">
        <v>4</v>
      </c>
      <c r="J1552" s="2" t="s">
        <v>2271</v>
      </c>
      <c r="K1552" s="2" t="s">
        <v>865</v>
      </c>
      <c r="L1552" s="2" t="s">
        <v>866</v>
      </c>
      <c r="M1552" s="2" t="s">
        <v>119</v>
      </c>
      <c r="N1552" s="4" t="str">
        <f t="shared" si="184"/>
        <v>TON</v>
      </c>
      <c r="O1552" s="5">
        <v>1</v>
      </c>
    </row>
    <row r="1553" spans="2:15" x14ac:dyDescent="0.25">
      <c r="B1553" s="1" t="s">
        <v>1520</v>
      </c>
      <c r="C1553" s="2" t="s">
        <v>196</v>
      </c>
      <c r="D1553" s="2" t="s">
        <v>114</v>
      </c>
      <c r="E1553" s="2" t="s">
        <v>369</v>
      </c>
      <c r="F1553" s="3">
        <f>DATE(2023,3,4)</f>
        <v>44989</v>
      </c>
      <c r="G1553" s="4">
        <f t="shared" si="182"/>
        <v>3</v>
      </c>
      <c r="H1553" s="4">
        <f t="shared" si="183"/>
        <v>2023</v>
      </c>
      <c r="I1553" s="2" t="s">
        <v>4</v>
      </c>
      <c r="J1553" s="2" t="s">
        <v>2272</v>
      </c>
      <c r="K1553" s="2" t="s">
        <v>390</v>
      </c>
      <c r="L1553" s="2" t="s">
        <v>391</v>
      </c>
      <c r="M1553" s="2" t="s">
        <v>119</v>
      </c>
      <c r="N1553" s="4" t="str">
        <f t="shared" si="184"/>
        <v>TON</v>
      </c>
      <c r="O1553" s="5">
        <v>4.5</v>
      </c>
    </row>
    <row r="1554" spans="2:15" x14ac:dyDescent="0.25">
      <c r="B1554" s="1" t="s">
        <v>1520</v>
      </c>
      <c r="C1554" s="2" t="s">
        <v>196</v>
      </c>
      <c r="D1554" s="2" t="s">
        <v>715</v>
      </c>
      <c r="E1554" s="2" t="s">
        <v>450</v>
      </c>
      <c r="F1554" s="3">
        <f>DATE(2023,3,6)</f>
        <v>44991</v>
      </c>
      <c r="G1554" s="4">
        <f t="shared" si="182"/>
        <v>3</v>
      </c>
      <c r="H1554" s="4">
        <f t="shared" si="183"/>
        <v>2023</v>
      </c>
      <c r="I1554" s="2" t="s">
        <v>4</v>
      </c>
      <c r="J1554" s="2" t="s">
        <v>2273</v>
      </c>
      <c r="K1554" s="2" t="s">
        <v>329</v>
      </c>
      <c r="L1554" s="2" t="s">
        <v>330</v>
      </c>
      <c r="M1554" s="2" t="s">
        <v>119</v>
      </c>
      <c r="N1554" s="4" t="str">
        <f t="shared" si="184"/>
        <v>TON</v>
      </c>
      <c r="O1554" s="5">
        <v>2.5</v>
      </c>
    </row>
    <row r="1555" spans="2:15" x14ac:dyDescent="0.25">
      <c r="B1555" s="1" t="s">
        <v>1520</v>
      </c>
      <c r="C1555" s="2" t="s">
        <v>196</v>
      </c>
      <c r="D1555" s="2" t="s">
        <v>280</v>
      </c>
      <c r="E1555" s="2" t="s">
        <v>254</v>
      </c>
      <c r="F1555" s="3">
        <f>DATE(2023,3,3)</f>
        <v>44988</v>
      </c>
      <c r="G1555" s="4">
        <f t="shared" si="182"/>
        <v>3</v>
      </c>
      <c r="H1555" s="4">
        <f t="shared" si="183"/>
        <v>2023</v>
      </c>
      <c r="I1555" s="2" t="s">
        <v>4</v>
      </c>
      <c r="J1555" s="2" t="s">
        <v>2274</v>
      </c>
      <c r="K1555" s="2" t="s">
        <v>390</v>
      </c>
      <c r="L1555" s="2" t="s">
        <v>391</v>
      </c>
      <c r="M1555" s="2" t="s">
        <v>119</v>
      </c>
      <c r="N1555" s="4" t="str">
        <f t="shared" si="184"/>
        <v>TON</v>
      </c>
      <c r="O1555" s="5">
        <v>15.012499999999999</v>
      </c>
    </row>
    <row r="1556" spans="2:15" x14ac:dyDescent="0.25">
      <c r="B1556" s="1" t="s">
        <v>1520</v>
      </c>
      <c r="C1556" s="2" t="s">
        <v>196</v>
      </c>
      <c r="D1556" s="2" t="s">
        <v>800</v>
      </c>
      <c r="E1556" s="2" t="s">
        <v>801</v>
      </c>
      <c r="F1556" s="3">
        <f t="shared" ref="F1556:F1565" si="186">DATE(2023,3,6)</f>
        <v>44991</v>
      </c>
      <c r="G1556" s="4">
        <f t="shared" si="182"/>
        <v>3</v>
      </c>
      <c r="H1556" s="4">
        <f t="shared" si="183"/>
        <v>2023</v>
      </c>
      <c r="I1556" s="2" t="s">
        <v>4</v>
      </c>
      <c r="J1556" s="2" t="s">
        <v>2275</v>
      </c>
      <c r="K1556" s="2" t="s">
        <v>122</v>
      </c>
      <c r="L1556" s="2" t="s">
        <v>123</v>
      </c>
      <c r="M1556" s="2" t="s">
        <v>119</v>
      </c>
      <c r="N1556" s="4" t="str">
        <f t="shared" si="184"/>
        <v>TON</v>
      </c>
      <c r="O1556" s="5">
        <v>1.25</v>
      </c>
    </row>
    <row r="1557" spans="2:15" x14ac:dyDescent="0.25">
      <c r="B1557" s="1" t="s">
        <v>1520</v>
      </c>
      <c r="C1557" s="2" t="s">
        <v>196</v>
      </c>
      <c r="D1557" s="2" t="s">
        <v>475</v>
      </c>
      <c r="E1557" s="2" t="s">
        <v>476</v>
      </c>
      <c r="F1557" s="3">
        <f t="shared" si="186"/>
        <v>44991</v>
      </c>
      <c r="G1557" s="4">
        <f t="shared" si="182"/>
        <v>3</v>
      </c>
      <c r="H1557" s="4">
        <f t="shared" si="183"/>
        <v>2023</v>
      </c>
      <c r="I1557" s="2" t="s">
        <v>4</v>
      </c>
      <c r="J1557" s="2" t="s">
        <v>2276</v>
      </c>
      <c r="K1557" s="2" t="s">
        <v>478</v>
      </c>
      <c r="L1557" s="2" t="s">
        <v>479</v>
      </c>
      <c r="M1557" s="2" t="s">
        <v>119</v>
      </c>
      <c r="N1557" s="4" t="str">
        <f t="shared" si="184"/>
        <v>TON</v>
      </c>
      <c r="O1557" s="5">
        <v>2.5</v>
      </c>
    </row>
    <row r="1558" spans="2:15" x14ac:dyDescent="0.25">
      <c r="B1558" s="1" t="s">
        <v>1520</v>
      </c>
      <c r="C1558" s="2" t="s">
        <v>196</v>
      </c>
      <c r="D1558" s="2" t="s">
        <v>238</v>
      </c>
      <c r="E1558" s="2" t="s">
        <v>1156</v>
      </c>
      <c r="F1558" s="3">
        <f t="shared" si="186"/>
        <v>44991</v>
      </c>
      <c r="G1558" s="4">
        <f t="shared" si="182"/>
        <v>3</v>
      </c>
      <c r="H1558" s="4">
        <f t="shared" si="183"/>
        <v>2023</v>
      </c>
      <c r="I1558" s="2" t="s">
        <v>4</v>
      </c>
      <c r="J1558" s="2" t="s">
        <v>2277</v>
      </c>
      <c r="K1558" s="2" t="s">
        <v>1291</v>
      </c>
      <c r="L1558" s="2" t="s">
        <v>1292</v>
      </c>
      <c r="M1558" s="2" t="s">
        <v>119</v>
      </c>
      <c r="N1558" s="4" t="str">
        <f t="shared" si="184"/>
        <v>TON</v>
      </c>
      <c r="O1558" s="5">
        <v>7.5</v>
      </c>
    </row>
    <row r="1559" spans="2:15" x14ac:dyDescent="0.25">
      <c r="B1559" s="1" t="s">
        <v>1520</v>
      </c>
      <c r="C1559" s="2" t="s">
        <v>196</v>
      </c>
      <c r="D1559" s="2" t="s">
        <v>458</v>
      </c>
      <c r="E1559" s="2" t="s">
        <v>2278</v>
      </c>
      <c r="F1559" s="3">
        <f t="shared" si="186"/>
        <v>44991</v>
      </c>
      <c r="G1559" s="4">
        <f t="shared" si="182"/>
        <v>3</v>
      </c>
      <c r="H1559" s="4">
        <f t="shared" si="183"/>
        <v>2023</v>
      </c>
      <c r="I1559" s="2" t="s">
        <v>4</v>
      </c>
      <c r="J1559" s="2" t="s">
        <v>2279</v>
      </c>
      <c r="K1559" s="2" t="s">
        <v>122</v>
      </c>
      <c r="L1559" s="2" t="s">
        <v>123</v>
      </c>
      <c r="M1559" s="2" t="s">
        <v>119</v>
      </c>
      <c r="N1559" s="4" t="str">
        <f t="shared" si="184"/>
        <v>TON</v>
      </c>
      <c r="O1559" s="5">
        <v>7.5</v>
      </c>
    </row>
    <row r="1560" spans="2:15" x14ac:dyDescent="0.25">
      <c r="B1560" s="1" t="s">
        <v>1520</v>
      </c>
      <c r="C1560" s="2" t="s">
        <v>196</v>
      </c>
      <c r="D1560" s="2" t="s">
        <v>374</v>
      </c>
      <c r="E1560" s="2" t="s">
        <v>717</v>
      </c>
      <c r="F1560" s="3">
        <f t="shared" si="186"/>
        <v>44991</v>
      </c>
      <c r="G1560" s="4">
        <f t="shared" si="182"/>
        <v>3</v>
      </c>
      <c r="H1560" s="4">
        <f t="shared" si="183"/>
        <v>2023</v>
      </c>
      <c r="I1560" s="2" t="s">
        <v>4</v>
      </c>
      <c r="J1560" s="2" t="s">
        <v>2280</v>
      </c>
      <c r="K1560" s="2" t="s">
        <v>1232</v>
      </c>
      <c r="L1560" s="2" t="s">
        <v>1233</v>
      </c>
      <c r="M1560" s="2" t="s">
        <v>119</v>
      </c>
      <c r="N1560" s="4" t="str">
        <f t="shared" si="184"/>
        <v>TON</v>
      </c>
      <c r="O1560" s="5">
        <v>5</v>
      </c>
    </row>
    <row r="1561" spans="2:15" x14ac:dyDescent="0.25">
      <c r="B1561" s="1" t="s">
        <v>1520</v>
      </c>
      <c r="C1561" s="2" t="s">
        <v>196</v>
      </c>
      <c r="D1561" s="2" t="s">
        <v>418</v>
      </c>
      <c r="E1561" s="2" t="s">
        <v>419</v>
      </c>
      <c r="F1561" s="3">
        <f t="shared" si="186"/>
        <v>44991</v>
      </c>
      <c r="G1561" s="4">
        <f t="shared" si="182"/>
        <v>3</v>
      </c>
      <c r="H1561" s="4">
        <f t="shared" si="183"/>
        <v>2023</v>
      </c>
      <c r="I1561" s="2" t="s">
        <v>4</v>
      </c>
      <c r="J1561" s="2" t="s">
        <v>2281</v>
      </c>
      <c r="K1561" s="2" t="s">
        <v>422</v>
      </c>
      <c r="L1561" s="2" t="s">
        <v>423</v>
      </c>
      <c r="M1561" s="2" t="s">
        <v>119</v>
      </c>
      <c r="N1561" s="4" t="str">
        <f t="shared" si="184"/>
        <v>TON</v>
      </c>
      <c r="O1561" s="5">
        <v>4.9950000000000001</v>
      </c>
    </row>
    <row r="1562" spans="2:15" x14ac:dyDescent="0.25">
      <c r="B1562" s="1" t="s">
        <v>1520</v>
      </c>
      <c r="C1562" s="2" t="s">
        <v>196</v>
      </c>
      <c r="D1562" s="2" t="s">
        <v>418</v>
      </c>
      <c r="E1562" s="2" t="s">
        <v>419</v>
      </c>
      <c r="F1562" s="3">
        <f t="shared" si="186"/>
        <v>44991</v>
      </c>
      <c r="G1562" s="4">
        <f t="shared" si="182"/>
        <v>3</v>
      </c>
      <c r="H1562" s="4">
        <f t="shared" si="183"/>
        <v>2023</v>
      </c>
      <c r="I1562" s="2" t="s">
        <v>4</v>
      </c>
      <c r="J1562" s="2" t="s">
        <v>2282</v>
      </c>
      <c r="K1562" s="2" t="s">
        <v>334</v>
      </c>
      <c r="L1562" s="2" t="s">
        <v>335</v>
      </c>
      <c r="M1562" s="2" t="s">
        <v>119</v>
      </c>
      <c r="N1562" s="4" t="str">
        <f t="shared" si="184"/>
        <v>TON</v>
      </c>
      <c r="O1562" s="5">
        <v>7.5250000000000004</v>
      </c>
    </row>
    <row r="1563" spans="2:15" x14ac:dyDescent="0.25">
      <c r="B1563" s="1" t="s">
        <v>1520</v>
      </c>
      <c r="C1563" s="2" t="s">
        <v>196</v>
      </c>
      <c r="D1563" s="2" t="s">
        <v>374</v>
      </c>
      <c r="E1563" s="2" t="s">
        <v>717</v>
      </c>
      <c r="F1563" s="3">
        <f t="shared" si="186"/>
        <v>44991</v>
      </c>
      <c r="G1563" s="4">
        <f t="shared" si="182"/>
        <v>3</v>
      </c>
      <c r="H1563" s="4">
        <f t="shared" si="183"/>
        <v>2023</v>
      </c>
      <c r="I1563" s="2" t="s">
        <v>4</v>
      </c>
      <c r="J1563" s="2" t="s">
        <v>2283</v>
      </c>
      <c r="K1563" s="2" t="s">
        <v>823</v>
      </c>
      <c r="L1563" s="2" t="s">
        <v>776</v>
      </c>
      <c r="M1563" s="2" t="s">
        <v>82</v>
      </c>
      <c r="N1563" s="4" t="str">
        <f t="shared" si="184"/>
        <v>GAL</v>
      </c>
      <c r="O1563" s="5">
        <v>500</v>
      </c>
    </row>
    <row r="1564" spans="2:15" x14ac:dyDescent="0.25">
      <c r="B1564" s="1" t="s">
        <v>1520</v>
      </c>
      <c r="C1564" s="2" t="s">
        <v>196</v>
      </c>
      <c r="D1564" s="2" t="s">
        <v>241</v>
      </c>
      <c r="E1564" s="2" t="s">
        <v>242</v>
      </c>
      <c r="F1564" s="3">
        <f t="shared" si="186"/>
        <v>44991</v>
      </c>
      <c r="G1564" s="4">
        <f t="shared" si="182"/>
        <v>3</v>
      </c>
      <c r="H1564" s="4">
        <f t="shared" si="183"/>
        <v>2023</v>
      </c>
      <c r="I1564" s="2" t="s">
        <v>4</v>
      </c>
      <c r="J1564" s="2" t="s">
        <v>2284</v>
      </c>
      <c r="K1564" s="2" t="s">
        <v>260</v>
      </c>
      <c r="L1564" s="2" t="s">
        <v>261</v>
      </c>
      <c r="M1564" s="2" t="s">
        <v>119</v>
      </c>
      <c r="N1564" s="4" t="str">
        <f t="shared" si="184"/>
        <v>TON</v>
      </c>
      <c r="O1564" s="5">
        <v>0.995</v>
      </c>
    </row>
    <row r="1565" spans="2:15" x14ac:dyDescent="0.25">
      <c r="B1565" s="1" t="s">
        <v>1520</v>
      </c>
      <c r="C1565" s="2" t="s">
        <v>196</v>
      </c>
      <c r="D1565" s="2" t="s">
        <v>303</v>
      </c>
      <c r="E1565" s="2" t="s">
        <v>501</v>
      </c>
      <c r="F1565" s="3">
        <f t="shared" si="186"/>
        <v>44991</v>
      </c>
      <c r="G1565" s="4">
        <f t="shared" si="182"/>
        <v>3</v>
      </c>
      <c r="H1565" s="4">
        <f t="shared" si="183"/>
        <v>2023</v>
      </c>
      <c r="I1565" s="2" t="s">
        <v>4</v>
      </c>
      <c r="J1565" s="2" t="s">
        <v>2285</v>
      </c>
      <c r="K1565" s="2" t="s">
        <v>1581</v>
      </c>
      <c r="L1565" s="2" t="s">
        <v>1582</v>
      </c>
      <c r="M1565" s="2" t="s">
        <v>119</v>
      </c>
      <c r="N1565" s="4" t="str">
        <f t="shared" si="184"/>
        <v>TON</v>
      </c>
      <c r="O1565" s="5">
        <v>7.5049999999999999</v>
      </c>
    </row>
    <row r="1566" spans="2:15" x14ac:dyDescent="0.25">
      <c r="B1566" s="1" t="s">
        <v>1520</v>
      </c>
      <c r="C1566" s="2" t="s">
        <v>196</v>
      </c>
      <c r="D1566" s="2" t="s">
        <v>440</v>
      </c>
      <c r="E1566" s="2" t="s">
        <v>1369</v>
      </c>
      <c r="F1566" s="3">
        <f t="shared" ref="F1566:F1571" si="187">DATE(2023,3,7)</f>
        <v>44992</v>
      </c>
      <c r="G1566" s="4">
        <f t="shared" si="182"/>
        <v>3</v>
      </c>
      <c r="H1566" s="4">
        <f t="shared" si="183"/>
        <v>2023</v>
      </c>
      <c r="I1566" s="2" t="s">
        <v>4</v>
      </c>
      <c r="J1566" s="2" t="s">
        <v>2286</v>
      </c>
      <c r="K1566" s="2" t="s">
        <v>2016</v>
      </c>
      <c r="L1566" s="2" t="s">
        <v>2017</v>
      </c>
      <c r="M1566" s="2" t="s">
        <v>119</v>
      </c>
      <c r="N1566" s="4" t="str">
        <f t="shared" si="184"/>
        <v>TON</v>
      </c>
      <c r="O1566" s="5">
        <v>10.0075</v>
      </c>
    </row>
    <row r="1567" spans="2:15" x14ac:dyDescent="0.25">
      <c r="B1567" s="1" t="s">
        <v>1520</v>
      </c>
      <c r="C1567" s="2" t="s">
        <v>196</v>
      </c>
      <c r="D1567" s="2" t="s">
        <v>669</v>
      </c>
      <c r="E1567" s="2" t="s">
        <v>56</v>
      </c>
      <c r="F1567" s="3">
        <f t="shared" si="187"/>
        <v>44992</v>
      </c>
      <c r="G1567" s="4">
        <f t="shared" si="182"/>
        <v>3</v>
      </c>
      <c r="H1567" s="4">
        <f t="shared" si="183"/>
        <v>2023</v>
      </c>
      <c r="I1567" s="2" t="s">
        <v>4</v>
      </c>
      <c r="J1567" s="2" t="s">
        <v>2287</v>
      </c>
      <c r="K1567" s="2" t="s">
        <v>384</v>
      </c>
      <c r="L1567" s="2" t="s">
        <v>385</v>
      </c>
      <c r="M1567" s="2" t="s">
        <v>119</v>
      </c>
      <c r="N1567" s="4" t="str">
        <f t="shared" si="184"/>
        <v>TON</v>
      </c>
      <c r="O1567" s="5">
        <v>2.4925000000000002</v>
      </c>
    </row>
    <row r="1568" spans="2:15" x14ac:dyDescent="0.25">
      <c r="B1568" s="6" t="s">
        <v>1520</v>
      </c>
      <c r="C1568" s="7" t="s">
        <v>196</v>
      </c>
      <c r="D1568" s="8" t="s">
        <v>280</v>
      </c>
      <c r="E1568" s="8" t="s">
        <v>434</v>
      </c>
      <c r="F1568" s="9">
        <f t="shared" si="187"/>
        <v>44992</v>
      </c>
      <c r="G1568" s="10">
        <f t="shared" si="182"/>
        <v>3</v>
      </c>
      <c r="H1568" s="10">
        <f t="shared" si="183"/>
        <v>2023</v>
      </c>
      <c r="I1568" s="8" t="s">
        <v>4</v>
      </c>
      <c r="J1568" s="7" t="s">
        <v>2288</v>
      </c>
      <c r="K1568" s="8" t="s">
        <v>2039</v>
      </c>
      <c r="L1568" s="8" t="s">
        <v>2040</v>
      </c>
      <c r="M1568" s="8" t="s">
        <v>119</v>
      </c>
      <c r="N1568" s="10" t="str">
        <f t="shared" si="184"/>
        <v>TON</v>
      </c>
      <c r="O1568" s="11">
        <v>8.5050000000000008</v>
      </c>
    </row>
    <row r="1569" spans="2:15" x14ac:dyDescent="0.25">
      <c r="B1569" s="1" t="s">
        <v>1520</v>
      </c>
      <c r="C1569" s="2" t="s">
        <v>196</v>
      </c>
      <c r="D1569" s="2" t="s">
        <v>387</v>
      </c>
      <c r="E1569" s="2" t="s">
        <v>797</v>
      </c>
      <c r="F1569" s="3">
        <f t="shared" si="187"/>
        <v>44992</v>
      </c>
      <c r="G1569" s="4">
        <f t="shared" si="182"/>
        <v>3</v>
      </c>
      <c r="H1569" s="4">
        <f t="shared" si="183"/>
        <v>2023</v>
      </c>
      <c r="I1569" s="2" t="s">
        <v>4</v>
      </c>
      <c r="J1569" s="2" t="s">
        <v>2289</v>
      </c>
      <c r="K1569" s="2" t="s">
        <v>2016</v>
      </c>
      <c r="L1569" s="2" t="s">
        <v>2017</v>
      </c>
      <c r="M1569" s="2" t="s">
        <v>119</v>
      </c>
      <c r="N1569" s="4" t="str">
        <f t="shared" si="184"/>
        <v>TON</v>
      </c>
      <c r="O1569" s="5">
        <v>10</v>
      </c>
    </row>
    <row r="1570" spans="2:15" x14ac:dyDescent="0.25">
      <c r="B1570" s="1" t="s">
        <v>645</v>
      </c>
      <c r="C1570" s="2" t="s">
        <v>196</v>
      </c>
      <c r="D1570" s="2" t="s">
        <v>888</v>
      </c>
      <c r="E1570" s="2" t="s">
        <v>888</v>
      </c>
      <c r="F1570" s="3">
        <f t="shared" si="187"/>
        <v>44992</v>
      </c>
      <c r="G1570" s="4">
        <f t="shared" si="182"/>
        <v>3</v>
      </c>
      <c r="H1570" s="4">
        <f t="shared" si="183"/>
        <v>2023</v>
      </c>
      <c r="I1570" s="2" t="s">
        <v>4</v>
      </c>
      <c r="J1570" s="2" t="s">
        <v>2290</v>
      </c>
      <c r="K1570" s="2" t="s">
        <v>268</v>
      </c>
      <c r="L1570" s="2" t="s">
        <v>269</v>
      </c>
      <c r="M1570" s="2" t="s">
        <v>119</v>
      </c>
      <c r="N1570" s="4" t="str">
        <f t="shared" si="184"/>
        <v>TON</v>
      </c>
      <c r="O1570" s="5">
        <v>0.3</v>
      </c>
    </row>
    <row r="1571" spans="2:15" x14ac:dyDescent="0.25">
      <c r="B1571" s="1" t="s">
        <v>1520</v>
      </c>
      <c r="C1571" s="2" t="s">
        <v>196</v>
      </c>
      <c r="D1571" s="2" t="s">
        <v>248</v>
      </c>
      <c r="E1571" s="2" t="s">
        <v>1620</v>
      </c>
      <c r="F1571" s="3">
        <f t="shared" si="187"/>
        <v>44992</v>
      </c>
      <c r="G1571" s="4">
        <f t="shared" si="182"/>
        <v>3</v>
      </c>
      <c r="H1571" s="4">
        <f t="shared" si="183"/>
        <v>2023</v>
      </c>
      <c r="I1571" s="2" t="s">
        <v>4</v>
      </c>
      <c r="J1571" s="2" t="s">
        <v>2291</v>
      </c>
      <c r="K1571" s="2" t="s">
        <v>1622</v>
      </c>
      <c r="L1571" s="2" t="s">
        <v>1623</v>
      </c>
      <c r="M1571" s="2" t="s">
        <v>119</v>
      </c>
      <c r="N1571" s="4" t="str">
        <f t="shared" si="184"/>
        <v>TON</v>
      </c>
      <c r="O1571" s="5">
        <v>10</v>
      </c>
    </row>
    <row r="1572" spans="2:15" x14ac:dyDescent="0.25">
      <c r="B1572" s="1" t="s">
        <v>1520</v>
      </c>
      <c r="C1572" s="2" t="s">
        <v>196</v>
      </c>
      <c r="D1572" s="2" t="s">
        <v>285</v>
      </c>
      <c r="E1572" s="2" t="s">
        <v>297</v>
      </c>
      <c r="F1572" s="3">
        <f t="shared" ref="F1572:F1588" si="188">DATE(2023,3,8)</f>
        <v>44993</v>
      </c>
      <c r="G1572" s="4">
        <f t="shared" si="182"/>
        <v>3</v>
      </c>
      <c r="H1572" s="4">
        <f t="shared" si="183"/>
        <v>2023</v>
      </c>
      <c r="I1572" s="2" t="s">
        <v>4</v>
      </c>
      <c r="J1572" s="2" t="s">
        <v>2292</v>
      </c>
      <c r="K1572" s="2" t="s">
        <v>2256</v>
      </c>
      <c r="L1572" s="2" t="s">
        <v>2257</v>
      </c>
      <c r="M1572" s="2" t="s">
        <v>119</v>
      </c>
      <c r="N1572" s="4" t="str">
        <f t="shared" si="184"/>
        <v>TON</v>
      </c>
      <c r="O1572" s="5">
        <v>5.0025000000000004</v>
      </c>
    </row>
    <row r="1573" spans="2:15" x14ac:dyDescent="0.25">
      <c r="B1573" s="1" t="s">
        <v>1520</v>
      </c>
      <c r="C1573" s="2" t="s">
        <v>196</v>
      </c>
      <c r="D1573" s="2" t="s">
        <v>285</v>
      </c>
      <c r="E1573" s="2" t="s">
        <v>297</v>
      </c>
      <c r="F1573" s="3">
        <f t="shared" si="188"/>
        <v>44993</v>
      </c>
      <c r="G1573" s="4">
        <f t="shared" si="182"/>
        <v>3</v>
      </c>
      <c r="H1573" s="4">
        <f t="shared" si="183"/>
        <v>2023</v>
      </c>
      <c r="I1573" s="2" t="s">
        <v>4</v>
      </c>
      <c r="J1573" s="2" t="s">
        <v>2293</v>
      </c>
      <c r="K1573" s="2" t="s">
        <v>205</v>
      </c>
      <c r="L1573" s="2" t="s">
        <v>206</v>
      </c>
      <c r="M1573" s="2" t="s">
        <v>119</v>
      </c>
      <c r="N1573" s="4" t="str">
        <f t="shared" si="184"/>
        <v>TON</v>
      </c>
      <c r="O1573" s="5">
        <v>8.01</v>
      </c>
    </row>
    <row r="1574" spans="2:15" x14ac:dyDescent="0.25">
      <c r="B1574" s="1" t="s">
        <v>1520</v>
      </c>
      <c r="C1574" s="2" t="s">
        <v>196</v>
      </c>
      <c r="D1574" s="2" t="s">
        <v>299</v>
      </c>
      <c r="E1574" s="2" t="s">
        <v>300</v>
      </c>
      <c r="F1574" s="3">
        <f t="shared" si="188"/>
        <v>44993</v>
      </c>
      <c r="G1574" s="4">
        <f t="shared" si="182"/>
        <v>3</v>
      </c>
      <c r="H1574" s="4">
        <f t="shared" si="183"/>
        <v>2023</v>
      </c>
      <c r="I1574" s="2" t="s">
        <v>4</v>
      </c>
      <c r="J1574" s="2" t="s">
        <v>2294</v>
      </c>
      <c r="K1574" s="2" t="s">
        <v>390</v>
      </c>
      <c r="L1574" s="2" t="s">
        <v>391</v>
      </c>
      <c r="M1574" s="2" t="s">
        <v>119</v>
      </c>
      <c r="N1574" s="4" t="str">
        <f t="shared" si="184"/>
        <v>TON</v>
      </c>
      <c r="O1574" s="5">
        <v>8</v>
      </c>
    </row>
    <row r="1575" spans="2:15" x14ac:dyDescent="0.25">
      <c r="B1575" s="1" t="s">
        <v>1520</v>
      </c>
      <c r="C1575" s="2" t="s">
        <v>196</v>
      </c>
      <c r="D1575" s="2" t="s">
        <v>273</v>
      </c>
      <c r="E1575" s="2" t="s">
        <v>2295</v>
      </c>
      <c r="F1575" s="3">
        <f t="shared" si="188"/>
        <v>44993</v>
      </c>
      <c r="G1575" s="4">
        <f t="shared" si="182"/>
        <v>3</v>
      </c>
      <c r="H1575" s="4">
        <f t="shared" si="183"/>
        <v>2023</v>
      </c>
      <c r="I1575" s="2" t="s">
        <v>4</v>
      </c>
      <c r="J1575" s="2" t="s">
        <v>2296</v>
      </c>
      <c r="K1575" s="2" t="s">
        <v>384</v>
      </c>
      <c r="L1575" s="2" t="s">
        <v>385</v>
      </c>
      <c r="M1575" s="2" t="s">
        <v>119</v>
      </c>
      <c r="N1575" s="4" t="str">
        <f t="shared" si="184"/>
        <v>TON</v>
      </c>
      <c r="O1575" s="5">
        <v>5</v>
      </c>
    </row>
    <row r="1576" spans="2:15" x14ac:dyDescent="0.25">
      <c r="B1576" s="1" t="s">
        <v>1520</v>
      </c>
      <c r="C1576" s="2" t="s">
        <v>196</v>
      </c>
      <c r="D1576" s="2" t="s">
        <v>224</v>
      </c>
      <c r="E1576" s="2" t="s">
        <v>361</v>
      </c>
      <c r="F1576" s="3">
        <f t="shared" si="188"/>
        <v>44993</v>
      </c>
      <c r="G1576" s="4">
        <f t="shared" si="182"/>
        <v>3</v>
      </c>
      <c r="H1576" s="4">
        <f t="shared" si="183"/>
        <v>2023</v>
      </c>
      <c r="I1576" s="2" t="s">
        <v>4</v>
      </c>
      <c r="J1576" s="2" t="s">
        <v>2297</v>
      </c>
      <c r="K1576" s="2" t="s">
        <v>205</v>
      </c>
      <c r="L1576" s="2" t="s">
        <v>206</v>
      </c>
      <c r="M1576" s="2" t="s">
        <v>119</v>
      </c>
      <c r="N1576" s="4" t="str">
        <f t="shared" si="184"/>
        <v>TON</v>
      </c>
      <c r="O1576" s="5">
        <v>4.9974999999999996</v>
      </c>
    </row>
    <row r="1577" spans="2:15" x14ac:dyDescent="0.25">
      <c r="B1577" s="1" t="s">
        <v>1520</v>
      </c>
      <c r="C1577" s="2" t="s">
        <v>196</v>
      </c>
      <c r="D1577" s="2" t="s">
        <v>224</v>
      </c>
      <c r="E1577" s="2" t="s">
        <v>707</v>
      </c>
      <c r="F1577" s="3">
        <f t="shared" si="188"/>
        <v>44993</v>
      </c>
      <c r="G1577" s="4">
        <f t="shared" si="182"/>
        <v>3</v>
      </c>
      <c r="H1577" s="4">
        <f t="shared" si="183"/>
        <v>2023</v>
      </c>
      <c r="I1577" s="2" t="s">
        <v>4</v>
      </c>
      <c r="J1577" s="2" t="s">
        <v>2298</v>
      </c>
      <c r="K1577" s="2" t="s">
        <v>122</v>
      </c>
      <c r="L1577" s="2" t="s">
        <v>123</v>
      </c>
      <c r="M1577" s="2" t="s">
        <v>119</v>
      </c>
      <c r="N1577" s="4" t="str">
        <f t="shared" si="184"/>
        <v>TON</v>
      </c>
      <c r="O1577" s="5">
        <v>0.5</v>
      </c>
    </row>
    <row r="1578" spans="2:15" x14ac:dyDescent="0.25">
      <c r="B1578" s="1" t="s">
        <v>1520</v>
      </c>
      <c r="C1578" s="2" t="s">
        <v>196</v>
      </c>
      <c r="D1578" s="2" t="s">
        <v>452</v>
      </c>
      <c r="E1578" s="2" t="s">
        <v>453</v>
      </c>
      <c r="F1578" s="3">
        <f t="shared" si="188"/>
        <v>44993</v>
      </c>
      <c r="G1578" s="4">
        <f t="shared" si="182"/>
        <v>3</v>
      </c>
      <c r="H1578" s="4">
        <f t="shared" si="183"/>
        <v>2023</v>
      </c>
      <c r="I1578" s="2" t="s">
        <v>4</v>
      </c>
      <c r="J1578" s="2" t="s">
        <v>2299</v>
      </c>
      <c r="K1578" s="2" t="s">
        <v>117</v>
      </c>
      <c r="L1578" s="2" t="s">
        <v>118</v>
      </c>
      <c r="M1578" s="2" t="s">
        <v>119</v>
      </c>
      <c r="N1578" s="4" t="str">
        <f t="shared" si="184"/>
        <v>TON</v>
      </c>
      <c r="O1578" s="5">
        <v>6.5</v>
      </c>
    </row>
    <row r="1579" spans="2:15" x14ac:dyDescent="0.25">
      <c r="B1579" s="6" t="s">
        <v>1520</v>
      </c>
      <c r="C1579" s="7" t="s">
        <v>196</v>
      </c>
      <c r="D1579" s="8" t="s">
        <v>299</v>
      </c>
      <c r="E1579" s="8" t="s">
        <v>300</v>
      </c>
      <c r="F1579" s="9">
        <f t="shared" si="188"/>
        <v>44993</v>
      </c>
      <c r="G1579" s="10">
        <f t="shared" si="182"/>
        <v>3</v>
      </c>
      <c r="H1579" s="10">
        <f t="shared" si="183"/>
        <v>2023</v>
      </c>
      <c r="I1579" s="8" t="s">
        <v>4</v>
      </c>
      <c r="J1579" s="7" t="s">
        <v>2300</v>
      </c>
      <c r="K1579" s="8" t="s">
        <v>2039</v>
      </c>
      <c r="L1579" s="8" t="s">
        <v>2040</v>
      </c>
      <c r="M1579" s="8" t="s">
        <v>119</v>
      </c>
      <c r="N1579" s="10" t="str">
        <f t="shared" si="184"/>
        <v>TON</v>
      </c>
      <c r="O1579" s="11">
        <v>6.4974999999999996</v>
      </c>
    </row>
    <row r="1580" spans="2:15" x14ac:dyDescent="0.25">
      <c r="B1580" s="1" t="s">
        <v>1520</v>
      </c>
      <c r="C1580" s="2" t="s">
        <v>196</v>
      </c>
      <c r="D1580" s="2" t="s">
        <v>114</v>
      </c>
      <c r="E1580" s="2" t="s">
        <v>491</v>
      </c>
      <c r="F1580" s="3">
        <f t="shared" si="188"/>
        <v>44993</v>
      </c>
      <c r="G1580" s="4">
        <f t="shared" si="182"/>
        <v>3</v>
      </c>
      <c r="H1580" s="4">
        <f t="shared" si="183"/>
        <v>2023</v>
      </c>
      <c r="I1580" s="2" t="s">
        <v>4</v>
      </c>
      <c r="J1580" s="2" t="s">
        <v>2301</v>
      </c>
      <c r="K1580" s="2" t="s">
        <v>390</v>
      </c>
      <c r="L1580" s="2" t="s">
        <v>391</v>
      </c>
      <c r="M1580" s="2" t="s">
        <v>119</v>
      </c>
      <c r="N1580" s="4" t="str">
        <f t="shared" si="184"/>
        <v>TON</v>
      </c>
      <c r="O1580" s="5">
        <v>2.5</v>
      </c>
    </row>
    <row r="1581" spans="2:15" x14ac:dyDescent="0.25">
      <c r="B1581" s="6" t="s">
        <v>1520</v>
      </c>
      <c r="C1581" s="7" t="s">
        <v>196</v>
      </c>
      <c r="D1581" s="8" t="s">
        <v>114</v>
      </c>
      <c r="E1581" s="8" t="s">
        <v>1585</v>
      </c>
      <c r="F1581" s="9">
        <f t="shared" si="188"/>
        <v>44993</v>
      </c>
      <c r="G1581" s="10">
        <f t="shared" si="182"/>
        <v>3</v>
      </c>
      <c r="H1581" s="10">
        <f t="shared" si="183"/>
        <v>2023</v>
      </c>
      <c r="I1581" s="8" t="s">
        <v>4</v>
      </c>
      <c r="J1581" s="7" t="s">
        <v>2302</v>
      </c>
      <c r="K1581" s="8" t="s">
        <v>2039</v>
      </c>
      <c r="L1581" s="8" t="s">
        <v>2040</v>
      </c>
      <c r="M1581" s="8" t="s">
        <v>119</v>
      </c>
      <c r="N1581" s="10" t="str">
        <f t="shared" si="184"/>
        <v>TON</v>
      </c>
      <c r="O1581" s="11">
        <v>1.25</v>
      </c>
    </row>
    <row r="1582" spans="2:15" x14ac:dyDescent="0.25">
      <c r="B1582" s="1" t="s">
        <v>1520</v>
      </c>
      <c r="C1582" s="2" t="s">
        <v>196</v>
      </c>
      <c r="D1582" s="2" t="s">
        <v>2002</v>
      </c>
      <c r="E1582" s="2" t="s">
        <v>102</v>
      </c>
      <c r="F1582" s="3">
        <f t="shared" si="188"/>
        <v>44993</v>
      </c>
      <c r="G1582" s="4">
        <f t="shared" si="182"/>
        <v>3</v>
      </c>
      <c r="H1582" s="4">
        <f t="shared" si="183"/>
        <v>2023</v>
      </c>
      <c r="I1582" s="2" t="s">
        <v>4</v>
      </c>
      <c r="J1582" s="2" t="s">
        <v>2303</v>
      </c>
      <c r="K1582" s="2" t="s">
        <v>189</v>
      </c>
      <c r="L1582" s="2" t="s">
        <v>190</v>
      </c>
      <c r="M1582" s="2" t="s">
        <v>191</v>
      </c>
      <c r="N1582" s="4" t="str">
        <f t="shared" si="184"/>
        <v>GAL</v>
      </c>
      <c r="O1582" s="5">
        <v>30</v>
      </c>
    </row>
    <row r="1583" spans="2:15" x14ac:dyDescent="0.25">
      <c r="B1583" s="1" t="s">
        <v>1520</v>
      </c>
      <c r="C1583" s="2" t="s">
        <v>196</v>
      </c>
      <c r="D1583" s="2" t="s">
        <v>669</v>
      </c>
      <c r="E1583" s="2" t="s">
        <v>861</v>
      </c>
      <c r="F1583" s="3">
        <f t="shared" si="188"/>
        <v>44993</v>
      </c>
      <c r="G1583" s="4">
        <f t="shared" si="182"/>
        <v>3</v>
      </c>
      <c r="H1583" s="4">
        <f t="shared" si="183"/>
        <v>2023</v>
      </c>
      <c r="I1583" s="2" t="s">
        <v>4</v>
      </c>
      <c r="J1583" s="2" t="s">
        <v>2304</v>
      </c>
      <c r="K1583" s="2" t="s">
        <v>384</v>
      </c>
      <c r="L1583" s="2" t="s">
        <v>385</v>
      </c>
      <c r="M1583" s="2" t="s">
        <v>119</v>
      </c>
      <c r="N1583" s="4" t="str">
        <f t="shared" si="184"/>
        <v>TON</v>
      </c>
      <c r="O1583" s="5">
        <v>1.01</v>
      </c>
    </row>
    <row r="1584" spans="2:15" x14ac:dyDescent="0.25">
      <c r="B1584" s="1" t="s">
        <v>1520</v>
      </c>
      <c r="C1584" s="2" t="s">
        <v>196</v>
      </c>
      <c r="D1584" s="2" t="s">
        <v>2305</v>
      </c>
      <c r="E1584" s="2" t="s">
        <v>102</v>
      </c>
      <c r="F1584" s="3">
        <f t="shared" si="188"/>
        <v>44993</v>
      </c>
      <c r="G1584" s="4">
        <f t="shared" si="182"/>
        <v>3</v>
      </c>
      <c r="H1584" s="4">
        <f t="shared" si="183"/>
        <v>2023</v>
      </c>
      <c r="I1584" s="2" t="s">
        <v>4</v>
      </c>
      <c r="J1584" s="2" t="s">
        <v>2306</v>
      </c>
      <c r="K1584" s="2" t="s">
        <v>2307</v>
      </c>
      <c r="L1584" s="2" t="s">
        <v>615</v>
      </c>
      <c r="M1584" s="2" t="s">
        <v>41</v>
      </c>
      <c r="N1584" s="4" t="str">
        <f t="shared" si="184"/>
        <v>GAL</v>
      </c>
      <c r="O1584" s="5">
        <v>10</v>
      </c>
    </row>
    <row r="1585" spans="2:15" x14ac:dyDescent="0.25">
      <c r="B1585" s="1" t="s">
        <v>1520</v>
      </c>
      <c r="C1585" s="2" t="s">
        <v>196</v>
      </c>
      <c r="D1585" s="2" t="s">
        <v>280</v>
      </c>
      <c r="E1585" s="2" t="s">
        <v>254</v>
      </c>
      <c r="F1585" s="3">
        <f t="shared" si="188"/>
        <v>44993</v>
      </c>
      <c r="G1585" s="4">
        <f t="shared" si="182"/>
        <v>3</v>
      </c>
      <c r="H1585" s="4">
        <f t="shared" si="183"/>
        <v>2023</v>
      </c>
      <c r="I1585" s="2" t="s">
        <v>4</v>
      </c>
      <c r="J1585" s="2" t="s">
        <v>2308</v>
      </c>
      <c r="K1585" s="2" t="s">
        <v>390</v>
      </c>
      <c r="L1585" s="2" t="s">
        <v>391</v>
      </c>
      <c r="M1585" s="2" t="s">
        <v>119</v>
      </c>
      <c r="N1585" s="4" t="str">
        <f t="shared" si="184"/>
        <v>TON</v>
      </c>
      <c r="O1585" s="5">
        <v>4.99</v>
      </c>
    </row>
    <row r="1586" spans="2:15" x14ac:dyDescent="0.25">
      <c r="B1586" s="1" t="s">
        <v>645</v>
      </c>
      <c r="C1586" s="2" t="s">
        <v>196</v>
      </c>
      <c r="D1586" s="2" t="s">
        <v>310</v>
      </c>
      <c r="E1586" s="2" t="s">
        <v>311</v>
      </c>
      <c r="F1586" s="3">
        <f t="shared" si="188"/>
        <v>44993</v>
      </c>
      <c r="G1586" s="4">
        <f t="shared" si="182"/>
        <v>3</v>
      </c>
      <c r="H1586" s="4">
        <f t="shared" si="183"/>
        <v>2023</v>
      </c>
      <c r="I1586" s="2" t="s">
        <v>4</v>
      </c>
      <c r="J1586" s="2" t="s">
        <v>2309</v>
      </c>
      <c r="K1586" s="2" t="s">
        <v>428</v>
      </c>
      <c r="L1586" s="2" t="s">
        <v>429</v>
      </c>
      <c r="M1586" s="2" t="s">
        <v>119</v>
      </c>
      <c r="N1586" s="4" t="str">
        <f t="shared" si="184"/>
        <v>TON</v>
      </c>
      <c r="O1586" s="5">
        <v>2.9975000000000001</v>
      </c>
    </row>
    <row r="1587" spans="2:15" x14ac:dyDescent="0.25">
      <c r="B1587" s="6" t="s">
        <v>1520</v>
      </c>
      <c r="C1587" s="7" t="s">
        <v>196</v>
      </c>
      <c r="D1587" s="8" t="s">
        <v>114</v>
      </c>
      <c r="E1587" s="8" t="s">
        <v>274</v>
      </c>
      <c r="F1587" s="9">
        <f t="shared" si="188"/>
        <v>44993</v>
      </c>
      <c r="G1587" s="10">
        <f t="shared" si="182"/>
        <v>3</v>
      </c>
      <c r="H1587" s="10">
        <f t="shared" si="183"/>
        <v>2023</v>
      </c>
      <c r="I1587" s="8" t="s">
        <v>4</v>
      </c>
      <c r="J1587" s="7" t="s">
        <v>2310</v>
      </c>
      <c r="K1587" s="8" t="s">
        <v>2039</v>
      </c>
      <c r="L1587" s="8" t="s">
        <v>2040</v>
      </c>
      <c r="M1587" s="8" t="s">
        <v>119</v>
      </c>
      <c r="N1587" s="10" t="str">
        <f t="shared" si="184"/>
        <v>TON</v>
      </c>
      <c r="O1587" s="11">
        <v>4.5</v>
      </c>
    </row>
    <row r="1588" spans="2:15" x14ac:dyDescent="0.25">
      <c r="B1588" s="1" t="s">
        <v>1520</v>
      </c>
      <c r="C1588" s="2" t="s">
        <v>196</v>
      </c>
      <c r="D1588" s="2" t="s">
        <v>715</v>
      </c>
      <c r="E1588" s="2" t="s">
        <v>893</v>
      </c>
      <c r="F1588" s="3">
        <f t="shared" si="188"/>
        <v>44993</v>
      </c>
      <c r="G1588" s="4">
        <f t="shared" si="182"/>
        <v>3</v>
      </c>
      <c r="H1588" s="4">
        <f t="shared" si="183"/>
        <v>2023</v>
      </c>
      <c r="I1588" s="2" t="s">
        <v>4</v>
      </c>
      <c r="J1588" s="2" t="s">
        <v>2311</v>
      </c>
      <c r="K1588" s="2" t="s">
        <v>329</v>
      </c>
      <c r="L1588" s="2" t="s">
        <v>330</v>
      </c>
      <c r="M1588" s="2" t="s">
        <v>119</v>
      </c>
      <c r="N1588" s="4" t="str">
        <f t="shared" si="184"/>
        <v>TON</v>
      </c>
      <c r="O1588" s="5">
        <v>2.5125000000000002</v>
      </c>
    </row>
    <row r="1589" spans="2:15" x14ac:dyDescent="0.25">
      <c r="B1589" s="1" t="s">
        <v>1520</v>
      </c>
      <c r="C1589" s="2" t="s">
        <v>196</v>
      </c>
      <c r="D1589" s="2" t="s">
        <v>227</v>
      </c>
      <c r="E1589" s="2" t="s">
        <v>757</v>
      </c>
      <c r="F1589" s="3">
        <f t="shared" ref="F1589:F1596" si="189">DATE(2023,3,9)</f>
        <v>44994</v>
      </c>
      <c r="G1589" s="4">
        <f t="shared" si="182"/>
        <v>3</v>
      </c>
      <c r="H1589" s="4">
        <f t="shared" si="183"/>
        <v>2023</v>
      </c>
      <c r="I1589" s="2" t="s">
        <v>4</v>
      </c>
      <c r="J1589" s="2" t="s">
        <v>2312</v>
      </c>
      <c r="K1589" s="2" t="s">
        <v>122</v>
      </c>
      <c r="L1589" s="2" t="s">
        <v>123</v>
      </c>
      <c r="M1589" s="2" t="s">
        <v>119</v>
      </c>
      <c r="N1589" s="4" t="str">
        <f t="shared" si="184"/>
        <v>TON</v>
      </c>
      <c r="O1589" s="5">
        <v>5</v>
      </c>
    </row>
    <row r="1590" spans="2:15" x14ac:dyDescent="0.25">
      <c r="B1590" s="6" t="s">
        <v>1520</v>
      </c>
      <c r="C1590" s="7" t="s">
        <v>196</v>
      </c>
      <c r="D1590" s="8" t="s">
        <v>317</v>
      </c>
      <c r="E1590" s="8" t="s">
        <v>366</v>
      </c>
      <c r="F1590" s="9">
        <f t="shared" si="189"/>
        <v>44994</v>
      </c>
      <c r="G1590" s="10">
        <f t="shared" si="182"/>
        <v>3</v>
      </c>
      <c r="H1590" s="10">
        <f t="shared" si="183"/>
        <v>2023</v>
      </c>
      <c r="I1590" s="8" t="s">
        <v>4</v>
      </c>
      <c r="J1590" s="7" t="s">
        <v>2313</v>
      </c>
      <c r="K1590" s="8" t="s">
        <v>2039</v>
      </c>
      <c r="L1590" s="8" t="s">
        <v>2040</v>
      </c>
      <c r="M1590" s="8" t="s">
        <v>119</v>
      </c>
      <c r="N1590" s="10" t="str">
        <f t="shared" si="184"/>
        <v>TON</v>
      </c>
      <c r="O1590" s="11">
        <v>2.5</v>
      </c>
    </row>
    <row r="1591" spans="2:15" x14ac:dyDescent="0.25">
      <c r="B1591" s="1" t="s">
        <v>645</v>
      </c>
      <c r="C1591" s="2" t="s">
        <v>196</v>
      </c>
      <c r="D1591" s="2" t="s">
        <v>888</v>
      </c>
      <c r="E1591" s="2" t="s">
        <v>888</v>
      </c>
      <c r="F1591" s="3">
        <f t="shared" si="189"/>
        <v>44994</v>
      </c>
      <c r="G1591" s="4">
        <f t="shared" si="182"/>
        <v>3</v>
      </c>
      <c r="H1591" s="4">
        <f t="shared" si="183"/>
        <v>2023</v>
      </c>
      <c r="I1591" s="2" t="s">
        <v>4</v>
      </c>
      <c r="J1591" s="2" t="s">
        <v>2314</v>
      </c>
      <c r="K1591" s="2" t="s">
        <v>1239</v>
      </c>
      <c r="L1591" s="2" t="s">
        <v>916</v>
      </c>
      <c r="M1591" s="2" t="s">
        <v>917</v>
      </c>
      <c r="N1591" s="4" t="str">
        <f t="shared" si="184"/>
        <v>GAL</v>
      </c>
      <c r="O1591" s="5">
        <v>5</v>
      </c>
    </row>
    <row r="1592" spans="2:15" x14ac:dyDescent="0.25">
      <c r="B1592" s="1" t="s">
        <v>645</v>
      </c>
      <c r="C1592" s="2" t="s">
        <v>196</v>
      </c>
      <c r="D1592" s="2" t="s">
        <v>888</v>
      </c>
      <c r="E1592" s="2" t="s">
        <v>888</v>
      </c>
      <c r="F1592" s="3">
        <f t="shared" si="189"/>
        <v>44994</v>
      </c>
      <c r="G1592" s="4">
        <f t="shared" si="182"/>
        <v>3</v>
      </c>
      <c r="H1592" s="4">
        <f t="shared" si="183"/>
        <v>2023</v>
      </c>
      <c r="I1592" s="2" t="s">
        <v>4</v>
      </c>
      <c r="J1592" s="2" t="s">
        <v>2315</v>
      </c>
      <c r="K1592" s="2" t="s">
        <v>268</v>
      </c>
      <c r="L1592" s="2" t="s">
        <v>269</v>
      </c>
      <c r="M1592" s="2" t="s">
        <v>119</v>
      </c>
      <c r="N1592" s="4" t="str">
        <f t="shared" si="184"/>
        <v>TON</v>
      </c>
      <c r="O1592" s="5">
        <v>0.3</v>
      </c>
    </row>
    <row r="1593" spans="2:15" x14ac:dyDescent="0.25">
      <c r="B1593" s="1" t="s">
        <v>1520</v>
      </c>
      <c r="C1593" s="2" t="s">
        <v>196</v>
      </c>
      <c r="D1593" s="2" t="s">
        <v>221</v>
      </c>
      <c r="E1593" s="2" t="s">
        <v>222</v>
      </c>
      <c r="F1593" s="3">
        <f t="shared" si="189"/>
        <v>44994</v>
      </c>
      <c r="G1593" s="4">
        <f t="shared" si="182"/>
        <v>3</v>
      </c>
      <c r="H1593" s="4">
        <f t="shared" si="183"/>
        <v>2023</v>
      </c>
      <c r="I1593" s="2" t="s">
        <v>4</v>
      </c>
      <c r="J1593" s="2" t="s">
        <v>2316</v>
      </c>
      <c r="K1593" s="2" t="s">
        <v>205</v>
      </c>
      <c r="L1593" s="2" t="s">
        <v>206</v>
      </c>
      <c r="M1593" s="2" t="s">
        <v>119</v>
      </c>
      <c r="N1593" s="4" t="str">
        <f t="shared" si="184"/>
        <v>TON</v>
      </c>
      <c r="O1593" s="5">
        <v>6</v>
      </c>
    </row>
    <row r="1594" spans="2:15" x14ac:dyDescent="0.25">
      <c r="B1594" s="6" t="s">
        <v>1520</v>
      </c>
      <c r="C1594" s="7" t="s">
        <v>196</v>
      </c>
      <c r="D1594" s="8" t="s">
        <v>299</v>
      </c>
      <c r="E1594" s="8" t="s">
        <v>300</v>
      </c>
      <c r="F1594" s="9">
        <f t="shared" si="189"/>
        <v>44994</v>
      </c>
      <c r="G1594" s="10">
        <f t="shared" si="182"/>
        <v>3</v>
      </c>
      <c r="H1594" s="10">
        <f t="shared" si="183"/>
        <v>2023</v>
      </c>
      <c r="I1594" s="8" t="s">
        <v>4</v>
      </c>
      <c r="J1594" s="7" t="s">
        <v>2317</v>
      </c>
      <c r="K1594" s="8" t="s">
        <v>2039</v>
      </c>
      <c r="L1594" s="8" t="s">
        <v>2040</v>
      </c>
      <c r="M1594" s="8" t="s">
        <v>119</v>
      </c>
      <c r="N1594" s="10" t="str">
        <f t="shared" si="184"/>
        <v>TON</v>
      </c>
      <c r="O1594" s="11">
        <v>3</v>
      </c>
    </row>
    <row r="1595" spans="2:15" x14ac:dyDescent="0.25">
      <c r="B1595" s="1" t="s">
        <v>1520</v>
      </c>
      <c r="C1595" s="2" t="s">
        <v>196</v>
      </c>
      <c r="D1595" s="2" t="s">
        <v>203</v>
      </c>
      <c r="E1595" s="2" t="s">
        <v>102</v>
      </c>
      <c r="F1595" s="3">
        <f t="shared" si="189"/>
        <v>44994</v>
      </c>
      <c r="G1595" s="4">
        <f t="shared" si="182"/>
        <v>3</v>
      </c>
      <c r="H1595" s="4">
        <f t="shared" si="183"/>
        <v>2023</v>
      </c>
      <c r="I1595" s="2" t="s">
        <v>4</v>
      </c>
      <c r="J1595" s="2" t="s">
        <v>2318</v>
      </c>
      <c r="K1595" s="2" t="s">
        <v>205</v>
      </c>
      <c r="L1595" s="2" t="s">
        <v>206</v>
      </c>
      <c r="M1595" s="2" t="s">
        <v>119</v>
      </c>
      <c r="N1595" s="4" t="str">
        <f t="shared" si="184"/>
        <v>TON</v>
      </c>
      <c r="O1595" s="5">
        <v>1</v>
      </c>
    </row>
    <row r="1596" spans="2:15" x14ac:dyDescent="0.25">
      <c r="B1596" s="1" t="s">
        <v>645</v>
      </c>
      <c r="C1596" s="2" t="s">
        <v>196</v>
      </c>
      <c r="D1596" s="2" t="s">
        <v>215</v>
      </c>
      <c r="E1596" s="2" t="s">
        <v>216</v>
      </c>
      <c r="F1596" s="3">
        <f t="shared" si="189"/>
        <v>44994</v>
      </c>
      <c r="G1596" s="4">
        <f t="shared" si="182"/>
        <v>3</v>
      </c>
      <c r="H1596" s="4">
        <f t="shared" si="183"/>
        <v>2023</v>
      </c>
      <c r="I1596" s="2" t="s">
        <v>4</v>
      </c>
      <c r="J1596" s="2" t="s">
        <v>2319</v>
      </c>
      <c r="K1596" s="2" t="s">
        <v>205</v>
      </c>
      <c r="L1596" s="2" t="s">
        <v>206</v>
      </c>
      <c r="M1596" s="2" t="s">
        <v>119</v>
      </c>
      <c r="N1596" s="4" t="str">
        <f t="shared" si="184"/>
        <v>TON</v>
      </c>
      <c r="O1596" s="5">
        <v>1.25</v>
      </c>
    </row>
    <row r="1597" spans="2:15" x14ac:dyDescent="0.25">
      <c r="B1597" s="1" t="s">
        <v>1520</v>
      </c>
      <c r="C1597" s="2" t="s">
        <v>196</v>
      </c>
      <c r="D1597" s="2" t="s">
        <v>374</v>
      </c>
      <c r="E1597" s="2" t="s">
        <v>379</v>
      </c>
      <c r="F1597" s="3">
        <f>DATE(2023,3,10)</f>
        <v>44995</v>
      </c>
      <c r="G1597" s="4">
        <f t="shared" si="182"/>
        <v>3</v>
      </c>
      <c r="H1597" s="4">
        <f t="shared" si="183"/>
        <v>2023</v>
      </c>
      <c r="I1597" s="2" t="s">
        <v>4</v>
      </c>
      <c r="J1597" s="2" t="s">
        <v>2320</v>
      </c>
      <c r="K1597" s="2" t="s">
        <v>1232</v>
      </c>
      <c r="L1597" s="2" t="s">
        <v>1233</v>
      </c>
      <c r="M1597" s="2" t="s">
        <v>119</v>
      </c>
      <c r="N1597" s="4" t="str">
        <f t="shared" si="184"/>
        <v>TON</v>
      </c>
      <c r="O1597" s="5">
        <v>3</v>
      </c>
    </row>
    <row r="1598" spans="2:15" x14ac:dyDescent="0.25">
      <c r="B1598" s="1" t="s">
        <v>1520</v>
      </c>
      <c r="C1598" s="2" t="s">
        <v>196</v>
      </c>
      <c r="D1598" s="2" t="s">
        <v>374</v>
      </c>
      <c r="E1598" s="2" t="s">
        <v>375</v>
      </c>
      <c r="F1598" s="3">
        <f>DATE(2023,3,10)</f>
        <v>44995</v>
      </c>
      <c r="G1598" s="4">
        <f t="shared" si="182"/>
        <v>3</v>
      </c>
      <c r="H1598" s="4">
        <f t="shared" si="183"/>
        <v>2023</v>
      </c>
      <c r="I1598" s="2" t="s">
        <v>4</v>
      </c>
      <c r="J1598" s="2" t="s">
        <v>2321</v>
      </c>
      <c r="K1598" s="2" t="s">
        <v>205</v>
      </c>
      <c r="L1598" s="2" t="s">
        <v>206</v>
      </c>
      <c r="M1598" s="2" t="s">
        <v>119</v>
      </c>
      <c r="N1598" s="4" t="str">
        <f t="shared" si="184"/>
        <v>TON</v>
      </c>
      <c r="O1598" s="5">
        <v>7</v>
      </c>
    </row>
    <row r="1599" spans="2:15" x14ac:dyDescent="0.25">
      <c r="B1599" s="1" t="s">
        <v>645</v>
      </c>
      <c r="C1599" s="2" t="s">
        <v>196</v>
      </c>
      <c r="D1599" s="2" t="s">
        <v>790</v>
      </c>
      <c r="E1599" s="2" t="s">
        <v>1205</v>
      </c>
      <c r="F1599" s="3">
        <f>DATE(2023,3,10)</f>
        <v>44995</v>
      </c>
      <c r="G1599" s="4">
        <f t="shared" si="182"/>
        <v>3</v>
      </c>
      <c r="H1599" s="4">
        <f t="shared" si="183"/>
        <v>2023</v>
      </c>
      <c r="I1599" s="2" t="s">
        <v>4</v>
      </c>
      <c r="J1599" s="2" t="s">
        <v>2322</v>
      </c>
      <c r="K1599" s="2" t="s">
        <v>122</v>
      </c>
      <c r="L1599" s="2" t="s">
        <v>123</v>
      </c>
      <c r="M1599" s="2" t="s">
        <v>119</v>
      </c>
      <c r="N1599" s="4" t="str">
        <f t="shared" si="184"/>
        <v>TON</v>
      </c>
      <c r="O1599" s="5">
        <v>2.48</v>
      </c>
    </row>
    <row r="1600" spans="2:15" x14ac:dyDescent="0.25">
      <c r="B1600" s="6" t="s">
        <v>1520</v>
      </c>
      <c r="C1600" s="7" t="s">
        <v>196</v>
      </c>
      <c r="D1600" s="8" t="s">
        <v>114</v>
      </c>
      <c r="E1600" s="8" t="s">
        <v>402</v>
      </c>
      <c r="F1600" s="9">
        <f>DATE(2023,3,10)</f>
        <v>44995</v>
      </c>
      <c r="G1600" s="10">
        <f t="shared" si="182"/>
        <v>3</v>
      </c>
      <c r="H1600" s="10">
        <f t="shared" si="183"/>
        <v>2023</v>
      </c>
      <c r="I1600" s="8" t="s">
        <v>4</v>
      </c>
      <c r="J1600" s="7" t="s">
        <v>2323</v>
      </c>
      <c r="K1600" s="8" t="s">
        <v>2039</v>
      </c>
      <c r="L1600" s="8" t="s">
        <v>2040</v>
      </c>
      <c r="M1600" s="8" t="s">
        <v>119</v>
      </c>
      <c r="N1600" s="10" t="str">
        <f t="shared" si="184"/>
        <v>TON</v>
      </c>
      <c r="O1600" s="11">
        <v>3.49</v>
      </c>
    </row>
    <row r="1601" spans="2:15" x14ac:dyDescent="0.25">
      <c r="B1601" s="1" t="s">
        <v>1520</v>
      </c>
      <c r="C1601" s="2" t="s">
        <v>196</v>
      </c>
      <c r="D1601" s="2" t="s">
        <v>387</v>
      </c>
      <c r="E1601" s="2" t="s">
        <v>797</v>
      </c>
      <c r="F1601" s="3">
        <f>DATE(2023,3,10)</f>
        <v>44995</v>
      </c>
      <c r="G1601" s="4">
        <f t="shared" si="182"/>
        <v>3</v>
      </c>
      <c r="H1601" s="4">
        <f t="shared" si="183"/>
        <v>2023</v>
      </c>
      <c r="I1601" s="2" t="s">
        <v>4</v>
      </c>
      <c r="J1601" s="2" t="s">
        <v>2324</v>
      </c>
      <c r="K1601" s="2" t="s">
        <v>2325</v>
      </c>
      <c r="L1601" s="2" t="s">
        <v>2326</v>
      </c>
      <c r="M1601" s="2" t="s">
        <v>119</v>
      </c>
      <c r="N1601" s="4" t="str">
        <f t="shared" si="184"/>
        <v>TON</v>
      </c>
      <c r="O1601" s="5">
        <v>10.0075</v>
      </c>
    </row>
    <row r="1602" spans="2:15" x14ac:dyDescent="0.25">
      <c r="B1602" s="1" t="s">
        <v>1520</v>
      </c>
      <c r="C1602" s="2" t="s">
        <v>196</v>
      </c>
      <c r="D1602" s="2" t="s">
        <v>800</v>
      </c>
      <c r="E1602" s="2" t="s">
        <v>907</v>
      </c>
      <c r="F1602" s="3">
        <f>DATE(2023,3,13)</f>
        <v>44998</v>
      </c>
      <c r="G1602" s="4">
        <f t="shared" si="182"/>
        <v>3</v>
      </c>
      <c r="H1602" s="4">
        <f t="shared" si="183"/>
        <v>2023</v>
      </c>
      <c r="I1602" s="2" t="s">
        <v>4</v>
      </c>
      <c r="J1602" s="2" t="s">
        <v>2327</v>
      </c>
      <c r="K1602" s="2" t="s">
        <v>122</v>
      </c>
      <c r="L1602" s="2" t="s">
        <v>123</v>
      </c>
      <c r="M1602" s="2" t="s">
        <v>119</v>
      </c>
      <c r="N1602" s="4" t="str">
        <f t="shared" si="184"/>
        <v>TON</v>
      </c>
      <c r="O1602" s="5">
        <v>2</v>
      </c>
    </row>
    <row r="1603" spans="2:15" x14ac:dyDescent="0.25">
      <c r="B1603" s="6" t="s">
        <v>1520</v>
      </c>
      <c r="C1603" s="7" t="s">
        <v>196</v>
      </c>
      <c r="D1603" s="8" t="s">
        <v>280</v>
      </c>
      <c r="E1603" s="8" t="s">
        <v>364</v>
      </c>
      <c r="F1603" s="9">
        <f>DATE(2023,3,13)</f>
        <v>44998</v>
      </c>
      <c r="G1603" s="10">
        <f t="shared" ref="G1603:G1666" si="190">+MONTH(F1603)</f>
        <v>3</v>
      </c>
      <c r="H1603" s="10">
        <f t="shared" ref="H1603:H1666" si="191">+YEAR(F1603)</f>
        <v>2023</v>
      </c>
      <c r="I1603" s="8" t="s">
        <v>4</v>
      </c>
      <c r="J1603" s="7" t="s">
        <v>2328</v>
      </c>
      <c r="K1603" s="8" t="s">
        <v>2039</v>
      </c>
      <c r="L1603" s="8" t="s">
        <v>2040</v>
      </c>
      <c r="M1603" s="8" t="s">
        <v>119</v>
      </c>
      <c r="N1603" s="10" t="str">
        <f t="shared" ref="N1603:N1666" si="192">+LEFT(M1603,3)</f>
        <v>TON</v>
      </c>
      <c r="O1603" s="11">
        <v>10</v>
      </c>
    </row>
    <row r="1604" spans="2:15" x14ac:dyDescent="0.25">
      <c r="B1604" s="1" t="s">
        <v>1520</v>
      </c>
      <c r="C1604" s="2" t="s">
        <v>196</v>
      </c>
      <c r="D1604" s="2" t="s">
        <v>215</v>
      </c>
      <c r="E1604" s="2" t="s">
        <v>858</v>
      </c>
      <c r="F1604" s="3">
        <f t="shared" ref="F1604:F1609" si="193">DATE(2023,3,14)</f>
        <v>44999</v>
      </c>
      <c r="G1604" s="4">
        <f t="shared" si="190"/>
        <v>3</v>
      </c>
      <c r="H1604" s="4">
        <f t="shared" si="191"/>
        <v>2023</v>
      </c>
      <c r="I1604" s="2" t="s">
        <v>4</v>
      </c>
      <c r="J1604" s="2" t="s">
        <v>2329</v>
      </c>
      <c r="K1604" s="2" t="s">
        <v>447</v>
      </c>
      <c r="L1604" s="2" t="s">
        <v>448</v>
      </c>
      <c r="M1604" s="2" t="s">
        <v>119</v>
      </c>
      <c r="N1604" s="4" t="str">
        <f t="shared" si="192"/>
        <v>TON</v>
      </c>
      <c r="O1604" s="5">
        <v>2.5</v>
      </c>
    </row>
    <row r="1605" spans="2:15" x14ac:dyDescent="0.25">
      <c r="B1605" s="1" t="s">
        <v>1520</v>
      </c>
      <c r="C1605" s="2" t="s">
        <v>196</v>
      </c>
      <c r="D1605" s="2" t="s">
        <v>276</v>
      </c>
      <c r="E1605" s="2" t="s">
        <v>682</v>
      </c>
      <c r="F1605" s="3">
        <f t="shared" si="193"/>
        <v>44999</v>
      </c>
      <c r="G1605" s="4">
        <f t="shared" si="190"/>
        <v>3</v>
      </c>
      <c r="H1605" s="4">
        <f t="shared" si="191"/>
        <v>2023</v>
      </c>
      <c r="I1605" s="2" t="s">
        <v>4</v>
      </c>
      <c r="J1605" s="2" t="s">
        <v>2330</v>
      </c>
      <c r="K1605" s="2" t="s">
        <v>122</v>
      </c>
      <c r="L1605" s="2" t="s">
        <v>123</v>
      </c>
      <c r="M1605" s="2" t="s">
        <v>119</v>
      </c>
      <c r="N1605" s="4" t="str">
        <f t="shared" si="192"/>
        <v>TON</v>
      </c>
      <c r="O1605" s="5">
        <v>5</v>
      </c>
    </row>
    <row r="1606" spans="2:15" x14ac:dyDescent="0.25">
      <c r="B1606" s="1" t="s">
        <v>1520</v>
      </c>
      <c r="C1606" s="2" t="s">
        <v>196</v>
      </c>
      <c r="D1606" s="2" t="s">
        <v>317</v>
      </c>
      <c r="E1606" s="2" t="s">
        <v>677</v>
      </c>
      <c r="F1606" s="3">
        <f t="shared" si="193"/>
        <v>44999</v>
      </c>
      <c r="G1606" s="4">
        <f t="shared" si="190"/>
        <v>3</v>
      </c>
      <c r="H1606" s="4">
        <f t="shared" si="191"/>
        <v>2023</v>
      </c>
      <c r="I1606" s="2" t="s">
        <v>4</v>
      </c>
      <c r="J1606" s="2" t="s">
        <v>2331</v>
      </c>
      <c r="K1606" s="2" t="s">
        <v>390</v>
      </c>
      <c r="L1606" s="2" t="s">
        <v>391</v>
      </c>
      <c r="M1606" s="2" t="s">
        <v>119</v>
      </c>
      <c r="N1606" s="4" t="str">
        <f t="shared" si="192"/>
        <v>TON</v>
      </c>
      <c r="O1606" s="5">
        <v>9.9975000000000005</v>
      </c>
    </row>
    <row r="1607" spans="2:15" x14ac:dyDescent="0.25">
      <c r="B1607" s="1" t="s">
        <v>1520</v>
      </c>
      <c r="C1607" s="2" t="s">
        <v>196</v>
      </c>
      <c r="D1607" s="2" t="s">
        <v>215</v>
      </c>
      <c r="E1607" s="2" t="s">
        <v>313</v>
      </c>
      <c r="F1607" s="3">
        <f t="shared" si="193"/>
        <v>44999</v>
      </c>
      <c r="G1607" s="4">
        <f t="shared" si="190"/>
        <v>3</v>
      </c>
      <c r="H1607" s="4">
        <f t="shared" si="191"/>
        <v>2023</v>
      </c>
      <c r="I1607" s="2" t="s">
        <v>4</v>
      </c>
      <c r="J1607" s="2" t="s">
        <v>2332</v>
      </c>
      <c r="K1607" s="2" t="s">
        <v>205</v>
      </c>
      <c r="L1607" s="2" t="s">
        <v>206</v>
      </c>
      <c r="M1607" s="2" t="s">
        <v>119</v>
      </c>
      <c r="N1607" s="4" t="str">
        <f t="shared" si="192"/>
        <v>TON</v>
      </c>
      <c r="O1607" s="5">
        <v>3.7450000000000001</v>
      </c>
    </row>
    <row r="1608" spans="2:15" x14ac:dyDescent="0.25">
      <c r="B1608" s="1" t="s">
        <v>1520</v>
      </c>
      <c r="C1608" s="2" t="s">
        <v>196</v>
      </c>
      <c r="D1608" s="2" t="s">
        <v>207</v>
      </c>
      <c r="E1608" s="2" t="s">
        <v>208</v>
      </c>
      <c r="F1608" s="3">
        <f t="shared" si="193"/>
        <v>44999</v>
      </c>
      <c r="G1608" s="4">
        <f t="shared" si="190"/>
        <v>3</v>
      </c>
      <c r="H1608" s="4">
        <f t="shared" si="191"/>
        <v>2023</v>
      </c>
      <c r="I1608" s="2" t="s">
        <v>4</v>
      </c>
      <c r="J1608" s="2" t="s">
        <v>2333</v>
      </c>
      <c r="K1608" s="2" t="s">
        <v>205</v>
      </c>
      <c r="L1608" s="2" t="s">
        <v>206</v>
      </c>
      <c r="M1608" s="2" t="s">
        <v>119</v>
      </c>
      <c r="N1608" s="4" t="str">
        <f t="shared" si="192"/>
        <v>TON</v>
      </c>
      <c r="O1608" s="5">
        <v>2.5</v>
      </c>
    </row>
    <row r="1609" spans="2:15" x14ac:dyDescent="0.25">
      <c r="B1609" s="1" t="s">
        <v>1520</v>
      </c>
      <c r="C1609" s="2" t="s">
        <v>196</v>
      </c>
      <c r="D1609" s="2" t="s">
        <v>207</v>
      </c>
      <c r="E1609" s="2" t="s">
        <v>208</v>
      </c>
      <c r="F1609" s="3">
        <f t="shared" si="193"/>
        <v>44999</v>
      </c>
      <c r="G1609" s="4">
        <f t="shared" si="190"/>
        <v>3</v>
      </c>
      <c r="H1609" s="4">
        <f t="shared" si="191"/>
        <v>2023</v>
      </c>
      <c r="I1609" s="2" t="s">
        <v>4</v>
      </c>
      <c r="J1609" s="2" t="s">
        <v>2334</v>
      </c>
      <c r="K1609" s="2" t="s">
        <v>236</v>
      </c>
      <c r="L1609" s="2" t="s">
        <v>237</v>
      </c>
      <c r="M1609" s="2" t="s">
        <v>119</v>
      </c>
      <c r="N1609" s="4" t="str">
        <f t="shared" si="192"/>
        <v>TON</v>
      </c>
      <c r="O1609" s="5">
        <v>2.5099999999999998</v>
      </c>
    </row>
    <row r="1610" spans="2:15" x14ac:dyDescent="0.25">
      <c r="B1610" s="1" t="s">
        <v>1520</v>
      </c>
      <c r="C1610" s="2" t="s">
        <v>196</v>
      </c>
      <c r="D1610" s="2" t="s">
        <v>331</v>
      </c>
      <c r="E1610" s="2" t="s">
        <v>432</v>
      </c>
      <c r="F1610" s="3">
        <f>DATE(2023,3,15)</f>
        <v>45000</v>
      </c>
      <c r="G1610" s="4">
        <f t="shared" si="190"/>
        <v>3</v>
      </c>
      <c r="H1610" s="4">
        <f t="shared" si="191"/>
        <v>2023</v>
      </c>
      <c r="I1610" s="2" t="s">
        <v>4</v>
      </c>
      <c r="J1610" s="2" t="s">
        <v>2335</v>
      </c>
      <c r="K1610" s="2" t="s">
        <v>205</v>
      </c>
      <c r="L1610" s="2" t="s">
        <v>206</v>
      </c>
      <c r="M1610" s="2" t="s">
        <v>119</v>
      </c>
      <c r="N1610" s="4" t="str">
        <f t="shared" si="192"/>
        <v>TON</v>
      </c>
      <c r="O1610" s="5">
        <v>5</v>
      </c>
    </row>
    <row r="1611" spans="2:15" x14ac:dyDescent="0.25">
      <c r="B1611" s="1" t="s">
        <v>1520</v>
      </c>
      <c r="C1611" s="2" t="s">
        <v>196</v>
      </c>
      <c r="D1611" s="2" t="s">
        <v>331</v>
      </c>
      <c r="E1611" s="2" t="s">
        <v>332</v>
      </c>
      <c r="F1611" s="3">
        <f>DATE(2023,3,15)</f>
        <v>45000</v>
      </c>
      <c r="G1611" s="4">
        <f t="shared" si="190"/>
        <v>3</v>
      </c>
      <c r="H1611" s="4">
        <f t="shared" si="191"/>
        <v>2023</v>
      </c>
      <c r="I1611" s="2" t="s">
        <v>4</v>
      </c>
      <c r="J1611" s="2" t="s">
        <v>2336</v>
      </c>
      <c r="K1611" s="2" t="s">
        <v>1364</v>
      </c>
      <c r="L1611" s="2" t="s">
        <v>1365</v>
      </c>
      <c r="M1611" s="2" t="s">
        <v>119</v>
      </c>
      <c r="N1611" s="4" t="str">
        <f t="shared" si="192"/>
        <v>TON</v>
      </c>
      <c r="O1611" s="5">
        <v>5.0049999999999999</v>
      </c>
    </row>
    <row r="1612" spans="2:15" x14ac:dyDescent="0.25">
      <c r="B1612" s="1" t="s">
        <v>1520</v>
      </c>
      <c r="C1612" s="2" t="s">
        <v>196</v>
      </c>
      <c r="D1612" s="2" t="s">
        <v>262</v>
      </c>
      <c r="E1612" s="2" t="s">
        <v>728</v>
      </c>
      <c r="F1612" s="3">
        <f>DATE(2023,3,15)</f>
        <v>45000</v>
      </c>
      <c r="G1612" s="4">
        <f t="shared" si="190"/>
        <v>3</v>
      </c>
      <c r="H1612" s="4">
        <f t="shared" si="191"/>
        <v>2023</v>
      </c>
      <c r="I1612" s="2" t="s">
        <v>4</v>
      </c>
      <c r="J1612" s="2" t="s">
        <v>2337</v>
      </c>
      <c r="K1612" s="2" t="s">
        <v>329</v>
      </c>
      <c r="L1612" s="2" t="s">
        <v>330</v>
      </c>
      <c r="M1612" s="2" t="s">
        <v>119</v>
      </c>
      <c r="N1612" s="4" t="str">
        <f t="shared" si="192"/>
        <v>TON</v>
      </c>
      <c r="O1612" s="5">
        <v>13.494999999999999</v>
      </c>
    </row>
    <row r="1613" spans="2:15" x14ac:dyDescent="0.25">
      <c r="B1613" s="1" t="s">
        <v>1520</v>
      </c>
      <c r="C1613" s="2" t="s">
        <v>196</v>
      </c>
      <c r="D1613" s="2" t="s">
        <v>2338</v>
      </c>
      <c r="E1613" s="2" t="s">
        <v>141</v>
      </c>
      <c r="F1613" s="3">
        <f>DATE(2023,3,16)</f>
        <v>45001</v>
      </c>
      <c r="G1613" s="4">
        <f t="shared" si="190"/>
        <v>3</v>
      </c>
      <c r="H1613" s="4">
        <f t="shared" si="191"/>
        <v>2023</v>
      </c>
      <c r="I1613" s="2" t="s">
        <v>4</v>
      </c>
      <c r="J1613" s="2" t="s">
        <v>2339</v>
      </c>
      <c r="K1613" s="2" t="s">
        <v>2340</v>
      </c>
      <c r="L1613" s="2" t="s">
        <v>2341</v>
      </c>
      <c r="M1613" s="2" t="s">
        <v>2342</v>
      </c>
      <c r="N1613" s="4" t="str">
        <f t="shared" si="192"/>
        <v>GAL</v>
      </c>
      <c r="O1613" s="5">
        <v>30</v>
      </c>
    </row>
    <row r="1614" spans="2:15" x14ac:dyDescent="0.25">
      <c r="B1614" s="1" t="s">
        <v>1520</v>
      </c>
      <c r="C1614" s="2" t="s">
        <v>196</v>
      </c>
      <c r="D1614" s="2" t="s">
        <v>2338</v>
      </c>
      <c r="E1614" s="2" t="s">
        <v>141</v>
      </c>
      <c r="F1614" s="3">
        <f>DATE(2023,3,16)</f>
        <v>45001</v>
      </c>
      <c r="G1614" s="4">
        <f t="shared" si="190"/>
        <v>3</v>
      </c>
      <c r="H1614" s="4">
        <f t="shared" si="191"/>
        <v>2023</v>
      </c>
      <c r="I1614" s="2" t="s">
        <v>4</v>
      </c>
      <c r="J1614" s="2" t="s">
        <v>2339</v>
      </c>
      <c r="K1614" s="2" t="s">
        <v>189</v>
      </c>
      <c r="L1614" s="2" t="s">
        <v>190</v>
      </c>
      <c r="M1614" s="2" t="s">
        <v>191</v>
      </c>
      <c r="N1614" s="4" t="str">
        <f t="shared" si="192"/>
        <v>GAL</v>
      </c>
      <c r="O1614" s="5">
        <v>20</v>
      </c>
    </row>
    <row r="1615" spans="2:15" x14ac:dyDescent="0.25">
      <c r="B1615" s="1" t="s">
        <v>1520</v>
      </c>
      <c r="C1615" s="2" t="s">
        <v>196</v>
      </c>
      <c r="D1615" s="2" t="s">
        <v>215</v>
      </c>
      <c r="E1615" s="2" t="s">
        <v>701</v>
      </c>
      <c r="F1615" s="3">
        <f>DATE(2023,3,16)</f>
        <v>45001</v>
      </c>
      <c r="G1615" s="4">
        <f t="shared" si="190"/>
        <v>3</v>
      </c>
      <c r="H1615" s="4">
        <f t="shared" si="191"/>
        <v>2023</v>
      </c>
      <c r="I1615" s="2" t="s">
        <v>4</v>
      </c>
      <c r="J1615" s="2" t="s">
        <v>2343</v>
      </c>
      <c r="K1615" s="2" t="s">
        <v>205</v>
      </c>
      <c r="L1615" s="2" t="s">
        <v>206</v>
      </c>
      <c r="M1615" s="2" t="s">
        <v>119</v>
      </c>
      <c r="N1615" s="4" t="str">
        <f t="shared" si="192"/>
        <v>TON</v>
      </c>
      <c r="O1615" s="5">
        <v>10.015000000000001</v>
      </c>
    </row>
    <row r="1616" spans="2:15" x14ac:dyDescent="0.25">
      <c r="B1616" s="1" t="s">
        <v>1520</v>
      </c>
      <c r="C1616" s="2" t="s">
        <v>196</v>
      </c>
      <c r="D1616" s="2" t="s">
        <v>280</v>
      </c>
      <c r="E1616" s="2" t="s">
        <v>254</v>
      </c>
      <c r="F1616" s="3">
        <f>DATE(2023,3,17)</f>
        <v>45002</v>
      </c>
      <c r="G1616" s="4">
        <f t="shared" si="190"/>
        <v>3</v>
      </c>
      <c r="H1616" s="4">
        <f t="shared" si="191"/>
        <v>2023</v>
      </c>
      <c r="I1616" s="2" t="s">
        <v>4</v>
      </c>
      <c r="J1616" s="2" t="s">
        <v>2344</v>
      </c>
      <c r="K1616" s="2" t="s">
        <v>390</v>
      </c>
      <c r="L1616" s="2" t="s">
        <v>391</v>
      </c>
      <c r="M1616" s="2" t="s">
        <v>119</v>
      </c>
      <c r="N1616" s="4" t="str">
        <f t="shared" si="192"/>
        <v>TON</v>
      </c>
      <c r="O1616" s="5">
        <v>15.01</v>
      </c>
    </row>
    <row r="1617" spans="2:15" x14ac:dyDescent="0.25">
      <c r="B1617" s="1" t="s">
        <v>1520</v>
      </c>
      <c r="C1617" s="2" t="s">
        <v>196</v>
      </c>
      <c r="D1617" s="2" t="s">
        <v>276</v>
      </c>
      <c r="E1617" s="2" t="s">
        <v>692</v>
      </c>
      <c r="F1617" s="3">
        <f>DATE(2023,3,17)</f>
        <v>45002</v>
      </c>
      <c r="G1617" s="4">
        <f t="shared" si="190"/>
        <v>3</v>
      </c>
      <c r="H1617" s="4">
        <f t="shared" si="191"/>
        <v>2023</v>
      </c>
      <c r="I1617" s="2" t="s">
        <v>4</v>
      </c>
      <c r="J1617" s="2" t="s">
        <v>2345</v>
      </c>
      <c r="K1617" s="2" t="s">
        <v>122</v>
      </c>
      <c r="L1617" s="2" t="s">
        <v>123</v>
      </c>
      <c r="M1617" s="2" t="s">
        <v>119</v>
      </c>
      <c r="N1617" s="4" t="str">
        <f t="shared" si="192"/>
        <v>TON</v>
      </c>
      <c r="O1617" s="5">
        <v>1.9950000000000001</v>
      </c>
    </row>
    <row r="1618" spans="2:15" x14ac:dyDescent="0.25">
      <c r="B1618" s="1" t="s">
        <v>1520</v>
      </c>
      <c r="C1618" s="2" t="s">
        <v>196</v>
      </c>
      <c r="D1618" s="2" t="s">
        <v>285</v>
      </c>
      <c r="E1618" s="2" t="s">
        <v>412</v>
      </c>
      <c r="F1618" s="3">
        <f>DATE(2023,3,17)</f>
        <v>45002</v>
      </c>
      <c r="G1618" s="4">
        <f t="shared" si="190"/>
        <v>3</v>
      </c>
      <c r="H1618" s="4">
        <f t="shared" si="191"/>
        <v>2023</v>
      </c>
      <c r="I1618" s="2" t="s">
        <v>4</v>
      </c>
      <c r="J1618" s="2" t="s">
        <v>2346</v>
      </c>
      <c r="K1618" s="2" t="s">
        <v>2256</v>
      </c>
      <c r="L1618" s="2" t="s">
        <v>2257</v>
      </c>
      <c r="M1618" s="2" t="s">
        <v>119</v>
      </c>
      <c r="N1618" s="4" t="str">
        <f t="shared" si="192"/>
        <v>TON</v>
      </c>
      <c r="O1618" s="5">
        <v>3</v>
      </c>
    </row>
    <row r="1619" spans="2:15" x14ac:dyDescent="0.25">
      <c r="B1619" s="1" t="s">
        <v>1520</v>
      </c>
      <c r="C1619" s="2" t="s">
        <v>196</v>
      </c>
      <c r="D1619" s="2" t="s">
        <v>884</v>
      </c>
      <c r="E1619" s="2" t="s">
        <v>141</v>
      </c>
      <c r="F1619" s="3">
        <f>DATE(2023,3,17)</f>
        <v>45002</v>
      </c>
      <c r="G1619" s="4">
        <f t="shared" si="190"/>
        <v>3</v>
      </c>
      <c r="H1619" s="4">
        <f t="shared" si="191"/>
        <v>2023</v>
      </c>
      <c r="I1619" s="2" t="s">
        <v>4</v>
      </c>
      <c r="J1619" s="2" t="s">
        <v>2347</v>
      </c>
      <c r="K1619" s="2" t="s">
        <v>205</v>
      </c>
      <c r="L1619" s="2" t="s">
        <v>206</v>
      </c>
      <c r="M1619" s="2" t="s">
        <v>119</v>
      </c>
      <c r="N1619" s="4" t="str">
        <f t="shared" si="192"/>
        <v>TON</v>
      </c>
      <c r="O1619" s="5">
        <v>2.5</v>
      </c>
    </row>
    <row r="1620" spans="2:15" x14ac:dyDescent="0.25">
      <c r="B1620" s="1" t="s">
        <v>1520</v>
      </c>
      <c r="C1620" s="2" t="s">
        <v>196</v>
      </c>
      <c r="D1620" s="2" t="s">
        <v>197</v>
      </c>
      <c r="E1620" s="2" t="s">
        <v>198</v>
      </c>
      <c r="F1620" s="3">
        <f t="shared" ref="F1620:F1628" si="194">DATE(2023,3,20)</f>
        <v>45005</v>
      </c>
      <c r="G1620" s="4">
        <f t="shared" si="190"/>
        <v>3</v>
      </c>
      <c r="H1620" s="4">
        <f t="shared" si="191"/>
        <v>2023</v>
      </c>
      <c r="I1620" s="2" t="s">
        <v>4</v>
      </c>
      <c r="J1620" s="2" t="s">
        <v>2348</v>
      </c>
      <c r="K1620" s="2" t="s">
        <v>307</v>
      </c>
      <c r="L1620" s="2" t="s">
        <v>308</v>
      </c>
      <c r="M1620" s="2" t="s">
        <v>119</v>
      </c>
      <c r="N1620" s="4" t="str">
        <f t="shared" si="192"/>
        <v>TON</v>
      </c>
      <c r="O1620" s="5">
        <v>4</v>
      </c>
    </row>
    <row r="1621" spans="2:15" x14ac:dyDescent="0.25">
      <c r="B1621" s="1" t="s">
        <v>1520</v>
      </c>
      <c r="C1621" s="2" t="s">
        <v>196</v>
      </c>
      <c r="D1621" s="2" t="s">
        <v>114</v>
      </c>
      <c r="E1621" s="2" t="s">
        <v>369</v>
      </c>
      <c r="F1621" s="3">
        <f t="shared" si="194"/>
        <v>45005</v>
      </c>
      <c r="G1621" s="4">
        <f t="shared" si="190"/>
        <v>3</v>
      </c>
      <c r="H1621" s="4">
        <f t="shared" si="191"/>
        <v>2023</v>
      </c>
      <c r="I1621" s="2" t="s">
        <v>4</v>
      </c>
      <c r="J1621" s="2" t="s">
        <v>2349</v>
      </c>
      <c r="K1621" s="2" t="s">
        <v>2350</v>
      </c>
      <c r="L1621" s="2" t="s">
        <v>2351</v>
      </c>
      <c r="M1621" s="2" t="s">
        <v>119</v>
      </c>
      <c r="N1621" s="4" t="str">
        <f t="shared" si="192"/>
        <v>TON</v>
      </c>
      <c r="O1621" s="5">
        <v>6.0125000000000002</v>
      </c>
    </row>
    <row r="1622" spans="2:15" x14ac:dyDescent="0.25">
      <c r="B1622" s="1" t="s">
        <v>1520</v>
      </c>
      <c r="C1622" s="2" t="s">
        <v>196</v>
      </c>
      <c r="D1622" s="2" t="s">
        <v>440</v>
      </c>
      <c r="E1622" s="2" t="s">
        <v>441</v>
      </c>
      <c r="F1622" s="3">
        <f t="shared" si="194"/>
        <v>45005</v>
      </c>
      <c r="G1622" s="4">
        <f t="shared" si="190"/>
        <v>3</v>
      </c>
      <c r="H1622" s="4">
        <f t="shared" si="191"/>
        <v>2023</v>
      </c>
      <c r="I1622" s="2" t="s">
        <v>4</v>
      </c>
      <c r="J1622" s="2" t="s">
        <v>2352</v>
      </c>
      <c r="K1622" s="2" t="s">
        <v>2325</v>
      </c>
      <c r="L1622" s="2" t="s">
        <v>2326</v>
      </c>
      <c r="M1622" s="2" t="s">
        <v>119</v>
      </c>
      <c r="N1622" s="4" t="str">
        <f t="shared" si="192"/>
        <v>TON</v>
      </c>
      <c r="O1622" s="5">
        <v>10.0075</v>
      </c>
    </row>
    <row r="1623" spans="2:15" x14ac:dyDescent="0.25">
      <c r="B1623" s="1" t="s">
        <v>1520</v>
      </c>
      <c r="C1623" s="2" t="s">
        <v>196</v>
      </c>
      <c r="D1623" s="2" t="s">
        <v>283</v>
      </c>
      <c r="E1623" s="2" t="s">
        <v>382</v>
      </c>
      <c r="F1623" s="3">
        <f t="shared" si="194"/>
        <v>45005</v>
      </c>
      <c r="G1623" s="4">
        <f t="shared" si="190"/>
        <v>3</v>
      </c>
      <c r="H1623" s="4">
        <f t="shared" si="191"/>
        <v>2023</v>
      </c>
      <c r="I1623" s="2" t="s">
        <v>4</v>
      </c>
      <c r="J1623" s="2" t="s">
        <v>2353</v>
      </c>
      <c r="K1623" s="2" t="s">
        <v>384</v>
      </c>
      <c r="L1623" s="2" t="s">
        <v>385</v>
      </c>
      <c r="M1623" s="2" t="s">
        <v>119</v>
      </c>
      <c r="N1623" s="4" t="str">
        <f t="shared" si="192"/>
        <v>TON</v>
      </c>
      <c r="O1623" s="5">
        <v>1.5</v>
      </c>
    </row>
    <row r="1624" spans="2:15" x14ac:dyDescent="0.25">
      <c r="B1624" s="1" t="s">
        <v>1520</v>
      </c>
      <c r="C1624" s="2" t="s">
        <v>196</v>
      </c>
      <c r="D1624" s="2" t="s">
        <v>679</v>
      </c>
      <c r="E1624" s="2" t="s">
        <v>680</v>
      </c>
      <c r="F1624" s="3">
        <f t="shared" si="194"/>
        <v>45005</v>
      </c>
      <c r="G1624" s="4">
        <f t="shared" si="190"/>
        <v>3</v>
      </c>
      <c r="H1624" s="4">
        <f t="shared" si="191"/>
        <v>2023</v>
      </c>
      <c r="I1624" s="2" t="s">
        <v>4</v>
      </c>
      <c r="J1624" s="2" t="s">
        <v>2354</v>
      </c>
      <c r="K1624" s="2" t="s">
        <v>122</v>
      </c>
      <c r="L1624" s="2" t="s">
        <v>123</v>
      </c>
      <c r="M1624" s="2" t="s">
        <v>119</v>
      </c>
      <c r="N1624" s="4" t="str">
        <f t="shared" si="192"/>
        <v>TON</v>
      </c>
      <c r="O1624" s="5">
        <v>1</v>
      </c>
    </row>
    <row r="1625" spans="2:15" x14ac:dyDescent="0.25">
      <c r="B1625" s="1" t="s">
        <v>1520</v>
      </c>
      <c r="C1625" s="2" t="s">
        <v>196</v>
      </c>
      <c r="D1625" s="2" t="s">
        <v>374</v>
      </c>
      <c r="E1625" s="2" t="s">
        <v>375</v>
      </c>
      <c r="F1625" s="3">
        <f t="shared" si="194"/>
        <v>45005</v>
      </c>
      <c r="G1625" s="4">
        <f t="shared" si="190"/>
        <v>3</v>
      </c>
      <c r="H1625" s="4">
        <f t="shared" si="191"/>
        <v>2023</v>
      </c>
      <c r="I1625" s="2" t="s">
        <v>4</v>
      </c>
      <c r="J1625" s="2" t="s">
        <v>2355</v>
      </c>
      <c r="K1625" s="2" t="s">
        <v>205</v>
      </c>
      <c r="L1625" s="2" t="s">
        <v>206</v>
      </c>
      <c r="M1625" s="2" t="s">
        <v>119</v>
      </c>
      <c r="N1625" s="4" t="str">
        <f t="shared" si="192"/>
        <v>TON</v>
      </c>
      <c r="O1625" s="5">
        <v>5</v>
      </c>
    </row>
    <row r="1626" spans="2:15" x14ac:dyDescent="0.25">
      <c r="B1626" s="1" t="s">
        <v>1520</v>
      </c>
      <c r="C1626" s="2" t="s">
        <v>196</v>
      </c>
      <c r="D1626" s="2" t="s">
        <v>299</v>
      </c>
      <c r="E1626" s="2" t="s">
        <v>2262</v>
      </c>
      <c r="F1626" s="3">
        <f t="shared" si="194"/>
        <v>45005</v>
      </c>
      <c r="G1626" s="4">
        <f t="shared" si="190"/>
        <v>3</v>
      </c>
      <c r="H1626" s="4">
        <f t="shared" si="191"/>
        <v>2023</v>
      </c>
      <c r="I1626" s="2" t="s">
        <v>4</v>
      </c>
      <c r="J1626" s="2" t="s">
        <v>2356</v>
      </c>
      <c r="K1626" s="2" t="s">
        <v>2350</v>
      </c>
      <c r="L1626" s="2" t="s">
        <v>2351</v>
      </c>
      <c r="M1626" s="2" t="s">
        <v>119</v>
      </c>
      <c r="N1626" s="4" t="str">
        <f t="shared" si="192"/>
        <v>TON</v>
      </c>
      <c r="O1626" s="5">
        <v>1.9975000000000001</v>
      </c>
    </row>
    <row r="1627" spans="2:15" x14ac:dyDescent="0.25">
      <c r="B1627" s="1" t="s">
        <v>1520</v>
      </c>
      <c r="C1627" s="2" t="s">
        <v>196</v>
      </c>
      <c r="D1627" s="2" t="s">
        <v>270</v>
      </c>
      <c r="E1627" s="2" t="s">
        <v>400</v>
      </c>
      <c r="F1627" s="3">
        <f t="shared" si="194"/>
        <v>45005</v>
      </c>
      <c r="G1627" s="4">
        <f t="shared" si="190"/>
        <v>3</v>
      </c>
      <c r="H1627" s="4">
        <f t="shared" si="191"/>
        <v>2023</v>
      </c>
      <c r="I1627" s="2" t="s">
        <v>4</v>
      </c>
      <c r="J1627" s="2" t="s">
        <v>2357</v>
      </c>
      <c r="K1627" s="2" t="s">
        <v>205</v>
      </c>
      <c r="L1627" s="2" t="s">
        <v>206</v>
      </c>
      <c r="M1627" s="2" t="s">
        <v>119</v>
      </c>
      <c r="N1627" s="4" t="str">
        <f t="shared" si="192"/>
        <v>TON</v>
      </c>
      <c r="O1627" s="5">
        <v>2.5049999999999999</v>
      </c>
    </row>
    <row r="1628" spans="2:15" x14ac:dyDescent="0.25">
      <c r="B1628" s="1" t="s">
        <v>1520</v>
      </c>
      <c r="C1628" s="2" t="s">
        <v>196</v>
      </c>
      <c r="D1628" s="2" t="s">
        <v>321</v>
      </c>
      <c r="E1628" s="2" t="s">
        <v>1200</v>
      </c>
      <c r="F1628" s="3">
        <f t="shared" si="194"/>
        <v>45005</v>
      </c>
      <c r="G1628" s="4">
        <f t="shared" si="190"/>
        <v>3</v>
      </c>
      <c r="H1628" s="4">
        <f t="shared" si="191"/>
        <v>2023</v>
      </c>
      <c r="I1628" s="2" t="s">
        <v>4</v>
      </c>
      <c r="J1628" s="2" t="s">
        <v>2358</v>
      </c>
      <c r="K1628" s="2" t="s">
        <v>394</v>
      </c>
      <c r="L1628" s="2" t="s">
        <v>395</v>
      </c>
      <c r="M1628" s="2" t="s">
        <v>119</v>
      </c>
      <c r="N1628" s="4" t="str">
        <f t="shared" si="192"/>
        <v>TON</v>
      </c>
      <c r="O1628" s="5">
        <v>2.5</v>
      </c>
    </row>
    <row r="1629" spans="2:15" x14ac:dyDescent="0.25">
      <c r="B1629" s="1" t="s">
        <v>1520</v>
      </c>
      <c r="C1629" s="2" t="s">
        <v>196</v>
      </c>
      <c r="D1629" s="2" t="s">
        <v>265</v>
      </c>
      <c r="E1629" s="2" t="s">
        <v>266</v>
      </c>
      <c r="F1629" s="3">
        <f>DATE(2023,3,22)</f>
        <v>45007</v>
      </c>
      <c r="G1629" s="4">
        <f t="shared" si="190"/>
        <v>3</v>
      </c>
      <c r="H1629" s="4">
        <f t="shared" si="191"/>
        <v>2023</v>
      </c>
      <c r="I1629" s="2" t="s">
        <v>4</v>
      </c>
      <c r="J1629" s="2" t="s">
        <v>2359</v>
      </c>
      <c r="K1629" s="2" t="s">
        <v>268</v>
      </c>
      <c r="L1629" s="2" t="s">
        <v>269</v>
      </c>
      <c r="M1629" s="2" t="s">
        <v>119</v>
      </c>
      <c r="N1629" s="4" t="str">
        <f t="shared" si="192"/>
        <v>TON</v>
      </c>
      <c r="O1629" s="5">
        <v>0.15</v>
      </c>
    </row>
    <row r="1630" spans="2:15" x14ac:dyDescent="0.25">
      <c r="B1630" s="1" t="s">
        <v>1520</v>
      </c>
      <c r="C1630" s="2" t="s">
        <v>196</v>
      </c>
      <c r="D1630" s="2" t="s">
        <v>1345</v>
      </c>
      <c r="E1630" s="2" t="s">
        <v>1346</v>
      </c>
      <c r="F1630" s="3">
        <f>DATE(2023,3,22)</f>
        <v>45007</v>
      </c>
      <c r="G1630" s="4">
        <f t="shared" si="190"/>
        <v>3</v>
      </c>
      <c r="H1630" s="4">
        <f t="shared" si="191"/>
        <v>2023</v>
      </c>
      <c r="I1630" s="2" t="s">
        <v>4</v>
      </c>
      <c r="J1630" s="2" t="s">
        <v>2360</v>
      </c>
      <c r="K1630" s="2" t="s">
        <v>122</v>
      </c>
      <c r="L1630" s="2" t="s">
        <v>123</v>
      </c>
      <c r="M1630" s="2" t="s">
        <v>119</v>
      </c>
      <c r="N1630" s="4" t="str">
        <f t="shared" si="192"/>
        <v>TON</v>
      </c>
      <c r="O1630" s="5">
        <v>3.75</v>
      </c>
    </row>
    <row r="1631" spans="2:15" x14ac:dyDescent="0.25">
      <c r="B1631" s="1" t="s">
        <v>645</v>
      </c>
      <c r="C1631" s="2" t="s">
        <v>196</v>
      </c>
      <c r="D1631" s="2" t="s">
        <v>790</v>
      </c>
      <c r="E1631" s="2" t="s">
        <v>791</v>
      </c>
      <c r="F1631" s="3">
        <f>DATE(2023,3,22)</f>
        <v>45007</v>
      </c>
      <c r="G1631" s="4">
        <f t="shared" si="190"/>
        <v>3</v>
      </c>
      <c r="H1631" s="4">
        <f t="shared" si="191"/>
        <v>2023</v>
      </c>
      <c r="I1631" s="2" t="s">
        <v>4</v>
      </c>
      <c r="J1631" s="2" t="s">
        <v>2361</v>
      </c>
      <c r="K1631" s="2" t="s">
        <v>2350</v>
      </c>
      <c r="L1631" s="2" t="s">
        <v>2351</v>
      </c>
      <c r="M1631" s="2" t="s">
        <v>119</v>
      </c>
      <c r="N1631" s="4" t="str">
        <f t="shared" si="192"/>
        <v>TON</v>
      </c>
      <c r="O1631" s="5">
        <v>4.9924999999999997</v>
      </c>
    </row>
    <row r="1632" spans="2:15" x14ac:dyDescent="0.25">
      <c r="B1632" s="1" t="s">
        <v>1520</v>
      </c>
      <c r="C1632" s="2" t="s">
        <v>196</v>
      </c>
      <c r="D1632" s="2" t="s">
        <v>2362</v>
      </c>
      <c r="E1632" s="2" t="s">
        <v>2363</v>
      </c>
      <c r="F1632" s="3">
        <f t="shared" ref="F1632:F1655" si="195">DATE(2023,3,23)</f>
        <v>45008</v>
      </c>
      <c r="G1632" s="4">
        <f t="shared" si="190"/>
        <v>3</v>
      </c>
      <c r="H1632" s="4">
        <f t="shared" si="191"/>
        <v>2023</v>
      </c>
      <c r="I1632" s="2" t="s">
        <v>4</v>
      </c>
      <c r="J1632" s="2" t="s">
        <v>2364</v>
      </c>
      <c r="K1632" s="2" t="s">
        <v>2365</v>
      </c>
      <c r="L1632" s="2" t="s">
        <v>2366</v>
      </c>
      <c r="M1632" s="2" t="s">
        <v>119</v>
      </c>
      <c r="N1632" s="4" t="str">
        <f t="shared" si="192"/>
        <v>TON</v>
      </c>
      <c r="O1632" s="5">
        <v>1.25</v>
      </c>
    </row>
    <row r="1633" spans="2:15" x14ac:dyDescent="0.25">
      <c r="B1633" s="1" t="s">
        <v>1520</v>
      </c>
      <c r="C1633" s="2" t="s">
        <v>196</v>
      </c>
      <c r="D1633" s="2" t="s">
        <v>1276</v>
      </c>
      <c r="E1633" s="2" t="s">
        <v>1277</v>
      </c>
      <c r="F1633" s="3">
        <f t="shared" si="195"/>
        <v>45008</v>
      </c>
      <c r="G1633" s="4">
        <f t="shared" si="190"/>
        <v>3</v>
      </c>
      <c r="H1633" s="4">
        <f t="shared" si="191"/>
        <v>2023</v>
      </c>
      <c r="I1633" s="2" t="s">
        <v>4</v>
      </c>
      <c r="J1633" s="2" t="s">
        <v>2367</v>
      </c>
      <c r="K1633" s="2" t="s">
        <v>2350</v>
      </c>
      <c r="L1633" s="2" t="s">
        <v>2351</v>
      </c>
      <c r="M1633" s="2" t="s">
        <v>119</v>
      </c>
      <c r="N1633" s="4" t="str">
        <f t="shared" si="192"/>
        <v>TON</v>
      </c>
      <c r="O1633" s="5">
        <v>1.2549999999999999</v>
      </c>
    </row>
    <row r="1634" spans="2:15" x14ac:dyDescent="0.25">
      <c r="B1634" s="1" t="s">
        <v>1520</v>
      </c>
      <c r="C1634" s="2" t="s">
        <v>196</v>
      </c>
      <c r="D1634" s="2" t="s">
        <v>289</v>
      </c>
      <c r="E1634" s="2" t="s">
        <v>290</v>
      </c>
      <c r="F1634" s="3">
        <f t="shared" si="195"/>
        <v>45008</v>
      </c>
      <c r="G1634" s="4">
        <f t="shared" si="190"/>
        <v>3</v>
      </c>
      <c r="H1634" s="4">
        <f t="shared" si="191"/>
        <v>2023</v>
      </c>
      <c r="I1634" s="2" t="s">
        <v>4</v>
      </c>
      <c r="J1634" s="2" t="s">
        <v>2368</v>
      </c>
      <c r="K1634" s="2" t="s">
        <v>865</v>
      </c>
      <c r="L1634" s="2" t="s">
        <v>866</v>
      </c>
      <c r="M1634" s="2" t="s">
        <v>119</v>
      </c>
      <c r="N1634" s="4" t="str">
        <f t="shared" si="192"/>
        <v>TON</v>
      </c>
      <c r="O1634" s="5">
        <v>1</v>
      </c>
    </row>
    <row r="1635" spans="2:15" x14ac:dyDescent="0.25">
      <c r="B1635" s="1" t="s">
        <v>1520</v>
      </c>
      <c r="C1635" s="2" t="s">
        <v>196</v>
      </c>
      <c r="D1635" s="2" t="s">
        <v>374</v>
      </c>
      <c r="E1635" s="2" t="s">
        <v>717</v>
      </c>
      <c r="F1635" s="3">
        <f t="shared" si="195"/>
        <v>45008</v>
      </c>
      <c r="G1635" s="4">
        <f t="shared" si="190"/>
        <v>3</v>
      </c>
      <c r="H1635" s="4">
        <f t="shared" si="191"/>
        <v>2023</v>
      </c>
      <c r="I1635" s="2" t="s">
        <v>4</v>
      </c>
      <c r="J1635" s="2" t="s">
        <v>2369</v>
      </c>
      <c r="K1635" s="2" t="s">
        <v>329</v>
      </c>
      <c r="L1635" s="2" t="s">
        <v>330</v>
      </c>
      <c r="M1635" s="2" t="s">
        <v>119</v>
      </c>
      <c r="N1635" s="4" t="str">
        <f t="shared" si="192"/>
        <v>TON</v>
      </c>
      <c r="O1635" s="5">
        <v>8.01</v>
      </c>
    </row>
    <row r="1636" spans="2:15" x14ac:dyDescent="0.25">
      <c r="B1636" s="1" t="s">
        <v>1520</v>
      </c>
      <c r="C1636" s="2" t="s">
        <v>196</v>
      </c>
      <c r="D1636" s="2" t="s">
        <v>276</v>
      </c>
      <c r="E1636" s="2" t="s">
        <v>682</v>
      </c>
      <c r="F1636" s="3">
        <f t="shared" si="195"/>
        <v>45008</v>
      </c>
      <c r="G1636" s="4">
        <f t="shared" si="190"/>
        <v>3</v>
      </c>
      <c r="H1636" s="4">
        <f t="shared" si="191"/>
        <v>2023</v>
      </c>
      <c r="I1636" s="2" t="s">
        <v>4</v>
      </c>
      <c r="J1636" s="2" t="s">
        <v>2370</v>
      </c>
      <c r="K1636" s="2" t="s">
        <v>122</v>
      </c>
      <c r="L1636" s="2" t="s">
        <v>123</v>
      </c>
      <c r="M1636" s="2" t="s">
        <v>119</v>
      </c>
      <c r="N1636" s="4" t="str">
        <f t="shared" si="192"/>
        <v>TON</v>
      </c>
      <c r="O1636" s="5">
        <v>3.99</v>
      </c>
    </row>
    <row r="1637" spans="2:15" x14ac:dyDescent="0.25">
      <c r="B1637" s="1" t="s">
        <v>1520</v>
      </c>
      <c r="C1637" s="2" t="s">
        <v>196</v>
      </c>
      <c r="D1637" s="2" t="s">
        <v>2362</v>
      </c>
      <c r="E1637" s="2" t="s">
        <v>2363</v>
      </c>
      <c r="F1637" s="3">
        <f t="shared" si="195"/>
        <v>45008</v>
      </c>
      <c r="G1637" s="4">
        <f t="shared" si="190"/>
        <v>3</v>
      </c>
      <c r="H1637" s="4">
        <f t="shared" si="191"/>
        <v>2023</v>
      </c>
      <c r="I1637" s="2" t="s">
        <v>4</v>
      </c>
      <c r="J1637" s="2" t="s">
        <v>2371</v>
      </c>
      <c r="K1637" s="2" t="s">
        <v>19</v>
      </c>
      <c r="L1637" s="2" t="s">
        <v>565</v>
      </c>
      <c r="M1637" s="2" t="s">
        <v>21</v>
      </c>
      <c r="N1637" s="4" t="str">
        <f t="shared" si="192"/>
        <v>GAL</v>
      </c>
      <c r="O1637" s="5">
        <v>5</v>
      </c>
    </row>
    <row r="1638" spans="2:15" x14ac:dyDescent="0.25">
      <c r="B1638" s="1" t="s">
        <v>1520</v>
      </c>
      <c r="C1638" s="2" t="s">
        <v>196</v>
      </c>
      <c r="D1638" s="2" t="s">
        <v>2362</v>
      </c>
      <c r="E1638" s="2" t="s">
        <v>2363</v>
      </c>
      <c r="F1638" s="3">
        <f t="shared" si="195"/>
        <v>45008</v>
      </c>
      <c r="G1638" s="4">
        <f t="shared" si="190"/>
        <v>3</v>
      </c>
      <c r="H1638" s="4">
        <f t="shared" si="191"/>
        <v>2023</v>
      </c>
      <c r="I1638" s="2" t="s">
        <v>4</v>
      </c>
      <c r="J1638" s="2" t="s">
        <v>2371</v>
      </c>
      <c r="K1638" s="2" t="s">
        <v>1239</v>
      </c>
      <c r="L1638" s="2" t="s">
        <v>916</v>
      </c>
      <c r="M1638" s="2" t="s">
        <v>917</v>
      </c>
      <c r="N1638" s="4" t="str">
        <f t="shared" si="192"/>
        <v>GAL</v>
      </c>
      <c r="O1638" s="5">
        <v>2.5</v>
      </c>
    </row>
    <row r="1639" spans="2:15" x14ac:dyDescent="0.25">
      <c r="B1639" s="1" t="s">
        <v>1520</v>
      </c>
      <c r="C1639" s="2" t="s">
        <v>196</v>
      </c>
      <c r="D1639" s="2" t="s">
        <v>2362</v>
      </c>
      <c r="E1639" s="2" t="s">
        <v>2363</v>
      </c>
      <c r="F1639" s="3">
        <f t="shared" si="195"/>
        <v>45008</v>
      </c>
      <c r="G1639" s="4">
        <f t="shared" si="190"/>
        <v>3</v>
      </c>
      <c r="H1639" s="4">
        <f t="shared" si="191"/>
        <v>2023</v>
      </c>
      <c r="I1639" s="2" t="s">
        <v>4</v>
      </c>
      <c r="J1639" s="2" t="s">
        <v>2371</v>
      </c>
      <c r="K1639" s="2" t="s">
        <v>578</v>
      </c>
      <c r="L1639" s="2" t="s">
        <v>1867</v>
      </c>
      <c r="M1639" s="2" t="s">
        <v>73</v>
      </c>
      <c r="N1639" s="4" t="str">
        <f t="shared" si="192"/>
        <v>GAL</v>
      </c>
      <c r="O1639" s="5">
        <v>2.5</v>
      </c>
    </row>
    <row r="1640" spans="2:15" x14ac:dyDescent="0.25">
      <c r="B1640" s="1" t="s">
        <v>1520</v>
      </c>
      <c r="C1640" s="2" t="s">
        <v>196</v>
      </c>
      <c r="D1640" s="2" t="s">
        <v>2362</v>
      </c>
      <c r="E1640" s="2" t="s">
        <v>2363</v>
      </c>
      <c r="F1640" s="3">
        <f t="shared" si="195"/>
        <v>45008</v>
      </c>
      <c r="G1640" s="4">
        <f t="shared" si="190"/>
        <v>3</v>
      </c>
      <c r="H1640" s="4">
        <f t="shared" si="191"/>
        <v>2023</v>
      </c>
      <c r="I1640" s="2" t="s">
        <v>4</v>
      </c>
      <c r="J1640" s="2" t="s">
        <v>2371</v>
      </c>
      <c r="K1640" s="2" t="s">
        <v>158</v>
      </c>
      <c r="L1640" s="2" t="s">
        <v>159</v>
      </c>
      <c r="M1640" s="2" t="s">
        <v>160</v>
      </c>
      <c r="N1640" s="4" t="str">
        <f t="shared" si="192"/>
        <v>GAL</v>
      </c>
      <c r="O1640" s="5">
        <v>2.5</v>
      </c>
    </row>
    <row r="1641" spans="2:15" x14ac:dyDescent="0.25">
      <c r="B1641" s="1" t="s">
        <v>1520</v>
      </c>
      <c r="C1641" s="2" t="s">
        <v>196</v>
      </c>
      <c r="D1641" s="2" t="s">
        <v>2362</v>
      </c>
      <c r="E1641" s="2" t="s">
        <v>2363</v>
      </c>
      <c r="F1641" s="3">
        <f t="shared" si="195"/>
        <v>45008</v>
      </c>
      <c r="G1641" s="4">
        <f t="shared" si="190"/>
        <v>3</v>
      </c>
      <c r="H1641" s="4">
        <f t="shared" si="191"/>
        <v>2023</v>
      </c>
      <c r="I1641" s="2" t="s">
        <v>4</v>
      </c>
      <c r="J1641" s="2" t="s">
        <v>2371</v>
      </c>
      <c r="K1641" s="2" t="s">
        <v>189</v>
      </c>
      <c r="L1641" s="2" t="s">
        <v>190</v>
      </c>
      <c r="M1641" s="2" t="s">
        <v>191</v>
      </c>
      <c r="N1641" s="4" t="str">
        <f t="shared" si="192"/>
        <v>GAL</v>
      </c>
      <c r="O1641" s="5">
        <v>5</v>
      </c>
    </row>
    <row r="1642" spans="2:15" x14ac:dyDescent="0.25">
      <c r="B1642" s="1" t="s">
        <v>1520</v>
      </c>
      <c r="C1642" s="2" t="s">
        <v>196</v>
      </c>
      <c r="D1642" s="2" t="s">
        <v>2362</v>
      </c>
      <c r="E1642" s="2" t="s">
        <v>2363</v>
      </c>
      <c r="F1642" s="3">
        <f t="shared" si="195"/>
        <v>45008</v>
      </c>
      <c r="G1642" s="4">
        <f t="shared" si="190"/>
        <v>3</v>
      </c>
      <c r="H1642" s="4">
        <f t="shared" si="191"/>
        <v>2023</v>
      </c>
      <c r="I1642" s="2" t="s">
        <v>4</v>
      </c>
      <c r="J1642" s="2" t="s">
        <v>2371</v>
      </c>
      <c r="K1642" s="2" t="s">
        <v>22</v>
      </c>
      <c r="L1642" s="2" t="s">
        <v>176</v>
      </c>
      <c r="M1642" s="2" t="s">
        <v>24</v>
      </c>
      <c r="N1642" s="4" t="str">
        <f t="shared" si="192"/>
        <v>GAL</v>
      </c>
      <c r="O1642" s="5">
        <v>5</v>
      </c>
    </row>
    <row r="1643" spans="2:15" x14ac:dyDescent="0.25">
      <c r="B1643" s="1" t="s">
        <v>1520</v>
      </c>
      <c r="C1643" s="2" t="s">
        <v>196</v>
      </c>
      <c r="D1643" s="2" t="s">
        <v>215</v>
      </c>
      <c r="E1643" s="2" t="s">
        <v>858</v>
      </c>
      <c r="F1643" s="3">
        <f t="shared" si="195"/>
        <v>45008</v>
      </c>
      <c r="G1643" s="4">
        <f t="shared" si="190"/>
        <v>3</v>
      </c>
      <c r="H1643" s="4">
        <f t="shared" si="191"/>
        <v>2023</v>
      </c>
      <c r="I1643" s="2" t="s">
        <v>4</v>
      </c>
      <c r="J1643" s="2" t="s">
        <v>2372</v>
      </c>
      <c r="K1643" s="2" t="s">
        <v>205</v>
      </c>
      <c r="L1643" s="2" t="s">
        <v>206</v>
      </c>
      <c r="M1643" s="2" t="s">
        <v>119</v>
      </c>
      <c r="N1643" s="4" t="str">
        <f t="shared" si="192"/>
        <v>TON</v>
      </c>
      <c r="O1643" s="5">
        <v>5.0149999999999997</v>
      </c>
    </row>
    <row r="1644" spans="2:15" x14ac:dyDescent="0.25">
      <c r="B1644" s="1" t="s">
        <v>1520</v>
      </c>
      <c r="C1644" s="2" t="s">
        <v>196</v>
      </c>
      <c r="D1644" s="2" t="s">
        <v>276</v>
      </c>
      <c r="E1644" s="2" t="s">
        <v>878</v>
      </c>
      <c r="F1644" s="3">
        <f t="shared" si="195"/>
        <v>45008</v>
      </c>
      <c r="G1644" s="4">
        <f t="shared" si="190"/>
        <v>3</v>
      </c>
      <c r="H1644" s="4">
        <f t="shared" si="191"/>
        <v>2023</v>
      </c>
      <c r="I1644" s="2" t="s">
        <v>4</v>
      </c>
      <c r="J1644" s="2" t="s">
        <v>2373</v>
      </c>
      <c r="K1644" s="2" t="s">
        <v>205</v>
      </c>
      <c r="L1644" s="2" t="s">
        <v>206</v>
      </c>
      <c r="M1644" s="2" t="s">
        <v>119</v>
      </c>
      <c r="N1644" s="4" t="str">
        <f t="shared" si="192"/>
        <v>TON</v>
      </c>
      <c r="O1644" s="5">
        <v>8.0150000000000006</v>
      </c>
    </row>
    <row r="1645" spans="2:15" x14ac:dyDescent="0.25">
      <c r="B1645" s="1" t="s">
        <v>1520</v>
      </c>
      <c r="C1645" s="2" t="s">
        <v>196</v>
      </c>
      <c r="D1645" s="2" t="s">
        <v>317</v>
      </c>
      <c r="E1645" s="2" t="s">
        <v>319</v>
      </c>
      <c r="F1645" s="3">
        <f t="shared" si="195"/>
        <v>45008</v>
      </c>
      <c r="G1645" s="4">
        <f t="shared" si="190"/>
        <v>3</v>
      </c>
      <c r="H1645" s="4">
        <f t="shared" si="191"/>
        <v>2023</v>
      </c>
      <c r="I1645" s="2" t="s">
        <v>4</v>
      </c>
      <c r="J1645" s="2" t="s">
        <v>2374</v>
      </c>
      <c r="K1645" s="2" t="s">
        <v>2350</v>
      </c>
      <c r="L1645" s="2" t="s">
        <v>2351</v>
      </c>
      <c r="M1645" s="2" t="s">
        <v>119</v>
      </c>
      <c r="N1645" s="4" t="str">
        <f t="shared" si="192"/>
        <v>TON</v>
      </c>
      <c r="O1645" s="5">
        <v>2.4674999999999998</v>
      </c>
    </row>
    <row r="1646" spans="2:15" x14ac:dyDescent="0.25">
      <c r="B1646" s="1" t="s">
        <v>1520</v>
      </c>
      <c r="C1646" s="2" t="s">
        <v>196</v>
      </c>
      <c r="D1646" s="2" t="s">
        <v>273</v>
      </c>
      <c r="E1646" s="2" t="s">
        <v>274</v>
      </c>
      <c r="F1646" s="3">
        <f t="shared" si="195"/>
        <v>45008</v>
      </c>
      <c r="G1646" s="4">
        <f t="shared" si="190"/>
        <v>3</v>
      </c>
      <c r="H1646" s="4">
        <f t="shared" si="191"/>
        <v>2023</v>
      </c>
      <c r="I1646" s="2" t="s">
        <v>4</v>
      </c>
      <c r="J1646" s="2" t="s">
        <v>2375</v>
      </c>
      <c r="K1646" s="2" t="s">
        <v>384</v>
      </c>
      <c r="L1646" s="2" t="s">
        <v>385</v>
      </c>
      <c r="M1646" s="2" t="s">
        <v>119</v>
      </c>
      <c r="N1646" s="4" t="str">
        <f t="shared" si="192"/>
        <v>TON</v>
      </c>
      <c r="O1646" s="5">
        <v>2.4925000000000002</v>
      </c>
    </row>
    <row r="1647" spans="2:15" x14ac:dyDescent="0.25">
      <c r="B1647" s="1" t="s">
        <v>1520</v>
      </c>
      <c r="C1647" s="2" t="s">
        <v>196</v>
      </c>
      <c r="D1647" s="2" t="s">
        <v>387</v>
      </c>
      <c r="E1647" s="2" t="s">
        <v>797</v>
      </c>
      <c r="F1647" s="3">
        <f t="shared" si="195"/>
        <v>45008</v>
      </c>
      <c r="G1647" s="4">
        <f t="shared" si="190"/>
        <v>3</v>
      </c>
      <c r="H1647" s="4">
        <f t="shared" si="191"/>
        <v>2023</v>
      </c>
      <c r="I1647" s="2" t="s">
        <v>4</v>
      </c>
      <c r="J1647" s="2" t="s">
        <v>2376</v>
      </c>
      <c r="K1647" s="2" t="s">
        <v>2377</v>
      </c>
      <c r="L1647" s="2" t="s">
        <v>2378</v>
      </c>
      <c r="M1647" s="2" t="s">
        <v>119</v>
      </c>
      <c r="N1647" s="4" t="str">
        <f t="shared" si="192"/>
        <v>TON</v>
      </c>
      <c r="O1647" s="5">
        <v>10.012499999999999</v>
      </c>
    </row>
    <row r="1648" spans="2:15" x14ac:dyDescent="0.25">
      <c r="B1648" s="1" t="s">
        <v>1520</v>
      </c>
      <c r="C1648" s="2" t="s">
        <v>196</v>
      </c>
      <c r="D1648" s="2" t="s">
        <v>232</v>
      </c>
      <c r="E1648" s="2" t="s">
        <v>233</v>
      </c>
      <c r="F1648" s="3">
        <f t="shared" si="195"/>
        <v>45008</v>
      </c>
      <c r="G1648" s="4">
        <f t="shared" si="190"/>
        <v>3</v>
      </c>
      <c r="H1648" s="4">
        <f t="shared" si="191"/>
        <v>2023</v>
      </c>
      <c r="I1648" s="2" t="s">
        <v>4</v>
      </c>
      <c r="J1648" s="2" t="s">
        <v>2379</v>
      </c>
      <c r="K1648" s="2" t="s">
        <v>205</v>
      </c>
      <c r="L1648" s="2" t="s">
        <v>206</v>
      </c>
      <c r="M1648" s="2" t="s">
        <v>119</v>
      </c>
      <c r="N1648" s="4" t="str">
        <f t="shared" si="192"/>
        <v>TON</v>
      </c>
      <c r="O1648" s="5">
        <v>5</v>
      </c>
    </row>
    <row r="1649" spans="2:15" x14ac:dyDescent="0.25">
      <c r="B1649" s="1" t="s">
        <v>1520</v>
      </c>
      <c r="C1649" s="2" t="s">
        <v>196</v>
      </c>
      <c r="D1649" s="2" t="s">
        <v>289</v>
      </c>
      <c r="E1649" s="2" t="s">
        <v>2380</v>
      </c>
      <c r="F1649" s="3">
        <f t="shared" si="195"/>
        <v>45008</v>
      </c>
      <c r="G1649" s="4">
        <f t="shared" si="190"/>
        <v>3</v>
      </c>
      <c r="H1649" s="4">
        <f t="shared" si="191"/>
        <v>2023</v>
      </c>
      <c r="I1649" s="2" t="s">
        <v>4</v>
      </c>
      <c r="J1649" s="2" t="s">
        <v>2381</v>
      </c>
      <c r="K1649" s="2" t="s">
        <v>384</v>
      </c>
      <c r="L1649" s="2" t="s">
        <v>385</v>
      </c>
      <c r="M1649" s="2" t="s">
        <v>119</v>
      </c>
      <c r="N1649" s="4" t="str">
        <f t="shared" si="192"/>
        <v>TON</v>
      </c>
      <c r="O1649" s="5">
        <v>0.5</v>
      </c>
    </row>
    <row r="1650" spans="2:15" x14ac:dyDescent="0.25">
      <c r="B1650" s="1" t="s">
        <v>1520</v>
      </c>
      <c r="C1650" s="2" t="s">
        <v>196</v>
      </c>
      <c r="D1650" s="2" t="s">
        <v>2382</v>
      </c>
      <c r="E1650" s="2" t="s">
        <v>2383</v>
      </c>
      <c r="F1650" s="3">
        <f t="shared" si="195"/>
        <v>45008</v>
      </c>
      <c r="G1650" s="4">
        <f t="shared" si="190"/>
        <v>3</v>
      </c>
      <c r="H1650" s="4">
        <f t="shared" si="191"/>
        <v>2023</v>
      </c>
      <c r="I1650" s="2" t="s">
        <v>4</v>
      </c>
      <c r="J1650" s="2" t="s">
        <v>2384</v>
      </c>
      <c r="K1650" s="2" t="s">
        <v>2385</v>
      </c>
      <c r="L1650" s="2" t="s">
        <v>2386</v>
      </c>
      <c r="M1650" s="2" t="s">
        <v>119</v>
      </c>
      <c r="N1650" s="4" t="str">
        <f t="shared" si="192"/>
        <v>TON</v>
      </c>
      <c r="O1650" s="5">
        <v>1.25</v>
      </c>
    </row>
    <row r="1651" spans="2:15" x14ac:dyDescent="0.25">
      <c r="B1651" s="1" t="s">
        <v>1520</v>
      </c>
      <c r="C1651" s="2" t="s">
        <v>196</v>
      </c>
      <c r="D1651" s="2" t="s">
        <v>262</v>
      </c>
      <c r="E1651" s="2" t="s">
        <v>1563</v>
      </c>
      <c r="F1651" s="3">
        <f t="shared" si="195"/>
        <v>45008</v>
      </c>
      <c r="G1651" s="4">
        <f t="shared" si="190"/>
        <v>3</v>
      </c>
      <c r="H1651" s="4">
        <f t="shared" si="191"/>
        <v>2023</v>
      </c>
      <c r="I1651" s="2" t="s">
        <v>4</v>
      </c>
      <c r="J1651" s="2" t="s">
        <v>2387</v>
      </c>
      <c r="K1651" s="2" t="s">
        <v>329</v>
      </c>
      <c r="L1651" s="2" t="s">
        <v>330</v>
      </c>
      <c r="M1651" s="2" t="s">
        <v>119</v>
      </c>
      <c r="N1651" s="4" t="str">
        <f t="shared" si="192"/>
        <v>TON</v>
      </c>
      <c r="O1651" s="5">
        <v>2.0074999999999998</v>
      </c>
    </row>
    <row r="1652" spans="2:15" x14ac:dyDescent="0.25">
      <c r="B1652" s="1" t="s">
        <v>1520</v>
      </c>
      <c r="C1652" s="2" t="s">
        <v>196</v>
      </c>
      <c r="D1652" s="2" t="s">
        <v>800</v>
      </c>
      <c r="E1652" s="2" t="s">
        <v>801</v>
      </c>
      <c r="F1652" s="3">
        <f t="shared" si="195"/>
        <v>45008</v>
      </c>
      <c r="G1652" s="4">
        <f t="shared" si="190"/>
        <v>3</v>
      </c>
      <c r="H1652" s="4">
        <f t="shared" si="191"/>
        <v>2023</v>
      </c>
      <c r="I1652" s="2" t="s">
        <v>4</v>
      </c>
      <c r="J1652" s="2" t="s">
        <v>2388</v>
      </c>
      <c r="K1652" s="2" t="s">
        <v>268</v>
      </c>
      <c r="L1652" s="2" t="s">
        <v>269</v>
      </c>
      <c r="M1652" s="2" t="s">
        <v>119</v>
      </c>
      <c r="N1652" s="4" t="str">
        <f t="shared" si="192"/>
        <v>TON</v>
      </c>
      <c r="O1652" s="5">
        <v>2.4950000000000001</v>
      </c>
    </row>
    <row r="1653" spans="2:15" x14ac:dyDescent="0.25">
      <c r="B1653" s="1" t="s">
        <v>1520</v>
      </c>
      <c r="C1653" s="2" t="s">
        <v>196</v>
      </c>
      <c r="D1653" s="2" t="s">
        <v>2041</v>
      </c>
      <c r="E1653" s="2" t="s">
        <v>102</v>
      </c>
      <c r="F1653" s="3">
        <f t="shared" si="195"/>
        <v>45008</v>
      </c>
      <c r="G1653" s="4">
        <f t="shared" si="190"/>
        <v>3</v>
      </c>
      <c r="H1653" s="4">
        <f t="shared" si="191"/>
        <v>2023</v>
      </c>
      <c r="I1653" s="2" t="s">
        <v>4</v>
      </c>
      <c r="J1653" s="2" t="s">
        <v>2389</v>
      </c>
      <c r="K1653" s="2" t="s">
        <v>268</v>
      </c>
      <c r="L1653" s="2" t="s">
        <v>269</v>
      </c>
      <c r="M1653" s="2" t="s">
        <v>119</v>
      </c>
      <c r="N1653" s="4" t="str">
        <f t="shared" si="192"/>
        <v>TON</v>
      </c>
      <c r="O1653" s="5">
        <v>2</v>
      </c>
    </row>
    <row r="1654" spans="2:15" x14ac:dyDescent="0.25">
      <c r="B1654" s="1" t="s">
        <v>1520</v>
      </c>
      <c r="C1654" s="2" t="s">
        <v>196</v>
      </c>
      <c r="D1654" s="2" t="s">
        <v>262</v>
      </c>
      <c r="E1654" s="2" t="s">
        <v>290</v>
      </c>
      <c r="F1654" s="3">
        <f t="shared" si="195"/>
        <v>45008</v>
      </c>
      <c r="G1654" s="4">
        <f t="shared" si="190"/>
        <v>3</v>
      </c>
      <c r="H1654" s="4">
        <f t="shared" si="191"/>
        <v>2023</v>
      </c>
      <c r="I1654" s="2" t="s">
        <v>4</v>
      </c>
      <c r="J1654" s="2" t="s">
        <v>2390</v>
      </c>
      <c r="K1654" s="2" t="s">
        <v>292</v>
      </c>
      <c r="L1654" s="2" t="s">
        <v>293</v>
      </c>
      <c r="M1654" s="2" t="s">
        <v>119</v>
      </c>
      <c r="N1654" s="4" t="str">
        <f t="shared" si="192"/>
        <v>TON</v>
      </c>
      <c r="O1654" s="5">
        <v>2.5049999999999999</v>
      </c>
    </row>
    <row r="1655" spans="2:15" x14ac:dyDescent="0.25">
      <c r="B1655" s="1" t="s">
        <v>1520</v>
      </c>
      <c r="C1655" s="2" t="s">
        <v>196</v>
      </c>
      <c r="D1655" s="2" t="s">
        <v>270</v>
      </c>
      <c r="E1655" s="2" t="s">
        <v>271</v>
      </c>
      <c r="F1655" s="3">
        <f t="shared" si="195"/>
        <v>45008</v>
      </c>
      <c r="G1655" s="4">
        <f t="shared" si="190"/>
        <v>3</v>
      </c>
      <c r="H1655" s="4">
        <f t="shared" si="191"/>
        <v>2023</v>
      </c>
      <c r="I1655" s="2" t="s">
        <v>4</v>
      </c>
      <c r="J1655" s="2" t="s">
        <v>2391</v>
      </c>
      <c r="K1655" s="2" t="s">
        <v>205</v>
      </c>
      <c r="L1655" s="2" t="s">
        <v>206</v>
      </c>
      <c r="M1655" s="2" t="s">
        <v>119</v>
      </c>
      <c r="N1655" s="4" t="str">
        <f t="shared" si="192"/>
        <v>TON</v>
      </c>
      <c r="O1655" s="5">
        <v>1.25</v>
      </c>
    </row>
    <row r="1656" spans="2:15" x14ac:dyDescent="0.25">
      <c r="B1656" s="1" t="s">
        <v>1520</v>
      </c>
      <c r="C1656" s="2" t="s">
        <v>196</v>
      </c>
      <c r="D1656" s="2" t="s">
        <v>299</v>
      </c>
      <c r="E1656" s="2" t="s">
        <v>1140</v>
      </c>
      <c r="F1656" s="3">
        <f t="shared" ref="F1656:F1661" si="196">DATE(2023,3,24)</f>
        <v>45009</v>
      </c>
      <c r="G1656" s="4">
        <f t="shared" si="190"/>
        <v>3</v>
      </c>
      <c r="H1656" s="4">
        <f t="shared" si="191"/>
        <v>2023</v>
      </c>
      <c r="I1656" s="2" t="s">
        <v>4</v>
      </c>
      <c r="J1656" s="2" t="s">
        <v>2392</v>
      </c>
      <c r="K1656" s="2" t="s">
        <v>2350</v>
      </c>
      <c r="L1656" s="2" t="s">
        <v>2351</v>
      </c>
      <c r="M1656" s="2" t="s">
        <v>119</v>
      </c>
      <c r="N1656" s="4" t="str">
        <f t="shared" si="192"/>
        <v>TON</v>
      </c>
      <c r="O1656" s="5">
        <v>2.0249999999999999</v>
      </c>
    </row>
    <row r="1657" spans="2:15" x14ac:dyDescent="0.25">
      <c r="B1657" s="1" t="s">
        <v>1520</v>
      </c>
      <c r="C1657" s="2" t="s">
        <v>196</v>
      </c>
      <c r="D1657" s="2" t="s">
        <v>241</v>
      </c>
      <c r="E1657" s="2" t="s">
        <v>258</v>
      </c>
      <c r="F1657" s="3">
        <f t="shared" si="196"/>
        <v>45009</v>
      </c>
      <c r="G1657" s="4">
        <f t="shared" si="190"/>
        <v>3</v>
      </c>
      <c r="H1657" s="4">
        <f t="shared" si="191"/>
        <v>2023</v>
      </c>
      <c r="I1657" s="2" t="s">
        <v>4</v>
      </c>
      <c r="J1657" s="2" t="s">
        <v>2393</v>
      </c>
      <c r="K1657" s="2" t="s">
        <v>260</v>
      </c>
      <c r="L1657" s="2" t="s">
        <v>261</v>
      </c>
      <c r="M1657" s="2" t="s">
        <v>119</v>
      </c>
      <c r="N1657" s="4" t="str">
        <f t="shared" si="192"/>
        <v>TON</v>
      </c>
      <c r="O1657" s="5">
        <v>2.5074999999999998</v>
      </c>
    </row>
    <row r="1658" spans="2:15" x14ac:dyDescent="0.25">
      <c r="B1658" s="1" t="s">
        <v>1520</v>
      </c>
      <c r="C1658" s="2" t="s">
        <v>196</v>
      </c>
      <c r="D1658" s="2" t="s">
        <v>207</v>
      </c>
      <c r="E1658" s="2" t="s">
        <v>208</v>
      </c>
      <c r="F1658" s="3">
        <f t="shared" si="196"/>
        <v>45009</v>
      </c>
      <c r="G1658" s="4">
        <f t="shared" si="190"/>
        <v>3</v>
      </c>
      <c r="H1658" s="4">
        <f t="shared" si="191"/>
        <v>2023</v>
      </c>
      <c r="I1658" s="2" t="s">
        <v>4</v>
      </c>
      <c r="J1658" s="2" t="s">
        <v>2394</v>
      </c>
      <c r="K1658" s="2" t="s">
        <v>205</v>
      </c>
      <c r="L1658" s="2" t="s">
        <v>206</v>
      </c>
      <c r="M1658" s="2" t="s">
        <v>119</v>
      </c>
      <c r="N1658" s="4" t="str">
        <f t="shared" si="192"/>
        <v>TON</v>
      </c>
      <c r="O1658" s="5">
        <v>2.5074999999999998</v>
      </c>
    </row>
    <row r="1659" spans="2:15" x14ac:dyDescent="0.25">
      <c r="B1659" s="6" t="s">
        <v>1520</v>
      </c>
      <c r="C1659" s="7" t="s">
        <v>196</v>
      </c>
      <c r="D1659" s="8" t="s">
        <v>253</v>
      </c>
      <c r="E1659" s="8" t="s">
        <v>922</v>
      </c>
      <c r="F1659" s="9">
        <f t="shared" si="196"/>
        <v>45009</v>
      </c>
      <c r="G1659" s="10">
        <f t="shared" si="190"/>
        <v>3</v>
      </c>
      <c r="H1659" s="10">
        <f t="shared" si="191"/>
        <v>2023</v>
      </c>
      <c r="I1659" s="8" t="s">
        <v>4</v>
      </c>
      <c r="J1659" s="7" t="s">
        <v>2395</v>
      </c>
      <c r="K1659" s="8" t="s">
        <v>924</v>
      </c>
      <c r="L1659" s="8" t="s">
        <v>925</v>
      </c>
      <c r="M1659" s="8" t="s">
        <v>119</v>
      </c>
      <c r="N1659" s="10" t="str">
        <f t="shared" si="192"/>
        <v>TON</v>
      </c>
      <c r="O1659" s="11">
        <v>2.9950000000000001</v>
      </c>
    </row>
    <row r="1660" spans="2:15" x14ac:dyDescent="0.25">
      <c r="B1660" s="1" t="s">
        <v>1520</v>
      </c>
      <c r="C1660" s="2" t="s">
        <v>196</v>
      </c>
      <c r="D1660" s="2" t="s">
        <v>253</v>
      </c>
      <c r="E1660" s="2" t="s">
        <v>922</v>
      </c>
      <c r="F1660" s="3">
        <f t="shared" si="196"/>
        <v>45009</v>
      </c>
      <c r="G1660" s="4">
        <f t="shared" si="190"/>
        <v>3</v>
      </c>
      <c r="H1660" s="4">
        <f t="shared" si="191"/>
        <v>2023</v>
      </c>
      <c r="I1660" s="2" t="s">
        <v>4</v>
      </c>
      <c r="J1660" s="2" t="s">
        <v>2395</v>
      </c>
      <c r="K1660" s="2" t="s">
        <v>143</v>
      </c>
      <c r="L1660" s="2" t="s">
        <v>926</v>
      </c>
      <c r="M1660" s="2" t="s">
        <v>145</v>
      </c>
      <c r="N1660" s="4" t="str">
        <f t="shared" si="192"/>
        <v>GAL</v>
      </c>
      <c r="O1660" s="5">
        <v>800</v>
      </c>
    </row>
    <row r="1661" spans="2:15" x14ac:dyDescent="0.25">
      <c r="B1661" s="1" t="s">
        <v>1520</v>
      </c>
      <c r="C1661" s="2" t="s">
        <v>196</v>
      </c>
      <c r="D1661" s="2" t="s">
        <v>238</v>
      </c>
      <c r="E1661" s="2" t="s">
        <v>1270</v>
      </c>
      <c r="F1661" s="3">
        <f t="shared" si="196"/>
        <v>45009</v>
      </c>
      <c r="G1661" s="4">
        <f t="shared" si="190"/>
        <v>3</v>
      </c>
      <c r="H1661" s="4">
        <f t="shared" si="191"/>
        <v>2023</v>
      </c>
      <c r="I1661" s="2" t="s">
        <v>4</v>
      </c>
      <c r="J1661" s="2" t="s">
        <v>2396</v>
      </c>
      <c r="K1661" s="2" t="s">
        <v>205</v>
      </c>
      <c r="L1661" s="2" t="s">
        <v>206</v>
      </c>
      <c r="M1661" s="2" t="s">
        <v>119</v>
      </c>
      <c r="N1661" s="4" t="str">
        <f t="shared" si="192"/>
        <v>TON</v>
      </c>
      <c r="O1661" s="5">
        <v>9.0075000000000003</v>
      </c>
    </row>
    <row r="1662" spans="2:15" x14ac:dyDescent="0.25">
      <c r="B1662" s="1" t="s">
        <v>1520</v>
      </c>
      <c r="C1662" s="2" t="s">
        <v>196</v>
      </c>
      <c r="D1662" s="2" t="s">
        <v>114</v>
      </c>
      <c r="E1662" s="2" t="s">
        <v>491</v>
      </c>
      <c r="F1662" s="3">
        <f t="shared" ref="F1662:F1672" si="197">DATE(2023,3,27)</f>
        <v>45012</v>
      </c>
      <c r="G1662" s="4">
        <f t="shared" si="190"/>
        <v>3</v>
      </c>
      <c r="H1662" s="4">
        <f t="shared" si="191"/>
        <v>2023</v>
      </c>
      <c r="I1662" s="2" t="s">
        <v>4</v>
      </c>
      <c r="J1662" s="2" t="s">
        <v>2397</v>
      </c>
      <c r="K1662" s="2" t="s">
        <v>2350</v>
      </c>
      <c r="L1662" s="2" t="s">
        <v>2351</v>
      </c>
      <c r="M1662" s="2" t="s">
        <v>119</v>
      </c>
      <c r="N1662" s="4" t="str">
        <f t="shared" si="192"/>
        <v>TON</v>
      </c>
      <c r="O1662" s="5">
        <v>1.5</v>
      </c>
    </row>
    <row r="1663" spans="2:15" x14ac:dyDescent="0.25">
      <c r="B1663" s="1" t="s">
        <v>1520</v>
      </c>
      <c r="C1663" s="2" t="s">
        <v>196</v>
      </c>
      <c r="D1663" s="2" t="s">
        <v>114</v>
      </c>
      <c r="E1663" s="2" t="s">
        <v>369</v>
      </c>
      <c r="F1663" s="3">
        <f t="shared" si="197"/>
        <v>45012</v>
      </c>
      <c r="G1663" s="4">
        <f t="shared" si="190"/>
        <v>3</v>
      </c>
      <c r="H1663" s="4">
        <f t="shared" si="191"/>
        <v>2023</v>
      </c>
      <c r="I1663" s="2" t="s">
        <v>4</v>
      </c>
      <c r="J1663" s="2" t="s">
        <v>2398</v>
      </c>
      <c r="K1663" s="2" t="s">
        <v>2350</v>
      </c>
      <c r="L1663" s="2" t="s">
        <v>2351</v>
      </c>
      <c r="M1663" s="2" t="s">
        <v>119</v>
      </c>
      <c r="N1663" s="4" t="str">
        <f t="shared" si="192"/>
        <v>TON</v>
      </c>
      <c r="O1663" s="5">
        <v>4.5175000000000001</v>
      </c>
    </row>
    <row r="1664" spans="2:15" x14ac:dyDescent="0.25">
      <c r="B1664" s="1" t="s">
        <v>1520</v>
      </c>
      <c r="C1664" s="2" t="s">
        <v>196</v>
      </c>
      <c r="D1664" s="2" t="s">
        <v>800</v>
      </c>
      <c r="E1664" s="2" t="s">
        <v>907</v>
      </c>
      <c r="F1664" s="3">
        <f t="shared" si="197"/>
        <v>45012</v>
      </c>
      <c r="G1664" s="4">
        <f t="shared" si="190"/>
        <v>3</v>
      </c>
      <c r="H1664" s="4">
        <f t="shared" si="191"/>
        <v>2023</v>
      </c>
      <c r="I1664" s="2" t="s">
        <v>4</v>
      </c>
      <c r="J1664" s="2" t="s">
        <v>2399</v>
      </c>
      <c r="K1664" s="2" t="s">
        <v>205</v>
      </c>
      <c r="L1664" s="2" t="s">
        <v>206</v>
      </c>
      <c r="M1664" s="2" t="s">
        <v>119</v>
      </c>
      <c r="N1664" s="4" t="str">
        <f t="shared" si="192"/>
        <v>TON</v>
      </c>
      <c r="O1664" s="5">
        <v>3</v>
      </c>
    </row>
    <row r="1665" spans="2:15" x14ac:dyDescent="0.25">
      <c r="B1665" s="1" t="s">
        <v>1520</v>
      </c>
      <c r="C1665" s="2" t="s">
        <v>196</v>
      </c>
      <c r="D1665" s="2" t="s">
        <v>440</v>
      </c>
      <c r="E1665" s="2" t="s">
        <v>1369</v>
      </c>
      <c r="F1665" s="3">
        <f t="shared" si="197"/>
        <v>45012</v>
      </c>
      <c r="G1665" s="4">
        <f t="shared" si="190"/>
        <v>3</v>
      </c>
      <c r="H1665" s="4">
        <f t="shared" si="191"/>
        <v>2023</v>
      </c>
      <c r="I1665" s="2" t="s">
        <v>4</v>
      </c>
      <c r="J1665" s="2" t="s">
        <v>2400</v>
      </c>
      <c r="K1665" s="2" t="s">
        <v>2377</v>
      </c>
      <c r="L1665" s="2" t="s">
        <v>2378</v>
      </c>
      <c r="M1665" s="2" t="s">
        <v>119</v>
      </c>
      <c r="N1665" s="4" t="str">
        <f t="shared" si="192"/>
        <v>TON</v>
      </c>
      <c r="O1665" s="5">
        <v>5</v>
      </c>
    </row>
    <row r="1666" spans="2:15" x14ac:dyDescent="0.25">
      <c r="B1666" s="1" t="s">
        <v>645</v>
      </c>
      <c r="C1666" s="2" t="s">
        <v>196</v>
      </c>
      <c r="D1666" s="2" t="s">
        <v>1375</v>
      </c>
      <c r="E1666" s="2" t="s">
        <v>102</v>
      </c>
      <c r="F1666" s="3">
        <f t="shared" si="197"/>
        <v>45012</v>
      </c>
      <c r="G1666" s="4">
        <f t="shared" si="190"/>
        <v>3</v>
      </c>
      <c r="H1666" s="4">
        <f t="shared" si="191"/>
        <v>2023</v>
      </c>
      <c r="I1666" s="2" t="s">
        <v>4</v>
      </c>
      <c r="J1666" s="2" t="s">
        <v>2401</v>
      </c>
      <c r="K1666" s="2" t="s">
        <v>2325</v>
      </c>
      <c r="L1666" s="2" t="s">
        <v>2326</v>
      </c>
      <c r="M1666" s="2" t="s">
        <v>119</v>
      </c>
      <c r="N1666" s="4" t="str">
        <f t="shared" si="192"/>
        <v>TON</v>
      </c>
      <c r="O1666" s="5">
        <v>5</v>
      </c>
    </row>
    <row r="1667" spans="2:15" x14ac:dyDescent="0.25">
      <c r="B1667" s="1" t="s">
        <v>1520</v>
      </c>
      <c r="C1667" s="2" t="s">
        <v>196</v>
      </c>
      <c r="D1667" s="2" t="s">
        <v>1385</v>
      </c>
      <c r="E1667" s="2" t="s">
        <v>102</v>
      </c>
      <c r="F1667" s="3">
        <f t="shared" si="197"/>
        <v>45012</v>
      </c>
      <c r="G1667" s="4">
        <f t="shared" ref="G1667:G1730" si="198">+MONTH(F1667)</f>
        <v>3</v>
      </c>
      <c r="H1667" s="4">
        <f t="shared" ref="H1667:H1730" si="199">+YEAR(F1667)</f>
        <v>2023</v>
      </c>
      <c r="I1667" s="2" t="s">
        <v>4</v>
      </c>
      <c r="J1667" s="2" t="s">
        <v>2402</v>
      </c>
      <c r="K1667" s="2" t="s">
        <v>1387</v>
      </c>
      <c r="L1667" s="2" t="s">
        <v>1388</v>
      </c>
      <c r="M1667" s="2" t="s">
        <v>119</v>
      </c>
      <c r="N1667" s="4" t="str">
        <f t="shared" ref="N1667:N1730" si="200">+LEFT(M1667,3)</f>
        <v>TON</v>
      </c>
      <c r="O1667" s="5">
        <v>0.75</v>
      </c>
    </row>
    <row r="1668" spans="2:15" x14ac:dyDescent="0.25">
      <c r="B1668" s="1" t="s">
        <v>1520</v>
      </c>
      <c r="C1668" s="2" t="s">
        <v>196</v>
      </c>
      <c r="D1668" s="2" t="s">
        <v>374</v>
      </c>
      <c r="E1668" s="2" t="s">
        <v>379</v>
      </c>
      <c r="F1668" s="3">
        <f t="shared" si="197"/>
        <v>45012</v>
      </c>
      <c r="G1668" s="4">
        <f t="shared" si="198"/>
        <v>3</v>
      </c>
      <c r="H1668" s="4">
        <f t="shared" si="199"/>
        <v>2023</v>
      </c>
      <c r="I1668" s="2" t="s">
        <v>4</v>
      </c>
      <c r="J1668" s="2" t="s">
        <v>2403</v>
      </c>
      <c r="K1668" s="2" t="s">
        <v>205</v>
      </c>
      <c r="L1668" s="2" t="s">
        <v>206</v>
      </c>
      <c r="M1668" s="2" t="s">
        <v>119</v>
      </c>
      <c r="N1668" s="4" t="str">
        <f t="shared" si="200"/>
        <v>TON</v>
      </c>
      <c r="O1668" s="5">
        <v>8</v>
      </c>
    </row>
    <row r="1669" spans="2:15" x14ac:dyDescent="0.25">
      <c r="B1669" s="1" t="s">
        <v>1520</v>
      </c>
      <c r="C1669" s="2" t="s">
        <v>196</v>
      </c>
      <c r="D1669" s="2" t="s">
        <v>452</v>
      </c>
      <c r="E1669" s="2" t="s">
        <v>453</v>
      </c>
      <c r="F1669" s="3">
        <f t="shared" si="197"/>
        <v>45012</v>
      </c>
      <c r="G1669" s="4">
        <f t="shared" si="198"/>
        <v>3</v>
      </c>
      <c r="H1669" s="4">
        <f t="shared" si="199"/>
        <v>2023</v>
      </c>
      <c r="I1669" s="2" t="s">
        <v>4</v>
      </c>
      <c r="J1669" s="2" t="s">
        <v>2404</v>
      </c>
      <c r="K1669" s="2" t="s">
        <v>205</v>
      </c>
      <c r="L1669" s="2" t="s">
        <v>206</v>
      </c>
      <c r="M1669" s="2" t="s">
        <v>119</v>
      </c>
      <c r="N1669" s="4" t="str">
        <f t="shared" si="200"/>
        <v>TON</v>
      </c>
      <c r="O1669" s="5">
        <v>2.5</v>
      </c>
    </row>
    <row r="1670" spans="2:15" x14ac:dyDescent="0.25">
      <c r="B1670" s="1" t="s">
        <v>1520</v>
      </c>
      <c r="C1670" s="2" t="s">
        <v>196</v>
      </c>
      <c r="D1670" s="2" t="s">
        <v>418</v>
      </c>
      <c r="E1670" s="2" t="s">
        <v>1595</v>
      </c>
      <c r="F1670" s="3">
        <f t="shared" si="197"/>
        <v>45012</v>
      </c>
      <c r="G1670" s="4">
        <f t="shared" si="198"/>
        <v>3</v>
      </c>
      <c r="H1670" s="4">
        <f t="shared" si="199"/>
        <v>2023</v>
      </c>
      <c r="I1670" s="2" t="s">
        <v>4</v>
      </c>
      <c r="J1670" s="2" t="s">
        <v>2405</v>
      </c>
      <c r="K1670" s="2" t="s">
        <v>205</v>
      </c>
      <c r="L1670" s="2" t="s">
        <v>206</v>
      </c>
      <c r="M1670" s="2" t="s">
        <v>119</v>
      </c>
      <c r="N1670" s="4" t="str">
        <f t="shared" si="200"/>
        <v>TON</v>
      </c>
      <c r="O1670" s="5">
        <v>1.2575000000000001</v>
      </c>
    </row>
    <row r="1671" spans="2:15" x14ac:dyDescent="0.25">
      <c r="B1671" s="1" t="s">
        <v>1520</v>
      </c>
      <c r="C1671" s="2" t="s">
        <v>196</v>
      </c>
      <c r="D1671" s="2" t="s">
        <v>452</v>
      </c>
      <c r="E1671" s="2" t="s">
        <v>1611</v>
      </c>
      <c r="F1671" s="3">
        <f t="shared" si="197"/>
        <v>45012</v>
      </c>
      <c r="G1671" s="4">
        <f t="shared" si="198"/>
        <v>3</v>
      </c>
      <c r="H1671" s="4">
        <f t="shared" si="199"/>
        <v>2023</v>
      </c>
      <c r="I1671" s="2" t="s">
        <v>4</v>
      </c>
      <c r="J1671" s="2" t="s">
        <v>2406</v>
      </c>
      <c r="K1671" s="2" t="s">
        <v>117</v>
      </c>
      <c r="L1671" s="2" t="s">
        <v>118</v>
      </c>
      <c r="M1671" s="2" t="s">
        <v>119</v>
      </c>
      <c r="N1671" s="4" t="str">
        <f t="shared" si="200"/>
        <v>TON</v>
      </c>
      <c r="O1671" s="5">
        <v>6.75</v>
      </c>
    </row>
    <row r="1672" spans="2:15" x14ac:dyDescent="0.25">
      <c r="B1672" s="1" t="s">
        <v>1520</v>
      </c>
      <c r="C1672" s="2" t="s">
        <v>196</v>
      </c>
      <c r="D1672" s="2" t="s">
        <v>418</v>
      </c>
      <c r="E1672" s="2" t="s">
        <v>1595</v>
      </c>
      <c r="F1672" s="3">
        <f t="shared" si="197"/>
        <v>45012</v>
      </c>
      <c r="G1672" s="4">
        <f t="shared" si="198"/>
        <v>3</v>
      </c>
      <c r="H1672" s="4">
        <f t="shared" si="199"/>
        <v>2023</v>
      </c>
      <c r="I1672" s="2" t="s">
        <v>4</v>
      </c>
      <c r="J1672" s="2" t="s">
        <v>2407</v>
      </c>
      <c r="K1672" s="2" t="s">
        <v>422</v>
      </c>
      <c r="L1672" s="2" t="s">
        <v>423</v>
      </c>
      <c r="M1672" s="2" t="s">
        <v>119</v>
      </c>
      <c r="N1672" s="4" t="str">
        <f t="shared" si="200"/>
        <v>TON</v>
      </c>
      <c r="O1672" s="5">
        <v>4</v>
      </c>
    </row>
    <row r="1673" spans="2:15" x14ac:dyDescent="0.25">
      <c r="B1673" s="1" t="s">
        <v>1520</v>
      </c>
      <c r="C1673" s="2" t="s">
        <v>196</v>
      </c>
      <c r="D1673" s="2" t="s">
        <v>440</v>
      </c>
      <c r="E1673" s="2" t="s">
        <v>441</v>
      </c>
      <c r="F1673" s="3">
        <f>DATE(2023,3,30)</f>
        <v>45015</v>
      </c>
      <c r="G1673" s="4">
        <f t="shared" si="198"/>
        <v>3</v>
      </c>
      <c r="H1673" s="4">
        <f t="shared" si="199"/>
        <v>2023</v>
      </c>
      <c r="I1673" s="2" t="s">
        <v>4</v>
      </c>
      <c r="J1673" s="2" t="s">
        <v>2408</v>
      </c>
      <c r="K1673" s="2" t="s">
        <v>2377</v>
      </c>
      <c r="L1673" s="2" t="s">
        <v>2378</v>
      </c>
      <c r="M1673" s="2" t="s">
        <v>119</v>
      </c>
      <c r="N1673" s="4" t="str">
        <f t="shared" si="200"/>
        <v>TON</v>
      </c>
      <c r="O1673" s="5">
        <v>7.5125000000000002</v>
      </c>
    </row>
    <row r="1674" spans="2:15" x14ac:dyDescent="0.25">
      <c r="B1674" s="1" t="s">
        <v>1520</v>
      </c>
      <c r="C1674" s="2" t="s">
        <v>196</v>
      </c>
      <c r="D1674" s="2" t="s">
        <v>276</v>
      </c>
      <c r="E1674" s="2" t="s">
        <v>692</v>
      </c>
      <c r="F1674" s="3">
        <f>DATE(2023,3,27)</f>
        <v>45012</v>
      </c>
      <c r="G1674" s="4">
        <f t="shared" si="198"/>
        <v>3</v>
      </c>
      <c r="H1674" s="4">
        <f t="shared" si="199"/>
        <v>2023</v>
      </c>
      <c r="I1674" s="2" t="s">
        <v>4</v>
      </c>
      <c r="J1674" s="2" t="s">
        <v>2409</v>
      </c>
      <c r="K1674" s="2" t="s">
        <v>122</v>
      </c>
      <c r="L1674" s="2" t="s">
        <v>123</v>
      </c>
      <c r="M1674" s="2" t="s">
        <v>119</v>
      </c>
      <c r="N1674" s="4" t="str">
        <f t="shared" si="200"/>
        <v>TON</v>
      </c>
      <c r="O1674" s="5">
        <v>8.0299999999999994</v>
      </c>
    </row>
    <row r="1675" spans="2:15" x14ac:dyDescent="0.25">
      <c r="B1675" s="1" t="s">
        <v>1520</v>
      </c>
      <c r="C1675" s="2" t="s">
        <v>196</v>
      </c>
      <c r="D1675" s="2" t="s">
        <v>299</v>
      </c>
      <c r="E1675" s="2" t="s">
        <v>2410</v>
      </c>
      <c r="F1675" s="3">
        <f>DATE(2023,3,27)</f>
        <v>45012</v>
      </c>
      <c r="G1675" s="4">
        <f t="shared" si="198"/>
        <v>3</v>
      </c>
      <c r="H1675" s="4">
        <f t="shared" si="199"/>
        <v>2023</v>
      </c>
      <c r="I1675" s="2" t="s">
        <v>4</v>
      </c>
      <c r="J1675" s="2" t="s">
        <v>2411</v>
      </c>
      <c r="K1675" s="2" t="s">
        <v>2350</v>
      </c>
      <c r="L1675" s="2" t="s">
        <v>2351</v>
      </c>
      <c r="M1675" s="2" t="s">
        <v>119</v>
      </c>
      <c r="N1675" s="4" t="str">
        <f t="shared" si="200"/>
        <v>TON</v>
      </c>
      <c r="O1675" s="5">
        <v>2.0049999999999999</v>
      </c>
    </row>
    <row r="1676" spans="2:15" x14ac:dyDescent="0.25">
      <c r="B1676" s="1" t="s">
        <v>1520</v>
      </c>
      <c r="C1676" s="2" t="s">
        <v>196</v>
      </c>
      <c r="D1676" s="2" t="s">
        <v>224</v>
      </c>
      <c r="E1676" s="2" t="s">
        <v>361</v>
      </c>
      <c r="F1676" s="3">
        <f>DATE(2023,3,27)</f>
        <v>45012</v>
      </c>
      <c r="G1676" s="4">
        <f t="shared" si="198"/>
        <v>3</v>
      </c>
      <c r="H1676" s="4">
        <f t="shared" si="199"/>
        <v>2023</v>
      </c>
      <c r="I1676" s="2" t="s">
        <v>4</v>
      </c>
      <c r="J1676" s="2" t="s">
        <v>2412</v>
      </c>
      <c r="K1676" s="2" t="s">
        <v>205</v>
      </c>
      <c r="L1676" s="2" t="s">
        <v>206</v>
      </c>
      <c r="M1676" s="2" t="s">
        <v>119</v>
      </c>
      <c r="N1676" s="4" t="str">
        <f t="shared" si="200"/>
        <v>TON</v>
      </c>
      <c r="O1676" s="5">
        <v>5.0199999999999996</v>
      </c>
    </row>
    <row r="1677" spans="2:15" x14ac:dyDescent="0.25">
      <c r="B1677" s="1" t="s">
        <v>1520</v>
      </c>
      <c r="C1677" s="2" t="s">
        <v>196</v>
      </c>
      <c r="D1677" s="2" t="s">
        <v>387</v>
      </c>
      <c r="E1677" s="2" t="s">
        <v>797</v>
      </c>
      <c r="F1677" s="3">
        <f>DATE(2023,3,28)</f>
        <v>45013</v>
      </c>
      <c r="G1677" s="4">
        <f t="shared" si="198"/>
        <v>3</v>
      </c>
      <c r="H1677" s="4">
        <f t="shared" si="199"/>
        <v>2023</v>
      </c>
      <c r="I1677" s="2" t="s">
        <v>4</v>
      </c>
      <c r="J1677" s="2" t="s">
        <v>2413</v>
      </c>
      <c r="K1677" s="2" t="s">
        <v>2377</v>
      </c>
      <c r="L1677" s="2" t="s">
        <v>2378</v>
      </c>
      <c r="M1677" s="2" t="s">
        <v>119</v>
      </c>
      <c r="N1677" s="4" t="str">
        <f t="shared" si="200"/>
        <v>TON</v>
      </c>
      <c r="O1677" s="5">
        <v>15.045</v>
      </c>
    </row>
    <row r="1678" spans="2:15" x14ac:dyDescent="0.25">
      <c r="B1678" s="1" t="s">
        <v>1520</v>
      </c>
      <c r="C1678" s="2" t="s">
        <v>196</v>
      </c>
      <c r="D1678" s="2" t="s">
        <v>310</v>
      </c>
      <c r="E1678" s="2" t="s">
        <v>311</v>
      </c>
      <c r="F1678" s="3">
        <f>DATE(2023,3,28)</f>
        <v>45013</v>
      </c>
      <c r="G1678" s="4">
        <f t="shared" si="198"/>
        <v>3</v>
      </c>
      <c r="H1678" s="4">
        <f t="shared" si="199"/>
        <v>2023</v>
      </c>
      <c r="I1678" s="2" t="s">
        <v>4</v>
      </c>
      <c r="J1678" s="2" t="s">
        <v>2414</v>
      </c>
      <c r="K1678" s="2" t="s">
        <v>428</v>
      </c>
      <c r="L1678" s="2" t="s">
        <v>429</v>
      </c>
      <c r="M1678" s="2" t="s">
        <v>119</v>
      </c>
      <c r="N1678" s="4" t="str">
        <f t="shared" si="200"/>
        <v>TON</v>
      </c>
      <c r="O1678" s="5">
        <v>1</v>
      </c>
    </row>
    <row r="1679" spans="2:15" x14ac:dyDescent="0.25">
      <c r="B1679" s="1" t="s">
        <v>1520</v>
      </c>
      <c r="C1679" s="2" t="s">
        <v>196</v>
      </c>
      <c r="D1679" s="2" t="s">
        <v>660</v>
      </c>
      <c r="E1679" s="2" t="s">
        <v>661</v>
      </c>
      <c r="F1679" s="3">
        <f>DATE(2023,3,28)</f>
        <v>45013</v>
      </c>
      <c r="G1679" s="4">
        <f t="shared" si="198"/>
        <v>3</v>
      </c>
      <c r="H1679" s="4">
        <f t="shared" si="199"/>
        <v>2023</v>
      </c>
      <c r="I1679" s="2" t="s">
        <v>4</v>
      </c>
      <c r="J1679" s="2" t="s">
        <v>2415</v>
      </c>
      <c r="K1679" s="2" t="s">
        <v>205</v>
      </c>
      <c r="L1679" s="2" t="s">
        <v>206</v>
      </c>
      <c r="M1679" s="2" t="s">
        <v>119</v>
      </c>
      <c r="N1679" s="4" t="str">
        <f t="shared" si="200"/>
        <v>TON</v>
      </c>
      <c r="O1679" s="5">
        <v>5.5</v>
      </c>
    </row>
    <row r="1680" spans="2:15" x14ac:dyDescent="0.25">
      <c r="B1680" s="1" t="s">
        <v>1520</v>
      </c>
      <c r="C1680" s="2" t="s">
        <v>196</v>
      </c>
      <c r="D1680" s="2" t="s">
        <v>440</v>
      </c>
      <c r="E1680" s="2" t="s">
        <v>1274</v>
      </c>
      <c r="F1680" s="3">
        <f>DATE(2023,3,28)</f>
        <v>45013</v>
      </c>
      <c r="G1680" s="4">
        <f t="shared" si="198"/>
        <v>3</v>
      </c>
      <c r="H1680" s="4">
        <f t="shared" si="199"/>
        <v>2023</v>
      </c>
      <c r="I1680" s="2" t="s">
        <v>4</v>
      </c>
      <c r="J1680" s="2" t="s">
        <v>2416</v>
      </c>
      <c r="K1680" s="2" t="s">
        <v>2377</v>
      </c>
      <c r="L1680" s="2" t="s">
        <v>2378</v>
      </c>
      <c r="M1680" s="2" t="s">
        <v>119</v>
      </c>
      <c r="N1680" s="4" t="str">
        <f t="shared" si="200"/>
        <v>TON</v>
      </c>
      <c r="O1680" s="5">
        <v>7.5</v>
      </c>
    </row>
    <row r="1681" spans="2:15" x14ac:dyDescent="0.25">
      <c r="B1681" s="1" t="s">
        <v>1520</v>
      </c>
      <c r="C1681" s="2" t="s">
        <v>196</v>
      </c>
      <c r="D1681" s="2" t="s">
        <v>224</v>
      </c>
      <c r="E1681" s="2" t="s">
        <v>895</v>
      </c>
      <c r="F1681" s="3">
        <f>DATE(2023,3,28)</f>
        <v>45013</v>
      </c>
      <c r="G1681" s="4">
        <f t="shared" si="198"/>
        <v>3</v>
      </c>
      <c r="H1681" s="4">
        <f t="shared" si="199"/>
        <v>2023</v>
      </c>
      <c r="I1681" s="2" t="s">
        <v>4</v>
      </c>
      <c r="J1681" s="2" t="s">
        <v>2417</v>
      </c>
      <c r="K1681" s="2" t="s">
        <v>205</v>
      </c>
      <c r="L1681" s="2" t="s">
        <v>206</v>
      </c>
      <c r="M1681" s="2" t="s">
        <v>119</v>
      </c>
      <c r="N1681" s="4" t="str">
        <f t="shared" si="200"/>
        <v>TON</v>
      </c>
      <c r="O1681" s="5">
        <v>4.9950000000000001</v>
      </c>
    </row>
    <row r="1682" spans="2:15" x14ac:dyDescent="0.25">
      <c r="B1682" s="1" t="s">
        <v>1520</v>
      </c>
      <c r="C1682" s="2" t="s">
        <v>196</v>
      </c>
      <c r="D1682" s="2" t="s">
        <v>317</v>
      </c>
      <c r="E1682" s="2" t="s">
        <v>829</v>
      </c>
      <c r="F1682" s="3">
        <f>DATE(2023,3,29)</f>
        <v>45014</v>
      </c>
      <c r="G1682" s="4">
        <f t="shared" si="198"/>
        <v>3</v>
      </c>
      <c r="H1682" s="4">
        <f t="shared" si="199"/>
        <v>2023</v>
      </c>
      <c r="I1682" s="2" t="s">
        <v>4</v>
      </c>
      <c r="J1682" s="2" t="s">
        <v>2418</v>
      </c>
      <c r="K1682" s="2" t="s">
        <v>2350</v>
      </c>
      <c r="L1682" s="2" t="s">
        <v>2351</v>
      </c>
      <c r="M1682" s="2" t="s">
        <v>119</v>
      </c>
      <c r="N1682" s="4" t="str">
        <f t="shared" si="200"/>
        <v>TON</v>
      </c>
      <c r="O1682" s="5">
        <v>2.4649999999999999</v>
      </c>
    </row>
    <row r="1683" spans="2:15" x14ac:dyDescent="0.25">
      <c r="B1683" s="1" t="s">
        <v>1520</v>
      </c>
      <c r="C1683" s="2" t="s">
        <v>196</v>
      </c>
      <c r="D1683" s="2" t="s">
        <v>215</v>
      </c>
      <c r="E1683" s="2" t="s">
        <v>315</v>
      </c>
      <c r="F1683" s="3">
        <f>DATE(2023,3,29)</f>
        <v>45014</v>
      </c>
      <c r="G1683" s="4">
        <f t="shared" si="198"/>
        <v>3</v>
      </c>
      <c r="H1683" s="4">
        <f t="shared" si="199"/>
        <v>2023</v>
      </c>
      <c r="I1683" s="2" t="s">
        <v>4</v>
      </c>
      <c r="J1683" s="2" t="s">
        <v>2419</v>
      </c>
      <c r="K1683" s="2" t="s">
        <v>205</v>
      </c>
      <c r="L1683" s="2" t="s">
        <v>206</v>
      </c>
      <c r="M1683" s="2" t="s">
        <v>119</v>
      </c>
      <c r="N1683" s="4" t="str">
        <f t="shared" si="200"/>
        <v>TON</v>
      </c>
      <c r="O1683" s="5">
        <v>9.0350000000000001</v>
      </c>
    </row>
    <row r="1684" spans="2:15" x14ac:dyDescent="0.25">
      <c r="B1684" s="1" t="s">
        <v>1520</v>
      </c>
      <c r="C1684" s="2" t="s">
        <v>196</v>
      </c>
      <c r="D1684" s="2" t="s">
        <v>262</v>
      </c>
      <c r="E1684" s="2" t="s">
        <v>1170</v>
      </c>
      <c r="F1684" s="3">
        <f>DATE(2023,3,29)</f>
        <v>45014</v>
      </c>
      <c r="G1684" s="4">
        <f t="shared" si="198"/>
        <v>3</v>
      </c>
      <c r="H1684" s="4">
        <f t="shared" si="199"/>
        <v>2023</v>
      </c>
      <c r="I1684" s="2" t="s">
        <v>4</v>
      </c>
      <c r="J1684" s="2" t="s">
        <v>2420</v>
      </c>
      <c r="K1684" s="2" t="s">
        <v>329</v>
      </c>
      <c r="L1684" s="2" t="s">
        <v>330</v>
      </c>
      <c r="M1684" s="2" t="s">
        <v>119</v>
      </c>
      <c r="N1684" s="4" t="str">
        <f t="shared" si="200"/>
        <v>TON</v>
      </c>
      <c r="O1684" s="5">
        <v>4.0125000000000002</v>
      </c>
    </row>
    <row r="1685" spans="2:15" x14ac:dyDescent="0.25">
      <c r="B1685" s="1" t="s">
        <v>1520</v>
      </c>
      <c r="C1685" s="2" t="s">
        <v>196</v>
      </c>
      <c r="D1685" s="2" t="s">
        <v>215</v>
      </c>
      <c r="E1685" s="2" t="s">
        <v>313</v>
      </c>
      <c r="F1685" s="3">
        <f>DATE(2023,3,29)</f>
        <v>45014</v>
      </c>
      <c r="G1685" s="4">
        <f t="shared" si="198"/>
        <v>3</v>
      </c>
      <c r="H1685" s="4">
        <f t="shared" si="199"/>
        <v>2023</v>
      </c>
      <c r="I1685" s="2" t="s">
        <v>4</v>
      </c>
      <c r="J1685" s="2" t="s">
        <v>2421</v>
      </c>
      <c r="K1685" s="2" t="s">
        <v>329</v>
      </c>
      <c r="L1685" s="2" t="s">
        <v>330</v>
      </c>
      <c r="M1685" s="2" t="s">
        <v>119</v>
      </c>
      <c r="N1685" s="4" t="str">
        <f t="shared" si="200"/>
        <v>TON</v>
      </c>
      <c r="O1685" s="5">
        <v>3.7524999999999999</v>
      </c>
    </row>
    <row r="1686" spans="2:15" x14ac:dyDescent="0.25">
      <c r="B1686" s="1" t="s">
        <v>645</v>
      </c>
      <c r="C1686" s="2" t="s">
        <v>196</v>
      </c>
      <c r="D1686" s="2" t="s">
        <v>888</v>
      </c>
      <c r="E1686" s="2" t="s">
        <v>888</v>
      </c>
      <c r="F1686" s="3">
        <f>DATE(2023,3,30)</f>
        <v>45015</v>
      </c>
      <c r="G1686" s="4">
        <f t="shared" si="198"/>
        <v>3</v>
      </c>
      <c r="H1686" s="4">
        <f t="shared" si="199"/>
        <v>2023</v>
      </c>
      <c r="I1686" s="2" t="s">
        <v>4</v>
      </c>
      <c r="J1686" s="2" t="s">
        <v>2422</v>
      </c>
      <c r="K1686" s="2" t="s">
        <v>1239</v>
      </c>
      <c r="L1686" s="2" t="s">
        <v>916</v>
      </c>
      <c r="M1686" s="2" t="s">
        <v>917</v>
      </c>
      <c r="N1686" s="4" t="str">
        <f t="shared" si="200"/>
        <v>GAL</v>
      </c>
      <c r="O1686" s="5">
        <v>5</v>
      </c>
    </row>
    <row r="1687" spans="2:15" x14ac:dyDescent="0.25">
      <c r="B1687" s="1" t="s">
        <v>1520</v>
      </c>
      <c r="C1687" s="2" t="s">
        <v>196</v>
      </c>
      <c r="D1687" s="2" t="s">
        <v>114</v>
      </c>
      <c r="E1687" s="2" t="s">
        <v>2423</v>
      </c>
      <c r="F1687" s="3">
        <f>DATE(2023,3,30)</f>
        <v>45015</v>
      </c>
      <c r="G1687" s="4">
        <f t="shared" si="198"/>
        <v>3</v>
      </c>
      <c r="H1687" s="4">
        <f t="shared" si="199"/>
        <v>2023</v>
      </c>
      <c r="I1687" s="2" t="s">
        <v>4</v>
      </c>
      <c r="J1687" s="2" t="s">
        <v>2424</v>
      </c>
      <c r="K1687" s="2" t="s">
        <v>2350</v>
      </c>
      <c r="L1687" s="2" t="s">
        <v>2351</v>
      </c>
      <c r="M1687" s="2" t="s">
        <v>119</v>
      </c>
      <c r="N1687" s="4" t="str">
        <f t="shared" si="200"/>
        <v>TON</v>
      </c>
      <c r="O1687" s="5">
        <v>1.9875</v>
      </c>
    </row>
    <row r="1688" spans="2:15" x14ac:dyDescent="0.25">
      <c r="B1688" s="1" t="s">
        <v>1520</v>
      </c>
      <c r="C1688" s="2" t="s">
        <v>196</v>
      </c>
      <c r="D1688" s="2" t="s">
        <v>317</v>
      </c>
      <c r="E1688" s="2" t="s">
        <v>319</v>
      </c>
      <c r="F1688" s="3">
        <f>DATE(2023,3,30)</f>
        <v>45015</v>
      </c>
      <c r="G1688" s="4">
        <f t="shared" si="198"/>
        <v>3</v>
      </c>
      <c r="H1688" s="4">
        <f t="shared" si="199"/>
        <v>2023</v>
      </c>
      <c r="I1688" s="2" t="s">
        <v>4</v>
      </c>
      <c r="J1688" s="2" t="s">
        <v>2425</v>
      </c>
      <c r="K1688" s="2" t="s">
        <v>551</v>
      </c>
      <c r="L1688" s="2" t="s">
        <v>2426</v>
      </c>
      <c r="M1688" s="2" t="s">
        <v>553</v>
      </c>
      <c r="N1688" s="4" t="str">
        <f t="shared" si="200"/>
        <v>GAL</v>
      </c>
      <c r="O1688" s="5">
        <v>5</v>
      </c>
    </row>
    <row r="1689" spans="2:15" x14ac:dyDescent="0.25">
      <c r="B1689" s="1" t="s">
        <v>1520</v>
      </c>
      <c r="C1689" s="2" t="s">
        <v>196</v>
      </c>
      <c r="D1689" s="2" t="s">
        <v>114</v>
      </c>
      <c r="E1689" s="2" t="s">
        <v>491</v>
      </c>
      <c r="F1689" s="3">
        <f>DATE(2023,3,30)</f>
        <v>45015</v>
      </c>
      <c r="G1689" s="4">
        <f t="shared" si="198"/>
        <v>3</v>
      </c>
      <c r="H1689" s="4">
        <f t="shared" si="199"/>
        <v>2023</v>
      </c>
      <c r="I1689" s="2" t="s">
        <v>4</v>
      </c>
      <c r="J1689" s="2" t="s">
        <v>2427</v>
      </c>
      <c r="K1689" s="2" t="s">
        <v>2350</v>
      </c>
      <c r="L1689" s="2" t="s">
        <v>2351</v>
      </c>
      <c r="M1689" s="2" t="s">
        <v>119</v>
      </c>
      <c r="N1689" s="4" t="str">
        <f t="shared" si="200"/>
        <v>TON</v>
      </c>
      <c r="O1689" s="5">
        <v>2</v>
      </c>
    </row>
    <row r="1690" spans="2:15" x14ac:dyDescent="0.25">
      <c r="B1690" s="1" t="s">
        <v>645</v>
      </c>
      <c r="C1690" s="2" t="s">
        <v>196</v>
      </c>
      <c r="D1690" s="2" t="s">
        <v>215</v>
      </c>
      <c r="E1690" s="2" t="s">
        <v>216</v>
      </c>
      <c r="F1690" s="3">
        <f>DATE(2023,3,31)</f>
        <v>45016</v>
      </c>
      <c r="G1690" s="4">
        <f t="shared" si="198"/>
        <v>3</v>
      </c>
      <c r="H1690" s="4">
        <f t="shared" si="199"/>
        <v>2023</v>
      </c>
      <c r="I1690" s="2" t="s">
        <v>4</v>
      </c>
      <c r="J1690" s="2" t="s">
        <v>2428</v>
      </c>
      <c r="K1690" s="2" t="s">
        <v>329</v>
      </c>
      <c r="L1690" s="2" t="s">
        <v>330</v>
      </c>
      <c r="M1690" s="2" t="s">
        <v>119</v>
      </c>
      <c r="N1690" s="4" t="str">
        <f t="shared" si="200"/>
        <v>TON</v>
      </c>
      <c r="O1690" s="5">
        <v>1.25</v>
      </c>
    </row>
    <row r="1691" spans="2:15" x14ac:dyDescent="0.25">
      <c r="B1691" s="1" t="s">
        <v>1520</v>
      </c>
      <c r="C1691" s="2" t="s">
        <v>196</v>
      </c>
      <c r="D1691" s="2" t="s">
        <v>280</v>
      </c>
      <c r="E1691" s="2" t="s">
        <v>254</v>
      </c>
      <c r="F1691" s="3">
        <f>DATE(2023,3,31)</f>
        <v>45016</v>
      </c>
      <c r="G1691" s="4">
        <f t="shared" si="198"/>
        <v>3</v>
      </c>
      <c r="H1691" s="4">
        <f t="shared" si="199"/>
        <v>2023</v>
      </c>
      <c r="I1691" s="2" t="s">
        <v>4</v>
      </c>
      <c r="J1691" s="2" t="s">
        <v>2429</v>
      </c>
      <c r="K1691" s="2" t="s">
        <v>2350</v>
      </c>
      <c r="L1691" s="2" t="s">
        <v>2351</v>
      </c>
      <c r="M1691" s="2" t="s">
        <v>119</v>
      </c>
      <c r="N1691" s="4" t="str">
        <f t="shared" si="200"/>
        <v>TON</v>
      </c>
      <c r="O1691" s="5">
        <v>14.9975</v>
      </c>
    </row>
    <row r="1692" spans="2:15" x14ac:dyDescent="0.25">
      <c r="B1692" s="1" t="s">
        <v>1520</v>
      </c>
      <c r="C1692" s="2" t="s">
        <v>196</v>
      </c>
      <c r="D1692" s="2" t="s">
        <v>114</v>
      </c>
      <c r="E1692" s="2" t="s">
        <v>369</v>
      </c>
      <c r="F1692" s="3">
        <f>DATE(2023,3,30)</f>
        <v>45015</v>
      </c>
      <c r="G1692" s="4">
        <f t="shared" si="198"/>
        <v>3</v>
      </c>
      <c r="H1692" s="4">
        <f t="shared" si="199"/>
        <v>2023</v>
      </c>
      <c r="I1692" s="2" t="s">
        <v>4</v>
      </c>
      <c r="J1692" s="2" t="s">
        <v>2430</v>
      </c>
      <c r="K1692" s="2" t="s">
        <v>2350</v>
      </c>
      <c r="L1692" s="2" t="s">
        <v>2351</v>
      </c>
      <c r="M1692" s="2" t="s">
        <v>119</v>
      </c>
      <c r="N1692" s="4" t="str">
        <f t="shared" si="200"/>
        <v>TON</v>
      </c>
      <c r="O1692" s="5">
        <v>4.0075000000000003</v>
      </c>
    </row>
    <row r="1693" spans="2:15" x14ac:dyDescent="0.25">
      <c r="B1693" s="1" t="s">
        <v>1520</v>
      </c>
      <c r="C1693" s="2" t="s">
        <v>196</v>
      </c>
      <c r="D1693" s="2" t="s">
        <v>317</v>
      </c>
      <c r="E1693" s="2" t="s">
        <v>677</v>
      </c>
      <c r="F1693" s="3">
        <f t="shared" ref="F1693:F1704" si="201">DATE(2023,3,31)</f>
        <v>45016</v>
      </c>
      <c r="G1693" s="4">
        <f t="shared" si="198"/>
        <v>3</v>
      </c>
      <c r="H1693" s="4">
        <f t="shared" si="199"/>
        <v>2023</v>
      </c>
      <c r="I1693" s="2" t="s">
        <v>4</v>
      </c>
      <c r="J1693" s="2" t="s">
        <v>2431</v>
      </c>
      <c r="K1693" s="2" t="s">
        <v>2350</v>
      </c>
      <c r="L1693" s="2" t="s">
        <v>2351</v>
      </c>
      <c r="M1693" s="2" t="s">
        <v>119</v>
      </c>
      <c r="N1693" s="4" t="str">
        <f t="shared" si="200"/>
        <v>TON</v>
      </c>
      <c r="O1693" s="5">
        <v>3.99</v>
      </c>
    </row>
    <row r="1694" spans="2:15" x14ac:dyDescent="0.25">
      <c r="B1694" s="1" t="s">
        <v>1520</v>
      </c>
      <c r="C1694" s="2" t="s">
        <v>196</v>
      </c>
      <c r="D1694" s="2" t="s">
        <v>663</v>
      </c>
      <c r="E1694" s="2" t="s">
        <v>222</v>
      </c>
      <c r="F1694" s="3">
        <f t="shared" si="201"/>
        <v>45016</v>
      </c>
      <c r="G1694" s="4">
        <f t="shared" si="198"/>
        <v>3</v>
      </c>
      <c r="H1694" s="4">
        <f t="shared" si="199"/>
        <v>2023</v>
      </c>
      <c r="I1694" s="2" t="s">
        <v>4</v>
      </c>
      <c r="J1694" s="2" t="s">
        <v>2432</v>
      </c>
      <c r="K1694" s="2" t="s">
        <v>25</v>
      </c>
      <c r="L1694" s="2" t="s">
        <v>541</v>
      </c>
      <c r="M1694" s="2" t="s">
        <v>27</v>
      </c>
      <c r="N1694" s="4" t="str">
        <f t="shared" si="200"/>
        <v>GAL</v>
      </c>
      <c r="O1694" s="5">
        <v>25</v>
      </c>
    </row>
    <row r="1695" spans="2:15" x14ac:dyDescent="0.25">
      <c r="B1695" s="1" t="s">
        <v>1520</v>
      </c>
      <c r="C1695" s="2" t="s">
        <v>196</v>
      </c>
      <c r="D1695" s="2" t="s">
        <v>663</v>
      </c>
      <c r="E1695" s="2" t="s">
        <v>222</v>
      </c>
      <c r="F1695" s="3">
        <f t="shared" si="201"/>
        <v>45016</v>
      </c>
      <c r="G1695" s="4">
        <f t="shared" si="198"/>
        <v>3</v>
      </c>
      <c r="H1695" s="4">
        <f t="shared" si="199"/>
        <v>2023</v>
      </c>
      <c r="I1695" s="2" t="s">
        <v>4</v>
      </c>
      <c r="J1695" s="2" t="s">
        <v>2432</v>
      </c>
      <c r="K1695" s="2" t="s">
        <v>816</v>
      </c>
      <c r="L1695" s="2" t="s">
        <v>545</v>
      </c>
      <c r="M1695" s="2" t="s">
        <v>67</v>
      </c>
      <c r="N1695" s="4" t="str">
        <f t="shared" si="200"/>
        <v>GAL</v>
      </c>
      <c r="O1695" s="5">
        <v>10</v>
      </c>
    </row>
    <row r="1696" spans="2:15" x14ac:dyDescent="0.25">
      <c r="B1696" s="1" t="s">
        <v>1520</v>
      </c>
      <c r="C1696" s="2" t="s">
        <v>196</v>
      </c>
      <c r="D1696" s="2" t="s">
        <v>663</v>
      </c>
      <c r="E1696" s="2" t="s">
        <v>222</v>
      </c>
      <c r="F1696" s="3">
        <f t="shared" si="201"/>
        <v>45016</v>
      </c>
      <c r="G1696" s="4">
        <f t="shared" si="198"/>
        <v>3</v>
      </c>
      <c r="H1696" s="4">
        <f t="shared" si="199"/>
        <v>2023</v>
      </c>
      <c r="I1696" s="2" t="s">
        <v>4</v>
      </c>
      <c r="J1696" s="2" t="s">
        <v>2432</v>
      </c>
      <c r="K1696" s="2" t="s">
        <v>817</v>
      </c>
      <c r="L1696" s="2" t="s">
        <v>818</v>
      </c>
      <c r="M1696" s="2" t="s">
        <v>556</v>
      </c>
      <c r="N1696" s="4" t="str">
        <f t="shared" si="200"/>
        <v>GAL</v>
      </c>
      <c r="O1696" s="5">
        <v>10</v>
      </c>
    </row>
    <row r="1697" spans="2:15" x14ac:dyDescent="0.25">
      <c r="B1697" s="1" t="s">
        <v>1520</v>
      </c>
      <c r="C1697" s="2" t="s">
        <v>196</v>
      </c>
      <c r="D1697" s="2" t="s">
        <v>387</v>
      </c>
      <c r="E1697" s="2" t="s">
        <v>797</v>
      </c>
      <c r="F1697" s="3">
        <f t="shared" si="201"/>
        <v>45016</v>
      </c>
      <c r="G1697" s="4">
        <f t="shared" si="198"/>
        <v>3</v>
      </c>
      <c r="H1697" s="4">
        <f t="shared" si="199"/>
        <v>2023</v>
      </c>
      <c r="I1697" s="2" t="s">
        <v>4</v>
      </c>
      <c r="J1697" s="2" t="s">
        <v>2433</v>
      </c>
      <c r="K1697" s="2" t="s">
        <v>2377</v>
      </c>
      <c r="L1697" s="2" t="s">
        <v>2378</v>
      </c>
      <c r="M1697" s="2" t="s">
        <v>119</v>
      </c>
      <c r="N1697" s="4" t="str">
        <f t="shared" si="200"/>
        <v>TON</v>
      </c>
      <c r="O1697" s="5">
        <v>10</v>
      </c>
    </row>
    <row r="1698" spans="2:15" x14ac:dyDescent="0.25">
      <c r="B1698" s="1" t="s">
        <v>1520</v>
      </c>
      <c r="C1698" s="2" t="s">
        <v>196</v>
      </c>
      <c r="D1698" s="2" t="s">
        <v>114</v>
      </c>
      <c r="E1698" s="2" t="s">
        <v>927</v>
      </c>
      <c r="F1698" s="3">
        <f t="shared" si="201"/>
        <v>45016</v>
      </c>
      <c r="G1698" s="4">
        <f t="shared" si="198"/>
        <v>3</v>
      </c>
      <c r="H1698" s="4">
        <f t="shared" si="199"/>
        <v>2023</v>
      </c>
      <c r="I1698" s="2" t="s">
        <v>4</v>
      </c>
      <c r="J1698" s="2" t="s">
        <v>2434</v>
      </c>
      <c r="K1698" s="2" t="s">
        <v>2350</v>
      </c>
      <c r="L1698" s="2" t="s">
        <v>2351</v>
      </c>
      <c r="M1698" s="2" t="s">
        <v>119</v>
      </c>
      <c r="N1698" s="4" t="str">
        <f t="shared" si="200"/>
        <v>TON</v>
      </c>
      <c r="O1698" s="5">
        <v>1.97</v>
      </c>
    </row>
    <row r="1699" spans="2:15" x14ac:dyDescent="0.25">
      <c r="B1699" s="1" t="s">
        <v>645</v>
      </c>
      <c r="C1699" s="2" t="s">
        <v>196</v>
      </c>
      <c r="D1699" s="2" t="s">
        <v>283</v>
      </c>
      <c r="E1699" s="2" t="s">
        <v>102</v>
      </c>
      <c r="F1699" s="3">
        <f t="shared" si="201"/>
        <v>45016</v>
      </c>
      <c r="G1699" s="4">
        <f t="shared" si="198"/>
        <v>3</v>
      </c>
      <c r="H1699" s="4">
        <f t="shared" si="199"/>
        <v>2023</v>
      </c>
      <c r="I1699" s="2" t="s">
        <v>4</v>
      </c>
      <c r="J1699" s="2" t="s">
        <v>2435</v>
      </c>
      <c r="K1699" s="2" t="s">
        <v>200</v>
      </c>
      <c r="L1699" s="2" t="s">
        <v>201</v>
      </c>
      <c r="M1699" s="2" t="s">
        <v>202</v>
      </c>
      <c r="N1699" s="4" t="str">
        <f t="shared" si="200"/>
        <v>GAL</v>
      </c>
      <c r="O1699" s="5">
        <v>5</v>
      </c>
    </row>
    <row r="1700" spans="2:15" x14ac:dyDescent="0.25">
      <c r="B1700" s="1" t="s">
        <v>1520</v>
      </c>
      <c r="C1700" s="2" t="s">
        <v>196</v>
      </c>
      <c r="D1700" s="2" t="s">
        <v>721</v>
      </c>
      <c r="E1700" s="2" t="s">
        <v>722</v>
      </c>
      <c r="F1700" s="3">
        <f t="shared" si="201"/>
        <v>45016</v>
      </c>
      <c r="G1700" s="4">
        <f t="shared" si="198"/>
        <v>3</v>
      </c>
      <c r="H1700" s="4">
        <f t="shared" si="199"/>
        <v>2023</v>
      </c>
      <c r="I1700" s="2" t="s">
        <v>4</v>
      </c>
      <c r="J1700" s="2" t="s">
        <v>2436</v>
      </c>
      <c r="K1700" s="2" t="s">
        <v>268</v>
      </c>
      <c r="L1700" s="2" t="s">
        <v>269</v>
      </c>
      <c r="M1700" s="2" t="s">
        <v>119</v>
      </c>
      <c r="N1700" s="4" t="str">
        <f t="shared" si="200"/>
        <v>TON</v>
      </c>
      <c r="O1700" s="5">
        <v>5</v>
      </c>
    </row>
    <row r="1701" spans="2:15" x14ac:dyDescent="0.25">
      <c r="B1701" s="1" t="s">
        <v>1520</v>
      </c>
      <c r="C1701" s="2" t="s">
        <v>196</v>
      </c>
      <c r="D1701" s="2" t="s">
        <v>449</v>
      </c>
      <c r="E1701" s="2" t="s">
        <v>780</v>
      </c>
      <c r="F1701" s="3">
        <f t="shared" si="201"/>
        <v>45016</v>
      </c>
      <c r="G1701" s="4">
        <f t="shared" si="198"/>
        <v>3</v>
      </c>
      <c r="H1701" s="4">
        <f t="shared" si="199"/>
        <v>2023</v>
      </c>
      <c r="I1701" s="2" t="s">
        <v>4</v>
      </c>
      <c r="J1701" s="2" t="s">
        <v>2437</v>
      </c>
      <c r="K1701" s="2" t="s">
        <v>329</v>
      </c>
      <c r="L1701" s="2" t="s">
        <v>330</v>
      </c>
      <c r="M1701" s="2" t="s">
        <v>119</v>
      </c>
      <c r="N1701" s="4" t="str">
        <f t="shared" si="200"/>
        <v>TON</v>
      </c>
      <c r="O1701" s="5">
        <v>3.0024999999999999</v>
      </c>
    </row>
    <row r="1702" spans="2:15" x14ac:dyDescent="0.25">
      <c r="B1702" s="1" t="s">
        <v>1520</v>
      </c>
      <c r="C1702" s="2" t="s">
        <v>196</v>
      </c>
      <c r="D1702" s="2" t="s">
        <v>331</v>
      </c>
      <c r="E1702" s="2" t="s">
        <v>432</v>
      </c>
      <c r="F1702" s="3">
        <f t="shared" si="201"/>
        <v>45016</v>
      </c>
      <c r="G1702" s="4">
        <f t="shared" si="198"/>
        <v>3</v>
      </c>
      <c r="H1702" s="4">
        <f t="shared" si="199"/>
        <v>2023</v>
      </c>
      <c r="I1702" s="2" t="s">
        <v>4</v>
      </c>
      <c r="J1702" s="2" t="s">
        <v>2438</v>
      </c>
      <c r="K1702" s="2" t="s">
        <v>205</v>
      </c>
      <c r="L1702" s="2" t="s">
        <v>206</v>
      </c>
      <c r="M1702" s="2" t="s">
        <v>119</v>
      </c>
      <c r="N1702" s="4" t="str">
        <f t="shared" si="200"/>
        <v>TON</v>
      </c>
      <c r="O1702" s="5">
        <v>5.0125000000000002</v>
      </c>
    </row>
    <row r="1703" spans="2:15" x14ac:dyDescent="0.25">
      <c r="B1703" s="1" t="s">
        <v>1520</v>
      </c>
      <c r="C1703" s="2" t="s">
        <v>196</v>
      </c>
      <c r="D1703" s="2" t="s">
        <v>299</v>
      </c>
      <c r="E1703" s="2" t="s">
        <v>2262</v>
      </c>
      <c r="F1703" s="3">
        <f t="shared" si="201"/>
        <v>45016</v>
      </c>
      <c r="G1703" s="4">
        <f t="shared" si="198"/>
        <v>3</v>
      </c>
      <c r="H1703" s="4">
        <f t="shared" si="199"/>
        <v>2023</v>
      </c>
      <c r="I1703" s="2" t="s">
        <v>4</v>
      </c>
      <c r="J1703" s="2" t="s">
        <v>2439</v>
      </c>
      <c r="K1703" s="2" t="s">
        <v>2350</v>
      </c>
      <c r="L1703" s="2" t="s">
        <v>2351</v>
      </c>
      <c r="M1703" s="2" t="s">
        <v>119</v>
      </c>
      <c r="N1703" s="4" t="str">
        <f t="shared" si="200"/>
        <v>TON</v>
      </c>
      <c r="O1703" s="5">
        <v>4.99</v>
      </c>
    </row>
    <row r="1704" spans="2:15" x14ac:dyDescent="0.25">
      <c r="B1704" s="1" t="s">
        <v>1520</v>
      </c>
      <c r="C1704" s="2" t="s">
        <v>196</v>
      </c>
      <c r="D1704" s="2" t="s">
        <v>317</v>
      </c>
      <c r="E1704" s="2" t="s">
        <v>677</v>
      </c>
      <c r="F1704" s="3">
        <f t="shared" si="201"/>
        <v>45016</v>
      </c>
      <c r="G1704" s="4">
        <f t="shared" si="198"/>
        <v>3</v>
      </c>
      <c r="H1704" s="4">
        <f t="shared" si="199"/>
        <v>2023</v>
      </c>
      <c r="I1704" s="2" t="s">
        <v>4</v>
      </c>
      <c r="J1704" s="2" t="s">
        <v>2440</v>
      </c>
      <c r="K1704" s="2" t="s">
        <v>2350</v>
      </c>
      <c r="L1704" s="2" t="s">
        <v>2351</v>
      </c>
      <c r="M1704" s="2" t="s">
        <v>119</v>
      </c>
      <c r="N1704" s="4" t="str">
        <f t="shared" si="200"/>
        <v>TON</v>
      </c>
      <c r="O1704" s="5">
        <v>4.0149999999999997</v>
      </c>
    </row>
    <row r="1705" spans="2:15" x14ac:dyDescent="0.25">
      <c r="B1705" s="1" t="s">
        <v>382</v>
      </c>
      <c r="C1705" s="2" t="s">
        <v>506</v>
      </c>
      <c r="D1705" s="2" t="s">
        <v>521</v>
      </c>
      <c r="E1705" s="2" t="s">
        <v>522</v>
      </c>
      <c r="F1705" s="3">
        <f>DATE(2023,3,7)</f>
        <v>44992</v>
      </c>
      <c r="G1705" s="4">
        <f t="shared" si="198"/>
        <v>3</v>
      </c>
      <c r="H1705" s="4">
        <f t="shared" si="199"/>
        <v>2023</v>
      </c>
      <c r="I1705" s="2" t="s">
        <v>4</v>
      </c>
      <c r="J1705" s="2" t="s">
        <v>2441</v>
      </c>
      <c r="K1705" s="2" t="s">
        <v>1266</v>
      </c>
      <c r="L1705" s="2" t="s">
        <v>1267</v>
      </c>
      <c r="M1705" s="2" t="s">
        <v>191</v>
      </c>
      <c r="N1705" s="4" t="str">
        <f t="shared" si="200"/>
        <v>GAL</v>
      </c>
      <c r="O1705" s="5">
        <v>180</v>
      </c>
    </row>
    <row r="1706" spans="2:15" x14ac:dyDescent="0.25">
      <c r="B1706" s="1" t="s">
        <v>382</v>
      </c>
      <c r="C1706" s="2" t="s">
        <v>506</v>
      </c>
      <c r="D1706" s="2" t="s">
        <v>521</v>
      </c>
      <c r="E1706" s="2" t="s">
        <v>522</v>
      </c>
      <c r="F1706" s="3">
        <f>DATE(2023,3,7)</f>
        <v>44992</v>
      </c>
      <c r="G1706" s="4">
        <f t="shared" si="198"/>
        <v>3</v>
      </c>
      <c r="H1706" s="4">
        <f t="shared" si="199"/>
        <v>2023</v>
      </c>
      <c r="I1706" s="2" t="s">
        <v>4</v>
      </c>
      <c r="J1706" s="2" t="s">
        <v>2441</v>
      </c>
      <c r="K1706" s="2" t="s">
        <v>244</v>
      </c>
      <c r="L1706" s="2" t="s">
        <v>182</v>
      </c>
      <c r="M1706" s="2" t="s">
        <v>183</v>
      </c>
      <c r="N1706" s="4" t="str">
        <f t="shared" si="200"/>
        <v>GAL</v>
      </c>
      <c r="O1706" s="5">
        <v>180</v>
      </c>
    </row>
    <row r="1707" spans="2:15" x14ac:dyDescent="0.25">
      <c r="B1707" s="1" t="s">
        <v>382</v>
      </c>
      <c r="C1707" s="2" t="s">
        <v>506</v>
      </c>
      <c r="D1707" s="2" t="s">
        <v>515</v>
      </c>
      <c r="E1707" s="2" t="s">
        <v>516</v>
      </c>
      <c r="F1707" s="3">
        <f>DATE(2023,3,13)</f>
        <v>44998</v>
      </c>
      <c r="G1707" s="4">
        <f t="shared" si="198"/>
        <v>3</v>
      </c>
      <c r="H1707" s="4">
        <f t="shared" si="199"/>
        <v>2023</v>
      </c>
      <c r="I1707" s="2" t="s">
        <v>4</v>
      </c>
      <c r="J1707" s="2" t="s">
        <v>2442</v>
      </c>
      <c r="K1707" s="2" t="s">
        <v>1014</v>
      </c>
      <c r="L1707" s="2" t="s">
        <v>472</v>
      </c>
      <c r="M1707" s="2" t="s">
        <v>473</v>
      </c>
      <c r="N1707" s="4" t="str">
        <f t="shared" si="200"/>
        <v>GAL</v>
      </c>
      <c r="O1707" s="5">
        <v>60</v>
      </c>
    </row>
    <row r="1708" spans="2:15" x14ac:dyDescent="0.25">
      <c r="B1708" s="1" t="s">
        <v>382</v>
      </c>
      <c r="C1708" s="2" t="s">
        <v>506</v>
      </c>
      <c r="D1708" s="2" t="s">
        <v>521</v>
      </c>
      <c r="E1708" s="2" t="s">
        <v>522</v>
      </c>
      <c r="F1708" s="3">
        <f>DATE(2023,3,22)</f>
        <v>45007</v>
      </c>
      <c r="G1708" s="4">
        <f t="shared" si="198"/>
        <v>3</v>
      </c>
      <c r="H1708" s="4">
        <f t="shared" si="199"/>
        <v>2023</v>
      </c>
      <c r="I1708" s="2" t="s">
        <v>4</v>
      </c>
      <c r="J1708" s="2" t="s">
        <v>2443</v>
      </c>
      <c r="K1708" s="2" t="s">
        <v>1395</v>
      </c>
      <c r="L1708" s="2" t="s">
        <v>1396</v>
      </c>
      <c r="M1708" s="2" t="s">
        <v>1397</v>
      </c>
      <c r="N1708" s="4" t="str">
        <f t="shared" si="200"/>
        <v>GAL</v>
      </c>
      <c r="O1708" s="5">
        <v>180</v>
      </c>
    </row>
    <row r="1709" spans="2:15" x14ac:dyDescent="0.25">
      <c r="B1709" s="1" t="s">
        <v>382</v>
      </c>
      <c r="C1709" s="2" t="s">
        <v>506</v>
      </c>
      <c r="D1709" s="2" t="s">
        <v>1006</v>
      </c>
      <c r="E1709" s="2" t="s">
        <v>1007</v>
      </c>
      <c r="F1709" s="3">
        <f>DATE(2023,3,24)</f>
        <v>45009</v>
      </c>
      <c r="G1709" s="4">
        <f t="shared" si="198"/>
        <v>3</v>
      </c>
      <c r="H1709" s="4">
        <f t="shared" si="199"/>
        <v>2023</v>
      </c>
      <c r="I1709" s="2" t="s">
        <v>4</v>
      </c>
      <c r="J1709" s="2" t="s">
        <v>2444</v>
      </c>
      <c r="K1709" s="2" t="s">
        <v>642</v>
      </c>
      <c r="L1709" s="2" t="s">
        <v>111</v>
      </c>
      <c r="M1709" s="2" t="s">
        <v>112</v>
      </c>
      <c r="N1709" s="4" t="str">
        <f t="shared" si="200"/>
        <v>GAL</v>
      </c>
      <c r="O1709" s="5">
        <v>180</v>
      </c>
    </row>
    <row r="1710" spans="2:15" x14ac:dyDescent="0.25">
      <c r="B1710" s="1" t="s">
        <v>382</v>
      </c>
      <c r="C1710" s="2" t="s">
        <v>506</v>
      </c>
      <c r="D1710" s="2" t="s">
        <v>521</v>
      </c>
      <c r="E1710" s="2" t="s">
        <v>522</v>
      </c>
      <c r="F1710" s="3">
        <f>DATE(2023,3,28)</f>
        <v>45013</v>
      </c>
      <c r="G1710" s="4">
        <f t="shared" si="198"/>
        <v>3</v>
      </c>
      <c r="H1710" s="4">
        <f t="shared" si="199"/>
        <v>2023</v>
      </c>
      <c r="I1710" s="2" t="s">
        <v>4</v>
      </c>
      <c r="J1710" s="2" t="s">
        <v>2445</v>
      </c>
      <c r="K1710" s="2" t="s">
        <v>1120</v>
      </c>
      <c r="L1710" s="2" t="s">
        <v>1121</v>
      </c>
      <c r="M1710" s="2" t="s">
        <v>131</v>
      </c>
      <c r="N1710" s="4" t="str">
        <f t="shared" si="200"/>
        <v>GAL</v>
      </c>
      <c r="O1710" s="5">
        <v>180</v>
      </c>
    </row>
    <row r="1711" spans="2:15" x14ac:dyDescent="0.25">
      <c r="B1711" s="1" t="s">
        <v>382</v>
      </c>
      <c r="C1711" s="2" t="s">
        <v>506</v>
      </c>
      <c r="D1711" s="2" t="s">
        <v>515</v>
      </c>
      <c r="E1711" s="2" t="s">
        <v>516</v>
      </c>
      <c r="F1711" s="3">
        <f>DATE(2023,3,31)</f>
        <v>45016</v>
      </c>
      <c r="G1711" s="4">
        <f t="shared" si="198"/>
        <v>3</v>
      </c>
      <c r="H1711" s="4">
        <f t="shared" si="199"/>
        <v>2023</v>
      </c>
      <c r="I1711" s="2" t="s">
        <v>4</v>
      </c>
      <c r="J1711" s="2" t="s">
        <v>2446</v>
      </c>
      <c r="K1711" s="2" t="s">
        <v>25</v>
      </c>
      <c r="L1711" s="2" t="s">
        <v>541</v>
      </c>
      <c r="M1711" s="2" t="s">
        <v>27</v>
      </c>
      <c r="N1711" s="4" t="str">
        <f t="shared" si="200"/>
        <v>GAL</v>
      </c>
      <c r="O1711" s="5">
        <v>180</v>
      </c>
    </row>
    <row r="1712" spans="2:15" x14ac:dyDescent="0.25">
      <c r="B1712" s="1" t="s">
        <v>382</v>
      </c>
      <c r="C1712" s="2" t="s">
        <v>506</v>
      </c>
      <c r="D1712" s="2" t="s">
        <v>515</v>
      </c>
      <c r="E1712" s="2" t="s">
        <v>516</v>
      </c>
      <c r="F1712" s="3">
        <f>DATE(2023,3,31)</f>
        <v>45016</v>
      </c>
      <c r="G1712" s="4">
        <f t="shared" si="198"/>
        <v>3</v>
      </c>
      <c r="H1712" s="4">
        <f t="shared" si="199"/>
        <v>2023</v>
      </c>
      <c r="I1712" s="2" t="s">
        <v>4</v>
      </c>
      <c r="J1712" s="2" t="s">
        <v>2446</v>
      </c>
      <c r="K1712" s="2" t="s">
        <v>2447</v>
      </c>
      <c r="L1712" s="2" t="s">
        <v>547</v>
      </c>
      <c r="M1712" s="2" t="s">
        <v>160</v>
      </c>
      <c r="N1712" s="4" t="str">
        <f t="shared" si="200"/>
        <v>GAL</v>
      </c>
      <c r="O1712" s="5">
        <v>60</v>
      </c>
    </row>
    <row r="1713" spans="2:15" x14ac:dyDescent="0.25">
      <c r="B1713" s="1" t="s">
        <v>382</v>
      </c>
      <c r="C1713" s="2" t="s">
        <v>506</v>
      </c>
      <c r="D1713" s="2" t="s">
        <v>515</v>
      </c>
      <c r="E1713" s="2" t="s">
        <v>516</v>
      </c>
      <c r="F1713" s="3">
        <f>DATE(2023,3,31)</f>
        <v>45016</v>
      </c>
      <c r="G1713" s="4">
        <f t="shared" si="198"/>
        <v>3</v>
      </c>
      <c r="H1713" s="4">
        <f t="shared" si="199"/>
        <v>2023</v>
      </c>
      <c r="I1713" s="2" t="s">
        <v>4</v>
      </c>
      <c r="J1713" s="2" t="s">
        <v>2446</v>
      </c>
      <c r="K1713" s="2" t="s">
        <v>244</v>
      </c>
      <c r="L1713" s="2" t="s">
        <v>182</v>
      </c>
      <c r="M1713" s="2" t="s">
        <v>183</v>
      </c>
      <c r="N1713" s="4" t="str">
        <f t="shared" si="200"/>
        <v>GAL</v>
      </c>
      <c r="O1713" s="5">
        <v>180</v>
      </c>
    </row>
    <row r="1714" spans="2:15" x14ac:dyDescent="0.25">
      <c r="B1714" s="1" t="s">
        <v>782</v>
      </c>
      <c r="C1714" s="2" t="s">
        <v>1018</v>
      </c>
      <c r="D1714" s="2" t="s">
        <v>2448</v>
      </c>
      <c r="E1714" s="2" t="s">
        <v>2449</v>
      </c>
      <c r="F1714" s="3">
        <f>DATE(2023,3,1)</f>
        <v>44986</v>
      </c>
      <c r="G1714" s="4">
        <f t="shared" si="198"/>
        <v>3</v>
      </c>
      <c r="H1714" s="4">
        <f t="shared" si="199"/>
        <v>2023</v>
      </c>
      <c r="I1714" s="2" t="s">
        <v>4</v>
      </c>
      <c r="J1714" s="2" t="s">
        <v>2450</v>
      </c>
      <c r="K1714" s="2" t="s">
        <v>1496</v>
      </c>
      <c r="L1714" s="2" t="s">
        <v>159</v>
      </c>
      <c r="M1714" s="2" t="s">
        <v>160</v>
      </c>
      <c r="N1714" s="4" t="str">
        <f t="shared" si="200"/>
        <v>GAL</v>
      </c>
      <c r="O1714" s="5">
        <v>750</v>
      </c>
    </row>
    <row r="1715" spans="2:15" x14ac:dyDescent="0.25">
      <c r="B1715" s="1" t="s">
        <v>782</v>
      </c>
      <c r="C1715" s="2" t="s">
        <v>1018</v>
      </c>
      <c r="D1715" s="2" t="s">
        <v>628</v>
      </c>
      <c r="E1715" s="2" t="s">
        <v>2451</v>
      </c>
      <c r="F1715" s="3">
        <f>DATE(2023,3,2)</f>
        <v>44987</v>
      </c>
      <c r="G1715" s="4">
        <f t="shared" si="198"/>
        <v>3</v>
      </c>
      <c r="H1715" s="4">
        <f t="shared" si="199"/>
        <v>2023</v>
      </c>
      <c r="I1715" s="2" t="s">
        <v>4</v>
      </c>
      <c r="J1715" s="2" t="s">
        <v>2452</v>
      </c>
      <c r="K1715" s="2" t="s">
        <v>2453</v>
      </c>
      <c r="L1715" s="2" t="s">
        <v>2454</v>
      </c>
      <c r="M1715" s="2" t="s">
        <v>2455</v>
      </c>
      <c r="N1715" s="4" t="str">
        <f t="shared" si="200"/>
        <v>GAL</v>
      </c>
      <c r="O1715" s="5">
        <v>360</v>
      </c>
    </row>
    <row r="1716" spans="2:15" x14ac:dyDescent="0.25">
      <c r="B1716" s="1" t="s">
        <v>782</v>
      </c>
      <c r="C1716" s="2" t="s">
        <v>1018</v>
      </c>
      <c r="D1716" s="2" t="s">
        <v>2456</v>
      </c>
      <c r="E1716" s="2" t="s">
        <v>2457</v>
      </c>
      <c r="F1716" s="3">
        <f>DATE(2023,3,14)</f>
        <v>44999</v>
      </c>
      <c r="G1716" s="4">
        <f t="shared" si="198"/>
        <v>3</v>
      </c>
      <c r="H1716" s="4">
        <f t="shared" si="199"/>
        <v>2023</v>
      </c>
      <c r="I1716" s="2" t="s">
        <v>4</v>
      </c>
      <c r="J1716" s="2" t="s">
        <v>2458</v>
      </c>
      <c r="K1716" s="2" t="s">
        <v>1496</v>
      </c>
      <c r="L1716" s="2" t="s">
        <v>159</v>
      </c>
      <c r="M1716" s="2" t="s">
        <v>160</v>
      </c>
      <c r="N1716" s="4" t="str">
        <f t="shared" si="200"/>
        <v>GAL</v>
      </c>
      <c r="O1716" s="5">
        <v>250</v>
      </c>
    </row>
    <row r="1717" spans="2:15" x14ac:dyDescent="0.25">
      <c r="B1717" s="1" t="s">
        <v>645</v>
      </c>
      <c r="C1717" s="2" t="s">
        <v>1025</v>
      </c>
      <c r="D1717" s="2" t="s">
        <v>2459</v>
      </c>
      <c r="E1717" s="2" t="s">
        <v>102</v>
      </c>
      <c r="F1717" s="3">
        <f>DATE(2023,3,2)</f>
        <v>44987</v>
      </c>
      <c r="G1717" s="4">
        <f t="shared" si="198"/>
        <v>3</v>
      </c>
      <c r="H1717" s="4">
        <f t="shared" si="199"/>
        <v>2023</v>
      </c>
      <c r="I1717" s="2" t="s">
        <v>4</v>
      </c>
      <c r="J1717" s="2" t="s">
        <v>2460</v>
      </c>
      <c r="K1717" s="2" t="s">
        <v>2095</v>
      </c>
      <c r="L1717" s="2" t="s">
        <v>2096</v>
      </c>
      <c r="M1717" s="2" t="s">
        <v>119</v>
      </c>
      <c r="N1717" s="4" t="str">
        <f t="shared" si="200"/>
        <v>TON</v>
      </c>
      <c r="O1717" s="5">
        <v>11.015000000000001</v>
      </c>
    </row>
    <row r="1718" spans="2:15" x14ac:dyDescent="0.25">
      <c r="B1718" s="1" t="s">
        <v>645</v>
      </c>
      <c r="C1718" s="2" t="s">
        <v>1025</v>
      </c>
      <c r="D1718" s="2" t="s">
        <v>1401</v>
      </c>
      <c r="E1718" s="2" t="s">
        <v>1402</v>
      </c>
      <c r="F1718" s="3">
        <f>DATE(2023,3,3)</f>
        <v>44988</v>
      </c>
      <c r="G1718" s="4">
        <f t="shared" si="198"/>
        <v>3</v>
      </c>
      <c r="H1718" s="4">
        <f t="shared" si="199"/>
        <v>2023</v>
      </c>
      <c r="I1718" s="2" t="s">
        <v>4</v>
      </c>
      <c r="J1718" s="2" t="s">
        <v>2461</v>
      </c>
      <c r="K1718" s="2" t="s">
        <v>1404</v>
      </c>
      <c r="L1718" s="2" t="s">
        <v>1405</v>
      </c>
      <c r="M1718" s="2" t="s">
        <v>1397</v>
      </c>
      <c r="N1718" s="4" t="str">
        <f t="shared" si="200"/>
        <v>GAL</v>
      </c>
      <c r="O1718" s="5">
        <v>840</v>
      </c>
    </row>
    <row r="1719" spans="2:15" x14ac:dyDescent="0.25">
      <c r="B1719" s="1" t="s">
        <v>645</v>
      </c>
      <c r="C1719" s="2" t="s">
        <v>1025</v>
      </c>
      <c r="D1719" s="2" t="s">
        <v>1401</v>
      </c>
      <c r="E1719" s="2" t="s">
        <v>1402</v>
      </c>
      <c r="F1719" s="3">
        <f>DATE(2023,3,3)</f>
        <v>44988</v>
      </c>
      <c r="G1719" s="4">
        <f t="shared" si="198"/>
        <v>3</v>
      </c>
      <c r="H1719" s="4">
        <f t="shared" si="199"/>
        <v>2023</v>
      </c>
      <c r="I1719" s="2" t="s">
        <v>4</v>
      </c>
      <c r="J1719" s="2" t="s">
        <v>2461</v>
      </c>
      <c r="K1719" s="2" t="s">
        <v>2081</v>
      </c>
      <c r="L1719" s="2" t="s">
        <v>1405</v>
      </c>
      <c r="M1719" s="2" t="s">
        <v>1397</v>
      </c>
      <c r="N1719" s="4" t="str">
        <f t="shared" si="200"/>
        <v>GAL</v>
      </c>
      <c r="O1719" s="5">
        <v>250</v>
      </c>
    </row>
    <row r="1720" spans="2:15" x14ac:dyDescent="0.25">
      <c r="B1720" s="1" t="s">
        <v>645</v>
      </c>
      <c r="C1720" s="2" t="s">
        <v>1025</v>
      </c>
      <c r="D1720" s="2" t="s">
        <v>2079</v>
      </c>
      <c r="E1720" s="2" t="s">
        <v>1402</v>
      </c>
      <c r="F1720" s="3">
        <f>DATE(2023,3,3)</f>
        <v>44988</v>
      </c>
      <c r="G1720" s="4">
        <f t="shared" si="198"/>
        <v>3</v>
      </c>
      <c r="H1720" s="4">
        <f t="shared" si="199"/>
        <v>2023</v>
      </c>
      <c r="I1720" s="2" t="s">
        <v>4</v>
      </c>
      <c r="J1720" s="2" t="s">
        <v>2462</v>
      </c>
      <c r="K1720" s="2" t="s">
        <v>2081</v>
      </c>
      <c r="L1720" s="2" t="s">
        <v>1405</v>
      </c>
      <c r="M1720" s="2" t="s">
        <v>1397</v>
      </c>
      <c r="N1720" s="4" t="str">
        <f t="shared" si="200"/>
        <v>GAL</v>
      </c>
      <c r="O1720" s="5">
        <v>500</v>
      </c>
    </row>
    <row r="1721" spans="2:15" x14ac:dyDescent="0.25">
      <c r="B1721" s="1" t="s">
        <v>645</v>
      </c>
      <c r="C1721" s="2" t="s">
        <v>1025</v>
      </c>
      <c r="D1721" s="2" t="s">
        <v>1401</v>
      </c>
      <c r="E1721" s="2" t="s">
        <v>1402</v>
      </c>
      <c r="F1721" s="3">
        <f>DATE(2023,3,3)</f>
        <v>44988</v>
      </c>
      <c r="G1721" s="4">
        <f t="shared" si="198"/>
        <v>3</v>
      </c>
      <c r="H1721" s="4">
        <f t="shared" si="199"/>
        <v>2023</v>
      </c>
      <c r="I1721" s="2" t="s">
        <v>4</v>
      </c>
      <c r="J1721" s="2" t="s">
        <v>2463</v>
      </c>
      <c r="K1721" s="2" t="s">
        <v>2083</v>
      </c>
      <c r="L1721" s="2" t="s">
        <v>2084</v>
      </c>
      <c r="M1721" s="2" t="s">
        <v>119</v>
      </c>
      <c r="N1721" s="4" t="str">
        <f t="shared" si="200"/>
        <v>TON</v>
      </c>
      <c r="O1721" s="5">
        <v>5.0049999999999999</v>
      </c>
    </row>
    <row r="1722" spans="2:15" x14ac:dyDescent="0.25">
      <c r="B1722" s="1" t="s">
        <v>1742</v>
      </c>
      <c r="C1722" s="2" t="s">
        <v>1025</v>
      </c>
      <c r="D1722" s="2" t="s">
        <v>2464</v>
      </c>
      <c r="E1722" s="2" t="s">
        <v>102</v>
      </c>
      <c r="F1722" s="3">
        <f>DATE(2023,3,9)</f>
        <v>44994</v>
      </c>
      <c r="G1722" s="4">
        <f t="shared" si="198"/>
        <v>3</v>
      </c>
      <c r="H1722" s="4">
        <f t="shared" si="199"/>
        <v>2023</v>
      </c>
      <c r="I1722" s="2" t="s">
        <v>4</v>
      </c>
      <c r="J1722" s="2" t="s">
        <v>2465</v>
      </c>
      <c r="K1722" s="2" t="s">
        <v>2466</v>
      </c>
      <c r="L1722" s="2" t="s">
        <v>2467</v>
      </c>
      <c r="M1722" s="2" t="s">
        <v>2468</v>
      </c>
      <c r="N1722" s="4" t="str">
        <f t="shared" si="200"/>
        <v>GAL</v>
      </c>
      <c r="O1722" s="5">
        <v>540</v>
      </c>
    </row>
    <row r="1723" spans="2:15" x14ac:dyDescent="0.25">
      <c r="B1723" s="1" t="s">
        <v>1742</v>
      </c>
      <c r="C1723" s="2" t="s">
        <v>1025</v>
      </c>
      <c r="D1723" s="2" t="s">
        <v>1401</v>
      </c>
      <c r="E1723" s="2" t="s">
        <v>1402</v>
      </c>
      <c r="F1723" s="3">
        <f>DATE(2023,3,9)</f>
        <v>44994</v>
      </c>
      <c r="G1723" s="4">
        <f t="shared" si="198"/>
        <v>3</v>
      </c>
      <c r="H1723" s="4">
        <f t="shared" si="199"/>
        <v>2023</v>
      </c>
      <c r="I1723" s="2" t="s">
        <v>4</v>
      </c>
      <c r="J1723" s="2" t="s">
        <v>2469</v>
      </c>
      <c r="K1723" s="2" t="s">
        <v>1404</v>
      </c>
      <c r="L1723" s="2" t="s">
        <v>1405</v>
      </c>
      <c r="M1723" s="2" t="s">
        <v>1397</v>
      </c>
      <c r="N1723" s="4" t="str">
        <f t="shared" si="200"/>
        <v>GAL</v>
      </c>
      <c r="O1723" s="5">
        <v>1440</v>
      </c>
    </row>
    <row r="1724" spans="2:15" x14ac:dyDescent="0.25">
      <c r="B1724" s="1" t="s">
        <v>645</v>
      </c>
      <c r="C1724" s="2" t="s">
        <v>1025</v>
      </c>
      <c r="D1724" s="2" t="s">
        <v>2470</v>
      </c>
      <c r="E1724" s="2" t="s">
        <v>102</v>
      </c>
      <c r="F1724" s="3">
        <f>DATE(2023,3,13)</f>
        <v>44998</v>
      </c>
      <c r="G1724" s="4">
        <f t="shared" si="198"/>
        <v>3</v>
      </c>
      <c r="H1724" s="4">
        <f t="shared" si="199"/>
        <v>2023</v>
      </c>
      <c r="I1724" s="2" t="s">
        <v>4</v>
      </c>
      <c r="J1724" s="2" t="s">
        <v>2471</v>
      </c>
      <c r="K1724" s="2" t="s">
        <v>25</v>
      </c>
      <c r="L1724" s="2" t="s">
        <v>541</v>
      </c>
      <c r="M1724" s="2" t="s">
        <v>27</v>
      </c>
      <c r="N1724" s="4" t="str">
        <f t="shared" si="200"/>
        <v>GAL</v>
      </c>
      <c r="O1724" s="5">
        <v>2.5</v>
      </c>
    </row>
    <row r="1725" spans="2:15" x14ac:dyDescent="0.25">
      <c r="B1725" s="1" t="s">
        <v>645</v>
      </c>
      <c r="C1725" s="2" t="s">
        <v>1025</v>
      </c>
      <c r="D1725" s="2" t="s">
        <v>2470</v>
      </c>
      <c r="E1725" s="2" t="s">
        <v>102</v>
      </c>
      <c r="F1725" s="3">
        <f>DATE(2023,3,13)</f>
        <v>44998</v>
      </c>
      <c r="G1725" s="4">
        <f t="shared" si="198"/>
        <v>3</v>
      </c>
      <c r="H1725" s="4">
        <f t="shared" si="199"/>
        <v>2023</v>
      </c>
      <c r="I1725" s="2" t="s">
        <v>4</v>
      </c>
      <c r="J1725" s="2" t="s">
        <v>2471</v>
      </c>
      <c r="K1725" s="2" t="s">
        <v>158</v>
      </c>
      <c r="L1725" s="2" t="s">
        <v>159</v>
      </c>
      <c r="M1725" s="2" t="s">
        <v>160</v>
      </c>
      <c r="N1725" s="4" t="str">
        <f t="shared" si="200"/>
        <v>GAL</v>
      </c>
      <c r="O1725" s="5">
        <v>2.5</v>
      </c>
    </row>
    <row r="1726" spans="2:15" x14ac:dyDescent="0.25">
      <c r="B1726" s="1" t="s">
        <v>645</v>
      </c>
      <c r="C1726" s="2" t="s">
        <v>1025</v>
      </c>
      <c r="D1726" s="2" t="s">
        <v>1401</v>
      </c>
      <c r="E1726" s="2" t="s">
        <v>1402</v>
      </c>
      <c r="F1726" s="3">
        <f>DATE(2023,3,13)</f>
        <v>44998</v>
      </c>
      <c r="G1726" s="4">
        <f t="shared" si="198"/>
        <v>3</v>
      </c>
      <c r="H1726" s="4">
        <f t="shared" si="199"/>
        <v>2023</v>
      </c>
      <c r="I1726" s="2" t="s">
        <v>4</v>
      </c>
      <c r="J1726" s="2" t="s">
        <v>2472</v>
      </c>
      <c r="K1726" s="2" t="s">
        <v>2081</v>
      </c>
      <c r="L1726" s="2" t="s">
        <v>1405</v>
      </c>
      <c r="M1726" s="2" t="s">
        <v>1397</v>
      </c>
      <c r="N1726" s="4" t="str">
        <f t="shared" si="200"/>
        <v>GAL</v>
      </c>
      <c r="O1726" s="5">
        <v>750</v>
      </c>
    </row>
    <row r="1727" spans="2:15" x14ac:dyDescent="0.25">
      <c r="B1727" s="1" t="s">
        <v>1742</v>
      </c>
      <c r="C1727" s="2" t="s">
        <v>1025</v>
      </c>
      <c r="D1727" s="2" t="s">
        <v>1401</v>
      </c>
      <c r="E1727" s="2" t="s">
        <v>1402</v>
      </c>
      <c r="F1727" s="3">
        <f>DATE(2023,3,13)</f>
        <v>44998</v>
      </c>
      <c r="G1727" s="4">
        <f t="shared" si="198"/>
        <v>3</v>
      </c>
      <c r="H1727" s="4">
        <f t="shared" si="199"/>
        <v>2023</v>
      </c>
      <c r="I1727" s="2" t="s">
        <v>4</v>
      </c>
      <c r="J1727" s="2" t="s">
        <v>2473</v>
      </c>
      <c r="K1727" s="2" t="s">
        <v>2083</v>
      </c>
      <c r="L1727" s="2" t="s">
        <v>2084</v>
      </c>
      <c r="M1727" s="2" t="s">
        <v>119</v>
      </c>
      <c r="N1727" s="4" t="str">
        <f t="shared" si="200"/>
        <v>TON</v>
      </c>
      <c r="O1727" s="5">
        <v>3.7574999999999998</v>
      </c>
    </row>
    <row r="1728" spans="2:15" x14ac:dyDescent="0.25">
      <c r="B1728" s="1" t="s">
        <v>1742</v>
      </c>
      <c r="C1728" s="2" t="s">
        <v>1025</v>
      </c>
      <c r="D1728" s="2" t="s">
        <v>2079</v>
      </c>
      <c r="E1728" s="2" t="s">
        <v>1402</v>
      </c>
      <c r="F1728" s="3">
        <f>DATE(2023,3,13)</f>
        <v>44998</v>
      </c>
      <c r="G1728" s="4">
        <f t="shared" si="198"/>
        <v>3</v>
      </c>
      <c r="H1728" s="4">
        <f t="shared" si="199"/>
        <v>2023</v>
      </c>
      <c r="I1728" s="2" t="s">
        <v>4</v>
      </c>
      <c r="J1728" s="2" t="s">
        <v>2474</v>
      </c>
      <c r="K1728" s="2" t="s">
        <v>2081</v>
      </c>
      <c r="L1728" s="2" t="s">
        <v>1405</v>
      </c>
      <c r="M1728" s="2" t="s">
        <v>1397</v>
      </c>
      <c r="N1728" s="4" t="str">
        <f t="shared" si="200"/>
        <v>GAL</v>
      </c>
      <c r="O1728" s="5">
        <v>500</v>
      </c>
    </row>
    <row r="1729" spans="2:15" x14ac:dyDescent="0.25">
      <c r="B1729" s="1" t="s">
        <v>1742</v>
      </c>
      <c r="C1729" s="2" t="s">
        <v>1025</v>
      </c>
      <c r="D1729" s="2" t="s">
        <v>124</v>
      </c>
      <c r="E1729" s="2" t="s">
        <v>2475</v>
      </c>
      <c r="F1729" s="3">
        <f t="shared" ref="F1729:F1734" si="202">DATE(2023,3,21)</f>
        <v>45006</v>
      </c>
      <c r="G1729" s="4">
        <f t="shared" si="198"/>
        <v>3</v>
      </c>
      <c r="H1729" s="4">
        <f t="shared" si="199"/>
        <v>2023</v>
      </c>
      <c r="I1729" s="2" t="s">
        <v>4</v>
      </c>
      <c r="J1729" s="2" t="s">
        <v>2476</v>
      </c>
      <c r="K1729" s="2" t="s">
        <v>2477</v>
      </c>
      <c r="L1729" s="2" t="s">
        <v>538</v>
      </c>
      <c r="M1729" s="2" t="s">
        <v>539</v>
      </c>
      <c r="N1729" s="4" t="str">
        <f t="shared" si="200"/>
        <v>GAL</v>
      </c>
      <c r="O1729" s="5">
        <v>180</v>
      </c>
    </row>
    <row r="1730" spans="2:15" x14ac:dyDescent="0.25">
      <c r="B1730" s="1" t="s">
        <v>1742</v>
      </c>
      <c r="C1730" s="2" t="s">
        <v>1025</v>
      </c>
      <c r="D1730" s="2" t="s">
        <v>124</v>
      </c>
      <c r="E1730" s="2" t="s">
        <v>2475</v>
      </c>
      <c r="F1730" s="3">
        <f t="shared" si="202"/>
        <v>45006</v>
      </c>
      <c r="G1730" s="4">
        <f t="shared" si="198"/>
        <v>3</v>
      </c>
      <c r="H1730" s="4">
        <f t="shared" si="199"/>
        <v>2023</v>
      </c>
      <c r="I1730" s="2" t="s">
        <v>4</v>
      </c>
      <c r="J1730" s="2" t="s">
        <v>2476</v>
      </c>
      <c r="K1730" s="2" t="s">
        <v>158</v>
      </c>
      <c r="L1730" s="2" t="s">
        <v>159</v>
      </c>
      <c r="M1730" s="2" t="s">
        <v>160</v>
      </c>
      <c r="N1730" s="4" t="str">
        <f t="shared" si="200"/>
        <v>GAL</v>
      </c>
      <c r="O1730" s="5">
        <v>540</v>
      </c>
    </row>
    <row r="1731" spans="2:15" x14ac:dyDescent="0.25">
      <c r="B1731" s="1" t="s">
        <v>1742</v>
      </c>
      <c r="C1731" s="2" t="s">
        <v>1025</v>
      </c>
      <c r="D1731" s="2" t="s">
        <v>2478</v>
      </c>
      <c r="E1731" s="2" t="s">
        <v>124</v>
      </c>
      <c r="F1731" s="3">
        <f t="shared" si="202"/>
        <v>45006</v>
      </c>
      <c r="G1731" s="4">
        <f t="shared" ref="G1731:G1794" si="203">+MONTH(F1731)</f>
        <v>3</v>
      </c>
      <c r="H1731" s="4">
        <f t="shared" ref="H1731:H1794" si="204">+YEAR(F1731)</f>
        <v>2023</v>
      </c>
      <c r="I1731" s="2" t="s">
        <v>4</v>
      </c>
      <c r="J1731" s="2" t="s">
        <v>2479</v>
      </c>
      <c r="K1731" s="2" t="s">
        <v>822</v>
      </c>
      <c r="L1731" s="2" t="s">
        <v>565</v>
      </c>
      <c r="M1731" s="2" t="s">
        <v>21</v>
      </c>
      <c r="N1731" s="4" t="str">
        <f t="shared" ref="N1731:N1794" si="205">+LEFT(M1731,3)</f>
        <v>GAL</v>
      </c>
      <c r="O1731" s="5">
        <v>250</v>
      </c>
    </row>
    <row r="1732" spans="2:15" x14ac:dyDescent="0.25">
      <c r="B1732" s="1" t="s">
        <v>1742</v>
      </c>
      <c r="C1732" s="2" t="s">
        <v>1025</v>
      </c>
      <c r="D1732" s="2" t="s">
        <v>496</v>
      </c>
      <c r="E1732" s="2" t="s">
        <v>497</v>
      </c>
      <c r="F1732" s="3">
        <f t="shared" si="202"/>
        <v>45006</v>
      </c>
      <c r="G1732" s="4">
        <f t="shared" si="203"/>
        <v>3</v>
      </c>
      <c r="H1732" s="4">
        <f t="shared" si="204"/>
        <v>2023</v>
      </c>
      <c r="I1732" s="2" t="s">
        <v>4</v>
      </c>
      <c r="J1732" s="2" t="s">
        <v>2480</v>
      </c>
      <c r="K1732" s="2" t="s">
        <v>2481</v>
      </c>
      <c r="L1732" s="2" t="s">
        <v>2482</v>
      </c>
      <c r="M1732" s="2" t="s">
        <v>119</v>
      </c>
      <c r="N1732" s="4" t="str">
        <f t="shared" si="205"/>
        <v>TON</v>
      </c>
      <c r="O1732" s="5">
        <v>1.2549999999999999</v>
      </c>
    </row>
    <row r="1733" spans="2:15" x14ac:dyDescent="0.25">
      <c r="B1733" s="6" t="s">
        <v>1742</v>
      </c>
      <c r="C1733" s="7" t="s">
        <v>1025</v>
      </c>
      <c r="D1733" s="8" t="s">
        <v>496</v>
      </c>
      <c r="E1733" s="8" t="s">
        <v>497</v>
      </c>
      <c r="F1733" s="9">
        <f t="shared" si="202"/>
        <v>45006</v>
      </c>
      <c r="G1733" s="10">
        <f t="shared" si="203"/>
        <v>3</v>
      </c>
      <c r="H1733" s="10">
        <f t="shared" si="204"/>
        <v>2023</v>
      </c>
      <c r="I1733" s="8" t="s">
        <v>4</v>
      </c>
      <c r="J1733" s="7" t="s">
        <v>2483</v>
      </c>
      <c r="K1733" s="8" t="s">
        <v>2484</v>
      </c>
      <c r="L1733" s="8" t="s">
        <v>99</v>
      </c>
      <c r="M1733" s="8" t="s">
        <v>100</v>
      </c>
      <c r="N1733" s="10" t="str">
        <f t="shared" si="205"/>
        <v>GAL</v>
      </c>
      <c r="O1733" s="11">
        <v>250</v>
      </c>
    </row>
    <row r="1734" spans="2:15" x14ac:dyDescent="0.25">
      <c r="B1734" s="6" t="s">
        <v>1742</v>
      </c>
      <c r="C1734" s="7" t="s">
        <v>1025</v>
      </c>
      <c r="D1734" s="8" t="s">
        <v>2478</v>
      </c>
      <c r="E1734" s="8" t="s">
        <v>124</v>
      </c>
      <c r="F1734" s="9">
        <f t="shared" si="202"/>
        <v>45006</v>
      </c>
      <c r="G1734" s="10">
        <f t="shared" si="203"/>
        <v>3</v>
      </c>
      <c r="H1734" s="10">
        <f t="shared" si="204"/>
        <v>2023</v>
      </c>
      <c r="I1734" s="8" t="s">
        <v>4</v>
      </c>
      <c r="J1734" s="7" t="s">
        <v>2485</v>
      </c>
      <c r="K1734" s="8" t="s">
        <v>2486</v>
      </c>
      <c r="L1734" s="8" t="s">
        <v>2487</v>
      </c>
      <c r="M1734" s="8" t="s">
        <v>119</v>
      </c>
      <c r="N1734" s="10" t="str">
        <f t="shared" si="205"/>
        <v>TON</v>
      </c>
      <c r="O1734" s="11">
        <v>7.52</v>
      </c>
    </row>
    <row r="1735" spans="2:15" x14ac:dyDescent="0.25">
      <c r="B1735" s="1" t="s">
        <v>1742</v>
      </c>
      <c r="C1735" s="2" t="s">
        <v>1025</v>
      </c>
      <c r="D1735" s="2" t="s">
        <v>628</v>
      </c>
      <c r="E1735" s="2" t="s">
        <v>2488</v>
      </c>
      <c r="F1735" s="3">
        <f>DATE(2023,3,29)</f>
        <v>45014</v>
      </c>
      <c r="G1735" s="4">
        <f t="shared" si="203"/>
        <v>3</v>
      </c>
      <c r="H1735" s="4">
        <f t="shared" si="204"/>
        <v>2023</v>
      </c>
      <c r="I1735" s="2" t="s">
        <v>4</v>
      </c>
      <c r="J1735" s="2" t="s">
        <v>2489</v>
      </c>
      <c r="K1735" s="2" t="s">
        <v>158</v>
      </c>
      <c r="L1735" s="2" t="s">
        <v>159</v>
      </c>
      <c r="M1735" s="2" t="s">
        <v>160</v>
      </c>
      <c r="N1735" s="4" t="str">
        <f t="shared" si="205"/>
        <v>GAL</v>
      </c>
      <c r="O1735" s="5">
        <v>180</v>
      </c>
    </row>
    <row r="1736" spans="2:15" x14ac:dyDescent="0.25">
      <c r="B1736" s="1" t="s">
        <v>645</v>
      </c>
      <c r="C1736" s="2" t="s">
        <v>1025</v>
      </c>
      <c r="D1736" s="2" t="s">
        <v>2079</v>
      </c>
      <c r="E1736" s="2" t="s">
        <v>1402</v>
      </c>
      <c r="F1736" s="3">
        <f>DATE(2023,3,30)</f>
        <v>45015</v>
      </c>
      <c r="G1736" s="4">
        <f t="shared" si="203"/>
        <v>3</v>
      </c>
      <c r="H1736" s="4">
        <f t="shared" si="204"/>
        <v>2023</v>
      </c>
      <c r="I1736" s="2" t="s">
        <v>4</v>
      </c>
      <c r="J1736" s="2" t="s">
        <v>2490</v>
      </c>
      <c r="K1736" s="2" t="s">
        <v>2081</v>
      </c>
      <c r="L1736" s="2" t="s">
        <v>1405</v>
      </c>
      <c r="M1736" s="2" t="s">
        <v>1397</v>
      </c>
      <c r="N1736" s="4" t="str">
        <f t="shared" si="205"/>
        <v>GAL</v>
      </c>
      <c r="O1736" s="5">
        <v>500</v>
      </c>
    </row>
    <row r="1737" spans="2:15" x14ac:dyDescent="0.25">
      <c r="B1737" s="1" t="s">
        <v>645</v>
      </c>
      <c r="C1737" s="2" t="s">
        <v>1025</v>
      </c>
      <c r="D1737" s="2" t="s">
        <v>2079</v>
      </c>
      <c r="E1737" s="2" t="s">
        <v>1402</v>
      </c>
      <c r="F1737" s="3">
        <f>DATE(2023,3,30)</f>
        <v>45015</v>
      </c>
      <c r="G1737" s="4">
        <f t="shared" si="203"/>
        <v>3</v>
      </c>
      <c r="H1737" s="4">
        <f t="shared" si="204"/>
        <v>2023</v>
      </c>
      <c r="I1737" s="2" t="s">
        <v>4</v>
      </c>
      <c r="J1737" s="2" t="s">
        <v>2490</v>
      </c>
      <c r="K1737" s="2" t="s">
        <v>1404</v>
      </c>
      <c r="L1737" s="2" t="s">
        <v>1405</v>
      </c>
      <c r="M1737" s="2" t="s">
        <v>1397</v>
      </c>
      <c r="N1737" s="4" t="str">
        <f t="shared" si="205"/>
        <v>GAL</v>
      </c>
      <c r="O1737" s="5">
        <v>240</v>
      </c>
    </row>
    <row r="1738" spans="2:15" x14ac:dyDescent="0.25">
      <c r="B1738" s="1" t="s">
        <v>645</v>
      </c>
      <c r="C1738" s="2" t="s">
        <v>1025</v>
      </c>
      <c r="D1738" s="2" t="s">
        <v>1401</v>
      </c>
      <c r="E1738" s="2" t="s">
        <v>1402</v>
      </c>
      <c r="F1738" s="3">
        <f>DATE(2023,3,30)</f>
        <v>45015</v>
      </c>
      <c r="G1738" s="4">
        <f t="shared" si="203"/>
        <v>3</v>
      </c>
      <c r="H1738" s="4">
        <f t="shared" si="204"/>
        <v>2023</v>
      </c>
      <c r="I1738" s="2" t="s">
        <v>4</v>
      </c>
      <c r="J1738" s="2" t="s">
        <v>2491</v>
      </c>
      <c r="K1738" s="2" t="s">
        <v>1404</v>
      </c>
      <c r="L1738" s="2" t="s">
        <v>1405</v>
      </c>
      <c r="M1738" s="2" t="s">
        <v>1397</v>
      </c>
      <c r="N1738" s="4" t="str">
        <f t="shared" si="205"/>
        <v>GAL</v>
      </c>
      <c r="O1738" s="5">
        <v>960</v>
      </c>
    </row>
    <row r="1739" spans="2:15" x14ac:dyDescent="0.25">
      <c r="B1739" s="1" t="s">
        <v>645</v>
      </c>
      <c r="C1739" s="2" t="s">
        <v>1025</v>
      </c>
      <c r="D1739" s="2" t="s">
        <v>1401</v>
      </c>
      <c r="E1739" s="2" t="s">
        <v>1402</v>
      </c>
      <c r="F1739" s="3">
        <f>DATE(2023,3,30)</f>
        <v>45015</v>
      </c>
      <c r="G1739" s="4">
        <f t="shared" si="203"/>
        <v>3</v>
      </c>
      <c r="H1739" s="4">
        <f t="shared" si="204"/>
        <v>2023</v>
      </c>
      <c r="I1739" s="2" t="s">
        <v>4</v>
      </c>
      <c r="J1739" s="2" t="s">
        <v>2491</v>
      </c>
      <c r="K1739" s="2" t="s">
        <v>2081</v>
      </c>
      <c r="L1739" s="2" t="s">
        <v>1405</v>
      </c>
      <c r="M1739" s="2" t="s">
        <v>1397</v>
      </c>
      <c r="N1739" s="4" t="str">
        <f t="shared" si="205"/>
        <v>GAL</v>
      </c>
      <c r="O1739" s="5">
        <v>500</v>
      </c>
    </row>
    <row r="1740" spans="2:15" x14ac:dyDescent="0.25">
      <c r="B1740" s="1" t="s">
        <v>1410</v>
      </c>
      <c r="C1740" s="2" t="s">
        <v>525</v>
      </c>
      <c r="D1740" s="2" t="s">
        <v>124</v>
      </c>
      <c r="E1740" s="2" t="s">
        <v>526</v>
      </c>
      <c r="F1740" s="3">
        <f>DATE(2023,3,2)</f>
        <v>44987</v>
      </c>
      <c r="G1740" s="4">
        <f t="shared" si="203"/>
        <v>3</v>
      </c>
      <c r="H1740" s="4">
        <f t="shared" si="204"/>
        <v>2023</v>
      </c>
      <c r="I1740" s="2" t="s">
        <v>4</v>
      </c>
      <c r="J1740" s="2" t="s">
        <v>2492</v>
      </c>
      <c r="K1740" s="2" t="s">
        <v>2493</v>
      </c>
      <c r="L1740" s="2" t="s">
        <v>2494</v>
      </c>
      <c r="M1740" s="2" t="s">
        <v>119</v>
      </c>
      <c r="N1740" s="4" t="str">
        <f t="shared" si="205"/>
        <v>TON</v>
      </c>
      <c r="O1740" s="5">
        <v>6</v>
      </c>
    </row>
    <row r="1741" spans="2:15" x14ac:dyDescent="0.25">
      <c r="B1741" s="1" t="s">
        <v>1410</v>
      </c>
      <c r="C1741" s="2" t="s">
        <v>525</v>
      </c>
      <c r="D1741" s="2" t="s">
        <v>507</v>
      </c>
      <c r="E1741" s="2" t="s">
        <v>508</v>
      </c>
      <c r="F1741" s="3">
        <f>DATE(2023,3,7)</f>
        <v>44992</v>
      </c>
      <c r="G1741" s="4">
        <f t="shared" si="203"/>
        <v>3</v>
      </c>
      <c r="H1741" s="4">
        <f t="shared" si="204"/>
        <v>2023</v>
      </c>
      <c r="I1741" s="2" t="s">
        <v>4</v>
      </c>
      <c r="J1741" s="2" t="s">
        <v>2495</v>
      </c>
      <c r="K1741" s="2" t="s">
        <v>329</v>
      </c>
      <c r="L1741" s="2" t="s">
        <v>330</v>
      </c>
      <c r="M1741" s="2" t="s">
        <v>119</v>
      </c>
      <c r="N1741" s="4" t="str">
        <f t="shared" si="205"/>
        <v>TON</v>
      </c>
      <c r="O1741" s="5">
        <v>1.25</v>
      </c>
    </row>
    <row r="1742" spans="2:15" x14ac:dyDescent="0.25">
      <c r="B1742" s="1" t="s">
        <v>1410</v>
      </c>
      <c r="C1742" s="2" t="s">
        <v>525</v>
      </c>
      <c r="D1742" s="2" t="s">
        <v>628</v>
      </c>
      <c r="E1742" s="2" t="s">
        <v>1036</v>
      </c>
      <c r="F1742" s="3">
        <f>DATE(2023,3,8)</f>
        <v>44993</v>
      </c>
      <c r="G1742" s="4">
        <f t="shared" si="203"/>
        <v>3</v>
      </c>
      <c r="H1742" s="4">
        <f t="shared" si="204"/>
        <v>2023</v>
      </c>
      <c r="I1742" s="2" t="s">
        <v>4</v>
      </c>
      <c r="J1742" s="2" t="s">
        <v>2496</v>
      </c>
      <c r="K1742" s="2" t="s">
        <v>1505</v>
      </c>
      <c r="L1742" s="2" t="s">
        <v>182</v>
      </c>
      <c r="M1742" s="2" t="s">
        <v>183</v>
      </c>
      <c r="N1742" s="4" t="str">
        <f t="shared" si="205"/>
        <v>GAL</v>
      </c>
      <c r="O1742" s="5">
        <v>500</v>
      </c>
    </row>
    <row r="1743" spans="2:15" x14ac:dyDescent="0.25">
      <c r="B1743" s="6" t="s">
        <v>1410</v>
      </c>
      <c r="C1743" s="7" t="s">
        <v>525</v>
      </c>
      <c r="D1743" s="8" t="s">
        <v>124</v>
      </c>
      <c r="E1743" s="8" t="s">
        <v>526</v>
      </c>
      <c r="F1743" s="9">
        <f>DATE(2023,3,8)</f>
        <v>44993</v>
      </c>
      <c r="G1743" s="10">
        <f t="shared" si="203"/>
        <v>3</v>
      </c>
      <c r="H1743" s="10">
        <f t="shared" si="204"/>
        <v>2023</v>
      </c>
      <c r="I1743" s="8" t="s">
        <v>4</v>
      </c>
      <c r="J1743" s="7" t="s">
        <v>2497</v>
      </c>
      <c r="K1743" s="8" t="s">
        <v>1034</v>
      </c>
      <c r="L1743" s="8" t="s">
        <v>1035</v>
      </c>
      <c r="M1743" s="8" t="s">
        <v>119</v>
      </c>
      <c r="N1743" s="10" t="str">
        <f t="shared" si="205"/>
        <v>TON</v>
      </c>
      <c r="O1743" s="11">
        <v>23.41</v>
      </c>
    </row>
    <row r="1744" spans="2:15" x14ac:dyDescent="0.25">
      <c r="B1744" s="1" t="s">
        <v>1410</v>
      </c>
      <c r="C1744" s="2" t="s">
        <v>525</v>
      </c>
      <c r="D1744" s="2" t="s">
        <v>124</v>
      </c>
      <c r="E1744" s="2" t="s">
        <v>526</v>
      </c>
      <c r="F1744" s="3">
        <f>DATE(2023,3,10)</f>
        <v>44995</v>
      </c>
      <c r="G1744" s="4">
        <f t="shared" si="203"/>
        <v>3</v>
      </c>
      <c r="H1744" s="4">
        <f t="shared" si="204"/>
        <v>2023</v>
      </c>
      <c r="I1744" s="2" t="s">
        <v>4</v>
      </c>
      <c r="J1744" s="2" t="s">
        <v>2498</v>
      </c>
      <c r="K1744" s="2" t="s">
        <v>2499</v>
      </c>
      <c r="L1744" s="2" t="s">
        <v>2500</v>
      </c>
      <c r="M1744" s="2" t="s">
        <v>119</v>
      </c>
      <c r="N1744" s="4" t="str">
        <f t="shared" si="205"/>
        <v>TON</v>
      </c>
      <c r="O1744" s="5">
        <v>12.262499999999999</v>
      </c>
    </row>
    <row r="1745" spans="2:15" x14ac:dyDescent="0.25">
      <c r="B1745" s="1" t="s">
        <v>1410</v>
      </c>
      <c r="C1745" s="2" t="s">
        <v>525</v>
      </c>
      <c r="D1745" s="2" t="s">
        <v>124</v>
      </c>
      <c r="E1745" s="2" t="s">
        <v>526</v>
      </c>
      <c r="F1745" s="3">
        <f>DATE(2023,3,14)</f>
        <v>44999</v>
      </c>
      <c r="G1745" s="4">
        <f t="shared" si="203"/>
        <v>3</v>
      </c>
      <c r="H1745" s="4">
        <f t="shared" si="204"/>
        <v>2023</v>
      </c>
      <c r="I1745" s="2" t="s">
        <v>4</v>
      </c>
      <c r="J1745" s="2" t="s">
        <v>2501</v>
      </c>
      <c r="K1745" s="2" t="s">
        <v>531</v>
      </c>
      <c r="L1745" s="2" t="s">
        <v>201</v>
      </c>
      <c r="M1745" s="2" t="s">
        <v>202</v>
      </c>
      <c r="N1745" s="4" t="str">
        <f t="shared" si="205"/>
        <v>GAL</v>
      </c>
      <c r="O1745" s="5">
        <v>30</v>
      </c>
    </row>
    <row r="1746" spans="2:15" x14ac:dyDescent="0.25">
      <c r="B1746" s="1" t="s">
        <v>1410</v>
      </c>
      <c r="C1746" s="2" t="s">
        <v>525</v>
      </c>
      <c r="D1746" s="2" t="s">
        <v>507</v>
      </c>
      <c r="E1746" s="2" t="s">
        <v>508</v>
      </c>
      <c r="F1746" s="3">
        <f>DATE(2023,3,17)</f>
        <v>45002</v>
      </c>
      <c r="G1746" s="4">
        <f t="shared" si="203"/>
        <v>3</v>
      </c>
      <c r="H1746" s="4">
        <f t="shared" si="204"/>
        <v>2023</v>
      </c>
      <c r="I1746" s="2" t="s">
        <v>4</v>
      </c>
      <c r="J1746" s="2" t="s">
        <v>2502</v>
      </c>
      <c r="K1746" s="2" t="s">
        <v>329</v>
      </c>
      <c r="L1746" s="2" t="s">
        <v>330</v>
      </c>
      <c r="M1746" s="2" t="s">
        <v>119</v>
      </c>
      <c r="N1746" s="4" t="str">
        <f t="shared" si="205"/>
        <v>TON</v>
      </c>
      <c r="O1746" s="5">
        <v>2.4975000000000001</v>
      </c>
    </row>
    <row r="1747" spans="2:15" x14ac:dyDescent="0.25">
      <c r="B1747" s="1" t="s">
        <v>1410</v>
      </c>
      <c r="C1747" s="2" t="s">
        <v>525</v>
      </c>
      <c r="D1747" s="2" t="s">
        <v>628</v>
      </c>
      <c r="E1747" s="2" t="s">
        <v>1036</v>
      </c>
      <c r="F1747" s="3">
        <f>DATE(2023,3,17)</f>
        <v>45002</v>
      </c>
      <c r="G1747" s="4">
        <f t="shared" si="203"/>
        <v>3</v>
      </c>
      <c r="H1747" s="4">
        <f t="shared" si="204"/>
        <v>2023</v>
      </c>
      <c r="I1747" s="2" t="s">
        <v>4</v>
      </c>
      <c r="J1747" s="2" t="s">
        <v>2503</v>
      </c>
      <c r="K1747" s="2" t="s">
        <v>25</v>
      </c>
      <c r="L1747" s="2" t="s">
        <v>541</v>
      </c>
      <c r="M1747" s="2" t="s">
        <v>27</v>
      </c>
      <c r="N1747" s="4" t="str">
        <f t="shared" si="205"/>
        <v>GAL</v>
      </c>
      <c r="O1747" s="5">
        <v>180</v>
      </c>
    </row>
    <row r="1748" spans="2:15" x14ac:dyDescent="0.25">
      <c r="B1748" s="1" t="s">
        <v>1410</v>
      </c>
      <c r="C1748" s="2" t="s">
        <v>525</v>
      </c>
      <c r="D1748" s="2" t="s">
        <v>628</v>
      </c>
      <c r="E1748" s="2" t="s">
        <v>1036</v>
      </c>
      <c r="F1748" s="3">
        <f>DATE(2023,3,17)</f>
        <v>45002</v>
      </c>
      <c r="G1748" s="4">
        <f t="shared" si="203"/>
        <v>3</v>
      </c>
      <c r="H1748" s="4">
        <f t="shared" si="204"/>
        <v>2023</v>
      </c>
      <c r="I1748" s="2" t="s">
        <v>4</v>
      </c>
      <c r="J1748" s="2" t="s">
        <v>2504</v>
      </c>
      <c r="K1748" s="2" t="s">
        <v>158</v>
      </c>
      <c r="L1748" s="2" t="s">
        <v>159</v>
      </c>
      <c r="M1748" s="2" t="s">
        <v>160</v>
      </c>
      <c r="N1748" s="4" t="str">
        <f t="shared" si="205"/>
        <v>GAL</v>
      </c>
      <c r="O1748" s="5">
        <v>180</v>
      </c>
    </row>
    <row r="1749" spans="2:15" x14ac:dyDescent="0.25">
      <c r="B1749" s="1" t="s">
        <v>1410</v>
      </c>
      <c r="C1749" s="2" t="s">
        <v>525</v>
      </c>
      <c r="D1749" s="2" t="s">
        <v>124</v>
      </c>
      <c r="E1749" s="2" t="s">
        <v>526</v>
      </c>
      <c r="F1749" s="3">
        <f>DATE(2023,3,23)</f>
        <v>45008</v>
      </c>
      <c r="G1749" s="4">
        <f t="shared" si="203"/>
        <v>3</v>
      </c>
      <c r="H1749" s="4">
        <f t="shared" si="204"/>
        <v>2023</v>
      </c>
      <c r="I1749" s="2" t="s">
        <v>4</v>
      </c>
      <c r="J1749" s="2" t="s">
        <v>2505</v>
      </c>
      <c r="K1749" s="2" t="s">
        <v>816</v>
      </c>
      <c r="L1749" s="2" t="s">
        <v>545</v>
      </c>
      <c r="M1749" s="2" t="s">
        <v>67</v>
      </c>
      <c r="N1749" s="4" t="str">
        <f t="shared" si="205"/>
        <v>GAL</v>
      </c>
      <c r="O1749" s="5">
        <v>5</v>
      </c>
    </row>
    <row r="1750" spans="2:15" x14ac:dyDescent="0.25">
      <c r="B1750" s="1" t="s">
        <v>1410</v>
      </c>
      <c r="C1750" s="2" t="s">
        <v>525</v>
      </c>
      <c r="D1750" s="2" t="s">
        <v>507</v>
      </c>
      <c r="E1750" s="2" t="s">
        <v>508</v>
      </c>
      <c r="F1750" s="3">
        <f>DATE(2023,3,30)</f>
        <v>45015</v>
      </c>
      <c r="G1750" s="4">
        <f t="shared" si="203"/>
        <v>3</v>
      </c>
      <c r="H1750" s="4">
        <f t="shared" si="204"/>
        <v>2023</v>
      </c>
      <c r="I1750" s="2" t="s">
        <v>4</v>
      </c>
      <c r="J1750" s="2" t="s">
        <v>2506</v>
      </c>
      <c r="K1750" s="2" t="s">
        <v>25</v>
      </c>
      <c r="L1750" s="2" t="s">
        <v>541</v>
      </c>
      <c r="M1750" s="2" t="s">
        <v>27</v>
      </c>
      <c r="N1750" s="4" t="str">
        <f t="shared" si="205"/>
        <v>GAL</v>
      </c>
      <c r="O1750" s="5">
        <v>50</v>
      </c>
    </row>
    <row r="1751" spans="2:15" x14ac:dyDescent="0.25">
      <c r="B1751" s="1" t="s">
        <v>645</v>
      </c>
      <c r="C1751" s="2" t="s">
        <v>533</v>
      </c>
      <c r="D1751" s="2" t="s">
        <v>557</v>
      </c>
      <c r="E1751" s="2" t="s">
        <v>2507</v>
      </c>
      <c r="F1751" s="3">
        <f>DATE(2023,3,2)</f>
        <v>44987</v>
      </c>
      <c r="G1751" s="4">
        <f t="shared" si="203"/>
        <v>3</v>
      </c>
      <c r="H1751" s="4">
        <f t="shared" si="204"/>
        <v>2023</v>
      </c>
      <c r="I1751" s="2" t="s">
        <v>4</v>
      </c>
      <c r="J1751" s="2" t="s">
        <v>2508</v>
      </c>
      <c r="K1751" s="2" t="s">
        <v>2155</v>
      </c>
      <c r="L1751" s="2" t="s">
        <v>2156</v>
      </c>
      <c r="M1751" s="2" t="s">
        <v>106</v>
      </c>
      <c r="N1751" s="4" t="str">
        <f t="shared" si="205"/>
        <v>LBS</v>
      </c>
      <c r="O1751" s="5">
        <v>1800</v>
      </c>
    </row>
    <row r="1752" spans="2:15" x14ac:dyDescent="0.25">
      <c r="B1752" s="1" t="s">
        <v>645</v>
      </c>
      <c r="C1752" s="2" t="s">
        <v>533</v>
      </c>
      <c r="D1752" s="2" t="s">
        <v>557</v>
      </c>
      <c r="E1752" s="2" t="s">
        <v>2507</v>
      </c>
      <c r="F1752" s="3">
        <f>DATE(2023,3,2)</f>
        <v>44987</v>
      </c>
      <c r="G1752" s="4">
        <f t="shared" si="203"/>
        <v>3</v>
      </c>
      <c r="H1752" s="4">
        <f t="shared" si="204"/>
        <v>2023</v>
      </c>
      <c r="I1752" s="2" t="s">
        <v>4</v>
      </c>
      <c r="J1752" s="2" t="s">
        <v>2508</v>
      </c>
      <c r="K1752" s="2" t="s">
        <v>2125</v>
      </c>
      <c r="L1752" s="2" t="s">
        <v>2126</v>
      </c>
      <c r="M1752" s="2" t="s">
        <v>106</v>
      </c>
      <c r="N1752" s="4" t="str">
        <f t="shared" si="205"/>
        <v>LBS</v>
      </c>
      <c r="O1752" s="5">
        <v>7500</v>
      </c>
    </row>
    <row r="1753" spans="2:15" x14ac:dyDescent="0.25">
      <c r="B1753" s="1" t="s">
        <v>1050</v>
      </c>
      <c r="C1753" s="2" t="s">
        <v>533</v>
      </c>
      <c r="D1753" s="2" t="s">
        <v>557</v>
      </c>
      <c r="E1753" s="2" t="s">
        <v>2509</v>
      </c>
      <c r="F1753" s="3">
        <f>DATE(2023,3,2)</f>
        <v>44987</v>
      </c>
      <c r="G1753" s="4">
        <f t="shared" si="203"/>
        <v>3</v>
      </c>
      <c r="H1753" s="4">
        <f t="shared" si="204"/>
        <v>2023</v>
      </c>
      <c r="I1753" s="2" t="s">
        <v>4</v>
      </c>
      <c r="J1753" s="2" t="s">
        <v>2510</v>
      </c>
      <c r="K1753" s="2" t="s">
        <v>2128</v>
      </c>
      <c r="L1753" s="2" t="s">
        <v>2129</v>
      </c>
      <c r="M1753" s="2" t="s">
        <v>106</v>
      </c>
      <c r="N1753" s="4" t="str">
        <f t="shared" si="205"/>
        <v>LBS</v>
      </c>
      <c r="O1753" s="5">
        <v>5000</v>
      </c>
    </row>
    <row r="1754" spans="2:15" x14ac:dyDescent="0.25">
      <c r="B1754" s="1" t="s">
        <v>1050</v>
      </c>
      <c r="C1754" s="2" t="s">
        <v>533</v>
      </c>
      <c r="D1754" s="2" t="s">
        <v>1047</v>
      </c>
      <c r="E1754" s="2" t="s">
        <v>2511</v>
      </c>
      <c r="F1754" s="3">
        <f>DATE(2023,3,2)</f>
        <v>44987</v>
      </c>
      <c r="G1754" s="4">
        <f t="shared" si="203"/>
        <v>3</v>
      </c>
      <c r="H1754" s="4">
        <f t="shared" si="204"/>
        <v>2023</v>
      </c>
      <c r="I1754" s="2" t="s">
        <v>4</v>
      </c>
      <c r="J1754" s="2" t="s">
        <v>2512</v>
      </c>
      <c r="K1754" s="2" t="s">
        <v>816</v>
      </c>
      <c r="L1754" s="2" t="s">
        <v>545</v>
      </c>
      <c r="M1754" s="2" t="s">
        <v>67</v>
      </c>
      <c r="N1754" s="4" t="str">
        <f t="shared" si="205"/>
        <v>GAL</v>
      </c>
      <c r="O1754" s="5">
        <v>10</v>
      </c>
    </row>
    <row r="1755" spans="2:15" x14ac:dyDescent="0.25">
      <c r="B1755" s="1" t="s">
        <v>1050</v>
      </c>
      <c r="C1755" s="2" t="s">
        <v>533</v>
      </c>
      <c r="D1755" s="2" t="s">
        <v>1047</v>
      </c>
      <c r="E1755" s="2" t="s">
        <v>2511</v>
      </c>
      <c r="F1755" s="3">
        <f>DATE(2023,3,2)</f>
        <v>44987</v>
      </c>
      <c r="G1755" s="4">
        <f t="shared" si="203"/>
        <v>3</v>
      </c>
      <c r="H1755" s="4">
        <f t="shared" si="204"/>
        <v>2023</v>
      </c>
      <c r="I1755" s="2" t="s">
        <v>4</v>
      </c>
      <c r="J1755" s="2" t="s">
        <v>2512</v>
      </c>
      <c r="K1755" s="2" t="s">
        <v>50</v>
      </c>
      <c r="L1755" s="2" t="s">
        <v>550</v>
      </c>
      <c r="M1755" s="2" t="s">
        <v>52</v>
      </c>
      <c r="N1755" s="4" t="str">
        <f t="shared" si="205"/>
        <v>GAL</v>
      </c>
      <c r="O1755" s="5">
        <v>90</v>
      </c>
    </row>
    <row r="1756" spans="2:15" x14ac:dyDescent="0.25">
      <c r="B1756" s="1" t="s">
        <v>1050</v>
      </c>
      <c r="C1756" s="2" t="s">
        <v>533</v>
      </c>
      <c r="D1756" s="2" t="s">
        <v>1047</v>
      </c>
      <c r="E1756" s="2" t="s">
        <v>2513</v>
      </c>
      <c r="F1756" s="3">
        <f>DATE(2023,3,3)</f>
        <v>44988</v>
      </c>
      <c r="G1756" s="4">
        <f t="shared" si="203"/>
        <v>3</v>
      </c>
      <c r="H1756" s="4">
        <f t="shared" si="204"/>
        <v>2023</v>
      </c>
      <c r="I1756" s="2" t="s">
        <v>4</v>
      </c>
      <c r="J1756" s="2" t="s">
        <v>2514</v>
      </c>
      <c r="K1756" s="2" t="s">
        <v>22</v>
      </c>
      <c r="L1756" s="2" t="s">
        <v>176</v>
      </c>
      <c r="M1756" s="2" t="s">
        <v>24</v>
      </c>
      <c r="N1756" s="4" t="str">
        <f t="shared" si="205"/>
        <v>GAL</v>
      </c>
      <c r="O1756" s="5">
        <v>5</v>
      </c>
    </row>
    <row r="1757" spans="2:15" x14ac:dyDescent="0.25">
      <c r="B1757" s="1" t="s">
        <v>1050</v>
      </c>
      <c r="C1757" s="2" t="s">
        <v>533</v>
      </c>
      <c r="D1757" s="2" t="s">
        <v>557</v>
      </c>
      <c r="E1757" s="2" t="s">
        <v>2160</v>
      </c>
      <c r="F1757" s="3">
        <f>DATE(2023,3,6)</f>
        <v>44991</v>
      </c>
      <c r="G1757" s="4">
        <f t="shared" si="203"/>
        <v>3</v>
      </c>
      <c r="H1757" s="4">
        <f t="shared" si="204"/>
        <v>2023</v>
      </c>
      <c r="I1757" s="2" t="s">
        <v>4</v>
      </c>
      <c r="J1757" s="2" t="s">
        <v>2515</v>
      </c>
      <c r="K1757" s="2" t="s">
        <v>2516</v>
      </c>
      <c r="L1757" s="2" t="s">
        <v>2163</v>
      </c>
      <c r="M1757" s="2" t="s">
        <v>106</v>
      </c>
      <c r="N1757" s="4" t="str">
        <f t="shared" si="205"/>
        <v>LBS</v>
      </c>
      <c r="O1757" s="5">
        <v>43350</v>
      </c>
    </row>
    <row r="1758" spans="2:15" x14ac:dyDescent="0.25">
      <c r="B1758" s="1" t="s">
        <v>645</v>
      </c>
      <c r="C1758" s="2" t="s">
        <v>533</v>
      </c>
      <c r="D1758" s="2" t="s">
        <v>562</v>
      </c>
      <c r="E1758" s="2" t="s">
        <v>2118</v>
      </c>
      <c r="F1758" s="3">
        <f>DATE(2023,3,8)</f>
        <v>44993</v>
      </c>
      <c r="G1758" s="4">
        <f t="shared" si="203"/>
        <v>3</v>
      </c>
      <c r="H1758" s="4">
        <f t="shared" si="204"/>
        <v>2023</v>
      </c>
      <c r="I1758" s="2" t="s">
        <v>4</v>
      </c>
      <c r="J1758" s="2" t="s">
        <v>2517</v>
      </c>
      <c r="K1758" s="2" t="s">
        <v>19</v>
      </c>
      <c r="L1758" s="2" t="s">
        <v>565</v>
      </c>
      <c r="M1758" s="2" t="s">
        <v>21</v>
      </c>
      <c r="N1758" s="4" t="str">
        <f t="shared" si="205"/>
        <v>GAL</v>
      </c>
      <c r="O1758" s="5">
        <v>360</v>
      </c>
    </row>
    <row r="1759" spans="2:15" x14ac:dyDescent="0.25">
      <c r="B1759" s="1" t="s">
        <v>645</v>
      </c>
      <c r="C1759" s="2" t="s">
        <v>533</v>
      </c>
      <c r="D1759" s="2" t="s">
        <v>562</v>
      </c>
      <c r="E1759" s="2" t="s">
        <v>563</v>
      </c>
      <c r="F1759" s="3">
        <f>DATE(2023,3,14)</f>
        <v>44999</v>
      </c>
      <c r="G1759" s="4">
        <f t="shared" si="203"/>
        <v>3</v>
      </c>
      <c r="H1759" s="4">
        <f t="shared" si="204"/>
        <v>2023</v>
      </c>
      <c r="I1759" s="2" t="s">
        <v>4</v>
      </c>
      <c r="J1759" s="2" t="s">
        <v>2518</v>
      </c>
      <c r="K1759" s="2" t="s">
        <v>2519</v>
      </c>
      <c r="L1759" s="2" t="s">
        <v>550</v>
      </c>
      <c r="M1759" s="2" t="s">
        <v>52</v>
      </c>
      <c r="N1759" s="4" t="str">
        <f t="shared" si="205"/>
        <v>GAL</v>
      </c>
      <c r="O1759" s="5">
        <v>1500</v>
      </c>
    </row>
    <row r="1760" spans="2:15" x14ac:dyDescent="0.25">
      <c r="B1760" s="1" t="s">
        <v>645</v>
      </c>
      <c r="C1760" s="2" t="s">
        <v>533</v>
      </c>
      <c r="D1760" s="2" t="s">
        <v>2144</v>
      </c>
      <c r="E1760" s="2" t="s">
        <v>2145</v>
      </c>
      <c r="F1760" s="3">
        <f>DATE(2023,3,16)</f>
        <v>45001</v>
      </c>
      <c r="G1760" s="4">
        <f t="shared" si="203"/>
        <v>3</v>
      </c>
      <c r="H1760" s="4">
        <f t="shared" si="204"/>
        <v>2023</v>
      </c>
      <c r="I1760" s="2" t="s">
        <v>4</v>
      </c>
      <c r="J1760" s="2" t="s">
        <v>2520</v>
      </c>
      <c r="K1760" s="2" t="s">
        <v>1734</v>
      </c>
      <c r="L1760" s="2" t="s">
        <v>2521</v>
      </c>
      <c r="M1760" s="2" t="s">
        <v>1736</v>
      </c>
      <c r="N1760" s="4" t="str">
        <f t="shared" si="205"/>
        <v>GAL</v>
      </c>
      <c r="O1760" s="5">
        <v>720</v>
      </c>
    </row>
    <row r="1761" spans="2:15" x14ac:dyDescent="0.25">
      <c r="B1761" s="1" t="s">
        <v>645</v>
      </c>
      <c r="C1761" s="2" t="s">
        <v>533</v>
      </c>
      <c r="D1761" s="2" t="s">
        <v>1047</v>
      </c>
      <c r="E1761" s="2" t="s">
        <v>2522</v>
      </c>
      <c r="F1761" s="3">
        <f>DATE(2023,3,16)</f>
        <v>45001</v>
      </c>
      <c r="G1761" s="4">
        <f t="shared" si="203"/>
        <v>3</v>
      </c>
      <c r="H1761" s="4">
        <f t="shared" si="204"/>
        <v>2023</v>
      </c>
      <c r="I1761" s="2" t="s">
        <v>4</v>
      </c>
      <c r="J1761" s="2" t="s">
        <v>2523</v>
      </c>
      <c r="K1761" s="2" t="s">
        <v>549</v>
      </c>
      <c r="L1761" s="2" t="s">
        <v>550</v>
      </c>
      <c r="M1761" s="2" t="s">
        <v>52</v>
      </c>
      <c r="N1761" s="4" t="str">
        <f t="shared" si="205"/>
        <v>GAL</v>
      </c>
      <c r="O1761" s="5">
        <v>110</v>
      </c>
    </row>
    <row r="1762" spans="2:15" x14ac:dyDescent="0.25">
      <c r="B1762" s="1" t="s">
        <v>645</v>
      </c>
      <c r="C1762" s="2" t="s">
        <v>533</v>
      </c>
      <c r="D1762" s="2" t="s">
        <v>2144</v>
      </c>
      <c r="E1762" s="2" t="s">
        <v>2524</v>
      </c>
      <c r="F1762" s="3">
        <f>DATE(2023,3,17)</f>
        <v>45002</v>
      </c>
      <c r="G1762" s="4">
        <f t="shared" si="203"/>
        <v>3</v>
      </c>
      <c r="H1762" s="4">
        <f t="shared" si="204"/>
        <v>2023</v>
      </c>
      <c r="I1762" s="2" t="s">
        <v>4</v>
      </c>
      <c r="J1762" s="2" t="s">
        <v>2525</v>
      </c>
      <c r="K1762" s="2" t="s">
        <v>2526</v>
      </c>
      <c r="L1762" s="2" t="s">
        <v>2527</v>
      </c>
      <c r="M1762" s="2" t="s">
        <v>2528</v>
      </c>
      <c r="N1762" s="4" t="str">
        <f t="shared" si="205"/>
        <v>GAL</v>
      </c>
      <c r="O1762" s="5">
        <v>3960</v>
      </c>
    </row>
    <row r="1763" spans="2:15" x14ac:dyDescent="0.25">
      <c r="B1763" s="1" t="s">
        <v>645</v>
      </c>
      <c r="C1763" s="2" t="s">
        <v>533</v>
      </c>
      <c r="D1763" s="2" t="s">
        <v>1047</v>
      </c>
      <c r="E1763" s="2" t="s">
        <v>2136</v>
      </c>
      <c r="F1763" s="3">
        <f>DATE(2023,3,17)</f>
        <v>45002</v>
      </c>
      <c r="G1763" s="4">
        <f t="shared" si="203"/>
        <v>3</v>
      </c>
      <c r="H1763" s="4">
        <f t="shared" si="204"/>
        <v>2023</v>
      </c>
      <c r="I1763" s="2" t="s">
        <v>4</v>
      </c>
      <c r="J1763" s="2" t="s">
        <v>2529</v>
      </c>
      <c r="K1763" s="2" t="s">
        <v>2530</v>
      </c>
      <c r="L1763" s="2" t="s">
        <v>2531</v>
      </c>
      <c r="M1763" s="2" t="s">
        <v>2532</v>
      </c>
      <c r="N1763" s="4" t="str">
        <f t="shared" si="205"/>
        <v>GAL</v>
      </c>
      <c r="O1763" s="5">
        <v>20</v>
      </c>
    </row>
    <row r="1764" spans="2:15" x14ac:dyDescent="0.25">
      <c r="B1764" s="1" t="s">
        <v>645</v>
      </c>
      <c r="C1764" s="2" t="s">
        <v>533</v>
      </c>
      <c r="D1764" s="2" t="s">
        <v>1047</v>
      </c>
      <c r="E1764" s="2" t="s">
        <v>2136</v>
      </c>
      <c r="F1764" s="3">
        <f>DATE(2023,3,17)</f>
        <v>45002</v>
      </c>
      <c r="G1764" s="4">
        <f t="shared" si="203"/>
        <v>3</v>
      </c>
      <c r="H1764" s="4">
        <f t="shared" si="204"/>
        <v>2023</v>
      </c>
      <c r="I1764" s="2" t="s">
        <v>4</v>
      </c>
      <c r="J1764" s="2" t="s">
        <v>2529</v>
      </c>
      <c r="K1764" s="2" t="s">
        <v>2138</v>
      </c>
      <c r="L1764" s="2" t="s">
        <v>2139</v>
      </c>
      <c r="M1764" s="2" t="s">
        <v>1472</v>
      </c>
      <c r="N1764" s="4" t="str">
        <f t="shared" si="205"/>
        <v>GAL</v>
      </c>
      <c r="O1764" s="5">
        <v>250</v>
      </c>
    </row>
    <row r="1765" spans="2:15" x14ac:dyDescent="0.25">
      <c r="B1765" s="1" t="s">
        <v>645</v>
      </c>
      <c r="C1765" s="2" t="s">
        <v>533</v>
      </c>
      <c r="D1765" s="2" t="s">
        <v>2144</v>
      </c>
      <c r="E1765" s="2" t="s">
        <v>2524</v>
      </c>
      <c r="F1765" s="3">
        <f>DATE(2023,3,20)</f>
        <v>45005</v>
      </c>
      <c r="G1765" s="4">
        <f t="shared" si="203"/>
        <v>3</v>
      </c>
      <c r="H1765" s="4">
        <f t="shared" si="204"/>
        <v>2023</v>
      </c>
      <c r="I1765" s="2" t="s">
        <v>4</v>
      </c>
      <c r="J1765" s="2" t="s">
        <v>2533</v>
      </c>
      <c r="K1765" s="2" t="s">
        <v>2526</v>
      </c>
      <c r="L1765" s="2" t="s">
        <v>2527</v>
      </c>
      <c r="M1765" s="2" t="s">
        <v>2528</v>
      </c>
      <c r="N1765" s="4" t="str">
        <f t="shared" si="205"/>
        <v>GAL</v>
      </c>
      <c r="O1765" s="5">
        <v>3960</v>
      </c>
    </row>
    <row r="1766" spans="2:15" x14ac:dyDescent="0.25">
      <c r="B1766" s="1" t="s">
        <v>645</v>
      </c>
      <c r="C1766" s="2" t="s">
        <v>533</v>
      </c>
      <c r="D1766" s="2" t="s">
        <v>557</v>
      </c>
      <c r="E1766" s="2" t="s">
        <v>2534</v>
      </c>
      <c r="F1766" s="3">
        <f t="shared" ref="F1766:F1781" si="206">DATE(2023,3,22)</f>
        <v>45007</v>
      </c>
      <c r="G1766" s="4">
        <f t="shared" si="203"/>
        <v>3</v>
      </c>
      <c r="H1766" s="4">
        <f t="shared" si="204"/>
        <v>2023</v>
      </c>
      <c r="I1766" s="2" t="s">
        <v>4</v>
      </c>
      <c r="J1766" s="2" t="s">
        <v>2535</v>
      </c>
      <c r="K1766" s="2" t="s">
        <v>2536</v>
      </c>
      <c r="L1766" s="2" t="s">
        <v>2537</v>
      </c>
      <c r="M1766" s="2" t="s">
        <v>131</v>
      </c>
      <c r="N1766" s="4" t="str">
        <f t="shared" si="205"/>
        <v>GAL</v>
      </c>
      <c r="O1766" s="5">
        <v>1800</v>
      </c>
    </row>
    <row r="1767" spans="2:15" x14ac:dyDescent="0.25">
      <c r="B1767" s="1" t="s">
        <v>645</v>
      </c>
      <c r="C1767" s="2" t="s">
        <v>533</v>
      </c>
      <c r="D1767" s="2" t="s">
        <v>534</v>
      </c>
      <c r="E1767" s="2" t="s">
        <v>535</v>
      </c>
      <c r="F1767" s="3">
        <f t="shared" si="206"/>
        <v>45007</v>
      </c>
      <c r="G1767" s="4">
        <f t="shared" si="203"/>
        <v>3</v>
      </c>
      <c r="H1767" s="4">
        <f t="shared" si="204"/>
        <v>2023</v>
      </c>
      <c r="I1767" s="2" t="s">
        <v>4</v>
      </c>
      <c r="J1767" s="2" t="s">
        <v>2538</v>
      </c>
      <c r="K1767" s="2" t="s">
        <v>537</v>
      </c>
      <c r="L1767" s="2" t="s">
        <v>538</v>
      </c>
      <c r="M1767" s="2" t="s">
        <v>539</v>
      </c>
      <c r="N1767" s="4" t="str">
        <f t="shared" si="205"/>
        <v>GAL</v>
      </c>
      <c r="O1767" s="5">
        <v>165</v>
      </c>
    </row>
    <row r="1768" spans="2:15" x14ac:dyDescent="0.25">
      <c r="B1768" s="1" t="s">
        <v>645</v>
      </c>
      <c r="C1768" s="2" t="s">
        <v>533</v>
      </c>
      <c r="D1768" s="2" t="s">
        <v>534</v>
      </c>
      <c r="E1768" s="2" t="s">
        <v>535</v>
      </c>
      <c r="F1768" s="3">
        <f t="shared" si="206"/>
        <v>45007</v>
      </c>
      <c r="G1768" s="4">
        <f t="shared" si="203"/>
        <v>3</v>
      </c>
      <c r="H1768" s="4">
        <f t="shared" si="204"/>
        <v>2023</v>
      </c>
      <c r="I1768" s="2" t="s">
        <v>4</v>
      </c>
      <c r="J1768" s="2" t="s">
        <v>2538</v>
      </c>
      <c r="K1768" s="2" t="s">
        <v>2539</v>
      </c>
      <c r="L1768" s="2" t="s">
        <v>150</v>
      </c>
      <c r="M1768" s="2" t="s">
        <v>21</v>
      </c>
      <c r="N1768" s="4" t="str">
        <f t="shared" si="205"/>
        <v>GAL</v>
      </c>
      <c r="O1768" s="5">
        <v>55</v>
      </c>
    </row>
    <row r="1769" spans="2:15" x14ac:dyDescent="0.25">
      <c r="B1769" s="1" t="s">
        <v>645</v>
      </c>
      <c r="C1769" s="2" t="s">
        <v>533</v>
      </c>
      <c r="D1769" s="2" t="s">
        <v>534</v>
      </c>
      <c r="E1769" s="2" t="s">
        <v>535</v>
      </c>
      <c r="F1769" s="3">
        <f t="shared" si="206"/>
        <v>45007</v>
      </c>
      <c r="G1769" s="4">
        <f t="shared" si="203"/>
        <v>3</v>
      </c>
      <c r="H1769" s="4">
        <f t="shared" si="204"/>
        <v>2023</v>
      </c>
      <c r="I1769" s="2" t="s">
        <v>4</v>
      </c>
      <c r="J1769" s="2" t="s">
        <v>2538</v>
      </c>
      <c r="K1769" s="2" t="s">
        <v>1188</v>
      </c>
      <c r="L1769" s="2" t="s">
        <v>541</v>
      </c>
      <c r="M1769" s="2" t="s">
        <v>27</v>
      </c>
      <c r="N1769" s="4" t="str">
        <f t="shared" si="205"/>
        <v>GAL</v>
      </c>
      <c r="O1769" s="5">
        <v>250</v>
      </c>
    </row>
    <row r="1770" spans="2:15" x14ac:dyDescent="0.25">
      <c r="B1770" s="1" t="s">
        <v>645</v>
      </c>
      <c r="C1770" s="2" t="s">
        <v>533</v>
      </c>
      <c r="D1770" s="2" t="s">
        <v>534</v>
      </c>
      <c r="E1770" s="2" t="s">
        <v>535</v>
      </c>
      <c r="F1770" s="3">
        <f t="shared" si="206"/>
        <v>45007</v>
      </c>
      <c r="G1770" s="4">
        <f t="shared" si="203"/>
        <v>3</v>
      </c>
      <c r="H1770" s="4">
        <f t="shared" si="204"/>
        <v>2023</v>
      </c>
      <c r="I1770" s="2" t="s">
        <v>4</v>
      </c>
      <c r="J1770" s="2" t="s">
        <v>2538</v>
      </c>
      <c r="K1770" s="2" t="s">
        <v>542</v>
      </c>
      <c r="L1770" s="2" t="s">
        <v>543</v>
      </c>
      <c r="M1770" s="2" t="s">
        <v>27</v>
      </c>
      <c r="N1770" s="4" t="str">
        <f t="shared" si="205"/>
        <v>GAL</v>
      </c>
      <c r="O1770" s="5">
        <v>55</v>
      </c>
    </row>
    <row r="1771" spans="2:15" x14ac:dyDescent="0.25">
      <c r="B1771" s="1" t="s">
        <v>645</v>
      </c>
      <c r="C1771" s="2" t="s">
        <v>533</v>
      </c>
      <c r="D1771" s="2" t="s">
        <v>534</v>
      </c>
      <c r="E1771" s="2" t="s">
        <v>535</v>
      </c>
      <c r="F1771" s="3">
        <f t="shared" si="206"/>
        <v>45007</v>
      </c>
      <c r="G1771" s="4">
        <f t="shared" si="203"/>
        <v>3</v>
      </c>
      <c r="H1771" s="4">
        <f t="shared" si="204"/>
        <v>2023</v>
      </c>
      <c r="I1771" s="2" t="s">
        <v>4</v>
      </c>
      <c r="J1771" s="2" t="s">
        <v>2538</v>
      </c>
      <c r="K1771" s="2" t="s">
        <v>2540</v>
      </c>
      <c r="L1771" s="2" t="s">
        <v>2541</v>
      </c>
      <c r="M1771" s="2" t="s">
        <v>2542</v>
      </c>
      <c r="N1771" s="4" t="str">
        <f t="shared" si="205"/>
        <v>GAL</v>
      </c>
      <c r="O1771" s="5">
        <v>55</v>
      </c>
    </row>
    <row r="1772" spans="2:15" x14ac:dyDescent="0.25">
      <c r="B1772" s="1" t="s">
        <v>645</v>
      </c>
      <c r="C1772" s="2" t="s">
        <v>533</v>
      </c>
      <c r="D1772" s="2" t="s">
        <v>534</v>
      </c>
      <c r="E1772" s="2" t="s">
        <v>535</v>
      </c>
      <c r="F1772" s="3">
        <f t="shared" si="206"/>
        <v>45007</v>
      </c>
      <c r="G1772" s="4">
        <f t="shared" si="203"/>
        <v>3</v>
      </c>
      <c r="H1772" s="4">
        <f t="shared" si="204"/>
        <v>2023</v>
      </c>
      <c r="I1772" s="2" t="s">
        <v>4</v>
      </c>
      <c r="J1772" s="2" t="s">
        <v>2538</v>
      </c>
      <c r="K1772" s="2" t="s">
        <v>2543</v>
      </c>
      <c r="L1772" s="2" t="s">
        <v>545</v>
      </c>
      <c r="M1772" s="2" t="s">
        <v>67</v>
      </c>
      <c r="N1772" s="4" t="str">
        <f t="shared" si="205"/>
        <v>GAL</v>
      </c>
      <c r="O1772" s="5">
        <v>250</v>
      </c>
    </row>
    <row r="1773" spans="2:15" x14ac:dyDescent="0.25">
      <c r="B1773" s="1" t="s">
        <v>645</v>
      </c>
      <c r="C1773" s="2" t="s">
        <v>533</v>
      </c>
      <c r="D1773" s="2" t="s">
        <v>534</v>
      </c>
      <c r="E1773" s="2" t="s">
        <v>535</v>
      </c>
      <c r="F1773" s="3">
        <f t="shared" si="206"/>
        <v>45007</v>
      </c>
      <c r="G1773" s="4">
        <f t="shared" si="203"/>
        <v>3</v>
      </c>
      <c r="H1773" s="4">
        <f t="shared" si="204"/>
        <v>2023</v>
      </c>
      <c r="I1773" s="2" t="s">
        <v>4</v>
      </c>
      <c r="J1773" s="2" t="s">
        <v>2538</v>
      </c>
      <c r="K1773" s="2" t="s">
        <v>2544</v>
      </c>
      <c r="L1773" s="2" t="s">
        <v>547</v>
      </c>
      <c r="M1773" s="2" t="s">
        <v>160</v>
      </c>
      <c r="N1773" s="4" t="str">
        <f t="shared" si="205"/>
        <v>GAL</v>
      </c>
      <c r="O1773" s="5">
        <v>250</v>
      </c>
    </row>
    <row r="1774" spans="2:15" x14ac:dyDescent="0.25">
      <c r="B1774" s="1" t="s">
        <v>645</v>
      </c>
      <c r="C1774" s="2" t="s">
        <v>533</v>
      </c>
      <c r="D1774" s="2" t="s">
        <v>534</v>
      </c>
      <c r="E1774" s="2" t="s">
        <v>535</v>
      </c>
      <c r="F1774" s="3">
        <f t="shared" si="206"/>
        <v>45007</v>
      </c>
      <c r="G1774" s="4">
        <f t="shared" si="203"/>
        <v>3</v>
      </c>
      <c r="H1774" s="4">
        <f t="shared" si="204"/>
        <v>2023</v>
      </c>
      <c r="I1774" s="2" t="s">
        <v>4</v>
      </c>
      <c r="J1774" s="2" t="s">
        <v>2538</v>
      </c>
      <c r="K1774" s="2" t="s">
        <v>1779</v>
      </c>
      <c r="L1774" s="2" t="s">
        <v>2545</v>
      </c>
      <c r="M1774" s="2" t="s">
        <v>67</v>
      </c>
      <c r="N1774" s="4" t="str">
        <f t="shared" si="205"/>
        <v>GAL</v>
      </c>
      <c r="O1774" s="5">
        <v>55</v>
      </c>
    </row>
    <row r="1775" spans="2:15" x14ac:dyDescent="0.25">
      <c r="B1775" s="1" t="s">
        <v>645</v>
      </c>
      <c r="C1775" s="2" t="s">
        <v>533</v>
      </c>
      <c r="D1775" s="2" t="s">
        <v>534</v>
      </c>
      <c r="E1775" s="2" t="s">
        <v>535</v>
      </c>
      <c r="F1775" s="3">
        <f t="shared" si="206"/>
        <v>45007</v>
      </c>
      <c r="G1775" s="4">
        <f t="shared" si="203"/>
        <v>3</v>
      </c>
      <c r="H1775" s="4">
        <f t="shared" si="204"/>
        <v>2023</v>
      </c>
      <c r="I1775" s="2" t="s">
        <v>4</v>
      </c>
      <c r="J1775" s="2" t="s">
        <v>2538</v>
      </c>
      <c r="K1775" s="2" t="s">
        <v>548</v>
      </c>
      <c r="L1775" s="2" t="s">
        <v>518</v>
      </c>
      <c r="M1775" s="2" t="s">
        <v>85</v>
      </c>
      <c r="N1775" s="4" t="str">
        <f t="shared" si="205"/>
        <v>GAL</v>
      </c>
      <c r="O1775" s="5">
        <v>250</v>
      </c>
    </row>
    <row r="1776" spans="2:15" x14ac:dyDescent="0.25">
      <c r="B1776" s="1" t="s">
        <v>645</v>
      </c>
      <c r="C1776" s="2" t="s">
        <v>533</v>
      </c>
      <c r="D1776" s="2" t="s">
        <v>534</v>
      </c>
      <c r="E1776" s="2" t="s">
        <v>535</v>
      </c>
      <c r="F1776" s="3">
        <f t="shared" si="206"/>
        <v>45007</v>
      </c>
      <c r="G1776" s="4">
        <f t="shared" si="203"/>
        <v>3</v>
      </c>
      <c r="H1776" s="4">
        <f t="shared" si="204"/>
        <v>2023</v>
      </c>
      <c r="I1776" s="2" t="s">
        <v>4</v>
      </c>
      <c r="J1776" s="2" t="s">
        <v>2538</v>
      </c>
      <c r="K1776" s="2" t="s">
        <v>2519</v>
      </c>
      <c r="L1776" s="2" t="s">
        <v>550</v>
      </c>
      <c r="M1776" s="2" t="s">
        <v>52</v>
      </c>
      <c r="N1776" s="4" t="str">
        <f t="shared" si="205"/>
        <v>GAL</v>
      </c>
      <c r="O1776" s="5">
        <v>500</v>
      </c>
    </row>
    <row r="1777" spans="2:15" x14ac:dyDescent="0.25">
      <c r="B1777" s="1" t="s">
        <v>645</v>
      </c>
      <c r="C1777" s="2" t="s">
        <v>533</v>
      </c>
      <c r="D1777" s="2" t="s">
        <v>534</v>
      </c>
      <c r="E1777" s="2" t="s">
        <v>535</v>
      </c>
      <c r="F1777" s="3">
        <f t="shared" si="206"/>
        <v>45007</v>
      </c>
      <c r="G1777" s="4">
        <f t="shared" si="203"/>
        <v>3</v>
      </c>
      <c r="H1777" s="4">
        <f t="shared" si="204"/>
        <v>2023</v>
      </c>
      <c r="I1777" s="2" t="s">
        <v>4</v>
      </c>
      <c r="J1777" s="2" t="s">
        <v>2538</v>
      </c>
      <c r="K1777" s="2" t="s">
        <v>11</v>
      </c>
      <c r="L1777" s="2" t="s">
        <v>1010</v>
      </c>
      <c r="M1777" s="2" t="s">
        <v>13</v>
      </c>
      <c r="N1777" s="4" t="str">
        <f t="shared" si="205"/>
        <v>GAL</v>
      </c>
      <c r="O1777" s="5">
        <v>55</v>
      </c>
    </row>
    <row r="1778" spans="2:15" x14ac:dyDescent="0.25">
      <c r="B1778" s="1" t="s">
        <v>645</v>
      </c>
      <c r="C1778" s="2" t="s">
        <v>533</v>
      </c>
      <c r="D1778" s="2" t="s">
        <v>534</v>
      </c>
      <c r="E1778" s="2" t="s">
        <v>535</v>
      </c>
      <c r="F1778" s="3">
        <f t="shared" si="206"/>
        <v>45007</v>
      </c>
      <c r="G1778" s="4">
        <f t="shared" si="203"/>
        <v>3</v>
      </c>
      <c r="H1778" s="4">
        <f t="shared" si="204"/>
        <v>2023</v>
      </c>
      <c r="I1778" s="2" t="s">
        <v>4</v>
      </c>
      <c r="J1778" s="2" t="s">
        <v>2538</v>
      </c>
      <c r="K1778" s="2" t="s">
        <v>2546</v>
      </c>
      <c r="L1778" s="2" t="s">
        <v>552</v>
      </c>
      <c r="M1778" s="2" t="s">
        <v>553</v>
      </c>
      <c r="N1778" s="4" t="str">
        <f t="shared" si="205"/>
        <v>GAL</v>
      </c>
      <c r="O1778" s="5">
        <v>250</v>
      </c>
    </row>
    <row r="1779" spans="2:15" x14ac:dyDescent="0.25">
      <c r="B1779" s="1" t="s">
        <v>645</v>
      </c>
      <c r="C1779" s="2" t="s">
        <v>533</v>
      </c>
      <c r="D1779" s="2" t="s">
        <v>534</v>
      </c>
      <c r="E1779" s="2" t="s">
        <v>535</v>
      </c>
      <c r="F1779" s="3">
        <f t="shared" si="206"/>
        <v>45007</v>
      </c>
      <c r="G1779" s="4">
        <f t="shared" si="203"/>
        <v>3</v>
      </c>
      <c r="H1779" s="4">
        <f t="shared" si="204"/>
        <v>2023</v>
      </c>
      <c r="I1779" s="2" t="s">
        <v>4</v>
      </c>
      <c r="J1779" s="2" t="s">
        <v>2538</v>
      </c>
      <c r="K1779" s="2" t="s">
        <v>2547</v>
      </c>
      <c r="L1779" s="2" t="s">
        <v>552</v>
      </c>
      <c r="M1779" s="2" t="s">
        <v>553</v>
      </c>
      <c r="N1779" s="4" t="str">
        <f t="shared" si="205"/>
        <v>GAL</v>
      </c>
      <c r="O1779" s="5">
        <v>110</v>
      </c>
    </row>
    <row r="1780" spans="2:15" x14ac:dyDescent="0.25">
      <c r="B1780" s="1" t="s">
        <v>645</v>
      </c>
      <c r="C1780" s="2" t="s">
        <v>533</v>
      </c>
      <c r="D1780" s="2" t="s">
        <v>534</v>
      </c>
      <c r="E1780" s="2" t="s">
        <v>535</v>
      </c>
      <c r="F1780" s="3">
        <f t="shared" si="206"/>
        <v>45007</v>
      </c>
      <c r="G1780" s="4">
        <f t="shared" si="203"/>
        <v>3</v>
      </c>
      <c r="H1780" s="4">
        <f t="shared" si="204"/>
        <v>2023</v>
      </c>
      <c r="I1780" s="2" t="s">
        <v>4</v>
      </c>
      <c r="J1780" s="2" t="s">
        <v>2538</v>
      </c>
      <c r="K1780" s="2" t="s">
        <v>2548</v>
      </c>
      <c r="L1780" s="2" t="s">
        <v>176</v>
      </c>
      <c r="M1780" s="2" t="s">
        <v>24</v>
      </c>
      <c r="N1780" s="4" t="str">
        <f t="shared" si="205"/>
        <v>GAL</v>
      </c>
      <c r="O1780" s="5">
        <v>250</v>
      </c>
    </row>
    <row r="1781" spans="2:15" x14ac:dyDescent="0.25">
      <c r="B1781" s="1" t="s">
        <v>645</v>
      </c>
      <c r="C1781" s="2" t="s">
        <v>533</v>
      </c>
      <c r="D1781" s="2" t="s">
        <v>534</v>
      </c>
      <c r="E1781" s="2" t="s">
        <v>535</v>
      </c>
      <c r="F1781" s="3">
        <f t="shared" si="206"/>
        <v>45007</v>
      </c>
      <c r="G1781" s="4">
        <f t="shared" si="203"/>
        <v>3</v>
      </c>
      <c r="H1781" s="4">
        <f t="shared" si="204"/>
        <v>2023</v>
      </c>
      <c r="I1781" s="2" t="s">
        <v>4</v>
      </c>
      <c r="J1781" s="2" t="s">
        <v>2538</v>
      </c>
      <c r="K1781" s="2" t="s">
        <v>554</v>
      </c>
      <c r="L1781" s="2" t="s">
        <v>555</v>
      </c>
      <c r="M1781" s="2" t="s">
        <v>556</v>
      </c>
      <c r="N1781" s="4" t="str">
        <f t="shared" si="205"/>
        <v>GAL</v>
      </c>
      <c r="O1781" s="5">
        <v>250</v>
      </c>
    </row>
    <row r="1782" spans="2:15" x14ac:dyDescent="0.25">
      <c r="B1782" s="1" t="s">
        <v>645</v>
      </c>
      <c r="C1782" s="2" t="s">
        <v>533</v>
      </c>
      <c r="D1782" s="2" t="s">
        <v>562</v>
      </c>
      <c r="E1782" s="2" t="s">
        <v>2118</v>
      </c>
      <c r="F1782" s="3">
        <f>DATE(2023,3,23)</f>
        <v>45008</v>
      </c>
      <c r="G1782" s="4">
        <f t="shared" si="203"/>
        <v>3</v>
      </c>
      <c r="H1782" s="4">
        <f t="shared" si="204"/>
        <v>2023</v>
      </c>
      <c r="I1782" s="2" t="s">
        <v>4</v>
      </c>
      <c r="J1782" s="2" t="s">
        <v>2549</v>
      </c>
      <c r="K1782" s="2" t="s">
        <v>83</v>
      </c>
      <c r="L1782" s="2" t="s">
        <v>518</v>
      </c>
      <c r="M1782" s="2" t="s">
        <v>85</v>
      </c>
      <c r="N1782" s="4" t="str">
        <f t="shared" si="205"/>
        <v>GAL</v>
      </c>
      <c r="O1782" s="5">
        <v>180</v>
      </c>
    </row>
    <row r="1783" spans="2:15" x14ac:dyDescent="0.25">
      <c r="B1783" s="1" t="s">
        <v>645</v>
      </c>
      <c r="C1783" s="2" t="s">
        <v>533</v>
      </c>
      <c r="D1783" s="2" t="s">
        <v>557</v>
      </c>
      <c r="E1783" s="2" t="s">
        <v>1090</v>
      </c>
      <c r="F1783" s="3">
        <f>DATE(2023,3,23)</f>
        <v>45008</v>
      </c>
      <c r="G1783" s="4">
        <f t="shared" si="203"/>
        <v>3</v>
      </c>
      <c r="H1783" s="4">
        <f t="shared" si="204"/>
        <v>2023</v>
      </c>
      <c r="I1783" s="2" t="s">
        <v>4</v>
      </c>
      <c r="J1783" s="2" t="s">
        <v>2550</v>
      </c>
      <c r="K1783" s="2" t="s">
        <v>2127</v>
      </c>
      <c r="L1783" s="2" t="s">
        <v>2126</v>
      </c>
      <c r="M1783" s="2" t="s">
        <v>106</v>
      </c>
      <c r="N1783" s="4" t="str">
        <f t="shared" si="205"/>
        <v>LBS</v>
      </c>
      <c r="O1783" s="5">
        <v>3600</v>
      </c>
    </row>
    <row r="1784" spans="2:15" x14ac:dyDescent="0.25">
      <c r="B1784" s="1" t="s">
        <v>645</v>
      </c>
      <c r="C1784" s="2" t="s">
        <v>533</v>
      </c>
      <c r="D1784" s="2" t="s">
        <v>534</v>
      </c>
      <c r="E1784" s="2" t="s">
        <v>535</v>
      </c>
      <c r="F1784" s="3">
        <f>DATE(2023,3,24)</f>
        <v>45009</v>
      </c>
      <c r="G1784" s="4">
        <f t="shared" si="203"/>
        <v>3</v>
      </c>
      <c r="H1784" s="4">
        <f t="shared" si="204"/>
        <v>2023</v>
      </c>
      <c r="I1784" s="2" t="s">
        <v>4</v>
      </c>
      <c r="J1784" s="2" t="s">
        <v>2551</v>
      </c>
      <c r="K1784" s="2" t="s">
        <v>1779</v>
      </c>
      <c r="L1784" s="2" t="s">
        <v>2545</v>
      </c>
      <c r="M1784" s="2" t="s">
        <v>67</v>
      </c>
      <c r="N1784" s="4" t="str">
        <f t="shared" si="205"/>
        <v>GAL</v>
      </c>
      <c r="O1784" s="5">
        <v>55</v>
      </c>
    </row>
    <row r="1785" spans="2:15" x14ac:dyDescent="0.25">
      <c r="B1785" s="1" t="s">
        <v>645</v>
      </c>
      <c r="C1785" s="2" t="s">
        <v>533</v>
      </c>
      <c r="D1785" s="2" t="s">
        <v>534</v>
      </c>
      <c r="E1785" s="2" t="s">
        <v>535</v>
      </c>
      <c r="F1785" s="3">
        <f>DATE(2023,3,24)</f>
        <v>45009</v>
      </c>
      <c r="G1785" s="4">
        <f t="shared" si="203"/>
        <v>3</v>
      </c>
      <c r="H1785" s="4">
        <f t="shared" si="204"/>
        <v>2023</v>
      </c>
      <c r="I1785" s="2" t="s">
        <v>4</v>
      </c>
      <c r="J1785" s="2" t="s">
        <v>2551</v>
      </c>
      <c r="K1785" s="2" t="s">
        <v>11</v>
      </c>
      <c r="L1785" s="2" t="s">
        <v>1010</v>
      </c>
      <c r="M1785" s="2" t="s">
        <v>13</v>
      </c>
      <c r="N1785" s="4" t="str">
        <f t="shared" si="205"/>
        <v>GAL</v>
      </c>
      <c r="O1785" s="5">
        <v>55</v>
      </c>
    </row>
    <row r="1786" spans="2:15" x14ac:dyDescent="0.25">
      <c r="B1786" s="1" t="s">
        <v>645</v>
      </c>
      <c r="C1786" s="2" t="s">
        <v>533</v>
      </c>
      <c r="D1786" s="2" t="s">
        <v>534</v>
      </c>
      <c r="E1786" s="2" t="s">
        <v>535</v>
      </c>
      <c r="F1786" s="3">
        <f>DATE(2023,3,24)</f>
        <v>45009</v>
      </c>
      <c r="G1786" s="4">
        <f t="shared" si="203"/>
        <v>3</v>
      </c>
      <c r="H1786" s="4">
        <f t="shared" si="204"/>
        <v>2023</v>
      </c>
      <c r="I1786" s="2" t="s">
        <v>4</v>
      </c>
      <c r="J1786" s="2" t="s">
        <v>2551</v>
      </c>
      <c r="K1786" s="2" t="s">
        <v>554</v>
      </c>
      <c r="L1786" s="2" t="s">
        <v>555</v>
      </c>
      <c r="M1786" s="2" t="s">
        <v>556</v>
      </c>
      <c r="N1786" s="4" t="str">
        <f t="shared" si="205"/>
        <v>GAL</v>
      </c>
      <c r="O1786" s="5">
        <v>250</v>
      </c>
    </row>
    <row r="1787" spans="2:15" x14ac:dyDescent="0.25">
      <c r="B1787" s="1" t="s">
        <v>1050</v>
      </c>
      <c r="C1787" s="2" t="s">
        <v>533</v>
      </c>
      <c r="D1787" s="2" t="s">
        <v>2144</v>
      </c>
      <c r="E1787" s="2" t="s">
        <v>2149</v>
      </c>
      <c r="F1787" s="3">
        <f>DATE(2023,3,29)</f>
        <v>45014</v>
      </c>
      <c r="G1787" s="4">
        <f t="shared" si="203"/>
        <v>3</v>
      </c>
      <c r="H1787" s="4">
        <f t="shared" si="204"/>
        <v>2023</v>
      </c>
      <c r="I1787" s="2" t="s">
        <v>4</v>
      </c>
      <c r="J1787" s="2" t="s">
        <v>2552</v>
      </c>
      <c r="K1787" s="2" t="s">
        <v>2526</v>
      </c>
      <c r="L1787" s="2" t="s">
        <v>2527</v>
      </c>
      <c r="M1787" s="2" t="s">
        <v>2528</v>
      </c>
      <c r="N1787" s="4" t="str">
        <f t="shared" si="205"/>
        <v>GAL</v>
      </c>
      <c r="O1787" s="5">
        <v>2160</v>
      </c>
    </row>
    <row r="1788" spans="2:15" x14ac:dyDescent="0.25">
      <c r="B1788" s="1" t="s">
        <v>1050</v>
      </c>
      <c r="C1788" s="2" t="s">
        <v>533</v>
      </c>
      <c r="D1788" s="2" t="s">
        <v>2144</v>
      </c>
      <c r="E1788" s="2" t="s">
        <v>2149</v>
      </c>
      <c r="F1788" s="3">
        <f>DATE(2023,3,29)</f>
        <v>45014</v>
      </c>
      <c r="G1788" s="4">
        <f t="shared" si="203"/>
        <v>3</v>
      </c>
      <c r="H1788" s="4">
        <f t="shared" si="204"/>
        <v>2023</v>
      </c>
      <c r="I1788" s="2" t="s">
        <v>4</v>
      </c>
      <c r="J1788" s="2" t="s">
        <v>2552</v>
      </c>
      <c r="K1788" s="2" t="s">
        <v>2553</v>
      </c>
      <c r="L1788" s="2" t="s">
        <v>2527</v>
      </c>
      <c r="M1788" s="2" t="s">
        <v>2528</v>
      </c>
      <c r="N1788" s="4" t="str">
        <f t="shared" si="205"/>
        <v>GAL</v>
      </c>
      <c r="O1788" s="5">
        <v>1750</v>
      </c>
    </row>
    <row r="1789" spans="2:15" x14ac:dyDescent="0.25">
      <c r="B1789" s="1" t="s">
        <v>1050</v>
      </c>
      <c r="C1789" s="2" t="s">
        <v>533</v>
      </c>
      <c r="D1789" s="2" t="s">
        <v>1047</v>
      </c>
      <c r="E1789" s="2" t="s">
        <v>2554</v>
      </c>
      <c r="F1789" s="3">
        <f>DATE(2023,3,30)</f>
        <v>45015</v>
      </c>
      <c r="G1789" s="4">
        <f t="shared" si="203"/>
        <v>3</v>
      </c>
      <c r="H1789" s="4">
        <f t="shared" si="204"/>
        <v>2023</v>
      </c>
      <c r="I1789" s="2" t="s">
        <v>4</v>
      </c>
      <c r="J1789" s="2" t="s">
        <v>2555</v>
      </c>
      <c r="K1789" s="2" t="s">
        <v>2530</v>
      </c>
      <c r="L1789" s="2" t="s">
        <v>2531</v>
      </c>
      <c r="M1789" s="2" t="s">
        <v>2532</v>
      </c>
      <c r="N1789" s="4" t="str">
        <f t="shared" si="205"/>
        <v>GAL</v>
      </c>
      <c r="O1789" s="5">
        <v>120</v>
      </c>
    </row>
    <row r="1790" spans="2:15" x14ac:dyDescent="0.25">
      <c r="B1790" s="1" t="s">
        <v>1050</v>
      </c>
      <c r="C1790" s="2" t="s">
        <v>533</v>
      </c>
      <c r="D1790" s="2" t="s">
        <v>1047</v>
      </c>
      <c r="E1790" s="2" t="s">
        <v>2554</v>
      </c>
      <c r="F1790" s="3">
        <f>DATE(2023,3,30)</f>
        <v>45015</v>
      </c>
      <c r="G1790" s="4">
        <f t="shared" si="203"/>
        <v>3</v>
      </c>
      <c r="H1790" s="4">
        <f t="shared" si="204"/>
        <v>2023</v>
      </c>
      <c r="I1790" s="2" t="s">
        <v>4</v>
      </c>
      <c r="J1790" s="2" t="s">
        <v>2555</v>
      </c>
      <c r="K1790" s="2" t="s">
        <v>2556</v>
      </c>
      <c r="L1790" s="2" t="s">
        <v>2557</v>
      </c>
      <c r="M1790" s="2" t="s">
        <v>1472</v>
      </c>
      <c r="N1790" s="4" t="str">
        <f t="shared" si="205"/>
        <v>GAL</v>
      </c>
      <c r="O1790" s="5">
        <v>20</v>
      </c>
    </row>
    <row r="1791" spans="2:15" x14ac:dyDescent="0.25">
      <c r="B1791" s="1" t="s">
        <v>1050</v>
      </c>
      <c r="C1791" s="2" t="s">
        <v>533</v>
      </c>
      <c r="D1791" s="2" t="s">
        <v>1047</v>
      </c>
      <c r="E1791" s="2" t="s">
        <v>2554</v>
      </c>
      <c r="F1791" s="3">
        <f>DATE(2023,3,30)</f>
        <v>45015</v>
      </c>
      <c r="G1791" s="4">
        <f t="shared" si="203"/>
        <v>3</v>
      </c>
      <c r="H1791" s="4">
        <f t="shared" si="204"/>
        <v>2023</v>
      </c>
      <c r="I1791" s="2" t="s">
        <v>4</v>
      </c>
      <c r="J1791" s="2" t="s">
        <v>2555</v>
      </c>
      <c r="K1791" s="2" t="s">
        <v>1470</v>
      </c>
      <c r="L1791" s="2" t="s">
        <v>2558</v>
      </c>
      <c r="M1791" s="2" t="s">
        <v>1472</v>
      </c>
      <c r="N1791" s="4" t="str">
        <f t="shared" si="205"/>
        <v>GAL</v>
      </c>
      <c r="O1791" s="5">
        <v>40</v>
      </c>
    </row>
    <row r="1792" spans="2:15" x14ac:dyDescent="0.25">
      <c r="B1792" s="1" t="s">
        <v>0</v>
      </c>
      <c r="C1792" s="2" t="s">
        <v>1</v>
      </c>
      <c r="D1792" s="2" t="s">
        <v>2</v>
      </c>
      <c r="E1792" s="2" t="s">
        <v>1432</v>
      </c>
      <c r="F1792" s="3">
        <v>45030</v>
      </c>
      <c r="G1792" s="4">
        <f t="shared" si="203"/>
        <v>4</v>
      </c>
      <c r="H1792" s="4">
        <f t="shared" si="204"/>
        <v>2023</v>
      </c>
      <c r="I1792" s="2" t="s">
        <v>4</v>
      </c>
      <c r="J1792" s="2" t="s">
        <v>2559</v>
      </c>
      <c r="K1792" s="2" t="s">
        <v>33</v>
      </c>
      <c r="L1792" s="2" t="s">
        <v>34</v>
      </c>
      <c r="M1792" s="2" t="s">
        <v>35</v>
      </c>
      <c r="N1792" s="4" t="str">
        <f t="shared" si="205"/>
        <v>GAL</v>
      </c>
      <c r="O1792" s="5">
        <v>20</v>
      </c>
    </row>
    <row r="1793" spans="2:15" x14ac:dyDescent="0.25">
      <c r="B1793" s="1" t="s">
        <v>0</v>
      </c>
      <c r="C1793" s="2" t="s">
        <v>1</v>
      </c>
      <c r="D1793" s="2" t="s">
        <v>2</v>
      </c>
      <c r="E1793" s="2" t="s">
        <v>1432</v>
      </c>
      <c r="F1793" s="3">
        <v>45030</v>
      </c>
      <c r="G1793" s="4">
        <f t="shared" si="203"/>
        <v>4</v>
      </c>
      <c r="H1793" s="4">
        <f t="shared" si="204"/>
        <v>2023</v>
      </c>
      <c r="I1793" s="2" t="s">
        <v>4</v>
      </c>
      <c r="J1793" s="2" t="s">
        <v>2559</v>
      </c>
      <c r="K1793" s="2" t="s">
        <v>19</v>
      </c>
      <c r="L1793" s="2" t="s">
        <v>20</v>
      </c>
      <c r="M1793" s="2" t="s">
        <v>21</v>
      </c>
      <c r="N1793" s="4" t="str">
        <f t="shared" si="205"/>
        <v>GAL</v>
      </c>
      <c r="O1793" s="5">
        <v>20</v>
      </c>
    </row>
    <row r="1794" spans="2:15" x14ac:dyDescent="0.25">
      <c r="B1794" s="1" t="s">
        <v>0</v>
      </c>
      <c r="C1794" s="2" t="s">
        <v>1</v>
      </c>
      <c r="D1794" s="2" t="s">
        <v>2</v>
      </c>
      <c r="E1794" s="2" t="s">
        <v>1432</v>
      </c>
      <c r="F1794" s="3">
        <v>45030</v>
      </c>
      <c r="G1794" s="4">
        <f t="shared" si="203"/>
        <v>4</v>
      </c>
      <c r="H1794" s="4">
        <f t="shared" si="204"/>
        <v>2023</v>
      </c>
      <c r="I1794" s="2" t="s">
        <v>4</v>
      </c>
      <c r="J1794" s="2" t="s">
        <v>2559</v>
      </c>
      <c r="K1794" s="2" t="s">
        <v>11</v>
      </c>
      <c r="L1794" s="2" t="s">
        <v>12</v>
      </c>
      <c r="M1794" s="2" t="s">
        <v>13</v>
      </c>
      <c r="N1794" s="4" t="str">
        <f t="shared" si="205"/>
        <v>GAL</v>
      </c>
      <c r="O1794" s="5">
        <v>55</v>
      </c>
    </row>
    <row r="1795" spans="2:15" x14ac:dyDescent="0.25">
      <c r="B1795" s="1" t="s">
        <v>0</v>
      </c>
      <c r="C1795" s="2" t="s">
        <v>1</v>
      </c>
      <c r="D1795" s="2" t="s">
        <v>2</v>
      </c>
      <c r="E1795" s="2" t="s">
        <v>1432</v>
      </c>
      <c r="F1795" s="3">
        <v>45030</v>
      </c>
      <c r="G1795" s="4">
        <f t="shared" ref="G1795:G1858" si="207">+MONTH(F1795)</f>
        <v>4</v>
      </c>
      <c r="H1795" s="4">
        <f t="shared" ref="H1795:H1858" si="208">+YEAR(F1795)</f>
        <v>2023</v>
      </c>
      <c r="I1795" s="2" t="s">
        <v>4</v>
      </c>
      <c r="J1795" s="2" t="s">
        <v>2559</v>
      </c>
      <c r="K1795" s="2" t="s">
        <v>25</v>
      </c>
      <c r="L1795" s="2" t="s">
        <v>26</v>
      </c>
      <c r="M1795" s="2" t="s">
        <v>27</v>
      </c>
      <c r="N1795" s="4" t="str">
        <f t="shared" ref="N1795:N1858" si="209">+LEFT(M1795,3)</f>
        <v>GAL</v>
      </c>
      <c r="O1795" s="5">
        <v>20</v>
      </c>
    </row>
    <row r="1796" spans="2:15" x14ac:dyDescent="0.25">
      <c r="B1796" s="1" t="s">
        <v>0</v>
      </c>
      <c r="C1796" s="2" t="s">
        <v>1</v>
      </c>
      <c r="D1796" s="2" t="s">
        <v>2</v>
      </c>
      <c r="E1796" s="2" t="s">
        <v>1432</v>
      </c>
      <c r="F1796" s="3">
        <v>45030</v>
      </c>
      <c r="G1796" s="4">
        <f t="shared" si="207"/>
        <v>4</v>
      </c>
      <c r="H1796" s="4">
        <f t="shared" si="208"/>
        <v>2023</v>
      </c>
      <c r="I1796" s="2" t="s">
        <v>4</v>
      </c>
      <c r="J1796" s="2" t="s">
        <v>2559</v>
      </c>
      <c r="K1796" s="2" t="s">
        <v>28</v>
      </c>
      <c r="L1796" s="2" t="s">
        <v>29</v>
      </c>
      <c r="M1796" s="2" t="s">
        <v>30</v>
      </c>
      <c r="N1796" s="4" t="str">
        <f t="shared" si="209"/>
        <v>GAL</v>
      </c>
      <c r="O1796" s="5">
        <v>10</v>
      </c>
    </row>
    <row r="1797" spans="2:15" x14ac:dyDescent="0.25">
      <c r="B1797" s="1" t="s">
        <v>0</v>
      </c>
      <c r="C1797" s="2" t="s">
        <v>1</v>
      </c>
      <c r="D1797" s="2" t="s">
        <v>2</v>
      </c>
      <c r="E1797" s="2" t="s">
        <v>1432</v>
      </c>
      <c r="F1797" s="3">
        <v>45030</v>
      </c>
      <c r="G1797" s="4">
        <f t="shared" si="207"/>
        <v>4</v>
      </c>
      <c r="H1797" s="4">
        <f t="shared" si="208"/>
        <v>2023</v>
      </c>
      <c r="I1797" s="2" t="s">
        <v>4</v>
      </c>
      <c r="J1797" s="2" t="s">
        <v>2559</v>
      </c>
      <c r="K1797" s="2" t="s">
        <v>16</v>
      </c>
      <c r="L1797" s="2" t="s">
        <v>7</v>
      </c>
      <c r="M1797" s="2" t="s">
        <v>8</v>
      </c>
      <c r="N1797" s="4" t="str">
        <f t="shared" si="209"/>
        <v>GAL</v>
      </c>
      <c r="O1797" s="5">
        <v>20</v>
      </c>
    </row>
    <row r="1798" spans="2:15" x14ac:dyDescent="0.25">
      <c r="B1798" s="1" t="s">
        <v>0</v>
      </c>
      <c r="C1798" s="2" t="s">
        <v>1</v>
      </c>
      <c r="D1798" s="2" t="s">
        <v>2</v>
      </c>
      <c r="E1798" s="2" t="s">
        <v>61</v>
      </c>
      <c r="F1798" s="3">
        <v>45033</v>
      </c>
      <c r="G1798" s="4">
        <f t="shared" si="207"/>
        <v>4</v>
      </c>
      <c r="H1798" s="4">
        <f t="shared" si="208"/>
        <v>2023</v>
      </c>
      <c r="I1798" s="2" t="s">
        <v>4</v>
      </c>
      <c r="J1798" s="2" t="s">
        <v>2560</v>
      </c>
      <c r="K1798" s="2" t="s">
        <v>19</v>
      </c>
      <c r="L1798" s="2" t="s">
        <v>20</v>
      </c>
      <c r="M1798" s="2" t="s">
        <v>21</v>
      </c>
      <c r="N1798" s="4" t="str">
        <f t="shared" si="209"/>
        <v>GAL</v>
      </c>
      <c r="O1798" s="5">
        <v>50</v>
      </c>
    </row>
    <row r="1799" spans="2:15" x14ac:dyDescent="0.25">
      <c r="B1799" s="1" t="s">
        <v>0</v>
      </c>
      <c r="C1799" s="2" t="s">
        <v>1</v>
      </c>
      <c r="D1799" s="2" t="s">
        <v>2</v>
      </c>
      <c r="E1799" s="2" t="s">
        <v>61</v>
      </c>
      <c r="F1799" s="3">
        <v>45033</v>
      </c>
      <c r="G1799" s="4">
        <f t="shared" si="207"/>
        <v>4</v>
      </c>
      <c r="H1799" s="4">
        <f t="shared" si="208"/>
        <v>2023</v>
      </c>
      <c r="I1799" s="2" t="s">
        <v>4</v>
      </c>
      <c r="J1799" s="2" t="s">
        <v>2560</v>
      </c>
      <c r="K1799" s="2" t="s">
        <v>25</v>
      </c>
      <c r="L1799" s="2" t="s">
        <v>26</v>
      </c>
      <c r="M1799" s="2" t="s">
        <v>27</v>
      </c>
      <c r="N1799" s="4" t="str">
        <f t="shared" si="209"/>
        <v>GAL</v>
      </c>
      <c r="O1799" s="5">
        <v>100</v>
      </c>
    </row>
    <row r="1800" spans="2:15" x14ac:dyDescent="0.25">
      <c r="B1800" s="1" t="s">
        <v>0</v>
      </c>
      <c r="C1800" s="2" t="s">
        <v>1</v>
      </c>
      <c r="D1800" s="2" t="s">
        <v>2</v>
      </c>
      <c r="E1800" s="2" t="s">
        <v>61</v>
      </c>
      <c r="F1800" s="3">
        <v>45033</v>
      </c>
      <c r="G1800" s="4">
        <f t="shared" si="207"/>
        <v>4</v>
      </c>
      <c r="H1800" s="4">
        <f t="shared" si="208"/>
        <v>2023</v>
      </c>
      <c r="I1800" s="2" t="s">
        <v>4</v>
      </c>
      <c r="J1800" s="2" t="s">
        <v>2560</v>
      </c>
      <c r="K1800" s="2" t="s">
        <v>28</v>
      </c>
      <c r="L1800" s="2" t="s">
        <v>29</v>
      </c>
      <c r="M1800" s="2" t="s">
        <v>30</v>
      </c>
      <c r="N1800" s="4" t="str">
        <f t="shared" si="209"/>
        <v>GAL</v>
      </c>
      <c r="O1800" s="5">
        <v>50</v>
      </c>
    </row>
    <row r="1801" spans="2:15" x14ac:dyDescent="0.25">
      <c r="B1801" s="1" t="s">
        <v>0</v>
      </c>
      <c r="C1801" s="2" t="s">
        <v>1</v>
      </c>
      <c r="D1801" s="2" t="s">
        <v>2</v>
      </c>
      <c r="E1801" s="2" t="s">
        <v>61</v>
      </c>
      <c r="F1801" s="3">
        <v>45033</v>
      </c>
      <c r="G1801" s="4">
        <f t="shared" si="207"/>
        <v>4</v>
      </c>
      <c r="H1801" s="4">
        <f t="shared" si="208"/>
        <v>2023</v>
      </c>
      <c r="I1801" s="2" t="s">
        <v>4</v>
      </c>
      <c r="J1801" s="2" t="s">
        <v>2560</v>
      </c>
      <c r="K1801" s="2" t="s">
        <v>16</v>
      </c>
      <c r="L1801" s="2" t="s">
        <v>7</v>
      </c>
      <c r="M1801" s="2" t="s">
        <v>8</v>
      </c>
      <c r="N1801" s="4" t="str">
        <f t="shared" si="209"/>
        <v>GAL</v>
      </c>
      <c r="O1801" s="5">
        <v>100</v>
      </c>
    </row>
    <row r="1802" spans="2:15" x14ac:dyDescent="0.25">
      <c r="B1802" s="1" t="s">
        <v>0</v>
      </c>
      <c r="C1802" s="2" t="s">
        <v>1</v>
      </c>
      <c r="D1802" s="2" t="s">
        <v>2</v>
      </c>
      <c r="E1802" s="2" t="s">
        <v>1784</v>
      </c>
      <c r="F1802" s="3">
        <v>45033</v>
      </c>
      <c r="G1802" s="4">
        <f t="shared" si="207"/>
        <v>4</v>
      </c>
      <c r="H1802" s="4">
        <f t="shared" si="208"/>
        <v>2023</v>
      </c>
      <c r="I1802" s="2" t="s">
        <v>4</v>
      </c>
      <c r="J1802" s="2" t="s">
        <v>2561</v>
      </c>
      <c r="K1802" s="2" t="s">
        <v>1786</v>
      </c>
      <c r="L1802" s="2" t="s">
        <v>84</v>
      </c>
      <c r="M1802" s="2" t="s">
        <v>85</v>
      </c>
      <c r="N1802" s="4" t="str">
        <f t="shared" si="209"/>
        <v>GAL</v>
      </c>
      <c r="O1802" s="5">
        <v>55</v>
      </c>
    </row>
    <row r="1803" spans="2:15" x14ac:dyDescent="0.25">
      <c r="B1803" s="1" t="s">
        <v>0</v>
      </c>
      <c r="C1803" s="2" t="s">
        <v>1</v>
      </c>
      <c r="D1803" s="2" t="s">
        <v>2</v>
      </c>
      <c r="E1803" s="2" t="s">
        <v>1784</v>
      </c>
      <c r="F1803" s="3">
        <v>45033</v>
      </c>
      <c r="G1803" s="4">
        <f t="shared" si="207"/>
        <v>4</v>
      </c>
      <c r="H1803" s="4">
        <f t="shared" si="208"/>
        <v>2023</v>
      </c>
      <c r="I1803" s="2" t="s">
        <v>4</v>
      </c>
      <c r="J1803" s="2" t="s">
        <v>2561</v>
      </c>
      <c r="K1803" s="2" t="s">
        <v>6</v>
      </c>
      <c r="L1803" s="2" t="s">
        <v>7</v>
      </c>
      <c r="M1803" s="2" t="s">
        <v>8</v>
      </c>
      <c r="N1803" s="4" t="str">
        <f t="shared" si="209"/>
        <v>GAL</v>
      </c>
      <c r="O1803" s="5">
        <v>55</v>
      </c>
    </row>
    <row r="1804" spans="2:15" x14ac:dyDescent="0.25">
      <c r="B1804" s="1" t="s">
        <v>0</v>
      </c>
      <c r="C1804" s="2" t="s">
        <v>1</v>
      </c>
      <c r="D1804" s="2" t="s">
        <v>55</v>
      </c>
      <c r="E1804" s="2" t="s">
        <v>56</v>
      </c>
      <c r="F1804" s="3">
        <v>45035</v>
      </c>
      <c r="G1804" s="4">
        <f t="shared" si="207"/>
        <v>4</v>
      </c>
      <c r="H1804" s="4">
        <f t="shared" si="208"/>
        <v>2023</v>
      </c>
      <c r="I1804" s="2" t="s">
        <v>4</v>
      </c>
      <c r="J1804" s="2" t="s">
        <v>2562</v>
      </c>
      <c r="K1804" s="2" t="s">
        <v>83</v>
      </c>
      <c r="L1804" s="2" t="s">
        <v>584</v>
      </c>
      <c r="M1804" s="2" t="s">
        <v>85</v>
      </c>
      <c r="N1804" s="4" t="str">
        <f t="shared" si="209"/>
        <v>GAL</v>
      </c>
      <c r="O1804" s="5">
        <v>90</v>
      </c>
    </row>
    <row r="1805" spans="2:15" x14ac:dyDescent="0.25">
      <c r="B1805" s="1" t="s">
        <v>0</v>
      </c>
      <c r="C1805" s="2" t="s">
        <v>1</v>
      </c>
      <c r="D1805" s="2" t="s">
        <v>55</v>
      </c>
      <c r="E1805" s="2" t="s">
        <v>56</v>
      </c>
      <c r="F1805" s="3">
        <v>45035</v>
      </c>
      <c r="G1805" s="4">
        <f t="shared" si="207"/>
        <v>4</v>
      </c>
      <c r="H1805" s="4">
        <f t="shared" si="208"/>
        <v>2023</v>
      </c>
      <c r="I1805" s="2" t="s">
        <v>4</v>
      </c>
      <c r="J1805" s="2" t="s">
        <v>2562</v>
      </c>
      <c r="K1805" s="2" t="s">
        <v>585</v>
      </c>
      <c r="L1805" s="2" t="s">
        <v>586</v>
      </c>
      <c r="M1805" s="2" t="s">
        <v>587</v>
      </c>
      <c r="N1805" s="4" t="str">
        <f t="shared" si="209"/>
        <v>GAL</v>
      </c>
      <c r="O1805" s="5">
        <v>90</v>
      </c>
    </row>
    <row r="1806" spans="2:15" x14ac:dyDescent="0.25">
      <c r="B1806" s="1" t="s">
        <v>0</v>
      </c>
      <c r="C1806" s="2" t="s">
        <v>1</v>
      </c>
      <c r="D1806" s="2" t="s">
        <v>55</v>
      </c>
      <c r="E1806" s="2" t="s">
        <v>56</v>
      </c>
      <c r="F1806" s="3">
        <v>45035</v>
      </c>
      <c r="G1806" s="4">
        <f t="shared" si="207"/>
        <v>4</v>
      </c>
      <c r="H1806" s="4">
        <f t="shared" si="208"/>
        <v>2023</v>
      </c>
      <c r="I1806" s="2" t="s">
        <v>4</v>
      </c>
      <c r="J1806" s="2" t="s">
        <v>2562</v>
      </c>
      <c r="K1806" s="2" t="s">
        <v>2563</v>
      </c>
      <c r="L1806" s="2" t="s">
        <v>2564</v>
      </c>
      <c r="M1806" s="2" t="s">
        <v>2565</v>
      </c>
      <c r="N1806" s="4" t="str">
        <f t="shared" si="209"/>
        <v>GAL</v>
      </c>
      <c r="O1806" s="5">
        <v>5</v>
      </c>
    </row>
    <row r="1807" spans="2:15" x14ac:dyDescent="0.25">
      <c r="B1807" s="1" t="s">
        <v>88</v>
      </c>
      <c r="C1807" s="2" t="s">
        <v>89</v>
      </c>
      <c r="D1807" s="2" t="s">
        <v>1103</v>
      </c>
      <c r="E1807" s="2" t="s">
        <v>1104</v>
      </c>
      <c r="F1807" s="3">
        <v>45022</v>
      </c>
      <c r="G1807" s="4">
        <f t="shared" si="207"/>
        <v>4</v>
      </c>
      <c r="H1807" s="4">
        <f t="shared" si="208"/>
        <v>2023</v>
      </c>
      <c r="I1807" s="2" t="s">
        <v>4</v>
      </c>
      <c r="J1807" s="2" t="s">
        <v>2566</v>
      </c>
      <c r="K1807" s="2" t="s">
        <v>126</v>
      </c>
      <c r="L1807" s="2" t="s">
        <v>127</v>
      </c>
      <c r="M1807" s="2" t="s">
        <v>106</v>
      </c>
      <c r="N1807" s="4" t="str">
        <f t="shared" si="209"/>
        <v>LBS</v>
      </c>
      <c r="O1807" s="5">
        <v>6575</v>
      </c>
    </row>
    <row r="1808" spans="2:15" x14ac:dyDescent="0.25">
      <c r="B1808" s="1" t="s">
        <v>88</v>
      </c>
      <c r="C1808" s="2" t="s">
        <v>89</v>
      </c>
      <c r="D1808" s="2" t="s">
        <v>1444</v>
      </c>
      <c r="E1808" s="2" t="s">
        <v>102</v>
      </c>
      <c r="F1808" s="3">
        <v>45026</v>
      </c>
      <c r="G1808" s="4">
        <f t="shared" si="207"/>
        <v>4</v>
      </c>
      <c r="H1808" s="4">
        <f t="shared" si="208"/>
        <v>2023</v>
      </c>
      <c r="I1808" s="2" t="s">
        <v>4</v>
      </c>
      <c r="J1808" s="2" t="s">
        <v>2567</v>
      </c>
      <c r="K1808" s="2" t="s">
        <v>1446</v>
      </c>
      <c r="L1808" s="2" t="s">
        <v>1453</v>
      </c>
      <c r="M1808" s="2" t="s">
        <v>1448</v>
      </c>
      <c r="N1808" s="4" t="str">
        <f t="shared" si="209"/>
        <v>GAL</v>
      </c>
      <c r="O1808" s="5">
        <v>180</v>
      </c>
    </row>
    <row r="1809" spans="2:15" x14ac:dyDescent="0.25">
      <c r="B1809" s="1" t="s">
        <v>88</v>
      </c>
      <c r="C1809" s="2" t="s">
        <v>89</v>
      </c>
      <c r="D1809" s="2" t="s">
        <v>1444</v>
      </c>
      <c r="E1809" s="2" t="s">
        <v>102</v>
      </c>
      <c r="F1809" s="3">
        <v>45026</v>
      </c>
      <c r="G1809" s="4">
        <f t="shared" si="207"/>
        <v>4</v>
      </c>
      <c r="H1809" s="4">
        <f t="shared" si="208"/>
        <v>2023</v>
      </c>
      <c r="I1809" s="2" t="s">
        <v>4</v>
      </c>
      <c r="J1809" s="2" t="s">
        <v>2568</v>
      </c>
      <c r="K1809" s="2" t="s">
        <v>1446</v>
      </c>
      <c r="L1809" s="2" t="s">
        <v>1453</v>
      </c>
      <c r="M1809" s="2" t="s">
        <v>1448</v>
      </c>
      <c r="N1809" s="4" t="str">
        <f t="shared" si="209"/>
        <v>GAL</v>
      </c>
      <c r="O1809" s="5">
        <v>360</v>
      </c>
    </row>
    <row r="1810" spans="2:15" x14ac:dyDescent="0.25">
      <c r="B1810" s="1" t="s">
        <v>88</v>
      </c>
      <c r="C1810" s="2" t="s">
        <v>89</v>
      </c>
      <c r="D1810" s="2" t="s">
        <v>604</v>
      </c>
      <c r="E1810" s="2" t="s">
        <v>102</v>
      </c>
      <c r="F1810" s="3">
        <v>45027</v>
      </c>
      <c r="G1810" s="4">
        <f t="shared" si="207"/>
        <v>4</v>
      </c>
      <c r="H1810" s="4">
        <f t="shared" si="208"/>
        <v>2023</v>
      </c>
      <c r="I1810" s="2" t="s">
        <v>4</v>
      </c>
      <c r="J1810" s="2" t="s">
        <v>2569</v>
      </c>
      <c r="K1810" s="2" t="s">
        <v>1807</v>
      </c>
      <c r="L1810" s="2" t="s">
        <v>1029</v>
      </c>
      <c r="M1810" s="2" t="s">
        <v>106</v>
      </c>
      <c r="N1810" s="4" t="str">
        <f t="shared" si="209"/>
        <v>LBS</v>
      </c>
      <c r="O1810" s="5">
        <v>13237.5</v>
      </c>
    </row>
    <row r="1811" spans="2:15" x14ac:dyDescent="0.25">
      <c r="B1811" s="1" t="s">
        <v>88</v>
      </c>
      <c r="C1811" s="2" t="s">
        <v>89</v>
      </c>
      <c r="D1811" s="2" t="s">
        <v>124</v>
      </c>
      <c r="E1811" s="2" t="s">
        <v>124</v>
      </c>
      <c r="F1811" s="3">
        <v>45028</v>
      </c>
      <c r="G1811" s="4">
        <f t="shared" si="207"/>
        <v>4</v>
      </c>
      <c r="H1811" s="4">
        <f t="shared" si="208"/>
        <v>2023</v>
      </c>
      <c r="I1811" s="2" t="s">
        <v>4</v>
      </c>
      <c r="J1811" s="2" t="s">
        <v>2570</v>
      </c>
      <c r="K1811" s="2" t="s">
        <v>126</v>
      </c>
      <c r="L1811" s="2" t="s">
        <v>127</v>
      </c>
      <c r="M1811" s="2" t="s">
        <v>106</v>
      </c>
      <c r="N1811" s="4" t="str">
        <f t="shared" si="209"/>
        <v>LBS</v>
      </c>
      <c r="O1811" s="5">
        <v>27140</v>
      </c>
    </row>
    <row r="1812" spans="2:15" x14ac:dyDescent="0.25">
      <c r="B1812" s="1" t="s">
        <v>88</v>
      </c>
      <c r="C1812" s="2" t="s">
        <v>89</v>
      </c>
      <c r="D1812" s="2" t="s">
        <v>515</v>
      </c>
      <c r="E1812" s="2" t="s">
        <v>516</v>
      </c>
      <c r="F1812" s="3">
        <v>45028</v>
      </c>
      <c r="G1812" s="4">
        <f t="shared" si="207"/>
        <v>4</v>
      </c>
      <c r="H1812" s="4">
        <f t="shared" si="208"/>
        <v>2023</v>
      </c>
      <c r="I1812" s="2" t="s">
        <v>4</v>
      </c>
      <c r="J1812" s="2" t="s">
        <v>2571</v>
      </c>
      <c r="K1812" s="2" t="s">
        <v>110</v>
      </c>
      <c r="L1812" s="2" t="s">
        <v>111</v>
      </c>
      <c r="M1812" s="2" t="s">
        <v>112</v>
      </c>
      <c r="N1812" s="4" t="str">
        <f t="shared" si="209"/>
        <v>GAL</v>
      </c>
      <c r="O1812" s="5">
        <v>805.3</v>
      </c>
    </row>
    <row r="1813" spans="2:15" x14ac:dyDescent="0.25">
      <c r="B1813" s="1" t="s">
        <v>88</v>
      </c>
      <c r="C1813" s="2" t="s">
        <v>89</v>
      </c>
      <c r="D1813" s="2" t="s">
        <v>134</v>
      </c>
      <c r="E1813" s="2" t="s">
        <v>135</v>
      </c>
      <c r="F1813" s="3">
        <v>45028</v>
      </c>
      <c r="G1813" s="4">
        <f t="shared" si="207"/>
        <v>4</v>
      </c>
      <c r="H1813" s="4">
        <f t="shared" si="208"/>
        <v>2023</v>
      </c>
      <c r="I1813" s="2" t="s">
        <v>4</v>
      </c>
      <c r="J1813" s="2" t="s">
        <v>2572</v>
      </c>
      <c r="K1813" s="2" t="s">
        <v>143</v>
      </c>
      <c r="L1813" s="2" t="s">
        <v>589</v>
      </c>
      <c r="M1813" s="2" t="s">
        <v>145</v>
      </c>
      <c r="N1813" s="4" t="str">
        <f t="shared" si="209"/>
        <v>GAL</v>
      </c>
      <c r="O1813" s="5">
        <v>220</v>
      </c>
    </row>
    <row r="1814" spans="2:15" x14ac:dyDescent="0.25">
      <c r="B1814" s="1" t="s">
        <v>88</v>
      </c>
      <c r="C1814" s="2" t="s">
        <v>89</v>
      </c>
      <c r="D1814" s="2" t="s">
        <v>1082</v>
      </c>
      <c r="E1814" s="2" t="s">
        <v>1083</v>
      </c>
      <c r="F1814" s="3">
        <v>45033</v>
      </c>
      <c r="G1814" s="4">
        <f t="shared" si="207"/>
        <v>4</v>
      </c>
      <c r="H1814" s="4">
        <f t="shared" si="208"/>
        <v>2023</v>
      </c>
      <c r="I1814" s="2" t="s">
        <v>4</v>
      </c>
      <c r="J1814" s="2" t="s">
        <v>2573</v>
      </c>
      <c r="K1814" s="2" t="s">
        <v>2574</v>
      </c>
      <c r="L1814" s="2" t="s">
        <v>2575</v>
      </c>
      <c r="M1814" s="2" t="s">
        <v>2576</v>
      </c>
      <c r="N1814" s="4" t="str">
        <f t="shared" si="209"/>
        <v>GAL</v>
      </c>
      <c r="O1814" s="5">
        <v>500</v>
      </c>
    </row>
    <row r="1815" spans="2:15" x14ac:dyDescent="0.25">
      <c r="B1815" s="1" t="s">
        <v>88</v>
      </c>
      <c r="C1815" s="2" t="s">
        <v>89</v>
      </c>
      <c r="D1815" s="2" t="s">
        <v>1082</v>
      </c>
      <c r="E1815" s="2" t="s">
        <v>1083</v>
      </c>
      <c r="F1815" s="3">
        <v>45033</v>
      </c>
      <c r="G1815" s="4">
        <f t="shared" si="207"/>
        <v>4</v>
      </c>
      <c r="H1815" s="4">
        <f t="shared" si="208"/>
        <v>2023</v>
      </c>
      <c r="I1815" s="2" t="s">
        <v>4</v>
      </c>
      <c r="J1815" s="2" t="s">
        <v>2573</v>
      </c>
      <c r="K1815" s="2" t="s">
        <v>1085</v>
      </c>
      <c r="L1815" s="2" t="s">
        <v>999</v>
      </c>
      <c r="M1815" s="2" t="s">
        <v>1000</v>
      </c>
      <c r="N1815" s="4" t="str">
        <f t="shared" si="209"/>
        <v>GAL</v>
      </c>
      <c r="O1815" s="5">
        <v>100</v>
      </c>
    </row>
    <row r="1816" spans="2:15" x14ac:dyDescent="0.25">
      <c r="B1816" s="1" t="s">
        <v>88</v>
      </c>
      <c r="C1816" s="2" t="s">
        <v>89</v>
      </c>
      <c r="D1816" s="2" t="s">
        <v>604</v>
      </c>
      <c r="E1816" s="2" t="s">
        <v>102</v>
      </c>
      <c r="F1816" s="3">
        <v>45040</v>
      </c>
      <c r="G1816" s="4">
        <f t="shared" si="207"/>
        <v>4</v>
      </c>
      <c r="H1816" s="4">
        <f t="shared" si="208"/>
        <v>2023</v>
      </c>
      <c r="I1816" s="2" t="s">
        <v>4</v>
      </c>
      <c r="J1816" s="2" t="s">
        <v>2577</v>
      </c>
      <c r="K1816" s="2" t="s">
        <v>1807</v>
      </c>
      <c r="L1816" s="2" t="s">
        <v>1029</v>
      </c>
      <c r="M1816" s="2" t="s">
        <v>106</v>
      </c>
      <c r="N1816" s="4" t="str">
        <f t="shared" si="209"/>
        <v>LBS</v>
      </c>
      <c r="O1816" s="5">
        <v>13275.5</v>
      </c>
    </row>
    <row r="1817" spans="2:15" x14ac:dyDescent="0.25">
      <c r="B1817" s="1" t="s">
        <v>88</v>
      </c>
      <c r="C1817" s="2" t="s">
        <v>89</v>
      </c>
      <c r="D1817" s="2" t="s">
        <v>646</v>
      </c>
      <c r="E1817" s="2" t="s">
        <v>647</v>
      </c>
      <c r="F1817" s="3">
        <v>45041</v>
      </c>
      <c r="G1817" s="4">
        <f t="shared" si="207"/>
        <v>4</v>
      </c>
      <c r="H1817" s="4">
        <f t="shared" si="208"/>
        <v>2023</v>
      </c>
      <c r="I1817" s="2" t="s">
        <v>4</v>
      </c>
      <c r="J1817" s="2" t="s">
        <v>2578</v>
      </c>
      <c r="K1817" s="2" t="s">
        <v>143</v>
      </c>
      <c r="L1817" s="2" t="s">
        <v>2579</v>
      </c>
      <c r="M1817" s="2" t="s">
        <v>145</v>
      </c>
      <c r="N1817" s="4" t="str">
        <f t="shared" si="209"/>
        <v>GAL</v>
      </c>
      <c r="O1817" s="5">
        <v>3800</v>
      </c>
    </row>
    <row r="1818" spans="2:15" x14ac:dyDescent="0.25">
      <c r="B1818" s="1" t="s">
        <v>88</v>
      </c>
      <c r="C1818" s="2" t="s">
        <v>89</v>
      </c>
      <c r="D1818" s="2" t="s">
        <v>1444</v>
      </c>
      <c r="E1818" s="2" t="s">
        <v>102</v>
      </c>
      <c r="F1818" s="3">
        <v>45043</v>
      </c>
      <c r="G1818" s="4">
        <f t="shared" si="207"/>
        <v>4</v>
      </c>
      <c r="H1818" s="4">
        <f t="shared" si="208"/>
        <v>2023</v>
      </c>
      <c r="I1818" s="2" t="s">
        <v>4</v>
      </c>
      <c r="J1818" s="2" t="s">
        <v>2580</v>
      </c>
      <c r="K1818" s="2" t="s">
        <v>1446</v>
      </c>
      <c r="L1818" s="2" t="s">
        <v>2581</v>
      </c>
      <c r="M1818" s="2" t="s">
        <v>1448</v>
      </c>
      <c r="N1818" s="4" t="str">
        <f t="shared" si="209"/>
        <v>GAL</v>
      </c>
      <c r="O1818" s="5">
        <v>180</v>
      </c>
    </row>
    <row r="1819" spans="2:15" x14ac:dyDescent="0.25">
      <c r="B1819" s="6" t="s">
        <v>88</v>
      </c>
      <c r="C1819" s="7" t="s">
        <v>89</v>
      </c>
      <c r="D1819" s="8" t="s">
        <v>96</v>
      </c>
      <c r="E1819" s="8" t="s">
        <v>96</v>
      </c>
      <c r="F1819" s="12">
        <v>45043</v>
      </c>
      <c r="G1819" s="10">
        <f t="shared" si="207"/>
        <v>4</v>
      </c>
      <c r="H1819" s="10">
        <f t="shared" si="208"/>
        <v>2023</v>
      </c>
      <c r="I1819" s="8" t="s">
        <v>4</v>
      </c>
      <c r="J1819" s="7" t="s">
        <v>2582</v>
      </c>
      <c r="K1819" s="8" t="s">
        <v>98</v>
      </c>
      <c r="L1819" s="8" t="s">
        <v>99</v>
      </c>
      <c r="M1819" s="8" t="s">
        <v>100</v>
      </c>
      <c r="N1819" s="10" t="str">
        <f t="shared" si="209"/>
        <v>GAL</v>
      </c>
      <c r="O1819" s="11">
        <v>4070</v>
      </c>
    </row>
    <row r="1820" spans="2:15" x14ac:dyDescent="0.25">
      <c r="B1820" s="1" t="s">
        <v>154</v>
      </c>
      <c r="C1820" s="2" t="s">
        <v>155</v>
      </c>
      <c r="D1820" s="2" t="s">
        <v>628</v>
      </c>
      <c r="E1820" s="2" t="s">
        <v>2200</v>
      </c>
      <c r="F1820" s="3">
        <v>45019</v>
      </c>
      <c r="G1820" s="4">
        <f t="shared" si="207"/>
        <v>4</v>
      </c>
      <c r="H1820" s="4">
        <f t="shared" si="208"/>
        <v>2023</v>
      </c>
      <c r="I1820" s="2" t="s">
        <v>4</v>
      </c>
      <c r="J1820" s="2" t="s">
        <v>2583</v>
      </c>
      <c r="K1820" s="2" t="s">
        <v>2584</v>
      </c>
      <c r="L1820" s="2" t="s">
        <v>2585</v>
      </c>
      <c r="M1820" s="2" t="s">
        <v>119</v>
      </c>
      <c r="N1820" s="4" t="str">
        <f t="shared" si="209"/>
        <v>TON</v>
      </c>
      <c r="O1820" s="5">
        <v>10.02</v>
      </c>
    </row>
    <row r="1821" spans="2:15" x14ac:dyDescent="0.25">
      <c r="B1821" s="1" t="s">
        <v>154</v>
      </c>
      <c r="C1821" s="2" t="s">
        <v>155</v>
      </c>
      <c r="D1821" s="2" t="s">
        <v>628</v>
      </c>
      <c r="E1821" s="2" t="s">
        <v>2200</v>
      </c>
      <c r="F1821" s="3">
        <v>45019</v>
      </c>
      <c r="G1821" s="4">
        <f t="shared" si="207"/>
        <v>4</v>
      </c>
      <c r="H1821" s="4">
        <f t="shared" si="208"/>
        <v>2023</v>
      </c>
      <c r="I1821" s="2" t="s">
        <v>4</v>
      </c>
      <c r="J1821" s="2" t="s">
        <v>2586</v>
      </c>
      <c r="K1821" s="2" t="s">
        <v>2587</v>
      </c>
      <c r="L1821" s="2" t="s">
        <v>2588</v>
      </c>
      <c r="M1821" s="2" t="s">
        <v>119</v>
      </c>
      <c r="N1821" s="4" t="str">
        <f t="shared" si="209"/>
        <v>TON</v>
      </c>
      <c r="O1821" s="5">
        <v>10.012499999999999</v>
      </c>
    </row>
    <row r="1822" spans="2:15" x14ac:dyDescent="0.25">
      <c r="B1822" s="1" t="s">
        <v>154</v>
      </c>
      <c r="C1822" s="2" t="s">
        <v>155</v>
      </c>
      <c r="D1822" s="2" t="s">
        <v>591</v>
      </c>
      <c r="E1822" s="2" t="s">
        <v>592</v>
      </c>
      <c r="F1822" s="3">
        <v>45020</v>
      </c>
      <c r="G1822" s="4">
        <f t="shared" si="207"/>
        <v>4</v>
      </c>
      <c r="H1822" s="4">
        <f t="shared" si="208"/>
        <v>2023</v>
      </c>
      <c r="I1822" s="2" t="s">
        <v>4</v>
      </c>
      <c r="J1822" s="2" t="s">
        <v>2589</v>
      </c>
      <c r="K1822" s="2" t="s">
        <v>631</v>
      </c>
      <c r="L1822" s="2" t="s">
        <v>632</v>
      </c>
      <c r="M1822" s="2" t="s">
        <v>633</v>
      </c>
      <c r="N1822" s="4" t="str">
        <f t="shared" si="209"/>
        <v>GAL</v>
      </c>
      <c r="O1822" s="5">
        <v>250</v>
      </c>
    </row>
    <row r="1823" spans="2:15" x14ac:dyDescent="0.25">
      <c r="B1823" s="1" t="s">
        <v>154</v>
      </c>
      <c r="C1823" s="2" t="s">
        <v>155</v>
      </c>
      <c r="D1823" s="2" t="s">
        <v>167</v>
      </c>
      <c r="E1823" s="2" t="s">
        <v>168</v>
      </c>
      <c r="F1823" s="3">
        <v>45020</v>
      </c>
      <c r="G1823" s="4">
        <f t="shared" si="207"/>
        <v>4</v>
      </c>
      <c r="H1823" s="4">
        <f t="shared" si="208"/>
        <v>2023</v>
      </c>
      <c r="I1823" s="2" t="s">
        <v>4</v>
      </c>
      <c r="J1823" s="2" t="s">
        <v>2590</v>
      </c>
      <c r="K1823" s="2" t="s">
        <v>158</v>
      </c>
      <c r="L1823" s="2" t="s">
        <v>159</v>
      </c>
      <c r="M1823" s="2" t="s">
        <v>160</v>
      </c>
      <c r="N1823" s="4" t="str">
        <f t="shared" si="209"/>
        <v>GAL</v>
      </c>
      <c r="O1823" s="5">
        <v>180</v>
      </c>
    </row>
    <row r="1824" spans="2:15" x14ac:dyDescent="0.25">
      <c r="B1824" s="1" t="s">
        <v>154</v>
      </c>
      <c r="C1824" s="2" t="s">
        <v>155</v>
      </c>
      <c r="D1824" s="2" t="s">
        <v>628</v>
      </c>
      <c r="E1824" s="2" t="s">
        <v>629</v>
      </c>
      <c r="F1824" s="3">
        <v>45021</v>
      </c>
      <c r="G1824" s="4">
        <f t="shared" si="207"/>
        <v>4</v>
      </c>
      <c r="H1824" s="4">
        <f t="shared" si="208"/>
        <v>2023</v>
      </c>
      <c r="I1824" s="2" t="s">
        <v>4</v>
      </c>
      <c r="J1824" s="2" t="s">
        <v>2591</v>
      </c>
      <c r="K1824" s="2" t="s">
        <v>1505</v>
      </c>
      <c r="L1824" s="2" t="s">
        <v>182</v>
      </c>
      <c r="M1824" s="2" t="s">
        <v>183</v>
      </c>
      <c r="N1824" s="4" t="str">
        <f t="shared" si="209"/>
        <v>GAL</v>
      </c>
      <c r="O1824" s="5">
        <v>750</v>
      </c>
    </row>
    <row r="1825" spans="2:15" x14ac:dyDescent="0.25">
      <c r="B1825" s="1" t="s">
        <v>154</v>
      </c>
      <c r="C1825" s="2" t="s">
        <v>155</v>
      </c>
      <c r="D1825" s="2" t="s">
        <v>167</v>
      </c>
      <c r="E1825" s="2" t="s">
        <v>168</v>
      </c>
      <c r="F1825" s="3">
        <v>45021</v>
      </c>
      <c r="G1825" s="4">
        <f t="shared" si="207"/>
        <v>4</v>
      </c>
      <c r="H1825" s="4">
        <f t="shared" si="208"/>
        <v>2023</v>
      </c>
      <c r="I1825" s="2" t="s">
        <v>4</v>
      </c>
      <c r="J1825" s="2" t="s">
        <v>2592</v>
      </c>
      <c r="K1825" s="2" t="s">
        <v>158</v>
      </c>
      <c r="L1825" s="2" t="s">
        <v>159</v>
      </c>
      <c r="M1825" s="2" t="s">
        <v>160</v>
      </c>
      <c r="N1825" s="4" t="str">
        <f t="shared" si="209"/>
        <v>GAL</v>
      </c>
      <c r="O1825" s="5">
        <v>180</v>
      </c>
    </row>
    <row r="1826" spans="2:15" x14ac:dyDescent="0.25">
      <c r="B1826" s="1" t="s">
        <v>154</v>
      </c>
      <c r="C1826" s="2" t="s">
        <v>155</v>
      </c>
      <c r="D1826" s="2" t="s">
        <v>167</v>
      </c>
      <c r="E1826" s="2" t="s">
        <v>168</v>
      </c>
      <c r="F1826" s="3">
        <v>45022</v>
      </c>
      <c r="G1826" s="4">
        <f t="shared" si="207"/>
        <v>4</v>
      </c>
      <c r="H1826" s="4">
        <f t="shared" si="208"/>
        <v>2023</v>
      </c>
      <c r="I1826" s="2" t="s">
        <v>4</v>
      </c>
      <c r="J1826" s="2" t="s">
        <v>2593</v>
      </c>
      <c r="K1826" s="2" t="s">
        <v>164</v>
      </c>
      <c r="L1826" s="2" t="s">
        <v>165</v>
      </c>
      <c r="M1826" s="2" t="s">
        <v>166</v>
      </c>
      <c r="N1826" s="4" t="str">
        <f t="shared" si="209"/>
        <v>GAL</v>
      </c>
      <c r="O1826" s="5">
        <v>180</v>
      </c>
    </row>
    <row r="1827" spans="2:15" x14ac:dyDescent="0.25">
      <c r="B1827" s="1" t="s">
        <v>154</v>
      </c>
      <c r="C1827" s="2" t="s">
        <v>155</v>
      </c>
      <c r="D1827" s="2" t="s">
        <v>1103</v>
      </c>
      <c r="E1827" s="2" t="s">
        <v>1104</v>
      </c>
      <c r="F1827" s="3">
        <v>45022</v>
      </c>
      <c r="G1827" s="4">
        <f t="shared" si="207"/>
        <v>4</v>
      </c>
      <c r="H1827" s="4">
        <f t="shared" si="208"/>
        <v>2023</v>
      </c>
      <c r="I1827" s="2" t="s">
        <v>4</v>
      </c>
      <c r="J1827" s="2" t="s">
        <v>2594</v>
      </c>
      <c r="K1827" s="2" t="s">
        <v>1106</v>
      </c>
      <c r="L1827" s="2" t="s">
        <v>1107</v>
      </c>
      <c r="M1827" s="2" t="s">
        <v>1108</v>
      </c>
      <c r="N1827" s="4" t="str">
        <f t="shared" si="209"/>
        <v>GAL</v>
      </c>
      <c r="O1827" s="5">
        <v>500</v>
      </c>
    </row>
    <row r="1828" spans="2:15" x14ac:dyDescent="0.25">
      <c r="B1828" s="1" t="s">
        <v>154</v>
      </c>
      <c r="C1828" s="2" t="s">
        <v>155</v>
      </c>
      <c r="D1828" s="2" t="s">
        <v>628</v>
      </c>
      <c r="E1828" s="2" t="s">
        <v>629</v>
      </c>
      <c r="F1828" s="3">
        <v>45022</v>
      </c>
      <c r="G1828" s="4">
        <f t="shared" si="207"/>
        <v>4</v>
      </c>
      <c r="H1828" s="4">
        <f t="shared" si="208"/>
        <v>2023</v>
      </c>
      <c r="I1828" s="2" t="s">
        <v>4</v>
      </c>
      <c r="J1828" s="2" t="s">
        <v>2595</v>
      </c>
      <c r="K1828" s="2" t="s">
        <v>631</v>
      </c>
      <c r="L1828" s="2" t="s">
        <v>632</v>
      </c>
      <c r="M1828" s="2" t="s">
        <v>633</v>
      </c>
      <c r="N1828" s="4" t="str">
        <f t="shared" si="209"/>
        <v>GAL</v>
      </c>
      <c r="O1828" s="5">
        <v>250</v>
      </c>
    </row>
    <row r="1829" spans="2:15" x14ac:dyDescent="0.25">
      <c r="B1829" s="1" t="s">
        <v>154</v>
      </c>
      <c r="C1829" s="2" t="s">
        <v>155</v>
      </c>
      <c r="D1829" s="2" t="s">
        <v>1838</v>
      </c>
      <c r="E1829" s="2" t="s">
        <v>1839</v>
      </c>
      <c r="F1829" s="3">
        <v>45023</v>
      </c>
      <c r="G1829" s="4">
        <f t="shared" si="207"/>
        <v>4</v>
      </c>
      <c r="H1829" s="4">
        <f t="shared" si="208"/>
        <v>2023</v>
      </c>
      <c r="I1829" s="2" t="s">
        <v>4</v>
      </c>
      <c r="J1829" s="2" t="s">
        <v>2596</v>
      </c>
      <c r="K1829" s="2" t="s">
        <v>609</v>
      </c>
      <c r="L1829" s="2" t="s">
        <v>610</v>
      </c>
      <c r="M1829" s="2" t="s">
        <v>611</v>
      </c>
      <c r="N1829" s="4" t="str">
        <f t="shared" si="209"/>
        <v>GAL</v>
      </c>
      <c r="O1829" s="5">
        <v>180</v>
      </c>
    </row>
    <row r="1830" spans="2:15" x14ac:dyDescent="0.25">
      <c r="B1830" s="1" t="s">
        <v>154</v>
      </c>
      <c r="C1830" s="2" t="s">
        <v>155</v>
      </c>
      <c r="D1830" s="2" t="s">
        <v>107</v>
      </c>
      <c r="E1830" s="2" t="s">
        <v>108</v>
      </c>
      <c r="F1830" s="3">
        <v>45023</v>
      </c>
      <c r="G1830" s="4">
        <f t="shared" si="207"/>
        <v>4</v>
      </c>
      <c r="H1830" s="4">
        <f t="shared" si="208"/>
        <v>2023</v>
      </c>
      <c r="I1830" s="2" t="s">
        <v>4</v>
      </c>
      <c r="J1830" s="2" t="s">
        <v>2597</v>
      </c>
      <c r="K1830" s="2" t="s">
        <v>158</v>
      </c>
      <c r="L1830" s="2" t="s">
        <v>159</v>
      </c>
      <c r="M1830" s="2" t="s">
        <v>160</v>
      </c>
      <c r="N1830" s="4" t="str">
        <f t="shared" si="209"/>
        <v>GAL</v>
      </c>
      <c r="O1830" s="5">
        <v>180</v>
      </c>
    </row>
    <row r="1831" spans="2:15" x14ac:dyDescent="0.25">
      <c r="B1831" s="1" t="s">
        <v>154</v>
      </c>
      <c r="C1831" s="2" t="s">
        <v>155</v>
      </c>
      <c r="D1831" s="2" t="s">
        <v>628</v>
      </c>
      <c r="E1831" s="2" t="s">
        <v>629</v>
      </c>
      <c r="F1831" s="3">
        <v>45023</v>
      </c>
      <c r="G1831" s="4">
        <f t="shared" si="207"/>
        <v>4</v>
      </c>
      <c r="H1831" s="4">
        <f t="shared" si="208"/>
        <v>2023</v>
      </c>
      <c r="I1831" s="2" t="s">
        <v>4</v>
      </c>
      <c r="J1831" s="2" t="s">
        <v>2598</v>
      </c>
      <c r="K1831" s="2" t="s">
        <v>1119</v>
      </c>
      <c r="L1831" s="2" t="s">
        <v>1023</v>
      </c>
      <c r="M1831" s="2" t="s">
        <v>1024</v>
      </c>
      <c r="N1831" s="4" t="str">
        <f t="shared" si="209"/>
        <v>GAL</v>
      </c>
      <c r="O1831" s="5">
        <v>180</v>
      </c>
    </row>
    <row r="1832" spans="2:15" x14ac:dyDescent="0.25">
      <c r="B1832" s="1" t="s">
        <v>154</v>
      </c>
      <c r="C1832" s="2" t="s">
        <v>155</v>
      </c>
      <c r="D1832" s="2" t="s">
        <v>161</v>
      </c>
      <c r="E1832" s="2" t="s">
        <v>162</v>
      </c>
      <c r="F1832" s="3">
        <v>45026</v>
      </c>
      <c r="G1832" s="4">
        <f t="shared" si="207"/>
        <v>4</v>
      </c>
      <c r="H1832" s="4">
        <f t="shared" si="208"/>
        <v>2023</v>
      </c>
      <c r="I1832" s="2" t="s">
        <v>4</v>
      </c>
      <c r="J1832" s="2" t="s">
        <v>2599</v>
      </c>
      <c r="K1832" s="2" t="s">
        <v>2600</v>
      </c>
      <c r="L1832" s="2" t="s">
        <v>1644</v>
      </c>
      <c r="M1832" s="2" t="s">
        <v>46</v>
      </c>
      <c r="N1832" s="4" t="str">
        <f t="shared" si="209"/>
        <v>GAL</v>
      </c>
      <c r="O1832" s="5">
        <v>250</v>
      </c>
    </row>
    <row r="1833" spans="2:15" x14ac:dyDescent="0.25">
      <c r="B1833" s="1" t="s">
        <v>154</v>
      </c>
      <c r="C1833" s="2" t="s">
        <v>155</v>
      </c>
      <c r="D1833" s="2" t="s">
        <v>161</v>
      </c>
      <c r="E1833" s="2" t="s">
        <v>162</v>
      </c>
      <c r="F1833" s="3">
        <v>45026</v>
      </c>
      <c r="G1833" s="4">
        <f t="shared" si="207"/>
        <v>4</v>
      </c>
      <c r="H1833" s="4">
        <f t="shared" si="208"/>
        <v>2023</v>
      </c>
      <c r="I1833" s="2" t="s">
        <v>4</v>
      </c>
      <c r="J1833" s="2" t="s">
        <v>2601</v>
      </c>
      <c r="K1833" s="2" t="s">
        <v>1814</v>
      </c>
      <c r="L1833" s="2" t="s">
        <v>1815</v>
      </c>
      <c r="M1833" s="2" t="s">
        <v>1816</v>
      </c>
      <c r="N1833" s="4" t="str">
        <f t="shared" si="209"/>
        <v>GAL</v>
      </c>
      <c r="O1833" s="5">
        <v>360</v>
      </c>
    </row>
    <row r="1834" spans="2:15" x14ac:dyDescent="0.25">
      <c r="B1834" s="1" t="s">
        <v>154</v>
      </c>
      <c r="C1834" s="2" t="s">
        <v>155</v>
      </c>
      <c r="D1834" s="2" t="s">
        <v>1111</v>
      </c>
      <c r="E1834" s="2" t="s">
        <v>1112</v>
      </c>
      <c r="F1834" s="3">
        <v>45026</v>
      </c>
      <c r="G1834" s="4">
        <f t="shared" si="207"/>
        <v>4</v>
      </c>
      <c r="H1834" s="4">
        <f t="shared" si="208"/>
        <v>2023</v>
      </c>
      <c r="I1834" s="2" t="s">
        <v>4</v>
      </c>
      <c r="J1834" s="2" t="s">
        <v>2602</v>
      </c>
      <c r="K1834" s="2" t="s">
        <v>1869</v>
      </c>
      <c r="L1834" s="2" t="s">
        <v>172</v>
      </c>
      <c r="M1834" s="2" t="s">
        <v>27</v>
      </c>
      <c r="N1834" s="4" t="str">
        <f t="shared" si="209"/>
        <v>GAL</v>
      </c>
      <c r="O1834" s="5">
        <v>500</v>
      </c>
    </row>
    <row r="1835" spans="2:15" x14ac:dyDescent="0.25">
      <c r="B1835" s="1" t="s">
        <v>154</v>
      </c>
      <c r="C1835" s="2" t="s">
        <v>155</v>
      </c>
      <c r="D1835" s="2" t="s">
        <v>1111</v>
      </c>
      <c r="E1835" s="2" t="s">
        <v>1112</v>
      </c>
      <c r="F1835" s="3">
        <v>45026</v>
      </c>
      <c r="G1835" s="4">
        <f t="shared" si="207"/>
        <v>4</v>
      </c>
      <c r="H1835" s="4">
        <f t="shared" si="208"/>
        <v>2023</v>
      </c>
      <c r="I1835" s="2" t="s">
        <v>4</v>
      </c>
      <c r="J1835" s="2" t="s">
        <v>2603</v>
      </c>
      <c r="K1835" s="2" t="s">
        <v>1869</v>
      </c>
      <c r="L1835" s="2" t="s">
        <v>172</v>
      </c>
      <c r="M1835" s="2" t="s">
        <v>27</v>
      </c>
      <c r="N1835" s="4" t="str">
        <f t="shared" si="209"/>
        <v>GAL</v>
      </c>
      <c r="O1835" s="5">
        <v>500</v>
      </c>
    </row>
    <row r="1836" spans="2:15" x14ac:dyDescent="0.25">
      <c r="B1836" s="1" t="s">
        <v>154</v>
      </c>
      <c r="C1836" s="2" t="s">
        <v>155</v>
      </c>
      <c r="D1836" s="2" t="s">
        <v>628</v>
      </c>
      <c r="E1836" s="2" t="s">
        <v>2488</v>
      </c>
      <c r="F1836" s="3">
        <v>45026</v>
      </c>
      <c r="G1836" s="4">
        <f t="shared" si="207"/>
        <v>4</v>
      </c>
      <c r="H1836" s="4">
        <f t="shared" si="208"/>
        <v>2023</v>
      </c>
      <c r="I1836" s="2" t="s">
        <v>4</v>
      </c>
      <c r="J1836" s="2" t="s">
        <v>2604</v>
      </c>
      <c r="K1836" s="2" t="s">
        <v>171</v>
      </c>
      <c r="L1836" s="2" t="s">
        <v>172</v>
      </c>
      <c r="M1836" s="2" t="s">
        <v>27</v>
      </c>
      <c r="N1836" s="4" t="str">
        <f t="shared" si="209"/>
        <v>GAL</v>
      </c>
      <c r="O1836" s="5">
        <v>180</v>
      </c>
    </row>
    <row r="1837" spans="2:15" x14ac:dyDescent="0.25">
      <c r="B1837" s="1" t="s">
        <v>154</v>
      </c>
      <c r="C1837" s="2" t="s">
        <v>155</v>
      </c>
      <c r="D1837" s="2" t="s">
        <v>628</v>
      </c>
      <c r="E1837" s="2" t="s">
        <v>629</v>
      </c>
      <c r="F1837" s="3">
        <v>45027</v>
      </c>
      <c r="G1837" s="4">
        <f t="shared" si="207"/>
        <v>4</v>
      </c>
      <c r="H1837" s="4">
        <f t="shared" si="208"/>
        <v>2023</v>
      </c>
      <c r="I1837" s="2" t="s">
        <v>4</v>
      </c>
      <c r="J1837" s="2" t="s">
        <v>2605</v>
      </c>
      <c r="K1837" s="2" t="s">
        <v>1119</v>
      </c>
      <c r="L1837" s="2" t="s">
        <v>1023</v>
      </c>
      <c r="M1837" s="2" t="s">
        <v>1024</v>
      </c>
      <c r="N1837" s="4" t="str">
        <f t="shared" si="209"/>
        <v>GAL</v>
      </c>
      <c r="O1837" s="5">
        <v>1080</v>
      </c>
    </row>
    <row r="1838" spans="2:15" x14ac:dyDescent="0.25">
      <c r="B1838" s="1" t="s">
        <v>154</v>
      </c>
      <c r="C1838" s="2" t="s">
        <v>155</v>
      </c>
      <c r="D1838" s="2" t="s">
        <v>167</v>
      </c>
      <c r="E1838" s="2" t="s">
        <v>168</v>
      </c>
      <c r="F1838" s="3">
        <v>45028</v>
      </c>
      <c r="G1838" s="4">
        <f t="shared" si="207"/>
        <v>4</v>
      </c>
      <c r="H1838" s="4">
        <f t="shared" si="208"/>
        <v>2023</v>
      </c>
      <c r="I1838" s="2" t="s">
        <v>4</v>
      </c>
      <c r="J1838" s="2" t="s">
        <v>2606</v>
      </c>
      <c r="K1838" s="2" t="s">
        <v>158</v>
      </c>
      <c r="L1838" s="2" t="s">
        <v>159</v>
      </c>
      <c r="M1838" s="2" t="s">
        <v>160</v>
      </c>
      <c r="N1838" s="4" t="str">
        <f t="shared" si="209"/>
        <v>GAL</v>
      </c>
      <c r="O1838" s="5">
        <v>360</v>
      </c>
    </row>
    <row r="1839" spans="2:15" x14ac:dyDescent="0.25">
      <c r="B1839" s="1" t="s">
        <v>154</v>
      </c>
      <c r="C1839" s="2" t="s">
        <v>155</v>
      </c>
      <c r="D1839" s="2" t="s">
        <v>628</v>
      </c>
      <c r="E1839" s="2" t="s">
        <v>2200</v>
      </c>
      <c r="F1839" s="3">
        <v>45030</v>
      </c>
      <c r="G1839" s="4">
        <f t="shared" si="207"/>
        <v>4</v>
      </c>
      <c r="H1839" s="4">
        <f t="shared" si="208"/>
        <v>2023</v>
      </c>
      <c r="I1839" s="2" t="s">
        <v>4</v>
      </c>
      <c r="J1839" s="2" t="s">
        <v>2607</v>
      </c>
      <c r="K1839" s="2" t="s">
        <v>2584</v>
      </c>
      <c r="L1839" s="2" t="s">
        <v>2585</v>
      </c>
      <c r="M1839" s="2" t="s">
        <v>119</v>
      </c>
      <c r="N1839" s="4" t="str">
        <f t="shared" si="209"/>
        <v>TON</v>
      </c>
      <c r="O1839" s="5">
        <v>10.0075</v>
      </c>
    </row>
    <row r="1840" spans="2:15" x14ac:dyDescent="0.25">
      <c r="B1840" s="1" t="s">
        <v>154</v>
      </c>
      <c r="C1840" s="2" t="s">
        <v>155</v>
      </c>
      <c r="D1840" s="2" t="s">
        <v>628</v>
      </c>
      <c r="E1840" s="2" t="s">
        <v>2200</v>
      </c>
      <c r="F1840" s="3">
        <v>45030</v>
      </c>
      <c r="G1840" s="4">
        <f t="shared" si="207"/>
        <v>4</v>
      </c>
      <c r="H1840" s="4">
        <f t="shared" si="208"/>
        <v>2023</v>
      </c>
      <c r="I1840" s="2" t="s">
        <v>4</v>
      </c>
      <c r="J1840" s="2" t="s">
        <v>2608</v>
      </c>
      <c r="K1840" s="2" t="s">
        <v>2587</v>
      </c>
      <c r="L1840" s="2" t="s">
        <v>2588</v>
      </c>
      <c r="M1840" s="2" t="s">
        <v>119</v>
      </c>
      <c r="N1840" s="4" t="str">
        <f t="shared" si="209"/>
        <v>TON</v>
      </c>
      <c r="O1840" s="5">
        <v>10.015000000000001</v>
      </c>
    </row>
    <row r="1841" spans="2:15" x14ac:dyDescent="0.25">
      <c r="B1841" s="1" t="s">
        <v>154</v>
      </c>
      <c r="C1841" s="2" t="s">
        <v>155</v>
      </c>
      <c r="D1841" s="2" t="s">
        <v>1103</v>
      </c>
      <c r="E1841" s="2" t="s">
        <v>1104</v>
      </c>
      <c r="F1841" s="3">
        <v>45030</v>
      </c>
      <c r="G1841" s="4">
        <f t="shared" si="207"/>
        <v>4</v>
      </c>
      <c r="H1841" s="4">
        <f t="shared" si="208"/>
        <v>2023</v>
      </c>
      <c r="I1841" s="2" t="s">
        <v>4</v>
      </c>
      <c r="J1841" s="2" t="s">
        <v>2609</v>
      </c>
      <c r="K1841" s="2" t="s">
        <v>25</v>
      </c>
      <c r="L1841" s="2" t="s">
        <v>541</v>
      </c>
      <c r="M1841" s="2" t="s">
        <v>27</v>
      </c>
      <c r="N1841" s="4" t="str">
        <f t="shared" si="209"/>
        <v>GAL</v>
      </c>
      <c r="O1841" s="5">
        <v>240</v>
      </c>
    </row>
    <row r="1842" spans="2:15" x14ac:dyDescent="0.25">
      <c r="B1842" s="1" t="s">
        <v>154</v>
      </c>
      <c r="C1842" s="2" t="s">
        <v>155</v>
      </c>
      <c r="D1842" s="2" t="s">
        <v>107</v>
      </c>
      <c r="E1842" s="2" t="s">
        <v>108</v>
      </c>
      <c r="F1842" s="3">
        <v>45033</v>
      </c>
      <c r="G1842" s="4">
        <f t="shared" si="207"/>
        <v>4</v>
      </c>
      <c r="H1842" s="4">
        <f t="shared" si="208"/>
        <v>2023</v>
      </c>
      <c r="I1842" s="2" t="s">
        <v>4</v>
      </c>
      <c r="J1842" s="2" t="s">
        <v>2610</v>
      </c>
      <c r="K1842" s="2" t="s">
        <v>158</v>
      </c>
      <c r="L1842" s="2" t="s">
        <v>159</v>
      </c>
      <c r="M1842" s="2" t="s">
        <v>160</v>
      </c>
      <c r="N1842" s="4" t="str">
        <f t="shared" si="209"/>
        <v>GAL</v>
      </c>
      <c r="O1842" s="5">
        <v>180</v>
      </c>
    </row>
    <row r="1843" spans="2:15" x14ac:dyDescent="0.25">
      <c r="B1843" s="1" t="s">
        <v>154</v>
      </c>
      <c r="C1843" s="2" t="s">
        <v>155</v>
      </c>
      <c r="D1843" s="2" t="s">
        <v>1838</v>
      </c>
      <c r="E1843" s="2" t="s">
        <v>1839</v>
      </c>
      <c r="F1843" s="3">
        <v>45030</v>
      </c>
      <c r="G1843" s="4">
        <f t="shared" si="207"/>
        <v>4</v>
      </c>
      <c r="H1843" s="4">
        <f t="shared" si="208"/>
        <v>2023</v>
      </c>
      <c r="I1843" s="2" t="s">
        <v>4</v>
      </c>
      <c r="J1843" s="2" t="s">
        <v>2611</v>
      </c>
      <c r="K1843" s="2" t="s">
        <v>171</v>
      </c>
      <c r="L1843" s="2" t="s">
        <v>172</v>
      </c>
      <c r="M1843" s="2" t="s">
        <v>27</v>
      </c>
      <c r="N1843" s="4" t="str">
        <f t="shared" si="209"/>
        <v>GAL</v>
      </c>
      <c r="O1843" s="5">
        <v>900</v>
      </c>
    </row>
    <row r="1844" spans="2:15" x14ac:dyDescent="0.25">
      <c r="B1844" s="1" t="s">
        <v>154</v>
      </c>
      <c r="C1844" s="2" t="s">
        <v>155</v>
      </c>
      <c r="D1844" s="2" t="s">
        <v>1838</v>
      </c>
      <c r="E1844" s="2" t="s">
        <v>1839</v>
      </c>
      <c r="F1844" s="3">
        <v>45030</v>
      </c>
      <c r="G1844" s="4">
        <f t="shared" si="207"/>
        <v>4</v>
      </c>
      <c r="H1844" s="4">
        <f t="shared" si="208"/>
        <v>2023</v>
      </c>
      <c r="I1844" s="2" t="s">
        <v>4</v>
      </c>
      <c r="J1844" s="2" t="s">
        <v>2611</v>
      </c>
      <c r="K1844" s="2" t="s">
        <v>1869</v>
      </c>
      <c r="L1844" s="2" t="s">
        <v>172</v>
      </c>
      <c r="M1844" s="2" t="s">
        <v>27</v>
      </c>
      <c r="N1844" s="4" t="str">
        <f t="shared" si="209"/>
        <v>GAL</v>
      </c>
      <c r="O1844" s="5">
        <v>250</v>
      </c>
    </row>
    <row r="1845" spans="2:15" x14ac:dyDescent="0.25">
      <c r="B1845" s="1" t="s">
        <v>154</v>
      </c>
      <c r="C1845" s="2" t="s">
        <v>155</v>
      </c>
      <c r="D1845" s="2" t="s">
        <v>616</v>
      </c>
      <c r="E1845" s="2" t="s">
        <v>2242</v>
      </c>
      <c r="F1845" s="3">
        <v>45030</v>
      </c>
      <c r="G1845" s="4">
        <f t="shared" si="207"/>
        <v>4</v>
      </c>
      <c r="H1845" s="4">
        <f t="shared" si="208"/>
        <v>2023</v>
      </c>
      <c r="I1845" s="2" t="s">
        <v>4</v>
      </c>
      <c r="J1845" s="2" t="s">
        <v>2612</v>
      </c>
      <c r="K1845" s="2" t="s">
        <v>83</v>
      </c>
      <c r="L1845" s="2" t="s">
        <v>518</v>
      </c>
      <c r="M1845" s="2" t="s">
        <v>85</v>
      </c>
      <c r="N1845" s="4" t="str">
        <f t="shared" si="209"/>
        <v>GAL</v>
      </c>
      <c r="O1845" s="5">
        <v>65</v>
      </c>
    </row>
    <row r="1846" spans="2:15" x14ac:dyDescent="0.25">
      <c r="B1846" s="1" t="s">
        <v>154</v>
      </c>
      <c r="C1846" s="2" t="s">
        <v>155</v>
      </c>
      <c r="D1846" s="2" t="s">
        <v>1838</v>
      </c>
      <c r="E1846" s="2" t="s">
        <v>1839</v>
      </c>
      <c r="F1846" s="3">
        <v>45034</v>
      </c>
      <c r="G1846" s="4">
        <f t="shared" si="207"/>
        <v>4</v>
      </c>
      <c r="H1846" s="4">
        <f t="shared" si="208"/>
        <v>2023</v>
      </c>
      <c r="I1846" s="2" t="s">
        <v>4</v>
      </c>
      <c r="J1846" s="2" t="s">
        <v>2613</v>
      </c>
      <c r="K1846" s="2" t="s">
        <v>1869</v>
      </c>
      <c r="L1846" s="2" t="s">
        <v>172</v>
      </c>
      <c r="M1846" s="2" t="s">
        <v>27</v>
      </c>
      <c r="N1846" s="4" t="str">
        <f t="shared" si="209"/>
        <v>GAL</v>
      </c>
      <c r="O1846" s="5">
        <v>250</v>
      </c>
    </row>
    <row r="1847" spans="2:15" x14ac:dyDescent="0.25">
      <c r="B1847" s="1" t="s">
        <v>154</v>
      </c>
      <c r="C1847" s="2" t="s">
        <v>155</v>
      </c>
      <c r="D1847" s="2" t="s">
        <v>1838</v>
      </c>
      <c r="E1847" s="2" t="s">
        <v>1839</v>
      </c>
      <c r="F1847" s="3">
        <v>45034</v>
      </c>
      <c r="G1847" s="4">
        <f t="shared" si="207"/>
        <v>4</v>
      </c>
      <c r="H1847" s="4">
        <f t="shared" si="208"/>
        <v>2023</v>
      </c>
      <c r="I1847" s="2" t="s">
        <v>4</v>
      </c>
      <c r="J1847" s="2" t="s">
        <v>2613</v>
      </c>
      <c r="K1847" s="2" t="s">
        <v>171</v>
      </c>
      <c r="L1847" s="2" t="s">
        <v>172</v>
      </c>
      <c r="M1847" s="2" t="s">
        <v>27</v>
      </c>
      <c r="N1847" s="4" t="str">
        <f t="shared" si="209"/>
        <v>GAL</v>
      </c>
      <c r="O1847" s="5">
        <v>900</v>
      </c>
    </row>
    <row r="1848" spans="2:15" x14ac:dyDescent="0.25">
      <c r="B1848" s="1" t="s">
        <v>154</v>
      </c>
      <c r="C1848" s="2" t="s">
        <v>155</v>
      </c>
      <c r="D1848" s="2" t="s">
        <v>161</v>
      </c>
      <c r="E1848" s="2" t="s">
        <v>162</v>
      </c>
      <c r="F1848" s="3">
        <v>45035</v>
      </c>
      <c r="G1848" s="4">
        <f t="shared" si="207"/>
        <v>4</v>
      </c>
      <c r="H1848" s="4">
        <f t="shared" si="208"/>
        <v>2023</v>
      </c>
      <c r="I1848" s="2" t="s">
        <v>4</v>
      </c>
      <c r="J1848" s="2" t="s">
        <v>2614</v>
      </c>
      <c r="K1848" s="2" t="s">
        <v>1869</v>
      </c>
      <c r="L1848" s="2" t="s">
        <v>172</v>
      </c>
      <c r="M1848" s="2" t="s">
        <v>27</v>
      </c>
      <c r="N1848" s="4" t="str">
        <f t="shared" si="209"/>
        <v>GAL</v>
      </c>
      <c r="O1848" s="5">
        <v>2000</v>
      </c>
    </row>
    <row r="1849" spans="2:15" x14ac:dyDescent="0.25">
      <c r="B1849" s="1" t="s">
        <v>154</v>
      </c>
      <c r="C1849" s="2" t="s">
        <v>155</v>
      </c>
      <c r="D1849" s="2" t="s">
        <v>167</v>
      </c>
      <c r="E1849" s="2" t="s">
        <v>168</v>
      </c>
      <c r="F1849" s="3">
        <v>45035</v>
      </c>
      <c r="G1849" s="4">
        <f t="shared" si="207"/>
        <v>4</v>
      </c>
      <c r="H1849" s="4">
        <f t="shared" si="208"/>
        <v>2023</v>
      </c>
      <c r="I1849" s="2" t="s">
        <v>4</v>
      </c>
      <c r="J1849" s="2" t="s">
        <v>2615</v>
      </c>
      <c r="K1849" s="2" t="s">
        <v>2616</v>
      </c>
      <c r="L1849" s="2" t="s">
        <v>2617</v>
      </c>
      <c r="M1849" s="2" t="s">
        <v>2618</v>
      </c>
      <c r="N1849" s="4" t="str">
        <f t="shared" si="209"/>
        <v>GAL</v>
      </c>
      <c r="O1849" s="5">
        <v>90</v>
      </c>
    </row>
    <row r="1850" spans="2:15" x14ac:dyDescent="0.25">
      <c r="B1850" s="1" t="s">
        <v>154</v>
      </c>
      <c r="C1850" s="2" t="s">
        <v>155</v>
      </c>
      <c r="D1850" s="2" t="s">
        <v>167</v>
      </c>
      <c r="E1850" s="2" t="s">
        <v>168</v>
      </c>
      <c r="F1850" s="3">
        <v>45035</v>
      </c>
      <c r="G1850" s="4">
        <f t="shared" si="207"/>
        <v>4</v>
      </c>
      <c r="H1850" s="4">
        <f t="shared" si="208"/>
        <v>2023</v>
      </c>
      <c r="I1850" s="2" t="s">
        <v>4</v>
      </c>
      <c r="J1850" s="2" t="s">
        <v>2619</v>
      </c>
      <c r="K1850" s="2" t="s">
        <v>2620</v>
      </c>
      <c r="L1850" s="2" t="s">
        <v>2617</v>
      </c>
      <c r="M1850" s="2" t="s">
        <v>2618</v>
      </c>
      <c r="N1850" s="4" t="str">
        <f t="shared" si="209"/>
        <v>GAL</v>
      </c>
      <c r="O1850" s="5">
        <v>500</v>
      </c>
    </row>
    <row r="1851" spans="2:15" x14ac:dyDescent="0.25">
      <c r="B1851" s="1" t="s">
        <v>154</v>
      </c>
      <c r="C1851" s="2" t="s">
        <v>155</v>
      </c>
      <c r="D1851" s="2" t="s">
        <v>178</v>
      </c>
      <c r="E1851" s="2" t="s">
        <v>179</v>
      </c>
      <c r="F1851" s="3">
        <v>45035</v>
      </c>
      <c r="G1851" s="4">
        <f t="shared" si="207"/>
        <v>4</v>
      </c>
      <c r="H1851" s="4">
        <f t="shared" si="208"/>
        <v>2023</v>
      </c>
      <c r="I1851" s="2" t="s">
        <v>4</v>
      </c>
      <c r="J1851" s="2" t="s">
        <v>2621</v>
      </c>
      <c r="K1851" s="2" t="s">
        <v>158</v>
      </c>
      <c r="L1851" s="2" t="s">
        <v>159</v>
      </c>
      <c r="M1851" s="2" t="s">
        <v>160</v>
      </c>
      <c r="N1851" s="4" t="str">
        <f t="shared" si="209"/>
        <v>GAL</v>
      </c>
      <c r="O1851" s="5">
        <v>180</v>
      </c>
    </row>
    <row r="1852" spans="2:15" x14ac:dyDescent="0.25">
      <c r="B1852" s="1" t="s">
        <v>154</v>
      </c>
      <c r="C1852" s="2" t="s">
        <v>155</v>
      </c>
      <c r="D1852" s="2" t="s">
        <v>591</v>
      </c>
      <c r="E1852" s="2" t="s">
        <v>592</v>
      </c>
      <c r="F1852" s="3">
        <v>45036</v>
      </c>
      <c r="G1852" s="4">
        <f t="shared" si="207"/>
        <v>4</v>
      </c>
      <c r="H1852" s="4">
        <f t="shared" si="208"/>
        <v>2023</v>
      </c>
      <c r="I1852" s="2" t="s">
        <v>4</v>
      </c>
      <c r="J1852" s="2" t="s">
        <v>2622</v>
      </c>
      <c r="K1852" s="2" t="s">
        <v>1098</v>
      </c>
      <c r="L1852" s="2" t="s">
        <v>632</v>
      </c>
      <c r="M1852" s="2" t="s">
        <v>633</v>
      </c>
      <c r="N1852" s="4" t="str">
        <f t="shared" si="209"/>
        <v>GAL</v>
      </c>
      <c r="O1852" s="5">
        <v>2994</v>
      </c>
    </row>
    <row r="1853" spans="2:15" x14ac:dyDescent="0.25">
      <c r="B1853" s="1" t="s">
        <v>154</v>
      </c>
      <c r="C1853" s="2" t="s">
        <v>155</v>
      </c>
      <c r="D1853" s="2" t="s">
        <v>167</v>
      </c>
      <c r="E1853" s="2" t="s">
        <v>168</v>
      </c>
      <c r="F1853" s="3">
        <v>45040</v>
      </c>
      <c r="G1853" s="4">
        <f t="shared" si="207"/>
        <v>4</v>
      </c>
      <c r="H1853" s="4">
        <f t="shared" si="208"/>
        <v>2023</v>
      </c>
      <c r="I1853" s="2" t="s">
        <v>4</v>
      </c>
      <c r="J1853" s="2" t="s">
        <v>2623</v>
      </c>
      <c r="K1853" s="2" t="s">
        <v>1820</v>
      </c>
      <c r="L1853" s="2" t="s">
        <v>1815</v>
      </c>
      <c r="M1853" s="2" t="s">
        <v>1816</v>
      </c>
      <c r="N1853" s="4" t="str">
        <f t="shared" si="209"/>
        <v>GAL</v>
      </c>
      <c r="O1853" s="5">
        <v>500</v>
      </c>
    </row>
    <row r="1854" spans="2:15" x14ac:dyDescent="0.25">
      <c r="B1854" s="1" t="s">
        <v>154</v>
      </c>
      <c r="C1854" s="2" t="s">
        <v>155</v>
      </c>
      <c r="D1854" s="2" t="s">
        <v>167</v>
      </c>
      <c r="E1854" s="2" t="s">
        <v>168</v>
      </c>
      <c r="F1854" s="3">
        <v>45040</v>
      </c>
      <c r="G1854" s="4">
        <f t="shared" si="207"/>
        <v>4</v>
      </c>
      <c r="H1854" s="4">
        <f t="shared" si="208"/>
        <v>2023</v>
      </c>
      <c r="I1854" s="2" t="s">
        <v>4</v>
      </c>
      <c r="J1854" s="2" t="s">
        <v>2623</v>
      </c>
      <c r="K1854" s="2" t="s">
        <v>609</v>
      </c>
      <c r="L1854" s="2" t="s">
        <v>610</v>
      </c>
      <c r="M1854" s="2" t="s">
        <v>611</v>
      </c>
      <c r="N1854" s="4" t="str">
        <f t="shared" si="209"/>
        <v>GAL</v>
      </c>
      <c r="O1854" s="5">
        <v>240</v>
      </c>
    </row>
    <row r="1855" spans="2:15" x14ac:dyDescent="0.25">
      <c r="B1855" s="1" t="s">
        <v>154</v>
      </c>
      <c r="C1855" s="2" t="s">
        <v>155</v>
      </c>
      <c r="D1855" s="2" t="s">
        <v>161</v>
      </c>
      <c r="E1855" s="2" t="s">
        <v>162</v>
      </c>
      <c r="F1855" s="3">
        <v>45040</v>
      </c>
      <c r="G1855" s="4">
        <f t="shared" si="207"/>
        <v>4</v>
      </c>
      <c r="H1855" s="4">
        <f t="shared" si="208"/>
        <v>2023</v>
      </c>
      <c r="I1855" s="2" t="s">
        <v>4</v>
      </c>
      <c r="J1855" s="2" t="s">
        <v>2624</v>
      </c>
      <c r="K1855" s="2" t="s">
        <v>1643</v>
      </c>
      <c r="L1855" s="2" t="s">
        <v>1644</v>
      </c>
      <c r="M1855" s="2" t="s">
        <v>46</v>
      </c>
      <c r="N1855" s="4" t="str">
        <f t="shared" si="209"/>
        <v>GAL</v>
      </c>
      <c r="O1855" s="5">
        <v>180</v>
      </c>
    </row>
    <row r="1856" spans="2:15" x14ac:dyDescent="0.25">
      <c r="B1856" s="1" t="s">
        <v>154</v>
      </c>
      <c r="C1856" s="2" t="s">
        <v>155</v>
      </c>
      <c r="D1856" s="2" t="s">
        <v>161</v>
      </c>
      <c r="E1856" s="2" t="s">
        <v>162</v>
      </c>
      <c r="F1856" s="3">
        <v>45040</v>
      </c>
      <c r="G1856" s="4">
        <f t="shared" si="207"/>
        <v>4</v>
      </c>
      <c r="H1856" s="4">
        <f t="shared" si="208"/>
        <v>2023</v>
      </c>
      <c r="I1856" s="2" t="s">
        <v>4</v>
      </c>
      <c r="J1856" s="2" t="s">
        <v>2624</v>
      </c>
      <c r="K1856" s="2" t="s">
        <v>171</v>
      </c>
      <c r="L1856" s="2" t="s">
        <v>172</v>
      </c>
      <c r="M1856" s="2" t="s">
        <v>27</v>
      </c>
      <c r="N1856" s="4" t="str">
        <f t="shared" si="209"/>
        <v>GAL</v>
      </c>
      <c r="O1856" s="5">
        <v>180</v>
      </c>
    </row>
    <row r="1857" spans="2:15" x14ac:dyDescent="0.25">
      <c r="B1857" s="1" t="s">
        <v>154</v>
      </c>
      <c r="C1857" s="2" t="s">
        <v>155</v>
      </c>
      <c r="D1857" s="2" t="s">
        <v>628</v>
      </c>
      <c r="E1857" s="2" t="s">
        <v>629</v>
      </c>
      <c r="F1857" s="3">
        <v>45041</v>
      </c>
      <c r="G1857" s="4">
        <f t="shared" si="207"/>
        <v>4</v>
      </c>
      <c r="H1857" s="4">
        <f t="shared" si="208"/>
        <v>2023</v>
      </c>
      <c r="I1857" s="2" t="s">
        <v>4</v>
      </c>
      <c r="J1857" s="2" t="s">
        <v>2625</v>
      </c>
      <c r="K1857" s="2" t="s">
        <v>1505</v>
      </c>
      <c r="L1857" s="2" t="s">
        <v>182</v>
      </c>
      <c r="M1857" s="2" t="s">
        <v>183</v>
      </c>
      <c r="N1857" s="4" t="str">
        <f t="shared" si="209"/>
        <v>GAL</v>
      </c>
      <c r="O1857" s="5">
        <v>250</v>
      </c>
    </row>
    <row r="1858" spans="2:15" x14ac:dyDescent="0.25">
      <c r="B1858" s="1" t="s">
        <v>154</v>
      </c>
      <c r="C1858" s="2" t="s">
        <v>155</v>
      </c>
      <c r="D1858" s="2" t="s">
        <v>161</v>
      </c>
      <c r="E1858" s="2" t="s">
        <v>162</v>
      </c>
      <c r="F1858" s="3">
        <v>45043</v>
      </c>
      <c r="G1858" s="4">
        <f t="shared" si="207"/>
        <v>4</v>
      </c>
      <c r="H1858" s="4">
        <f t="shared" si="208"/>
        <v>2023</v>
      </c>
      <c r="I1858" s="2" t="s">
        <v>4</v>
      </c>
      <c r="J1858" s="2" t="s">
        <v>2626</v>
      </c>
      <c r="K1858" s="2" t="s">
        <v>185</v>
      </c>
      <c r="L1858" s="2" t="s">
        <v>165</v>
      </c>
      <c r="M1858" s="2" t="s">
        <v>166</v>
      </c>
      <c r="N1858" s="4" t="str">
        <f t="shared" si="209"/>
        <v>GAL</v>
      </c>
      <c r="O1858" s="5">
        <v>500</v>
      </c>
    </row>
    <row r="1859" spans="2:15" x14ac:dyDescent="0.25">
      <c r="B1859" s="1" t="s">
        <v>154</v>
      </c>
      <c r="C1859" s="2" t="s">
        <v>155</v>
      </c>
      <c r="D1859" s="2" t="s">
        <v>1838</v>
      </c>
      <c r="E1859" s="2" t="s">
        <v>1839</v>
      </c>
      <c r="F1859" s="3">
        <v>45043</v>
      </c>
      <c r="G1859" s="4">
        <f t="shared" ref="G1859:G1922" si="210">+MONTH(F1859)</f>
        <v>4</v>
      </c>
      <c r="H1859" s="4">
        <f t="shared" ref="H1859:H1922" si="211">+YEAR(F1859)</f>
        <v>2023</v>
      </c>
      <c r="I1859" s="2" t="s">
        <v>4</v>
      </c>
      <c r="J1859" s="2" t="s">
        <v>2627</v>
      </c>
      <c r="K1859" s="2" t="s">
        <v>171</v>
      </c>
      <c r="L1859" s="2" t="s">
        <v>172</v>
      </c>
      <c r="M1859" s="2" t="s">
        <v>27</v>
      </c>
      <c r="N1859" s="4" t="str">
        <f t="shared" ref="N1859:N1922" si="212">+LEFT(M1859,3)</f>
        <v>GAL</v>
      </c>
      <c r="O1859" s="5">
        <v>720</v>
      </c>
    </row>
    <row r="1860" spans="2:15" x14ac:dyDescent="0.25">
      <c r="B1860" s="1" t="s">
        <v>154</v>
      </c>
      <c r="C1860" s="2" t="s">
        <v>155</v>
      </c>
      <c r="D1860" s="2" t="s">
        <v>1111</v>
      </c>
      <c r="E1860" s="2" t="s">
        <v>1112</v>
      </c>
      <c r="F1860" s="3">
        <v>45044</v>
      </c>
      <c r="G1860" s="4">
        <f t="shared" si="210"/>
        <v>4</v>
      </c>
      <c r="H1860" s="4">
        <f t="shared" si="211"/>
        <v>2023</v>
      </c>
      <c r="I1860" s="2" t="s">
        <v>4</v>
      </c>
      <c r="J1860" s="2" t="s">
        <v>2628</v>
      </c>
      <c r="K1860" s="2" t="s">
        <v>2629</v>
      </c>
      <c r="L1860" s="2" t="s">
        <v>2630</v>
      </c>
      <c r="M1860" s="2" t="s">
        <v>2631</v>
      </c>
      <c r="N1860" s="4" t="str">
        <f t="shared" si="212"/>
        <v>GAL</v>
      </c>
      <c r="O1860" s="5">
        <v>70</v>
      </c>
    </row>
    <row r="1861" spans="2:15" x14ac:dyDescent="0.25">
      <c r="B1861" s="1" t="s">
        <v>154</v>
      </c>
      <c r="C1861" s="2" t="s">
        <v>155</v>
      </c>
      <c r="D1861" s="2" t="s">
        <v>1111</v>
      </c>
      <c r="E1861" s="2" t="s">
        <v>1112</v>
      </c>
      <c r="F1861" s="3">
        <v>45044</v>
      </c>
      <c r="G1861" s="4">
        <f t="shared" si="210"/>
        <v>4</v>
      </c>
      <c r="H1861" s="4">
        <f t="shared" si="211"/>
        <v>2023</v>
      </c>
      <c r="I1861" s="2" t="s">
        <v>4</v>
      </c>
      <c r="J1861" s="2" t="s">
        <v>2632</v>
      </c>
      <c r="K1861" s="2" t="s">
        <v>2629</v>
      </c>
      <c r="L1861" s="2" t="s">
        <v>2630</v>
      </c>
      <c r="M1861" s="2" t="s">
        <v>2631</v>
      </c>
      <c r="N1861" s="4" t="str">
        <f t="shared" si="212"/>
        <v>GAL</v>
      </c>
      <c r="O1861" s="5">
        <v>70</v>
      </c>
    </row>
    <row r="1862" spans="2:15" x14ac:dyDescent="0.25">
      <c r="B1862" s="1" t="s">
        <v>1520</v>
      </c>
      <c r="C1862" s="2" t="s">
        <v>196</v>
      </c>
      <c r="D1862" s="2" t="s">
        <v>207</v>
      </c>
      <c r="E1862" s="2" t="s">
        <v>208</v>
      </c>
      <c r="F1862" s="3">
        <v>45019</v>
      </c>
      <c r="G1862" s="4">
        <f t="shared" si="210"/>
        <v>4</v>
      </c>
      <c r="H1862" s="4">
        <f t="shared" si="211"/>
        <v>2023</v>
      </c>
      <c r="I1862" s="2" t="s">
        <v>4</v>
      </c>
      <c r="J1862" s="2" t="s">
        <v>2633</v>
      </c>
      <c r="K1862" s="2" t="s">
        <v>205</v>
      </c>
      <c r="L1862" s="2" t="s">
        <v>206</v>
      </c>
      <c r="M1862" s="2" t="s">
        <v>119</v>
      </c>
      <c r="N1862" s="4" t="str">
        <f t="shared" si="212"/>
        <v>TON</v>
      </c>
      <c r="O1862" s="5">
        <v>2.4874999999999998</v>
      </c>
    </row>
    <row r="1863" spans="2:15" x14ac:dyDescent="0.25">
      <c r="B1863" s="1" t="s">
        <v>1520</v>
      </c>
      <c r="C1863" s="2" t="s">
        <v>196</v>
      </c>
      <c r="D1863" s="2" t="s">
        <v>715</v>
      </c>
      <c r="E1863" s="2" t="s">
        <v>1948</v>
      </c>
      <c r="F1863" s="3">
        <v>45019</v>
      </c>
      <c r="G1863" s="4">
        <f t="shared" si="210"/>
        <v>4</v>
      </c>
      <c r="H1863" s="4">
        <f t="shared" si="211"/>
        <v>2023</v>
      </c>
      <c r="I1863" s="2" t="s">
        <v>4</v>
      </c>
      <c r="J1863" s="2" t="s">
        <v>2634</v>
      </c>
      <c r="K1863" s="2" t="s">
        <v>2635</v>
      </c>
      <c r="L1863" s="2" t="s">
        <v>2636</v>
      </c>
      <c r="M1863" s="2" t="s">
        <v>119</v>
      </c>
      <c r="N1863" s="4" t="str">
        <f t="shared" si="212"/>
        <v>TON</v>
      </c>
      <c r="O1863" s="5">
        <v>1.5</v>
      </c>
    </row>
    <row r="1864" spans="2:15" x14ac:dyDescent="0.25">
      <c r="B1864" s="6" t="s">
        <v>1520</v>
      </c>
      <c r="C1864" s="7" t="s">
        <v>196</v>
      </c>
      <c r="D1864" s="8" t="s">
        <v>280</v>
      </c>
      <c r="E1864" s="8" t="s">
        <v>868</v>
      </c>
      <c r="F1864" s="12">
        <v>45019</v>
      </c>
      <c r="G1864" s="10">
        <f t="shared" si="210"/>
        <v>4</v>
      </c>
      <c r="H1864" s="10">
        <f t="shared" si="211"/>
        <v>2023</v>
      </c>
      <c r="I1864" s="8" t="s">
        <v>4</v>
      </c>
      <c r="J1864" s="7" t="s">
        <v>2637</v>
      </c>
      <c r="K1864" s="8" t="s">
        <v>2039</v>
      </c>
      <c r="L1864" s="8" t="s">
        <v>2040</v>
      </c>
      <c r="M1864" s="8" t="s">
        <v>119</v>
      </c>
      <c r="N1864" s="10" t="str">
        <f t="shared" si="212"/>
        <v>TON</v>
      </c>
      <c r="O1864" s="11">
        <v>4.0075000000000003</v>
      </c>
    </row>
    <row r="1865" spans="2:15" x14ac:dyDescent="0.25">
      <c r="B1865" s="1" t="s">
        <v>1520</v>
      </c>
      <c r="C1865" s="2" t="s">
        <v>196</v>
      </c>
      <c r="D1865" s="2" t="s">
        <v>294</v>
      </c>
      <c r="E1865" s="2" t="s">
        <v>295</v>
      </c>
      <c r="F1865" s="3">
        <v>45020</v>
      </c>
      <c r="G1865" s="4">
        <f t="shared" si="210"/>
        <v>4</v>
      </c>
      <c r="H1865" s="4">
        <f t="shared" si="211"/>
        <v>2023</v>
      </c>
      <c r="I1865" s="2" t="s">
        <v>4</v>
      </c>
      <c r="J1865" s="2" t="s">
        <v>2638</v>
      </c>
      <c r="K1865" s="2" t="s">
        <v>122</v>
      </c>
      <c r="L1865" s="2" t="s">
        <v>123</v>
      </c>
      <c r="M1865" s="2" t="s">
        <v>119</v>
      </c>
      <c r="N1865" s="4" t="str">
        <f t="shared" si="212"/>
        <v>TON</v>
      </c>
      <c r="O1865" s="5">
        <v>7.5149999999999997</v>
      </c>
    </row>
    <row r="1866" spans="2:15" x14ac:dyDescent="0.25">
      <c r="B1866" s="1" t="s">
        <v>1520</v>
      </c>
      <c r="C1866" s="2" t="s">
        <v>196</v>
      </c>
      <c r="D1866" s="2" t="s">
        <v>348</v>
      </c>
      <c r="E1866" s="2" t="s">
        <v>349</v>
      </c>
      <c r="F1866" s="3">
        <v>45020</v>
      </c>
      <c r="G1866" s="4">
        <f t="shared" si="210"/>
        <v>4</v>
      </c>
      <c r="H1866" s="4">
        <f t="shared" si="211"/>
        <v>2023</v>
      </c>
      <c r="I1866" s="2" t="s">
        <v>4</v>
      </c>
      <c r="J1866" s="2" t="s">
        <v>2639</v>
      </c>
      <c r="K1866" s="2" t="s">
        <v>823</v>
      </c>
      <c r="L1866" s="2" t="s">
        <v>776</v>
      </c>
      <c r="M1866" s="2" t="s">
        <v>82</v>
      </c>
      <c r="N1866" s="4" t="str">
        <f t="shared" si="212"/>
        <v>GAL</v>
      </c>
      <c r="O1866" s="5">
        <v>250</v>
      </c>
    </row>
    <row r="1867" spans="2:15" x14ac:dyDescent="0.25">
      <c r="B1867" s="1" t="s">
        <v>1520</v>
      </c>
      <c r="C1867" s="2" t="s">
        <v>196</v>
      </c>
      <c r="D1867" s="2" t="s">
        <v>273</v>
      </c>
      <c r="E1867" s="2" t="s">
        <v>274</v>
      </c>
      <c r="F1867" s="3">
        <v>45020</v>
      </c>
      <c r="G1867" s="4">
        <f t="shared" si="210"/>
        <v>4</v>
      </c>
      <c r="H1867" s="4">
        <f t="shared" si="211"/>
        <v>2023</v>
      </c>
      <c r="I1867" s="2" t="s">
        <v>4</v>
      </c>
      <c r="J1867" s="2" t="s">
        <v>2640</v>
      </c>
      <c r="K1867" s="2" t="s">
        <v>384</v>
      </c>
      <c r="L1867" s="2" t="s">
        <v>385</v>
      </c>
      <c r="M1867" s="2" t="s">
        <v>119</v>
      </c>
      <c r="N1867" s="4" t="str">
        <f t="shared" si="212"/>
        <v>TON</v>
      </c>
      <c r="O1867" s="5">
        <v>4.9924999999999997</v>
      </c>
    </row>
    <row r="1868" spans="2:15" x14ac:dyDescent="0.25">
      <c r="B1868" s="1" t="s">
        <v>1520</v>
      </c>
      <c r="C1868" s="2" t="s">
        <v>196</v>
      </c>
      <c r="D1868" s="2" t="s">
        <v>440</v>
      </c>
      <c r="E1868" s="2" t="s">
        <v>1369</v>
      </c>
      <c r="F1868" s="3">
        <v>45020</v>
      </c>
      <c r="G1868" s="4">
        <f t="shared" si="210"/>
        <v>4</v>
      </c>
      <c r="H1868" s="4">
        <f t="shared" si="211"/>
        <v>2023</v>
      </c>
      <c r="I1868" s="2" t="s">
        <v>4</v>
      </c>
      <c r="J1868" s="2" t="s">
        <v>2641</v>
      </c>
      <c r="K1868" s="2" t="s">
        <v>2377</v>
      </c>
      <c r="L1868" s="2" t="s">
        <v>2378</v>
      </c>
      <c r="M1868" s="2" t="s">
        <v>119</v>
      </c>
      <c r="N1868" s="4" t="str">
        <f t="shared" si="212"/>
        <v>TON</v>
      </c>
      <c r="O1868" s="5">
        <v>7.51</v>
      </c>
    </row>
    <row r="1869" spans="2:15" x14ac:dyDescent="0.25">
      <c r="B1869" s="1" t="s">
        <v>1520</v>
      </c>
      <c r="C1869" s="2" t="s">
        <v>196</v>
      </c>
      <c r="D1869" s="2" t="s">
        <v>221</v>
      </c>
      <c r="E1869" s="2" t="s">
        <v>271</v>
      </c>
      <c r="F1869" s="3">
        <v>45020</v>
      </c>
      <c r="G1869" s="4">
        <f t="shared" si="210"/>
        <v>4</v>
      </c>
      <c r="H1869" s="4">
        <f t="shared" si="211"/>
        <v>2023</v>
      </c>
      <c r="I1869" s="2" t="s">
        <v>4</v>
      </c>
      <c r="J1869" s="2" t="s">
        <v>2642</v>
      </c>
      <c r="K1869" s="2" t="s">
        <v>205</v>
      </c>
      <c r="L1869" s="2" t="s">
        <v>206</v>
      </c>
      <c r="M1869" s="2" t="s">
        <v>119</v>
      </c>
      <c r="N1869" s="4" t="str">
        <f t="shared" si="212"/>
        <v>TON</v>
      </c>
      <c r="O1869" s="5">
        <v>4.9974999999999996</v>
      </c>
    </row>
    <row r="1870" spans="2:15" x14ac:dyDescent="0.25">
      <c r="B1870" s="1" t="s">
        <v>1520</v>
      </c>
      <c r="C1870" s="2" t="s">
        <v>196</v>
      </c>
      <c r="D1870" s="2" t="s">
        <v>387</v>
      </c>
      <c r="E1870" s="2" t="s">
        <v>797</v>
      </c>
      <c r="F1870" s="3">
        <v>45020</v>
      </c>
      <c r="G1870" s="4">
        <f t="shared" si="210"/>
        <v>4</v>
      </c>
      <c r="H1870" s="4">
        <f t="shared" si="211"/>
        <v>2023</v>
      </c>
      <c r="I1870" s="2" t="s">
        <v>4</v>
      </c>
      <c r="J1870" s="2" t="s">
        <v>2643</v>
      </c>
      <c r="K1870" s="2" t="s">
        <v>2377</v>
      </c>
      <c r="L1870" s="2" t="s">
        <v>2378</v>
      </c>
      <c r="M1870" s="2" t="s">
        <v>119</v>
      </c>
      <c r="N1870" s="4" t="str">
        <f t="shared" si="212"/>
        <v>TON</v>
      </c>
      <c r="O1870" s="5">
        <v>12.0875</v>
      </c>
    </row>
    <row r="1871" spans="2:15" x14ac:dyDescent="0.25">
      <c r="B1871" s="1" t="s">
        <v>1520</v>
      </c>
      <c r="C1871" s="2" t="s">
        <v>196</v>
      </c>
      <c r="D1871" s="2" t="s">
        <v>270</v>
      </c>
      <c r="E1871" s="2" t="s">
        <v>400</v>
      </c>
      <c r="F1871" s="3">
        <v>45021</v>
      </c>
      <c r="G1871" s="4">
        <f t="shared" si="210"/>
        <v>4</v>
      </c>
      <c r="H1871" s="4">
        <f t="shared" si="211"/>
        <v>2023</v>
      </c>
      <c r="I1871" s="2" t="s">
        <v>4</v>
      </c>
      <c r="J1871" s="2" t="s">
        <v>2644</v>
      </c>
      <c r="K1871" s="2" t="s">
        <v>205</v>
      </c>
      <c r="L1871" s="2" t="s">
        <v>206</v>
      </c>
      <c r="M1871" s="2" t="s">
        <v>119</v>
      </c>
      <c r="N1871" s="4" t="str">
        <f t="shared" si="212"/>
        <v>TON</v>
      </c>
      <c r="O1871" s="5">
        <v>1.25</v>
      </c>
    </row>
    <row r="1872" spans="2:15" x14ac:dyDescent="0.25">
      <c r="B1872" s="1" t="s">
        <v>1520</v>
      </c>
      <c r="C1872" s="2" t="s">
        <v>196</v>
      </c>
      <c r="D1872" s="2" t="s">
        <v>317</v>
      </c>
      <c r="E1872" s="2" t="s">
        <v>319</v>
      </c>
      <c r="F1872" s="3">
        <v>45021</v>
      </c>
      <c r="G1872" s="4">
        <f t="shared" si="210"/>
        <v>4</v>
      </c>
      <c r="H1872" s="4">
        <f t="shared" si="211"/>
        <v>2023</v>
      </c>
      <c r="I1872" s="2" t="s">
        <v>4</v>
      </c>
      <c r="J1872" s="2" t="s">
        <v>2645</v>
      </c>
      <c r="K1872" s="2" t="s">
        <v>2350</v>
      </c>
      <c r="L1872" s="2" t="s">
        <v>2351</v>
      </c>
      <c r="M1872" s="2" t="s">
        <v>119</v>
      </c>
      <c r="N1872" s="4" t="str">
        <f t="shared" si="212"/>
        <v>TON</v>
      </c>
      <c r="O1872" s="5">
        <v>2.4925000000000002</v>
      </c>
    </row>
    <row r="1873" spans="2:15" x14ac:dyDescent="0.25">
      <c r="B1873" s="1" t="s">
        <v>1520</v>
      </c>
      <c r="C1873" s="2" t="s">
        <v>196</v>
      </c>
      <c r="D1873" s="2" t="s">
        <v>270</v>
      </c>
      <c r="E1873" s="2" t="s">
        <v>875</v>
      </c>
      <c r="F1873" s="3">
        <v>45021</v>
      </c>
      <c r="G1873" s="4">
        <f t="shared" si="210"/>
        <v>4</v>
      </c>
      <c r="H1873" s="4">
        <f t="shared" si="211"/>
        <v>2023</v>
      </c>
      <c r="I1873" s="2" t="s">
        <v>4</v>
      </c>
      <c r="J1873" s="2" t="s">
        <v>2646</v>
      </c>
      <c r="K1873" s="2" t="s">
        <v>205</v>
      </c>
      <c r="L1873" s="2" t="s">
        <v>206</v>
      </c>
      <c r="M1873" s="2" t="s">
        <v>119</v>
      </c>
      <c r="N1873" s="4" t="str">
        <f t="shared" si="212"/>
        <v>TON</v>
      </c>
      <c r="O1873" s="5">
        <v>1.25</v>
      </c>
    </row>
    <row r="1874" spans="2:15" x14ac:dyDescent="0.25">
      <c r="B1874" s="1" t="s">
        <v>1520</v>
      </c>
      <c r="C1874" s="2" t="s">
        <v>196</v>
      </c>
      <c r="D1874" s="2" t="s">
        <v>241</v>
      </c>
      <c r="E1874" s="2" t="s">
        <v>242</v>
      </c>
      <c r="F1874" s="3">
        <v>45021</v>
      </c>
      <c r="G1874" s="4">
        <f t="shared" si="210"/>
        <v>4</v>
      </c>
      <c r="H1874" s="4">
        <f t="shared" si="211"/>
        <v>2023</v>
      </c>
      <c r="I1874" s="2" t="s">
        <v>4</v>
      </c>
      <c r="J1874" s="2" t="s">
        <v>2647</v>
      </c>
      <c r="K1874" s="2" t="s">
        <v>260</v>
      </c>
      <c r="L1874" s="2" t="s">
        <v>261</v>
      </c>
      <c r="M1874" s="2" t="s">
        <v>119</v>
      </c>
      <c r="N1874" s="4" t="str">
        <f t="shared" si="212"/>
        <v>TON</v>
      </c>
      <c r="O1874" s="5">
        <v>0.495</v>
      </c>
    </row>
    <row r="1875" spans="2:15" x14ac:dyDescent="0.25">
      <c r="B1875" s="1" t="s">
        <v>1520</v>
      </c>
      <c r="C1875" s="2" t="s">
        <v>196</v>
      </c>
      <c r="D1875" s="2" t="s">
        <v>458</v>
      </c>
      <c r="E1875" s="2" t="s">
        <v>459</v>
      </c>
      <c r="F1875" s="3">
        <v>45021</v>
      </c>
      <c r="G1875" s="4">
        <f t="shared" si="210"/>
        <v>4</v>
      </c>
      <c r="H1875" s="4">
        <f t="shared" si="211"/>
        <v>2023</v>
      </c>
      <c r="I1875" s="2" t="s">
        <v>4</v>
      </c>
      <c r="J1875" s="2" t="s">
        <v>2648</v>
      </c>
      <c r="K1875" s="2" t="s">
        <v>205</v>
      </c>
      <c r="L1875" s="2" t="s">
        <v>206</v>
      </c>
      <c r="M1875" s="2" t="s">
        <v>119</v>
      </c>
      <c r="N1875" s="4" t="str">
        <f t="shared" si="212"/>
        <v>TON</v>
      </c>
      <c r="O1875" s="5">
        <v>2.5049999999999999</v>
      </c>
    </row>
    <row r="1876" spans="2:15" x14ac:dyDescent="0.25">
      <c r="B1876" s="1" t="s">
        <v>1520</v>
      </c>
      <c r="C1876" s="2" t="s">
        <v>196</v>
      </c>
      <c r="D1876" s="2" t="s">
        <v>262</v>
      </c>
      <c r="E1876" s="2" t="s">
        <v>1170</v>
      </c>
      <c r="F1876" s="3">
        <v>45021</v>
      </c>
      <c r="G1876" s="4">
        <f t="shared" si="210"/>
        <v>4</v>
      </c>
      <c r="H1876" s="4">
        <f t="shared" si="211"/>
        <v>2023</v>
      </c>
      <c r="I1876" s="2" t="s">
        <v>4</v>
      </c>
      <c r="J1876" s="2" t="s">
        <v>2649</v>
      </c>
      <c r="K1876" s="2" t="s">
        <v>329</v>
      </c>
      <c r="L1876" s="2" t="s">
        <v>330</v>
      </c>
      <c r="M1876" s="2" t="s">
        <v>119</v>
      </c>
      <c r="N1876" s="4" t="str">
        <f t="shared" si="212"/>
        <v>TON</v>
      </c>
      <c r="O1876" s="5">
        <v>6.5</v>
      </c>
    </row>
    <row r="1877" spans="2:15" x14ac:dyDescent="0.25">
      <c r="B1877" s="1" t="s">
        <v>1520</v>
      </c>
      <c r="C1877" s="2" t="s">
        <v>196</v>
      </c>
      <c r="D1877" s="2" t="s">
        <v>280</v>
      </c>
      <c r="E1877" s="2" t="s">
        <v>254</v>
      </c>
      <c r="F1877" s="3">
        <v>45021</v>
      </c>
      <c r="G1877" s="4">
        <f t="shared" si="210"/>
        <v>4</v>
      </c>
      <c r="H1877" s="4">
        <f t="shared" si="211"/>
        <v>2023</v>
      </c>
      <c r="I1877" s="2" t="s">
        <v>4</v>
      </c>
      <c r="J1877" s="2" t="s">
        <v>2650</v>
      </c>
      <c r="K1877" s="2" t="s">
        <v>2350</v>
      </c>
      <c r="L1877" s="2" t="s">
        <v>2351</v>
      </c>
      <c r="M1877" s="2" t="s">
        <v>119</v>
      </c>
      <c r="N1877" s="4" t="str">
        <f t="shared" si="212"/>
        <v>TON</v>
      </c>
      <c r="O1877" s="5">
        <v>5.0025000000000004</v>
      </c>
    </row>
    <row r="1878" spans="2:15" x14ac:dyDescent="0.25">
      <c r="B1878" s="1" t="s">
        <v>1520</v>
      </c>
      <c r="C1878" s="2" t="s">
        <v>196</v>
      </c>
      <c r="D1878" s="2" t="s">
        <v>270</v>
      </c>
      <c r="E1878" s="2" t="s">
        <v>400</v>
      </c>
      <c r="F1878" s="3">
        <v>45021</v>
      </c>
      <c r="G1878" s="4">
        <f t="shared" si="210"/>
        <v>4</v>
      </c>
      <c r="H1878" s="4">
        <f t="shared" si="211"/>
        <v>2023</v>
      </c>
      <c r="I1878" s="2" t="s">
        <v>4</v>
      </c>
      <c r="J1878" s="2" t="s">
        <v>2651</v>
      </c>
      <c r="K1878" s="2" t="s">
        <v>205</v>
      </c>
      <c r="L1878" s="2" t="s">
        <v>206</v>
      </c>
      <c r="M1878" s="2" t="s">
        <v>119</v>
      </c>
      <c r="N1878" s="4" t="str">
        <f t="shared" si="212"/>
        <v>TON</v>
      </c>
      <c r="O1878" s="5">
        <v>1.25</v>
      </c>
    </row>
    <row r="1879" spans="2:15" x14ac:dyDescent="0.25">
      <c r="B1879" s="1" t="s">
        <v>1520</v>
      </c>
      <c r="C1879" s="2" t="s">
        <v>196</v>
      </c>
      <c r="D1879" s="2" t="s">
        <v>440</v>
      </c>
      <c r="E1879" s="2" t="s">
        <v>1274</v>
      </c>
      <c r="F1879" s="3">
        <v>45021</v>
      </c>
      <c r="G1879" s="4">
        <f t="shared" si="210"/>
        <v>4</v>
      </c>
      <c r="H1879" s="4">
        <f t="shared" si="211"/>
        <v>2023</v>
      </c>
      <c r="I1879" s="2" t="s">
        <v>4</v>
      </c>
      <c r="J1879" s="2" t="s">
        <v>2652</v>
      </c>
      <c r="K1879" s="2" t="s">
        <v>2377</v>
      </c>
      <c r="L1879" s="2" t="s">
        <v>2378</v>
      </c>
      <c r="M1879" s="2" t="s">
        <v>119</v>
      </c>
      <c r="N1879" s="4" t="str">
        <f t="shared" si="212"/>
        <v>TON</v>
      </c>
      <c r="O1879" s="5">
        <v>4.99</v>
      </c>
    </row>
    <row r="1880" spans="2:15" x14ac:dyDescent="0.25">
      <c r="B1880" s="1" t="s">
        <v>1520</v>
      </c>
      <c r="C1880" s="2" t="s">
        <v>196</v>
      </c>
      <c r="D1880" s="2" t="s">
        <v>276</v>
      </c>
      <c r="E1880" s="2" t="s">
        <v>878</v>
      </c>
      <c r="F1880" s="3">
        <v>45021</v>
      </c>
      <c r="G1880" s="4">
        <f t="shared" si="210"/>
        <v>4</v>
      </c>
      <c r="H1880" s="4">
        <f t="shared" si="211"/>
        <v>2023</v>
      </c>
      <c r="I1880" s="2" t="s">
        <v>4</v>
      </c>
      <c r="J1880" s="2" t="s">
        <v>2653</v>
      </c>
      <c r="K1880" s="2" t="s">
        <v>292</v>
      </c>
      <c r="L1880" s="2" t="s">
        <v>293</v>
      </c>
      <c r="M1880" s="2" t="s">
        <v>119</v>
      </c>
      <c r="N1880" s="4" t="str">
        <f t="shared" si="212"/>
        <v>TON</v>
      </c>
      <c r="O1880" s="5">
        <v>6.0025000000000004</v>
      </c>
    </row>
    <row r="1881" spans="2:15" x14ac:dyDescent="0.25">
      <c r="B1881" s="1" t="s">
        <v>1520</v>
      </c>
      <c r="C1881" s="2" t="s">
        <v>196</v>
      </c>
      <c r="D1881" s="2" t="s">
        <v>348</v>
      </c>
      <c r="E1881" s="2" t="s">
        <v>349</v>
      </c>
      <c r="F1881" s="3">
        <v>45022</v>
      </c>
      <c r="G1881" s="4">
        <f t="shared" si="210"/>
        <v>4</v>
      </c>
      <c r="H1881" s="4">
        <f t="shared" si="211"/>
        <v>2023</v>
      </c>
      <c r="I1881" s="2" t="s">
        <v>4</v>
      </c>
      <c r="J1881" s="2" t="s">
        <v>2654</v>
      </c>
      <c r="K1881" s="2" t="s">
        <v>351</v>
      </c>
      <c r="L1881" s="2" t="s">
        <v>352</v>
      </c>
      <c r="M1881" s="2" t="s">
        <v>119</v>
      </c>
      <c r="N1881" s="4" t="str">
        <f t="shared" si="212"/>
        <v>TON</v>
      </c>
      <c r="O1881" s="5">
        <v>1.2549999999999999</v>
      </c>
    </row>
    <row r="1882" spans="2:15" x14ac:dyDescent="0.25">
      <c r="B1882" s="1" t="s">
        <v>1520</v>
      </c>
      <c r="C1882" s="2" t="s">
        <v>196</v>
      </c>
      <c r="D1882" s="2" t="s">
        <v>215</v>
      </c>
      <c r="E1882" s="2" t="s">
        <v>858</v>
      </c>
      <c r="F1882" s="3">
        <v>45022</v>
      </c>
      <c r="G1882" s="4">
        <f t="shared" si="210"/>
        <v>4</v>
      </c>
      <c r="H1882" s="4">
        <f t="shared" si="211"/>
        <v>2023</v>
      </c>
      <c r="I1882" s="2" t="s">
        <v>4</v>
      </c>
      <c r="J1882" s="2" t="s">
        <v>2655</v>
      </c>
      <c r="K1882" s="2" t="s">
        <v>205</v>
      </c>
      <c r="L1882" s="2" t="s">
        <v>206</v>
      </c>
      <c r="M1882" s="2" t="s">
        <v>119</v>
      </c>
      <c r="N1882" s="4" t="str">
        <f t="shared" si="212"/>
        <v>TON</v>
      </c>
      <c r="O1882" s="5">
        <v>3.5074999999999998</v>
      </c>
    </row>
    <row r="1883" spans="2:15" x14ac:dyDescent="0.25">
      <c r="B1883" s="1" t="s">
        <v>1520</v>
      </c>
      <c r="C1883" s="2" t="s">
        <v>196</v>
      </c>
      <c r="D1883" s="2" t="s">
        <v>294</v>
      </c>
      <c r="E1883" s="2" t="s">
        <v>295</v>
      </c>
      <c r="F1883" s="3">
        <v>45022</v>
      </c>
      <c r="G1883" s="4">
        <f t="shared" si="210"/>
        <v>4</v>
      </c>
      <c r="H1883" s="4">
        <f t="shared" si="211"/>
        <v>2023</v>
      </c>
      <c r="I1883" s="2" t="s">
        <v>4</v>
      </c>
      <c r="J1883" s="2" t="s">
        <v>2656</v>
      </c>
      <c r="K1883" s="2" t="s">
        <v>122</v>
      </c>
      <c r="L1883" s="2" t="s">
        <v>123</v>
      </c>
      <c r="M1883" s="2" t="s">
        <v>119</v>
      </c>
      <c r="N1883" s="4" t="str">
        <f t="shared" si="212"/>
        <v>TON</v>
      </c>
      <c r="O1883" s="5">
        <v>7.5225</v>
      </c>
    </row>
    <row r="1884" spans="2:15" x14ac:dyDescent="0.25">
      <c r="B1884" s="1" t="s">
        <v>1520</v>
      </c>
      <c r="C1884" s="2" t="s">
        <v>196</v>
      </c>
      <c r="D1884" s="2" t="s">
        <v>449</v>
      </c>
      <c r="E1884" s="2" t="s">
        <v>450</v>
      </c>
      <c r="F1884" s="3">
        <v>45022</v>
      </c>
      <c r="G1884" s="4">
        <f t="shared" si="210"/>
        <v>4</v>
      </c>
      <c r="H1884" s="4">
        <f t="shared" si="211"/>
        <v>2023</v>
      </c>
      <c r="I1884" s="2" t="s">
        <v>4</v>
      </c>
      <c r="J1884" s="2" t="s">
        <v>2657</v>
      </c>
      <c r="K1884" s="2" t="s">
        <v>205</v>
      </c>
      <c r="L1884" s="2" t="s">
        <v>206</v>
      </c>
      <c r="M1884" s="2" t="s">
        <v>119</v>
      </c>
      <c r="N1884" s="4" t="str">
        <f t="shared" si="212"/>
        <v>TON</v>
      </c>
      <c r="O1884" s="5">
        <v>4.5125000000000002</v>
      </c>
    </row>
    <row r="1885" spans="2:15" x14ac:dyDescent="0.25">
      <c r="B1885" s="1" t="s">
        <v>1520</v>
      </c>
      <c r="C1885" s="2" t="s">
        <v>196</v>
      </c>
      <c r="D1885" s="2" t="s">
        <v>800</v>
      </c>
      <c r="E1885" s="2" t="s">
        <v>1134</v>
      </c>
      <c r="F1885" s="3">
        <v>45022</v>
      </c>
      <c r="G1885" s="4">
        <f t="shared" si="210"/>
        <v>4</v>
      </c>
      <c r="H1885" s="4">
        <f t="shared" si="211"/>
        <v>2023</v>
      </c>
      <c r="I1885" s="2" t="s">
        <v>4</v>
      </c>
      <c r="J1885" s="2" t="s">
        <v>2658</v>
      </c>
      <c r="K1885" s="2" t="s">
        <v>205</v>
      </c>
      <c r="L1885" s="2" t="s">
        <v>206</v>
      </c>
      <c r="M1885" s="2" t="s">
        <v>119</v>
      </c>
      <c r="N1885" s="4" t="str">
        <f t="shared" si="212"/>
        <v>TON</v>
      </c>
      <c r="O1885" s="5">
        <v>2.0024999999999999</v>
      </c>
    </row>
    <row r="1886" spans="2:15" x14ac:dyDescent="0.25">
      <c r="B1886" s="1" t="s">
        <v>1520</v>
      </c>
      <c r="C1886" s="2" t="s">
        <v>196</v>
      </c>
      <c r="D1886" s="2" t="s">
        <v>348</v>
      </c>
      <c r="E1886" s="2" t="s">
        <v>349</v>
      </c>
      <c r="F1886" s="3">
        <v>45022</v>
      </c>
      <c r="G1886" s="4">
        <f t="shared" si="210"/>
        <v>4</v>
      </c>
      <c r="H1886" s="4">
        <f t="shared" si="211"/>
        <v>2023</v>
      </c>
      <c r="I1886" s="2" t="s">
        <v>4</v>
      </c>
      <c r="J1886" s="2" t="s">
        <v>2659</v>
      </c>
      <c r="K1886" s="2" t="s">
        <v>823</v>
      </c>
      <c r="L1886" s="2" t="s">
        <v>776</v>
      </c>
      <c r="M1886" s="2" t="s">
        <v>82</v>
      </c>
      <c r="N1886" s="4" t="str">
        <f t="shared" si="212"/>
        <v>GAL</v>
      </c>
      <c r="O1886" s="5">
        <v>500</v>
      </c>
    </row>
    <row r="1887" spans="2:15" x14ac:dyDescent="0.25">
      <c r="B1887" s="1" t="s">
        <v>1520</v>
      </c>
      <c r="C1887" s="2" t="s">
        <v>196</v>
      </c>
      <c r="D1887" s="2" t="s">
        <v>221</v>
      </c>
      <c r="E1887" s="2" t="s">
        <v>2660</v>
      </c>
      <c r="F1887" s="3">
        <v>45023</v>
      </c>
      <c r="G1887" s="4">
        <f t="shared" si="210"/>
        <v>4</v>
      </c>
      <c r="H1887" s="4">
        <f t="shared" si="211"/>
        <v>2023</v>
      </c>
      <c r="I1887" s="2" t="s">
        <v>4</v>
      </c>
      <c r="J1887" s="2" t="s">
        <v>2661</v>
      </c>
      <c r="K1887" s="2" t="s">
        <v>205</v>
      </c>
      <c r="L1887" s="2" t="s">
        <v>206</v>
      </c>
      <c r="M1887" s="2" t="s">
        <v>119</v>
      </c>
      <c r="N1887" s="4" t="str">
        <f t="shared" si="212"/>
        <v>TON</v>
      </c>
      <c r="O1887" s="5">
        <v>10.0025</v>
      </c>
    </row>
    <row r="1888" spans="2:15" x14ac:dyDescent="0.25">
      <c r="B1888" s="1" t="s">
        <v>1520</v>
      </c>
      <c r="C1888" s="2" t="s">
        <v>196</v>
      </c>
      <c r="D1888" s="2" t="s">
        <v>418</v>
      </c>
      <c r="E1888" s="2" t="s">
        <v>2027</v>
      </c>
      <c r="F1888" s="3">
        <v>45023</v>
      </c>
      <c r="G1888" s="4">
        <f t="shared" si="210"/>
        <v>4</v>
      </c>
      <c r="H1888" s="4">
        <f t="shared" si="211"/>
        <v>2023</v>
      </c>
      <c r="I1888" s="2" t="s">
        <v>4</v>
      </c>
      <c r="J1888" s="2" t="s">
        <v>2662</v>
      </c>
      <c r="K1888" s="2" t="s">
        <v>205</v>
      </c>
      <c r="L1888" s="2" t="s">
        <v>206</v>
      </c>
      <c r="M1888" s="2" t="s">
        <v>119</v>
      </c>
      <c r="N1888" s="4" t="str">
        <f t="shared" si="212"/>
        <v>TON</v>
      </c>
      <c r="O1888" s="5">
        <v>3.5150000000000001</v>
      </c>
    </row>
    <row r="1889" spans="2:15" x14ac:dyDescent="0.25">
      <c r="B1889" s="1" t="s">
        <v>1520</v>
      </c>
      <c r="C1889" s="2" t="s">
        <v>196</v>
      </c>
      <c r="D1889" s="2" t="s">
        <v>197</v>
      </c>
      <c r="E1889" s="2" t="s">
        <v>198</v>
      </c>
      <c r="F1889" s="3">
        <v>45023</v>
      </c>
      <c r="G1889" s="4">
        <f t="shared" si="210"/>
        <v>4</v>
      </c>
      <c r="H1889" s="4">
        <f t="shared" si="211"/>
        <v>2023</v>
      </c>
      <c r="I1889" s="2" t="s">
        <v>4</v>
      </c>
      <c r="J1889" s="2" t="s">
        <v>2663</v>
      </c>
      <c r="K1889" s="2" t="s">
        <v>307</v>
      </c>
      <c r="L1889" s="2" t="s">
        <v>308</v>
      </c>
      <c r="M1889" s="2" t="s">
        <v>119</v>
      </c>
      <c r="N1889" s="4" t="str">
        <f t="shared" si="212"/>
        <v>TON</v>
      </c>
      <c r="O1889" s="5">
        <v>3.5</v>
      </c>
    </row>
    <row r="1890" spans="2:15" x14ac:dyDescent="0.25">
      <c r="B1890" s="1" t="s">
        <v>1520</v>
      </c>
      <c r="C1890" s="2" t="s">
        <v>196</v>
      </c>
      <c r="D1890" s="2" t="s">
        <v>114</v>
      </c>
      <c r="E1890" s="2" t="s">
        <v>369</v>
      </c>
      <c r="F1890" s="3">
        <v>45023</v>
      </c>
      <c r="G1890" s="4">
        <f t="shared" si="210"/>
        <v>4</v>
      </c>
      <c r="H1890" s="4">
        <f t="shared" si="211"/>
        <v>2023</v>
      </c>
      <c r="I1890" s="2" t="s">
        <v>4</v>
      </c>
      <c r="J1890" s="2" t="s">
        <v>2664</v>
      </c>
      <c r="K1890" s="2" t="s">
        <v>2350</v>
      </c>
      <c r="L1890" s="2" t="s">
        <v>2351</v>
      </c>
      <c r="M1890" s="2" t="s">
        <v>119</v>
      </c>
      <c r="N1890" s="4" t="str">
        <f t="shared" si="212"/>
        <v>TON</v>
      </c>
      <c r="O1890" s="5">
        <v>7.5225</v>
      </c>
    </row>
    <row r="1891" spans="2:15" x14ac:dyDescent="0.25">
      <c r="B1891" s="1" t="s">
        <v>1520</v>
      </c>
      <c r="C1891" s="2" t="s">
        <v>196</v>
      </c>
      <c r="D1891" s="2" t="s">
        <v>224</v>
      </c>
      <c r="E1891" s="2" t="s">
        <v>361</v>
      </c>
      <c r="F1891" s="3">
        <v>45023</v>
      </c>
      <c r="G1891" s="4">
        <f t="shared" si="210"/>
        <v>4</v>
      </c>
      <c r="H1891" s="4">
        <f t="shared" si="211"/>
        <v>2023</v>
      </c>
      <c r="I1891" s="2" t="s">
        <v>4</v>
      </c>
      <c r="J1891" s="2" t="s">
        <v>2665</v>
      </c>
      <c r="K1891" s="2" t="s">
        <v>205</v>
      </c>
      <c r="L1891" s="2" t="s">
        <v>206</v>
      </c>
      <c r="M1891" s="2" t="s">
        <v>119</v>
      </c>
      <c r="N1891" s="4" t="str">
        <f t="shared" si="212"/>
        <v>TON</v>
      </c>
      <c r="O1891" s="5">
        <v>4.9974999999999996</v>
      </c>
    </row>
    <row r="1892" spans="2:15" x14ac:dyDescent="0.25">
      <c r="B1892" s="1" t="s">
        <v>645</v>
      </c>
      <c r="C1892" s="2" t="s">
        <v>196</v>
      </c>
      <c r="D1892" s="2" t="s">
        <v>888</v>
      </c>
      <c r="E1892" s="2" t="s">
        <v>888</v>
      </c>
      <c r="F1892" s="3">
        <v>45023</v>
      </c>
      <c r="G1892" s="4">
        <f t="shared" si="210"/>
        <v>4</v>
      </c>
      <c r="H1892" s="4">
        <f t="shared" si="211"/>
        <v>2023</v>
      </c>
      <c r="I1892" s="2" t="s">
        <v>4</v>
      </c>
      <c r="J1892" s="2" t="s">
        <v>2666</v>
      </c>
      <c r="K1892" s="2" t="s">
        <v>268</v>
      </c>
      <c r="L1892" s="2" t="s">
        <v>269</v>
      </c>
      <c r="M1892" s="2" t="s">
        <v>119</v>
      </c>
      <c r="N1892" s="4" t="str">
        <f t="shared" si="212"/>
        <v>TON</v>
      </c>
      <c r="O1892" s="5">
        <v>0.3</v>
      </c>
    </row>
    <row r="1893" spans="2:15" x14ac:dyDescent="0.25">
      <c r="B1893" s="1" t="s">
        <v>645</v>
      </c>
      <c r="C1893" s="2" t="s">
        <v>196</v>
      </c>
      <c r="D1893" s="2" t="s">
        <v>790</v>
      </c>
      <c r="E1893" s="2" t="s">
        <v>791</v>
      </c>
      <c r="F1893" s="3">
        <v>45023</v>
      </c>
      <c r="G1893" s="4">
        <f t="shared" si="210"/>
        <v>4</v>
      </c>
      <c r="H1893" s="4">
        <f t="shared" si="211"/>
        <v>2023</v>
      </c>
      <c r="I1893" s="2" t="s">
        <v>4</v>
      </c>
      <c r="J1893" s="2" t="s">
        <v>2667</v>
      </c>
      <c r="K1893" s="2" t="s">
        <v>2350</v>
      </c>
      <c r="L1893" s="2" t="s">
        <v>2351</v>
      </c>
      <c r="M1893" s="2" t="s">
        <v>119</v>
      </c>
      <c r="N1893" s="4" t="str">
        <f t="shared" si="212"/>
        <v>TON</v>
      </c>
      <c r="O1893" s="5">
        <v>5</v>
      </c>
    </row>
    <row r="1894" spans="2:15" x14ac:dyDescent="0.25">
      <c r="B1894" s="1" t="s">
        <v>1520</v>
      </c>
      <c r="C1894" s="2" t="s">
        <v>196</v>
      </c>
      <c r="D1894" s="2" t="s">
        <v>289</v>
      </c>
      <c r="E1894" s="2" t="s">
        <v>290</v>
      </c>
      <c r="F1894" s="3">
        <v>45023</v>
      </c>
      <c r="G1894" s="4">
        <f t="shared" si="210"/>
        <v>4</v>
      </c>
      <c r="H1894" s="4">
        <f t="shared" si="211"/>
        <v>2023</v>
      </c>
      <c r="I1894" s="2" t="s">
        <v>4</v>
      </c>
      <c r="J1894" s="2" t="s">
        <v>2668</v>
      </c>
      <c r="K1894" s="2" t="s">
        <v>865</v>
      </c>
      <c r="L1894" s="2" t="s">
        <v>866</v>
      </c>
      <c r="M1894" s="2" t="s">
        <v>119</v>
      </c>
      <c r="N1894" s="4" t="str">
        <f t="shared" si="212"/>
        <v>TON</v>
      </c>
      <c r="O1894" s="5">
        <v>1</v>
      </c>
    </row>
    <row r="1895" spans="2:15" x14ac:dyDescent="0.25">
      <c r="B1895" s="1" t="s">
        <v>1520</v>
      </c>
      <c r="C1895" s="2" t="s">
        <v>196</v>
      </c>
      <c r="D1895" s="2" t="s">
        <v>387</v>
      </c>
      <c r="E1895" s="2" t="s">
        <v>797</v>
      </c>
      <c r="F1895" s="3">
        <v>45023</v>
      </c>
      <c r="G1895" s="4">
        <f t="shared" si="210"/>
        <v>4</v>
      </c>
      <c r="H1895" s="4">
        <f t="shared" si="211"/>
        <v>2023</v>
      </c>
      <c r="I1895" s="2" t="s">
        <v>4</v>
      </c>
      <c r="J1895" s="2" t="s">
        <v>2669</v>
      </c>
      <c r="K1895" s="2" t="s">
        <v>2377</v>
      </c>
      <c r="L1895" s="2" t="s">
        <v>2378</v>
      </c>
      <c r="M1895" s="2" t="s">
        <v>119</v>
      </c>
      <c r="N1895" s="4" t="str">
        <f t="shared" si="212"/>
        <v>TON</v>
      </c>
      <c r="O1895" s="5">
        <v>8</v>
      </c>
    </row>
    <row r="1896" spans="2:15" x14ac:dyDescent="0.25">
      <c r="B1896" s="1" t="s">
        <v>1520</v>
      </c>
      <c r="C1896" s="2" t="s">
        <v>196</v>
      </c>
      <c r="D1896" s="2" t="s">
        <v>299</v>
      </c>
      <c r="E1896" s="2" t="s">
        <v>1140</v>
      </c>
      <c r="F1896" s="3">
        <v>45023</v>
      </c>
      <c r="G1896" s="4">
        <f t="shared" si="210"/>
        <v>4</v>
      </c>
      <c r="H1896" s="4">
        <f t="shared" si="211"/>
        <v>2023</v>
      </c>
      <c r="I1896" s="2" t="s">
        <v>4</v>
      </c>
      <c r="J1896" s="2" t="s">
        <v>2670</v>
      </c>
      <c r="K1896" s="2" t="s">
        <v>2350</v>
      </c>
      <c r="L1896" s="2" t="s">
        <v>2351</v>
      </c>
      <c r="M1896" s="2" t="s">
        <v>119</v>
      </c>
      <c r="N1896" s="4" t="str">
        <f t="shared" si="212"/>
        <v>TON</v>
      </c>
      <c r="O1896" s="5">
        <v>6.0374999999999996</v>
      </c>
    </row>
    <row r="1897" spans="2:15" x14ac:dyDescent="0.25">
      <c r="B1897" s="1" t="s">
        <v>1520</v>
      </c>
      <c r="C1897" s="2" t="s">
        <v>196</v>
      </c>
      <c r="D1897" s="2" t="s">
        <v>1276</v>
      </c>
      <c r="E1897" s="2" t="s">
        <v>1277</v>
      </c>
      <c r="F1897" s="3">
        <v>45026</v>
      </c>
      <c r="G1897" s="4">
        <f t="shared" si="210"/>
        <v>4</v>
      </c>
      <c r="H1897" s="4">
        <f t="shared" si="211"/>
        <v>2023</v>
      </c>
      <c r="I1897" s="2" t="s">
        <v>4</v>
      </c>
      <c r="J1897" s="2" t="s">
        <v>2671</v>
      </c>
      <c r="K1897" s="2" t="s">
        <v>2350</v>
      </c>
      <c r="L1897" s="2" t="s">
        <v>2351</v>
      </c>
      <c r="M1897" s="2" t="s">
        <v>119</v>
      </c>
      <c r="N1897" s="4" t="str">
        <f t="shared" si="212"/>
        <v>TON</v>
      </c>
      <c r="O1897" s="5">
        <v>2.4550000000000001</v>
      </c>
    </row>
    <row r="1898" spans="2:15" x14ac:dyDescent="0.25">
      <c r="B1898" s="1" t="s">
        <v>1520</v>
      </c>
      <c r="C1898" s="2" t="s">
        <v>196</v>
      </c>
      <c r="D1898" s="2" t="s">
        <v>114</v>
      </c>
      <c r="E1898" s="2" t="s">
        <v>927</v>
      </c>
      <c r="F1898" s="3">
        <v>45026</v>
      </c>
      <c r="G1898" s="4">
        <f t="shared" si="210"/>
        <v>4</v>
      </c>
      <c r="H1898" s="4">
        <f t="shared" si="211"/>
        <v>2023</v>
      </c>
      <c r="I1898" s="2" t="s">
        <v>4</v>
      </c>
      <c r="J1898" s="2" t="s">
        <v>2672</v>
      </c>
      <c r="K1898" s="2" t="s">
        <v>2350</v>
      </c>
      <c r="L1898" s="2" t="s">
        <v>2351</v>
      </c>
      <c r="M1898" s="2" t="s">
        <v>119</v>
      </c>
      <c r="N1898" s="4" t="str">
        <f t="shared" si="212"/>
        <v>TON</v>
      </c>
      <c r="O1898" s="5">
        <v>2.5</v>
      </c>
    </row>
    <row r="1899" spans="2:15" x14ac:dyDescent="0.25">
      <c r="B1899" s="1" t="s">
        <v>1520</v>
      </c>
      <c r="C1899" s="2" t="s">
        <v>196</v>
      </c>
      <c r="D1899" s="2" t="s">
        <v>114</v>
      </c>
      <c r="E1899" s="2" t="s">
        <v>491</v>
      </c>
      <c r="F1899" s="3">
        <v>45026</v>
      </c>
      <c r="G1899" s="4">
        <f t="shared" si="210"/>
        <v>4</v>
      </c>
      <c r="H1899" s="4">
        <f t="shared" si="211"/>
        <v>2023</v>
      </c>
      <c r="I1899" s="2" t="s">
        <v>4</v>
      </c>
      <c r="J1899" s="2" t="s">
        <v>2673</v>
      </c>
      <c r="K1899" s="2" t="s">
        <v>2350</v>
      </c>
      <c r="L1899" s="2" t="s">
        <v>2351</v>
      </c>
      <c r="M1899" s="2" t="s">
        <v>119</v>
      </c>
      <c r="N1899" s="4" t="str">
        <f t="shared" si="212"/>
        <v>TON</v>
      </c>
      <c r="O1899" s="5">
        <v>1.9824999999999999</v>
      </c>
    </row>
    <row r="1900" spans="2:15" x14ac:dyDescent="0.25">
      <c r="B1900" s="1" t="s">
        <v>1520</v>
      </c>
      <c r="C1900" s="2" t="s">
        <v>196</v>
      </c>
      <c r="D1900" s="2" t="s">
        <v>800</v>
      </c>
      <c r="E1900" s="2" t="s">
        <v>801</v>
      </c>
      <c r="F1900" s="3">
        <v>45026</v>
      </c>
      <c r="G1900" s="4">
        <f t="shared" si="210"/>
        <v>4</v>
      </c>
      <c r="H1900" s="4">
        <f t="shared" si="211"/>
        <v>2023</v>
      </c>
      <c r="I1900" s="2" t="s">
        <v>4</v>
      </c>
      <c r="J1900" s="2" t="s">
        <v>2674</v>
      </c>
      <c r="K1900" s="2" t="s">
        <v>205</v>
      </c>
      <c r="L1900" s="2" t="s">
        <v>206</v>
      </c>
      <c r="M1900" s="2" t="s">
        <v>119</v>
      </c>
      <c r="N1900" s="4" t="str">
        <f t="shared" si="212"/>
        <v>TON</v>
      </c>
      <c r="O1900" s="5">
        <v>2.76</v>
      </c>
    </row>
    <row r="1901" spans="2:15" x14ac:dyDescent="0.25">
      <c r="B1901" s="1" t="s">
        <v>1520</v>
      </c>
      <c r="C1901" s="2" t="s">
        <v>196</v>
      </c>
      <c r="D1901" s="2" t="s">
        <v>215</v>
      </c>
      <c r="E1901" s="2" t="s">
        <v>315</v>
      </c>
      <c r="F1901" s="3">
        <v>45026</v>
      </c>
      <c r="G1901" s="4">
        <f t="shared" si="210"/>
        <v>4</v>
      </c>
      <c r="H1901" s="4">
        <f t="shared" si="211"/>
        <v>2023</v>
      </c>
      <c r="I1901" s="2" t="s">
        <v>4</v>
      </c>
      <c r="J1901" s="2" t="s">
        <v>2675</v>
      </c>
      <c r="K1901" s="2" t="s">
        <v>205</v>
      </c>
      <c r="L1901" s="2" t="s">
        <v>206</v>
      </c>
      <c r="M1901" s="2" t="s">
        <v>119</v>
      </c>
      <c r="N1901" s="4" t="str">
        <f t="shared" si="212"/>
        <v>TON</v>
      </c>
      <c r="O1901" s="5">
        <v>3.9950000000000001</v>
      </c>
    </row>
    <row r="1902" spans="2:15" x14ac:dyDescent="0.25">
      <c r="B1902" s="1" t="s">
        <v>1520</v>
      </c>
      <c r="C1902" s="2" t="s">
        <v>196</v>
      </c>
      <c r="D1902" s="2" t="s">
        <v>276</v>
      </c>
      <c r="E1902" s="2" t="s">
        <v>682</v>
      </c>
      <c r="F1902" s="3">
        <v>45026</v>
      </c>
      <c r="G1902" s="4">
        <f t="shared" si="210"/>
        <v>4</v>
      </c>
      <c r="H1902" s="4">
        <f t="shared" si="211"/>
        <v>2023</v>
      </c>
      <c r="I1902" s="2" t="s">
        <v>4</v>
      </c>
      <c r="J1902" s="2" t="s">
        <v>2676</v>
      </c>
      <c r="K1902" s="2" t="s">
        <v>205</v>
      </c>
      <c r="L1902" s="2" t="s">
        <v>206</v>
      </c>
      <c r="M1902" s="2" t="s">
        <v>119</v>
      </c>
      <c r="N1902" s="4" t="str">
        <f t="shared" si="212"/>
        <v>TON</v>
      </c>
      <c r="O1902" s="5">
        <v>8.0024999999999995</v>
      </c>
    </row>
    <row r="1903" spans="2:15" x14ac:dyDescent="0.25">
      <c r="B1903" s="1" t="s">
        <v>1520</v>
      </c>
      <c r="C1903" s="2" t="s">
        <v>196</v>
      </c>
      <c r="D1903" s="2" t="s">
        <v>203</v>
      </c>
      <c r="E1903" s="2" t="s">
        <v>102</v>
      </c>
      <c r="F1903" s="3">
        <v>45027</v>
      </c>
      <c r="G1903" s="4">
        <f t="shared" si="210"/>
        <v>4</v>
      </c>
      <c r="H1903" s="4">
        <f t="shared" si="211"/>
        <v>2023</v>
      </c>
      <c r="I1903" s="2" t="s">
        <v>4</v>
      </c>
      <c r="J1903" s="2" t="s">
        <v>2677</v>
      </c>
      <c r="K1903" s="2" t="s">
        <v>205</v>
      </c>
      <c r="L1903" s="2" t="s">
        <v>206</v>
      </c>
      <c r="M1903" s="2" t="s">
        <v>119</v>
      </c>
      <c r="N1903" s="4" t="str">
        <f t="shared" si="212"/>
        <v>TON</v>
      </c>
      <c r="O1903" s="5">
        <v>0.5</v>
      </c>
    </row>
    <row r="1904" spans="2:15" x14ac:dyDescent="0.25">
      <c r="B1904" s="1" t="s">
        <v>1520</v>
      </c>
      <c r="C1904" s="2" t="s">
        <v>196</v>
      </c>
      <c r="D1904" s="2" t="s">
        <v>321</v>
      </c>
      <c r="E1904" s="2" t="s">
        <v>392</v>
      </c>
      <c r="F1904" s="3">
        <v>45027</v>
      </c>
      <c r="G1904" s="4">
        <f t="shared" si="210"/>
        <v>4</v>
      </c>
      <c r="H1904" s="4">
        <f t="shared" si="211"/>
        <v>2023</v>
      </c>
      <c r="I1904" s="2" t="s">
        <v>4</v>
      </c>
      <c r="J1904" s="2" t="s">
        <v>2678</v>
      </c>
      <c r="K1904" s="2" t="s">
        <v>394</v>
      </c>
      <c r="L1904" s="2" t="s">
        <v>395</v>
      </c>
      <c r="M1904" s="2" t="s">
        <v>119</v>
      </c>
      <c r="N1904" s="4" t="str">
        <f t="shared" si="212"/>
        <v>TON</v>
      </c>
      <c r="O1904" s="5">
        <v>2.5</v>
      </c>
    </row>
    <row r="1905" spans="2:15" x14ac:dyDescent="0.25">
      <c r="B1905" s="1" t="s">
        <v>1520</v>
      </c>
      <c r="C1905" s="2" t="s">
        <v>196</v>
      </c>
      <c r="D1905" s="2" t="s">
        <v>374</v>
      </c>
      <c r="E1905" s="2" t="s">
        <v>375</v>
      </c>
      <c r="F1905" s="3">
        <v>45027</v>
      </c>
      <c r="G1905" s="4">
        <f t="shared" si="210"/>
        <v>4</v>
      </c>
      <c r="H1905" s="4">
        <f t="shared" si="211"/>
        <v>2023</v>
      </c>
      <c r="I1905" s="2" t="s">
        <v>4</v>
      </c>
      <c r="J1905" s="2" t="s">
        <v>2679</v>
      </c>
      <c r="K1905" s="2" t="s">
        <v>329</v>
      </c>
      <c r="L1905" s="2" t="s">
        <v>330</v>
      </c>
      <c r="M1905" s="2" t="s">
        <v>119</v>
      </c>
      <c r="N1905" s="4" t="str">
        <f t="shared" si="212"/>
        <v>TON</v>
      </c>
      <c r="O1905" s="5">
        <v>11</v>
      </c>
    </row>
    <row r="1906" spans="2:15" x14ac:dyDescent="0.25">
      <c r="B1906" s="1" t="s">
        <v>1520</v>
      </c>
      <c r="C1906" s="2" t="s">
        <v>196</v>
      </c>
      <c r="D1906" s="2" t="s">
        <v>210</v>
      </c>
      <c r="E1906" s="2" t="s">
        <v>827</v>
      </c>
      <c r="F1906" s="3">
        <v>45027</v>
      </c>
      <c r="G1906" s="4">
        <f t="shared" si="210"/>
        <v>4</v>
      </c>
      <c r="H1906" s="4">
        <f t="shared" si="211"/>
        <v>2023</v>
      </c>
      <c r="I1906" s="2" t="s">
        <v>4</v>
      </c>
      <c r="J1906" s="2" t="s">
        <v>2680</v>
      </c>
      <c r="K1906" s="2" t="s">
        <v>351</v>
      </c>
      <c r="L1906" s="2" t="s">
        <v>352</v>
      </c>
      <c r="M1906" s="2" t="s">
        <v>119</v>
      </c>
      <c r="N1906" s="4" t="str">
        <f t="shared" si="212"/>
        <v>TON</v>
      </c>
      <c r="O1906" s="5">
        <v>15.03</v>
      </c>
    </row>
    <row r="1907" spans="2:15" x14ac:dyDescent="0.25">
      <c r="B1907" s="1" t="s">
        <v>1520</v>
      </c>
      <c r="C1907" s="2" t="s">
        <v>196</v>
      </c>
      <c r="D1907" s="2" t="s">
        <v>440</v>
      </c>
      <c r="E1907" s="2" t="s">
        <v>441</v>
      </c>
      <c r="F1907" s="3">
        <v>45027</v>
      </c>
      <c r="G1907" s="4">
        <f t="shared" si="210"/>
        <v>4</v>
      </c>
      <c r="H1907" s="4">
        <f t="shared" si="211"/>
        <v>2023</v>
      </c>
      <c r="I1907" s="2" t="s">
        <v>4</v>
      </c>
      <c r="J1907" s="2" t="s">
        <v>2681</v>
      </c>
      <c r="K1907" s="2" t="s">
        <v>2682</v>
      </c>
      <c r="L1907" s="2" t="s">
        <v>2683</v>
      </c>
      <c r="M1907" s="2" t="s">
        <v>119</v>
      </c>
      <c r="N1907" s="4" t="str">
        <f t="shared" si="212"/>
        <v>TON</v>
      </c>
      <c r="O1907" s="5">
        <v>7.5125000000000002</v>
      </c>
    </row>
    <row r="1908" spans="2:15" x14ac:dyDescent="0.25">
      <c r="B1908" s="1" t="s">
        <v>1520</v>
      </c>
      <c r="C1908" s="2" t="s">
        <v>196</v>
      </c>
      <c r="D1908" s="2" t="s">
        <v>374</v>
      </c>
      <c r="E1908" s="2" t="s">
        <v>717</v>
      </c>
      <c r="F1908" s="3">
        <v>45027</v>
      </c>
      <c r="G1908" s="4">
        <f t="shared" si="210"/>
        <v>4</v>
      </c>
      <c r="H1908" s="4">
        <f t="shared" si="211"/>
        <v>2023</v>
      </c>
      <c r="I1908" s="2" t="s">
        <v>4</v>
      </c>
      <c r="J1908" s="2" t="s">
        <v>2684</v>
      </c>
      <c r="K1908" s="2" t="s">
        <v>329</v>
      </c>
      <c r="L1908" s="2" t="s">
        <v>330</v>
      </c>
      <c r="M1908" s="2" t="s">
        <v>119</v>
      </c>
      <c r="N1908" s="4" t="str">
        <f t="shared" si="212"/>
        <v>TON</v>
      </c>
      <c r="O1908" s="5">
        <v>9</v>
      </c>
    </row>
    <row r="1909" spans="2:15" x14ac:dyDescent="0.25">
      <c r="B1909" s="1" t="s">
        <v>1520</v>
      </c>
      <c r="C1909" s="2" t="s">
        <v>196</v>
      </c>
      <c r="D1909" s="2" t="s">
        <v>387</v>
      </c>
      <c r="E1909" s="2" t="s">
        <v>797</v>
      </c>
      <c r="F1909" s="3">
        <v>45027</v>
      </c>
      <c r="G1909" s="4">
        <f t="shared" si="210"/>
        <v>4</v>
      </c>
      <c r="H1909" s="4">
        <f t="shared" si="211"/>
        <v>2023</v>
      </c>
      <c r="I1909" s="2" t="s">
        <v>4</v>
      </c>
      <c r="J1909" s="2" t="s">
        <v>2685</v>
      </c>
      <c r="K1909" s="2" t="s">
        <v>2682</v>
      </c>
      <c r="L1909" s="2" t="s">
        <v>2683</v>
      </c>
      <c r="M1909" s="2" t="s">
        <v>119</v>
      </c>
      <c r="N1909" s="4" t="str">
        <f t="shared" si="212"/>
        <v>TON</v>
      </c>
      <c r="O1909" s="5">
        <v>10.01</v>
      </c>
    </row>
    <row r="1910" spans="2:15" x14ac:dyDescent="0.25">
      <c r="B1910" s="1" t="s">
        <v>1520</v>
      </c>
      <c r="C1910" s="2" t="s">
        <v>196</v>
      </c>
      <c r="D1910" s="2" t="s">
        <v>238</v>
      </c>
      <c r="E1910" s="2" t="s">
        <v>2686</v>
      </c>
      <c r="F1910" s="3">
        <v>45028</v>
      </c>
      <c r="G1910" s="4">
        <f t="shared" si="210"/>
        <v>4</v>
      </c>
      <c r="H1910" s="4">
        <f t="shared" si="211"/>
        <v>2023</v>
      </c>
      <c r="I1910" s="2" t="s">
        <v>4</v>
      </c>
      <c r="J1910" s="2" t="s">
        <v>2687</v>
      </c>
      <c r="K1910" s="2" t="s">
        <v>205</v>
      </c>
      <c r="L1910" s="2" t="s">
        <v>206</v>
      </c>
      <c r="M1910" s="2" t="s">
        <v>119</v>
      </c>
      <c r="N1910" s="4" t="str">
        <f t="shared" si="212"/>
        <v>TON</v>
      </c>
      <c r="O1910" s="5">
        <v>11.0175</v>
      </c>
    </row>
    <row r="1911" spans="2:15" x14ac:dyDescent="0.25">
      <c r="B1911" s="1" t="s">
        <v>1520</v>
      </c>
      <c r="C1911" s="2" t="s">
        <v>196</v>
      </c>
      <c r="D1911" s="2" t="s">
        <v>215</v>
      </c>
      <c r="E1911" s="2" t="s">
        <v>701</v>
      </c>
      <c r="F1911" s="3">
        <v>45028</v>
      </c>
      <c r="G1911" s="4">
        <f t="shared" si="210"/>
        <v>4</v>
      </c>
      <c r="H1911" s="4">
        <f t="shared" si="211"/>
        <v>2023</v>
      </c>
      <c r="I1911" s="2" t="s">
        <v>4</v>
      </c>
      <c r="J1911" s="2" t="s">
        <v>2688</v>
      </c>
      <c r="K1911" s="2" t="s">
        <v>205</v>
      </c>
      <c r="L1911" s="2" t="s">
        <v>206</v>
      </c>
      <c r="M1911" s="2" t="s">
        <v>119</v>
      </c>
      <c r="N1911" s="4" t="str">
        <f t="shared" si="212"/>
        <v>TON</v>
      </c>
      <c r="O1911" s="5">
        <v>6</v>
      </c>
    </row>
    <row r="1912" spans="2:15" x14ac:dyDescent="0.25">
      <c r="B1912" s="1" t="s">
        <v>1520</v>
      </c>
      <c r="C1912" s="2" t="s">
        <v>196</v>
      </c>
      <c r="D1912" s="2" t="s">
        <v>215</v>
      </c>
      <c r="E1912" s="2" t="s">
        <v>313</v>
      </c>
      <c r="F1912" s="3">
        <v>45028</v>
      </c>
      <c r="G1912" s="4">
        <f t="shared" si="210"/>
        <v>4</v>
      </c>
      <c r="H1912" s="4">
        <f t="shared" si="211"/>
        <v>2023</v>
      </c>
      <c r="I1912" s="2" t="s">
        <v>4</v>
      </c>
      <c r="J1912" s="2" t="s">
        <v>2689</v>
      </c>
      <c r="K1912" s="2" t="s">
        <v>329</v>
      </c>
      <c r="L1912" s="2" t="s">
        <v>330</v>
      </c>
      <c r="M1912" s="2" t="s">
        <v>119</v>
      </c>
      <c r="N1912" s="4" t="str">
        <f t="shared" si="212"/>
        <v>TON</v>
      </c>
      <c r="O1912" s="5">
        <v>3.5</v>
      </c>
    </row>
    <row r="1913" spans="2:15" x14ac:dyDescent="0.25">
      <c r="B1913" s="1" t="s">
        <v>1520</v>
      </c>
      <c r="C1913" s="2" t="s">
        <v>196</v>
      </c>
      <c r="D1913" s="2" t="s">
        <v>207</v>
      </c>
      <c r="E1913" s="2" t="s">
        <v>208</v>
      </c>
      <c r="F1913" s="3">
        <v>45028</v>
      </c>
      <c r="G1913" s="4">
        <f t="shared" si="210"/>
        <v>4</v>
      </c>
      <c r="H1913" s="4">
        <f t="shared" si="211"/>
        <v>2023</v>
      </c>
      <c r="I1913" s="2" t="s">
        <v>4</v>
      </c>
      <c r="J1913" s="2" t="s">
        <v>2690</v>
      </c>
      <c r="K1913" s="2" t="s">
        <v>205</v>
      </c>
      <c r="L1913" s="2" t="s">
        <v>206</v>
      </c>
      <c r="M1913" s="2" t="s">
        <v>119</v>
      </c>
      <c r="N1913" s="4" t="str">
        <f t="shared" si="212"/>
        <v>TON</v>
      </c>
      <c r="O1913" s="5">
        <v>1.2549999999999999</v>
      </c>
    </row>
    <row r="1914" spans="2:15" x14ac:dyDescent="0.25">
      <c r="B1914" s="1" t="s">
        <v>1520</v>
      </c>
      <c r="C1914" s="2" t="s">
        <v>196</v>
      </c>
      <c r="D1914" s="2" t="s">
        <v>289</v>
      </c>
      <c r="E1914" s="2" t="s">
        <v>2380</v>
      </c>
      <c r="F1914" s="3">
        <v>45028</v>
      </c>
      <c r="G1914" s="4">
        <f t="shared" si="210"/>
        <v>4</v>
      </c>
      <c r="H1914" s="4">
        <f t="shared" si="211"/>
        <v>2023</v>
      </c>
      <c r="I1914" s="2" t="s">
        <v>4</v>
      </c>
      <c r="J1914" s="2" t="s">
        <v>2691</v>
      </c>
      <c r="K1914" s="2" t="s">
        <v>292</v>
      </c>
      <c r="L1914" s="2" t="s">
        <v>293</v>
      </c>
      <c r="M1914" s="2" t="s">
        <v>119</v>
      </c>
      <c r="N1914" s="4" t="str">
        <f t="shared" si="212"/>
        <v>TON</v>
      </c>
      <c r="O1914" s="5">
        <v>1</v>
      </c>
    </row>
    <row r="1915" spans="2:15" x14ac:dyDescent="0.25">
      <c r="B1915" s="1" t="s">
        <v>1520</v>
      </c>
      <c r="C1915" s="2" t="s">
        <v>196</v>
      </c>
      <c r="D1915" s="2" t="s">
        <v>374</v>
      </c>
      <c r="E1915" s="2" t="s">
        <v>379</v>
      </c>
      <c r="F1915" s="3">
        <v>45028</v>
      </c>
      <c r="G1915" s="4">
        <f t="shared" si="210"/>
        <v>4</v>
      </c>
      <c r="H1915" s="4">
        <f t="shared" si="211"/>
        <v>2023</v>
      </c>
      <c r="I1915" s="2" t="s">
        <v>4</v>
      </c>
      <c r="J1915" s="2" t="s">
        <v>2692</v>
      </c>
      <c r="K1915" s="2" t="s">
        <v>329</v>
      </c>
      <c r="L1915" s="2" t="s">
        <v>330</v>
      </c>
      <c r="M1915" s="2" t="s">
        <v>119</v>
      </c>
      <c r="N1915" s="4" t="str">
        <f t="shared" si="212"/>
        <v>TON</v>
      </c>
      <c r="O1915" s="5">
        <v>8.0075000000000003</v>
      </c>
    </row>
    <row r="1916" spans="2:15" x14ac:dyDescent="0.25">
      <c r="B1916" s="1" t="s">
        <v>1520</v>
      </c>
      <c r="C1916" s="2" t="s">
        <v>196</v>
      </c>
      <c r="D1916" s="2" t="s">
        <v>452</v>
      </c>
      <c r="E1916" s="2" t="s">
        <v>453</v>
      </c>
      <c r="F1916" s="3">
        <v>45028</v>
      </c>
      <c r="G1916" s="4">
        <f t="shared" si="210"/>
        <v>4</v>
      </c>
      <c r="H1916" s="4">
        <f t="shared" si="211"/>
        <v>2023</v>
      </c>
      <c r="I1916" s="2" t="s">
        <v>4</v>
      </c>
      <c r="J1916" s="2" t="s">
        <v>2693</v>
      </c>
      <c r="K1916" s="2" t="s">
        <v>205</v>
      </c>
      <c r="L1916" s="2" t="s">
        <v>206</v>
      </c>
      <c r="M1916" s="2" t="s">
        <v>119</v>
      </c>
      <c r="N1916" s="4" t="str">
        <f t="shared" si="212"/>
        <v>TON</v>
      </c>
      <c r="O1916" s="5">
        <v>3.5125000000000002</v>
      </c>
    </row>
    <row r="1917" spans="2:15" x14ac:dyDescent="0.25">
      <c r="B1917" s="1" t="s">
        <v>1520</v>
      </c>
      <c r="C1917" s="2" t="s">
        <v>196</v>
      </c>
      <c r="D1917" s="2" t="s">
        <v>884</v>
      </c>
      <c r="E1917" s="2" t="s">
        <v>141</v>
      </c>
      <c r="F1917" s="3">
        <v>45028</v>
      </c>
      <c r="G1917" s="4">
        <f t="shared" si="210"/>
        <v>4</v>
      </c>
      <c r="H1917" s="4">
        <f t="shared" si="211"/>
        <v>2023</v>
      </c>
      <c r="I1917" s="2" t="s">
        <v>4</v>
      </c>
      <c r="J1917" s="2" t="s">
        <v>2694</v>
      </c>
      <c r="K1917" s="2" t="s">
        <v>205</v>
      </c>
      <c r="L1917" s="2" t="s">
        <v>206</v>
      </c>
      <c r="M1917" s="2" t="s">
        <v>119</v>
      </c>
      <c r="N1917" s="4" t="str">
        <f t="shared" si="212"/>
        <v>TON</v>
      </c>
      <c r="O1917" s="5">
        <v>3.75</v>
      </c>
    </row>
    <row r="1918" spans="2:15" x14ac:dyDescent="0.25">
      <c r="B1918" s="1" t="s">
        <v>1520</v>
      </c>
      <c r="C1918" s="2" t="s">
        <v>196</v>
      </c>
      <c r="D1918" s="2" t="s">
        <v>800</v>
      </c>
      <c r="E1918" s="2" t="s">
        <v>907</v>
      </c>
      <c r="F1918" s="3">
        <v>45029</v>
      </c>
      <c r="G1918" s="4">
        <f t="shared" si="210"/>
        <v>4</v>
      </c>
      <c r="H1918" s="4">
        <f t="shared" si="211"/>
        <v>2023</v>
      </c>
      <c r="I1918" s="2" t="s">
        <v>4</v>
      </c>
      <c r="J1918" s="2" t="s">
        <v>2695</v>
      </c>
      <c r="K1918" s="2" t="s">
        <v>205</v>
      </c>
      <c r="L1918" s="2" t="s">
        <v>206</v>
      </c>
      <c r="M1918" s="2" t="s">
        <v>119</v>
      </c>
      <c r="N1918" s="4" t="str">
        <f t="shared" si="212"/>
        <v>TON</v>
      </c>
      <c r="O1918" s="5">
        <v>2.4950000000000001</v>
      </c>
    </row>
    <row r="1919" spans="2:15" x14ac:dyDescent="0.25">
      <c r="B1919" s="1" t="s">
        <v>1520</v>
      </c>
      <c r="C1919" s="2" t="s">
        <v>196</v>
      </c>
      <c r="D1919" s="2" t="s">
        <v>317</v>
      </c>
      <c r="E1919" s="2" t="s">
        <v>829</v>
      </c>
      <c r="F1919" s="3">
        <v>45029</v>
      </c>
      <c r="G1919" s="4">
        <f t="shared" si="210"/>
        <v>4</v>
      </c>
      <c r="H1919" s="4">
        <f t="shared" si="211"/>
        <v>2023</v>
      </c>
      <c r="I1919" s="2" t="s">
        <v>4</v>
      </c>
      <c r="J1919" s="2" t="s">
        <v>2696</v>
      </c>
      <c r="K1919" s="2" t="s">
        <v>2350</v>
      </c>
      <c r="L1919" s="2" t="s">
        <v>2351</v>
      </c>
      <c r="M1919" s="2" t="s">
        <v>119</v>
      </c>
      <c r="N1919" s="4" t="str">
        <f t="shared" si="212"/>
        <v>TON</v>
      </c>
      <c r="O1919" s="5">
        <v>11.805</v>
      </c>
    </row>
    <row r="1920" spans="2:15" x14ac:dyDescent="0.25">
      <c r="B1920" s="1" t="s">
        <v>1520</v>
      </c>
      <c r="C1920" s="2" t="s">
        <v>196</v>
      </c>
      <c r="D1920" s="2" t="s">
        <v>663</v>
      </c>
      <c r="E1920" s="2" t="s">
        <v>222</v>
      </c>
      <c r="F1920" s="3">
        <v>45029</v>
      </c>
      <c r="G1920" s="4">
        <f t="shared" si="210"/>
        <v>4</v>
      </c>
      <c r="H1920" s="4">
        <f t="shared" si="211"/>
        <v>2023</v>
      </c>
      <c r="I1920" s="2" t="s">
        <v>4</v>
      </c>
      <c r="J1920" s="2" t="s">
        <v>2697</v>
      </c>
      <c r="K1920" s="2" t="s">
        <v>2698</v>
      </c>
      <c r="L1920" s="2" t="s">
        <v>2699</v>
      </c>
      <c r="M1920" s="2" t="s">
        <v>119</v>
      </c>
      <c r="N1920" s="4" t="str">
        <f t="shared" si="212"/>
        <v>TON</v>
      </c>
      <c r="O1920" s="5">
        <v>1.25</v>
      </c>
    </row>
    <row r="1921" spans="2:15" x14ac:dyDescent="0.25">
      <c r="B1921" s="1" t="s">
        <v>1520</v>
      </c>
      <c r="C1921" s="2" t="s">
        <v>196</v>
      </c>
      <c r="D1921" s="2" t="s">
        <v>215</v>
      </c>
      <c r="E1921" s="2" t="s">
        <v>858</v>
      </c>
      <c r="F1921" s="3">
        <v>45029</v>
      </c>
      <c r="G1921" s="4">
        <f t="shared" si="210"/>
        <v>4</v>
      </c>
      <c r="H1921" s="4">
        <f t="shared" si="211"/>
        <v>2023</v>
      </c>
      <c r="I1921" s="2" t="s">
        <v>4</v>
      </c>
      <c r="J1921" s="2" t="s">
        <v>2700</v>
      </c>
      <c r="K1921" s="2" t="s">
        <v>205</v>
      </c>
      <c r="L1921" s="2" t="s">
        <v>206</v>
      </c>
      <c r="M1921" s="2" t="s">
        <v>119</v>
      </c>
      <c r="N1921" s="4" t="str">
        <f t="shared" si="212"/>
        <v>TON</v>
      </c>
      <c r="O1921" s="5">
        <v>5</v>
      </c>
    </row>
    <row r="1922" spans="2:15" x14ac:dyDescent="0.25">
      <c r="B1922" s="1" t="s">
        <v>1520</v>
      </c>
      <c r="C1922" s="2" t="s">
        <v>196</v>
      </c>
      <c r="D1922" s="2" t="s">
        <v>294</v>
      </c>
      <c r="E1922" s="2" t="s">
        <v>295</v>
      </c>
      <c r="F1922" s="3">
        <v>45029</v>
      </c>
      <c r="G1922" s="4">
        <f t="shared" si="210"/>
        <v>4</v>
      </c>
      <c r="H1922" s="4">
        <f t="shared" si="211"/>
        <v>2023</v>
      </c>
      <c r="I1922" s="2" t="s">
        <v>4</v>
      </c>
      <c r="J1922" s="2" t="s">
        <v>2701</v>
      </c>
      <c r="K1922" s="2" t="s">
        <v>122</v>
      </c>
      <c r="L1922" s="2" t="s">
        <v>123</v>
      </c>
      <c r="M1922" s="2" t="s">
        <v>119</v>
      </c>
      <c r="N1922" s="4" t="str">
        <f t="shared" si="212"/>
        <v>TON</v>
      </c>
      <c r="O1922" s="5">
        <v>7.51</v>
      </c>
    </row>
    <row r="1923" spans="2:15" x14ac:dyDescent="0.25">
      <c r="B1923" s="1" t="s">
        <v>1520</v>
      </c>
      <c r="C1923" s="2" t="s">
        <v>196</v>
      </c>
      <c r="D1923" s="2" t="s">
        <v>262</v>
      </c>
      <c r="E1923" s="2" t="s">
        <v>2702</v>
      </c>
      <c r="F1923" s="3">
        <v>45030</v>
      </c>
      <c r="G1923" s="4">
        <f t="shared" ref="G1923:G1986" si="213">+MONTH(F1923)</f>
        <v>4</v>
      </c>
      <c r="H1923" s="4">
        <f t="shared" ref="H1923:H1986" si="214">+YEAR(F1923)</f>
        <v>2023</v>
      </c>
      <c r="I1923" s="2" t="s">
        <v>4</v>
      </c>
      <c r="J1923" s="2" t="s">
        <v>2703</v>
      </c>
      <c r="K1923" s="2" t="s">
        <v>329</v>
      </c>
      <c r="L1923" s="2" t="s">
        <v>330</v>
      </c>
      <c r="M1923" s="2" t="s">
        <v>119</v>
      </c>
      <c r="N1923" s="4" t="str">
        <f t="shared" ref="N1923:N1986" si="215">+LEFT(M1923,3)</f>
        <v>TON</v>
      </c>
      <c r="O1923" s="5">
        <v>7.0125000000000002</v>
      </c>
    </row>
    <row r="1924" spans="2:15" x14ac:dyDescent="0.25">
      <c r="B1924" s="1" t="s">
        <v>1520</v>
      </c>
      <c r="C1924" s="2" t="s">
        <v>196</v>
      </c>
      <c r="D1924" s="2" t="s">
        <v>440</v>
      </c>
      <c r="E1924" s="2" t="s">
        <v>1274</v>
      </c>
      <c r="F1924" s="3">
        <v>45030</v>
      </c>
      <c r="G1924" s="4">
        <f t="shared" si="213"/>
        <v>4</v>
      </c>
      <c r="H1924" s="4">
        <f t="shared" si="214"/>
        <v>2023</v>
      </c>
      <c r="I1924" s="2" t="s">
        <v>4</v>
      </c>
      <c r="J1924" s="2" t="s">
        <v>2704</v>
      </c>
      <c r="K1924" s="2" t="s">
        <v>2682</v>
      </c>
      <c r="L1924" s="2" t="s">
        <v>2683</v>
      </c>
      <c r="M1924" s="2" t="s">
        <v>119</v>
      </c>
      <c r="N1924" s="4" t="str">
        <f t="shared" si="215"/>
        <v>TON</v>
      </c>
      <c r="O1924" s="5">
        <v>7.5</v>
      </c>
    </row>
    <row r="1925" spans="2:15" x14ac:dyDescent="0.25">
      <c r="B1925" s="1" t="s">
        <v>1520</v>
      </c>
      <c r="C1925" s="2" t="s">
        <v>196</v>
      </c>
      <c r="D1925" s="2" t="s">
        <v>241</v>
      </c>
      <c r="E1925" s="2" t="s">
        <v>258</v>
      </c>
      <c r="F1925" s="3">
        <v>45030</v>
      </c>
      <c r="G1925" s="4">
        <f t="shared" si="213"/>
        <v>4</v>
      </c>
      <c r="H1925" s="4">
        <f t="shared" si="214"/>
        <v>2023</v>
      </c>
      <c r="I1925" s="2" t="s">
        <v>4</v>
      </c>
      <c r="J1925" s="2" t="s">
        <v>2705</v>
      </c>
      <c r="K1925" s="2" t="s">
        <v>260</v>
      </c>
      <c r="L1925" s="2" t="s">
        <v>261</v>
      </c>
      <c r="M1925" s="2" t="s">
        <v>119</v>
      </c>
      <c r="N1925" s="4" t="str">
        <f t="shared" si="215"/>
        <v>TON</v>
      </c>
      <c r="O1925" s="5">
        <v>2.2400000000000002</v>
      </c>
    </row>
    <row r="1926" spans="2:15" x14ac:dyDescent="0.25">
      <c r="B1926" s="1" t="s">
        <v>1520</v>
      </c>
      <c r="C1926" s="2" t="s">
        <v>196</v>
      </c>
      <c r="D1926" s="2" t="s">
        <v>262</v>
      </c>
      <c r="E1926" s="2" t="s">
        <v>1563</v>
      </c>
      <c r="F1926" s="3">
        <v>45030</v>
      </c>
      <c r="G1926" s="4">
        <f t="shared" si="213"/>
        <v>4</v>
      </c>
      <c r="H1926" s="4">
        <f t="shared" si="214"/>
        <v>2023</v>
      </c>
      <c r="I1926" s="2" t="s">
        <v>4</v>
      </c>
      <c r="J1926" s="2" t="s">
        <v>2706</v>
      </c>
      <c r="K1926" s="2" t="s">
        <v>329</v>
      </c>
      <c r="L1926" s="2" t="s">
        <v>330</v>
      </c>
      <c r="M1926" s="2" t="s">
        <v>119</v>
      </c>
      <c r="N1926" s="4" t="str">
        <f t="shared" si="215"/>
        <v>TON</v>
      </c>
      <c r="O1926" s="5">
        <v>2.5</v>
      </c>
    </row>
    <row r="1927" spans="2:15" x14ac:dyDescent="0.25">
      <c r="B1927" s="1" t="s">
        <v>1520</v>
      </c>
      <c r="C1927" s="2" t="s">
        <v>196</v>
      </c>
      <c r="D1927" s="2" t="s">
        <v>1345</v>
      </c>
      <c r="E1927" s="2" t="s">
        <v>1346</v>
      </c>
      <c r="F1927" s="3">
        <v>45030</v>
      </c>
      <c r="G1927" s="4">
        <f t="shared" si="213"/>
        <v>4</v>
      </c>
      <c r="H1927" s="4">
        <f t="shared" si="214"/>
        <v>2023</v>
      </c>
      <c r="I1927" s="2" t="s">
        <v>4</v>
      </c>
      <c r="J1927" s="2" t="s">
        <v>2707</v>
      </c>
      <c r="K1927" s="2" t="s">
        <v>122</v>
      </c>
      <c r="L1927" s="2" t="s">
        <v>123</v>
      </c>
      <c r="M1927" s="2" t="s">
        <v>119</v>
      </c>
      <c r="N1927" s="4" t="str">
        <f t="shared" si="215"/>
        <v>TON</v>
      </c>
      <c r="O1927" s="5">
        <v>2.5</v>
      </c>
    </row>
    <row r="1928" spans="2:15" x14ac:dyDescent="0.25">
      <c r="B1928" s="1" t="s">
        <v>1520</v>
      </c>
      <c r="C1928" s="2" t="s">
        <v>196</v>
      </c>
      <c r="D1928" s="2" t="s">
        <v>270</v>
      </c>
      <c r="E1928" s="2" t="s">
        <v>875</v>
      </c>
      <c r="F1928" s="3">
        <v>45030</v>
      </c>
      <c r="G1928" s="4">
        <f t="shared" si="213"/>
        <v>4</v>
      </c>
      <c r="H1928" s="4">
        <f t="shared" si="214"/>
        <v>2023</v>
      </c>
      <c r="I1928" s="2" t="s">
        <v>4</v>
      </c>
      <c r="J1928" s="2" t="s">
        <v>2708</v>
      </c>
      <c r="K1928" s="2" t="s">
        <v>205</v>
      </c>
      <c r="L1928" s="2" t="s">
        <v>206</v>
      </c>
      <c r="M1928" s="2" t="s">
        <v>119</v>
      </c>
      <c r="N1928" s="4" t="str">
        <f t="shared" si="215"/>
        <v>TON</v>
      </c>
      <c r="O1928" s="5">
        <v>2</v>
      </c>
    </row>
    <row r="1929" spans="2:15" x14ac:dyDescent="0.25">
      <c r="B1929" s="1" t="s">
        <v>1520</v>
      </c>
      <c r="C1929" s="2" t="s">
        <v>196</v>
      </c>
      <c r="D1929" s="2" t="s">
        <v>1956</v>
      </c>
      <c r="E1929" s="2" t="s">
        <v>102</v>
      </c>
      <c r="F1929" s="3">
        <v>45030</v>
      </c>
      <c r="G1929" s="4">
        <f t="shared" si="213"/>
        <v>4</v>
      </c>
      <c r="H1929" s="4">
        <f t="shared" si="214"/>
        <v>2023</v>
      </c>
      <c r="I1929" s="2" t="s">
        <v>4</v>
      </c>
      <c r="J1929" s="2" t="s">
        <v>2709</v>
      </c>
      <c r="K1929" s="2" t="s">
        <v>122</v>
      </c>
      <c r="L1929" s="2" t="s">
        <v>123</v>
      </c>
      <c r="M1929" s="2" t="s">
        <v>119</v>
      </c>
      <c r="N1929" s="4" t="str">
        <f t="shared" si="215"/>
        <v>TON</v>
      </c>
      <c r="O1929" s="5">
        <v>0.54500000000000004</v>
      </c>
    </row>
    <row r="1930" spans="2:15" x14ac:dyDescent="0.25">
      <c r="B1930" s="1" t="s">
        <v>1520</v>
      </c>
      <c r="C1930" s="2" t="s">
        <v>196</v>
      </c>
      <c r="D1930" s="2" t="s">
        <v>299</v>
      </c>
      <c r="E1930" s="2" t="s">
        <v>2262</v>
      </c>
      <c r="F1930" s="3">
        <v>45030</v>
      </c>
      <c r="G1930" s="4">
        <f t="shared" si="213"/>
        <v>4</v>
      </c>
      <c r="H1930" s="4">
        <f t="shared" si="214"/>
        <v>2023</v>
      </c>
      <c r="I1930" s="2" t="s">
        <v>4</v>
      </c>
      <c r="J1930" s="2" t="s">
        <v>2710</v>
      </c>
      <c r="K1930" s="2" t="s">
        <v>2350</v>
      </c>
      <c r="L1930" s="2" t="s">
        <v>2351</v>
      </c>
      <c r="M1930" s="2" t="s">
        <v>119</v>
      </c>
      <c r="N1930" s="4" t="str">
        <f t="shared" si="215"/>
        <v>TON</v>
      </c>
      <c r="O1930" s="5">
        <v>6.0274999999999999</v>
      </c>
    </row>
    <row r="1931" spans="2:15" x14ac:dyDescent="0.25">
      <c r="B1931" s="1" t="s">
        <v>1520</v>
      </c>
      <c r="C1931" s="2" t="s">
        <v>196</v>
      </c>
      <c r="D1931" s="2" t="s">
        <v>440</v>
      </c>
      <c r="E1931" s="2" t="s">
        <v>1369</v>
      </c>
      <c r="F1931" s="3">
        <v>45030</v>
      </c>
      <c r="G1931" s="4">
        <f t="shared" si="213"/>
        <v>4</v>
      </c>
      <c r="H1931" s="4">
        <f t="shared" si="214"/>
        <v>2023</v>
      </c>
      <c r="I1931" s="2" t="s">
        <v>4</v>
      </c>
      <c r="J1931" s="2" t="s">
        <v>2711</v>
      </c>
      <c r="K1931" s="2" t="s">
        <v>2682</v>
      </c>
      <c r="L1931" s="2" t="s">
        <v>2683</v>
      </c>
      <c r="M1931" s="2" t="s">
        <v>119</v>
      </c>
      <c r="N1931" s="4" t="str">
        <f t="shared" si="215"/>
        <v>TON</v>
      </c>
      <c r="O1931" s="5">
        <v>5.0125000000000002</v>
      </c>
    </row>
    <row r="1932" spans="2:15" x14ac:dyDescent="0.25">
      <c r="B1932" s="1" t="s">
        <v>645</v>
      </c>
      <c r="C1932" s="2" t="s">
        <v>196</v>
      </c>
      <c r="D1932" s="2" t="s">
        <v>310</v>
      </c>
      <c r="E1932" s="2" t="s">
        <v>311</v>
      </c>
      <c r="F1932" s="3">
        <v>45030</v>
      </c>
      <c r="G1932" s="4">
        <f t="shared" si="213"/>
        <v>4</v>
      </c>
      <c r="H1932" s="4">
        <f t="shared" si="214"/>
        <v>2023</v>
      </c>
      <c r="I1932" s="2" t="s">
        <v>4</v>
      </c>
      <c r="J1932" s="2" t="s">
        <v>2712</v>
      </c>
      <c r="K1932" s="2" t="s">
        <v>428</v>
      </c>
      <c r="L1932" s="2" t="s">
        <v>429</v>
      </c>
      <c r="M1932" s="2" t="s">
        <v>119</v>
      </c>
      <c r="N1932" s="4" t="str">
        <f t="shared" si="215"/>
        <v>TON</v>
      </c>
      <c r="O1932" s="5">
        <v>5</v>
      </c>
    </row>
    <row r="1933" spans="2:15" x14ac:dyDescent="0.25">
      <c r="B1933" s="1" t="s">
        <v>645</v>
      </c>
      <c r="C1933" s="2" t="s">
        <v>196</v>
      </c>
      <c r="D1933" s="2" t="s">
        <v>310</v>
      </c>
      <c r="E1933" s="2" t="s">
        <v>311</v>
      </c>
      <c r="F1933" s="3">
        <v>45033</v>
      </c>
      <c r="G1933" s="4">
        <f t="shared" si="213"/>
        <v>4</v>
      </c>
      <c r="H1933" s="4">
        <f t="shared" si="214"/>
        <v>2023</v>
      </c>
      <c r="I1933" s="2" t="s">
        <v>4</v>
      </c>
      <c r="J1933" s="2" t="s">
        <v>2713</v>
      </c>
      <c r="K1933" s="2" t="s">
        <v>2714</v>
      </c>
      <c r="L1933" s="2" t="s">
        <v>1151</v>
      </c>
      <c r="M1933" s="2" t="s">
        <v>8</v>
      </c>
      <c r="N1933" s="4" t="str">
        <f t="shared" si="215"/>
        <v>GAL</v>
      </c>
      <c r="O1933" s="5">
        <v>15</v>
      </c>
    </row>
    <row r="1934" spans="2:15" x14ac:dyDescent="0.25">
      <c r="B1934" s="1" t="s">
        <v>1520</v>
      </c>
      <c r="C1934" s="2" t="s">
        <v>196</v>
      </c>
      <c r="D1934" s="2" t="s">
        <v>224</v>
      </c>
      <c r="E1934" s="2" t="s">
        <v>895</v>
      </c>
      <c r="F1934" s="3">
        <v>45033</v>
      </c>
      <c r="G1934" s="4">
        <f t="shared" si="213"/>
        <v>4</v>
      </c>
      <c r="H1934" s="4">
        <f t="shared" si="214"/>
        <v>2023</v>
      </c>
      <c r="I1934" s="2" t="s">
        <v>4</v>
      </c>
      <c r="J1934" s="2" t="s">
        <v>2715</v>
      </c>
      <c r="K1934" s="2" t="s">
        <v>205</v>
      </c>
      <c r="L1934" s="2" t="s">
        <v>206</v>
      </c>
      <c r="M1934" s="2" t="s">
        <v>119</v>
      </c>
      <c r="N1934" s="4" t="str">
        <f t="shared" si="215"/>
        <v>TON</v>
      </c>
      <c r="O1934" s="5">
        <v>2.5</v>
      </c>
    </row>
    <row r="1935" spans="2:15" x14ac:dyDescent="0.25">
      <c r="B1935" s="1" t="s">
        <v>1520</v>
      </c>
      <c r="C1935" s="2" t="s">
        <v>196</v>
      </c>
      <c r="D1935" s="2" t="s">
        <v>273</v>
      </c>
      <c r="E1935" s="2" t="s">
        <v>274</v>
      </c>
      <c r="F1935" s="3">
        <v>45033</v>
      </c>
      <c r="G1935" s="4">
        <f t="shared" si="213"/>
        <v>4</v>
      </c>
      <c r="H1935" s="4">
        <f t="shared" si="214"/>
        <v>2023</v>
      </c>
      <c r="I1935" s="2" t="s">
        <v>4</v>
      </c>
      <c r="J1935" s="2" t="s">
        <v>2716</v>
      </c>
      <c r="K1935" s="2" t="s">
        <v>205</v>
      </c>
      <c r="L1935" s="2" t="s">
        <v>206</v>
      </c>
      <c r="M1935" s="2" t="s">
        <v>119</v>
      </c>
      <c r="N1935" s="4" t="str">
        <f t="shared" si="215"/>
        <v>TON</v>
      </c>
      <c r="O1935" s="5">
        <v>2.0175000000000001</v>
      </c>
    </row>
    <row r="1936" spans="2:15" x14ac:dyDescent="0.25">
      <c r="B1936" s="1" t="s">
        <v>1520</v>
      </c>
      <c r="C1936" s="2" t="s">
        <v>196</v>
      </c>
      <c r="D1936" s="2" t="s">
        <v>387</v>
      </c>
      <c r="E1936" s="2" t="s">
        <v>797</v>
      </c>
      <c r="F1936" s="3">
        <v>45033</v>
      </c>
      <c r="G1936" s="4">
        <f t="shared" si="213"/>
        <v>4</v>
      </c>
      <c r="H1936" s="4">
        <f t="shared" si="214"/>
        <v>2023</v>
      </c>
      <c r="I1936" s="2" t="s">
        <v>4</v>
      </c>
      <c r="J1936" s="2" t="s">
        <v>2717</v>
      </c>
      <c r="K1936" s="2" t="s">
        <v>2682</v>
      </c>
      <c r="L1936" s="2" t="s">
        <v>2683</v>
      </c>
      <c r="M1936" s="2" t="s">
        <v>119</v>
      </c>
      <c r="N1936" s="4" t="str">
        <f t="shared" si="215"/>
        <v>TON</v>
      </c>
      <c r="O1936" s="5">
        <v>12.02</v>
      </c>
    </row>
    <row r="1937" spans="2:15" x14ac:dyDescent="0.25">
      <c r="B1937" s="1" t="s">
        <v>1520</v>
      </c>
      <c r="C1937" s="2" t="s">
        <v>196</v>
      </c>
      <c r="D1937" s="2" t="s">
        <v>114</v>
      </c>
      <c r="E1937" s="2" t="s">
        <v>274</v>
      </c>
      <c r="F1937" s="3">
        <v>45033</v>
      </c>
      <c r="G1937" s="4">
        <f t="shared" si="213"/>
        <v>4</v>
      </c>
      <c r="H1937" s="4">
        <f t="shared" si="214"/>
        <v>2023</v>
      </c>
      <c r="I1937" s="2" t="s">
        <v>4</v>
      </c>
      <c r="J1937" s="2" t="s">
        <v>2718</v>
      </c>
      <c r="K1937" s="2" t="s">
        <v>2350</v>
      </c>
      <c r="L1937" s="2" t="s">
        <v>2351</v>
      </c>
      <c r="M1937" s="2" t="s">
        <v>119</v>
      </c>
      <c r="N1937" s="4" t="str">
        <f t="shared" si="215"/>
        <v>TON</v>
      </c>
      <c r="O1937" s="5">
        <v>2.2450000000000001</v>
      </c>
    </row>
    <row r="1938" spans="2:15" x14ac:dyDescent="0.25">
      <c r="B1938" s="1" t="s">
        <v>1520</v>
      </c>
      <c r="C1938" s="2" t="s">
        <v>196</v>
      </c>
      <c r="D1938" s="2" t="s">
        <v>418</v>
      </c>
      <c r="E1938" s="2" t="s">
        <v>1595</v>
      </c>
      <c r="F1938" s="3">
        <v>45033</v>
      </c>
      <c r="G1938" s="4">
        <f t="shared" si="213"/>
        <v>4</v>
      </c>
      <c r="H1938" s="4">
        <f t="shared" si="214"/>
        <v>2023</v>
      </c>
      <c r="I1938" s="2" t="s">
        <v>4</v>
      </c>
      <c r="J1938" s="2" t="s">
        <v>2719</v>
      </c>
      <c r="K1938" s="2" t="s">
        <v>205</v>
      </c>
      <c r="L1938" s="2" t="s">
        <v>206</v>
      </c>
      <c r="M1938" s="2" t="s">
        <v>119</v>
      </c>
      <c r="N1938" s="4" t="str">
        <f t="shared" si="215"/>
        <v>TON</v>
      </c>
      <c r="O1938" s="5">
        <v>1.2549999999999999</v>
      </c>
    </row>
    <row r="1939" spans="2:15" x14ac:dyDescent="0.25">
      <c r="B1939" s="1" t="s">
        <v>645</v>
      </c>
      <c r="C1939" s="2" t="s">
        <v>196</v>
      </c>
      <c r="D1939" s="2" t="s">
        <v>1385</v>
      </c>
      <c r="E1939" s="2" t="s">
        <v>102</v>
      </c>
      <c r="F1939" s="3">
        <v>45034</v>
      </c>
      <c r="G1939" s="4">
        <f t="shared" si="213"/>
        <v>4</v>
      </c>
      <c r="H1939" s="4">
        <f t="shared" si="214"/>
        <v>2023</v>
      </c>
      <c r="I1939" s="2" t="s">
        <v>4</v>
      </c>
      <c r="J1939" s="2" t="s">
        <v>2720</v>
      </c>
      <c r="K1939" s="2" t="s">
        <v>1387</v>
      </c>
      <c r="L1939" s="2" t="s">
        <v>1388</v>
      </c>
      <c r="M1939" s="2" t="s">
        <v>119</v>
      </c>
      <c r="N1939" s="4" t="str">
        <f t="shared" si="215"/>
        <v>TON</v>
      </c>
      <c r="O1939" s="5">
        <v>0.5</v>
      </c>
    </row>
    <row r="1940" spans="2:15" x14ac:dyDescent="0.25">
      <c r="B1940" s="1" t="s">
        <v>1520</v>
      </c>
      <c r="C1940" s="2" t="s">
        <v>196</v>
      </c>
      <c r="D1940" s="2" t="s">
        <v>232</v>
      </c>
      <c r="E1940" s="2" t="s">
        <v>233</v>
      </c>
      <c r="F1940" s="3">
        <v>45034</v>
      </c>
      <c r="G1940" s="4">
        <f t="shared" si="213"/>
        <v>4</v>
      </c>
      <c r="H1940" s="4">
        <f t="shared" si="214"/>
        <v>2023</v>
      </c>
      <c r="I1940" s="2" t="s">
        <v>4</v>
      </c>
      <c r="J1940" s="2" t="s">
        <v>2721</v>
      </c>
      <c r="K1940" s="2" t="s">
        <v>205</v>
      </c>
      <c r="L1940" s="2" t="s">
        <v>206</v>
      </c>
      <c r="M1940" s="2" t="s">
        <v>119</v>
      </c>
      <c r="N1940" s="4" t="str">
        <f t="shared" si="215"/>
        <v>TON</v>
      </c>
      <c r="O1940" s="5">
        <v>5</v>
      </c>
    </row>
    <row r="1941" spans="2:15" x14ac:dyDescent="0.25">
      <c r="B1941" s="1" t="s">
        <v>645</v>
      </c>
      <c r="C1941" s="2" t="s">
        <v>196</v>
      </c>
      <c r="D1941" s="2" t="s">
        <v>888</v>
      </c>
      <c r="E1941" s="2" t="s">
        <v>888</v>
      </c>
      <c r="F1941" s="3">
        <v>45034</v>
      </c>
      <c r="G1941" s="4">
        <f t="shared" si="213"/>
        <v>4</v>
      </c>
      <c r="H1941" s="4">
        <f t="shared" si="214"/>
        <v>2023</v>
      </c>
      <c r="I1941" s="2" t="s">
        <v>4</v>
      </c>
      <c r="J1941" s="2" t="s">
        <v>2722</v>
      </c>
      <c r="K1941" s="2" t="s">
        <v>268</v>
      </c>
      <c r="L1941" s="2" t="s">
        <v>269</v>
      </c>
      <c r="M1941" s="2" t="s">
        <v>119</v>
      </c>
      <c r="N1941" s="4" t="str">
        <f t="shared" si="215"/>
        <v>TON</v>
      </c>
      <c r="O1941" s="5">
        <v>0.3</v>
      </c>
    </row>
    <row r="1942" spans="2:15" x14ac:dyDescent="0.25">
      <c r="B1942" s="1" t="s">
        <v>1520</v>
      </c>
      <c r="C1942" s="2" t="s">
        <v>196</v>
      </c>
      <c r="D1942" s="2" t="s">
        <v>331</v>
      </c>
      <c r="E1942" s="2" t="s">
        <v>432</v>
      </c>
      <c r="F1942" s="3">
        <v>45034</v>
      </c>
      <c r="G1942" s="4">
        <f t="shared" si="213"/>
        <v>4</v>
      </c>
      <c r="H1942" s="4">
        <f t="shared" si="214"/>
        <v>2023</v>
      </c>
      <c r="I1942" s="2" t="s">
        <v>4</v>
      </c>
      <c r="J1942" s="2" t="s">
        <v>2723</v>
      </c>
      <c r="K1942" s="2" t="s">
        <v>205</v>
      </c>
      <c r="L1942" s="2" t="s">
        <v>206</v>
      </c>
      <c r="M1942" s="2" t="s">
        <v>119</v>
      </c>
      <c r="N1942" s="4" t="str">
        <f t="shared" si="215"/>
        <v>TON</v>
      </c>
      <c r="O1942" s="5">
        <v>5</v>
      </c>
    </row>
    <row r="1943" spans="2:15" x14ac:dyDescent="0.25">
      <c r="B1943" s="1" t="s">
        <v>1520</v>
      </c>
      <c r="C1943" s="2" t="s">
        <v>196</v>
      </c>
      <c r="D1943" s="2" t="s">
        <v>114</v>
      </c>
      <c r="E1943" s="2" t="s">
        <v>491</v>
      </c>
      <c r="F1943" s="3">
        <v>45034</v>
      </c>
      <c r="G1943" s="4">
        <f t="shared" si="213"/>
        <v>4</v>
      </c>
      <c r="H1943" s="4">
        <f t="shared" si="214"/>
        <v>2023</v>
      </c>
      <c r="I1943" s="2" t="s">
        <v>4</v>
      </c>
      <c r="J1943" s="2" t="s">
        <v>2724</v>
      </c>
      <c r="K1943" s="2" t="s">
        <v>2350</v>
      </c>
      <c r="L1943" s="2" t="s">
        <v>2351</v>
      </c>
      <c r="M1943" s="2" t="s">
        <v>119</v>
      </c>
      <c r="N1943" s="4" t="str">
        <f t="shared" si="215"/>
        <v>TON</v>
      </c>
      <c r="O1943" s="5">
        <v>5</v>
      </c>
    </row>
    <row r="1944" spans="2:15" x14ac:dyDescent="0.25">
      <c r="B1944" s="1" t="s">
        <v>1520</v>
      </c>
      <c r="C1944" s="2" t="s">
        <v>196</v>
      </c>
      <c r="D1944" s="2" t="s">
        <v>280</v>
      </c>
      <c r="E1944" s="2" t="s">
        <v>254</v>
      </c>
      <c r="F1944" s="3">
        <v>45035</v>
      </c>
      <c r="G1944" s="4">
        <f t="shared" si="213"/>
        <v>4</v>
      </c>
      <c r="H1944" s="4">
        <f t="shared" si="214"/>
        <v>2023</v>
      </c>
      <c r="I1944" s="2" t="s">
        <v>4</v>
      </c>
      <c r="J1944" s="2" t="s">
        <v>2725</v>
      </c>
      <c r="K1944" s="2" t="s">
        <v>2350</v>
      </c>
      <c r="L1944" s="2" t="s">
        <v>2351</v>
      </c>
      <c r="M1944" s="2" t="s">
        <v>119</v>
      </c>
      <c r="N1944" s="4" t="str">
        <f t="shared" si="215"/>
        <v>TON</v>
      </c>
      <c r="O1944" s="5">
        <v>4.9950000000000001</v>
      </c>
    </row>
    <row r="1945" spans="2:15" x14ac:dyDescent="0.25">
      <c r="B1945" s="1" t="s">
        <v>1520</v>
      </c>
      <c r="C1945" s="2" t="s">
        <v>196</v>
      </c>
      <c r="D1945" s="2" t="s">
        <v>280</v>
      </c>
      <c r="E1945" s="2" t="s">
        <v>254</v>
      </c>
      <c r="F1945" s="3">
        <v>45035</v>
      </c>
      <c r="G1945" s="4">
        <f t="shared" si="213"/>
        <v>4</v>
      </c>
      <c r="H1945" s="4">
        <f t="shared" si="214"/>
        <v>2023</v>
      </c>
      <c r="I1945" s="2" t="s">
        <v>4</v>
      </c>
      <c r="J1945" s="2" t="s">
        <v>2726</v>
      </c>
      <c r="K1945" s="2" t="s">
        <v>2350</v>
      </c>
      <c r="L1945" s="2" t="s">
        <v>2351</v>
      </c>
      <c r="M1945" s="2" t="s">
        <v>119</v>
      </c>
      <c r="N1945" s="4" t="str">
        <f t="shared" si="215"/>
        <v>TON</v>
      </c>
      <c r="O1945" s="5">
        <v>15.02</v>
      </c>
    </row>
    <row r="1946" spans="2:15" x14ac:dyDescent="0.25">
      <c r="B1946" s="1" t="s">
        <v>1520</v>
      </c>
      <c r="C1946" s="2" t="s">
        <v>196</v>
      </c>
      <c r="D1946" s="2" t="s">
        <v>270</v>
      </c>
      <c r="E1946" s="2" t="s">
        <v>699</v>
      </c>
      <c r="F1946" s="3">
        <v>45035</v>
      </c>
      <c r="G1946" s="4">
        <f t="shared" si="213"/>
        <v>4</v>
      </c>
      <c r="H1946" s="4">
        <f t="shared" si="214"/>
        <v>2023</v>
      </c>
      <c r="I1946" s="2" t="s">
        <v>4</v>
      </c>
      <c r="J1946" s="2" t="s">
        <v>2727</v>
      </c>
      <c r="K1946" s="2" t="s">
        <v>205</v>
      </c>
      <c r="L1946" s="2" t="s">
        <v>206</v>
      </c>
      <c r="M1946" s="2" t="s">
        <v>119</v>
      </c>
      <c r="N1946" s="4" t="str">
        <f t="shared" si="215"/>
        <v>TON</v>
      </c>
      <c r="O1946" s="5">
        <v>1</v>
      </c>
    </row>
    <row r="1947" spans="2:15" x14ac:dyDescent="0.25">
      <c r="B1947" s="1" t="s">
        <v>1520</v>
      </c>
      <c r="C1947" s="2" t="s">
        <v>196</v>
      </c>
      <c r="D1947" s="2" t="s">
        <v>458</v>
      </c>
      <c r="E1947" s="2" t="s">
        <v>2278</v>
      </c>
      <c r="F1947" s="3">
        <v>45035</v>
      </c>
      <c r="G1947" s="4">
        <f t="shared" si="213"/>
        <v>4</v>
      </c>
      <c r="H1947" s="4">
        <f t="shared" si="214"/>
        <v>2023</v>
      </c>
      <c r="I1947" s="2" t="s">
        <v>4</v>
      </c>
      <c r="J1947" s="2" t="s">
        <v>2728</v>
      </c>
      <c r="K1947" s="2" t="s">
        <v>205</v>
      </c>
      <c r="L1947" s="2" t="s">
        <v>206</v>
      </c>
      <c r="M1947" s="2" t="s">
        <v>119</v>
      </c>
      <c r="N1947" s="4" t="str">
        <f t="shared" si="215"/>
        <v>TON</v>
      </c>
      <c r="O1947" s="5">
        <v>8.0050000000000008</v>
      </c>
    </row>
    <row r="1948" spans="2:15" x14ac:dyDescent="0.25">
      <c r="B1948" s="1" t="s">
        <v>1520</v>
      </c>
      <c r="C1948" s="2" t="s">
        <v>196</v>
      </c>
      <c r="D1948" s="2" t="s">
        <v>310</v>
      </c>
      <c r="E1948" s="2" t="s">
        <v>426</v>
      </c>
      <c r="F1948" s="3">
        <v>45035</v>
      </c>
      <c r="G1948" s="4">
        <f t="shared" si="213"/>
        <v>4</v>
      </c>
      <c r="H1948" s="4">
        <f t="shared" si="214"/>
        <v>2023</v>
      </c>
      <c r="I1948" s="2" t="s">
        <v>4</v>
      </c>
      <c r="J1948" s="2" t="s">
        <v>2729</v>
      </c>
      <c r="K1948" s="2" t="s">
        <v>428</v>
      </c>
      <c r="L1948" s="2" t="s">
        <v>429</v>
      </c>
      <c r="M1948" s="2" t="s">
        <v>119</v>
      </c>
      <c r="N1948" s="4" t="str">
        <f t="shared" si="215"/>
        <v>TON</v>
      </c>
      <c r="O1948" s="5">
        <v>2</v>
      </c>
    </row>
    <row r="1949" spans="2:15" x14ac:dyDescent="0.25">
      <c r="B1949" s="1" t="s">
        <v>1520</v>
      </c>
      <c r="C1949" s="2" t="s">
        <v>196</v>
      </c>
      <c r="D1949" s="2" t="s">
        <v>224</v>
      </c>
      <c r="E1949" s="2" t="s">
        <v>361</v>
      </c>
      <c r="F1949" s="3">
        <v>45035</v>
      </c>
      <c r="G1949" s="4">
        <f t="shared" si="213"/>
        <v>4</v>
      </c>
      <c r="H1949" s="4">
        <f t="shared" si="214"/>
        <v>2023</v>
      </c>
      <c r="I1949" s="2" t="s">
        <v>4</v>
      </c>
      <c r="J1949" s="2" t="s">
        <v>2730</v>
      </c>
      <c r="K1949" s="2" t="s">
        <v>2731</v>
      </c>
      <c r="L1949" s="2" t="s">
        <v>2732</v>
      </c>
      <c r="M1949" s="2" t="s">
        <v>119</v>
      </c>
      <c r="N1949" s="4" t="str">
        <f t="shared" si="215"/>
        <v>TON</v>
      </c>
      <c r="O1949" s="5">
        <v>7.5</v>
      </c>
    </row>
    <row r="1950" spans="2:15" x14ac:dyDescent="0.25">
      <c r="B1950" s="1" t="s">
        <v>645</v>
      </c>
      <c r="C1950" s="2" t="s">
        <v>196</v>
      </c>
      <c r="D1950" s="2" t="s">
        <v>790</v>
      </c>
      <c r="E1950" s="2" t="s">
        <v>791</v>
      </c>
      <c r="F1950" s="3">
        <v>45035</v>
      </c>
      <c r="G1950" s="4">
        <f t="shared" si="213"/>
        <v>4</v>
      </c>
      <c r="H1950" s="4">
        <f t="shared" si="214"/>
        <v>2023</v>
      </c>
      <c r="I1950" s="2" t="s">
        <v>4</v>
      </c>
      <c r="J1950" s="2" t="s">
        <v>2733</v>
      </c>
      <c r="K1950" s="2" t="s">
        <v>2350</v>
      </c>
      <c r="L1950" s="2" t="s">
        <v>2351</v>
      </c>
      <c r="M1950" s="2" t="s">
        <v>119</v>
      </c>
      <c r="N1950" s="4" t="str">
        <f t="shared" si="215"/>
        <v>TON</v>
      </c>
      <c r="O1950" s="5">
        <v>4</v>
      </c>
    </row>
    <row r="1951" spans="2:15" x14ac:dyDescent="0.25">
      <c r="B1951" s="1" t="s">
        <v>1520</v>
      </c>
      <c r="C1951" s="2" t="s">
        <v>196</v>
      </c>
      <c r="D1951" s="2" t="s">
        <v>276</v>
      </c>
      <c r="E1951" s="2" t="s">
        <v>878</v>
      </c>
      <c r="F1951" s="3">
        <v>45036</v>
      </c>
      <c r="G1951" s="4">
        <f t="shared" si="213"/>
        <v>4</v>
      </c>
      <c r="H1951" s="4">
        <f t="shared" si="214"/>
        <v>2023</v>
      </c>
      <c r="I1951" s="2" t="s">
        <v>4</v>
      </c>
      <c r="J1951" s="2" t="s">
        <v>2734</v>
      </c>
      <c r="K1951" s="2" t="s">
        <v>292</v>
      </c>
      <c r="L1951" s="2" t="s">
        <v>293</v>
      </c>
      <c r="M1951" s="2" t="s">
        <v>119</v>
      </c>
      <c r="N1951" s="4" t="str">
        <f t="shared" si="215"/>
        <v>TON</v>
      </c>
      <c r="O1951" s="5">
        <v>2.5099999999999998</v>
      </c>
    </row>
    <row r="1952" spans="2:15" x14ac:dyDescent="0.25">
      <c r="B1952" s="1" t="s">
        <v>1520</v>
      </c>
      <c r="C1952" s="2" t="s">
        <v>196</v>
      </c>
      <c r="D1952" s="2" t="s">
        <v>289</v>
      </c>
      <c r="E1952" s="2" t="s">
        <v>290</v>
      </c>
      <c r="F1952" s="3">
        <v>45036</v>
      </c>
      <c r="G1952" s="4">
        <f t="shared" si="213"/>
        <v>4</v>
      </c>
      <c r="H1952" s="4">
        <f t="shared" si="214"/>
        <v>2023</v>
      </c>
      <c r="I1952" s="2" t="s">
        <v>4</v>
      </c>
      <c r="J1952" s="2" t="s">
        <v>2735</v>
      </c>
      <c r="K1952" s="2" t="s">
        <v>865</v>
      </c>
      <c r="L1952" s="2" t="s">
        <v>866</v>
      </c>
      <c r="M1952" s="2" t="s">
        <v>119</v>
      </c>
      <c r="N1952" s="4" t="str">
        <f t="shared" si="215"/>
        <v>TON</v>
      </c>
      <c r="O1952" s="5">
        <v>1</v>
      </c>
    </row>
    <row r="1953" spans="2:15" x14ac:dyDescent="0.25">
      <c r="B1953" s="1" t="s">
        <v>1520</v>
      </c>
      <c r="C1953" s="2" t="s">
        <v>196</v>
      </c>
      <c r="D1953" s="2" t="s">
        <v>221</v>
      </c>
      <c r="E1953" s="2" t="s">
        <v>222</v>
      </c>
      <c r="F1953" s="3">
        <v>45036</v>
      </c>
      <c r="G1953" s="4">
        <f t="shared" si="213"/>
        <v>4</v>
      </c>
      <c r="H1953" s="4">
        <f t="shared" si="214"/>
        <v>2023</v>
      </c>
      <c r="I1953" s="2" t="s">
        <v>4</v>
      </c>
      <c r="J1953" s="2" t="s">
        <v>2736</v>
      </c>
      <c r="K1953" s="2" t="s">
        <v>205</v>
      </c>
      <c r="L1953" s="2" t="s">
        <v>206</v>
      </c>
      <c r="M1953" s="2" t="s">
        <v>119</v>
      </c>
      <c r="N1953" s="4" t="str">
        <f t="shared" si="215"/>
        <v>TON</v>
      </c>
      <c r="O1953" s="5">
        <v>3.01</v>
      </c>
    </row>
    <row r="1954" spans="2:15" x14ac:dyDescent="0.25">
      <c r="B1954" s="1" t="s">
        <v>1520</v>
      </c>
      <c r="C1954" s="2" t="s">
        <v>196</v>
      </c>
      <c r="D1954" s="2" t="s">
        <v>273</v>
      </c>
      <c r="E1954" s="2" t="s">
        <v>274</v>
      </c>
      <c r="F1954" s="3">
        <v>45036</v>
      </c>
      <c r="G1954" s="4">
        <f t="shared" si="213"/>
        <v>4</v>
      </c>
      <c r="H1954" s="4">
        <f t="shared" si="214"/>
        <v>2023</v>
      </c>
      <c r="I1954" s="2" t="s">
        <v>4</v>
      </c>
      <c r="J1954" s="2" t="s">
        <v>2737</v>
      </c>
      <c r="K1954" s="2" t="s">
        <v>205</v>
      </c>
      <c r="L1954" s="2" t="s">
        <v>206</v>
      </c>
      <c r="M1954" s="2" t="s">
        <v>119</v>
      </c>
      <c r="N1954" s="4" t="str">
        <f t="shared" si="215"/>
        <v>TON</v>
      </c>
      <c r="O1954" s="5">
        <v>2.5</v>
      </c>
    </row>
    <row r="1955" spans="2:15" x14ac:dyDescent="0.25">
      <c r="B1955" s="1" t="s">
        <v>1520</v>
      </c>
      <c r="C1955" s="2" t="s">
        <v>196</v>
      </c>
      <c r="D1955" s="2" t="s">
        <v>299</v>
      </c>
      <c r="E1955" s="2" t="s">
        <v>2262</v>
      </c>
      <c r="F1955" s="3">
        <v>45036</v>
      </c>
      <c r="G1955" s="4">
        <f t="shared" si="213"/>
        <v>4</v>
      </c>
      <c r="H1955" s="4">
        <f t="shared" si="214"/>
        <v>2023</v>
      </c>
      <c r="I1955" s="2" t="s">
        <v>4</v>
      </c>
      <c r="J1955" s="2" t="s">
        <v>2738</v>
      </c>
      <c r="K1955" s="2" t="s">
        <v>2350</v>
      </c>
      <c r="L1955" s="2" t="s">
        <v>2351</v>
      </c>
      <c r="M1955" s="2" t="s">
        <v>119</v>
      </c>
      <c r="N1955" s="4" t="str">
        <f t="shared" si="215"/>
        <v>TON</v>
      </c>
      <c r="O1955" s="5">
        <v>4.4800000000000004</v>
      </c>
    </row>
    <row r="1956" spans="2:15" x14ac:dyDescent="0.25">
      <c r="B1956" s="1" t="s">
        <v>1520</v>
      </c>
      <c r="C1956" s="2" t="s">
        <v>196</v>
      </c>
      <c r="D1956" s="2" t="s">
        <v>114</v>
      </c>
      <c r="E1956" s="2" t="s">
        <v>402</v>
      </c>
      <c r="F1956" s="3">
        <v>45036</v>
      </c>
      <c r="G1956" s="4">
        <f t="shared" si="213"/>
        <v>4</v>
      </c>
      <c r="H1956" s="4">
        <f t="shared" si="214"/>
        <v>2023</v>
      </c>
      <c r="I1956" s="2" t="s">
        <v>4</v>
      </c>
      <c r="J1956" s="2" t="s">
        <v>2739</v>
      </c>
      <c r="K1956" s="2" t="s">
        <v>2350</v>
      </c>
      <c r="L1956" s="2" t="s">
        <v>2351</v>
      </c>
      <c r="M1956" s="2" t="s">
        <v>119</v>
      </c>
      <c r="N1956" s="4" t="str">
        <f t="shared" si="215"/>
        <v>TON</v>
      </c>
      <c r="O1956" s="5">
        <v>3.9775</v>
      </c>
    </row>
    <row r="1957" spans="2:15" x14ac:dyDescent="0.25">
      <c r="B1957" s="1" t="s">
        <v>1520</v>
      </c>
      <c r="C1957" s="2" t="s">
        <v>196</v>
      </c>
      <c r="D1957" s="2" t="s">
        <v>114</v>
      </c>
      <c r="E1957" s="2" t="s">
        <v>491</v>
      </c>
      <c r="F1957" s="3">
        <v>45037</v>
      </c>
      <c r="G1957" s="4">
        <f t="shared" si="213"/>
        <v>4</v>
      </c>
      <c r="H1957" s="4">
        <f t="shared" si="214"/>
        <v>2023</v>
      </c>
      <c r="I1957" s="2" t="s">
        <v>4</v>
      </c>
      <c r="J1957" s="2" t="s">
        <v>2740</v>
      </c>
      <c r="K1957" s="2" t="s">
        <v>2350</v>
      </c>
      <c r="L1957" s="2" t="s">
        <v>2351</v>
      </c>
      <c r="M1957" s="2" t="s">
        <v>119</v>
      </c>
      <c r="N1957" s="4" t="str">
        <f t="shared" si="215"/>
        <v>TON</v>
      </c>
      <c r="O1957" s="5">
        <v>1.23</v>
      </c>
    </row>
    <row r="1958" spans="2:15" x14ac:dyDescent="0.25">
      <c r="B1958" s="1" t="s">
        <v>1520</v>
      </c>
      <c r="C1958" s="2" t="s">
        <v>196</v>
      </c>
      <c r="D1958" s="2" t="s">
        <v>317</v>
      </c>
      <c r="E1958" s="2" t="s">
        <v>319</v>
      </c>
      <c r="F1958" s="3">
        <v>45037</v>
      </c>
      <c r="G1958" s="4">
        <f t="shared" si="213"/>
        <v>4</v>
      </c>
      <c r="H1958" s="4">
        <f t="shared" si="214"/>
        <v>2023</v>
      </c>
      <c r="I1958" s="2" t="s">
        <v>4</v>
      </c>
      <c r="J1958" s="2" t="s">
        <v>2741</v>
      </c>
      <c r="K1958" s="2" t="s">
        <v>2350</v>
      </c>
      <c r="L1958" s="2" t="s">
        <v>2351</v>
      </c>
      <c r="M1958" s="2" t="s">
        <v>119</v>
      </c>
      <c r="N1958" s="4" t="str">
        <f t="shared" si="215"/>
        <v>TON</v>
      </c>
      <c r="O1958" s="5">
        <v>2.4725000000000001</v>
      </c>
    </row>
    <row r="1959" spans="2:15" x14ac:dyDescent="0.25">
      <c r="B1959" s="1" t="s">
        <v>1520</v>
      </c>
      <c r="C1959" s="2" t="s">
        <v>196</v>
      </c>
      <c r="D1959" s="2" t="s">
        <v>215</v>
      </c>
      <c r="E1959" s="2" t="s">
        <v>858</v>
      </c>
      <c r="F1959" s="3">
        <v>45037</v>
      </c>
      <c r="G1959" s="4">
        <f t="shared" si="213"/>
        <v>4</v>
      </c>
      <c r="H1959" s="4">
        <f t="shared" si="214"/>
        <v>2023</v>
      </c>
      <c r="I1959" s="2" t="s">
        <v>4</v>
      </c>
      <c r="J1959" s="2" t="s">
        <v>2742</v>
      </c>
      <c r="K1959" s="2" t="s">
        <v>205</v>
      </c>
      <c r="L1959" s="2" t="s">
        <v>206</v>
      </c>
      <c r="M1959" s="2" t="s">
        <v>119</v>
      </c>
      <c r="N1959" s="4" t="str">
        <f t="shared" si="215"/>
        <v>TON</v>
      </c>
      <c r="O1959" s="5">
        <v>3.7774999999999999</v>
      </c>
    </row>
    <row r="1960" spans="2:15" x14ac:dyDescent="0.25">
      <c r="B1960" s="1" t="s">
        <v>1520</v>
      </c>
      <c r="C1960" s="2" t="s">
        <v>196</v>
      </c>
      <c r="D1960" s="2" t="s">
        <v>221</v>
      </c>
      <c r="E1960" s="2" t="s">
        <v>271</v>
      </c>
      <c r="F1960" s="3">
        <v>45037</v>
      </c>
      <c r="G1960" s="4">
        <f t="shared" si="213"/>
        <v>4</v>
      </c>
      <c r="H1960" s="4">
        <f t="shared" si="214"/>
        <v>2023</v>
      </c>
      <c r="I1960" s="2" t="s">
        <v>4</v>
      </c>
      <c r="J1960" s="2" t="s">
        <v>2743</v>
      </c>
      <c r="K1960" s="2" t="s">
        <v>205</v>
      </c>
      <c r="L1960" s="2" t="s">
        <v>206</v>
      </c>
      <c r="M1960" s="2" t="s">
        <v>119</v>
      </c>
      <c r="N1960" s="4" t="str">
        <f t="shared" si="215"/>
        <v>TON</v>
      </c>
      <c r="O1960" s="5">
        <v>5.0075000000000003</v>
      </c>
    </row>
    <row r="1961" spans="2:15" x14ac:dyDescent="0.25">
      <c r="B1961" s="1" t="s">
        <v>1520</v>
      </c>
      <c r="C1961" s="2" t="s">
        <v>196</v>
      </c>
      <c r="D1961" s="2" t="s">
        <v>238</v>
      </c>
      <c r="E1961" s="2" t="s">
        <v>2686</v>
      </c>
      <c r="F1961" s="3">
        <v>45037</v>
      </c>
      <c r="G1961" s="4">
        <f t="shared" si="213"/>
        <v>4</v>
      </c>
      <c r="H1961" s="4">
        <f t="shared" si="214"/>
        <v>2023</v>
      </c>
      <c r="I1961" s="2" t="s">
        <v>4</v>
      </c>
      <c r="J1961" s="2" t="s">
        <v>2744</v>
      </c>
      <c r="K1961" s="2" t="s">
        <v>205</v>
      </c>
      <c r="L1961" s="2" t="s">
        <v>206</v>
      </c>
      <c r="M1961" s="2" t="s">
        <v>119</v>
      </c>
      <c r="N1961" s="4" t="str">
        <f t="shared" si="215"/>
        <v>TON</v>
      </c>
      <c r="O1961" s="5">
        <v>11.035</v>
      </c>
    </row>
    <row r="1962" spans="2:15" x14ac:dyDescent="0.25">
      <c r="B1962" s="1" t="s">
        <v>1520</v>
      </c>
      <c r="C1962" s="2" t="s">
        <v>196</v>
      </c>
      <c r="D1962" s="2" t="s">
        <v>721</v>
      </c>
      <c r="E1962" s="2" t="s">
        <v>722</v>
      </c>
      <c r="F1962" s="3">
        <v>45037</v>
      </c>
      <c r="G1962" s="4">
        <f t="shared" si="213"/>
        <v>4</v>
      </c>
      <c r="H1962" s="4">
        <f t="shared" si="214"/>
        <v>2023</v>
      </c>
      <c r="I1962" s="2" t="s">
        <v>4</v>
      </c>
      <c r="J1962" s="2" t="s">
        <v>2745</v>
      </c>
      <c r="K1962" s="2" t="s">
        <v>531</v>
      </c>
      <c r="L1962" s="2" t="s">
        <v>201</v>
      </c>
      <c r="M1962" s="2" t="s">
        <v>202</v>
      </c>
      <c r="N1962" s="4" t="str">
        <f t="shared" si="215"/>
        <v>GAL</v>
      </c>
      <c r="O1962" s="5">
        <v>30</v>
      </c>
    </row>
    <row r="1963" spans="2:15" x14ac:dyDescent="0.25">
      <c r="B1963" s="1" t="s">
        <v>1520</v>
      </c>
      <c r="C1963" s="2" t="s">
        <v>196</v>
      </c>
      <c r="D1963" s="2" t="s">
        <v>440</v>
      </c>
      <c r="E1963" s="2" t="s">
        <v>441</v>
      </c>
      <c r="F1963" s="3">
        <v>45037</v>
      </c>
      <c r="G1963" s="4">
        <f t="shared" si="213"/>
        <v>4</v>
      </c>
      <c r="H1963" s="4">
        <f t="shared" si="214"/>
        <v>2023</v>
      </c>
      <c r="I1963" s="2" t="s">
        <v>4</v>
      </c>
      <c r="J1963" s="2" t="s">
        <v>2746</v>
      </c>
      <c r="K1963" s="2" t="s">
        <v>2682</v>
      </c>
      <c r="L1963" s="2" t="s">
        <v>2683</v>
      </c>
      <c r="M1963" s="2" t="s">
        <v>119</v>
      </c>
      <c r="N1963" s="4" t="str">
        <f t="shared" si="215"/>
        <v>TON</v>
      </c>
      <c r="O1963" s="5">
        <v>7.5025000000000004</v>
      </c>
    </row>
    <row r="1964" spans="2:15" x14ac:dyDescent="0.25">
      <c r="B1964" s="1" t="s">
        <v>1520</v>
      </c>
      <c r="C1964" s="2" t="s">
        <v>196</v>
      </c>
      <c r="D1964" s="2" t="s">
        <v>215</v>
      </c>
      <c r="E1964" s="2" t="s">
        <v>315</v>
      </c>
      <c r="F1964" s="3">
        <v>45037</v>
      </c>
      <c r="G1964" s="4">
        <f t="shared" si="213"/>
        <v>4</v>
      </c>
      <c r="H1964" s="4">
        <f t="shared" si="214"/>
        <v>2023</v>
      </c>
      <c r="I1964" s="2" t="s">
        <v>4</v>
      </c>
      <c r="J1964" s="2" t="s">
        <v>2747</v>
      </c>
      <c r="K1964" s="2" t="s">
        <v>205</v>
      </c>
      <c r="L1964" s="2" t="s">
        <v>206</v>
      </c>
      <c r="M1964" s="2" t="s">
        <v>119</v>
      </c>
      <c r="N1964" s="4" t="str">
        <f t="shared" si="215"/>
        <v>TON</v>
      </c>
      <c r="O1964" s="5">
        <v>4.0125000000000002</v>
      </c>
    </row>
    <row r="1965" spans="2:15" x14ac:dyDescent="0.25">
      <c r="B1965" s="1" t="s">
        <v>1520</v>
      </c>
      <c r="C1965" s="2" t="s">
        <v>196</v>
      </c>
      <c r="D1965" s="2" t="s">
        <v>241</v>
      </c>
      <c r="E1965" s="2" t="s">
        <v>258</v>
      </c>
      <c r="F1965" s="3">
        <v>45040</v>
      </c>
      <c r="G1965" s="4">
        <f t="shared" si="213"/>
        <v>4</v>
      </c>
      <c r="H1965" s="4">
        <f t="shared" si="214"/>
        <v>2023</v>
      </c>
      <c r="I1965" s="2" t="s">
        <v>4</v>
      </c>
      <c r="J1965" s="2" t="s">
        <v>2748</v>
      </c>
      <c r="K1965" s="2" t="s">
        <v>260</v>
      </c>
      <c r="L1965" s="2" t="s">
        <v>261</v>
      </c>
      <c r="M1965" s="2" t="s">
        <v>119</v>
      </c>
      <c r="N1965" s="4" t="str">
        <f t="shared" si="215"/>
        <v>TON</v>
      </c>
      <c r="O1965" s="5">
        <v>2.25</v>
      </c>
    </row>
    <row r="1966" spans="2:15" x14ac:dyDescent="0.25">
      <c r="B1966" s="1" t="s">
        <v>1520</v>
      </c>
      <c r="C1966" s="2" t="s">
        <v>196</v>
      </c>
      <c r="D1966" s="2" t="s">
        <v>387</v>
      </c>
      <c r="E1966" s="2" t="s">
        <v>797</v>
      </c>
      <c r="F1966" s="3">
        <v>45040</v>
      </c>
      <c r="G1966" s="4">
        <f t="shared" si="213"/>
        <v>4</v>
      </c>
      <c r="H1966" s="4">
        <f t="shared" si="214"/>
        <v>2023</v>
      </c>
      <c r="I1966" s="2" t="s">
        <v>4</v>
      </c>
      <c r="J1966" s="2" t="s">
        <v>2749</v>
      </c>
      <c r="K1966" s="2" t="s">
        <v>2750</v>
      </c>
      <c r="L1966" s="2" t="s">
        <v>2751</v>
      </c>
      <c r="M1966" s="2" t="s">
        <v>119</v>
      </c>
      <c r="N1966" s="4" t="str">
        <f t="shared" si="215"/>
        <v>TON</v>
      </c>
      <c r="O1966" s="5">
        <v>10</v>
      </c>
    </row>
    <row r="1967" spans="2:15" x14ac:dyDescent="0.25">
      <c r="B1967" s="1" t="s">
        <v>1520</v>
      </c>
      <c r="C1967" s="2" t="s">
        <v>196</v>
      </c>
      <c r="D1967" s="2" t="s">
        <v>884</v>
      </c>
      <c r="E1967" s="2" t="s">
        <v>141</v>
      </c>
      <c r="F1967" s="3">
        <v>45040</v>
      </c>
      <c r="G1967" s="4">
        <f t="shared" si="213"/>
        <v>4</v>
      </c>
      <c r="H1967" s="4">
        <f t="shared" si="214"/>
        <v>2023</v>
      </c>
      <c r="I1967" s="2" t="s">
        <v>4</v>
      </c>
      <c r="J1967" s="2" t="s">
        <v>2752</v>
      </c>
      <c r="K1967" s="2" t="s">
        <v>531</v>
      </c>
      <c r="L1967" s="2" t="s">
        <v>201</v>
      </c>
      <c r="M1967" s="2" t="s">
        <v>202</v>
      </c>
      <c r="N1967" s="4" t="str">
        <f t="shared" si="215"/>
        <v>GAL</v>
      </c>
      <c r="O1967" s="5">
        <v>30</v>
      </c>
    </row>
    <row r="1968" spans="2:15" x14ac:dyDescent="0.25">
      <c r="B1968" s="1" t="s">
        <v>1520</v>
      </c>
      <c r="C1968" s="2" t="s">
        <v>196</v>
      </c>
      <c r="D1968" s="2" t="s">
        <v>276</v>
      </c>
      <c r="E1968" s="2" t="s">
        <v>878</v>
      </c>
      <c r="F1968" s="3">
        <v>45040</v>
      </c>
      <c r="G1968" s="4">
        <f t="shared" si="213"/>
        <v>4</v>
      </c>
      <c r="H1968" s="4">
        <f t="shared" si="214"/>
        <v>2023</v>
      </c>
      <c r="I1968" s="2" t="s">
        <v>4</v>
      </c>
      <c r="J1968" s="2" t="s">
        <v>2753</v>
      </c>
      <c r="K1968" s="2" t="s">
        <v>292</v>
      </c>
      <c r="L1968" s="2" t="s">
        <v>293</v>
      </c>
      <c r="M1968" s="2" t="s">
        <v>119</v>
      </c>
      <c r="N1968" s="4" t="str">
        <f t="shared" si="215"/>
        <v>TON</v>
      </c>
      <c r="O1968" s="5">
        <v>8</v>
      </c>
    </row>
    <row r="1969" spans="2:15" x14ac:dyDescent="0.25">
      <c r="B1969" s="1" t="s">
        <v>1520</v>
      </c>
      <c r="C1969" s="2" t="s">
        <v>196</v>
      </c>
      <c r="D1969" s="2" t="s">
        <v>197</v>
      </c>
      <c r="E1969" s="2" t="s">
        <v>198</v>
      </c>
      <c r="F1969" s="3">
        <v>45040</v>
      </c>
      <c r="G1969" s="4">
        <f t="shared" si="213"/>
        <v>4</v>
      </c>
      <c r="H1969" s="4">
        <f t="shared" si="214"/>
        <v>2023</v>
      </c>
      <c r="I1969" s="2" t="s">
        <v>4</v>
      </c>
      <c r="J1969" s="2" t="s">
        <v>2754</v>
      </c>
      <c r="K1969" s="2" t="s">
        <v>307</v>
      </c>
      <c r="L1969" s="2" t="s">
        <v>308</v>
      </c>
      <c r="M1969" s="2" t="s">
        <v>119</v>
      </c>
      <c r="N1969" s="4" t="str">
        <f t="shared" si="215"/>
        <v>TON</v>
      </c>
      <c r="O1969" s="5">
        <v>4</v>
      </c>
    </row>
    <row r="1970" spans="2:15" x14ac:dyDescent="0.25">
      <c r="B1970" s="1" t="s">
        <v>1520</v>
      </c>
      <c r="C1970" s="2" t="s">
        <v>196</v>
      </c>
      <c r="D1970" s="2" t="s">
        <v>2755</v>
      </c>
      <c r="E1970" s="2" t="s">
        <v>141</v>
      </c>
      <c r="F1970" s="3">
        <v>45040</v>
      </c>
      <c r="G1970" s="4">
        <f t="shared" si="213"/>
        <v>4</v>
      </c>
      <c r="H1970" s="4">
        <f t="shared" si="214"/>
        <v>2023</v>
      </c>
      <c r="I1970" s="2" t="s">
        <v>4</v>
      </c>
      <c r="J1970" s="2" t="s">
        <v>2756</v>
      </c>
      <c r="K1970" s="2" t="s">
        <v>244</v>
      </c>
      <c r="L1970" s="2" t="s">
        <v>182</v>
      </c>
      <c r="M1970" s="2" t="s">
        <v>183</v>
      </c>
      <c r="N1970" s="4" t="str">
        <f t="shared" si="215"/>
        <v>GAL</v>
      </c>
      <c r="O1970" s="5">
        <v>5</v>
      </c>
    </row>
    <row r="1971" spans="2:15" x14ac:dyDescent="0.25">
      <c r="B1971" s="1" t="s">
        <v>1520</v>
      </c>
      <c r="C1971" s="2" t="s">
        <v>196</v>
      </c>
      <c r="D1971" s="2" t="s">
        <v>317</v>
      </c>
      <c r="E1971" s="2" t="s">
        <v>677</v>
      </c>
      <c r="F1971" s="3">
        <v>45040</v>
      </c>
      <c r="G1971" s="4">
        <f t="shared" si="213"/>
        <v>4</v>
      </c>
      <c r="H1971" s="4">
        <f t="shared" si="214"/>
        <v>2023</v>
      </c>
      <c r="I1971" s="2" t="s">
        <v>4</v>
      </c>
      <c r="J1971" s="2" t="s">
        <v>2757</v>
      </c>
      <c r="K1971" s="2" t="s">
        <v>2350</v>
      </c>
      <c r="L1971" s="2" t="s">
        <v>2351</v>
      </c>
      <c r="M1971" s="2" t="s">
        <v>119</v>
      </c>
      <c r="N1971" s="4" t="str">
        <f t="shared" si="215"/>
        <v>TON</v>
      </c>
      <c r="O1971" s="5">
        <v>5</v>
      </c>
    </row>
    <row r="1972" spans="2:15" x14ac:dyDescent="0.25">
      <c r="B1972" s="1" t="s">
        <v>1520</v>
      </c>
      <c r="C1972" s="2" t="s">
        <v>196</v>
      </c>
      <c r="D1972" s="2" t="s">
        <v>837</v>
      </c>
      <c r="E1972" s="2" t="s">
        <v>102</v>
      </c>
      <c r="F1972" s="3">
        <v>45040</v>
      </c>
      <c r="G1972" s="4">
        <f t="shared" si="213"/>
        <v>4</v>
      </c>
      <c r="H1972" s="4">
        <f t="shared" si="214"/>
        <v>2023</v>
      </c>
      <c r="I1972" s="2" t="s">
        <v>4</v>
      </c>
      <c r="J1972" s="2" t="s">
        <v>2758</v>
      </c>
      <c r="K1972" s="2" t="s">
        <v>200</v>
      </c>
      <c r="L1972" s="2" t="s">
        <v>201</v>
      </c>
      <c r="M1972" s="2" t="s">
        <v>202</v>
      </c>
      <c r="N1972" s="4" t="str">
        <f t="shared" si="215"/>
        <v>GAL</v>
      </c>
      <c r="O1972" s="5">
        <v>2.5</v>
      </c>
    </row>
    <row r="1973" spans="2:15" x14ac:dyDescent="0.25">
      <c r="B1973" s="1" t="s">
        <v>1520</v>
      </c>
      <c r="C1973" s="2" t="s">
        <v>196</v>
      </c>
      <c r="D1973" s="2" t="s">
        <v>837</v>
      </c>
      <c r="E1973" s="2" t="s">
        <v>102</v>
      </c>
      <c r="F1973" s="3">
        <v>45040</v>
      </c>
      <c r="G1973" s="4">
        <f t="shared" si="213"/>
        <v>4</v>
      </c>
      <c r="H1973" s="4">
        <f t="shared" si="214"/>
        <v>2023</v>
      </c>
      <c r="I1973" s="2" t="s">
        <v>4</v>
      </c>
      <c r="J1973" s="2" t="s">
        <v>2759</v>
      </c>
      <c r="K1973" s="2" t="s">
        <v>268</v>
      </c>
      <c r="L1973" s="2" t="s">
        <v>269</v>
      </c>
      <c r="M1973" s="2" t="s">
        <v>119</v>
      </c>
      <c r="N1973" s="4" t="str">
        <f t="shared" si="215"/>
        <v>TON</v>
      </c>
      <c r="O1973" s="5">
        <v>0.15</v>
      </c>
    </row>
    <row r="1974" spans="2:15" x14ac:dyDescent="0.25">
      <c r="B1974" s="1" t="s">
        <v>1520</v>
      </c>
      <c r="C1974" s="2" t="s">
        <v>196</v>
      </c>
      <c r="D1974" s="2" t="s">
        <v>114</v>
      </c>
      <c r="E1974" s="2" t="s">
        <v>369</v>
      </c>
      <c r="F1974" s="3">
        <v>45040</v>
      </c>
      <c r="G1974" s="4">
        <f t="shared" si="213"/>
        <v>4</v>
      </c>
      <c r="H1974" s="4">
        <f t="shared" si="214"/>
        <v>2023</v>
      </c>
      <c r="I1974" s="2" t="s">
        <v>4</v>
      </c>
      <c r="J1974" s="2" t="s">
        <v>2760</v>
      </c>
      <c r="K1974" s="2" t="s">
        <v>2350</v>
      </c>
      <c r="L1974" s="2" t="s">
        <v>2351</v>
      </c>
      <c r="M1974" s="2" t="s">
        <v>119</v>
      </c>
      <c r="N1974" s="4" t="str">
        <f t="shared" si="215"/>
        <v>TON</v>
      </c>
      <c r="O1974" s="5">
        <v>3</v>
      </c>
    </row>
    <row r="1975" spans="2:15" x14ac:dyDescent="0.25">
      <c r="B1975" s="1" t="s">
        <v>1520</v>
      </c>
      <c r="C1975" s="2" t="s">
        <v>196</v>
      </c>
      <c r="D1975" s="2" t="s">
        <v>262</v>
      </c>
      <c r="E1975" s="2" t="s">
        <v>1170</v>
      </c>
      <c r="F1975" s="3">
        <v>45040</v>
      </c>
      <c r="G1975" s="4">
        <f t="shared" si="213"/>
        <v>4</v>
      </c>
      <c r="H1975" s="4">
        <f t="shared" si="214"/>
        <v>2023</v>
      </c>
      <c r="I1975" s="2" t="s">
        <v>4</v>
      </c>
      <c r="J1975" s="2" t="s">
        <v>2761</v>
      </c>
      <c r="K1975" s="2" t="s">
        <v>329</v>
      </c>
      <c r="L1975" s="2" t="s">
        <v>330</v>
      </c>
      <c r="M1975" s="2" t="s">
        <v>119</v>
      </c>
      <c r="N1975" s="4" t="str">
        <f t="shared" si="215"/>
        <v>TON</v>
      </c>
      <c r="O1975" s="5">
        <v>12.5175</v>
      </c>
    </row>
    <row r="1976" spans="2:15" x14ac:dyDescent="0.25">
      <c r="B1976" s="1" t="s">
        <v>1520</v>
      </c>
      <c r="C1976" s="2" t="s">
        <v>196</v>
      </c>
      <c r="D1976" s="2" t="s">
        <v>215</v>
      </c>
      <c r="E1976" s="2" t="s">
        <v>315</v>
      </c>
      <c r="F1976" s="3">
        <v>45041</v>
      </c>
      <c r="G1976" s="4">
        <f t="shared" si="213"/>
        <v>4</v>
      </c>
      <c r="H1976" s="4">
        <f t="shared" si="214"/>
        <v>2023</v>
      </c>
      <c r="I1976" s="2" t="s">
        <v>4</v>
      </c>
      <c r="J1976" s="2" t="s">
        <v>2762</v>
      </c>
      <c r="K1976" s="2" t="s">
        <v>822</v>
      </c>
      <c r="L1976" s="2" t="s">
        <v>565</v>
      </c>
      <c r="M1976" s="2" t="s">
        <v>21</v>
      </c>
      <c r="N1976" s="4" t="str">
        <f t="shared" si="215"/>
        <v>GAL</v>
      </c>
      <c r="O1976" s="5">
        <v>150</v>
      </c>
    </row>
    <row r="1977" spans="2:15" x14ac:dyDescent="0.25">
      <c r="B1977" s="1" t="s">
        <v>1520</v>
      </c>
      <c r="C1977" s="2" t="s">
        <v>196</v>
      </c>
      <c r="D1977" s="2" t="s">
        <v>215</v>
      </c>
      <c r="E1977" s="2" t="s">
        <v>315</v>
      </c>
      <c r="F1977" s="3">
        <v>45041</v>
      </c>
      <c r="G1977" s="4">
        <f t="shared" si="213"/>
        <v>4</v>
      </c>
      <c r="H1977" s="4">
        <f t="shared" si="214"/>
        <v>2023</v>
      </c>
      <c r="I1977" s="2" t="s">
        <v>4</v>
      </c>
      <c r="J1977" s="2" t="s">
        <v>2762</v>
      </c>
      <c r="K1977" s="2" t="s">
        <v>823</v>
      </c>
      <c r="L1977" s="2" t="s">
        <v>776</v>
      </c>
      <c r="M1977" s="2" t="s">
        <v>82</v>
      </c>
      <c r="N1977" s="4" t="str">
        <f t="shared" si="215"/>
        <v>GAL</v>
      </c>
      <c r="O1977" s="5">
        <v>250</v>
      </c>
    </row>
    <row r="1978" spans="2:15" x14ac:dyDescent="0.25">
      <c r="B1978" s="1" t="s">
        <v>1520</v>
      </c>
      <c r="C1978" s="2" t="s">
        <v>196</v>
      </c>
      <c r="D1978" s="2" t="s">
        <v>215</v>
      </c>
      <c r="E1978" s="2" t="s">
        <v>315</v>
      </c>
      <c r="F1978" s="3">
        <v>45041</v>
      </c>
      <c r="G1978" s="4">
        <f t="shared" si="213"/>
        <v>4</v>
      </c>
      <c r="H1978" s="4">
        <f t="shared" si="214"/>
        <v>2023</v>
      </c>
      <c r="I1978" s="2" t="s">
        <v>4</v>
      </c>
      <c r="J1978" s="2" t="s">
        <v>2762</v>
      </c>
      <c r="K1978" s="2" t="s">
        <v>1204</v>
      </c>
      <c r="L1978" s="2" t="s">
        <v>1151</v>
      </c>
      <c r="M1978" s="2" t="s">
        <v>8</v>
      </c>
      <c r="N1978" s="4" t="str">
        <f t="shared" si="215"/>
        <v>GAL</v>
      </c>
      <c r="O1978" s="5">
        <v>250</v>
      </c>
    </row>
    <row r="1979" spans="2:15" x14ac:dyDescent="0.25">
      <c r="B1979" s="1" t="s">
        <v>1520</v>
      </c>
      <c r="C1979" s="2" t="s">
        <v>196</v>
      </c>
      <c r="D1979" s="2" t="s">
        <v>1706</v>
      </c>
      <c r="E1979" s="2" t="s">
        <v>102</v>
      </c>
      <c r="F1979" s="3">
        <v>45041</v>
      </c>
      <c r="G1979" s="4">
        <f t="shared" si="213"/>
        <v>4</v>
      </c>
      <c r="H1979" s="4">
        <f t="shared" si="214"/>
        <v>2023</v>
      </c>
      <c r="I1979" s="2" t="s">
        <v>4</v>
      </c>
      <c r="J1979" s="2" t="s">
        <v>2763</v>
      </c>
      <c r="K1979" s="2" t="s">
        <v>268</v>
      </c>
      <c r="L1979" s="2" t="s">
        <v>269</v>
      </c>
      <c r="M1979" s="2" t="s">
        <v>119</v>
      </c>
      <c r="N1979" s="4" t="str">
        <f t="shared" si="215"/>
        <v>TON</v>
      </c>
      <c r="O1979" s="5">
        <v>0.5</v>
      </c>
    </row>
    <row r="1980" spans="2:15" x14ac:dyDescent="0.25">
      <c r="B1980" s="1" t="s">
        <v>1520</v>
      </c>
      <c r="C1980" s="2" t="s">
        <v>196</v>
      </c>
      <c r="D1980" s="2" t="s">
        <v>2764</v>
      </c>
      <c r="E1980" s="2" t="s">
        <v>102</v>
      </c>
      <c r="F1980" s="3">
        <v>45041</v>
      </c>
      <c r="G1980" s="4">
        <f t="shared" si="213"/>
        <v>4</v>
      </c>
      <c r="H1980" s="4">
        <f t="shared" si="214"/>
        <v>2023</v>
      </c>
      <c r="I1980" s="2" t="s">
        <v>4</v>
      </c>
      <c r="J1980" s="2" t="s">
        <v>2765</v>
      </c>
      <c r="K1980" s="2" t="s">
        <v>2766</v>
      </c>
      <c r="L1980" s="2" t="s">
        <v>2767</v>
      </c>
      <c r="M1980" s="2" t="s">
        <v>119</v>
      </c>
      <c r="N1980" s="4" t="str">
        <f t="shared" si="215"/>
        <v>TON</v>
      </c>
      <c r="O1980" s="5">
        <v>2.5</v>
      </c>
    </row>
    <row r="1981" spans="2:15" x14ac:dyDescent="0.25">
      <c r="B1981" s="1" t="s">
        <v>1520</v>
      </c>
      <c r="C1981" s="2" t="s">
        <v>196</v>
      </c>
      <c r="D1981" s="2" t="s">
        <v>440</v>
      </c>
      <c r="E1981" s="2" t="s">
        <v>1274</v>
      </c>
      <c r="F1981" s="3">
        <v>45042</v>
      </c>
      <c r="G1981" s="4">
        <f t="shared" si="213"/>
        <v>4</v>
      </c>
      <c r="H1981" s="4">
        <f t="shared" si="214"/>
        <v>2023</v>
      </c>
      <c r="I1981" s="2" t="s">
        <v>4</v>
      </c>
      <c r="J1981" s="2" t="s">
        <v>2768</v>
      </c>
      <c r="K1981" s="2" t="s">
        <v>2750</v>
      </c>
      <c r="L1981" s="2" t="s">
        <v>2751</v>
      </c>
      <c r="M1981" s="2" t="s">
        <v>119</v>
      </c>
      <c r="N1981" s="4" t="str">
        <f t="shared" si="215"/>
        <v>TON</v>
      </c>
      <c r="O1981" s="5">
        <v>7.5</v>
      </c>
    </row>
    <row r="1982" spans="2:15" x14ac:dyDescent="0.25">
      <c r="B1982" s="1" t="s">
        <v>1520</v>
      </c>
      <c r="C1982" s="2" t="s">
        <v>196</v>
      </c>
      <c r="D1982" s="2" t="s">
        <v>294</v>
      </c>
      <c r="E1982" s="2" t="s">
        <v>295</v>
      </c>
      <c r="F1982" s="3">
        <v>45042</v>
      </c>
      <c r="G1982" s="4">
        <f t="shared" si="213"/>
        <v>4</v>
      </c>
      <c r="H1982" s="4">
        <f t="shared" si="214"/>
        <v>2023</v>
      </c>
      <c r="I1982" s="2" t="s">
        <v>4</v>
      </c>
      <c r="J1982" s="2" t="s">
        <v>2769</v>
      </c>
      <c r="K1982" s="2" t="s">
        <v>122</v>
      </c>
      <c r="L1982" s="2" t="s">
        <v>123</v>
      </c>
      <c r="M1982" s="2" t="s">
        <v>119</v>
      </c>
      <c r="N1982" s="4" t="str">
        <f t="shared" si="215"/>
        <v>TON</v>
      </c>
      <c r="O1982" s="5">
        <v>7.5</v>
      </c>
    </row>
    <row r="1983" spans="2:15" x14ac:dyDescent="0.25">
      <c r="B1983" s="1" t="s">
        <v>1520</v>
      </c>
      <c r="C1983" s="2" t="s">
        <v>196</v>
      </c>
      <c r="D1983" s="2" t="s">
        <v>440</v>
      </c>
      <c r="E1983" s="2" t="s">
        <v>441</v>
      </c>
      <c r="F1983" s="3">
        <v>45042</v>
      </c>
      <c r="G1983" s="4">
        <f t="shared" si="213"/>
        <v>4</v>
      </c>
      <c r="H1983" s="4">
        <f t="shared" si="214"/>
        <v>2023</v>
      </c>
      <c r="I1983" s="2" t="s">
        <v>4</v>
      </c>
      <c r="J1983" s="2" t="s">
        <v>2770</v>
      </c>
      <c r="K1983" s="2" t="s">
        <v>2750</v>
      </c>
      <c r="L1983" s="2" t="s">
        <v>2751</v>
      </c>
      <c r="M1983" s="2" t="s">
        <v>119</v>
      </c>
      <c r="N1983" s="4" t="str">
        <f t="shared" si="215"/>
        <v>TON</v>
      </c>
      <c r="O1983" s="5">
        <v>5.0149999999999997</v>
      </c>
    </row>
    <row r="1984" spans="2:15" x14ac:dyDescent="0.25">
      <c r="B1984" s="1" t="s">
        <v>1520</v>
      </c>
      <c r="C1984" s="2" t="s">
        <v>196</v>
      </c>
      <c r="D1984" s="2" t="s">
        <v>440</v>
      </c>
      <c r="E1984" s="2" t="s">
        <v>1369</v>
      </c>
      <c r="F1984" s="3">
        <v>45042</v>
      </c>
      <c r="G1984" s="4">
        <f t="shared" si="213"/>
        <v>4</v>
      </c>
      <c r="H1984" s="4">
        <f t="shared" si="214"/>
        <v>2023</v>
      </c>
      <c r="I1984" s="2" t="s">
        <v>4</v>
      </c>
      <c r="J1984" s="2" t="s">
        <v>2771</v>
      </c>
      <c r="K1984" s="2" t="s">
        <v>2750</v>
      </c>
      <c r="L1984" s="2" t="s">
        <v>2751</v>
      </c>
      <c r="M1984" s="2" t="s">
        <v>119</v>
      </c>
      <c r="N1984" s="4" t="str">
        <f t="shared" si="215"/>
        <v>TON</v>
      </c>
      <c r="O1984" s="5">
        <v>5.0149999999999997</v>
      </c>
    </row>
    <row r="1985" spans="2:15" x14ac:dyDescent="0.25">
      <c r="B1985" s="1" t="s">
        <v>1520</v>
      </c>
      <c r="C1985" s="2" t="s">
        <v>196</v>
      </c>
      <c r="D1985" s="2" t="s">
        <v>317</v>
      </c>
      <c r="E1985" s="2" t="s">
        <v>319</v>
      </c>
      <c r="F1985" s="3">
        <v>45042</v>
      </c>
      <c r="G1985" s="4">
        <f t="shared" si="213"/>
        <v>4</v>
      </c>
      <c r="H1985" s="4">
        <f t="shared" si="214"/>
        <v>2023</v>
      </c>
      <c r="I1985" s="2" t="s">
        <v>4</v>
      </c>
      <c r="J1985" s="2" t="s">
        <v>2772</v>
      </c>
      <c r="K1985" s="2" t="s">
        <v>2350</v>
      </c>
      <c r="L1985" s="2" t="s">
        <v>2351</v>
      </c>
      <c r="M1985" s="2" t="s">
        <v>119</v>
      </c>
      <c r="N1985" s="4" t="str">
        <f t="shared" si="215"/>
        <v>TON</v>
      </c>
      <c r="O1985" s="5">
        <v>1.4824999999999999</v>
      </c>
    </row>
    <row r="1986" spans="2:15" x14ac:dyDescent="0.25">
      <c r="B1986" s="1" t="s">
        <v>1520</v>
      </c>
      <c r="C1986" s="2" t="s">
        <v>196</v>
      </c>
      <c r="D1986" s="2" t="s">
        <v>270</v>
      </c>
      <c r="E1986" s="2" t="s">
        <v>400</v>
      </c>
      <c r="F1986" s="3">
        <v>45042</v>
      </c>
      <c r="G1986" s="4">
        <f t="shared" si="213"/>
        <v>4</v>
      </c>
      <c r="H1986" s="4">
        <f t="shared" si="214"/>
        <v>2023</v>
      </c>
      <c r="I1986" s="2" t="s">
        <v>4</v>
      </c>
      <c r="J1986" s="2" t="s">
        <v>2773</v>
      </c>
      <c r="K1986" s="2" t="s">
        <v>268</v>
      </c>
      <c r="L1986" s="2" t="s">
        <v>269</v>
      </c>
      <c r="M1986" s="2" t="s">
        <v>119</v>
      </c>
      <c r="N1986" s="4" t="str">
        <f t="shared" si="215"/>
        <v>TON</v>
      </c>
      <c r="O1986" s="5">
        <v>1.25</v>
      </c>
    </row>
    <row r="1987" spans="2:15" x14ac:dyDescent="0.25">
      <c r="B1987" s="1" t="s">
        <v>1520</v>
      </c>
      <c r="C1987" s="2" t="s">
        <v>196</v>
      </c>
      <c r="D1987" s="2" t="s">
        <v>1345</v>
      </c>
      <c r="E1987" s="2" t="s">
        <v>1346</v>
      </c>
      <c r="F1987" s="3">
        <v>45043</v>
      </c>
      <c r="G1987" s="4">
        <f t="shared" ref="G1987:G2050" si="216">+MONTH(F1987)</f>
        <v>4</v>
      </c>
      <c r="H1987" s="4">
        <f t="shared" ref="H1987:H2050" si="217">+YEAR(F1987)</f>
        <v>2023</v>
      </c>
      <c r="I1987" s="2" t="s">
        <v>4</v>
      </c>
      <c r="J1987" s="2" t="s">
        <v>2774</v>
      </c>
      <c r="K1987" s="2" t="s">
        <v>2350</v>
      </c>
      <c r="L1987" s="2" t="s">
        <v>2351</v>
      </c>
      <c r="M1987" s="2" t="s">
        <v>119</v>
      </c>
      <c r="N1987" s="4" t="str">
        <f t="shared" ref="N1987:N2050" si="218">+LEFT(M1987,3)</f>
        <v>TON</v>
      </c>
      <c r="O1987" s="5">
        <v>2.5</v>
      </c>
    </row>
    <row r="1988" spans="2:15" x14ac:dyDescent="0.25">
      <c r="B1988" s="1" t="s">
        <v>1520</v>
      </c>
      <c r="C1988" s="2" t="s">
        <v>196</v>
      </c>
      <c r="D1988" s="2" t="s">
        <v>299</v>
      </c>
      <c r="E1988" s="2" t="s">
        <v>2262</v>
      </c>
      <c r="F1988" s="3">
        <v>45043</v>
      </c>
      <c r="G1988" s="4">
        <f t="shared" si="216"/>
        <v>4</v>
      </c>
      <c r="H1988" s="4">
        <f t="shared" si="217"/>
        <v>2023</v>
      </c>
      <c r="I1988" s="2" t="s">
        <v>4</v>
      </c>
      <c r="J1988" s="2" t="s">
        <v>2775</v>
      </c>
      <c r="K1988" s="2" t="s">
        <v>2776</v>
      </c>
      <c r="L1988" s="2" t="s">
        <v>2777</v>
      </c>
      <c r="M1988" s="2" t="s">
        <v>119</v>
      </c>
      <c r="N1988" s="4" t="str">
        <f t="shared" si="218"/>
        <v>TON</v>
      </c>
      <c r="O1988" s="5">
        <v>4</v>
      </c>
    </row>
    <row r="1989" spans="2:15" x14ac:dyDescent="0.25">
      <c r="B1989" s="1" t="s">
        <v>1520</v>
      </c>
      <c r="C1989" s="2" t="s">
        <v>196</v>
      </c>
      <c r="D1989" s="2" t="s">
        <v>114</v>
      </c>
      <c r="E1989" s="2" t="s">
        <v>402</v>
      </c>
      <c r="F1989" s="3">
        <v>45043</v>
      </c>
      <c r="G1989" s="4">
        <f t="shared" si="216"/>
        <v>4</v>
      </c>
      <c r="H1989" s="4">
        <f t="shared" si="217"/>
        <v>2023</v>
      </c>
      <c r="I1989" s="2" t="s">
        <v>4</v>
      </c>
      <c r="J1989" s="2" t="s">
        <v>2778</v>
      </c>
      <c r="K1989" s="2" t="s">
        <v>2776</v>
      </c>
      <c r="L1989" s="2" t="s">
        <v>2777</v>
      </c>
      <c r="M1989" s="2" t="s">
        <v>119</v>
      </c>
      <c r="N1989" s="4" t="str">
        <f t="shared" si="218"/>
        <v>TON</v>
      </c>
      <c r="O1989" s="5">
        <v>2.5</v>
      </c>
    </row>
    <row r="1990" spans="2:15" x14ac:dyDescent="0.25">
      <c r="B1990" s="1" t="s">
        <v>1520</v>
      </c>
      <c r="C1990" s="2" t="s">
        <v>196</v>
      </c>
      <c r="D1990" s="2" t="s">
        <v>215</v>
      </c>
      <c r="E1990" s="2" t="s">
        <v>315</v>
      </c>
      <c r="F1990" s="3">
        <v>45044</v>
      </c>
      <c r="G1990" s="4">
        <f t="shared" si="216"/>
        <v>4</v>
      </c>
      <c r="H1990" s="4">
        <f t="shared" si="217"/>
        <v>2023</v>
      </c>
      <c r="I1990" s="2" t="s">
        <v>4</v>
      </c>
      <c r="J1990" s="2" t="s">
        <v>2779</v>
      </c>
      <c r="K1990" s="2" t="s">
        <v>822</v>
      </c>
      <c r="L1990" s="2" t="s">
        <v>565</v>
      </c>
      <c r="M1990" s="2" t="s">
        <v>21</v>
      </c>
      <c r="N1990" s="4" t="str">
        <f t="shared" si="218"/>
        <v>GAL</v>
      </c>
      <c r="O1990" s="5">
        <v>100</v>
      </c>
    </row>
    <row r="1991" spans="2:15" x14ac:dyDescent="0.25">
      <c r="B1991" s="1" t="s">
        <v>1520</v>
      </c>
      <c r="C1991" s="2" t="s">
        <v>196</v>
      </c>
      <c r="D1991" s="2" t="s">
        <v>114</v>
      </c>
      <c r="E1991" s="2" t="s">
        <v>927</v>
      </c>
      <c r="F1991" s="3">
        <v>45044</v>
      </c>
      <c r="G1991" s="4">
        <f t="shared" si="216"/>
        <v>4</v>
      </c>
      <c r="H1991" s="4">
        <f t="shared" si="217"/>
        <v>2023</v>
      </c>
      <c r="I1991" s="2" t="s">
        <v>4</v>
      </c>
      <c r="J1991" s="2" t="s">
        <v>2780</v>
      </c>
      <c r="K1991" s="2" t="s">
        <v>2776</v>
      </c>
      <c r="L1991" s="2" t="s">
        <v>2777</v>
      </c>
      <c r="M1991" s="2" t="s">
        <v>119</v>
      </c>
      <c r="N1991" s="4" t="str">
        <f t="shared" si="218"/>
        <v>TON</v>
      </c>
      <c r="O1991" s="5">
        <v>3.53</v>
      </c>
    </row>
    <row r="1992" spans="2:15" x14ac:dyDescent="0.25">
      <c r="B1992" s="1" t="s">
        <v>1520</v>
      </c>
      <c r="C1992" s="2" t="s">
        <v>196</v>
      </c>
      <c r="D1992" s="2" t="s">
        <v>440</v>
      </c>
      <c r="E1992" s="2" t="s">
        <v>441</v>
      </c>
      <c r="F1992" s="3">
        <v>45044</v>
      </c>
      <c r="G1992" s="4">
        <f t="shared" si="216"/>
        <v>4</v>
      </c>
      <c r="H1992" s="4">
        <f t="shared" si="217"/>
        <v>2023</v>
      </c>
      <c r="I1992" s="2" t="s">
        <v>4</v>
      </c>
      <c r="J1992" s="2" t="s">
        <v>2781</v>
      </c>
      <c r="K1992" s="2" t="s">
        <v>2750</v>
      </c>
      <c r="L1992" s="2" t="s">
        <v>2751</v>
      </c>
      <c r="M1992" s="2" t="s">
        <v>119</v>
      </c>
      <c r="N1992" s="4" t="str">
        <f t="shared" si="218"/>
        <v>TON</v>
      </c>
      <c r="O1992" s="5">
        <v>5.0075000000000003</v>
      </c>
    </row>
    <row r="1993" spans="2:15" x14ac:dyDescent="0.25">
      <c r="B1993" s="1" t="s">
        <v>1520</v>
      </c>
      <c r="C1993" s="2" t="s">
        <v>196</v>
      </c>
      <c r="D1993" s="2" t="s">
        <v>387</v>
      </c>
      <c r="E1993" s="2" t="s">
        <v>797</v>
      </c>
      <c r="F1993" s="3">
        <v>45044</v>
      </c>
      <c r="G1993" s="4">
        <f t="shared" si="216"/>
        <v>4</v>
      </c>
      <c r="H1993" s="4">
        <f t="shared" si="217"/>
        <v>2023</v>
      </c>
      <c r="I1993" s="2" t="s">
        <v>4</v>
      </c>
      <c r="J1993" s="2" t="s">
        <v>2782</v>
      </c>
      <c r="K1993" s="2" t="s">
        <v>2750</v>
      </c>
      <c r="L1993" s="2" t="s">
        <v>2751</v>
      </c>
      <c r="M1993" s="2" t="s">
        <v>119</v>
      </c>
      <c r="N1993" s="4" t="str">
        <f t="shared" si="218"/>
        <v>TON</v>
      </c>
      <c r="O1993" s="5">
        <v>10.025</v>
      </c>
    </row>
    <row r="1994" spans="2:15" x14ac:dyDescent="0.25">
      <c r="B1994" s="1" t="s">
        <v>1520</v>
      </c>
      <c r="C1994" s="2" t="s">
        <v>196</v>
      </c>
      <c r="D1994" s="2" t="s">
        <v>299</v>
      </c>
      <c r="E1994" s="2" t="s">
        <v>1140</v>
      </c>
      <c r="F1994" s="3">
        <v>45044</v>
      </c>
      <c r="G1994" s="4">
        <f t="shared" si="216"/>
        <v>4</v>
      </c>
      <c r="H1994" s="4">
        <f t="shared" si="217"/>
        <v>2023</v>
      </c>
      <c r="I1994" s="2" t="s">
        <v>4</v>
      </c>
      <c r="J1994" s="2" t="s">
        <v>2783</v>
      </c>
      <c r="K1994" s="2" t="s">
        <v>2776</v>
      </c>
      <c r="L1994" s="2" t="s">
        <v>2777</v>
      </c>
      <c r="M1994" s="2" t="s">
        <v>119</v>
      </c>
      <c r="N1994" s="4" t="str">
        <f t="shared" si="218"/>
        <v>TON</v>
      </c>
      <c r="O1994" s="5">
        <v>5.5049999999999999</v>
      </c>
    </row>
    <row r="1995" spans="2:15" x14ac:dyDescent="0.25">
      <c r="B1995" s="1" t="s">
        <v>1520</v>
      </c>
      <c r="C1995" s="2" t="s">
        <v>196</v>
      </c>
      <c r="D1995" s="2" t="s">
        <v>837</v>
      </c>
      <c r="E1995" s="2" t="s">
        <v>102</v>
      </c>
      <c r="F1995" s="3">
        <v>45044</v>
      </c>
      <c r="G1995" s="4">
        <f t="shared" si="216"/>
        <v>4</v>
      </c>
      <c r="H1995" s="4">
        <f t="shared" si="217"/>
        <v>2023</v>
      </c>
      <c r="I1995" s="2" t="s">
        <v>4</v>
      </c>
      <c r="J1995" s="2" t="s">
        <v>2784</v>
      </c>
      <c r="K1995" s="2" t="s">
        <v>268</v>
      </c>
      <c r="L1995" s="2" t="s">
        <v>269</v>
      </c>
      <c r="M1995" s="2" t="s">
        <v>119</v>
      </c>
      <c r="N1995" s="4" t="str">
        <f t="shared" si="218"/>
        <v>TON</v>
      </c>
      <c r="O1995" s="5">
        <v>0.15</v>
      </c>
    </row>
    <row r="1996" spans="2:15" x14ac:dyDescent="0.25">
      <c r="B1996" s="1" t="s">
        <v>382</v>
      </c>
      <c r="C1996" s="2" t="s">
        <v>506</v>
      </c>
      <c r="D1996" s="2" t="s">
        <v>515</v>
      </c>
      <c r="E1996" s="2" t="s">
        <v>516</v>
      </c>
      <c r="F1996" s="3">
        <v>45023</v>
      </c>
      <c r="G1996" s="4">
        <f t="shared" si="216"/>
        <v>4</v>
      </c>
      <c r="H1996" s="4">
        <f t="shared" si="217"/>
        <v>2023</v>
      </c>
      <c r="I1996" s="2" t="s">
        <v>4</v>
      </c>
      <c r="J1996" s="2" t="s">
        <v>2785</v>
      </c>
      <c r="K1996" s="2" t="s">
        <v>33</v>
      </c>
      <c r="L1996" s="2" t="s">
        <v>2786</v>
      </c>
      <c r="M1996" s="2" t="s">
        <v>35</v>
      </c>
      <c r="N1996" s="4" t="str">
        <f t="shared" si="218"/>
        <v>GAL</v>
      </c>
      <c r="O1996" s="5">
        <v>60</v>
      </c>
    </row>
    <row r="1997" spans="2:15" x14ac:dyDescent="0.25">
      <c r="B1997" s="1" t="s">
        <v>382</v>
      </c>
      <c r="C1997" s="2" t="s">
        <v>506</v>
      </c>
      <c r="D1997" s="2" t="s">
        <v>616</v>
      </c>
      <c r="E1997" s="2" t="s">
        <v>2787</v>
      </c>
      <c r="F1997" s="3">
        <v>45028</v>
      </c>
      <c r="G1997" s="4">
        <f t="shared" si="216"/>
        <v>4</v>
      </c>
      <c r="H1997" s="4">
        <f t="shared" si="217"/>
        <v>2023</v>
      </c>
      <c r="I1997" s="2" t="s">
        <v>4</v>
      </c>
      <c r="J1997" s="2" t="s">
        <v>2788</v>
      </c>
      <c r="K1997" s="2" t="s">
        <v>83</v>
      </c>
      <c r="L1997" s="2" t="s">
        <v>518</v>
      </c>
      <c r="M1997" s="2" t="s">
        <v>85</v>
      </c>
      <c r="N1997" s="4" t="str">
        <f t="shared" si="218"/>
        <v>GAL</v>
      </c>
      <c r="O1997" s="5">
        <v>20</v>
      </c>
    </row>
    <row r="1998" spans="2:15" x14ac:dyDescent="0.25">
      <c r="B1998" s="1" t="s">
        <v>382</v>
      </c>
      <c r="C1998" s="2" t="s">
        <v>506</v>
      </c>
      <c r="D1998" s="2" t="s">
        <v>521</v>
      </c>
      <c r="E1998" s="2" t="s">
        <v>522</v>
      </c>
      <c r="F1998" s="3">
        <v>45030</v>
      </c>
      <c r="G1998" s="4">
        <f t="shared" si="216"/>
        <v>4</v>
      </c>
      <c r="H1998" s="4">
        <f t="shared" si="217"/>
        <v>2023</v>
      </c>
      <c r="I1998" s="2" t="s">
        <v>4</v>
      </c>
      <c r="J1998" s="2" t="s">
        <v>2789</v>
      </c>
      <c r="K1998" s="2" t="s">
        <v>1266</v>
      </c>
      <c r="L1998" s="2" t="s">
        <v>1267</v>
      </c>
      <c r="M1998" s="2" t="s">
        <v>191</v>
      </c>
      <c r="N1998" s="4" t="str">
        <f t="shared" si="218"/>
        <v>GAL</v>
      </c>
      <c r="O1998" s="5">
        <v>180</v>
      </c>
    </row>
    <row r="1999" spans="2:15" x14ac:dyDescent="0.25">
      <c r="B1999" s="1" t="s">
        <v>382</v>
      </c>
      <c r="C1999" s="2" t="s">
        <v>506</v>
      </c>
      <c r="D1999" s="2" t="s">
        <v>521</v>
      </c>
      <c r="E1999" s="2" t="s">
        <v>522</v>
      </c>
      <c r="F1999" s="3">
        <v>45040</v>
      </c>
      <c r="G1999" s="4">
        <f t="shared" si="216"/>
        <v>4</v>
      </c>
      <c r="H1999" s="4">
        <f t="shared" si="217"/>
        <v>2023</v>
      </c>
      <c r="I1999" s="2" t="s">
        <v>4</v>
      </c>
      <c r="J1999" s="2" t="s">
        <v>2790</v>
      </c>
      <c r="K1999" s="2" t="s">
        <v>1395</v>
      </c>
      <c r="L1999" s="2" t="s">
        <v>1396</v>
      </c>
      <c r="M1999" s="2" t="s">
        <v>1397</v>
      </c>
      <c r="N1999" s="4" t="str">
        <f t="shared" si="218"/>
        <v>GAL</v>
      </c>
      <c r="O1999" s="5">
        <v>180</v>
      </c>
    </row>
    <row r="2000" spans="2:15" x14ac:dyDescent="0.25">
      <c r="B2000" s="1" t="s">
        <v>382</v>
      </c>
      <c r="C2000" s="2" t="s">
        <v>506</v>
      </c>
      <c r="D2000" s="2" t="s">
        <v>521</v>
      </c>
      <c r="E2000" s="2" t="s">
        <v>522</v>
      </c>
      <c r="F2000" s="3">
        <v>45040</v>
      </c>
      <c r="G2000" s="4">
        <f t="shared" si="216"/>
        <v>4</v>
      </c>
      <c r="H2000" s="4">
        <f t="shared" si="217"/>
        <v>2023</v>
      </c>
      <c r="I2000" s="2" t="s">
        <v>4</v>
      </c>
      <c r="J2000" s="2" t="s">
        <v>2790</v>
      </c>
      <c r="K2000" s="2" t="s">
        <v>244</v>
      </c>
      <c r="L2000" s="2" t="s">
        <v>182</v>
      </c>
      <c r="M2000" s="2" t="s">
        <v>183</v>
      </c>
      <c r="N2000" s="4" t="str">
        <f t="shared" si="218"/>
        <v>GAL</v>
      </c>
      <c r="O2000" s="5">
        <v>180</v>
      </c>
    </row>
    <row r="2001" spans="2:15" x14ac:dyDescent="0.25">
      <c r="B2001" s="1" t="s">
        <v>382</v>
      </c>
      <c r="C2001" s="2" t="s">
        <v>506</v>
      </c>
      <c r="D2001" s="2" t="s">
        <v>515</v>
      </c>
      <c r="E2001" s="2" t="s">
        <v>516</v>
      </c>
      <c r="F2001" s="3">
        <v>45044</v>
      </c>
      <c r="G2001" s="4">
        <f t="shared" si="216"/>
        <v>4</v>
      </c>
      <c r="H2001" s="4">
        <f t="shared" si="217"/>
        <v>2023</v>
      </c>
      <c r="I2001" s="2" t="s">
        <v>4</v>
      </c>
      <c r="J2001" s="2" t="s">
        <v>2791</v>
      </c>
      <c r="K2001" s="2" t="s">
        <v>642</v>
      </c>
      <c r="L2001" s="2" t="s">
        <v>111</v>
      </c>
      <c r="M2001" s="2" t="s">
        <v>112</v>
      </c>
      <c r="N2001" s="4" t="str">
        <f t="shared" si="218"/>
        <v>GAL</v>
      </c>
      <c r="O2001" s="5">
        <v>120</v>
      </c>
    </row>
    <row r="2002" spans="2:15" x14ac:dyDescent="0.25">
      <c r="B2002" s="1" t="s">
        <v>645</v>
      </c>
      <c r="C2002" s="2" t="s">
        <v>1025</v>
      </c>
      <c r="D2002" s="2" t="s">
        <v>2079</v>
      </c>
      <c r="E2002" s="2" t="s">
        <v>1402</v>
      </c>
      <c r="F2002" s="3">
        <v>45023</v>
      </c>
      <c r="G2002" s="4">
        <f t="shared" si="216"/>
        <v>4</v>
      </c>
      <c r="H2002" s="4">
        <f t="shared" si="217"/>
        <v>2023</v>
      </c>
      <c r="I2002" s="2" t="s">
        <v>4</v>
      </c>
      <c r="J2002" s="2" t="s">
        <v>2792</v>
      </c>
      <c r="K2002" s="2" t="s">
        <v>2081</v>
      </c>
      <c r="L2002" s="2" t="s">
        <v>1405</v>
      </c>
      <c r="M2002" s="2" t="s">
        <v>1397</v>
      </c>
      <c r="N2002" s="4" t="str">
        <f t="shared" si="218"/>
        <v>GAL</v>
      </c>
      <c r="O2002" s="5">
        <v>1000</v>
      </c>
    </row>
    <row r="2003" spans="2:15" x14ac:dyDescent="0.25">
      <c r="B2003" s="1" t="s">
        <v>645</v>
      </c>
      <c r="C2003" s="2" t="s">
        <v>1025</v>
      </c>
      <c r="D2003" s="2" t="s">
        <v>1401</v>
      </c>
      <c r="E2003" s="2" t="s">
        <v>1402</v>
      </c>
      <c r="F2003" s="3">
        <v>45023</v>
      </c>
      <c r="G2003" s="4">
        <f t="shared" si="216"/>
        <v>4</v>
      </c>
      <c r="H2003" s="4">
        <f t="shared" si="217"/>
        <v>2023</v>
      </c>
      <c r="I2003" s="2" t="s">
        <v>4</v>
      </c>
      <c r="J2003" s="2" t="s">
        <v>2793</v>
      </c>
      <c r="K2003" s="2" t="s">
        <v>1404</v>
      </c>
      <c r="L2003" s="2" t="s">
        <v>1405</v>
      </c>
      <c r="M2003" s="2" t="s">
        <v>1397</v>
      </c>
      <c r="N2003" s="4" t="str">
        <f t="shared" si="218"/>
        <v>GAL</v>
      </c>
      <c r="O2003" s="5">
        <v>480</v>
      </c>
    </row>
    <row r="2004" spans="2:15" x14ac:dyDescent="0.25">
      <c r="B2004" s="1" t="s">
        <v>1742</v>
      </c>
      <c r="C2004" s="2" t="s">
        <v>1025</v>
      </c>
      <c r="D2004" s="2" t="s">
        <v>124</v>
      </c>
      <c r="E2004" s="2" t="s">
        <v>2475</v>
      </c>
      <c r="F2004" s="3">
        <v>45023</v>
      </c>
      <c r="G2004" s="4">
        <f t="shared" si="216"/>
        <v>4</v>
      </c>
      <c r="H2004" s="4">
        <f t="shared" si="217"/>
        <v>2023</v>
      </c>
      <c r="I2004" s="2" t="s">
        <v>4</v>
      </c>
      <c r="J2004" s="2" t="s">
        <v>2794</v>
      </c>
      <c r="K2004" s="2" t="s">
        <v>158</v>
      </c>
      <c r="L2004" s="2" t="s">
        <v>159</v>
      </c>
      <c r="M2004" s="2" t="s">
        <v>160</v>
      </c>
      <c r="N2004" s="4" t="str">
        <f t="shared" si="218"/>
        <v>GAL</v>
      </c>
      <c r="O2004" s="5">
        <v>360</v>
      </c>
    </row>
    <row r="2005" spans="2:15" x14ac:dyDescent="0.25">
      <c r="B2005" s="1" t="s">
        <v>1742</v>
      </c>
      <c r="C2005" s="2" t="s">
        <v>1025</v>
      </c>
      <c r="D2005" s="2" t="s">
        <v>2478</v>
      </c>
      <c r="E2005" s="2" t="s">
        <v>124</v>
      </c>
      <c r="F2005" s="3">
        <v>45023</v>
      </c>
      <c r="G2005" s="4">
        <f t="shared" si="216"/>
        <v>4</v>
      </c>
      <c r="H2005" s="4">
        <f t="shared" si="217"/>
        <v>2023</v>
      </c>
      <c r="I2005" s="2" t="s">
        <v>4</v>
      </c>
      <c r="J2005" s="2" t="s">
        <v>2795</v>
      </c>
      <c r="K2005" s="2" t="s">
        <v>551</v>
      </c>
      <c r="L2005" s="2" t="s">
        <v>2426</v>
      </c>
      <c r="M2005" s="2" t="s">
        <v>553</v>
      </c>
      <c r="N2005" s="4" t="str">
        <f t="shared" si="218"/>
        <v>GAL</v>
      </c>
      <c r="O2005" s="5">
        <v>7.5</v>
      </c>
    </row>
    <row r="2006" spans="2:15" x14ac:dyDescent="0.25">
      <c r="B2006" s="1" t="s">
        <v>1742</v>
      </c>
      <c r="C2006" s="2" t="s">
        <v>1025</v>
      </c>
      <c r="D2006" s="2" t="s">
        <v>496</v>
      </c>
      <c r="E2006" s="2" t="s">
        <v>497</v>
      </c>
      <c r="F2006" s="3">
        <v>45023</v>
      </c>
      <c r="G2006" s="4">
        <f t="shared" si="216"/>
        <v>4</v>
      </c>
      <c r="H2006" s="4">
        <f t="shared" si="217"/>
        <v>2023</v>
      </c>
      <c r="I2006" s="2" t="s">
        <v>4</v>
      </c>
      <c r="J2006" s="2" t="s">
        <v>2796</v>
      </c>
      <c r="K2006" s="2" t="s">
        <v>499</v>
      </c>
      <c r="L2006" s="2" t="s">
        <v>500</v>
      </c>
      <c r="M2006" s="2" t="s">
        <v>119</v>
      </c>
      <c r="N2006" s="4" t="str">
        <f t="shared" si="218"/>
        <v>TON</v>
      </c>
      <c r="O2006" s="5">
        <v>3.7475000000000001</v>
      </c>
    </row>
    <row r="2007" spans="2:15" x14ac:dyDescent="0.25">
      <c r="B2007" s="1" t="s">
        <v>645</v>
      </c>
      <c r="C2007" s="2" t="s">
        <v>1025</v>
      </c>
      <c r="D2007" s="2" t="s">
        <v>1401</v>
      </c>
      <c r="E2007" s="2" t="s">
        <v>1402</v>
      </c>
      <c r="F2007" s="3">
        <v>45033</v>
      </c>
      <c r="G2007" s="4">
        <f t="shared" si="216"/>
        <v>4</v>
      </c>
      <c r="H2007" s="4">
        <f t="shared" si="217"/>
        <v>2023</v>
      </c>
      <c r="I2007" s="2" t="s">
        <v>4</v>
      </c>
      <c r="J2007" s="2" t="s">
        <v>2797</v>
      </c>
      <c r="K2007" s="2" t="s">
        <v>1404</v>
      </c>
      <c r="L2007" s="2" t="s">
        <v>1405</v>
      </c>
      <c r="M2007" s="2" t="s">
        <v>1397</v>
      </c>
      <c r="N2007" s="4" t="str">
        <f t="shared" si="218"/>
        <v>GAL</v>
      </c>
      <c r="O2007" s="5">
        <v>120</v>
      </c>
    </row>
    <row r="2008" spans="2:15" x14ac:dyDescent="0.25">
      <c r="B2008" s="1" t="s">
        <v>1742</v>
      </c>
      <c r="C2008" s="2" t="s">
        <v>1025</v>
      </c>
      <c r="D2008" s="2" t="s">
        <v>2079</v>
      </c>
      <c r="E2008" s="2" t="s">
        <v>1402</v>
      </c>
      <c r="F2008" s="3">
        <v>45033</v>
      </c>
      <c r="G2008" s="4">
        <f t="shared" si="216"/>
        <v>4</v>
      </c>
      <c r="H2008" s="4">
        <f t="shared" si="217"/>
        <v>2023</v>
      </c>
      <c r="I2008" s="2" t="s">
        <v>4</v>
      </c>
      <c r="J2008" s="2" t="s">
        <v>2798</v>
      </c>
      <c r="K2008" s="2" t="s">
        <v>1643</v>
      </c>
      <c r="L2008" s="2" t="s">
        <v>1644</v>
      </c>
      <c r="M2008" s="2" t="s">
        <v>46</v>
      </c>
      <c r="N2008" s="4" t="str">
        <f t="shared" si="218"/>
        <v>GAL</v>
      </c>
      <c r="O2008" s="5">
        <v>180</v>
      </c>
    </row>
    <row r="2009" spans="2:15" x14ac:dyDescent="0.25">
      <c r="B2009" s="1" t="s">
        <v>645</v>
      </c>
      <c r="C2009" s="2" t="s">
        <v>1025</v>
      </c>
      <c r="D2009" s="2" t="s">
        <v>2092</v>
      </c>
      <c r="E2009" s="2" t="s">
        <v>2093</v>
      </c>
      <c r="F2009" s="3">
        <v>45033</v>
      </c>
      <c r="G2009" s="4">
        <f t="shared" si="216"/>
        <v>4</v>
      </c>
      <c r="H2009" s="4">
        <f t="shared" si="217"/>
        <v>2023</v>
      </c>
      <c r="I2009" s="2" t="s">
        <v>4</v>
      </c>
      <c r="J2009" s="2" t="s">
        <v>2799</v>
      </c>
      <c r="K2009" s="2" t="s">
        <v>2095</v>
      </c>
      <c r="L2009" s="2" t="s">
        <v>2096</v>
      </c>
      <c r="M2009" s="2" t="s">
        <v>119</v>
      </c>
      <c r="N2009" s="4" t="str">
        <f t="shared" si="218"/>
        <v>TON</v>
      </c>
      <c r="O2009" s="5">
        <v>15.0175</v>
      </c>
    </row>
    <row r="2010" spans="2:15" x14ac:dyDescent="0.25">
      <c r="B2010" s="1" t="s">
        <v>645</v>
      </c>
      <c r="C2010" s="2" t="s">
        <v>1025</v>
      </c>
      <c r="D2010" s="2" t="s">
        <v>1401</v>
      </c>
      <c r="E2010" s="2" t="s">
        <v>1402</v>
      </c>
      <c r="F2010" s="3">
        <v>45035</v>
      </c>
      <c r="G2010" s="4">
        <f t="shared" si="216"/>
        <v>4</v>
      </c>
      <c r="H2010" s="4">
        <f t="shared" si="217"/>
        <v>2023</v>
      </c>
      <c r="I2010" s="2" t="s">
        <v>4</v>
      </c>
      <c r="J2010" s="2" t="s">
        <v>2800</v>
      </c>
      <c r="K2010" s="2" t="s">
        <v>1404</v>
      </c>
      <c r="L2010" s="2" t="s">
        <v>1405</v>
      </c>
      <c r="M2010" s="2" t="s">
        <v>1397</v>
      </c>
      <c r="N2010" s="4" t="str">
        <f t="shared" si="218"/>
        <v>GAL</v>
      </c>
      <c r="O2010" s="5">
        <v>360</v>
      </c>
    </row>
    <row r="2011" spans="2:15" x14ac:dyDescent="0.25">
      <c r="B2011" s="1" t="s">
        <v>645</v>
      </c>
      <c r="C2011" s="2" t="s">
        <v>1025</v>
      </c>
      <c r="D2011" s="2" t="s">
        <v>1026</v>
      </c>
      <c r="E2011" s="2" t="s">
        <v>102</v>
      </c>
      <c r="F2011" s="3">
        <v>45041</v>
      </c>
      <c r="G2011" s="4">
        <f t="shared" si="216"/>
        <v>4</v>
      </c>
      <c r="H2011" s="4">
        <f t="shared" si="217"/>
        <v>2023</v>
      </c>
      <c r="I2011" s="2" t="s">
        <v>4</v>
      </c>
      <c r="J2011" s="2" t="s">
        <v>2801</v>
      </c>
      <c r="K2011" s="2" t="s">
        <v>1028</v>
      </c>
      <c r="L2011" s="2" t="s">
        <v>1029</v>
      </c>
      <c r="M2011" s="2" t="s">
        <v>106</v>
      </c>
      <c r="N2011" s="4" t="str">
        <f t="shared" si="218"/>
        <v>LBS</v>
      </c>
      <c r="O2011" s="5">
        <v>23840</v>
      </c>
    </row>
    <row r="2012" spans="2:15" x14ac:dyDescent="0.25">
      <c r="B2012" s="1" t="s">
        <v>1410</v>
      </c>
      <c r="C2012" s="2" t="s">
        <v>525</v>
      </c>
      <c r="D2012" s="2" t="s">
        <v>507</v>
      </c>
      <c r="E2012" s="2" t="s">
        <v>508</v>
      </c>
      <c r="F2012" s="3">
        <v>45019</v>
      </c>
      <c r="G2012" s="4">
        <f t="shared" si="216"/>
        <v>4</v>
      </c>
      <c r="H2012" s="4">
        <f t="shared" si="217"/>
        <v>2023</v>
      </c>
      <c r="I2012" s="2" t="s">
        <v>4</v>
      </c>
      <c r="J2012" s="2" t="s">
        <v>2802</v>
      </c>
      <c r="K2012" s="2" t="s">
        <v>158</v>
      </c>
      <c r="L2012" s="2" t="s">
        <v>159</v>
      </c>
      <c r="M2012" s="2" t="s">
        <v>160</v>
      </c>
      <c r="N2012" s="4" t="str">
        <f t="shared" si="218"/>
        <v>GAL</v>
      </c>
      <c r="O2012" s="5">
        <v>360</v>
      </c>
    </row>
    <row r="2013" spans="2:15" x14ac:dyDescent="0.25">
      <c r="B2013" s="6" t="s">
        <v>1410</v>
      </c>
      <c r="C2013" s="7" t="s">
        <v>525</v>
      </c>
      <c r="D2013" s="8" t="s">
        <v>124</v>
      </c>
      <c r="E2013" s="8" t="s">
        <v>526</v>
      </c>
      <c r="F2013" s="12">
        <v>45019</v>
      </c>
      <c r="G2013" s="10">
        <f t="shared" si="216"/>
        <v>4</v>
      </c>
      <c r="H2013" s="10">
        <f t="shared" si="217"/>
        <v>2023</v>
      </c>
      <c r="I2013" s="8" t="s">
        <v>4</v>
      </c>
      <c r="J2013" s="8" t="s">
        <v>2803</v>
      </c>
      <c r="K2013" s="8" t="s">
        <v>1034</v>
      </c>
      <c r="L2013" s="8" t="s">
        <v>1035</v>
      </c>
      <c r="M2013" s="8" t="s">
        <v>119</v>
      </c>
      <c r="N2013" s="10" t="str">
        <f t="shared" si="218"/>
        <v>TON</v>
      </c>
      <c r="O2013" s="11">
        <v>11.4</v>
      </c>
    </row>
    <row r="2014" spans="2:15" x14ac:dyDescent="0.25">
      <c r="B2014" s="1" t="s">
        <v>1410</v>
      </c>
      <c r="C2014" s="2" t="s">
        <v>525</v>
      </c>
      <c r="D2014" s="2" t="s">
        <v>507</v>
      </c>
      <c r="E2014" s="2" t="s">
        <v>508</v>
      </c>
      <c r="F2014" s="3">
        <v>45020</v>
      </c>
      <c r="G2014" s="4">
        <f t="shared" si="216"/>
        <v>4</v>
      </c>
      <c r="H2014" s="4">
        <f t="shared" si="217"/>
        <v>2023</v>
      </c>
      <c r="I2014" s="2" t="s">
        <v>4</v>
      </c>
      <c r="J2014" s="2" t="s">
        <v>2804</v>
      </c>
      <c r="K2014" s="2" t="s">
        <v>329</v>
      </c>
      <c r="L2014" s="2" t="s">
        <v>330</v>
      </c>
      <c r="M2014" s="2" t="s">
        <v>119</v>
      </c>
      <c r="N2014" s="4" t="str">
        <f t="shared" si="218"/>
        <v>TON</v>
      </c>
      <c r="O2014" s="5">
        <v>2.5</v>
      </c>
    </row>
    <row r="2015" spans="2:15" x14ac:dyDescent="0.25">
      <c r="B2015" s="1" t="s">
        <v>1410</v>
      </c>
      <c r="C2015" s="2" t="s">
        <v>525</v>
      </c>
      <c r="D2015" s="2" t="s">
        <v>124</v>
      </c>
      <c r="E2015" s="2" t="s">
        <v>526</v>
      </c>
      <c r="F2015" s="3">
        <v>45021</v>
      </c>
      <c r="G2015" s="4">
        <f t="shared" si="216"/>
        <v>4</v>
      </c>
      <c r="H2015" s="4">
        <f t="shared" si="217"/>
        <v>2023</v>
      </c>
      <c r="I2015" s="2" t="s">
        <v>4</v>
      </c>
      <c r="J2015" s="2" t="s">
        <v>2805</v>
      </c>
      <c r="K2015" s="2" t="s">
        <v>817</v>
      </c>
      <c r="L2015" s="2" t="s">
        <v>818</v>
      </c>
      <c r="M2015" s="2" t="s">
        <v>556</v>
      </c>
      <c r="N2015" s="4" t="str">
        <f t="shared" si="218"/>
        <v>GAL</v>
      </c>
      <c r="O2015" s="5">
        <v>35</v>
      </c>
    </row>
    <row r="2016" spans="2:15" x14ac:dyDescent="0.25">
      <c r="B2016" s="6" t="s">
        <v>1410</v>
      </c>
      <c r="C2016" s="7" t="s">
        <v>525</v>
      </c>
      <c r="D2016" s="8" t="s">
        <v>124</v>
      </c>
      <c r="E2016" s="8" t="s">
        <v>526</v>
      </c>
      <c r="F2016" s="12">
        <v>45021</v>
      </c>
      <c r="G2016" s="10">
        <f t="shared" si="216"/>
        <v>4</v>
      </c>
      <c r="H2016" s="10">
        <f t="shared" si="217"/>
        <v>2023</v>
      </c>
      <c r="I2016" s="8" t="s">
        <v>4</v>
      </c>
      <c r="J2016" s="8" t="s">
        <v>2806</v>
      </c>
      <c r="K2016" s="8" t="s">
        <v>1034</v>
      </c>
      <c r="L2016" s="8" t="s">
        <v>1035</v>
      </c>
      <c r="M2016" s="8" t="s">
        <v>119</v>
      </c>
      <c r="N2016" s="10" t="str">
        <f t="shared" si="218"/>
        <v>TON</v>
      </c>
      <c r="O2016" s="11">
        <v>10.119999999999999</v>
      </c>
    </row>
    <row r="2017" spans="2:15" x14ac:dyDescent="0.25">
      <c r="B2017" s="1" t="s">
        <v>1410</v>
      </c>
      <c r="C2017" s="2" t="s">
        <v>525</v>
      </c>
      <c r="D2017" s="2" t="s">
        <v>124</v>
      </c>
      <c r="E2017" s="2" t="s">
        <v>526</v>
      </c>
      <c r="F2017" s="3">
        <v>45036</v>
      </c>
      <c r="G2017" s="4">
        <f t="shared" si="216"/>
        <v>4</v>
      </c>
      <c r="H2017" s="4">
        <f t="shared" si="217"/>
        <v>2023</v>
      </c>
      <c r="I2017" s="2" t="s">
        <v>4</v>
      </c>
      <c r="J2017" s="2" t="s">
        <v>2807</v>
      </c>
      <c r="K2017" s="2" t="s">
        <v>2493</v>
      </c>
      <c r="L2017" s="2" t="s">
        <v>2494</v>
      </c>
      <c r="M2017" s="2" t="s">
        <v>119</v>
      </c>
      <c r="N2017" s="4" t="str">
        <f t="shared" si="218"/>
        <v>TON</v>
      </c>
      <c r="O2017" s="5">
        <v>6</v>
      </c>
    </row>
    <row r="2018" spans="2:15" x14ac:dyDescent="0.25">
      <c r="B2018" s="6" t="s">
        <v>1410</v>
      </c>
      <c r="C2018" s="7" t="s">
        <v>525</v>
      </c>
      <c r="D2018" s="8" t="s">
        <v>124</v>
      </c>
      <c r="E2018" s="8" t="s">
        <v>526</v>
      </c>
      <c r="F2018" s="12">
        <v>45036</v>
      </c>
      <c r="G2018" s="10">
        <f t="shared" si="216"/>
        <v>4</v>
      </c>
      <c r="H2018" s="10">
        <f t="shared" si="217"/>
        <v>2023</v>
      </c>
      <c r="I2018" s="8" t="s">
        <v>4</v>
      </c>
      <c r="J2018" s="7" t="s">
        <v>2808</v>
      </c>
      <c r="K2018" s="8" t="s">
        <v>1034</v>
      </c>
      <c r="L2018" s="8" t="s">
        <v>1035</v>
      </c>
      <c r="M2018" s="8" t="s">
        <v>119</v>
      </c>
      <c r="N2018" s="10" t="str">
        <f t="shared" si="218"/>
        <v>TON</v>
      </c>
      <c r="O2018" s="11">
        <v>5.99</v>
      </c>
    </row>
    <row r="2019" spans="2:15" x14ac:dyDescent="0.25">
      <c r="B2019" s="6" t="s">
        <v>1410</v>
      </c>
      <c r="C2019" s="7" t="s">
        <v>525</v>
      </c>
      <c r="D2019" s="8" t="s">
        <v>124</v>
      </c>
      <c r="E2019" s="8" t="s">
        <v>526</v>
      </c>
      <c r="F2019" s="12">
        <v>45027</v>
      </c>
      <c r="G2019" s="10">
        <f t="shared" si="216"/>
        <v>4</v>
      </c>
      <c r="H2019" s="10">
        <f t="shared" si="217"/>
        <v>2023</v>
      </c>
      <c r="I2019" s="8" t="s">
        <v>4</v>
      </c>
      <c r="J2019" s="7" t="s">
        <v>2809</v>
      </c>
      <c r="K2019" s="8" t="s">
        <v>1034</v>
      </c>
      <c r="L2019" s="8" t="s">
        <v>1035</v>
      </c>
      <c r="M2019" s="8" t="s">
        <v>119</v>
      </c>
      <c r="N2019" s="10" t="str">
        <f t="shared" si="218"/>
        <v>TON</v>
      </c>
      <c r="O2019" s="11">
        <v>8.9600000000000009</v>
      </c>
    </row>
    <row r="2020" spans="2:15" x14ac:dyDescent="0.25">
      <c r="B2020" s="1" t="s">
        <v>1410</v>
      </c>
      <c r="C2020" s="2" t="s">
        <v>525</v>
      </c>
      <c r="D2020" s="2" t="s">
        <v>507</v>
      </c>
      <c r="E2020" s="2" t="s">
        <v>508</v>
      </c>
      <c r="F2020" s="3">
        <v>45037</v>
      </c>
      <c r="G2020" s="4">
        <f t="shared" si="216"/>
        <v>4</v>
      </c>
      <c r="H2020" s="4">
        <f t="shared" si="217"/>
        <v>2023</v>
      </c>
      <c r="I2020" s="2" t="s">
        <v>4</v>
      </c>
      <c r="J2020" s="2" t="s">
        <v>2810</v>
      </c>
      <c r="K2020" s="2" t="s">
        <v>329</v>
      </c>
      <c r="L2020" s="2" t="s">
        <v>330</v>
      </c>
      <c r="M2020" s="2" t="s">
        <v>119</v>
      </c>
      <c r="N2020" s="4" t="str">
        <f t="shared" si="218"/>
        <v>TON</v>
      </c>
      <c r="O2020" s="5">
        <v>2.5</v>
      </c>
    </row>
    <row r="2021" spans="2:15" x14ac:dyDescent="0.25">
      <c r="B2021" s="1" t="s">
        <v>1410</v>
      </c>
      <c r="C2021" s="2" t="s">
        <v>525</v>
      </c>
      <c r="D2021" s="2" t="s">
        <v>507</v>
      </c>
      <c r="E2021" s="2" t="s">
        <v>508</v>
      </c>
      <c r="F2021" s="3">
        <v>45037</v>
      </c>
      <c r="G2021" s="4">
        <f t="shared" si="216"/>
        <v>4</v>
      </c>
      <c r="H2021" s="4">
        <f t="shared" si="217"/>
        <v>2023</v>
      </c>
      <c r="I2021" s="2" t="s">
        <v>4</v>
      </c>
      <c r="J2021" s="2" t="s">
        <v>2811</v>
      </c>
      <c r="K2021" s="2" t="s">
        <v>1119</v>
      </c>
      <c r="L2021" s="2" t="s">
        <v>1023</v>
      </c>
      <c r="M2021" s="2" t="s">
        <v>1024</v>
      </c>
      <c r="N2021" s="4" t="str">
        <f t="shared" si="218"/>
        <v>GAL</v>
      </c>
      <c r="O2021" s="5">
        <v>50</v>
      </c>
    </row>
    <row r="2022" spans="2:15" x14ac:dyDescent="0.25">
      <c r="B2022" s="1" t="s">
        <v>1410</v>
      </c>
      <c r="C2022" s="2" t="s">
        <v>525</v>
      </c>
      <c r="D2022" s="2" t="s">
        <v>507</v>
      </c>
      <c r="E2022" s="2" t="s">
        <v>508</v>
      </c>
      <c r="F2022" s="3">
        <v>45037</v>
      </c>
      <c r="G2022" s="4">
        <f t="shared" si="216"/>
        <v>4</v>
      </c>
      <c r="H2022" s="4">
        <f t="shared" si="217"/>
        <v>2023</v>
      </c>
      <c r="I2022" s="2" t="s">
        <v>4</v>
      </c>
      <c r="J2022" s="2" t="s">
        <v>2812</v>
      </c>
      <c r="K2022" s="2" t="s">
        <v>158</v>
      </c>
      <c r="L2022" s="2" t="s">
        <v>159</v>
      </c>
      <c r="M2022" s="2" t="s">
        <v>160</v>
      </c>
      <c r="N2022" s="4" t="str">
        <f t="shared" si="218"/>
        <v>GAL</v>
      </c>
      <c r="O2022" s="5">
        <v>180</v>
      </c>
    </row>
    <row r="2023" spans="2:15" x14ac:dyDescent="0.25">
      <c r="B2023" s="6" t="s">
        <v>1410</v>
      </c>
      <c r="C2023" s="7" t="s">
        <v>525</v>
      </c>
      <c r="D2023" s="8" t="s">
        <v>124</v>
      </c>
      <c r="E2023" s="8" t="s">
        <v>526</v>
      </c>
      <c r="F2023" s="12">
        <v>45040</v>
      </c>
      <c r="G2023" s="10">
        <f t="shared" si="216"/>
        <v>4</v>
      </c>
      <c r="H2023" s="10">
        <f t="shared" si="217"/>
        <v>2023</v>
      </c>
      <c r="I2023" s="8" t="s">
        <v>4</v>
      </c>
      <c r="J2023" s="7" t="s">
        <v>2813</v>
      </c>
      <c r="K2023" s="8" t="s">
        <v>1034</v>
      </c>
      <c r="L2023" s="8" t="s">
        <v>1035</v>
      </c>
      <c r="M2023" s="8" t="s">
        <v>119</v>
      </c>
      <c r="N2023" s="10" t="str">
        <f t="shared" si="218"/>
        <v>TON</v>
      </c>
      <c r="O2023" s="11">
        <v>4.22</v>
      </c>
    </row>
    <row r="2024" spans="2:15" x14ac:dyDescent="0.25">
      <c r="B2024" s="1" t="s">
        <v>1410</v>
      </c>
      <c r="C2024" s="2" t="s">
        <v>525</v>
      </c>
      <c r="D2024" s="2" t="s">
        <v>646</v>
      </c>
      <c r="E2024" s="2" t="s">
        <v>647</v>
      </c>
      <c r="F2024" s="3">
        <v>45041</v>
      </c>
      <c r="G2024" s="4">
        <f t="shared" si="216"/>
        <v>4</v>
      </c>
      <c r="H2024" s="4">
        <f t="shared" si="217"/>
        <v>2023</v>
      </c>
      <c r="I2024" s="2" t="s">
        <v>4</v>
      </c>
      <c r="J2024" s="2" t="s">
        <v>2814</v>
      </c>
      <c r="K2024" s="2" t="s">
        <v>649</v>
      </c>
      <c r="L2024" s="2" t="s">
        <v>538</v>
      </c>
      <c r="M2024" s="2" t="s">
        <v>539</v>
      </c>
      <c r="N2024" s="4" t="str">
        <f t="shared" si="218"/>
        <v>GAL</v>
      </c>
      <c r="O2024" s="5">
        <v>500</v>
      </c>
    </row>
    <row r="2025" spans="2:15" x14ac:dyDescent="0.25">
      <c r="B2025" s="1" t="s">
        <v>1410</v>
      </c>
      <c r="C2025" s="2" t="s">
        <v>525</v>
      </c>
      <c r="D2025" s="2" t="s">
        <v>507</v>
      </c>
      <c r="E2025" s="2" t="s">
        <v>508</v>
      </c>
      <c r="F2025" s="3">
        <v>45042</v>
      </c>
      <c r="G2025" s="4">
        <f t="shared" si="216"/>
        <v>4</v>
      </c>
      <c r="H2025" s="4">
        <f t="shared" si="217"/>
        <v>2023</v>
      </c>
      <c r="I2025" s="2" t="s">
        <v>4</v>
      </c>
      <c r="J2025" s="2" t="s">
        <v>2815</v>
      </c>
      <c r="K2025" s="2" t="s">
        <v>185</v>
      </c>
      <c r="L2025" s="2" t="s">
        <v>165</v>
      </c>
      <c r="M2025" s="2" t="s">
        <v>166</v>
      </c>
      <c r="N2025" s="4" t="str">
        <f t="shared" si="218"/>
        <v>GAL</v>
      </c>
      <c r="O2025" s="5">
        <v>250</v>
      </c>
    </row>
    <row r="2026" spans="2:15" x14ac:dyDescent="0.25">
      <c r="B2026" s="1" t="s">
        <v>1410</v>
      </c>
      <c r="C2026" s="2" t="s">
        <v>525</v>
      </c>
      <c r="D2026" s="2" t="s">
        <v>507</v>
      </c>
      <c r="E2026" s="2" t="s">
        <v>508</v>
      </c>
      <c r="F2026" s="3">
        <v>45042</v>
      </c>
      <c r="G2026" s="4">
        <f t="shared" si="216"/>
        <v>4</v>
      </c>
      <c r="H2026" s="4">
        <f t="shared" si="217"/>
        <v>2023</v>
      </c>
      <c r="I2026" s="2" t="s">
        <v>4</v>
      </c>
      <c r="J2026" s="2" t="s">
        <v>2815</v>
      </c>
      <c r="K2026" s="2" t="s">
        <v>2600</v>
      </c>
      <c r="L2026" s="2" t="s">
        <v>1644</v>
      </c>
      <c r="M2026" s="2" t="s">
        <v>46</v>
      </c>
      <c r="N2026" s="4" t="str">
        <f t="shared" si="218"/>
        <v>GAL</v>
      </c>
      <c r="O2026" s="5">
        <v>250</v>
      </c>
    </row>
    <row r="2027" spans="2:15" x14ac:dyDescent="0.25">
      <c r="B2027" s="1" t="s">
        <v>1410</v>
      </c>
      <c r="C2027" s="2" t="s">
        <v>525</v>
      </c>
      <c r="D2027" s="2" t="s">
        <v>507</v>
      </c>
      <c r="E2027" s="2" t="s">
        <v>508</v>
      </c>
      <c r="F2027" s="3">
        <v>45042</v>
      </c>
      <c r="G2027" s="4">
        <f t="shared" si="216"/>
        <v>4</v>
      </c>
      <c r="H2027" s="4">
        <f t="shared" si="217"/>
        <v>2023</v>
      </c>
      <c r="I2027" s="2" t="s">
        <v>4</v>
      </c>
      <c r="J2027" s="2" t="s">
        <v>2815</v>
      </c>
      <c r="K2027" s="2" t="s">
        <v>1643</v>
      </c>
      <c r="L2027" s="2" t="s">
        <v>1644</v>
      </c>
      <c r="M2027" s="2" t="s">
        <v>46</v>
      </c>
      <c r="N2027" s="4" t="str">
        <f t="shared" si="218"/>
        <v>GAL</v>
      </c>
      <c r="O2027" s="5">
        <v>2.5</v>
      </c>
    </row>
    <row r="2028" spans="2:15" x14ac:dyDescent="0.25">
      <c r="B2028" s="1" t="s">
        <v>1050</v>
      </c>
      <c r="C2028" s="2" t="s">
        <v>533</v>
      </c>
      <c r="D2028" s="2" t="s">
        <v>604</v>
      </c>
      <c r="E2028" s="2" t="s">
        <v>102</v>
      </c>
      <c r="F2028" s="3">
        <v>45020</v>
      </c>
      <c r="G2028" s="4">
        <f t="shared" si="216"/>
        <v>4</v>
      </c>
      <c r="H2028" s="4">
        <f t="shared" si="217"/>
        <v>2023</v>
      </c>
      <c r="I2028" s="2" t="s">
        <v>4</v>
      </c>
      <c r="J2028" s="2" t="s">
        <v>2816</v>
      </c>
      <c r="K2028" s="2" t="s">
        <v>1807</v>
      </c>
      <c r="L2028" s="2" t="s">
        <v>1808</v>
      </c>
      <c r="M2028" s="2" t="s">
        <v>106</v>
      </c>
      <c r="N2028" s="4" t="str">
        <f t="shared" si="218"/>
        <v>LBS</v>
      </c>
      <c r="O2028" s="5">
        <v>13237.5</v>
      </c>
    </row>
    <row r="2029" spans="2:15" x14ac:dyDescent="0.25">
      <c r="B2029" s="1" t="s">
        <v>645</v>
      </c>
      <c r="C2029" s="2" t="s">
        <v>533</v>
      </c>
      <c r="D2029" s="2" t="s">
        <v>2144</v>
      </c>
      <c r="E2029" s="2" t="s">
        <v>2524</v>
      </c>
      <c r="F2029" s="3">
        <v>45021</v>
      </c>
      <c r="G2029" s="4">
        <f t="shared" si="216"/>
        <v>4</v>
      </c>
      <c r="H2029" s="4">
        <f t="shared" si="217"/>
        <v>2023</v>
      </c>
      <c r="I2029" s="2" t="s">
        <v>4</v>
      </c>
      <c r="J2029" s="2" t="s">
        <v>2817</v>
      </c>
      <c r="K2029" s="2" t="s">
        <v>2553</v>
      </c>
      <c r="L2029" s="2" t="s">
        <v>2527</v>
      </c>
      <c r="M2029" s="2" t="s">
        <v>2528</v>
      </c>
      <c r="N2029" s="4" t="str">
        <f t="shared" si="218"/>
        <v>GAL</v>
      </c>
      <c r="O2029" s="5">
        <v>4000</v>
      </c>
    </row>
    <row r="2030" spans="2:15" x14ac:dyDescent="0.25">
      <c r="B2030" s="1" t="s">
        <v>645</v>
      </c>
      <c r="C2030" s="2" t="s">
        <v>533</v>
      </c>
      <c r="D2030" s="2" t="s">
        <v>2144</v>
      </c>
      <c r="E2030" s="2" t="s">
        <v>2524</v>
      </c>
      <c r="F2030" s="3">
        <v>45022</v>
      </c>
      <c r="G2030" s="4">
        <f t="shared" si="216"/>
        <v>4</v>
      </c>
      <c r="H2030" s="4">
        <f t="shared" si="217"/>
        <v>2023</v>
      </c>
      <c r="I2030" s="2" t="s">
        <v>4</v>
      </c>
      <c r="J2030" s="2" t="s">
        <v>2818</v>
      </c>
      <c r="K2030" s="2" t="s">
        <v>2553</v>
      </c>
      <c r="L2030" s="2" t="s">
        <v>2527</v>
      </c>
      <c r="M2030" s="2" t="s">
        <v>2528</v>
      </c>
      <c r="N2030" s="4" t="str">
        <f t="shared" si="218"/>
        <v>GAL</v>
      </c>
      <c r="O2030" s="5">
        <v>4000</v>
      </c>
    </row>
    <row r="2031" spans="2:15" x14ac:dyDescent="0.25">
      <c r="B2031" s="1" t="s">
        <v>1050</v>
      </c>
      <c r="C2031" s="2" t="s">
        <v>533</v>
      </c>
      <c r="D2031" s="2" t="s">
        <v>562</v>
      </c>
      <c r="E2031" s="2" t="s">
        <v>2819</v>
      </c>
      <c r="F2031" s="3">
        <v>45022</v>
      </c>
      <c r="G2031" s="4">
        <f t="shared" si="216"/>
        <v>4</v>
      </c>
      <c r="H2031" s="4">
        <f t="shared" si="217"/>
        <v>2023</v>
      </c>
      <c r="I2031" s="2" t="s">
        <v>4</v>
      </c>
      <c r="J2031" s="2" t="s">
        <v>2820</v>
      </c>
      <c r="K2031" s="2" t="s">
        <v>83</v>
      </c>
      <c r="L2031" s="2" t="s">
        <v>518</v>
      </c>
      <c r="M2031" s="2" t="s">
        <v>85</v>
      </c>
      <c r="N2031" s="4" t="str">
        <f t="shared" si="218"/>
        <v>GAL</v>
      </c>
      <c r="O2031" s="5">
        <v>360</v>
      </c>
    </row>
    <row r="2032" spans="2:15" x14ac:dyDescent="0.25">
      <c r="B2032" s="6" t="s">
        <v>1050</v>
      </c>
      <c r="C2032" s="7" t="s">
        <v>533</v>
      </c>
      <c r="D2032" s="8" t="s">
        <v>557</v>
      </c>
      <c r="E2032" s="8" t="s">
        <v>2821</v>
      </c>
      <c r="F2032" s="12">
        <v>45023</v>
      </c>
      <c r="G2032" s="10">
        <f t="shared" si="216"/>
        <v>4</v>
      </c>
      <c r="H2032" s="10">
        <f t="shared" si="217"/>
        <v>2023</v>
      </c>
      <c r="I2032" s="8" t="s">
        <v>4</v>
      </c>
      <c r="J2032" s="7" t="s">
        <v>2822</v>
      </c>
      <c r="K2032" s="8" t="s">
        <v>2823</v>
      </c>
      <c r="L2032" s="8" t="s">
        <v>2824</v>
      </c>
      <c r="M2032" s="8" t="s">
        <v>27</v>
      </c>
      <c r="N2032" s="10" t="str">
        <f t="shared" si="218"/>
        <v>GAL</v>
      </c>
      <c r="O2032" s="11">
        <v>750</v>
      </c>
    </row>
    <row r="2033" spans="2:15" x14ac:dyDescent="0.25">
      <c r="B2033" s="6" t="s">
        <v>1050</v>
      </c>
      <c r="C2033" s="7" t="s">
        <v>533</v>
      </c>
      <c r="D2033" s="8" t="s">
        <v>557</v>
      </c>
      <c r="E2033" s="8" t="s">
        <v>2821</v>
      </c>
      <c r="F2033" s="12">
        <v>45023</v>
      </c>
      <c r="G2033" s="10">
        <f t="shared" si="216"/>
        <v>4</v>
      </c>
      <c r="H2033" s="10">
        <f t="shared" si="217"/>
        <v>2023</v>
      </c>
      <c r="I2033" s="8" t="s">
        <v>4</v>
      </c>
      <c r="J2033" s="7" t="s">
        <v>2822</v>
      </c>
      <c r="K2033" s="8" t="s">
        <v>2825</v>
      </c>
      <c r="L2033" s="8" t="s">
        <v>2824</v>
      </c>
      <c r="M2033" s="8" t="s">
        <v>27</v>
      </c>
      <c r="N2033" s="10" t="str">
        <f t="shared" si="218"/>
        <v>GAL</v>
      </c>
      <c r="O2033" s="11">
        <v>180</v>
      </c>
    </row>
    <row r="2034" spans="2:15" x14ac:dyDescent="0.25">
      <c r="B2034" s="1" t="s">
        <v>1050</v>
      </c>
      <c r="C2034" s="2" t="s">
        <v>533</v>
      </c>
      <c r="D2034" s="2" t="s">
        <v>557</v>
      </c>
      <c r="E2034" s="2" t="s">
        <v>2826</v>
      </c>
      <c r="F2034" s="3">
        <v>45029</v>
      </c>
      <c r="G2034" s="4">
        <f t="shared" si="216"/>
        <v>4</v>
      </c>
      <c r="H2034" s="4">
        <f t="shared" si="217"/>
        <v>2023</v>
      </c>
      <c r="I2034" s="2" t="s">
        <v>4</v>
      </c>
      <c r="J2034" s="2" t="s">
        <v>2827</v>
      </c>
      <c r="K2034" s="2" t="s">
        <v>817</v>
      </c>
      <c r="L2034" s="2" t="s">
        <v>818</v>
      </c>
      <c r="M2034" s="2" t="s">
        <v>556</v>
      </c>
      <c r="N2034" s="4" t="str">
        <f t="shared" si="218"/>
        <v>GAL</v>
      </c>
      <c r="O2034" s="5">
        <v>180</v>
      </c>
    </row>
    <row r="2035" spans="2:15" x14ac:dyDescent="0.25">
      <c r="B2035" s="6" t="s">
        <v>645</v>
      </c>
      <c r="C2035" s="7" t="s">
        <v>533</v>
      </c>
      <c r="D2035" s="8" t="s">
        <v>534</v>
      </c>
      <c r="E2035" s="8" t="s">
        <v>535</v>
      </c>
      <c r="F2035" s="12">
        <v>45034</v>
      </c>
      <c r="G2035" s="10">
        <f t="shared" si="216"/>
        <v>4</v>
      </c>
      <c r="H2035" s="10">
        <f t="shared" si="217"/>
        <v>2023</v>
      </c>
      <c r="I2035" s="8" t="s">
        <v>4</v>
      </c>
      <c r="J2035" s="7" t="s">
        <v>2828</v>
      </c>
      <c r="K2035" s="8" t="s">
        <v>1723</v>
      </c>
      <c r="L2035" s="8" t="s">
        <v>1724</v>
      </c>
      <c r="M2035" s="8" t="s">
        <v>13</v>
      </c>
      <c r="N2035" s="10" t="str">
        <f t="shared" si="218"/>
        <v>GAL</v>
      </c>
      <c r="O2035" s="11">
        <v>250</v>
      </c>
    </row>
    <row r="2036" spans="2:15" x14ac:dyDescent="0.25">
      <c r="B2036" s="1" t="s">
        <v>645</v>
      </c>
      <c r="C2036" s="2" t="s">
        <v>533</v>
      </c>
      <c r="D2036" s="2" t="s">
        <v>534</v>
      </c>
      <c r="E2036" s="2" t="s">
        <v>535</v>
      </c>
      <c r="F2036" s="3">
        <v>45034</v>
      </c>
      <c r="G2036" s="4">
        <f t="shared" si="216"/>
        <v>4</v>
      </c>
      <c r="H2036" s="4">
        <f t="shared" si="217"/>
        <v>2023</v>
      </c>
      <c r="I2036" s="2" t="s">
        <v>4</v>
      </c>
      <c r="J2036" s="2" t="s">
        <v>2828</v>
      </c>
      <c r="K2036" s="2" t="s">
        <v>1188</v>
      </c>
      <c r="L2036" s="2" t="s">
        <v>541</v>
      </c>
      <c r="M2036" s="2" t="s">
        <v>27</v>
      </c>
      <c r="N2036" s="4" t="str">
        <f t="shared" si="218"/>
        <v>GAL</v>
      </c>
      <c r="O2036" s="5">
        <v>250</v>
      </c>
    </row>
    <row r="2037" spans="2:15" x14ac:dyDescent="0.25">
      <c r="B2037" s="1" t="s">
        <v>645</v>
      </c>
      <c r="C2037" s="2" t="s">
        <v>533</v>
      </c>
      <c r="D2037" s="2" t="s">
        <v>534</v>
      </c>
      <c r="E2037" s="2" t="s">
        <v>535</v>
      </c>
      <c r="F2037" s="3">
        <v>45034</v>
      </c>
      <c r="G2037" s="4">
        <f t="shared" si="216"/>
        <v>4</v>
      </c>
      <c r="H2037" s="4">
        <f t="shared" si="217"/>
        <v>2023</v>
      </c>
      <c r="I2037" s="2" t="s">
        <v>4</v>
      </c>
      <c r="J2037" s="2" t="s">
        <v>2828</v>
      </c>
      <c r="K2037" s="2" t="s">
        <v>554</v>
      </c>
      <c r="L2037" s="2" t="s">
        <v>555</v>
      </c>
      <c r="M2037" s="2" t="s">
        <v>556</v>
      </c>
      <c r="N2037" s="4" t="str">
        <f t="shared" si="218"/>
        <v>GAL</v>
      </c>
      <c r="O2037" s="5">
        <v>250</v>
      </c>
    </row>
    <row r="2038" spans="2:15" x14ac:dyDescent="0.25">
      <c r="B2038" s="1" t="s">
        <v>645</v>
      </c>
      <c r="C2038" s="2" t="s">
        <v>533</v>
      </c>
      <c r="D2038" s="2" t="s">
        <v>2456</v>
      </c>
      <c r="E2038" s="2" t="s">
        <v>2829</v>
      </c>
      <c r="F2038" s="3">
        <v>45034</v>
      </c>
      <c r="G2038" s="4">
        <f t="shared" si="216"/>
        <v>4</v>
      </c>
      <c r="H2038" s="4">
        <f t="shared" si="217"/>
        <v>2023</v>
      </c>
      <c r="I2038" s="2" t="s">
        <v>4</v>
      </c>
      <c r="J2038" s="2" t="s">
        <v>2830</v>
      </c>
      <c r="K2038" s="2" t="s">
        <v>642</v>
      </c>
      <c r="L2038" s="2" t="s">
        <v>111</v>
      </c>
      <c r="M2038" s="2" t="s">
        <v>112</v>
      </c>
      <c r="N2038" s="4" t="str">
        <f t="shared" si="218"/>
        <v>GAL</v>
      </c>
      <c r="O2038" s="5">
        <v>360</v>
      </c>
    </row>
    <row r="2039" spans="2:15" x14ac:dyDescent="0.25">
      <c r="B2039" s="1" t="s">
        <v>1050</v>
      </c>
      <c r="C2039" s="2" t="s">
        <v>533</v>
      </c>
      <c r="D2039" s="2" t="s">
        <v>557</v>
      </c>
      <c r="E2039" s="2" t="s">
        <v>2153</v>
      </c>
      <c r="F2039" s="3">
        <v>45036</v>
      </c>
      <c r="G2039" s="4">
        <f t="shared" si="216"/>
        <v>4</v>
      </c>
      <c r="H2039" s="4">
        <f t="shared" si="217"/>
        <v>2023</v>
      </c>
      <c r="I2039" s="2" t="s">
        <v>4</v>
      </c>
      <c r="J2039" s="2" t="s">
        <v>2831</v>
      </c>
      <c r="K2039" s="2" t="s">
        <v>2832</v>
      </c>
      <c r="L2039" s="2" t="s">
        <v>1773</v>
      </c>
      <c r="M2039" s="2" t="s">
        <v>166</v>
      </c>
      <c r="N2039" s="4" t="str">
        <f t="shared" si="218"/>
        <v>GAL</v>
      </c>
      <c r="O2039" s="5">
        <v>180</v>
      </c>
    </row>
    <row r="2040" spans="2:15" x14ac:dyDescent="0.25">
      <c r="B2040" s="1" t="s">
        <v>1050</v>
      </c>
      <c r="C2040" s="2" t="s">
        <v>533</v>
      </c>
      <c r="D2040" s="2" t="s">
        <v>557</v>
      </c>
      <c r="E2040" s="2" t="s">
        <v>2153</v>
      </c>
      <c r="F2040" s="3">
        <v>45036</v>
      </c>
      <c r="G2040" s="4">
        <f t="shared" si="216"/>
        <v>4</v>
      </c>
      <c r="H2040" s="4">
        <f t="shared" si="217"/>
        <v>2023</v>
      </c>
      <c r="I2040" s="2" t="s">
        <v>4</v>
      </c>
      <c r="J2040" s="2" t="s">
        <v>2831</v>
      </c>
      <c r="K2040" s="2" t="s">
        <v>1772</v>
      </c>
      <c r="L2040" s="2" t="s">
        <v>1773</v>
      </c>
      <c r="M2040" s="2" t="s">
        <v>106</v>
      </c>
      <c r="N2040" s="4" t="str">
        <f t="shared" si="218"/>
        <v>LBS</v>
      </c>
      <c r="O2040" s="5">
        <v>14000</v>
      </c>
    </row>
    <row r="2041" spans="2:15" x14ac:dyDescent="0.25">
      <c r="B2041" s="1" t="s">
        <v>645</v>
      </c>
      <c r="C2041" s="2" t="s">
        <v>533</v>
      </c>
      <c r="D2041" s="2" t="s">
        <v>2144</v>
      </c>
      <c r="E2041" s="2" t="s">
        <v>2145</v>
      </c>
      <c r="F2041" s="3">
        <v>45041</v>
      </c>
      <c r="G2041" s="4">
        <f t="shared" si="216"/>
        <v>4</v>
      </c>
      <c r="H2041" s="4">
        <f t="shared" si="217"/>
        <v>2023</v>
      </c>
      <c r="I2041" s="2" t="s">
        <v>4</v>
      </c>
      <c r="J2041" s="2" t="s">
        <v>2833</v>
      </c>
      <c r="K2041" s="2" t="s">
        <v>2147</v>
      </c>
      <c r="L2041" s="2" t="s">
        <v>2148</v>
      </c>
      <c r="M2041" s="2" t="s">
        <v>41</v>
      </c>
      <c r="N2041" s="4" t="str">
        <f t="shared" si="218"/>
        <v>GAL</v>
      </c>
      <c r="O2041" s="5">
        <v>540</v>
      </c>
    </row>
    <row r="2042" spans="2:15" x14ac:dyDescent="0.25">
      <c r="B2042" s="1" t="s">
        <v>645</v>
      </c>
      <c r="C2042" s="2" t="s">
        <v>533</v>
      </c>
      <c r="D2042" s="2" t="s">
        <v>2144</v>
      </c>
      <c r="E2042" s="2" t="s">
        <v>2145</v>
      </c>
      <c r="F2042" s="3">
        <v>45041</v>
      </c>
      <c r="G2042" s="4">
        <f t="shared" si="216"/>
        <v>4</v>
      </c>
      <c r="H2042" s="4">
        <f t="shared" si="217"/>
        <v>2023</v>
      </c>
      <c r="I2042" s="2" t="s">
        <v>4</v>
      </c>
      <c r="J2042" s="2" t="s">
        <v>2833</v>
      </c>
      <c r="K2042" s="2" t="s">
        <v>1734</v>
      </c>
      <c r="L2042" s="2" t="s">
        <v>2521</v>
      </c>
      <c r="M2042" s="2" t="s">
        <v>1736</v>
      </c>
      <c r="N2042" s="4" t="str">
        <f t="shared" si="218"/>
        <v>GAL</v>
      </c>
      <c r="O2042" s="5">
        <v>360</v>
      </c>
    </row>
    <row r="2043" spans="2:15" x14ac:dyDescent="0.25">
      <c r="B2043" s="1" t="s">
        <v>1050</v>
      </c>
      <c r="C2043" s="2" t="s">
        <v>533</v>
      </c>
      <c r="D2043" s="2" t="s">
        <v>557</v>
      </c>
      <c r="E2043" s="2" t="s">
        <v>2826</v>
      </c>
      <c r="F2043" s="3">
        <v>45041</v>
      </c>
      <c r="G2043" s="4">
        <f t="shared" si="216"/>
        <v>4</v>
      </c>
      <c r="H2043" s="4">
        <f t="shared" si="217"/>
        <v>2023</v>
      </c>
      <c r="I2043" s="2" t="s">
        <v>4</v>
      </c>
      <c r="J2043" s="2" t="s">
        <v>2834</v>
      </c>
      <c r="K2043" s="2" t="s">
        <v>817</v>
      </c>
      <c r="L2043" s="2" t="s">
        <v>818</v>
      </c>
      <c r="M2043" s="2" t="s">
        <v>556</v>
      </c>
      <c r="N2043" s="4" t="str">
        <f t="shared" si="218"/>
        <v>GAL</v>
      </c>
      <c r="O2043" s="5">
        <v>360</v>
      </c>
    </row>
    <row r="2044" spans="2:15" x14ac:dyDescent="0.25">
      <c r="B2044" s="1" t="s">
        <v>645</v>
      </c>
      <c r="C2044" s="2" t="s">
        <v>533</v>
      </c>
      <c r="D2044" s="2" t="s">
        <v>2144</v>
      </c>
      <c r="E2044" s="2" t="s">
        <v>2145</v>
      </c>
      <c r="F2044" s="3">
        <v>45042</v>
      </c>
      <c r="G2044" s="4">
        <f t="shared" si="216"/>
        <v>4</v>
      </c>
      <c r="H2044" s="4">
        <f t="shared" si="217"/>
        <v>2023</v>
      </c>
      <c r="I2044" s="2" t="s">
        <v>4</v>
      </c>
      <c r="J2044" s="2" t="s">
        <v>2835</v>
      </c>
      <c r="K2044" s="2" t="s">
        <v>2836</v>
      </c>
      <c r="L2044" s="2" t="s">
        <v>2148</v>
      </c>
      <c r="M2044" s="2" t="s">
        <v>41</v>
      </c>
      <c r="N2044" s="4" t="str">
        <f t="shared" si="218"/>
        <v>GAL</v>
      </c>
      <c r="O2044" s="5">
        <v>500</v>
      </c>
    </row>
    <row r="2045" spans="2:15" x14ac:dyDescent="0.25">
      <c r="B2045" s="1" t="s">
        <v>2837</v>
      </c>
      <c r="C2045" s="2" t="s">
        <v>2838</v>
      </c>
      <c r="D2045" s="2" t="s">
        <v>2839</v>
      </c>
      <c r="E2045" s="2" t="s">
        <v>102</v>
      </c>
      <c r="F2045" s="3">
        <v>45019</v>
      </c>
      <c r="G2045" s="4">
        <f t="shared" si="216"/>
        <v>4</v>
      </c>
      <c r="H2045" s="4">
        <f t="shared" si="217"/>
        <v>2023</v>
      </c>
      <c r="I2045" s="2" t="s">
        <v>4</v>
      </c>
      <c r="J2045" s="2" t="s">
        <v>2840</v>
      </c>
      <c r="K2045" s="2" t="s">
        <v>22</v>
      </c>
      <c r="L2045" s="2" t="s">
        <v>176</v>
      </c>
      <c r="M2045" s="2" t="s">
        <v>24</v>
      </c>
      <c r="N2045" s="4" t="str">
        <f t="shared" si="218"/>
        <v>GAL</v>
      </c>
      <c r="O2045" s="5">
        <v>720</v>
      </c>
    </row>
    <row r="2046" spans="2:15" x14ac:dyDescent="0.25">
      <c r="B2046" s="1" t="s">
        <v>0</v>
      </c>
      <c r="C2046" s="2" t="s">
        <v>1</v>
      </c>
      <c r="D2046" s="2" t="s">
        <v>2</v>
      </c>
      <c r="E2046" s="2" t="s">
        <v>63</v>
      </c>
      <c r="F2046" s="3">
        <v>45047</v>
      </c>
      <c r="G2046" s="4">
        <f t="shared" si="216"/>
        <v>5</v>
      </c>
      <c r="H2046" s="4">
        <f t="shared" si="217"/>
        <v>2023</v>
      </c>
      <c r="I2046" s="2" t="s">
        <v>4</v>
      </c>
      <c r="J2046" s="2" t="s">
        <v>2841</v>
      </c>
      <c r="K2046" s="2" t="s">
        <v>65</v>
      </c>
      <c r="L2046" s="2" t="s">
        <v>66</v>
      </c>
      <c r="M2046" s="2" t="s">
        <v>67</v>
      </c>
      <c r="N2046" s="4" t="str">
        <f t="shared" si="218"/>
        <v>GAL</v>
      </c>
      <c r="O2046" s="5">
        <v>30</v>
      </c>
    </row>
    <row r="2047" spans="2:15" x14ac:dyDescent="0.25">
      <c r="B2047" s="1" t="s">
        <v>0</v>
      </c>
      <c r="C2047" s="2" t="s">
        <v>1</v>
      </c>
      <c r="D2047" s="2" t="s">
        <v>2</v>
      </c>
      <c r="E2047" s="2" t="s">
        <v>63</v>
      </c>
      <c r="F2047" s="3">
        <v>45047</v>
      </c>
      <c r="G2047" s="4">
        <f t="shared" si="216"/>
        <v>5</v>
      </c>
      <c r="H2047" s="4">
        <f t="shared" si="217"/>
        <v>2023</v>
      </c>
      <c r="I2047" s="2" t="s">
        <v>4</v>
      </c>
      <c r="J2047" s="2" t="s">
        <v>2841</v>
      </c>
      <c r="K2047" s="2" t="s">
        <v>68</v>
      </c>
      <c r="L2047" s="2" t="s">
        <v>34</v>
      </c>
      <c r="M2047" s="2" t="s">
        <v>35</v>
      </c>
      <c r="N2047" s="4" t="str">
        <f t="shared" si="218"/>
        <v>GAL</v>
      </c>
      <c r="O2047" s="5">
        <v>30</v>
      </c>
    </row>
    <row r="2048" spans="2:15" x14ac:dyDescent="0.25">
      <c r="B2048" s="1" t="s">
        <v>0</v>
      </c>
      <c r="C2048" s="2" t="s">
        <v>1</v>
      </c>
      <c r="D2048" s="2" t="s">
        <v>2</v>
      </c>
      <c r="E2048" s="2" t="s">
        <v>63</v>
      </c>
      <c r="F2048" s="3">
        <v>45047</v>
      </c>
      <c r="G2048" s="4">
        <f t="shared" si="216"/>
        <v>5</v>
      </c>
      <c r="H2048" s="4">
        <f t="shared" si="217"/>
        <v>2023</v>
      </c>
      <c r="I2048" s="2" t="s">
        <v>4</v>
      </c>
      <c r="J2048" s="2" t="s">
        <v>2841</v>
      </c>
      <c r="K2048" s="2" t="s">
        <v>69</v>
      </c>
      <c r="L2048" s="2" t="s">
        <v>20</v>
      </c>
      <c r="M2048" s="2" t="s">
        <v>21</v>
      </c>
      <c r="N2048" s="4" t="str">
        <f t="shared" si="218"/>
        <v>GAL</v>
      </c>
      <c r="O2048" s="5">
        <v>30</v>
      </c>
    </row>
    <row r="2049" spans="2:15" x14ac:dyDescent="0.25">
      <c r="B2049" s="1" t="s">
        <v>0</v>
      </c>
      <c r="C2049" s="2" t="s">
        <v>1</v>
      </c>
      <c r="D2049" s="2" t="s">
        <v>2</v>
      </c>
      <c r="E2049" s="2" t="s">
        <v>63</v>
      </c>
      <c r="F2049" s="3">
        <v>45047</v>
      </c>
      <c r="G2049" s="4">
        <f t="shared" si="216"/>
        <v>5</v>
      </c>
      <c r="H2049" s="4">
        <f t="shared" si="217"/>
        <v>2023</v>
      </c>
      <c r="I2049" s="2" t="s">
        <v>4</v>
      </c>
      <c r="J2049" s="2" t="s">
        <v>2841</v>
      </c>
      <c r="K2049" s="2" t="s">
        <v>70</v>
      </c>
      <c r="L2049" s="2" t="s">
        <v>48</v>
      </c>
      <c r="M2049" s="2" t="s">
        <v>49</v>
      </c>
      <c r="N2049" s="4" t="str">
        <f t="shared" si="218"/>
        <v>GAL</v>
      </c>
      <c r="O2049" s="5">
        <v>30</v>
      </c>
    </row>
    <row r="2050" spans="2:15" x14ac:dyDescent="0.25">
      <c r="B2050" s="1" t="s">
        <v>0</v>
      </c>
      <c r="C2050" s="2" t="s">
        <v>1</v>
      </c>
      <c r="D2050" s="2" t="s">
        <v>2</v>
      </c>
      <c r="E2050" s="2" t="s">
        <v>63</v>
      </c>
      <c r="F2050" s="3">
        <v>45047</v>
      </c>
      <c r="G2050" s="4">
        <f t="shared" si="216"/>
        <v>5</v>
      </c>
      <c r="H2050" s="4">
        <f t="shared" si="217"/>
        <v>2023</v>
      </c>
      <c r="I2050" s="2" t="s">
        <v>4</v>
      </c>
      <c r="J2050" s="2" t="s">
        <v>2841</v>
      </c>
      <c r="K2050" s="2" t="s">
        <v>71</v>
      </c>
      <c r="L2050" s="2" t="s">
        <v>72</v>
      </c>
      <c r="M2050" s="2" t="s">
        <v>73</v>
      </c>
      <c r="N2050" s="4" t="str">
        <f t="shared" si="218"/>
        <v>GAL</v>
      </c>
      <c r="O2050" s="5">
        <v>30</v>
      </c>
    </row>
    <row r="2051" spans="2:15" x14ac:dyDescent="0.25">
      <c r="B2051" s="1" t="s">
        <v>0</v>
      </c>
      <c r="C2051" s="2" t="s">
        <v>1</v>
      </c>
      <c r="D2051" s="2" t="s">
        <v>2</v>
      </c>
      <c r="E2051" s="2" t="s">
        <v>63</v>
      </c>
      <c r="F2051" s="3">
        <v>45047</v>
      </c>
      <c r="G2051" s="4">
        <f t="shared" ref="G2051:G2114" si="219">+MONTH(F2051)</f>
        <v>5</v>
      </c>
      <c r="H2051" s="4">
        <f t="shared" ref="H2051:H2114" si="220">+YEAR(F2051)</f>
        <v>2023</v>
      </c>
      <c r="I2051" s="2" t="s">
        <v>4</v>
      </c>
      <c r="J2051" s="2" t="s">
        <v>2841</v>
      </c>
      <c r="K2051" s="2" t="s">
        <v>74</v>
      </c>
      <c r="L2051" s="2" t="s">
        <v>75</v>
      </c>
      <c r="M2051" s="2" t="s">
        <v>76</v>
      </c>
      <c r="N2051" s="4" t="str">
        <f t="shared" ref="N2051:N2114" si="221">+LEFT(M2051,3)</f>
        <v>GAL</v>
      </c>
      <c r="O2051" s="5">
        <v>30</v>
      </c>
    </row>
    <row r="2052" spans="2:15" x14ac:dyDescent="0.25">
      <c r="B2052" s="1" t="s">
        <v>0</v>
      </c>
      <c r="C2052" s="2" t="s">
        <v>1</v>
      </c>
      <c r="D2052" s="2" t="s">
        <v>2</v>
      </c>
      <c r="E2052" s="2" t="s">
        <v>63</v>
      </c>
      <c r="F2052" s="3">
        <v>45047</v>
      </c>
      <c r="G2052" s="4">
        <f t="shared" si="219"/>
        <v>5</v>
      </c>
      <c r="H2052" s="4">
        <f t="shared" si="220"/>
        <v>2023</v>
      </c>
      <c r="I2052" s="2" t="s">
        <v>4</v>
      </c>
      <c r="J2052" s="2" t="s">
        <v>2841</v>
      </c>
      <c r="K2052" s="2" t="s">
        <v>77</v>
      </c>
      <c r="L2052" s="2" t="s">
        <v>7</v>
      </c>
      <c r="M2052" s="2" t="s">
        <v>8</v>
      </c>
      <c r="N2052" s="4" t="str">
        <f t="shared" si="221"/>
        <v>GAL</v>
      </c>
      <c r="O2052" s="5">
        <v>30</v>
      </c>
    </row>
    <row r="2053" spans="2:15" x14ac:dyDescent="0.25">
      <c r="B2053" s="1" t="s">
        <v>0</v>
      </c>
      <c r="C2053" s="2" t="s">
        <v>1</v>
      </c>
      <c r="D2053" s="2" t="s">
        <v>2</v>
      </c>
      <c r="E2053" s="2" t="s">
        <v>1790</v>
      </c>
      <c r="F2053" s="3">
        <v>45058</v>
      </c>
      <c r="G2053" s="4">
        <f t="shared" si="219"/>
        <v>5</v>
      </c>
      <c r="H2053" s="4">
        <f t="shared" si="220"/>
        <v>2023</v>
      </c>
      <c r="I2053" s="2" t="s">
        <v>4</v>
      </c>
      <c r="J2053" s="2" t="s">
        <v>2842</v>
      </c>
      <c r="K2053" s="2" t="s">
        <v>19</v>
      </c>
      <c r="L2053" s="2" t="s">
        <v>20</v>
      </c>
      <c r="M2053" s="2" t="s">
        <v>21</v>
      </c>
      <c r="N2053" s="4" t="str">
        <f t="shared" si="221"/>
        <v>GAL</v>
      </c>
      <c r="O2053" s="5">
        <v>40</v>
      </c>
    </row>
    <row r="2054" spans="2:15" x14ac:dyDescent="0.25">
      <c r="B2054" s="1" t="s">
        <v>0</v>
      </c>
      <c r="C2054" s="2" t="s">
        <v>1</v>
      </c>
      <c r="D2054" s="2" t="s">
        <v>2</v>
      </c>
      <c r="E2054" s="2" t="s">
        <v>1790</v>
      </c>
      <c r="F2054" s="3">
        <v>45058</v>
      </c>
      <c r="G2054" s="4">
        <f t="shared" si="219"/>
        <v>5</v>
      </c>
      <c r="H2054" s="4">
        <f t="shared" si="220"/>
        <v>2023</v>
      </c>
      <c r="I2054" s="2" t="s">
        <v>4</v>
      </c>
      <c r="J2054" s="2" t="s">
        <v>2842</v>
      </c>
      <c r="K2054" s="2" t="s">
        <v>22</v>
      </c>
      <c r="L2054" s="2" t="s">
        <v>23</v>
      </c>
      <c r="M2054" s="2" t="s">
        <v>24</v>
      </c>
      <c r="N2054" s="4" t="str">
        <f t="shared" si="221"/>
        <v>GAL</v>
      </c>
      <c r="O2054" s="5">
        <v>40</v>
      </c>
    </row>
    <row r="2055" spans="2:15" x14ac:dyDescent="0.25">
      <c r="B2055" s="1" t="s">
        <v>0</v>
      </c>
      <c r="C2055" s="2" t="s">
        <v>1</v>
      </c>
      <c r="D2055" s="2" t="s">
        <v>2</v>
      </c>
      <c r="E2055" s="2" t="s">
        <v>1790</v>
      </c>
      <c r="F2055" s="3">
        <v>45058</v>
      </c>
      <c r="G2055" s="4">
        <f t="shared" si="219"/>
        <v>5</v>
      </c>
      <c r="H2055" s="4">
        <f t="shared" si="220"/>
        <v>2023</v>
      </c>
      <c r="I2055" s="2" t="s">
        <v>4</v>
      </c>
      <c r="J2055" s="2" t="s">
        <v>2842</v>
      </c>
      <c r="K2055" s="2" t="s">
        <v>25</v>
      </c>
      <c r="L2055" s="2" t="s">
        <v>26</v>
      </c>
      <c r="M2055" s="2" t="s">
        <v>27</v>
      </c>
      <c r="N2055" s="4" t="str">
        <f t="shared" si="221"/>
        <v>GAL</v>
      </c>
      <c r="O2055" s="5">
        <v>40</v>
      </c>
    </row>
    <row r="2056" spans="2:15" x14ac:dyDescent="0.25">
      <c r="B2056" s="1" t="s">
        <v>0</v>
      </c>
      <c r="C2056" s="2" t="s">
        <v>1</v>
      </c>
      <c r="D2056" s="2" t="s">
        <v>2</v>
      </c>
      <c r="E2056" s="2" t="s">
        <v>1790</v>
      </c>
      <c r="F2056" s="3">
        <v>45058</v>
      </c>
      <c r="G2056" s="4">
        <f t="shared" si="219"/>
        <v>5</v>
      </c>
      <c r="H2056" s="4">
        <f t="shared" si="220"/>
        <v>2023</v>
      </c>
      <c r="I2056" s="2" t="s">
        <v>4</v>
      </c>
      <c r="J2056" s="2" t="s">
        <v>2842</v>
      </c>
      <c r="K2056" s="2" t="s">
        <v>28</v>
      </c>
      <c r="L2056" s="2" t="s">
        <v>29</v>
      </c>
      <c r="M2056" s="2" t="s">
        <v>30</v>
      </c>
      <c r="N2056" s="4" t="str">
        <f t="shared" si="221"/>
        <v>GAL</v>
      </c>
      <c r="O2056" s="5">
        <v>40</v>
      </c>
    </row>
    <row r="2057" spans="2:15" x14ac:dyDescent="0.25">
      <c r="B2057" s="1" t="s">
        <v>0</v>
      </c>
      <c r="C2057" s="2" t="s">
        <v>1</v>
      </c>
      <c r="D2057" s="2" t="s">
        <v>2</v>
      </c>
      <c r="E2057" s="2" t="s">
        <v>1790</v>
      </c>
      <c r="F2057" s="3">
        <v>45058</v>
      </c>
      <c r="G2057" s="4">
        <f t="shared" si="219"/>
        <v>5</v>
      </c>
      <c r="H2057" s="4">
        <f t="shared" si="220"/>
        <v>2023</v>
      </c>
      <c r="I2057" s="2" t="s">
        <v>4</v>
      </c>
      <c r="J2057" s="2" t="s">
        <v>2842</v>
      </c>
      <c r="K2057" s="2" t="s">
        <v>16</v>
      </c>
      <c r="L2057" s="2" t="s">
        <v>7</v>
      </c>
      <c r="M2057" s="2" t="s">
        <v>8</v>
      </c>
      <c r="N2057" s="4" t="str">
        <f t="shared" si="221"/>
        <v>GAL</v>
      </c>
      <c r="O2057" s="5">
        <v>40</v>
      </c>
    </row>
    <row r="2058" spans="2:15" x14ac:dyDescent="0.25">
      <c r="B2058" s="1" t="s">
        <v>0</v>
      </c>
      <c r="C2058" s="2" t="s">
        <v>1</v>
      </c>
      <c r="D2058" s="2" t="s">
        <v>2</v>
      </c>
      <c r="E2058" s="2" t="s">
        <v>42</v>
      </c>
      <c r="F2058" s="3">
        <v>45058</v>
      </c>
      <c r="G2058" s="4">
        <f t="shared" si="219"/>
        <v>5</v>
      </c>
      <c r="H2058" s="4">
        <f t="shared" si="220"/>
        <v>2023</v>
      </c>
      <c r="I2058" s="2" t="s">
        <v>4</v>
      </c>
      <c r="J2058" s="2" t="s">
        <v>2843</v>
      </c>
      <c r="K2058" s="2" t="s">
        <v>19</v>
      </c>
      <c r="L2058" s="2" t="s">
        <v>20</v>
      </c>
      <c r="M2058" s="2" t="s">
        <v>21</v>
      </c>
      <c r="N2058" s="4" t="str">
        <f t="shared" si="221"/>
        <v>GAL</v>
      </c>
      <c r="O2058" s="5">
        <v>120</v>
      </c>
    </row>
    <row r="2059" spans="2:15" x14ac:dyDescent="0.25">
      <c r="B2059" s="1" t="s">
        <v>0</v>
      </c>
      <c r="C2059" s="2" t="s">
        <v>1</v>
      </c>
      <c r="D2059" s="2" t="s">
        <v>2</v>
      </c>
      <c r="E2059" s="2" t="s">
        <v>42</v>
      </c>
      <c r="F2059" s="3">
        <v>45058</v>
      </c>
      <c r="G2059" s="4">
        <f t="shared" si="219"/>
        <v>5</v>
      </c>
      <c r="H2059" s="4">
        <f t="shared" si="220"/>
        <v>2023</v>
      </c>
      <c r="I2059" s="2" t="s">
        <v>4</v>
      </c>
      <c r="J2059" s="2" t="s">
        <v>2843</v>
      </c>
      <c r="K2059" s="2" t="s">
        <v>36</v>
      </c>
      <c r="L2059" s="2" t="s">
        <v>37</v>
      </c>
      <c r="M2059" s="2" t="s">
        <v>38</v>
      </c>
      <c r="N2059" s="4" t="str">
        <f t="shared" si="221"/>
        <v>GAL</v>
      </c>
      <c r="O2059" s="5">
        <v>60</v>
      </c>
    </row>
    <row r="2060" spans="2:15" x14ac:dyDescent="0.25">
      <c r="B2060" s="1" t="s">
        <v>0</v>
      </c>
      <c r="C2060" s="2" t="s">
        <v>1</v>
      </c>
      <c r="D2060" s="2" t="s">
        <v>2</v>
      </c>
      <c r="E2060" s="2" t="s">
        <v>42</v>
      </c>
      <c r="F2060" s="3">
        <v>45058</v>
      </c>
      <c r="G2060" s="4">
        <f t="shared" si="219"/>
        <v>5</v>
      </c>
      <c r="H2060" s="4">
        <f t="shared" si="220"/>
        <v>2023</v>
      </c>
      <c r="I2060" s="2" t="s">
        <v>4</v>
      </c>
      <c r="J2060" s="2" t="s">
        <v>2843</v>
      </c>
      <c r="K2060" s="2" t="s">
        <v>47</v>
      </c>
      <c r="L2060" s="2" t="s">
        <v>48</v>
      </c>
      <c r="M2060" s="2" t="s">
        <v>49</v>
      </c>
      <c r="N2060" s="4" t="str">
        <f t="shared" si="221"/>
        <v>GAL</v>
      </c>
      <c r="O2060" s="5">
        <v>60</v>
      </c>
    </row>
    <row r="2061" spans="2:15" x14ac:dyDescent="0.25">
      <c r="B2061" s="1" t="s">
        <v>0</v>
      </c>
      <c r="C2061" s="2" t="s">
        <v>1</v>
      </c>
      <c r="D2061" s="2" t="s">
        <v>2</v>
      </c>
      <c r="E2061" s="2" t="s">
        <v>42</v>
      </c>
      <c r="F2061" s="3">
        <v>45058</v>
      </c>
      <c r="G2061" s="4">
        <f t="shared" si="219"/>
        <v>5</v>
      </c>
      <c r="H2061" s="4">
        <f t="shared" si="220"/>
        <v>2023</v>
      </c>
      <c r="I2061" s="2" t="s">
        <v>4</v>
      </c>
      <c r="J2061" s="2" t="s">
        <v>2843</v>
      </c>
      <c r="K2061" s="2" t="s">
        <v>80</v>
      </c>
      <c r="L2061" s="2" t="s">
        <v>81</v>
      </c>
      <c r="M2061" s="2" t="s">
        <v>82</v>
      </c>
      <c r="N2061" s="4" t="str">
        <f t="shared" si="221"/>
        <v>GAL</v>
      </c>
      <c r="O2061" s="5">
        <v>60</v>
      </c>
    </row>
    <row r="2062" spans="2:15" x14ac:dyDescent="0.25">
      <c r="B2062" s="1" t="s">
        <v>0</v>
      </c>
      <c r="C2062" s="2" t="s">
        <v>1</v>
      </c>
      <c r="D2062" s="2" t="s">
        <v>2</v>
      </c>
      <c r="E2062" s="2" t="s">
        <v>42</v>
      </c>
      <c r="F2062" s="3">
        <v>45058</v>
      </c>
      <c r="G2062" s="4">
        <f t="shared" si="219"/>
        <v>5</v>
      </c>
      <c r="H2062" s="4">
        <f t="shared" si="220"/>
        <v>2023</v>
      </c>
      <c r="I2062" s="2" t="s">
        <v>4</v>
      </c>
      <c r="J2062" s="2" t="s">
        <v>2843</v>
      </c>
      <c r="K2062" s="2" t="s">
        <v>25</v>
      </c>
      <c r="L2062" s="2" t="s">
        <v>26</v>
      </c>
      <c r="M2062" s="2" t="s">
        <v>27</v>
      </c>
      <c r="N2062" s="4" t="str">
        <f t="shared" si="221"/>
        <v>GAL</v>
      </c>
      <c r="O2062" s="5">
        <v>120</v>
      </c>
    </row>
    <row r="2063" spans="2:15" x14ac:dyDescent="0.25">
      <c r="B2063" s="1" t="s">
        <v>0</v>
      </c>
      <c r="C2063" s="2" t="s">
        <v>1</v>
      </c>
      <c r="D2063" s="2" t="s">
        <v>2</v>
      </c>
      <c r="E2063" s="2" t="s">
        <v>42</v>
      </c>
      <c r="F2063" s="3">
        <v>45058</v>
      </c>
      <c r="G2063" s="4">
        <f t="shared" si="219"/>
        <v>5</v>
      </c>
      <c r="H2063" s="4">
        <f t="shared" si="220"/>
        <v>2023</v>
      </c>
      <c r="I2063" s="2" t="s">
        <v>4</v>
      </c>
      <c r="J2063" s="2" t="s">
        <v>2843</v>
      </c>
      <c r="K2063" s="2" t="s">
        <v>50</v>
      </c>
      <c r="L2063" s="2" t="s">
        <v>51</v>
      </c>
      <c r="M2063" s="2" t="s">
        <v>52</v>
      </c>
      <c r="N2063" s="4" t="str">
        <f t="shared" si="221"/>
        <v>GAL</v>
      </c>
      <c r="O2063" s="5">
        <v>60</v>
      </c>
    </row>
    <row r="2064" spans="2:15" x14ac:dyDescent="0.25">
      <c r="B2064" s="1" t="s">
        <v>0</v>
      </c>
      <c r="C2064" s="2" t="s">
        <v>1</v>
      </c>
      <c r="D2064" s="2" t="s">
        <v>2</v>
      </c>
      <c r="E2064" s="2" t="s">
        <v>42</v>
      </c>
      <c r="F2064" s="3">
        <v>45058</v>
      </c>
      <c r="G2064" s="4">
        <f t="shared" si="219"/>
        <v>5</v>
      </c>
      <c r="H2064" s="4">
        <f t="shared" si="220"/>
        <v>2023</v>
      </c>
      <c r="I2064" s="2" t="s">
        <v>4</v>
      </c>
      <c r="J2064" s="2" t="s">
        <v>2843</v>
      </c>
      <c r="K2064" s="2" t="s">
        <v>16</v>
      </c>
      <c r="L2064" s="2" t="s">
        <v>7</v>
      </c>
      <c r="M2064" s="2" t="s">
        <v>8</v>
      </c>
      <c r="N2064" s="4" t="str">
        <f t="shared" si="221"/>
        <v>GAL</v>
      </c>
      <c r="O2064" s="5">
        <v>120</v>
      </c>
    </row>
    <row r="2065" spans="2:15" x14ac:dyDescent="0.25">
      <c r="B2065" s="1" t="s">
        <v>0</v>
      </c>
      <c r="C2065" s="2" t="s">
        <v>1</v>
      </c>
      <c r="D2065" s="2" t="s">
        <v>2</v>
      </c>
      <c r="E2065" s="2" t="s">
        <v>3</v>
      </c>
      <c r="F2065" s="3">
        <v>45063</v>
      </c>
      <c r="G2065" s="4">
        <f t="shared" si="219"/>
        <v>5</v>
      </c>
      <c r="H2065" s="4">
        <f t="shared" si="220"/>
        <v>2023</v>
      </c>
      <c r="I2065" s="2" t="s">
        <v>4</v>
      </c>
      <c r="J2065" s="2" t="s">
        <v>2844</v>
      </c>
      <c r="K2065" s="2" t="s">
        <v>566</v>
      </c>
      <c r="L2065" s="2" t="s">
        <v>20</v>
      </c>
      <c r="M2065" s="2" t="s">
        <v>21</v>
      </c>
      <c r="N2065" s="4" t="str">
        <f t="shared" si="221"/>
        <v>GAL</v>
      </c>
      <c r="O2065" s="5">
        <v>55</v>
      </c>
    </row>
    <row r="2066" spans="2:15" x14ac:dyDescent="0.25">
      <c r="B2066" s="1" t="s">
        <v>0</v>
      </c>
      <c r="C2066" s="2" t="s">
        <v>1</v>
      </c>
      <c r="D2066" s="2" t="s">
        <v>2</v>
      </c>
      <c r="E2066" s="2" t="s">
        <v>3</v>
      </c>
      <c r="F2066" s="3">
        <v>45063</v>
      </c>
      <c r="G2066" s="4">
        <f t="shared" si="219"/>
        <v>5</v>
      </c>
      <c r="H2066" s="4">
        <f t="shared" si="220"/>
        <v>2023</v>
      </c>
      <c r="I2066" s="2" t="s">
        <v>4</v>
      </c>
      <c r="J2066" s="2" t="s">
        <v>2844</v>
      </c>
      <c r="K2066" s="2" t="s">
        <v>6</v>
      </c>
      <c r="L2066" s="2" t="s">
        <v>7</v>
      </c>
      <c r="M2066" s="2" t="s">
        <v>8</v>
      </c>
      <c r="N2066" s="4" t="str">
        <f t="shared" si="221"/>
        <v>GAL</v>
      </c>
      <c r="O2066" s="5">
        <v>55</v>
      </c>
    </row>
    <row r="2067" spans="2:15" x14ac:dyDescent="0.25">
      <c r="B2067" s="1" t="s">
        <v>0</v>
      </c>
      <c r="C2067" s="2" t="s">
        <v>1</v>
      </c>
      <c r="D2067" s="2" t="s">
        <v>2</v>
      </c>
      <c r="E2067" s="2" t="s">
        <v>42</v>
      </c>
      <c r="F2067" s="3">
        <v>45064</v>
      </c>
      <c r="G2067" s="4">
        <f t="shared" si="219"/>
        <v>5</v>
      </c>
      <c r="H2067" s="4">
        <f t="shared" si="220"/>
        <v>2023</v>
      </c>
      <c r="I2067" s="2" t="s">
        <v>4</v>
      </c>
      <c r="J2067" s="2" t="s">
        <v>2845</v>
      </c>
      <c r="K2067" s="2" t="s">
        <v>16</v>
      </c>
      <c r="L2067" s="2" t="s">
        <v>7</v>
      </c>
      <c r="M2067" s="2" t="s">
        <v>8</v>
      </c>
      <c r="N2067" s="4" t="str">
        <f t="shared" si="221"/>
        <v>GAL</v>
      </c>
      <c r="O2067" s="5">
        <v>120</v>
      </c>
    </row>
    <row r="2068" spans="2:15" x14ac:dyDescent="0.25">
      <c r="B2068" s="1" t="s">
        <v>0</v>
      </c>
      <c r="C2068" s="2" t="s">
        <v>1</v>
      </c>
      <c r="D2068" s="2" t="s">
        <v>2</v>
      </c>
      <c r="E2068" s="2" t="s">
        <v>42</v>
      </c>
      <c r="F2068" s="3">
        <v>45069</v>
      </c>
      <c r="G2068" s="4">
        <f t="shared" si="219"/>
        <v>5</v>
      </c>
      <c r="H2068" s="4">
        <f t="shared" si="220"/>
        <v>2023</v>
      </c>
      <c r="I2068" s="2" t="s">
        <v>4</v>
      </c>
      <c r="J2068" s="2" t="s">
        <v>2846</v>
      </c>
      <c r="K2068" s="2" t="s">
        <v>33</v>
      </c>
      <c r="L2068" s="2" t="s">
        <v>34</v>
      </c>
      <c r="M2068" s="2" t="s">
        <v>35</v>
      </c>
      <c r="N2068" s="4" t="str">
        <f t="shared" si="221"/>
        <v>GAL</v>
      </c>
      <c r="O2068" s="5">
        <v>120</v>
      </c>
    </row>
    <row r="2069" spans="2:15" x14ac:dyDescent="0.25">
      <c r="B2069" s="1" t="s">
        <v>0</v>
      </c>
      <c r="C2069" s="2" t="s">
        <v>1</v>
      </c>
      <c r="D2069" s="2" t="s">
        <v>2</v>
      </c>
      <c r="E2069" s="2" t="s">
        <v>42</v>
      </c>
      <c r="F2069" s="3">
        <v>45069</v>
      </c>
      <c r="G2069" s="4">
        <f t="shared" si="219"/>
        <v>5</v>
      </c>
      <c r="H2069" s="4">
        <f t="shared" si="220"/>
        <v>2023</v>
      </c>
      <c r="I2069" s="2" t="s">
        <v>4</v>
      </c>
      <c r="J2069" s="2" t="s">
        <v>2846</v>
      </c>
      <c r="K2069" s="2" t="s">
        <v>83</v>
      </c>
      <c r="L2069" s="2" t="s">
        <v>84</v>
      </c>
      <c r="M2069" s="2" t="s">
        <v>85</v>
      </c>
      <c r="N2069" s="4" t="str">
        <f t="shared" si="221"/>
        <v>GAL</v>
      </c>
      <c r="O2069" s="5">
        <v>120</v>
      </c>
    </row>
    <row r="2070" spans="2:15" x14ac:dyDescent="0.25">
      <c r="B2070" s="1" t="s">
        <v>0</v>
      </c>
      <c r="C2070" s="2" t="s">
        <v>1</v>
      </c>
      <c r="D2070" s="2" t="s">
        <v>2</v>
      </c>
      <c r="E2070" s="2" t="s">
        <v>42</v>
      </c>
      <c r="F2070" s="3">
        <v>45070</v>
      </c>
      <c r="G2070" s="4">
        <f t="shared" si="219"/>
        <v>5</v>
      </c>
      <c r="H2070" s="4">
        <f t="shared" si="220"/>
        <v>2023</v>
      </c>
      <c r="I2070" s="2" t="s">
        <v>4</v>
      </c>
      <c r="J2070" s="2" t="s">
        <v>2847</v>
      </c>
      <c r="K2070" s="2" t="s">
        <v>28</v>
      </c>
      <c r="L2070" s="2" t="s">
        <v>29</v>
      </c>
      <c r="M2070" s="2" t="s">
        <v>30</v>
      </c>
      <c r="N2070" s="4" t="str">
        <f t="shared" si="221"/>
        <v>GAL</v>
      </c>
      <c r="O2070" s="5">
        <v>180</v>
      </c>
    </row>
    <row r="2071" spans="2:15" x14ac:dyDescent="0.25">
      <c r="B2071" s="1" t="s">
        <v>0</v>
      </c>
      <c r="C2071" s="2" t="s">
        <v>1</v>
      </c>
      <c r="D2071" s="2" t="s">
        <v>2</v>
      </c>
      <c r="E2071" s="2" t="s">
        <v>1784</v>
      </c>
      <c r="F2071" s="3">
        <v>45072</v>
      </c>
      <c r="G2071" s="4">
        <f t="shared" si="219"/>
        <v>5</v>
      </c>
      <c r="H2071" s="4">
        <f t="shared" si="220"/>
        <v>2023</v>
      </c>
      <c r="I2071" s="2" t="s">
        <v>4</v>
      </c>
      <c r="J2071" s="2" t="s">
        <v>2848</v>
      </c>
      <c r="K2071" s="2" t="s">
        <v>1786</v>
      </c>
      <c r="L2071" s="2" t="s">
        <v>84</v>
      </c>
      <c r="M2071" s="2" t="s">
        <v>85</v>
      </c>
      <c r="N2071" s="4" t="str">
        <f t="shared" si="221"/>
        <v>GAL</v>
      </c>
      <c r="O2071" s="5">
        <v>55</v>
      </c>
    </row>
    <row r="2072" spans="2:15" x14ac:dyDescent="0.25">
      <c r="B2072" s="1" t="s">
        <v>0</v>
      </c>
      <c r="C2072" s="2" t="s">
        <v>1</v>
      </c>
      <c r="D2072" s="2" t="s">
        <v>2</v>
      </c>
      <c r="E2072" s="2" t="s">
        <v>1784</v>
      </c>
      <c r="F2072" s="3">
        <v>45072</v>
      </c>
      <c r="G2072" s="4">
        <f t="shared" si="219"/>
        <v>5</v>
      </c>
      <c r="H2072" s="4">
        <f t="shared" si="220"/>
        <v>2023</v>
      </c>
      <c r="I2072" s="2" t="s">
        <v>4</v>
      </c>
      <c r="J2072" s="2" t="s">
        <v>2848</v>
      </c>
      <c r="K2072" s="2" t="s">
        <v>28</v>
      </c>
      <c r="L2072" s="2" t="s">
        <v>29</v>
      </c>
      <c r="M2072" s="2" t="s">
        <v>30</v>
      </c>
      <c r="N2072" s="4" t="str">
        <f t="shared" si="221"/>
        <v>GAL</v>
      </c>
      <c r="O2072" s="5">
        <v>30</v>
      </c>
    </row>
    <row r="2073" spans="2:15" x14ac:dyDescent="0.25">
      <c r="B2073" s="1" t="s">
        <v>0</v>
      </c>
      <c r="C2073" s="2" t="s">
        <v>1</v>
      </c>
      <c r="D2073" s="2" t="s">
        <v>2</v>
      </c>
      <c r="E2073" s="2" t="s">
        <v>1784</v>
      </c>
      <c r="F2073" s="3">
        <v>45072</v>
      </c>
      <c r="G2073" s="4">
        <f t="shared" si="219"/>
        <v>5</v>
      </c>
      <c r="H2073" s="4">
        <f t="shared" si="220"/>
        <v>2023</v>
      </c>
      <c r="I2073" s="2" t="s">
        <v>4</v>
      </c>
      <c r="J2073" s="2" t="s">
        <v>2848</v>
      </c>
      <c r="K2073" s="2" t="s">
        <v>6</v>
      </c>
      <c r="L2073" s="2" t="s">
        <v>7</v>
      </c>
      <c r="M2073" s="2" t="s">
        <v>8</v>
      </c>
      <c r="N2073" s="4" t="str">
        <f t="shared" si="221"/>
        <v>GAL</v>
      </c>
      <c r="O2073" s="5">
        <v>55</v>
      </c>
    </row>
    <row r="2074" spans="2:15" x14ac:dyDescent="0.25">
      <c r="B2074" s="1" t="s">
        <v>88</v>
      </c>
      <c r="C2074" s="2" t="s">
        <v>89</v>
      </c>
      <c r="D2074" s="2" t="s">
        <v>1103</v>
      </c>
      <c r="E2074" s="2" t="s">
        <v>1104</v>
      </c>
      <c r="F2074" s="3">
        <v>45047</v>
      </c>
      <c r="G2074" s="4">
        <f t="shared" si="219"/>
        <v>5</v>
      </c>
      <c r="H2074" s="4">
        <f t="shared" si="220"/>
        <v>2023</v>
      </c>
      <c r="I2074" s="2" t="s">
        <v>4</v>
      </c>
      <c r="J2074" s="2" t="s">
        <v>2849</v>
      </c>
      <c r="K2074" s="2" t="s">
        <v>2850</v>
      </c>
      <c r="L2074" s="2" t="s">
        <v>2851</v>
      </c>
      <c r="M2074" s="2" t="s">
        <v>106</v>
      </c>
      <c r="N2074" s="4" t="str">
        <f t="shared" si="221"/>
        <v>LBS</v>
      </c>
      <c r="O2074" s="5">
        <v>44200</v>
      </c>
    </row>
    <row r="2075" spans="2:15" x14ac:dyDescent="0.25">
      <c r="B2075" s="1" t="s">
        <v>88</v>
      </c>
      <c r="C2075" s="2" t="s">
        <v>89</v>
      </c>
      <c r="D2075" s="2" t="s">
        <v>1103</v>
      </c>
      <c r="E2075" s="2" t="s">
        <v>1104</v>
      </c>
      <c r="F2075" s="3">
        <v>45047</v>
      </c>
      <c r="G2075" s="4">
        <f t="shared" si="219"/>
        <v>5</v>
      </c>
      <c r="H2075" s="4">
        <f t="shared" si="220"/>
        <v>2023</v>
      </c>
      <c r="I2075" s="2" t="s">
        <v>4</v>
      </c>
      <c r="J2075" s="2" t="s">
        <v>2852</v>
      </c>
      <c r="K2075" s="2" t="s">
        <v>2850</v>
      </c>
      <c r="L2075" s="2" t="s">
        <v>2851</v>
      </c>
      <c r="M2075" s="2" t="s">
        <v>106</v>
      </c>
      <c r="N2075" s="4" t="str">
        <f t="shared" si="221"/>
        <v>LBS</v>
      </c>
      <c r="O2075" s="5">
        <v>44520</v>
      </c>
    </row>
    <row r="2076" spans="2:15" x14ac:dyDescent="0.25">
      <c r="B2076" s="1" t="s">
        <v>88</v>
      </c>
      <c r="C2076" s="2" t="s">
        <v>89</v>
      </c>
      <c r="D2076" s="2" t="s">
        <v>140</v>
      </c>
      <c r="E2076" s="2" t="s">
        <v>141</v>
      </c>
      <c r="F2076" s="3">
        <v>45047</v>
      </c>
      <c r="G2076" s="4">
        <f t="shared" si="219"/>
        <v>5</v>
      </c>
      <c r="H2076" s="4">
        <f t="shared" si="220"/>
        <v>2023</v>
      </c>
      <c r="I2076" s="2" t="s">
        <v>4</v>
      </c>
      <c r="J2076" s="2" t="s">
        <v>2853</v>
      </c>
      <c r="K2076" s="2" t="s">
        <v>1464</v>
      </c>
      <c r="L2076" s="2" t="s">
        <v>1465</v>
      </c>
      <c r="M2076" s="2" t="s">
        <v>1466</v>
      </c>
      <c r="N2076" s="4" t="str">
        <f t="shared" si="221"/>
        <v>GAL</v>
      </c>
      <c r="O2076" s="5">
        <v>250</v>
      </c>
    </row>
    <row r="2077" spans="2:15" x14ac:dyDescent="0.25">
      <c r="B2077" s="1" t="s">
        <v>88</v>
      </c>
      <c r="C2077" s="2" t="s">
        <v>89</v>
      </c>
      <c r="D2077" s="2" t="s">
        <v>341</v>
      </c>
      <c r="E2077" s="2" t="s">
        <v>91</v>
      </c>
      <c r="F2077" s="3">
        <v>45048</v>
      </c>
      <c r="G2077" s="4">
        <f t="shared" si="219"/>
        <v>5</v>
      </c>
      <c r="H2077" s="4">
        <f t="shared" si="220"/>
        <v>2023</v>
      </c>
      <c r="I2077" s="2" t="s">
        <v>4</v>
      </c>
      <c r="J2077" s="2" t="s">
        <v>2854</v>
      </c>
      <c r="K2077" s="2" t="s">
        <v>143</v>
      </c>
      <c r="L2077" s="2" t="s">
        <v>2855</v>
      </c>
      <c r="M2077" s="2" t="s">
        <v>145</v>
      </c>
      <c r="N2077" s="4" t="str">
        <f t="shared" si="221"/>
        <v>GAL</v>
      </c>
      <c r="O2077" s="5">
        <v>255</v>
      </c>
    </row>
    <row r="2078" spans="2:15" x14ac:dyDescent="0.25">
      <c r="B2078" s="6" t="s">
        <v>88</v>
      </c>
      <c r="C2078" s="7" t="s">
        <v>89</v>
      </c>
      <c r="D2078" s="8" t="s">
        <v>96</v>
      </c>
      <c r="E2078" s="8" t="s">
        <v>96</v>
      </c>
      <c r="F2078" s="12">
        <v>45048</v>
      </c>
      <c r="G2078" s="10">
        <f t="shared" si="219"/>
        <v>5</v>
      </c>
      <c r="H2078" s="10">
        <f t="shared" si="220"/>
        <v>2023</v>
      </c>
      <c r="I2078" s="8" t="s">
        <v>4</v>
      </c>
      <c r="J2078" s="7" t="s">
        <v>2856</v>
      </c>
      <c r="K2078" s="8" t="s">
        <v>98</v>
      </c>
      <c r="L2078" s="8" t="s">
        <v>99</v>
      </c>
      <c r="M2078" s="8" t="s">
        <v>100</v>
      </c>
      <c r="N2078" s="10" t="str">
        <f t="shared" si="221"/>
        <v>GAL</v>
      </c>
      <c r="O2078" s="11">
        <v>929</v>
      </c>
    </row>
    <row r="2079" spans="2:15" x14ac:dyDescent="0.25">
      <c r="B2079" s="1" t="s">
        <v>88</v>
      </c>
      <c r="C2079" s="2" t="s">
        <v>89</v>
      </c>
      <c r="D2079" s="2" t="s">
        <v>628</v>
      </c>
      <c r="E2079" s="2" t="s">
        <v>2200</v>
      </c>
      <c r="F2079" s="3">
        <v>45051</v>
      </c>
      <c r="G2079" s="4">
        <f t="shared" si="219"/>
        <v>5</v>
      </c>
      <c r="H2079" s="4">
        <f t="shared" si="220"/>
        <v>2023</v>
      </c>
      <c r="I2079" s="2" t="s">
        <v>4</v>
      </c>
      <c r="J2079" s="2" t="s">
        <v>2857</v>
      </c>
      <c r="K2079" s="2" t="s">
        <v>2584</v>
      </c>
      <c r="L2079" s="2" t="s">
        <v>2585</v>
      </c>
      <c r="M2079" s="2" t="s">
        <v>119</v>
      </c>
      <c r="N2079" s="4" t="str">
        <f t="shared" si="221"/>
        <v>TON</v>
      </c>
      <c r="O2079" s="5">
        <v>20.03</v>
      </c>
    </row>
    <row r="2080" spans="2:15" x14ac:dyDescent="0.25">
      <c r="B2080" s="1" t="s">
        <v>88</v>
      </c>
      <c r="C2080" s="2" t="s">
        <v>89</v>
      </c>
      <c r="D2080" s="2" t="s">
        <v>1103</v>
      </c>
      <c r="E2080" s="2" t="s">
        <v>1104</v>
      </c>
      <c r="F2080" s="3">
        <v>45055</v>
      </c>
      <c r="G2080" s="4">
        <f t="shared" si="219"/>
        <v>5</v>
      </c>
      <c r="H2080" s="4">
        <f t="shared" si="220"/>
        <v>2023</v>
      </c>
      <c r="I2080" s="2" t="s">
        <v>4</v>
      </c>
      <c r="J2080" s="2" t="s">
        <v>2858</v>
      </c>
      <c r="K2080" s="2" t="s">
        <v>2850</v>
      </c>
      <c r="L2080" s="2" t="s">
        <v>2851</v>
      </c>
      <c r="M2080" s="2" t="s">
        <v>106</v>
      </c>
      <c r="N2080" s="4" t="str">
        <f t="shared" si="221"/>
        <v>LBS</v>
      </c>
      <c r="O2080" s="5">
        <v>44620</v>
      </c>
    </row>
    <row r="2081" spans="2:15" x14ac:dyDescent="0.25">
      <c r="B2081" s="1" t="s">
        <v>88</v>
      </c>
      <c r="C2081" s="2" t="s">
        <v>89</v>
      </c>
      <c r="D2081" s="2" t="s">
        <v>2859</v>
      </c>
      <c r="E2081" s="2" t="s">
        <v>91</v>
      </c>
      <c r="F2081" s="3">
        <v>45055</v>
      </c>
      <c r="G2081" s="4">
        <f t="shared" si="219"/>
        <v>5</v>
      </c>
      <c r="H2081" s="4">
        <f t="shared" si="220"/>
        <v>2023</v>
      </c>
      <c r="I2081" s="2" t="s">
        <v>4</v>
      </c>
      <c r="J2081" s="2" t="s">
        <v>2860</v>
      </c>
      <c r="K2081" s="2" t="s">
        <v>551</v>
      </c>
      <c r="L2081" s="2" t="s">
        <v>2426</v>
      </c>
      <c r="M2081" s="2" t="s">
        <v>553</v>
      </c>
      <c r="N2081" s="4" t="str">
        <f t="shared" si="221"/>
        <v>GAL</v>
      </c>
      <c r="O2081" s="5">
        <v>40</v>
      </c>
    </row>
    <row r="2082" spans="2:15" x14ac:dyDescent="0.25">
      <c r="B2082" s="1" t="s">
        <v>88</v>
      </c>
      <c r="C2082" s="2" t="s">
        <v>89</v>
      </c>
      <c r="D2082" s="2" t="s">
        <v>2859</v>
      </c>
      <c r="E2082" s="2" t="s">
        <v>91</v>
      </c>
      <c r="F2082" s="3">
        <v>45055</v>
      </c>
      <c r="G2082" s="4">
        <f t="shared" si="219"/>
        <v>5</v>
      </c>
      <c r="H2082" s="4">
        <f t="shared" si="220"/>
        <v>2023</v>
      </c>
      <c r="I2082" s="2" t="s">
        <v>4</v>
      </c>
      <c r="J2082" s="2" t="s">
        <v>2860</v>
      </c>
      <c r="K2082" s="2" t="s">
        <v>158</v>
      </c>
      <c r="L2082" s="2" t="s">
        <v>159</v>
      </c>
      <c r="M2082" s="2" t="s">
        <v>160</v>
      </c>
      <c r="N2082" s="4" t="str">
        <f t="shared" si="221"/>
        <v>GAL</v>
      </c>
      <c r="O2082" s="5">
        <v>40</v>
      </c>
    </row>
    <row r="2083" spans="2:15" x14ac:dyDescent="0.25">
      <c r="B2083" s="1" t="s">
        <v>88</v>
      </c>
      <c r="C2083" s="2" t="s">
        <v>89</v>
      </c>
      <c r="D2083" s="2" t="s">
        <v>616</v>
      </c>
      <c r="E2083" s="2" t="s">
        <v>617</v>
      </c>
      <c r="F2083" s="3">
        <v>45055</v>
      </c>
      <c r="G2083" s="4">
        <f t="shared" si="219"/>
        <v>5</v>
      </c>
      <c r="H2083" s="4">
        <f t="shared" si="220"/>
        <v>2023</v>
      </c>
      <c r="I2083" s="2" t="s">
        <v>4</v>
      </c>
      <c r="J2083" s="2" t="s">
        <v>2861</v>
      </c>
      <c r="K2083" s="2" t="s">
        <v>19</v>
      </c>
      <c r="L2083" s="2" t="s">
        <v>565</v>
      </c>
      <c r="M2083" s="2" t="s">
        <v>21</v>
      </c>
      <c r="N2083" s="4" t="str">
        <f t="shared" si="221"/>
        <v>GAL</v>
      </c>
      <c r="O2083" s="5">
        <v>100</v>
      </c>
    </row>
    <row r="2084" spans="2:15" x14ac:dyDescent="0.25">
      <c r="B2084" s="1" t="s">
        <v>88</v>
      </c>
      <c r="C2084" s="2" t="s">
        <v>89</v>
      </c>
      <c r="D2084" s="2" t="s">
        <v>616</v>
      </c>
      <c r="E2084" s="2" t="s">
        <v>617</v>
      </c>
      <c r="F2084" s="3">
        <v>45055</v>
      </c>
      <c r="G2084" s="4">
        <f t="shared" si="219"/>
        <v>5</v>
      </c>
      <c r="H2084" s="4">
        <f t="shared" si="220"/>
        <v>2023</v>
      </c>
      <c r="I2084" s="2" t="s">
        <v>4</v>
      </c>
      <c r="J2084" s="2" t="s">
        <v>2861</v>
      </c>
      <c r="K2084" s="2" t="s">
        <v>83</v>
      </c>
      <c r="L2084" s="2" t="s">
        <v>518</v>
      </c>
      <c r="M2084" s="2" t="s">
        <v>85</v>
      </c>
      <c r="N2084" s="4" t="str">
        <f t="shared" si="221"/>
        <v>GAL</v>
      </c>
      <c r="O2084" s="5">
        <v>35</v>
      </c>
    </row>
    <row r="2085" spans="2:15" x14ac:dyDescent="0.25">
      <c r="B2085" s="1" t="s">
        <v>88</v>
      </c>
      <c r="C2085" s="2" t="s">
        <v>89</v>
      </c>
      <c r="D2085" s="2" t="s">
        <v>616</v>
      </c>
      <c r="E2085" s="2" t="s">
        <v>617</v>
      </c>
      <c r="F2085" s="3">
        <v>45055</v>
      </c>
      <c r="G2085" s="4">
        <f t="shared" si="219"/>
        <v>5</v>
      </c>
      <c r="H2085" s="4">
        <f t="shared" si="220"/>
        <v>2023</v>
      </c>
      <c r="I2085" s="2" t="s">
        <v>4</v>
      </c>
      <c r="J2085" s="2" t="s">
        <v>2861</v>
      </c>
      <c r="K2085" s="2" t="s">
        <v>2098</v>
      </c>
      <c r="L2085" s="2" t="s">
        <v>2099</v>
      </c>
      <c r="M2085" s="2" t="s">
        <v>2100</v>
      </c>
      <c r="N2085" s="4" t="str">
        <f t="shared" si="221"/>
        <v>GAL</v>
      </c>
      <c r="O2085" s="5">
        <v>50</v>
      </c>
    </row>
    <row r="2086" spans="2:15" x14ac:dyDescent="0.25">
      <c r="B2086" s="1" t="s">
        <v>88</v>
      </c>
      <c r="C2086" s="2" t="s">
        <v>89</v>
      </c>
      <c r="D2086" s="2" t="s">
        <v>1111</v>
      </c>
      <c r="E2086" s="2" t="s">
        <v>1112</v>
      </c>
      <c r="F2086" s="3">
        <v>45056</v>
      </c>
      <c r="G2086" s="4">
        <f t="shared" si="219"/>
        <v>5</v>
      </c>
      <c r="H2086" s="4">
        <f t="shared" si="220"/>
        <v>2023</v>
      </c>
      <c r="I2086" s="2" t="s">
        <v>4</v>
      </c>
      <c r="J2086" s="2" t="s">
        <v>2862</v>
      </c>
      <c r="K2086" s="2" t="s">
        <v>2629</v>
      </c>
      <c r="L2086" s="2" t="s">
        <v>2630</v>
      </c>
      <c r="M2086" s="2" t="s">
        <v>2631</v>
      </c>
      <c r="N2086" s="4" t="str">
        <f t="shared" si="221"/>
        <v>GAL</v>
      </c>
      <c r="O2086" s="5">
        <v>70</v>
      </c>
    </row>
    <row r="2087" spans="2:15" x14ac:dyDescent="0.25">
      <c r="B2087" s="1" t="s">
        <v>88</v>
      </c>
      <c r="C2087" s="2" t="s">
        <v>89</v>
      </c>
      <c r="D2087" s="2" t="s">
        <v>604</v>
      </c>
      <c r="E2087" s="2" t="s">
        <v>102</v>
      </c>
      <c r="F2087" s="3">
        <v>45056</v>
      </c>
      <c r="G2087" s="4">
        <f t="shared" si="219"/>
        <v>5</v>
      </c>
      <c r="H2087" s="4">
        <f t="shared" si="220"/>
        <v>2023</v>
      </c>
      <c r="I2087" s="2" t="s">
        <v>4</v>
      </c>
      <c r="J2087" s="2" t="s">
        <v>2863</v>
      </c>
      <c r="K2087" s="2" t="s">
        <v>1807</v>
      </c>
      <c r="L2087" s="2" t="s">
        <v>1029</v>
      </c>
      <c r="M2087" s="2" t="s">
        <v>106</v>
      </c>
      <c r="N2087" s="4" t="str">
        <f t="shared" si="221"/>
        <v>LBS</v>
      </c>
      <c r="O2087" s="5">
        <v>10590</v>
      </c>
    </row>
    <row r="2088" spans="2:15" x14ac:dyDescent="0.25">
      <c r="B2088" s="1" t="s">
        <v>88</v>
      </c>
      <c r="C2088" s="2" t="s">
        <v>89</v>
      </c>
      <c r="D2088" s="2" t="s">
        <v>1444</v>
      </c>
      <c r="E2088" s="2" t="s">
        <v>2864</v>
      </c>
      <c r="F2088" s="3">
        <v>45058</v>
      </c>
      <c r="G2088" s="4">
        <f t="shared" si="219"/>
        <v>5</v>
      </c>
      <c r="H2088" s="4">
        <f t="shared" si="220"/>
        <v>2023</v>
      </c>
      <c r="I2088" s="2" t="s">
        <v>4</v>
      </c>
      <c r="J2088" s="2" t="s">
        <v>2865</v>
      </c>
      <c r="K2088" s="2" t="s">
        <v>1446</v>
      </c>
      <c r="L2088" s="2" t="s">
        <v>2581</v>
      </c>
      <c r="M2088" s="2" t="s">
        <v>1448</v>
      </c>
      <c r="N2088" s="4" t="str">
        <f t="shared" si="221"/>
        <v>GAL</v>
      </c>
      <c r="O2088" s="5">
        <v>360</v>
      </c>
    </row>
    <row r="2089" spans="2:15" x14ac:dyDescent="0.25">
      <c r="B2089" s="1" t="s">
        <v>88</v>
      </c>
      <c r="C2089" s="2" t="s">
        <v>89</v>
      </c>
      <c r="D2089" s="2" t="s">
        <v>124</v>
      </c>
      <c r="E2089" s="2" t="s">
        <v>124</v>
      </c>
      <c r="F2089" s="3">
        <v>45061</v>
      </c>
      <c r="G2089" s="4">
        <f t="shared" si="219"/>
        <v>5</v>
      </c>
      <c r="H2089" s="4">
        <f t="shared" si="220"/>
        <v>2023</v>
      </c>
      <c r="I2089" s="2" t="s">
        <v>4</v>
      </c>
      <c r="J2089" s="2" t="s">
        <v>2866</v>
      </c>
      <c r="K2089" s="2" t="s">
        <v>126</v>
      </c>
      <c r="L2089" s="2" t="s">
        <v>127</v>
      </c>
      <c r="M2089" s="2" t="s">
        <v>106</v>
      </c>
      <c r="N2089" s="4" t="str">
        <f t="shared" si="221"/>
        <v>LBS</v>
      </c>
      <c r="O2089" s="5">
        <v>40800</v>
      </c>
    </row>
    <row r="2090" spans="2:15" x14ac:dyDescent="0.25">
      <c r="B2090" s="1" t="s">
        <v>88</v>
      </c>
      <c r="C2090" s="2" t="s">
        <v>89</v>
      </c>
      <c r="D2090" s="2" t="s">
        <v>2867</v>
      </c>
      <c r="E2090" s="2" t="s">
        <v>2868</v>
      </c>
      <c r="F2090" s="3">
        <v>45061</v>
      </c>
      <c r="G2090" s="4">
        <f t="shared" si="219"/>
        <v>5</v>
      </c>
      <c r="H2090" s="4">
        <f t="shared" si="220"/>
        <v>2023</v>
      </c>
      <c r="I2090" s="2" t="s">
        <v>4</v>
      </c>
      <c r="J2090" s="2" t="s">
        <v>2869</v>
      </c>
      <c r="K2090" s="2" t="s">
        <v>25</v>
      </c>
      <c r="L2090" s="2" t="s">
        <v>541</v>
      </c>
      <c r="M2090" s="2" t="s">
        <v>27</v>
      </c>
      <c r="N2090" s="4" t="str">
        <f t="shared" si="221"/>
        <v>GAL</v>
      </c>
      <c r="O2090" s="5">
        <v>125</v>
      </c>
    </row>
    <row r="2091" spans="2:15" x14ac:dyDescent="0.25">
      <c r="B2091" s="1" t="s">
        <v>88</v>
      </c>
      <c r="C2091" s="2" t="s">
        <v>89</v>
      </c>
      <c r="D2091" s="2" t="s">
        <v>1444</v>
      </c>
      <c r="E2091" s="2" t="s">
        <v>102</v>
      </c>
      <c r="F2091" s="3">
        <v>45063</v>
      </c>
      <c r="G2091" s="4">
        <f t="shared" si="219"/>
        <v>5</v>
      </c>
      <c r="H2091" s="4">
        <f t="shared" si="220"/>
        <v>2023</v>
      </c>
      <c r="I2091" s="2" t="s">
        <v>4</v>
      </c>
      <c r="J2091" s="2" t="s">
        <v>2870</v>
      </c>
      <c r="K2091" s="2" t="s">
        <v>1446</v>
      </c>
      <c r="L2091" s="2" t="s">
        <v>2581</v>
      </c>
      <c r="M2091" s="2" t="s">
        <v>1448</v>
      </c>
      <c r="N2091" s="4" t="str">
        <f t="shared" si="221"/>
        <v>GAL</v>
      </c>
      <c r="O2091" s="5">
        <v>360</v>
      </c>
    </row>
    <row r="2092" spans="2:15" x14ac:dyDescent="0.25">
      <c r="B2092" s="1" t="s">
        <v>88</v>
      </c>
      <c r="C2092" s="2" t="s">
        <v>89</v>
      </c>
      <c r="D2092" s="2" t="s">
        <v>134</v>
      </c>
      <c r="E2092" s="2" t="s">
        <v>135</v>
      </c>
      <c r="F2092" s="3">
        <v>45064</v>
      </c>
      <c r="G2092" s="4">
        <f t="shared" si="219"/>
        <v>5</v>
      </c>
      <c r="H2092" s="4">
        <f t="shared" si="220"/>
        <v>2023</v>
      </c>
      <c r="I2092" s="2" t="s">
        <v>4</v>
      </c>
      <c r="J2092" s="2" t="s">
        <v>2871</v>
      </c>
      <c r="K2092" s="2" t="s">
        <v>137</v>
      </c>
      <c r="L2092" s="2" t="s">
        <v>138</v>
      </c>
      <c r="M2092" s="2" t="s">
        <v>139</v>
      </c>
      <c r="N2092" s="4" t="str">
        <f t="shared" si="221"/>
        <v>GAL</v>
      </c>
      <c r="O2092" s="5">
        <v>50</v>
      </c>
    </row>
    <row r="2093" spans="2:15" x14ac:dyDescent="0.25">
      <c r="B2093" s="1" t="s">
        <v>88</v>
      </c>
      <c r="C2093" s="2" t="s">
        <v>89</v>
      </c>
      <c r="D2093" s="2" t="s">
        <v>616</v>
      </c>
      <c r="E2093" s="2" t="s">
        <v>2872</v>
      </c>
      <c r="F2093" s="3">
        <v>45068</v>
      </c>
      <c r="G2093" s="4">
        <f t="shared" si="219"/>
        <v>5</v>
      </c>
      <c r="H2093" s="4">
        <f t="shared" si="220"/>
        <v>2023</v>
      </c>
      <c r="I2093" s="2" t="s">
        <v>4</v>
      </c>
      <c r="J2093" s="2" t="s">
        <v>2873</v>
      </c>
      <c r="K2093" s="2" t="s">
        <v>2874</v>
      </c>
      <c r="L2093" s="2" t="s">
        <v>2875</v>
      </c>
      <c r="M2093" s="2" t="s">
        <v>2876</v>
      </c>
      <c r="N2093" s="4" t="str">
        <f t="shared" si="221"/>
        <v>GAL</v>
      </c>
      <c r="O2093" s="5">
        <v>500</v>
      </c>
    </row>
    <row r="2094" spans="2:15" x14ac:dyDescent="0.25">
      <c r="B2094" s="1" t="s">
        <v>88</v>
      </c>
      <c r="C2094" s="2" t="s">
        <v>89</v>
      </c>
      <c r="D2094" s="2" t="s">
        <v>628</v>
      </c>
      <c r="E2094" s="2" t="s">
        <v>2200</v>
      </c>
      <c r="F2094" s="3">
        <v>45068</v>
      </c>
      <c r="G2094" s="4">
        <f t="shared" si="219"/>
        <v>5</v>
      </c>
      <c r="H2094" s="4">
        <f t="shared" si="220"/>
        <v>2023</v>
      </c>
      <c r="I2094" s="2" t="s">
        <v>4</v>
      </c>
      <c r="J2094" s="2" t="s">
        <v>2877</v>
      </c>
      <c r="K2094" s="2" t="s">
        <v>2584</v>
      </c>
      <c r="L2094" s="2" t="s">
        <v>2585</v>
      </c>
      <c r="M2094" s="2" t="s">
        <v>119</v>
      </c>
      <c r="N2094" s="4" t="str">
        <f t="shared" si="221"/>
        <v>TON</v>
      </c>
      <c r="O2094" s="5">
        <v>10.012499999999999</v>
      </c>
    </row>
    <row r="2095" spans="2:15" x14ac:dyDescent="0.25">
      <c r="B2095" s="1" t="s">
        <v>88</v>
      </c>
      <c r="C2095" s="2" t="s">
        <v>89</v>
      </c>
      <c r="D2095" s="2" t="s">
        <v>1047</v>
      </c>
      <c r="E2095" s="2" t="s">
        <v>1468</v>
      </c>
      <c r="F2095" s="3">
        <v>45070</v>
      </c>
      <c r="G2095" s="4">
        <f t="shared" si="219"/>
        <v>5</v>
      </c>
      <c r="H2095" s="4">
        <f t="shared" si="220"/>
        <v>2023</v>
      </c>
      <c r="I2095" s="2" t="s">
        <v>4</v>
      </c>
      <c r="J2095" s="2" t="s">
        <v>2878</v>
      </c>
      <c r="K2095" s="2" t="s">
        <v>83</v>
      </c>
      <c r="L2095" s="2" t="s">
        <v>518</v>
      </c>
      <c r="M2095" s="2" t="s">
        <v>85</v>
      </c>
      <c r="N2095" s="4" t="str">
        <f t="shared" si="221"/>
        <v>GAL</v>
      </c>
      <c r="O2095" s="5">
        <v>40</v>
      </c>
    </row>
    <row r="2096" spans="2:15" x14ac:dyDescent="0.25">
      <c r="B2096" s="1" t="s">
        <v>88</v>
      </c>
      <c r="C2096" s="2" t="s">
        <v>89</v>
      </c>
      <c r="D2096" s="2" t="s">
        <v>1047</v>
      </c>
      <c r="E2096" s="2" t="s">
        <v>1468</v>
      </c>
      <c r="F2096" s="3">
        <v>45070</v>
      </c>
      <c r="G2096" s="4">
        <f t="shared" si="219"/>
        <v>5</v>
      </c>
      <c r="H2096" s="4">
        <f t="shared" si="220"/>
        <v>2023</v>
      </c>
      <c r="I2096" s="2" t="s">
        <v>4</v>
      </c>
      <c r="J2096" s="2" t="s">
        <v>2878</v>
      </c>
      <c r="K2096" s="2" t="s">
        <v>1470</v>
      </c>
      <c r="L2096" s="2" t="s">
        <v>2558</v>
      </c>
      <c r="M2096" s="2" t="s">
        <v>1472</v>
      </c>
      <c r="N2096" s="4" t="str">
        <f t="shared" si="221"/>
        <v>GAL</v>
      </c>
      <c r="O2096" s="5">
        <v>40</v>
      </c>
    </row>
    <row r="2097" spans="2:15" x14ac:dyDescent="0.25">
      <c r="B2097" s="1" t="s">
        <v>88</v>
      </c>
      <c r="C2097" s="2" t="s">
        <v>89</v>
      </c>
      <c r="D2097" s="2" t="s">
        <v>1103</v>
      </c>
      <c r="E2097" s="2" t="s">
        <v>1104</v>
      </c>
      <c r="F2097" s="3">
        <v>45070</v>
      </c>
      <c r="G2097" s="4">
        <f t="shared" si="219"/>
        <v>5</v>
      </c>
      <c r="H2097" s="4">
        <f t="shared" si="220"/>
        <v>2023</v>
      </c>
      <c r="I2097" s="2" t="s">
        <v>4</v>
      </c>
      <c r="J2097" s="2" t="s">
        <v>2879</v>
      </c>
      <c r="K2097" s="2" t="s">
        <v>2850</v>
      </c>
      <c r="L2097" s="2" t="s">
        <v>2851</v>
      </c>
      <c r="M2097" s="2" t="s">
        <v>106</v>
      </c>
      <c r="N2097" s="4" t="str">
        <f t="shared" si="221"/>
        <v>LBS</v>
      </c>
      <c r="O2097" s="5">
        <v>44560</v>
      </c>
    </row>
    <row r="2098" spans="2:15" x14ac:dyDescent="0.25">
      <c r="B2098" s="1" t="s">
        <v>88</v>
      </c>
      <c r="C2098" s="2" t="s">
        <v>89</v>
      </c>
      <c r="D2098" s="2" t="s">
        <v>1103</v>
      </c>
      <c r="E2098" s="2" t="s">
        <v>1104</v>
      </c>
      <c r="F2098" s="3">
        <v>45071</v>
      </c>
      <c r="G2098" s="4">
        <f t="shared" si="219"/>
        <v>5</v>
      </c>
      <c r="H2098" s="4">
        <f t="shared" si="220"/>
        <v>2023</v>
      </c>
      <c r="I2098" s="2" t="s">
        <v>4</v>
      </c>
      <c r="J2098" s="2" t="s">
        <v>2880</v>
      </c>
      <c r="K2098" s="2" t="s">
        <v>2850</v>
      </c>
      <c r="L2098" s="2" t="s">
        <v>2851</v>
      </c>
      <c r="M2098" s="2" t="s">
        <v>106</v>
      </c>
      <c r="N2098" s="4" t="str">
        <f t="shared" si="221"/>
        <v>LBS</v>
      </c>
      <c r="O2098" s="5">
        <v>45460</v>
      </c>
    </row>
    <row r="2099" spans="2:15" x14ac:dyDescent="0.25">
      <c r="B2099" s="1" t="s">
        <v>88</v>
      </c>
      <c r="C2099" s="2" t="s">
        <v>89</v>
      </c>
      <c r="D2099" s="2" t="s">
        <v>2079</v>
      </c>
      <c r="E2099" s="2" t="s">
        <v>600</v>
      </c>
      <c r="F2099" s="3">
        <v>45072</v>
      </c>
      <c r="G2099" s="4">
        <f t="shared" si="219"/>
        <v>5</v>
      </c>
      <c r="H2099" s="4">
        <f t="shared" si="220"/>
        <v>2023</v>
      </c>
      <c r="I2099" s="2" t="s">
        <v>4</v>
      </c>
      <c r="J2099" s="2" t="s">
        <v>2881</v>
      </c>
      <c r="K2099" s="2" t="s">
        <v>2620</v>
      </c>
      <c r="L2099" s="2" t="s">
        <v>2617</v>
      </c>
      <c r="M2099" s="2" t="s">
        <v>2618</v>
      </c>
      <c r="N2099" s="4" t="str">
        <f t="shared" si="221"/>
        <v>GAL</v>
      </c>
      <c r="O2099" s="5">
        <v>250</v>
      </c>
    </row>
    <row r="2100" spans="2:15" x14ac:dyDescent="0.25">
      <c r="B2100" s="1" t="s">
        <v>88</v>
      </c>
      <c r="C2100" s="2" t="s">
        <v>89</v>
      </c>
      <c r="D2100" s="2" t="s">
        <v>134</v>
      </c>
      <c r="E2100" s="2" t="s">
        <v>135</v>
      </c>
      <c r="F2100" s="3">
        <v>45072</v>
      </c>
      <c r="G2100" s="4">
        <f t="shared" si="219"/>
        <v>5</v>
      </c>
      <c r="H2100" s="4">
        <f t="shared" si="220"/>
        <v>2023</v>
      </c>
      <c r="I2100" s="2" t="s">
        <v>4</v>
      </c>
      <c r="J2100" s="2" t="s">
        <v>2882</v>
      </c>
      <c r="K2100" s="2" t="s">
        <v>143</v>
      </c>
      <c r="L2100" s="2" t="s">
        <v>589</v>
      </c>
      <c r="M2100" s="2" t="s">
        <v>145</v>
      </c>
      <c r="N2100" s="4" t="str">
        <f t="shared" si="221"/>
        <v>GAL</v>
      </c>
      <c r="O2100" s="5">
        <v>220</v>
      </c>
    </row>
    <row r="2101" spans="2:15" x14ac:dyDescent="0.25">
      <c r="B2101" s="1" t="s">
        <v>88</v>
      </c>
      <c r="C2101" s="2" t="s">
        <v>89</v>
      </c>
      <c r="D2101" s="2" t="s">
        <v>134</v>
      </c>
      <c r="E2101" s="2" t="s">
        <v>135</v>
      </c>
      <c r="F2101" s="3">
        <v>45072</v>
      </c>
      <c r="G2101" s="4">
        <f t="shared" si="219"/>
        <v>5</v>
      </c>
      <c r="H2101" s="4">
        <f t="shared" si="220"/>
        <v>2023</v>
      </c>
      <c r="I2101" s="2" t="s">
        <v>4</v>
      </c>
      <c r="J2101" s="2" t="s">
        <v>2883</v>
      </c>
      <c r="K2101" s="2" t="s">
        <v>2884</v>
      </c>
      <c r="L2101" s="2" t="s">
        <v>138</v>
      </c>
      <c r="M2101" s="2" t="s">
        <v>139</v>
      </c>
      <c r="N2101" s="4" t="str">
        <f t="shared" si="221"/>
        <v>GAL</v>
      </c>
      <c r="O2101" s="5">
        <v>110</v>
      </c>
    </row>
    <row r="2102" spans="2:15" x14ac:dyDescent="0.25">
      <c r="B2102" s="1" t="s">
        <v>88</v>
      </c>
      <c r="C2102" s="2" t="s">
        <v>89</v>
      </c>
      <c r="D2102" s="2" t="s">
        <v>90</v>
      </c>
      <c r="E2102" s="2" t="s">
        <v>91</v>
      </c>
      <c r="F2102" s="3">
        <v>45072</v>
      </c>
      <c r="G2102" s="4">
        <f t="shared" si="219"/>
        <v>5</v>
      </c>
      <c r="H2102" s="4">
        <f t="shared" si="220"/>
        <v>2023</v>
      </c>
      <c r="I2102" s="2" t="s">
        <v>4</v>
      </c>
      <c r="J2102" s="2" t="s">
        <v>2885</v>
      </c>
      <c r="K2102" s="2" t="s">
        <v>2519</v>
      </c>
      <c r="L2102" s="2" t="s">
        <v>550</v>
      </c>
      <c r="M2102" s="2" t="s">
        <v>52</v>
      </c>
      <c r="N2102" s="4" t="str">
        <f t="shared" si="221"/>
        <v>GAL</v>
      </c>
      <c r="O2102" s="5">
        <v>250</v>
      </c>
    </row>
    <row r="2103" spans="2:15" x14ac:dyDescent="0.25">
      <c r="B2103" s="1" t="s">
        <v>88</v>
      </c>
      <c r="C2103" s="2" t="s">
        <v>89</v>
      </c>
      <c r="D2103" s="2" t="s">
        <v>616</v>
      </c>
      <c r="E2103" s="2" t="s">
        <v>617</v>
      </c>
      <c r="F2103" s="3">
        <v>45076</v>
      </c>
      <c r="G2103" s="4">
        <f t="shared" si="219"/>
        <v>5</v>
      </c>
      <c r="H2103" s="4">
        <f t="shared" si="220"/>
        <v>2023</v>
      </c>
      <c r="I2103" s="2" t="s">
        <v>4</v>
      </c>
      <c r="J2103" s="2" t="s">
        <v>2886</v>
      </c>
      <c r="K2103" s="2" t="s">
        <v>1460</v>
      </c>
      <c r="L2103" s="2" t="s">
        <v>1461</v>
      </c>
      <c r="M2103" s="2" t="s">
        <v>553</v>
      </c>
      <c r="N2103" s="4" t="str">
        <f t="shared" si="221"/>
        <v>GAL</v>
      </c>
      <c r="O2103" s="5">
        <v>10</v>
      </c>
    </row>
    <row r="2104" spans="2:15" x14ac:dyDescent="0.25">
      <c r="B2104" s="6" t="s">
        <v>88</v>
      </c>
      <c r="C2104" s="7" t="s">
        <v>89</v>
      </c>
      <c r="D2104" s="8" t="s">
        <v>2887</v>
      </c>
      <c r="E2104" s="8" t="s">
        <v>617</v>
      </c>
      <c r="F2104" s="12">
        <v>45077</v>
      </c>
      <c r="G2104" s="10">
        <f t="shared" si="219"/>
        <v>5</v>
      </c>
      <c r="H2104" s="10">
        <f t="shared" si="220"/>
        <v>2023</v>
      </c>
      <c r="I2104" s="8" t="s">
        <v>4</v>
      </c>
      <c r="J2104" s="7" t="s">
        <v>2888</v>
      </c>
      <c r="K2104" s="8" t="s">
        <v>2889</v>
      </c>
      <c r="L2104" s="8" t="s">
        <v>99</v>
      </c>
      <c r="M2104" s="8" t="s">
        <v>100</v>
      </c>
      <c r="N2104" s="10" t="str">
        <f t="shared" si="221"/>
        <v>GAL</v>
      </c>
      <c r="O2104" s="11">
        <v>55</v>
      </c>
    </row>
    <row r="2105" spans="2:15" x14ac:dyDescent="0.25">
      <c r="B2105" s="1" t="s">
        <v>88</v>
      </c>
      <c r="C2105" s="2" t="s">
        <v>89</v>
      </c>
      <c r="D2105" s="2" t="s">
        <v>1111</v>
      </c>
      <c r="E2105" s="2" t="s">
        <v>1112</v>
      </c>
      <c r="F2105" s="3">
        <v>45077</v>
      </c>
      <c r="G2105" s="4">
        <f t="shared" si="219"/>
        <v>5</v>
      </c>
      <c r="H2105" s="4">
        <f t="shared" si="220"/>
        <v>2023</v>
      </c>
      <c r="I2105" s="2" t="s">
        <v>4</v>
      </c>
      <c r="J2105" s="2" t="s">
        <v>2890</v>
      </c>
      <c r="K2105" s="2" t="s">
        <v>2629</v>
      </c>
      <c r="L2105" s="2" t="s">
        <v>2630</v>
      </c>
      <c r="M2105" s="2" t="s">
        <v>2631</v>
      </c>
      <c r="N2105" s="4" t="str">
        <f t="shared" si="221"/>
        <v>GAL</v>
      </c>
      <c r="O2105" s="5">
        <v>70</v>
      </c>
    </row>
    <row r="2106" spans="2:15" x14ac:dyDescent="0.25">
      <c r="B2106" s="1" t="s">
        <v>88</v>
      </c>
      <c r="C2106" s="2" t="s">
        <v>89</v>
      </c>
      <c r="D2106" s="2" t="s">
        <v>515</v>
      </c>
      <c r="E2106" s="2" t="s">
        <v>516</v>
      </c>
      <c r="F2106" s="3">
        <v>45077</v>
      </c>
      <c r="G2106" s="4">
        <f t="shared" si="219"/>
        <v>5</v>
      </c>
      <c r="H2106" s="4">
        <f t="shared" si="220"/>
        <v>2023</v>
      </c>
      <c r="I2106" s="2" t="s">
        <v>4</v>
      </c>
      <c r="J2106" s="2" t="s">
        <v>2891</v>
      </c>
      <c r="K2106" s="2" t="s">
        <v>110</v>
      </c>
      <c r="L2106" s="2" t="s">
        <v>111</v>
      </c>
      <c r="M2106" s="2" t="s">
        <v>112</v>
      </c>
      <c r="N2106" s="4" t="str">
        <f t="shared" si="221"/>
        <v>GAL</v>
      </c>
      <c r="O2106" s="5">
        <v>1068</v>
      </c>
    </row>
    <row r="2107" spans="2:15" x14ac:dyDescent="0.25">
      <c r="B2107" s="1" t="s">
        <v>154</v>
      </c>
      <c r="C2107" s="2" t="s">
        <v>155</v>
      </c>
      <c r="D2107" s="2" t="s">
        <v>167</v>
      </c>
      <c r="E2107" s="2" t="s">
        <v>168</v>
      </c>
      <c r="F2107" s="3">
        <v>45048</v>
      </c>
      <c r="G2107" s="4">
        <f t="shared" si="219"/>
        <v>5</v>
      </c>
      <c r="H2107" s="4">
        <f t="shared" si="220"/>
        <v>2023</v>
      </c>
      <c r="I2107" s="2" t="s">
        <v>4</v>
      </c>
      <c r="J2107" s="2" t="s">
        <v>2892</v>
      </c>
      <c r="K2107" s="2" t="s">
        <v>158</v>
      </c>
      <c r="L2107" s="2" t="s">
        <v>159</v>
      </c>
      <c r="M2107" s="2" t="s">
        <v>160</v>
      </c>
      <c r="N2107" s="4" t="str">
        <f t="shared" si="221"/>
        <v>GAL</v>
      </c>
      <c r="O2107" s="5">
        <v>180</v>
      </c>
    </row>
    <row r="2108" spans="2:15" x14ac:dyDescent="0.25">
      <c r="B2108" s="1" t="s">
        <v>154</v>
      </c>
      <c r="C2108" s="2" t="s">
        <v>155</v>
      </c>
      <c r="D2108" s="2" t="s">
        <v>173</v>
      </c>
      <c r="E2108" s="2" t="s">
        <v>174</v>
      </c>
      <c r="F2108" s="3">
        <v>45049</v>
      </c>
      <c r="G2108" s="4">
        <f t="shared" si="219"/>
        <v>5</v>
      </c>
      <c r="H2108" s="4">
        <f t="shared" si="220"/>
        <v>2023</v>
      </c>
      <c r="I2108" s="2" t="s">
        <v>4</v>
      </c>
      <c r="J2108" s="2" t="s">
        <v>2893</v>
      </c>
      <c r="K2108" s="2" t="s">
        <v>1814</v>
      </c>
      <c r="L2108" s="2" t="s">
        <v>1815</v>
      </c>
      <c r="M2108" s="2" t="s">
        <v>1816</v>
      </c>
      <c r="N2108" s="4" t="str">
        <f t="shared" si="221"/>
        <v>GAL</v>
      </c>
      <c r="O2108" s="5">
        <v>180</v>
      </c>
    </row>
    <row r="2109" spans="2:15" x14ac:dyDescent="0.25">
      <c r="B2109" s="1" t="s">
        <v>154</v>
      </c>
      <c r="C2109" s="2" t="s">
        <v>155</v>
      </c>
      <c r="D2109" s="2" t="s">
        <v>167</v>
      </c>
      <c r="E2109" s="2" t="s">
        <v>168</v>
      </c>
      <c r="F2109" s="3">
        <v>45051</v>
      </c>
      <c r="G2109" s="4">
        <f t="shared" si="219"/>
        <v>5</v>
      </c>
      <c r="H2109" s="4">
        <f t="shared" si="220"/>
        <v>2023</v>
      </c>
      <c r="I2109" s="2" t="s">
        <v>4</v>
      </c>
      <c r="J2109" s="2" t="s">
        <v>2894</v>
      </c>
      <c r="K2109" s="2" t="s">
        <v>1820</v>
      </c>
      <c r="L2109" s="2" t="s">
        <v>1815</v>
      </c>
      <c r="M2109" s="2" t="s">
        <v>1816</v>
      </c>
      <c r="N2109" s="4" t="str">
        <f t="shared" si="221"/>
        <v>GAL</v>
      </c>
      <c r="O2109" s="5">
        <v>250</v>
      </c>
    </row>
    <row r="2110" spans="2:15" x14ac:dyDescent="0.25">
      <c r="B2110" s="1" t="s">
        <v>154</v>
      </c>
      <c r="C2110" s="2" t="s">
        <v>155</v>
      </c>
      <c r="D2110" s="2" t="s">
        <v>161</v>
      </c>
      <c r="E2110" s="2" t="s">
        <v>162</v>
      </c>
      <c r="F2110" s="3">
        <v>45051</v>
      </c>
      <c r="G2110" s="4">
        <f t="shared" si="219"/>
        <v>5</v>
      </c>
      <c r="H2110" s="4">
        <f t="shared" si="220"/>
        <v>2023</v>
      </c>
      <c r="I2110" s="2" t="s">
        <v>4</v>
      </c>
      <c r="J2110" s="2" t="s">
        <v>2895</v>
      </c>
      <c r="K2110" s="2" t="s">
        <v>185</v>
      </c>
      <c r="L2110" s="2" t="s">
        <v>165</v>
      </c>
      <c r="M2110" s="2" t="s">
        <v>166</v>
      </c>
      <c r="N2110" s="4" t="str">
        <f t="shared" si="221"/>
        <v>GAL</v>
      </c>
      <c r="O2110" s="5">
        <v>1750</v>
      </c>
    </row>
    <row r="2111" spans="2:15" x14ac:dyDescent="0.25">
      <c r="B2111" s="1" t="s">
        <v>154</v>
      </c>
      <c r="C2111" s="2" t="s">
        <v>155</v>
      </c>
      <c r="D2111" s="2" t="s">
        <v>167</v>
      </c>
      <c r="E2111" s="2" t="s">
        <v>168</v>
      </c>
      <c r="F2111" s="3">
        <v>45051</v>
      </c>
      <c r="G2111" s="4">
        <f t="shared" si="219"/>
        <v>5</v>
      </c>
      <c r="H2111" s="4">
        <f t="shared" si="220"/>
        <v>2023</v>
      </c>
      <c r="I2111" s="2" t="s">
        <v>4</v>
      </c>
      <c r="J2111" s="2" t="s">
        <v>2896</v>
      </c>
      <c r="K2111" s="2" t="s">
        <v>609</v>
      </c>
      <c r="L2111" s="2" t="s">
        <v>610</v>
      </c>
      <c r="M2111" s="2" t="s">
        <v>611</v>
      </c>
      <c r="N2111" s="4" t="str">
        <f t="shared" si="221"/>
        <v>GAL</v>
      </c>
      <c r="O2111" s="5">
        <v>180</v>
      </c>
    </row>
    <row r="2112" spans="2:15" x14ac:dyDescent="0.25">
      <c r="B2112" s="1" t="s">
        <v>154</v>
      </c>
      <c r="C2112" s="2" t="s">
        <v>155</v>
      </c>
      <c r="D2112" s="2" t="s">
        <v>178</v>
      </c>
      <c r="E2112" s="2" t="s">
        <v>179</v>
      </c>
      <c r="F2112" s="3">
        <v>45055</v>
      </c>
      <c r="G2112" s="4">
        <f t="shared" si="219"/>
        <v>5</v>
      </c>
      <c r="H2112" s="4">
        <f t="shared" si="220"/>
        <v>2023</v>
      </c>
      <c r="I2112" s="2" t="s">
        <v>4</v>
      </c>
      <c r="J2112" s="2" t="s">
        <v>2897</v>
      </c>
      <c r="K2112" s="2" t="s">
        <v>189</v>
      </c>
      <c r="L2112" s="2" t="s">
        <v>190</v>
      </c>
      <c r="M2112" s="2" t="s">
        <v>191</v>
      </c>
      <c r="N2112" s="4" t="str">
        <f t="shared" si="221"/>
        <v>GAL</v>
      </c>
      <c r="O2112" s="5">
        <v>180</v>
      </c>
    </row>
    <row r="2113" spans="2:15" x14ac:dyDescent="0.25">
      <c r="B2113" s="1" t="s">
        <v>154</v>
      </c>
      <c r="C2113" s="2" t="s">
        <v>155</v>
      </c>
      <c r="D2113" s="2" t="s">
        <v>628</v>
      </c>
      <c r="E2113" s="2" t="s">
        <v>629</v>
      </c>
      <c r="F2113" s="3">
        <v>45055</v>
      </c>
      <c r="G2113" s="4">
        <f t="shared" si="219"/>
        <v>5</v>
      </c>
      <c r="H2113" s="4">
        <f t="shared" si="220"/>
        <v>2023</v>
      </c>
      <c r="I2113" s="2" t="s">
        <v>4</v>
      </c>
      <c r="J2113" s="2" t="s">
        <v>2898</v>
      </c>
      <c r="K2113" s="2" t="s">
        <v>1119</v>
      </c>
      <c r="L2113" s="2" t="s">
        <v>1023</v>
      </c>
      <c r="M2113" s="2" t="s">
        <v>1024</v>
      </c>
      <c r="N2113" s="4" t="str">
        <f t="shared" si="221"/>
        <v>GAL</v>
      </c>
      <c r="O2113" s="5">
        <v>540</v>
      </c>
    </row>
    <row r="2114" spans="2:15" x14ac:dyDescent="0.25">
      <c r="B2114" s="1" t="s">
        <v>154</v>
      </c>
      <c r="C2114" s="2" t="s">
        <v>155</v>
      </c>
      <c r="D2114" s="2" t="s">
        <v>591</v>
      </c>
      <c r="E2114" s="2" t="s">
        <v>592</v>
      </c>
      <c r="F2114" s="3">
        <v>45056</v>
      </c>
      <c r="G2114" s="4">
        <f t="shared" si="219"/>
        <v>5</v>
      </c>
      <c r="H2114" s="4">
        <f t="shared" si="220"/>
        <v>2023</v>
      </c>
      <c r="I2114" s="2" t="s">
        <v>4</v>
      </c>
      <c r="J2114" s="2" t="s">
        <v>2899</v>
      </c>
      <c r="K2114" s="2" t="s">
        <v>1098</v>
      </c>
      <c r="L2114" s="2" t="s">
        <v>632</v>
      </c>
      <c r="M2114" s="2" t="s">
        <v>633</v>
      </c>
      <c r="N2114" s="4" t="str">
        <f t="shared" si="221"/>
        <v>GAL</v>
      </c>
      <c r="O2114" s="5">
        <v>3463</v>
      </c>
    </row>
    <row r="2115" spans="2:15" x14ac:dyDescent="0.25">
      <c r="B2115" s="1" t="s">
        <v>154</v>
      </c>
      <c r="C2115" s="2" t="s">
        <v>155</v>
      </c>
      <c r="D2115" s="2" t="s">
        <v>167</v>
      </c>
      <c r="E2115" s="2" t="s">
        <v>168</v>
      </c>
      <c r="F2115" s="3">
        <v>45057</v>
      </c>
      <c r="G2115" s="4">
        <f t="shared" ref="G2115:G2178" si="222">+MONTH(F2115)</f>
        <v>5</v>
      </c>
      <c r="H2115" s="4">
        <f t="shared" ref="H2115:H2178" si="223">+YEAR(F2115)</f>
        <v>2023</v>
      </c>
      <c r="I2115" s="2" t="s">
        <v>4</v>
      </c>
      <c r="J2115" s="2" t="s">
        <v>2900</v>
      </c>
      <c r="K2115" s="2" t="s">
        <v>1814</v>
      </c>
      <c r="L2115" s="2" t="s">
        <v>1815</v>
      </c>
      <c r="M2115" s="2" t="s">
        <v>1816</v>
      </c>
      <c r="N2115" s="4" t="str">
        <f t="shared" ref="N2115:N2178" si="224">+LEFT(M2115,3)</f>
        <v>GAL</v>
      </c>
      <c r="O2115" s="5">
        <v>180</v>
      </c>
    </row>
    <row r="2116" spans="2:15" x14ac:dyDescent="0.25">
      <c r="B2116" s="1" t="s">
        <v>154</v>
      </c>
      <c r="C2116" s="2" t="s">
        <v>155</v>
      </c>
      <c r="D2116" s="2" t="s">
        <v>161</v>
      </c>
      <c r="E2116" s="2" t="s">
        <v>162</v>
      </c>
      <c r="F2116" s="3">
        <v>45057</v>
      </c>
      <c r="G2116" s="4">
        <f t="shared" si="222"/>
        <v>5</v>
      </c>
      <c r="H2116" s="4">
        <f t="shared" si="223"/>
        <v>2023</v>
      </c>
      <c r="I2116" s="2" t="s">
        <v>4</v>
      </c>
      <c r="J2116" s="2" t="s">
        <v>2901</v>
      </c>
      <c r="K2116" s="2" t="s">
        <v>1814</v>
      </c>
      <c r="L2116" s="2" t="s">
        <v>1815</v>
      </c>
      <c r="M2116" s="2" t="s">
        <v>1816</v>
      </c>
      <c r="N2116" s="4" t="str">
        <f t="shared" si="224"/>
        <v>GAL</v>
      </c>
      <c r="O2116" s="5">
        <v>360</v>
      </c>
    </row>
    <row r="2117" spans="2:15" x14ac:dyDescent="0.25">
      <c r="B2117" s="1" t="s">
        <v>154</v>
      </c>
      <c r="C2117" s="2" t="s">
        <v>155</v>
      </c>
      <c r="D2117" s="2" t="s">
        <v>161</v>
      </c>
      <c r="E2117" s="2" t="s">
        <v>162</v>
      </c>
      <c r="F2117" s="3">
        <v>45057</v>
      </c>
      <c r="G2117" s="4">
        <f t="shared" si="222"/>
        <v>5</v>
      </c>
      <c r="H2117" s="4">
        <f t="shared" si="223"/>
        <v>2023</v>
      </c>
      <c r="I2117" s="2" t="s">
        <v>4</v>
      </c>
      <c r="J2117" s="2" t="s">
        <v>2901</v>
      </c>
      <c r="K2117" s="2" t="s">
        <v>609</v>
      </c>
      <c r="L2117" s="2" t="s">
        <v>610</v>
      </c>
      <c r="M2117" s="2" t="s">
        <v>611</v>
      </c>
      <c r="N2117" s="4" t="str">
        <f t="shared" si="224"/>
        <v>GAL</v>
      </c>
      <c r="O2117" s="5">
        <v>180</v>
      </c>
    </row>
    <row r="2118" spans="2:15" x14ac:dyDescent="0.25">
      <c r="B2118" s="1" t="s">
        <v>154</v>
      </c>
      <c r="C2118" s="2" t="s">
        <v>155</v>
      </c>
      <c r="D2118" s="2" t="s">
        <v>507</v>
      </c>
      <c r="E2118" s="2" t="s">
        <v>2902</v>
      </c>
      <c r="F2118" s="3">
        <v>45058</v>
      </c>
      <c r="G2118" s="4">
        <f t="shared" si="222"/>
        <v>5</v>
      </c>
      <c r="H2118" s="4">
        <f t="shared" si="223"/>
        <v>2023</v>
      </c>
      <c r="I2118" s="2" t="s">
        <v>4</v>
      </c>
      <c r="J2118" s="2" t="s">
        <v>2903</v>
      </c>
      <c r="K2118" s="2" t="s">
        <v>513</v>
      </c>
      <c r="L2118" s="2" t="s">
        <v>514</v>
      </c>
      <c r="M2118" s="2" t="s">
        <v>119</v>
      </c>
      <c r="N2118" s="4" t="str">
        <f t="shared" si="224"/>
        <v>TON</v>
      </c>
      <c r="O2118" s="5">
        <v>12.44</v>
      </c>
    </row>
    <row r="2119" spans="2:15" x14ac:dyDescent="0.25">
      <c r="B2119" s="1" t="s">
        <v>154</v>
      </c>
      <c r="C2119" s="2" t="s">
        <v>155</v>
      </c>
      <c r="D2119" s="2" t="s">
        <v>1838</v>
      </c>
      <c r="E2119" s="2" t="s">
        <v>1839</v>
      </c>
      <c r="F2119" s="3">
        <v>45061</v>
      </c>
      <c r="G2119" s="4">
        <f t="shared" si="222"/>
        <v>5</v>
      </c>
      <c r="H2119" s="4">
        <f t="shared" si="223"/>
        <v>2023</v>
      </c>
      <c r="I2119" s="2" t="s">
        <v>4</v>
      </c>
      <c r="J2119" s="2" t="s">
        <v>2904</v>
      </c>
      <c r="K2119" s="2" t="s">
        <v>1869</v>
      </c>
      <c r="L2119" s="2" t="s">
        <v>172</v>
      </c>
      <c r="M2119" s="2" t="s">
        <v>27</v>
      </c>
      <c r="N2119" s="4" t="str">
        <f t="shared" si="224"/>
        <v>GAL</v>
      </c>
      <c r="O2119" s="5">
        <v>1000</v>
      </c>
    </row>
    <row r="2120" spans="2:15" x14ac:dyDescent="0.25">
      <c r="B2120" s="1" t="s">
        <v>154</v>
      </c>
      <c r="C2120" s="2" t="s">
        <v>155</v>
      </c>
      <c r="D2120" s="2" t="s">
        <v>1838</v>
      </c>
      <c r="E2120" s="2" t="s">
        <v>1839</v>
      </c>
      <c r="F2120" s="3">
        <v>45061</v>
      </c>
      <c r="G2120" s="4">
        <f t="shared" si="222"/>
        <v>5</v>
      </c>
      <c r="H2120" s="4">
        <f t="shared" si="223"/>
        <v>2023</v>
      </c>
      <c r="I2120" s="2" t="s">
        <v>4</v>
      </c>
      <c r="J2120" s="2" t="s">
        <v>2904</v>
      </c>
      <c r="K2120" s="2" t="s">
        <v>171</v>
      </c>
      <c r="L2120" s="2" t="s">
        <v>172</v>
      </c>
      <c r="M2120" s="2" t="s">
        <v>27</v>
      </c>
      <c r="N2120" s="4" t="str">
        <f t="shared" si="224"/>
        <v>GAL</v>
      </c>
      <c r="O2120" s="5">
        <v>360</v>
      </c>
    </row>
    <row r="2121" spans="2:15" x14ac:dyDescent="0.25">
      <c r="B2121" s="1" t="s">
        <v>154</v>
      </c>
      <c r="C2121" s="2" t="s">
        <v>155</v>
      </c>
      <c r="D2121" s="2" t="s">
        <v>628</v>
      </c>
      <c r="E2121" s="2" t="s">
        <v>629</v>
      </c>
      <c r="F2121" s="3">
        <v>45063</v>
      </c>
      <c r="G2121" s="4">
        <f t="shared" si="222"/>
        <v>5</v>
      </c>
      <c r="H2121" s="4">
        <f t="shared" si="223"/>
        <v>2023</v>
      </c>
      <c r="I2121" s="2" t="s">
        <v>4</v>
      </c>
      <c r="J2121" s="2" t="s">
        <v>2905</v>
      </c>
      <c r="K2121" s="2" t="s">
        <v>631</v>
      </c>
      <c r="L2121" s="2" t="s">
        <v>632</v>
      </c>
      <c r="M2121" s="2" t="s">
        <v>633</v>
      </c>
      <c r="N2121" s="4" t="str">
        <f t="shared" si="224"/>
        <v>GAL</v>
      </c>
      <c r="O2121" s="5">
        <v>1000</v>
      </c>
    </row>
    <row r="2122" spans="2:15" x14ac:dyDescent="0.25">
      <c r="B2122" s="1" t="s">
        <v>154</v>
      </c>
      <c r="C2122" s="2" t="s">
        <v>155</v>
      </c>
      <c r="D2122" s="2" t="s">
        <v>167</v>
      </c>
      <c r="E2122" s="2" t="s">
        <v>168</v>
      </c>
      <c r="F2122" s="3">
        <v>45064</v>
      </c>
      <c r="G2122" s="4">
        <f t="shared" si="222"/>
        <v>5</v>
      </c>
      <c r="H2122" s="4">
        <f t="shared" si="223"/>
        <v>2023</v>
      </c>
      <c r="I2122" s="2" t="s">
        <v>4</v>
      </c>
      <c r="J2122" s="2" t="s">
        <v>2906</v>
      </c>
      <c r="K2122" s="2" t="s">
        <v>1853</v>
      </c>
      <c r="L2122" s="2" t="s">
        <v>1854</v>
      </c>
      <c r="M2122" s="2" t="s">
        <v>1816</v>
      </c>
      <c r="N2122" s="4" t="str">
        <f t="shared" si="224"/>
        <v>GAL</v>
      </c>
      <c r="O2122" s="5">
        <v>180</v>
      </c>
    </row>
    <row r="2123" spans="2:15" x14ac:dyDescent="0.25">
      <c r="B2123" s="1" t="s">
        <v>154</v>
      </c>
      <c r="C2123" s="2" t="s">
        <v>155</v>
      </c>
      <c r="D2123" s="2" t="s">
        <v>1838</v>
      </c>
      <c r="E2123" s="2" t="s">
        <v>1839</v>
      </c>
      <c r="F2123" s="3">
        <v>45064</v>
      </c>
      <c r="G2123" s="4">
        <f t="shared" si="222"/>
        <v>5</v>
      </c>
      <c r="H2123" s="4">
        <f t="shared" si="223"/>
        <v>2023</v>
      </c>
      <c r="I2123" s="2" t="s">
        <v>4</v>
      </c>
      <c r="J2123" s="2" t="s">
        <v>2907</v>
      </c>
      <c r="K2123" s="2" t="s">
        <v>171</v>
      </c>
      <c r="L2123" s="2" t="s">
        <v>172</v>
      </c>
      <c r="M2123" s="2" t="s">
        <v>27</v>
      </c>
      <c r="N2123" s="4" t="str">
        <f t="shared" si="224"/>
        <v>GAL</v>
      </c>
      <c r="O2123" s="5">
        <v>1440</v>
      </c>
    </row>
    <row r="2124" spans="2:15" x14ac:dyDescent="0.25">
      <c r="B2124" s="1" t="s">
        <v>154</v>
      </c>
      <c r="C2124" s="2" t="s">
        <v>155</v>
      </c>
      <c r="D2124" s="2" t="s">
        <v>167</v>
      </c>
      <c r="E2124" s="2" t="s">
        <v>168</v>
      </c>
      <c r="F2124" s="3">
        <v>45065</v>
      </c>
      <c r="G2124" s="4">
        <f t="shared" si="222"/>
        <v>5</v>
      </c>
      <c r="H2124" s="4">
        <f t="shared" si="223"/>
        <v>2023</v>
      </c>
      <c r="I2124" s="2" t="s">
        <v>4</v>
      </c>
      <c r="J2124" s="2" t="s">
        <v>2908</v>
      </c>
      <c r="K2124" s="2" t="s">
        <v>2616</v>
      </c>
      <c r="L2124" s="2" t="s">
        <v>2617</v>
      </c>
      <c r="M2124" s="2" t="s">
        <v>2618</v>
      </c>
      <c r="N2124" s="4" t="str">
        <f t="shared" si="224"/>
        <v>GAL</v>
      </c>
      <c r="O2124" s="5">
        <v>120</v>
      </c>
    </row>
    <row r="2125" spans="2:15" x14ac:dyDescent="0.25">
      <c r="B2125" s="1" t="s">
        <v>154</v>
      </c>
      <c r="C2125" s="2" t="s">
        <v>155</v>
      </c>
      <c r="D2125" s="2" t="s">
        <v>628</v>
      </c>
      <c r="E2125" s="2" t="s">
        <v>629</v>
      </c>
      <c r="F2125" s="3">
        <v>45065</v>
      </c>
      <c r="G2125" s="4">
        <f t="shared" si="222"/>
        <v>5</v>
      </c>
      <c r="H2125" s="4">
        <f t="shared" si="223"/>
        <v>2023</v>
      </c>
      <c r="I2125" s="2" t="s">
        <v>4</v>
      </c>
      <c r="J2125" s="2" t="s">
        <v>2909</v>
      </c>
      <c r="K2125" s="2" t="s">
        <v>2600</v>
      </c>
      <c r="L2125" s="2" t="s">
        <v>1644</v>
      </c>
      <c r="M2125" s="2" t="s">
        <v>46</v>
      </c>
      <c r="N2125" s="4" t="str">
        <f t="shared" si="224"/>
        <v>GAL</v>
      </c>
      <c r="O2125" s="5">
        <v>250</v>
      </c>
    </row>
    <row r="2126" spans="2:15" x14ac:dyDescent="0.25">
      <c r="B2126" s="1" t="s">
        <v>154</v>
      </c>
      <c r="C2126" s="2" t="s">
        <v>155</v>
      </c>
      <c r="D2126" s="2" t="s">
        <v>628</v>
      </c>
      <c r="E2126" s="2" t="s">
        <v>629</v>
      </c>
      <c r="F2126" s="3">
        <v>45065</v>
      </c>
      <c r="G2126" s="4">
        <f t="shared" si="222"/>
        <v>5</v>
      </c>
      <c r="H2126" s="4">
        <f t="shared" si="223"/>
        <v>2023</v>
      </c>
      <c r="I2126" s="2" t="s">
        <v>4</v>
      </c>
      <c r="J2126" s="2" t="s">
        <v>2909</v>
      </c>
      <c r="K2126" s="2" t="s">
        <v>1643</v>
      </c>
      <c r="L2126" s="2" t="s">
        <v>1644</v>
      </c>
      <c r="M2126" s="2" t="s">
        <v>46</v>
      </c>
      <c r="N2126" s="4" t="str">
        <f t="shared" si="224"/>
        <v>GAL</v>
      </c>
      <c r="O2126" s="5">
        <v>175</v>
      </c>
    </row>
    <row r="2127" spans="2:15" x14ac:dyDescent="0.25">
      <c r="B2127" s="1" t="s">
        <v>154</v>
      </c>
      <c r="C2127" s="2" t="s">
        <v>155</v>
      </c>
      <c r="D2127" s="2" t="s">
        <v>628</v>
      </c>
      <c r="E2127" s="2" t="s">
        <v>629</v>
      </c>
      <c r="F2127" s="3">
        <v>45069</v>
      </c>
      <c r="G2127" s="4">
        <f t="shared" si="222"/>
        <v>5</v>
      </c>
      <c r="H2127" s="4">
        <f t="shared" si="223"/>
        <v>2023</v>
      </c>
      <c r="I2127" s="2" t="s">
        <v>4</v>
      </c>
      <c r="J2127" s="2" t="s">
        <v>2910</v>
      </c>
      <c r="K2127" s="2" t="s">
        <v>631</v>
      </c>
      <c r="L2127" s="2" t="s">
        <v>632</v>
      </c>
      <c r="M2127" s="2" t="s">
        <v>633</v>
      </c>
      <c r="N2127" s="4" t="str">
        <f t="shared" si="224"/>
        <v>GAL</v>
      </c>
      <c r="O2127" s="5">
        <v>250</v>
      </c>
    </row>
    <row r="2128" spans="2:15" x14ac:dyDescent="0.25">
      <c r="B2128" s="1" t="s">
        <v>154</v>
      </c>
      <c r="C2128" s="2" t="s">
        <v>155</v>
      </c>
      <c r="D2128" s="2" t="s">
        <v>1838</v>
      </c>
      <c r="E2128" s="2" t="s">
        <v>1839</v>
      </c>
      <c r="F2128" s="3">
        <v>45070</v>
      </c>
      <c r="G2128" s="4">
        <f t="shared" si="222"/>
        <v>5</v>
      </c>
      <c r="H2128" s="4">
        <f t="shared" si="223"/>
        <v>2023</v>
      </c>
      <c r="I2128" s="2" t="s">
        <v>4</v>
      </c>
      <c r="J2128" s="2" t="s">
        <v>2911</v>
      </c>
      <c r="K2128" s="2" t="s">
        <v>171</v>
      </c>
      <c r="L2128" s="2" t="s">
        <v>172</v>
      </c>
      <c r="M2128" s="2" t="s">
        <v>27</v>
      </c>
      <c r="N2128" s="4" t="str">
        <f t="shared" si="224"/>
        <v>GAL</v>
      </c>
      <c r="O2128" s="5">
        <v>1080</v>
      </c>
    </row>
    <row r="2129" spans="2:15" x14ac:dyDescent="0.25">
      <c r="B2129" s="1" t="s">
        <v>154</v>
      </c>
      <c r="C2129" s="2" t="s">
        <v>155</v>
      </c>
      <c r="D2129" s="2" t="s">
        <v>1838</v>
      </c>
      <c r="E2129" s="2" t="s">
        <v>1839</v>
      </c>
      <c r="F2129" s="3">
        <v>45071</v>
      </c>
      <c r="G2129" s="4">
        <f t="shared" si="222"/>
        <v>5</v>
      </c>
      <c r="H2129" s="4">
        <f t="shared" si="223"/>
        <v>2023</v>
      </c>
      <c r="I2129" s="2" t="s">
        <v>4</v>
      </c>
      <c r="J2129" s="2" t="s">
        <v>2912</v>
      </c>
      <c r="K2129" s="2" t="s">
        <v>1869</v>
      </c>
      <c r="L2129" s="2" t="s">
        <v>172</v>
      </c>
      <c r="M2129" s="2" t="s">
        <v>27</v>
      </c>
      <c r="N2129" s="4" t="str">
        <f t="shared" si="224"/>
        <v>GAL</v>
      </c>
      <c r="O2129" s="5">
        <v>250</v>
      </c>
    </row>
    <row r="2130" spans="2:15" x14ac:dyDescent="0.25">
      <c r="B2130" s="1" t="s">
        <v>154</v>
      </c>
      <c r="C2130" s="2" t="s">
        <v>155</v>
      </c>
      <c r="D2130" s="2" t="s">
        <v>167</v>
      </c>
      <c r="E2130" s="2" t="s">
        <v>168</v>
      </c>
      <c r="F2130" s="3">
        <v>45077</v>
      </c>
      <c r="G2130" s="4">
        <f t="shared" si="222"/>
        <v>5</v>
      </c>
      <c r="H2130" s="4">
        <f t="shared" si="223"/>
        <v>2023</v>
      </c>
      <c r="I2130" s="2" t="s">
        <v>4</v>
      </c>
      <c r="J2130" s="2" t="s">
        <v>2913</v>
      </c>
      <c r="K2130" s="2" t="s">
        <v>1853</v>
      </c>
      <c r="L2130" s="2" t="s">
        <v>1854</v>
      </c>
      <c r="M2130" s="2" t="s">
        <v>1816</v>
      </c>
      <c r="N2130" s="4" t="str">
        <f t="shared" si="224"/>
        <v>GAL</v>
      </c>
      <c r="O2130" s="5">
        <v>180</v>
      </c>
    </row>
    <row r="2131" spans="2:15" x14ac:dyDescent="0.25">
      <c r="B2131" s="1" t="s">
        <v>1520</v>
      </c>
      <c r="C2131" s="2" t="s">
        <v>196</v>
      </c>
      <c r="D2131" s="2" t="s">
        <v>280</v>
      </c>
      <c r="E2131" s="2" t="s">
        <v>254</v>
      </c>
      <c r="F2131" s="3">
        <v>45047</v>
      </c>
      <c r="G2131" s="4">
        <f t="shared" si="222"/>
        <v>5</v>
      </c>
      <c r="H2131" s="4">
        <f t="shared" si="223"/>
        <v>2023</v>
      </c>
      <c r="I2131" s="2" t="s">
        <v>4</v>
      </c>
      <c r="J2131" s="2" t="s">
        <v>2914</v>
      </c>
      <c r="K2131" s="2" t="s">
        <v>2776</v>
      </c>
      <c r="L2131" s="2" t="s">
        <v>2777</v>
      </c>
      <c r="M2131" s="2" t="s">
        <v>119</v>
      </c>
      <c r="N2131" s="4" t="str">
        <f t="shared" si="224"/>
        <v>TON</v>
      </c>
      <c r="O2131" s="5">
        <v>10</v>
      </c>
    </row>
    <row r="2132" spans="2:15" x14ac:dyDescent="0.25">
      <c r="B2132" s="1" t="s">
        <v>1520</v>
      </c>
      <c r="C2132" s="2" t="s">
        <v>196</v>
      </c>
      <c r="D2132" s="2" t="s">
        <v>283</v>
      </c>
      <c r="E2132" s="2" t="s">
        <v>382</v>
      </c>
      <c r="F2132" s="3">
        <v>45047</v>
      </c>
      <c r="G2132" s="4">
        <f t="shared" si="222"/>
        <v>5</v>
      </c>
      <c r="H2132" s="4">
        <f t="shared" si="223"/>
        <v>2023</v>
      </c>
      <c r="I2132" s="2" t="s">
        <v>4</v>
      </c>
      <c r="J2132" s="2" t="s">
        <v>2915</v>
      </c>
      <c r="K2132" s="2" t="s">
        <v>384</v>
      </c>
      <c r="L2132" s="2" t="s">
        <v>385</v>
      </c>
      <c r="M2132" s="2" t="s">
        <v>119</v>
      </c>
      <c r="N2132" s="4" t="str">
        <f t="shared" si="224"/>
        <v>TON</v>
      </c>
      <c r="O2132" s="5">
        <v>1</v>
      </c>
    </row>
    <row r="2133" spans="2:15" x14ac:dyDescent="0.25">
      <c r="B2133" s="1" t="s">
        <v>1520</v>
      </c>
      <c r="C2133" s="2" t="s">
        <v>196</v>
      </c>
      <c r="D2133" s="2" t="s">
        <v>241</v>
      </c>
      <c r="E2133" s="2" t="s">
        <v>258</v>
      </c>
      <c r="F2133" s="3">
        <v>45047</v>
      </c>
      <c r="G2133" s="4">
        <f t="shared" si="222"/>
        <v>5</v>
      </c>
      <c r="H2133" s="4">
        <f t="shared" si="223"/>
        <v>2023</v>
      </c>
      <c r="I2133" s="2" t="s">
        <v>4</v>
      </c>
      <c r="J2133" s="2" t="s">
        <v>2916</v>
      </c>
      <c r="K2133" s="2" t="s">
        <v>260</v>
      </c>
      <c r="L2133" s="2" t="s">
        <v>261</v>
      </c>
      <c r="M2133" s="2" t="s">
        <v>119</v>
      </c>
      <c r="N2133" s="4" t="str">
        <f t="shared" si="224"/>
        <v>TON</v>
      </c>
      <c r="O2133" s="5">
        <v>2.25</v>
      </c>
    </row>
    <row r="2134" spans="2:15" x14ac:dyDescent="0.25">
      <c r="B2134" s="1" t="s">
        <v>1520</v>
      </c>
      <c r="C2134" s="2" t="s">
        <v>196</v>
      </c>
      <c r="D2134" s="2" t="s">
        <v>114</v>
      </c>
      <c r="E2134" s="2" t="s">
        <v>369</v>
      </c>
      <c r="F2134" s="3">
        <v>45047</v>
      </c>
      <c r="G2134" s="4">
        <f t="shared" si="222"/>
        <v>5</v>
      </c>
      <c r="H2134" s="4">
        <f t="shared" si="223"/>
        <v>2023</v>
      </c>
      <c r="I2134" s="2" t="s">
        <v>4</v>
      </c>
      <c r="J2134" s="2" t="s">
        <v>2917</v>
      </c>
      <c r="K2134" s="2" t="s">
        <v>2776</v>
      </c>
      <c r="L2134" s="2" t="s">
        <v>2777</v>
      </c>
      <c r="M2134" s="2" t="s">
        <v>119</v>
      </c>
      <c r="N2134" s="4" t="str">
        <f t="shared" si="224"/>
        <v>TON</v>
      </c>
      <c r="O2134" s="5">
        <v>7</v>
      </c>
    </row>
    <row r="2135" spans="2:15" x14ac:dyDescent="0.25">
      <c r="B2135" s="1" t="s">
        <v>1520</v>
      </c>
      <c r="C2135" s="2" t="s">
        <v>196</v>
      </c>
      <c r="D2135" s="2" t="s">
        <v>276</v>
      </c>
      <c r="E2135" s="2" t="s">
        <v>878</v>
      </c>
      <c r="F2135" s="3">
        <v>45048</v>
      </c>
      <c r="G2135" s="4">
        <f t="shared" si="222"/>
        <v>5</v>
      </c>
      <c r="H2135" s="4">
        <f t="shared" si="223"/>
        <v>2023</v>
      </c>
      <c r="I2135" s="2" t="s">
        <v>4</v>
      </c>
      <c r="J2135" s="2" t="s">
        <v>2918</v>
      </c>
      <c r="K2135" s="2" t="s">
        <v>292</v>
      </c>
      <c r="L2135" s="2" t="s">
        <v>293</v>
      </c>
      <c r="M2135" s="2" t="s">
        <v>119</v>
      </c>
      <c r="N2135" s="4" t="str">
        <f t="shared" si="224"/>
        <v>TON</v>
      </c>
      <c r="O2135" s="5">
        <v>6.02</v>
      </c>
    </row>
    <row r="2136" spans="2:15" x14ac:dyDescent="0.25">
      <c r="B2136" s="1" t="s">
        <v>1520</v>
      </c>
      <c r="C2136" s="2" t="s">
        <v>196</v>
      </c>
      <c r="D2136" s="2" t="s">
        <v>387</v>
      </c>
      <c r="E2136" s="2" t="s">
        <v>797</v>
      </c>
      <c r="F2136" s="3">
        <v>45048</v>
      </c>
      <c r="G2136" s="4">
        <f t="shared" si="222"/>
        <v>5</v>
      </c>
      <c r="H2136" s="4">
        <f t="shared" si="223"/>
        <v>2023</v>
      </c>
      <c r="I2136" s="2" t="s">
        <v>4</v>
      </c>
      <c r="J2136" s="2" t="s">
        <v>2919</v>
      </c>
      <c r="K2136" s="2" t="s">
        <v>2750</v>
      </c>
      <c r="L2136" s="2" t="s">
        <v>2751</v>
      </c>
      <c r="M2136" s="2" t="s">
        <v>119</v>
      </c>
      <c r="N2136" s="4" t="str">
        <f t="shared" si="224"/>
        <v>TON</v>
      </c>
      <c r="O2136" s="5">
        <v>10.025</v>
      </c>
    </row>
    <row r="2137" spans="2:15" x14ac:dyDescent="0.25">
      <c r="B2137" s="1" t="s">
        <v>1520</v>
      </c>
      <c r="C2137" s="2" t="s">
        <v>196</v>
      </c>
      <c r="D2137" s="2" t="s">
        <v>317</v>
      </c>
      <c r="E2137" s="2" t="s">
        <v>319</v>
      </c>
      <c r="F2137" s="3">
        <v>45048</v>
      </c>
      <c r="G2137" s="4">
        <f t="shared" si="222"/>
        <v>5</v>
      </c>
      <c r="H2137" s="4">
        <f t="shared" si="223"/>
        <v>2023</v>
      </c>
      <c r="I2137" s="2" t="s">
        <v>4</v>
      </c>
      <c r="J2137" s="2" t="s">
        <v>2920</v>
      </c>
      <c r="K2137" s="2" t="s">
        <v>2776</v>
      </c>
      <c r="L2137" s="2" t="s">
        <v>2777</v>
      </c>
      <c r="M2137" s="2" t="s">
        <v>119</v>
      </c>
      <c r="N2137" s="4" t="str">
        <f t="shared" si="224"/>
        <v>TON</v>
      </c>
      <c r="O2137" s="5">
        <v>10.01</v>
      </c>
    </row>
    <row r="2138" spans="2:15" x14ac:dyDescent="0.25">
      <c r="B2138" s="1" t="s">
        <v>1520</v>
      </c>
      <c r="C2138" s="2" t="s">
        <v>196</v>
      </c>
      <c r="D2138" s="2" t="s">
        <v>280</v>
      </c>
      <c r="E2138" s="2" t="s">
        <v>254</v>
      </c>
      <c r="F2138" s="3">
        <v>45048</v>
      </c>
      <c r="G2138" s="4">
        <f t="shared" si="222"/>
        <v>5</v>
      </c>
      <c r="H2138" s="4">
        <f t="shared" si="223"/>
        <v>2023</v>
      </c>
      <c r="I2138" s="2" t="s">
        <v>4</v>
      </c>
      <c r="J2138" s="2" t="s">
        <v>2921</v>
      </c>
      <c r="K2138" s="2" t="s">
        <v>2776</v>
      </c>
      <c r="L2138" s="2" t="s">
        <v>2777</v>
      </c>
      <c r="M2138" s="2" t="s">
        <v>119</v>
      </c>
      <c r="N2138" s="4" t="str">
        <f t="shared" si="224"/>
        <v>TON</v>
      </c>
      <c r="O2138" s="5">
        <v>10.015000000000001</v>
      </c>
    </row>
    <row r="2139" spans="2:15" x14ac:dyDescent="0.25">
      <c r="B2139" s="1" t="s">
        <v>1520</v>
      </c>
      <c r="C2139" s="2" t="s">
        <v>196</v>
      </c>
      <c r="D2139" s="2" t="s">
        <v>280</v>
      </c>
      <c r="E2139" s="2" t="s">
        <v>254</v>
      </c>
      <c r="F2139" s="3">
        <v>45048</v>
      </c>
      <c r="G2139" s="4">
        <f t="shared" si="222"/>
        <v>5</v>
      </c>
      <c r="H2139" s="4">
        <f t="shared" si="223"/>
        <v>2023</v>
      </c>
      <c r="I2139" s="2" t="s">
        <v>4</v>
      </c>
      <c r="J2139" s="2" t="s">
        <v>2922</v>
      </c>
      <c r="K2139" s="2" t="s">
        <v>2776</v>
      </c>
      <c r="L2139" s="2" t="s">
        <v>2777</v>
      </c>
      <c r="M2139" s="2" t="s">
        <v>119</v>
      </c>
      <c r="N2139" s="4" t="str">
        <f t="shared" si="224"/>
        <v>TON</v>
      </c>
      <c r="O2139" s="5">
        <v>10.0275</v>
      </c>
    </row>
    <row r="2140" spans="2:15" x14ac:dyDescent="0.25">
      <c r="B2140" s="1" t="s">
        <v>1520</v>
      </c>
      <c r="C2140" s="2" t="s">
        <v>196</v>
      </c>
      <c r="D2140" s="2" t="s">
        <v>331</v>
      </c>
      <c r="E2140" s="2" t="s">
        <v>432</v>
      </c>
      <c r="F2140" s="3">
        <v>45048</v>
      </c>
      <c r="G2140" s="4">
        <f t="shared" si="222"/>
        <v>5</v>
      </c>
      <c r="H2140" s="4">
        <f t="shared" si="223"/>
        <v>2023</v>
      </c>
      <c r="I2140" s="2" t="s">
        <v>4</v>
      </c>
      <c r="J2140" s="2" t="s">
        <v>2923</v>
      </c>
      <c r="K2140" s="2" t="s">
        <v>205</v>
      </c>
      <c r="L2140" s="2" t="s">
        <v>206</v>
      </c>
      <c r="M2140" s="2" t="s">
        <v>119</v>
      </c>
      <c r="N2140" s="4" t="str">
        <f t="shared" si="224"/>
        <v>TON</v>
      </c>
      <c r="O2140" s="5">
        <v>5.0025000000000004</v>
      </c>
    </row>
    <row r="2141" spans="2:15" x14ac:dyDescent="0.25">
      <c r="B2141" s="1" t="s">
        <v>1520</v>
      </c>
      <c r="C2141" s="2" t="s">
        <v>196</v>
      </c>
      <c r="D2141" s="2" t="s">
        <v>238</v>
      </c>
      <c r="E2141" s="2" t="s">
        <v>1154</v>
      </c>
      <c r="F2141" s="3">
        <v>45048</v>
      </c>
      <c r="G2141" s="4">
        <f t="shared" si="222"/>
        <v>5</v>
      </c>
      <c r="H2141" s="4">
        <f t="shared" si="223"/>
        <v>2023</v>
      </c>
      <c r="I2141" s="2" t="s">
        <v>4</v>
      </c>
      <c r="J2141" s="2" t="s">
        <v>2924</v>
      </c>
      <c r="K2141" s="2" t="s">
        <v>2925</v>
      </c>
      <c r="L2141" s="2" t="s">
        <v>2926</v>
      </c>
      <c r="M2141" s="2" t="s">
        <v>119</v>
      </c>
      <c r="N2141" s="4" t="str">
        <f t="shared" si="224"/>
        <v>TON</v>
      </c>
      <c r="O2141" s="5">
        <v>14.5</v>
      </c>
    </row>
    <row r="2142" spans="2:15" x14ac:dyDescent="0.25">
      <c r="B2142" s="1" t="s">
        <v>1520</v>
      </c>
      <c r="C2142" s="2" t="s">
        <v>196</v>
      </c>
      <c r="D2142" s="2" t="s">
        <v>790</v>
      </c>
      <c r="E2142" s="2" t="s">
        <v>791</v>
      </c>
      <c r="F2142" s="3">
        <v>45048</v>
      </c>
      <c r="G2142" s="4">
        <f t="shared" si="222"/>
        <v>5</v>
      </c>
      <c r="H2142" s="4">
        <f t="shared" si="223"/>
        <v>2023</v>
      </c>
      <c r="I2142" s="2" t="s">
        <v>4</v>
      </c>
      <c r="J2142" s="2" t="s">
        <v>2927</v>
      </c>
      <c r="K2142" s="2" t="s">
        <v>2350</v>
      </c>
      <c r="L2142" s="2" t="s">
        <v>2351</v>
      </c>
      <c r="M2142" s="2" t="s">
        <v>119</v>
      </c>
      <c r="N2142" s="4" t="str">
        <f t="shared" si="224"/>
        <v>TON</v>
      </c>
      <c r="O2142" s="5">
        <v>5</v>
      </c>
    </row>
    <row r="2143" spans="2:15" x14ac:dyDescent="0.25">
      <c r="B2143" s="1" t="s">
        <v>1520</v>
      </c>
      <c r="C2143" s="2" t="s">
        <v>196</v>
      </c>
      <c r="D2143" s="2" t="s">
        <v>452</v>
      </c>
      <c r="E2143" s="2" t="s">
        <v>1167</v>
      </c>
      <c r="F2143" s="3">
        <v>45049</v>
      </c>
      <c r="G2143" s="4">
        <f t="shared" si="222"/>
        <v>5</v>
      </c>
      <c r="H2143" s="4">
        <f t="shared" si="223"/>
        <v>2023</v>
      </c>
      <c r="I2143" s="2" t="s">
        <v>4</v>
      </c>
      <c r="J2143" s="2" t="s">
        <v>2928</v>
      </c>
      <c r="K2143" s="2" t="s">
        <v>205</v>
      </c>
      <c r="L2143" s="2" t="s">
        <v>206</v>
      </c>
      <c r="M2143" s="2" t="s">
        <v>119</v>
      </c>
      <c r="N2143" s="4" t="str">
        <f t="shared" si="224"/>
        <v>TON</v>
      </c>
      <c r="O2143" s="5">
        <v>7</v>
      </c>
    </row>
    <row r="2144" spans="2:15" x14ac:dyDescent="0.25">
      <c r="B2144" s="1" t="s">
        <v>1520</v>
      </c>
      <c r="C2144" s="2" t="s">
        <v>196</v>
      </c>
      <c r="D2144" s="2" t="s">
        <v>262</v>
      </c>
      <c r="E2144" s="2" t="s">
        <v>1170</v>
      </c>
      <c r="F2144" s="3">
        <v>45049</v>
      </c>
      <c r="G2144" s="4">
        <f t="shared" si="222"/>
        <v>5</v>
      </c>
      <c r="H2144" s="4">
        <f t="shared" si="223"/>
        <v>2023</v>
      </c>
      <c r="I2144" s="2" t="s">
        <v>4</v>
      </c>
      <c r="J2144" s="2" t="s">
        <v>2929</v>
      </c>
      <c r="K2144" s="2" t="s">
        <v>329</v>
      </c>
      <c r="L2144" s="2" t="s">
        <v>330</v>
      </c>
      <c r="M2144" s="2" t="s">
        <v>119</v>
      </c>
      <c r="N2144" s="4" t="str">
        <f t="shared" si="224"/>
        <v>TON</v>
      </c>
      <c r="O2144" s="5">
        <v>1.0049999999999999</v>
      </c>
    </row>
    <row r="2145" spans="2:15" x14ac:dyDescent="0.25">
      <c r="B2145" s="1" t="s">
        <v>1520</v>
      </c>
      <c r="C2145" s="2" t="s">
        <v>196</v>
      </c>
      <c r="D2145" s="2" t="s">
        <v>262</v>
      </c>
      <c r="E2145" s="2" t="s">
        <v>728</v>
      </c>
      <c r="F2145" s="3">
        <v>45049</v>
      </c>
      <c r="G2145" s="4">
        <f t="shared" si="222"/>
        <v>5</v>
      </c>
      <c r="H2145" s="4">
        <f t="shared" si="223"/>
        <v>2023</v>
      </c>
      <c r="I2145" s="2" t="s">
        <v>4</v>
      </c>
      <c r="J2145" s="2" t="s">
        <v>2930</v>
      </c>
      <c r="K2145" s="2" t="s">
        <v>329</v>
      </c>
      <c r="L2145" s="2" t="s">
        <v>330</v>
      </c>
      <c r="M2145" s="2" t="s">
        <v>119</v>
      </c>
      <c r="N2145" s="4" t="str">
        <f t="shared" si="224"/>
        <v>TON</v>
      </c>
      <c r="O2145" s="5">
        <v>7.0125000000000002</v>
      </c>
    </row>
    <row r="2146" spans="2:15" x14ac:dyDescent="0.25">
      <c r="B2146" s="1" t="s">
        <v>1520</v>
      </c>
      <c r="C2146" s="2" t="s">
        <v>196</v>
      </c>
      <c r="D2146" s="2" t="s">
        <v>224</v>
      </c>
      <c r="E2146" s="2" t="s">
        <v>361</v>
      </c>
      <c r="F2146" s="3">
        <v>45049</v>
      </c>
      <c r="G2146" s="4">
        <f t="shared" si="222"/>
        <v>5</v>
      </c>
      <c r="H2146" s="4">
        <f t="shared" si="223"/>
        <v>2023</v>
      </c>
      <c r="I2146" s="2" t="s">
        <v>4</v>
      </c>
      <c r="J2146" s="2" t="s">
        <v>2931</v>
      </c>
      <c r="K2146" s="2" t="s">
        <v>2731</v>
      </c>
      <c r="L2146" s="2" t="s">
        <v>2732</v>
      </c>
      <c r="M2146" s="2" t="s">
        <v>119</v>
      </c>
      <c r="N2146" s="4" t="str">
        <f t="shared" si="224"/>
        <v>TON</v>
      </c>
      <c r="O2146" s="5">
        <v>5.0049999999999999</v>
      </c>
    </row>
    <row r="2147" spans="2:15" x14ac:dyDescent="0.25">
      <c r="B2147" s="1" t="s">
        <v>1520</v>
      </c>
      <c r="C2147" s="2" t="s">
        <v>196</v>
      </c>
      <c r="D2147" s="2" t="s">
        <v>440</v>
      </c>
      <c r="E2147" s="2" t="s">
        <v>1369</v>
      </c>
      <c r="F2147" s="3">
        <v>45049</v>
      </c>
      <c r="G2147" s="4">
        <f t="shared" si="222"/>
        <v>5</v>
      </c>
      <c r="H2147" s="4">
        <f t="shared" si="223"/>
        <v>2023</v>
      </c>
      <c r="I2147" s="2" t="s">
        <v>4</v>
      </c>
      <c r="J2147" s="2" t="s">
        <v>2932</v>
      </c>
      <c r="K2147" s="2" t="s">
        <v>2750</v>
      </c>
      <c r="L2147" s="2" t="s">
        <v>2751</v>
      </c>
      <c r="M2147" s="2" t="s">
        <v>119</v>
      </c>
      <c r="N2147" s="4" t="str">
        <f t="shared" si="224"/>
        <v>TON</v>
      </c>
      <c r="O2147" s="5">
        <v>6.0025000000000004</v>
      </c>
    </row>
    <row r="2148" spans="2:15" x14ac:dyDescent="0.25">
      <c r="B2148" s="1" t="s">
        <v>1520</v>
      </c>
      <c r="C2148" s="2" t="s">
        <v>196</v>
      </c>
      <c r="D2148" s="2" t="s">
        <v>215</v>
      </c>
      <c r="E2148" s="2" t="s">
        <v>701</v>
      </c>
      <c r="F2148" s="3">
        <v>45049</v>
      </c>
      <c r="G2148" s="4">
        <f t="shared" si="222"/>
        <v>5</v>
      </c>
      <c r="H2148" s="4">
        <f t="shared" si="223"/>
        <v>2023</v>
      </c>
      <c r="I2148" s="2" t="s">
        <v>4</v>
      </c>
      <c r="J2148" s="2" t="s">
        <v>2933</v>
      </c>
      <c r="K2148" s="2" t="s">
        <v>329</v>
      </c>
      <c r="L2148" s="2" t="s">
        <v>330</v>
      </c>
      <c r="M2148" s="2" t="s">
        <v>119</v>
      </c>
      <c r="N2148" s="4" t="str">
        <f t="shared" si="224"/>
        <v>TON</v>
      </c>
      <c r="O2148" s="5">
        <v>6.0175000000000001</v>
      </c>
    </row>
    <row r="2149" spans="2:15" x14ac:dyDescent="0.25">
      <c r="B2149" s="1" t="s">
        <v>1520</v>
      </c>
      <c r="C2149" s="2" t="s">
        <v>196</v>
      </c>
      <c r="D2149" s="2" t="s">
        <v>215</v>
      </c>
      <c r="E2149" s="2" t="s">
        <v>858</v>
      </c>
      <c r="F2149" s="3">
        <v>45049</v>
      </c>
      <c r="G2149" s="4">
        <f t="shared" si="222"/>
        <v>5</v>
      </c>
      <c r="H2149" s="4">
        <f t="shared" si="223"/>
        <v>2023</v>
      </c>
      <c r="I2149" s="2" t="s">
        <v>4</v>
      </c>
      <c r="J2149" s="2" t="s">
        <v>2934</v>
      </c>
      <c r="K2149" s="2" t="s">
        <v>251</v>
      </c>
      <c r="L2149" s="2" t="s">
        <v>252</v>
      </c>
      <c r="M2149" s="2" t="s">
        <v>119</v>
      </c>
      <c r="N2149" s="4" t="str">
        <f t="shared" si="224"/>
        <v>TON</v>
      </c>
      <c r="O2149" s="5">
        <v>4.9950000000000001</v>
      </c>
    </row>
    <row r="2150" spans="2:15" x14ac:dyDescent="0.25">
      <c r="B2150" s="1" t="s">
        <v>1520</v>
      </c>
      <c r="C2150" s="2" t="s">
        <v>196</v>
      </c>
      <c r="D2150" s="2" t="s">
        <v>800</v>
      </c>
      <c r="E2150" s="2" t="s">
        <v>907</v>
      </c>
      <c r="F2150" s="3">
        <v>45049</v>
      </c>
      <c r="G2150" s="4">
        <f t="shared" si="222"/>
        <v>5</v>
      </c>
      <c r="H2150" s="4">
        <f t="shared" si="223"/>
        <v>2023</v>
      </c>
      <c r="I2150" s="2" t="s">
        <v>4</v>
      </c>
      <c r="J2150" s="2" t="s">
        <v>2935</v>
      </c>
      <c r="K2150" s="2" t="s">
        <v>447</v>
      </c>
      <c r="L2150" s="2" t="s">
        <v>448</v>
      </c>
      <c r="M2150" s="2" t="s">
        <v>119</v>
      </c>
      <c r="N2150" s="4" t="str">
        <f t="shared" si="224"/>
        <v>TON</v>
      </c>
      <c r="O2150" s="5">
        <v>2</v>
      </c>
    </row>
    <row r="2151" spans="2:15" x14ac:dyDescent="0.25">
      <c r="B2151" s="1" t="s">
        <v>1520</v>
      </c>
      <c r="C2151" s="2" t="s">
        <v>196</v>
      </c>
      <c r="D2151" s="2" t="s">
        <v>884</v>
      </c>
      <c r="E2151" s="2" t="s">
        <v>909</v>
      </c>
      <c r="F2151" s="3">
        <v>45049</v>
      </c>
      <c r="G2151" s="4">
        <f t="shared" si="222"/>
        <v>5</v>
      </c>
      <c r="H2151" s="4">
        <f t="shared" si="223"/>
        <v>2023</v>
      </c>
      <c r="I2151" s="2" t="s">
        <v>4</v>
      </c>
      <c r="J2151" s="2" t="s">
        <v>2936</v>
      </c>
      <c r="K2151" s="2" t="s">
        <v>205</v>
      </c>
      <c r="L2151" s="2" t="s">
        <v>206</v>
      </c>
      <c r="M2151" s="2" t="s">
        <v>119</v>
      </c>
      <c r="N2151" s="4" t="str">
        <f t="shared" si="224"/>
        <v>TON</v>
      </c>
      <c r="O2151" s="5">
        <v>2.5</v>
      </c>
    </row>
    <row r="2152" spans="2:15" x14ac:dyDescent="0.25">
      <c r="B2152" s="1" t="s">
        <v>1520</v>
      </c>
      <c r="C2152" s="2" t="s">
        <v>196</v>
      </c>
      <c r="D2152" s="2" t="s">
        <v>1276</v>
      </c>
      <c r="E2152" s="2" t="s">
        <v>1277</v>
      </c>
      <c r="F2152" s="3">
        <v>45049</v>
      </c>
      <c r="G2152" s="4">
        <f t="shared" si="222"/>
        <v>5</v>
      </c>
      <c r="H2152" s="4">
        <f t="shared" si="223"/>
        <v>2023</v>
      </c>
      <c r="I2152" s="2" t="s">
        <v>4</v>
      </c>
      <c r="J2152" s="2" t="s">
        <v>2937</v>
      </c>
      <c r="K2152" s="2" t="s">
        <v>2350</v>
      </c>
      <c r="L2152" s="2" t="s">
        <v>2351</v>
      </c>
      <c r="M2152" s="2" t="s">
        <v>119</v>
      </c>
      <c r="N2152" s="4" t="str">
        <f t="shared" si="224"/>
        <v>TON</v>
      </c>
      <c r="O2152" s="5">
        <v>2.4750000000000001</v>
      </c>
    </row>
    <row r="2153" spans="2:15" x14ac:dyDescent="0.25">
      <c r="B2153" s="1" t="s">
        <v>1520</v>
      </c>
      <c r="C2153" s="2" t="s">
        <v>196</v>
      </c>
      <c r="D2153" s="2" t="s">
        <v>215</v>
      </c>
      <c r="E2153" s="2" t="s">
        <v>315</v>
      </c>
      <c r="F2153" s="3">
        <v>45049</v>
      </c>
      <c r="G2153" s="4">
        <f t="shared" si="222"/>
        <v>5</v>
      </c>
      <c r="H2153" s="4">
        <f t="shared" si="223"/>
        <v>2023</v>
      </c>
      <c r="I2153" s="2" t="s">
        <v>4</v>
      </c>
      <c r="J2153" s="2" t="s">
        <v>2938</v>
      </c>
      <c r="K2153" s="2" t="s">
        <v>205</v>
      </c>
      <c r="L2153" s="2" t="s">
        <v>206</v>
      </c>
      <c r="M2153" s="2" t="s">
        <v>119</v>
      </c>
      <c r="N2153" s="4" t="str">
        <f t="shared" si="224"/>
        <v>TON</v>
      </c>
      <c r="O2153" s="5">
        <v>4.01</v>
      </c>
    </row>
    <row r="2154" spans="2:15" x14ac:dyDescent="0.25">
      <c r="B2154" s="1" t="s">
        <v>1520</v>
      </c>
      <c r="C2154" s="2" t="s">
        <v>196</v>
      </c>
      <c r="D2154" s="2" t="s">
        <v>317</v>
      </c>
      <c r="E2154" s="2" t="s">
        <v>319</v>
      </c>
      <c r="F2154" s="3">
        <v>45050</v>
      </c>
      <c r="G2154" s="4">
        <f t="shared" si="222"/>
        <v>5</v>
      </c>
      <c r="H2154" s="4">
        <f t="shared" si="223"/>
        <v>2023</v>
      </c>
      <c r="I2154" s="2" t="s">
        <v>4</v>
      </c>
      <c r="J2154" s="2" t="s">
        <v>2939</v>
      </c>
      <c r="K2154" s="2" t="s">
        <v>2776</v>
      </c>
      <c r="L2154" s="2" t="s">
        <v>2777</v>
      </c>
      <c r="M2154" s="2" t="s">
        <v>119</v>
      </c>
      <c r="N2154" s="4" t="str">
        <f t="shared" si="224"/>
        <v>TON</v>
      </c>
      <c r="O2154" s="5">
        <v>2.5</v>
      </c>
    </row>
    <row r="2155" spans="2:15" x14ac:dyDescent="0.25">
      <c r="B2155" s="1" t="s">
        <v>1520</v>
      </c>
      <c r="C2155" s="2" t="s">
        <v>196</v>
      </c>
      <c r="D2155" s="2" t="s">
        <v>294</v>
      </c>
      <c r="E2155" s="2" t="s">
        <v>2940</v>
      </c>
      <c r="F2155" s="3">
        <v>45050</v>
      </c>
      <c r="G2155" s="4">
        <f t="shared" si="222"/>
        <v>5</v>
      </c>
      <c r="H2155" s="4">
        <f t="shared" si="223"/>
        <v>2023</v>
      </c>
      <c r="I2155" s="2" t="s">
        <v>4</v>
      </c>
      <c r="J2155" s="2" t="s">
        <v>2941</v>
      </c>
      <c r="K2155" s="2" t="s">
        <v>122</v>
      </c>
      <c r="L2155" s="2" t="s">
        <v>123</v>
      </c>
      <c r="M2155" s="2" t="s">
        <v>119</v>
      </c>
      <c r="N2155" s="4" t="str">
        <f t="shared" si="224"/>
        <v>TON</v>
      </c>
      <c r="O2155" s="5">
        <v>7.5</v>
      </c>
    </row>
    <row r="2156" spans="2:15" x14ac:dyDescent="0.25">
      <c r="B2156" s="1" t="s">
        <v>1520</v>
      </c>
      <c r="C2156" s="2" t="s">
        <v>196</v>
      </c>
      <c r="D2156" s="2" t="s">
        <v>348</v>
      </c>
      <c r="E2156" s="2" t="s">
        <v>2942</v>
      </c>
      <c r="F2156" s="3">
        <v>45050</v>
      </c>
      <c r="G2156" s="4">
        <f t="shared" si="222"/>
        <v>5</v>
      </c>
      <c r="H2156" s="4">
        <f t="shared" si="223"/>
        <v>2023</v>
      </c>
      <c r="I2156" s="2" t="s">
        <v>4</v>
      </c>
      <c r="J2156" s="2" t="s">
        <v>2943</v>
      </c>
      <c r="K2156" s="2" t="s">
        <v>822</v>
      </c>
      <c r="L2156" s="2" t="s">
        <v>565</v>
      </c>
      <c r="M2156" s="2" t="s">
        <v>21</v>
      </c>
      <c r="N2156" s="4" t="str">
        <f t="shared" si="224"/>
        <v>GAL</v>
      </c>
      <c r="O2156" s="5">
        <v>250</v>
      </c>
    </row>
    <row r="2157" spans="2:15" x14ac:dyDescent="0.25">
      <c r="B2157" s="1" t="s">
        <v>1520</v>
      </c>
      <c r="C2157" s="2" t="s">
        <v>196</v>
      </c>
      <c r="D2157" s="2" t="s">
        <v>458</v>
      </c>
      <c r="E2157" s="2" t="s">
        <v>459</v>
      </c>
      <c r="F2157" s="3">
        <v>45050</v>
      </c>
      <c r="G2157" s="4">
        <f t="shared" si="222"/>
        <v>5</v>
      </c>
      <c r="H2157" s="4">
        <f t="shared" si="223"/>
        <v>2023</v>
      </c>
      <c r="I2157" s="2" t="s">
        <v>4</v>
      </c>
      <c r="J2157" s="2" t="s">
        <v>2944</v>
      </c>
      <c r="K2157" s="2" t="s">
        <v>205</v>
      </c>
      <c r="L2157" s="2" t="s">
        <v>206</v>
      </c>
      <c r="M2157" s="2" t="s">
        <v>119</v>
      </c>
      <c r="N2157" s="4" t="str">
        <f t="shared" si="224"/>
        <v>TON</v>
      </c>
      <c r="O2157" s="5">
        <v>9.0274999999999999</v>
      </c>
    </row>
    <row r="2158" spans="2:15" x14ac:dyDescent="0.25">
      <c r="B2158" s="1" t="s">
        <v>1520</v>
      </c>
      <c r="C2158" s="2" t="s">
        <v>196</v>
      </c>
      <c r="D2158" s="2" t="s">
        <v>440</v>
      </c>
      <c r="E2158" s="2" t="s">
        <v>1274</v>
      </c>
      <c r="F2158" s="3">
        <v>45050</v>
      </c>
      <c r="G2158" s="4">
        <f t="shared" si="222"/>
        <v>5</v>
      </c>
      <c r="H2158" s="4">
        <f t="shared" si="223"/>
        <v>2023</v>
      </c>
      <c r="I2158" s="2" t="s">
        <v>4</v>
      </c>
      <c r="J2158" s="2" t="s">
        <v>2945</v>
      </c>
      <c r="K2158" s="2" t="s">
        <v>2750</v>
      </c>
      <c r="L2158" s="2" t="s">
        <v>2751</v>
      </c>
      <c r="M2158" s="2" t="s">
        <v>119</v>
      </c>
      <c r="N2158" s="4" t="str">
        <f t="shared" si="224"/>
        <v>TON</v>
      </c>
      <c r="O2158" s="5">
        <v>6</v>
      </c>
    </row>
    <row r="2159" spans="2:15" x14ac:dyDescent="0.25">
      <c r="B2159" s="1" t="s">
        <v>1520</v>
      </c>
      <c r="C2159" s="2" t="s">
        <v>196</v>
      </c>
      <c r="D2159" s="2" t="s">
        <v>317</v>
      </c>
      <c r="E2159" s="2" t="s">
        <v>829</v>
      </c>
      <c r="F2159" s="3">
        <v>45051</v>
      </c>
      <c r="G2159" s="4">
        <f t="shared" si="222"/>
        <v>5</v>
      </c>
      <c r="H2159" s="4">
        <f t="shared" si="223"/>
        <v>2023</v>
      </c>
      <c r="I2159" s="2" t="s">
        <v>4</v>
      </c>
      <c r="J2159" s="2" t="s">
        <v>2946</v>
      </c>
      <c r="K2159" s="2" t="s">
        <v>2776</v>
      </c>
      <c r="L2159" s="2" t="s">
        <v>2777</v>
      </c>
      <c r="M2159" s="2" t="s">
        <v>119</v>
      </c>
      <c r="N2159" s="4" t="str">
        <f t="shared" si="224"/>
        <v>TON</v>
      </c>
      <c r="O2159" s="5">
        <v>1.01</v>
      </c>
    </row>
    <row r="2160" spans="2:15" x14ac:dyDescent="0.25">
      <c r="B2160" s="1" t="s">
        <v>1520</v>
      </c>
      <c r="C2160" s="2" t="s">
        <v>196</v>
      </c>
      <c r="D2160" s="2" t="s">
        <v>440</v>
      </c>
      <c r="E2160" s="2" t="s">
        <v>441</v>
      </c>
      <c r="F2160" s="3">
        <v>45051</v>
      </c>
      <c r="G2160" s="4">
        <f t="shared" si="222"/>
        <v>5</v>
      </c>
      <c r="H2160" s="4">
        <f t="shared" si="223"/>
        <v>2023</v>
      </c>
      <c r="I2160" s="2" t="s">
        <v>4</v>
      </c>
      <c r="J2160" s="2" t="s">
        <v>2947</v>
      </c>
      <c r="K2160" s="2" t="s">
        <v>2750</v>
      </c>
      <c r="L2160" s="2" t="s">
        <v>2751</v>
      </c>
      <c r="M2160" s="2" t="s">
        <v>119</v>
      </c>
      <c r="N2160" s="4" t="str">
        <f t="shared" si="224"/>
        <v>TON</v>
      </c>
      <c r="O2160" s="5">
        <v>2.5</v>
      </c>
    </row>
    <row r="2161" spans="2:15" x14ac:dyDescent="0.25">
      <c r="B2161" s="1" t="s">
        <v>1520</v>
      </c>
      <c r="C2161" s="2" t="s">
        <v>196</v>
      </c>
      <c r="D2161" s="2" t="s">
        <v>387</v>
      </c>
      <c r="E2161" s="2" t="s">
        <v>797</v>
      </c>
      <c r="F2161" s="3">
        <v>45051</v>
      </c>
      <c r="G2161" s="4">
        <f t="shared" si="222"/>
        <v>5</v>
      </c>
      <c r="H2161" s="4">
        <f t="shared" si="223"/>
        <v>2023</v>
      </c>
      <c r="I2161" s="2" t="s">
        <v>4</v>
      </c>
      <c r="J2161" s="2" t="s">
        <v>2948</v>
      </c>
      <c r="K2161" s="2" t="s">
        <v>2750</v>
      </c>
      <c r="L2161" s="2" t="s">
        <v>2751</v>
      </c>
      <c r="M2161" s="2" t="s">
        <v>119</v>
      </c>
      <c r="N2161" s="4" t="str">
        <f t="shared" si="224"/>
        <v>TON</v>
      </c>
      <c r="O2161" s="5">
        <v>15.05</v>
      </c>
    </row>
    <row r="2162" spans="2:15" x14ac:dyDescent="0.25">
      <c r="B2162" s="1" t="s">
        <v>1520</v>
      </c>
      <c r="C2162" s="2" t="s">
        <v>196</v>
      </c>
      <c r="D2162" s="2" t="s">
        <v>289</v>
      </c>
      <c r="E2162" s="2" t="s">
        <v>290</v>
      </c>
      <c r="F2162" s="3">
        <v>45051</v>
      </c>
      <c r="G2162" s="4">
        <f t="shared" si="222"/>
        <v>5</v>
      </c>
      <c r="H2162" s="4">
        <f t="shared" si="223"/>
        <v>2023</v>
      </c>
      <c r="I2162" s="2" t="s">
        <v>4</v>
      </c>
      <c r="J2162" s="2" t="s">
        <v>2949</v>
      </c>
      <c r="K2162" s="2" t="s">
        <v>865</v>
      </c>
      <c r="L2162" s="2" t="s">
        <v>866</v>
      </c>
      <c r="M2162" s="2" t="s">
        <v>119</v>
      </c>
      <c r="N2162" s="4" t="str">
        <f t="shared" si="224"/>
        <v>TON</v>
      </c>
      <c r="O2162" s="5">
        <v>1</v>
      </c>
    </row>
    <row r="2163" spans="2:15" x14ac:dyDescent="0.25">
      <c r="B2163" s="1" t="s">
        <v>1520</v>
      </c>
      <c r="C2163" s="2" t="s">
        <v>196</v>
      </c>
      <c r="D2163" s="2" t="s">
        <v>276</v>
      </c>
      <c r="E2163" s="2" t="s">
        <v>682</v>
      </c>
      <c r="F2163" s="3">
        <v>45051</v>
      </c>
      <c r="G2163" s="4">
        <f t="shared" si="222"/>
        <v>5</v>
      </c>
      <c r="H2163" s="4">
        <f t="shared" si="223"/>
        <v>2023</v>
      </c>
      <c r="I2163" s="2" t="s">
        <v>4</v>
      </c>
      <c r="J2163" s="2" t="s">
        <v>2950</v>
      </c>
      <c r="K2163" s="2" t="s">
        <v>205</v>
      </c>
      <c r="L2163" s="2" t="s">
        <v>206</v>
      </c>
      <c r="M2163" s="2" t="s">
        <v>119</v>
      </c>
      <c r="N2163" s="4" t="str">
        <f t="shared" si="224"/>
        <v>TON</v>
      </c>
      <c r="O2163" s="5">
        <v>5</v>
      </c>
    </row>
    <row r="2164" spans="2:15" x14ac:dyDescent="0.25">
      <c r="B2164" s="1" t="s">
        <v>1520</v>
      </c>
      <c r="C2164" s="2" t="s">
        <v>196</v>
      </c>
      <c r="D2164" s="2" t="s">
        <v>299</v>
      </c>
      <c r="E2164" s="2" t="s">
        <v>1140</v>
      </c>
      <c r="F2164" s="3">
        <v>45054</v>
      </c>
      <c r="G2164" s="4">
        <f t="shared" si="222"/>
        <v>5</v>
      </c>
      <c r="H2164" s="4">
        <f t="shared" si="223"/>
        <v>2023</v>
      </c>
      <c r="I2164" s="2" t="s">
        <v>4</v>
      </c>
      <c r="J2164" s="2" t="s">
        <v>2951</v>
      </c>
      <c r="K2164" s="2" t="s">
        <v>2776</v>
      </c>
      <c r="L2164" s="2" t="s">
        <v>2777</v>
      </c>
      <c r="M2164" s="2" t="s">
        <v>119</v>
      </c>
      <c r="N2164" s="4" t="str">
        <f t="shared" si="224"/>
        <v>TON</v>
      </c>
      <c r="O2164" s="5">
        <v>9</v>
      </c>
    </row>
    <row r="2165" spans="2:15" x14ac:dyDescent="0.25">
      <c r="B2165" s="1" t="s">
        <v>1520</v>
      </c>
      <c r="C2165" s="2" t="s">
        <v>196</v>
      </c>
      <c r="D2165" s="2" t="s">
        <v>276</v>
      </c>
      <c r="E2165" s="2" t="s">
        <v>878</v>
      </c>
      <c r="F2165" s="3">
        <v>45054</v>
      </c>
      <c r="G2165" s="4">
        <f t="shared" si="222"/>
        <v>5</v>
      </c>
      <c r="H2165" s="4">
        <f t="shared" si="223"/>
        <v>2023</v>
      </c>
      <c r="I2165" s="2" t="s">
        <v>4</v>
      </c>
      <c r="J2165" s="2" t="s">
        <v>2952</v>
      </c>
      <c r="K2165" s="2" t="s">
        <v>292</v>
      </c>
      <c r="L2165" s="2" t="s">
        <v>293</v>
      </c>
      <c r="M2165" s="2" t="s">
        <v>119</v>
      </c>
      <c r="N2165" s="4" t="str">
        <f t="shared" si="224"/>
        <v>TON</v>
      </c>
      <c r="O2165" s="5">
        <v>8</v>
      </c>
    </row>
    <row r="2166" spans="2:15" x14ac:dyDescent="0.25">
      <c r="B2166" s="1" t="s">
        <v>1520</v>
      </c>
      <c r="C2166" s="2" t="s">
        <v>196</v>
      </c>
      <c r="D2166" s="2" t="s">
        <v>253</v>
      </c>
      <c r="E2166" s="2" t="s">
        <v>254</v>
      </c>
      <c r="F2166" s="3">
        <v>45054</v>
      </c>
      <c r="G2166" s="4">
        <f t="shared" si="222"/>
        <v>5</v>
      </c>
      <c r="H2166" s="4">
        <f t="shared" si="223"/>
        <v>2023</v>
      </c>
      <c r="I2166" s="2" t="s">
        <v>4</v>
      </c>
      <c r="J2166" s="2" t="s">
        <v>2953</v>
      </c>
      <c r="K2166" s="2" t="s">
        <v>256</v>
      </c>
      <c r="L2166" s="2" t="s">
        <v>257</v>
      </c>
      <c r="M2166" s="2" t="s">
        <v>119</v>
      </c>
      <c r="N2166" s="4" t="str">
        <f t="shared" si="224"/>
        <v>TON</v>
      </c>
      <c r="O2166" s="5">
        <v>2.5</v>
      </c>
    </row>
    <row r="2167" spans="2:15" x14ac:dyDescent="0.25">
      <c r="B2167" s="1" t="s">
        <v>1520</v>
      </c>
      <c r="C2167" s="2" t="s">
        <v>196</v>
      </c>
      <c r="D2167" s="2" t="s">
        <v>114</v>
      </c>
      <c r="E2167" s="2" t="s">
        <v>402</v>
      </c>
      <c r="F2167" s="3">
        <v>45055</v>
      </c>
      <c r="G2167" s="4">
        <f t="shared" si="222"/>
        <v>5</v>
      </c>
      <c r="H2167" s="4">
        <f t="shared" si="223"/>
        <v>2023</v>
      </c>
      <c r="I2167" s="2" t="s">
        <v>4</v>
      </c>
      <c r="J2167" s="2" t="s">
        <v>2954</v>
      </c>
      <c r="K2167" s="2" t="s">
        <v>2776</v>
      </c>
      <c r="L2167" s="2" t="s">
        <v>2777</v>
      </c>
      <c r="M2167" s="2" t="s">
        <v>119</v>
      </c>
      <c r="N2167" s="4" t="str">
        <f t="shared" si="224"/>
        <v>TON</v>
      </c>
      <c r="O2167" s="5">
        <v>6.25</v>
      </c>
    </row>
    <row r="2168" spans="2:15" x14ac:dyDescent="0.25">
      <c r="B2168" s="1" t="s">
        <v>1520</v>
      </c>
      <c r="C2168" s="2" t="s">
        <v>196</v>
      </c>
      <c r="D2168" s="2" t="s">
        <v>660</v>
      </c>
      <c r="E2168" s="2" t="s">
        <v>115</v>
      </c>
      <c r="F2168" s="3">
        <v>45055</v>
      </c>
      <c r="G2168" s="4">
        <f t="shared" si="222"/>
        <v>5</v>
      </c>
      <c r="H2168" s="4">
        <f t="shared" si="223"/>
        <v>2023</v>
      </c>
      <c r="I2168" s="2" t="s">
        <v>4</v>
      </c>
      <c r="J2168" s="2" t="s">
        <v>2955</v>
      </c>
      <c r="K2168" s="2" t="s">
        <v>329</v>
      </c>
      <c r="L2168" s="2" t="s">
        <v>330</v>
      </c>
      <c r="M2168" s="2" t="s">
        <v>119</v>
      </c>
      <c r="N2168" s="4" t="str">
        <f t="shared" si="224"/>
        <v>TON</v>
      </c>
      <c r="O2168" s="5">
        <v>3.0024999999999999</v>
      </c>
    </row>
    <row r="2169" spans="2:15" x14ac:dyDescent="0.25">
      <c r="B2169" s="1" t="s">
        <v>1520</v>
      </c>
      <c r="C2169" s="2" t="s">
        <v>196</v>
      </c>
      <c r="D2169" s="2" t="s">
        <v>197</v>
      </c>
      <c r="E2169" s="2" t="s">
        <v>198</v>
      </c>
      <c r="F2169" s="3">
        <v>45055</v>
      </c>
      <c r="G2169" s="4">
        <f t="shared" si="222"/>
        <v>5</v>
      </c>
      <c r="H2169" s="4">
        <f t="shared" si="223"/>
        <v>2023</v>
      </c>
      <c r="I2169" s="2" t="s">
        <v>4</v>
      </c>
      <c r="J2169" s="2" t="s">
        <v>2956</v>
      </c>
      <c r="K2169" s="2" t="s">
        <v>307</v>
      </c>
      <c r="L2169" s="2" t="s">
        <v>308</v>
      </c>
      <c r="M2169" s="2" t="s">
        <v>119</v>
      </c>
      <c r="N2169" s="4" t="str">
        <f t="shared" si="224"/>
        <v>TON</v>
      </c>
      <c r="O2169" s="5">
        <v>4.0075000000000003</v>
      </c>
    </row>
    <row r="2170" spans="2:15" x14ac:dyDescent="0.25">
      <c r="B2170" s="1" t="s">
        <v>1520</v>
      </c>
      <c r="C2170" s="2" t="s">
        <v>196</v>
      </c>
      <c r="D2170" s="2" t="s">
        <v>418</v>
      </c>
      <c r="E2170" s="2" t="s">
        <v>1595</v>
      </c>
      <c r="F2170" s="3">
        <v>45055</v>
      </c>
      <c r="G2170" s="4">
        <f t="shared" si="222"/>
        <v>5</v>
      </c>
      <c r="H2170" s="4">
        <f t="shared" si="223"/>
        <v>2023</v>
      </c>
      <c r="I2170" s="2" t="s">
        <v>4</v>
      </c>
      <c r="J2170" s="2" t="s">
        <v>2957</v>
      </c>
      <c r="K2170" s="2" t="s">
        <v>205</v>
      </c>
      <c r="L2170" s="2" t="s">
        <v>206</v>
      </c>
      <c r="M2170" s="2" t="s">
        <v>119</v>
      </c>
      <c r="N2170" s="4" t="str">
        <f t="shared" si="224"/>
        <v>TON</v>
      </c>
      <c r="O2170" s="5">
        <v>11</v>
      </c>
    </row>
    <row r="2171" spans="2:15" x14ac:dyDescent="0.25">
      <c r="B2171" s="1" t="s">
        <v>1520</v>
      </c>
      <c r="C2171" s="2" t="s">
        <v>196</v>
      </c>
      <c r="D2171" s="2" t="s">
        <v>721</v>
      </c>
      <c r="E2171" s="2" t="s">
        <v>721</v>
      </c>
      <c r="F2171" s="3">
        <v>45055</v>
      </c>
      <c r="G2171" s="4">
        <f t="shared" si="222"/>
        <v>5</v>
      </c>
      <c r="H2171" s="4">
        <f t="shared" si="223"/>
        <v>2023</v>
      </c>
      <c r="I2171" s="2" t="s">
        <v>4</v>
      </c>
      <c r="J2171" s="2" t="s">
        <v>2958</v>
      </c>
      <c r="K2171" s="2" t="s">
        <v>531</v>
      </c>
      <c r="L2171" s="2" t="s">
        <v>201</v>
      </c>
      <c r="M2171" s="2" t="s">
        <v>202</v>
      </c>
      <c r="N2171" s="4" t="str">
        <f t="shared" si="224"/>
        <v>GAL</v>
      </c>
      <c r="O2171" s="5">
        <v>30</v>
      </c>
    </row>
    <row r="2172" spans="2:15" x14ac:dyDescent="0.25">
      <c r="B2172" s="1" t="s">
        <v>1520</v>
      </c>
      <c r="C2172" s="2" t="s">
        <v>196</v>
      </c>
      <c r="D2172" s="2" t="s">
        <v>449</v>
      </c>
      <c r="E2172" s="2" t="s">
        <v>450</v>
      </c>
      <c r="F2172" s="3">
        <v>45055</v>
      </c>
      <c r="G2172" s="4">
        <f t="shared" si="222"/>
        <v>5</v>
      </c>
      <c r="H2172" s="4">
        <f t="shared" si="223"/>
        <v>2023</v>
      </c>
      <c r="I2172" s="2" t="s">
        <v>4</v>
      </c>
      <c r="J2172" s="2" t="s">
        <v>2959</v>
      </c>
      <c r="K2172" s="2" t="s">
        <v>205</v>
      </c>
      <c r="L2172" s="2" t="s">
        <v>206</v>
      </c>
      <c r="M2172" s="2" t="s">
        <v>119</v>
      </c>
      <c r="N2172" s="4" t="str">
        <f t="shared" si="224"/>
        <v>TON</v>
      </c>
      <c r="O2172" s="5">
        <v>2.5</v>
      </c>
    </row>
    <row r="2173" spans="2:15" x14ac:dyDescent="0.25">
      <c r="B2173" s="1" t="s">
        <v>1520</v>
      </c>
      <c r="C2173" s="2" t="s">
        <v>196</v>
      </c>
      <c r="D2173" s="2" t="s">
        <v>280</v>
      </c>
      <c r="E2173" s="2" t="s">
        <v>254</v>
      </c>
      <c r="F2173" s="3">
        <v>45055</v>
      </c>
      <c r="G2173" s="4">
        <f t="shared" si="222"/>
        <v>5</v>
      </c>
      <c r="H2173" s="4">
        <f t="shared" si="223"/>
        <v>2023</v>
      </c>
      <c r="I2173" s="2" t="s">
        <v>4</v>
      </c>
      <c r="J2173" s="2" t="s">
        <v>2960</v>
      </c>
      <c r="K2173" s="2" t="s">
        <v>2776</v>
      </c>
      <c r="L2173" s="2" t="s">
        <v>2777</v>
      </c>
      <c r="M2173" s="2" t="s">
        <v>119</v>
      </c>
      <c r="N2173" s="4" t="str">
        <f t="shared" si="224"/>
        <v>TON</v>
      </c>
      <c r="O2173" s="5">
        <v>10</v>
      </c>
    </row>
    <row r="2174" spans="2:15" x14ac:dyDescent="0.25">
      <c r="B2174" s="1" t="s">
        <v>645</v>
      </c>
      <c r="C2174" s="2" t="s">
        <v>196</v>
      </c>
      <c r="D2174" s="2" t="s">
        <v>888</v>
      </c>
      <c r="E2174" s="2" t="s">
        <v>888</v>
      </c>
      <c r="F2174" s="3">
        <v>45055</v>
      </c>
      <c r="G2174" s="4">
        <f t="shared" si="222"/>
        <v>5</v>
      </c>
      <c r="H2174" s="4">
        <f t="shared" si="223"/>
        <v>2023</v>
      </c>
      <c r="I2174" s="2" t="s">
        <v>4</v>
      </c>
      <c r="J2174" s="2" t="s">
        <v>2961</v>
      </c>
      <c r="K2174" s="2" t="s">
        <v>268</v>
      </c>
      <c r="L2174" s="2" t="s">
        <v>269</v>
      </c>
      <c r="M2174" s="2" t="s">
        <v>119</v>
      </c>
      <c r="N2174" s="4" t="str">
        <f t="shared" si="224"/>
        <v>TON</v>
      </c>
      <c r="O2174" s="5">
        <v>0.3</v>
      </c>
    </row>
    <row r="2175" spans="2:15" x14ac:dyDescent="0.25">
      <c r="B2175" s="1" t="s">
        <v>1520</v>
      </c>
      <c r="C2175" s="2" t="s">
        <v>196</v>
      </c>
      <c r="D2175" s="2" t="s">
        <v>387</v>
      </c>
      <c r="E2175" s="2" t="s">
        <v>797</v>
      </c>
      <c r="F2175" s="3">
        <v>45056</v>
      </c>
      <c r="G2175" s="4">
        <f t="shared" si="222"/>
        <v>5</v>
      </c>
      <c r="H2175" s="4">
        <f t="shared" si="223"/>
        <v>2023</v>
      </c>
      <c r="I2175" s="2" t="s">
        <v>4</v>
      </c>
      <c r="J2175" s="2" t="s">
        <v>2962</v>
      </c>
      <c r="K2175" s="2" t="s">
        <v>2750</v>
      </c>
      <c r="L2175" s="2" t="s">
        <v>2751</v>
      </c>
      <c r="M2175" s="2" t="s">
        <v>119</v>
      </c>
      <c r="N2175" s="4" t="str">
        <f t="shared" si="224"/>
        <v>TON</v>
      </c>
      <c r="O2175" s="5">
        <v>12.01</v>
      </c>
    </row>
    <row r="2176" spans="2:15" x14ac:dyDescent="0.25">
      <c r="B2176" s="1" t="s">
        <v>1520</v>
      </c>
      <c r="C2176" s="2" t="s">
        <v>196</v>
      </c>
      <c r="D2176" s="2" t="s">
        <v>440</v>
      </c>
      <c r="E2176" s="2" t="s">
        <v>441</v>
      </c>
      <c r="F2176" s="3">
        <v>45056</v>
      </c>
      <c r="G2176" s="4">
        <f t="shared" si="222"/>
        <v>5</v>
      </c>
      <c r="H2176" s="4">
        <f t="shared" si="223"/>
        <v>2023</v>
      </c>
      <c r="I2176" s="2" t="s">
        <v>4</v>
      </c>
      <c r="J2176" s="2" t="s">
        <v>2963</v>
      </c>
      <c r="K2176" s="2" t="s">
        <v>2750</v>
      </c>
      <c r="L2176" s="2" t="s">
        <v>2751</v>
      </c>
      <c r="M2176" s="2" t="s">
        <v>119</v>
      </c>
      <c r="N2176" s="4" t="str">
        <f t="shared" si="224"/>
        <v>TON</v>
      </c>
      <c r="O2176" s="5">
        <v>5.0274999999999999</v>
      </c>
    </row>
    <row r="2177" spans="2:15" x14ac:dyDescent="0.25">
      <c r="B2177" s="1" t="s">
        <v>1520</v>
      </c>
      <c r="C2177" s="2" t="s">
        <v>196</v>
      </c>
      <c r="D2177" s="2" t="s">
        <v>241</v>
      </c>
      <c r="E2177" s="2" t="s">
        <v>258</v>
      </c>
      <c r="F2177" s="3">
        <v>45056</v>
      </c>
      <c r="G2177" s="4">
        <f t="shared" si="222"/>
        <v>5</v>
      </c>
      <c r="H2177" s="4">
        <f t="shared" si="223"/>
        <v>2023</v>
      </c>
      <c r="I2177" s="2" t="s">
        <v>4</v>
      </c>
      <c r="J2177" s="2" t="s">
        <v>2964</v>
      </c>
      <c r="K2177" s="2" t="s">
        <v>260</v>
      </c>
      <c r="L2177" s="2" t="s">
        <v>261</v>
      </c>
      <c r="M2177" s="2" t="s">
        <v>119</v>
      </c>
      <c r="N2177" s="4" t="str">
        <f t="shared" si="224"/>
        <v>TON</v>
      </c>
      <c r="O2177" s="5">
        <v>2.2725</v>
      </c>
    </row>
    <row r="2178" spans="2:15" x14ac:dyDescent="0.25">
      <c r="B2178" s="1" t="s">
        <v>1520</v>
      </c>
      <c r="C2178" s="2" t="s">
        <v>196</v>
      </c>
      <c r="D2178" s="2" t="s">
        <v>452</v>
      </c>
      <c r="E2178" s="2" t="s">
        <v>1611</v>
      </c>
      <c r="F2178" s="3">
        <v>45056</v>
      </c>
      <c r="G2178" s="4">
        <f t="shared" si="222"/>
        <v>5</v>
      </c>
      <c r="H2178" s="4">
        <f t="shared" si="223"/>
        <v>2023</v>
      </c>
      <c r="I2178" s="2" t="s">
        <v>4</v>
      </c>
      <c r="J2178" s="2" t="s">
        <v>2965</v>
      </c>
      <c r="K2178" s="2" t="s">
        <v>205</v>
      </c>
      <c r="L2178" s="2" t="s">
        <v>206</v>
      </c>
      <c r="M2178" s="2" t="s">
        <v>119</v>
      </c>
      <c r="N2178" s="4" t="str">
        <f t="shared" si="224"/>
        <v>TON</v>
      </c>
      <c r="O2178" s="5">
        <v>3.5</v>
      </c>
    </row>
    <row r="2179" spans="2:15" x14ac:dyDescent="0.25">
      <c r="B2179" s="1" t="s">
        <v>1520</v>
      </c>
      <c r="C2179" s="2" t="s">
        <v>196</v>
      </c>
      <c r="D2179" s="2" t="s">
        <v>721</v>
      </c>
      <c r="E2179" s="2" t="s">
        <v>881</v>
      </c>
      <c r="F2179" s="3">
        <v>45056</v>
      </c>
      <c r="G2179" s="4">
        <f t="shared" ref="G2179:G2242" si="225">+MONTH(F2179)</f>
        <v>5</v>
      </c>
      <c r="H2179" s="4">
        <f t="shared" ref="H2179:H2242" si="226">+YEAR(F2179)</f>
        <v>2023</v>
      </c>
      <c r="I2179" s="2" t="s">
        <v>4</v>
      </c>
      <c r="J2179" s="2" t="s">
        <v>2966</v>
      </c>
      <c r="K2179" s="2" t="s">
        <v>268</v>
      </c>
      <c r="L2179" s="2" t="s">
        <v>269</v>
      </c>
      <c r="M2179" s="2" t="s">
        <v>119</v>
      </c>
      <c r="N2179" s="4" t="str">
        <f t="shared" ref="N2179:N2242" si="227">+LEFT(M2179,3)</f>
        <v>TON</v>
      </c>
      <c r="O2179" s="5">
        <v>2.5</v>
      </c>
    </row>
    <row r="2180" spans="2:15" x14ac:dyDescent="0.25">
      <c r="B2180" s="1" t="s">
        <v>1520</v>
      </c>
      <c r="C2180" s="2" t="s">
        <v>196</v>
      </c>
      <c r="D2180" s="2" t="s">
        <v>294</v>
      </c>
      <c r="E2180" s="2" t="s">
        <v>295</v>
      </c>
      <c r="F2180" s="3">
        <v>45057</v>
      </c>
      <c r="G2180" s="4">
        <f t="shared" si="225"/>
        <v>5</v>
      </c>
      <c r="H2180" s="4">
        <f t="shared" si="226"/>
        <v>2023</v>
      </c>
      <c r="I2180" s="2" t="s">
        <v>4</v>
      </c>
      <c r="J2180" s="2" t="s">
        <v>2967</v>
      </c>
      <c r="K2180" s="2" t="s">
        <v>122</v>
      </c>
      <c r="L2180" s="2" t="s">
        <v>123</v>
      </c>
      <c r="M2180" s="2" t="s">
        <v>119</v>
      </c>
      <c r="N2180" s="4" t="str">
        <f t="shared" si="227"/>
        <v>TON</v>
      </c>
      <c r="O2180" s="5">
        <v>7.5</v>
      </c>
    </row>
    <row r="2181" spans="2:15" x14ac:dyDescent="0.25">
      <c r="B2181" s="1" t="s">
        <v>1520</v>
      </c>
      <c r="C2181" s="2" t="s">
        <v>196</v>
      </c>
      <c r="D2181" s="2" t="s">
        <v>317</v>
      </c>
      <c r="E2181" s="2" t="s">
        <v>319</v>
      </c>
      <c r="F2181" s="3">
        <v>45057</v>
      </c>
      <c r="G2181" s="4">
        <f t="shared" si="225"/>
        <v>5</v>
      </c>
      <c r="H2181" s="4">
        <f t="shared" si="226"/>
        <v>2023</v>
      </c>
      <c r="I2181" s="2" t="s">
        <v>4</v>
      </c>
      <c r="J2181" s="2" t="s">
        <v>2968</v>
      </c>
      <c r="K2181" s="2" t="s">
        <v>2776</v>
      </c>
      <c r="L2181" s="2" t="s">
        <v>2777</v>
      </c>
      <c r="M2181" s="2" t="s">
        <v>119</v>
      </c>
      <c r="N2181" s="4" t="str">
        <f t="shared" si="227"/>
        <v>TON</v>
      </c>
      <c r="O2181" s="5">
        <v>2.5</v>
      </c>
    </row>
    <row r="2182" spans="2:15" x14ac:dyDescent="0.25">
      <c r="B2182" s="1" t="s">
        <v>1520</v>
      </c>
      <c r="C2182" s="2" t="s">
        <v>196</v>
      </c>
      <c r="D2182" s="2" t="s">
        <v>114</v>
      </c>
      <c r="E2182" s="2" t="s">
        <v>491</v>
      </c>
      <c r="F2182" s="3">
        <v>45057</v>
      </c>
      <c r="G2182" s="4">
        <f t="shared" si="225"/>
        <v>5</v>
      </c>
      <c r="H2182" s="4">
        <f t="shared" si="226"/>
        <v>2023</v>
      </c>
      <c r="I2182" s="2" t="s">
        <v>4</v>
      </c>
      <c r="J2182" s="2" t="s">
        <v>2969</v>
      </c>
      <c r="K2182" s="2" t="s">
        <v>2776</v>
      </c>
      <c r="L2182" s="2" t="s">
        <v>2777</v>
      </c>
      <c r="M2182" s="2" t="s">
        <v>119</v>
      </c>
      <c r="N2182" s="4" t="str">
        <f t="shared" si="227"/>
        <v>TON</v>
      </c>
      <c r="O2182" s="5">
        <v>6.02</v>
      </c>
    </row>
    <row r="2183" spans="2:15" x14ac:dyDescent="0.25">
      <c r="B2183" s="1" t="s">
        <v>1520</v>
      </c>
      <c r="C2183" s="2" t="s">
        <v>196</v>
      </c>
      <c r="D2183" s="2" t="s">
        <v>1345</v>
      </c>
      <c r="E2183" s="2" t="s">
        <v>1346</v>
      </c>
      <c r="F2183" s="3">
        <v>45057</v>
      </c>
      <c r="G2183" s="4">
        <f t="shared" si="225"/>
        <v>5</v>
      </c>
      <c r="H2183" s="4">
        <f t="shared" si="226"/>
        <v>2023</v>
      </c>
      <c r="I2183" s="2" t="s">
        <v>4</v>
      </c>
      <c r="J2183" s="2" t="s">
        <v>2970</v>
      </c>
      <c r="K2183" s="2" t="s">
        <v>2350</v>
      </c>
      <c r="L2183" s="2" t="s">
        <v>2351</v>
      </c>
      <c r="M2183" s="2" t="s">
        <v>119</v>
      </c>
      <c r="N2183" s="4" t="str">
        <f t="shared" si="227"/>
        <v>TON</v>
      </c>
      <c r="O2183" s="5">
        <v>4.9924999999999997</v>
      </c>
    </row>
    <row r="2184" spans="2:15" x14ac:dyDescent="0.25">
      <c r="B2184" s="1" t="s">
        <v>1520</v>
      </c>
      <c r="C2184" s="2" t="s">
        <v>196</v>
      </c>
      <c r="D2184" s="2" t="s">
        <v>232</v>
      </c>
      <c r="E2184" s="2" t="s">
        <v>233</v>
      </c>
      <c r="F2184" s="3">
        <v>45057</v>
      </c>
      <c r="G2184" s="4">
        <f t="shared" si="225"/>
        <v>5</v>
      </c>
      <c r="H2184" s="4">
        <f t="shared" si="226"/>
        <v>2023</v>
      </c>
      <c r="I2184" s="2" t="s">
        <v>4</v>
      </c>
      <c r="J2184" s="2" t="s">
        <v>2971</v>
      </c>
      <c r="K2184" s="2" t="s">
        <v>205</v>
      </c>
      <c r="L2184" s="2" t="s">
        <v>206</v>
      </c>
      <c r="M2184" s="2" t="s">
        <v>119</v>
      </c>
      <c r="N2184" s="4" t="str">
        <f t="shared" si="227"/>
        <v>TON</v>
      </c>
      <c r="O2184" s="5">
        <v>5</v>
      </c>
    </row>
    <row r="2185" spans="2:15" x14ac:dyDescent="0.25">
      <c r="B2185" s="1" t="s">
        <v>1520</v>
      </c>
      <c r="C2185" s="2" t="s">
        <v>196</v>
      </c>
      <c r="D2185" s="2" t="s">
        <v>715</v>
      </c>
      <c r="E2185" s="2" t="s">
        <v>450</v>
      </c>
      <c r="F2185" s="3">
        <v>45057</v>
      </c>
      <c r="G2185" s="4">
        <f t="shared" si="225"/>
        <v>5</v>
      </c>
      <c r="H2185" s="4">
        <f t="shared" si="226"/>
        <v>2023</v>
      </c>
      <c r="I2185" s="2" t="s">
        <v>4</v>
      </c>
      <c r="J2185" s="2" t="s">
        <v>2972</v>
      </c>
      <c r="K2185" s="2" t="s">
        <v>2973</v>
      </c>
      <c r="L2185" s="2" t="s">
        <v>916</v>
      </c>
      <c r="M2185" s="2" t="s">
        <v>917</v>
      </c>
      <c r="N2185" s="4" t="str">
        <f t="shared" si="227"/>
        <v>GAL</v>
      </c>
      <c r="O2185" s="5">
        <v>55</v>
      </c>
    </row>
    <row r="2186" spans="2:15" x14ac:dyDescent="0.25">
      <c r="B2186" s="1" t="s">
        <v>1520</v>
      </c>
      <c r="C2186" s="2" t="s">
        <v>196</v>
      </c>
      <c r="D2186" s="2" t="s">
        <v>440</v>
      </c>
      <c r="E2186" s="2" t="s">
        <v>441</v>
      </c>
      <c r="F2186" s="3">
        <v>45058</v>
      </c>
      <c r="G2186" s="4">
        <f t="shared" si="225"/>
        <v>5</v>
      </c>
      <c r="H2186" s="4">
        <f t="shared" si="226"/>
        <v>2023</v>
      </c>
      <c r="I2186" s="2" t="s">
        <v>4</v>
      </c>
      <c r="J2186" s="2" t="s">
        <v>2974</v>
      </c>
      <c r="K2186" s="2" t="s">
        <v>2750</v>
      </c>
      <c r="L2186" s="2" t="s">
        <v>2751</v>
      </c>
      <c r="M2186" s="2" t="s">
        <v>119</v>
      </c>
      <c r="N2186" s="4" t="str">
        <f t="shared" si="227"/>
        <v>TON</v>
      </c>
      <c r="O2186" s="5">
        <v>12.0075</v>
      </c>
    </row>
    <row r="2187" spans="2:15" x14ac:dyDescent="0.25">
      <c r="B2187" s="1" t="s">
        <v>1520</v>
      </c>
      <c r="C2187" s="2" t="s">
        <v>196</v>
      </c>
      <c r="D2187" s="2" t="s">
        <v>270</v>
      </c>
      <c r="E2187" s="2" t="s">
        <v>400</v>
      </c>
      <c r="F2187" s="3">
        <v>45058</v>
      </c>
      <c r="G2187" s="4">
        <f t="shared" si="225"/>
        <v>5</v>
      </c>
      <c r="H2187" s="4">
        <f t="shared" si="226"/>
        <v>2023</v>
      </c>
      <c r="I2187" s="2" t="s">
        <v>4</v>
      </c>
      <c r="J2187" s="2" t="s">
        <v>2975</v>
      </c>
      <c r="K2187" s="2" t="s">
        <v>205</v>
      </c>
      <c r="L2187" s="2" t="s">
        <v>206</v>
      </c>
      <c r="M2187" s="2" t="s">
        <v>119</v>
      </c>
      <c r="N2187" s="4" t="str">
        <f t="shared" si="227"/>
        <v>TON</v>
      </c>
      <c r="O2187" s="5">
        <v>2.5074999999999998</v>
      </c>
    </row>
    <row r="2188" spans="2:15" x14ac:dyDescent="0.25">
      <c r="B2188" s="1" t="s">
        <v>1520</v>
      </c>
      <c r="C2188" s="2" t="s">
        <v>196</v>
      </c>
      <c r="D2188" s="2" t="s">
        <v>800</v>
      </c>
      <c r="E2188" s="2" t="s">
        <v>911</v>
      </c>
      <c r="F2188" s="3">
        <v>45058</v>
      </c>
      <c r="G2188" s="4">
        <f t="shared" si="225"/>
        <v>5</v>
      </c>
      <c r="H2188" s="4">
        <f t="shared" si="226"/>
        <v>2023</v>
      </c>
      <c r="I2188" s="2" t="s">
        <v>4</v>
      </c>
      <c r="J2188" s="2" t="s">
        <v>2976</v>
      </c>
      <c r="K2188" s="2" t="s">
        <v>447</v>
      </c>
      <c r="L2188" s="2" t="s">
        <v>448</v>
      </c>
      <c r="M2188" s="2" t="s">
        <v>119</v>
      </c>
      <c r="N2188" s="4" t="str">
        <f t="shared" si="227"/>
        <v>TON</v>
      </c>
      <c r="O2188" s="5">
        <v>1.2575000000000001</v>
      </c>
    </row>
    <row r="2189" spans="2:15" x14ac:dyDescent="0.25">
      <c r="B2189" s="1" t="s">
        <v>1520</v>
      </c>
      <c r="C2189" s="2" t="s">
        <v>196</v>
      </c>
      <c r="D2189" s="2" t="s">
        <v>262</v>
      </c>
      <c r="E2189" s="2" t="s">
        <v>1170</v>
      </c>
      <c r="F2189" s="3">
        <v>45058</v>
      </c>
      <c r="G2189" s="4">
        <f t="shared" si="225"/>
        <v>5</v>
      </c>
      <c r="H2189" s="4">
        <f t="shared" si="226"/>
        <v>2023</v>
      </c>
      <c r="I2189" s="2" t="s">
        <v>4</v>
      </c>
      <c r="J2189" s="2" t="s">
        <v>2977</v>
      </c>
      <c r="K2189" s="2" t="s">
        <v>292</v>
      </c>
      <c r="L2189" s="2" t="s">
        <v>293</v>
      </c>
      <c r="M2189" s="2" t="s">
        <v>119</v>
      </c>
      <c r="N2189" s="4" t="str">
        <f t="shared" si="227"/>
        <v>TON</v>
      </c>
      <c r="O2189" s="5">
        <v>7.5</v>
      </c>
    </row>
    <row r="2190" spans="2:15" x14ac:dyDescent="0.25">
      <c r="B2190" s="1" t="s">
        <v>1520</v>
      </c>
      <c r="C2190" s="2" t="s">
        <v>196</v>
      </c>
      <c r="D2190" s="2" t="s">
        <v>800</v>
      </c>
      <c r="E2190" s="2" t="s">
        <v>1134</v>
      </c>
      <c r="F2190" s="3">
        <v>45061</v>
      </c>
      <c r="G2190" s="4">
        <f t="shared" si="225"/>
        <v>5</v>
      </c>
      <c r="H2190" s="4">
        <f t="shared" si="226"/>
        <v>2023</v>
      </c>
      <c r="I2190" s="2" t="s">
        <v>4</v>
      </c>
      <c r="J2190" s="2" t="s">
        <v>2978</v>
      </c>
      <c r="K2190" s="2" t="s">
        <v>447</v>
      </c>
      <c r="L2190" s="2" t="s">
        <v>448</v>
      </c>
      <c r="M2190" s="2" t="s">
        <v>119</v>
      </c>
      <c r="N2190" s="4" t="str">
        <f t="shared" si="227"/>
        <v>TON</v>
      </c>
      <c r="O2190" s="5">
        <v>2.0099999999999998</v>
      </c>
    </row>
    <row r="2191" spans="2:15" x14ac:dyDescent="0.25">
      <c r="B2191" s="1" t="s">
        <v>1520</v>
      </c>
      <c r="C2191" s="2" t="s">
        <v>196</v>
      </c>
      <c r="D2191" s="2" t="s">
        <v>241</v>
      </c>
      <c r="E2191" s="2" t="s">
        <v>258</v>
      </c>
      <c r="F2191" s="3">
        <v>45062</v>
      </c>
      <c r="G2191" s="4">
        <f t="shared" si="225"/>
        <v>5</v>
      </c>
      <c r="H2191" s="4">
        <f t="shared" si="226"/>
        <v>2023</v>
      </c>
      <c r="I2191" s="2" t="s">
        <v>4</v>
      </c>
      <c r="J2191" s="2" t="s">
        <v>2979</v>
      </c>
      <c r="K2191" s="2" t="s">
        <v>260</v>
      </c>
      <c r="L2191" s="2" t="s">
        <v>261</v>
      </c>
      <c r="M2191" s="2" t="s">
        <v>119</v>
      </c>
      <c r="N2191" s="4" t="str">
        <f t="shared" si="227"/>
        <v>TON</v>
      </c>
      <c r="O2191" s="5">
        <v>2.25</v>
      </c>
    </row>
    <row r="2192" spans="2:15" x14ac:dyDescent="0.25">
      <c r="B2192" s="1" t="s">
        <v>1520</v>
      </c>
      <c r="C2192" s="2" t="s">
        <v>196</v>
      </c>
      <c r="D2192" s="2" t="s">
        <v>289</v>
      </c>
      <c r="E2192" s="2" t="s">
        <v>2380</v>
      </c>
      <c r="F2192" s="3">
        <v>45062</v>
      </c>
      <c r="G2192" s="4">
        <f t="shared" si="225"/>
        <v>5</v>
      </c>
      <c r="H2192" s="4">
        <f t="shared" si="226"/>
        <v>2023</v>
      </c>
      <c r="I2192" s="2" t="s">
        <v>4</v>
      </c>
      <c r="J2192" s="2" t="s">
        <v>2980</v>
      </c>
      <c r="K2192" s="2" t="s">
        <v>292</v>
      </c>
      <c r="L2192" s="2" t="s">
        <v>293</v>
      </c>
      <c r="M2192" s="2" t="s">
        <v>119</v>
      </c>
      <c r="N2192" s="4" t="str">
        <f t="shared" si="227"/>
        <v>TON</v>
      </c>
      <c r="O2192" s="5">
        <v>0.75</v>
      </c>
    </row>
    <row r="2193" spans="2:15" x14ac:dyDescent="0.25">
      <c r="B2193" s="1" t="s">
        <v>1520</v>
      </c>
      <c r="C2193" s="2" t="s">
        <v>196</v>
      </c>
      <c r="D2193" s="2" t="s">
        <v>387</v>
      </c>
      <c r="E2193" s="2" t="s">
        <v>797</v>
      </c>
      <c r="F2193" s="3">
        <v>45062</v>
      </c>
      <c r="G2193" s="4">
        <f t="shared" si="225"/>
        <v>5</v>
      </c>
      <c r="H2193" s="4">
        <f t="shared" si="226"/>
        <v>2023</v>
      </c>
      <c r="I2193" s="2" t="s">
        <v>4</v>
      </c>
      <c r="J2193" s="2" t="s">
        <v>2981</v>
      </c>
      <c r="K2193" s="2" t="s">
        <v>2750</v>
      </c>
      <c r="L2193" s="2" t="s">
        <v>2751</v>
      </c>
      <c r="M2193" s="2" t="s">
        <v>119</v>
      </c>
      <c r="N2193" s="4" t="str">
        <f t="shared" si="227"/>
        <v>TON</v>
      </c>
      <c r="O2193" s="5">
        <v>10</v>
      </c>
    </row>
    <row r="2194" spans="2:15" x14ac:dyDescent="0.25">
      <c r="B2194" s="1" t="s">
        <v>1520</v>
      </c>
      <c r="C2194" s="2" t="s">
        <v>196</v>
      </c>
      <c r="D2194" s="2" t="s">
        <v>2982</v>
      </c>
      <c r="E2194" s="2" t="s">
        <v>327</v>
      </c>
      <c r="F2194" s="3">
        <v>45062</v>
      </c>
      <c r="G2194" s="4">
        <f t="shared" si="225"/>
        <v>5</v>
      </c>
      <c r="H2194" s="4">
        <f t="shared" si="226"/>
        <v>2023</v>
      </c>
      <c r="I2194" s="2" t="s">
        <v>4</v>
      </c>
      <c r="J2194" s="2" t="s">
        <v>2983</v>
      </c>
      <c r="K2194" s="2" t="s">
        <v>2493</v>
      </c>
      <c r="L2194" s="2" t="s">
        <v>2494</v>
      </c>
      <c r="M2194" s="2" t="s">
        <v>119</v>
      </c>
      <c r="N2194" s="4" t="str">
        <f t="shared" si="227"/>
        <v>TON</v>
      </c>
      <c r="O2194" s="5">
        <v>1.2450000000000001</v>
      </c>
    </row>
    <row r="2195" spans="2:15" x14ac:dyDescent="0.25">
      <c r="B2195" s="1" t="s">
        <v>645</v>
      </c>
      <c r="C2195" s="2" t="s">
        <v>196</v>
      </c>
      <c r="D2195" s="2" t="s">
        <v>1375</v>
      </c>
      <c r="E2195" s="2" t="s">
        <v>102</v>
      </c>
      <c r="F2195" s="3">
        <v>45062</v>
      </c>
      <c r="G2195" s="4">
        <f t="shared" si="225"/>
        <v>5</v>
      </c>
      <c r="H2195" s="4">
        <f t="shared" si="226"/>
        <v>2023</v>
      </c>
      <c r="I2195" s="2" t="s">
        <v>4</v>
      </c>
      <c r="J2195" s="2" t="s">
        <v>2984</v>
      </c>
      <c r="K2195" s="2" t="s">
        <v>205</v>
      </c>
      <c r="L2195" s="2" t="s">
        <v>206</v>
      </c>
      <c r="M2195" s="2" t="s">
        <v>119</v>
      </c>
      <c r="N2195" s="4" t="str">
        <f t="shared" si="227"/>
        <v>TON</v>
      </c>
      <c r="O2195" s="5">
        <v>5</v>
      </c>
    </row>
    <row r="2196" spans="2:15" x14ac:dyDescent="0.25">
      <c r="B2196" s="1" t="s">
        <v>1520</v>
      </c>
      <c r="C2196" s="2" t="s">
        <v>196</v>
      </c>
      <c r="D2196" s="2" t="s">
        <v>317</v>
      </c>
      <c r="E2196" s="2" t="s">
        <v>829</v>
      </c>
      <c r="F2196" s="3">
        <v>45062</v>
      </c>
      <c r="G2196" s="4">
        <f t="shared" si="225"/>
        <v>5</v>
      </c>
      <c r="H2196" s="4">
        <f t="shared" si="226"/>
        <v>2023</v>
      </c>
      <c r="I2196" s="2" t="s">
        <v>4</v>
      </c>
      <c r="J2196" s="2" t="s">
        <v>2985</v>
      </c>
      <c r="K2196" s="2" t="s">
        <v>2776</v>
      </c>
      <c r="L2196" s="2" t="s">
        <v>2777</v>
      </c>
      <c r="M2196" s="2" t="s">
        <v>119</v>
      </c>
      <c r="N2196" s="4" t="str">
        <f t="shared" si="227"/>
        <v>TON</v>
      </c>
      <c r="O2196" s="5">
        <v>6.0075000000000003</v>
      </c>
    </row>
    <row r="2197" spans="2:15" x14ac:dyDescent="0.25">
      <c r="B2197" s="1" t="s">
        <v>1520</v>
      </c>
      <c r="C2197" s="2" t="s">
        <v>196</v>
      </c>
      <c r="D2197" s="2" t="s">
        <v>800</v>
      </c>
      <c r="E2197" s="2" t="s">
        <v>907</v>
      </c>
      <c r="F2197" s="3">
        <v>45062</v>
      </c>
      <c r="G2197" s="4">
        <f t="shared" si="225"/>
        <v>5</v>
      </c>
      <c r="H2197" s="4">
        <f t="shared" si="226"/>
        <v>2023</v>
      </c>
      <c r="I2197" s="2" t="s">
        <v>4</v>
      </c>
      <c r="J2197" s="2" t="s">
        <v>2986</v>
      </c>
      <c r="K2197" s="2" t="s">
        <v>447</v>
      </c>
      <c r="L2197" s="2" t="s">
        <v>448</v>
      </c>
      <c r="M2197" s="2" t="s">
        <v>119</v>
      </c>
      <c r="N2197" s="4" t="str">
        <f t="shared" si="227"/>
        <v>TON</v>
      </c>
      <c r="O2197" s="5">
        <v>3</v>
      </c>
    </row>
    <row r="2198" spans="2:15" x14ac:dyDescent="0.25">
      <c r="B2198" s="1" t="s">
        <v>645</v>
      </c>
      <c r="C2198" s="2" t="s">
        <v>196</v>
      </c>
      <c r="D2198" s="2" t="s">
        <v>790</v>
      </c>
      <c r="E2198" s="2" t="s">
        <v>791</v>
      </c>
      <c r="F2198" s="3">
        <v>45063</v>
      </c>
      <c r="G2198" s="4">
        <f t="shared" si="225"/>
        <v>5</v>
      </c>
      <c r="H2198" s="4">
        <f t="shared" si="226"/>
        <v>2023</v>
      </c>
      <c r="I2198" s="2" t="s">
        <v>4</v>
      </c>
      <c r="J2198" s="2" t="s">
        <v>2987</v>
      </c>
      <c r="K2198" s="2" t="s">
        <v>2988</v>
      </c>
      <c r="L2198" s="2" t="s">
        <v>2989</v>
      </c>
      <c r="M2198" s="2" t="s">
        <v>119</v>
      </c>
      <c r="N2198" s="4" t="str">
        <f t="shared" si="227"/>
        <v>TON</v>
      </c>
      <c r="O2198" s="5">
        <v>5.0025000000000004</v>
      </c>
    </row>
    <row r="2199" spans="2:15" x14ac:dyDescent="0.25">
      <c r="B2199" s="1" t="s">
        <v>1520</v>
      </c>
      <c r="C2199" s="2" t="s">
        <v>196</v>
      </c>
      <c r="D2199" s="2" t="s">
        <v>299</v>
      </c>
      <c r="E2199" s="2" t="s">
        <v>2262</v>
      </c>
      <c r="F2199" s="3">
        <v>45063</v>
      </c>
      <c r="G2199" s="4">
        <f t="shared" si="225"/>
        <v>5</v>
      </c>
      <c r="H2199" s="4">
        <f t="shared" si="226"/>
        <v>2023</v>
      </c>
      <c r="I2199" s="2" t="s">
        <v>4</v>
      </c>
      <c r="J2199" s="2" t="s">
        <v>2990</v>
      </c>
      <c r="K2199" s="2" t="s">
        <v>2776</v>
      </c>
      <c r="L2199" s="2" t="s">
        <v>2777</v>
      </c>
      <c r="M2199" s="2" t="s">
        <v>119</v>
      </c>
      <c r="N2199" s="4" t="str">
        <f t="shared" si="227"/>
        <v>TON</v>
      </c>
      <c r="O2199" s="5">
        <v>2.5099999999999998</v>
      </c>
    </row>
    <row r="2200" spans="2:15" x14ac:dyDescent="0.25">
      <c r="B2200" s="1" t="s">
        <v>1520</v>
      </c>
      <c r="C2200" s="2" t="s">
        <v>196</v>
      </c>
      <c r="D2200" s="2" t="s">
        <v>2755</v>
      </c>
      <c r="E2200" s="2" t="s">
        <v>141</v>
      </c>
      <c r="F2200" s="3">
        <v>45063</v>
      </c>
      <c r="G2200" s="4">
        <f t="shared" si="225"/>
        <v>5</v>
      </c>
      <c r="H2200" s="4">
        <f t="shared" si="226"/>
        <v>2023</v>
      </c>
      <c r="I2200" s="2" t="s">
        <v>4</v>
      </c>
      <c r="J2200" s="2" t="s">
        <v>2991</v>
      </c>
      <c r="K2200" s="2" t="s">
        <v>244</v>
      </c>
      <c r="L2200" s="2" t="s">
        <v>182</v>
      </c>
      <c r="M2200" s="2" t="s">
        <v>183</v>
      </c>
      <c r="N2200" s="4" t="str">
        <f t="shared" si="227"/>
        <v>GAL</v>
      </c>
      <c r="O2200" s="5">
        <v>5</v>
      </c>
    </row>
    <row r="2201" spans="2:15" x14ac:dyDescent="0.25">
      <c r="B2201" s="1" t="s">
        <v>1520</v>
      </c>
      <c r="C2201" s="2" t="s">
        <v>196</v>
      </c>
      <c r="D2201" s="2" t="s">
        <v>114</v>
      </c>
      <c r="E2201" s="2" t="s">
        <v>369</v>
      </c>
      <c r="F2201" s="3">
        <v>45064</v>
      </c>
      <c r="G2201" s="4">
        <f t="shared" si="225"/>
        <v>5</v>
      </c>
      <c r="H2201" s="4">
        <f t="shared" si="226"/>
        <v>2023</v>
      </c>
      <c r="I2201" s="2" t="s">
        <v>4</v>
      </c>
      <c r="J2201" s="2" t="s">
        <v>2992</v>
      </c>
      <c r="K2201" s="2" t="s">
        <v>2776</v>
      </c>
      <c r="L2201" s="2" t="s">
        <v>2777</v>
      </c>
      <c r="M2201" s="2" t="s">
        <v>119</v>
      </c>
      <c r="N2201" s="4" t="str">
        <f t="shared" si="227"/>
        <v>TON</v>
      </c>
      <c r="O2201" s="5">
        <v>5</v>
      </c>
    </row>
    <row r="2202" spans="2:15" x14ac:dyDescent="0.25">
      <c r="B2202" s="1" t="s">
        <v>1520</v>
      </c>
      <c r="C2202" s="2" t="s">
        <v>196</v>
      </c>
      <c r="D2202" s="2" t="s">
        <v>215</v>
      </c>
      <c r="E2202" s="2" t="s">
        <v>858</v>
      </c>
      <c r="F2202" s="3">
        <v>45065</v>
      </c>
      <c r="G2202" s="4">
        <f t="shared" si="225"/>
        <v>5</v>
      </c>
      <c r="H2202" s="4">
        <f t="shared" si="226"/>
        <v>2023</v>
      </c>
      <c r="I2202" s="2" t="s">
        <v>4</v>
      </c>
      <c r="J2202" s="2" t="s">
        <v>2993</v>
      </c>
      <c r="K2202" s="2" t="s">
        <v>205</v>
      </c>
      <c r="L2202" s="2" t="s">
        <v>206</v>
      </c>
      <c r="M2202" s="2" t="s">
        <v>119</v>
      </c>
      <c r="N2202" s="4" t="str">
        <f t="shared" si="227"/>
        <v>TON</v>
      </c>
      <c r="O2202" s="5">
        <v>8.02</v>
      </c>
    </row>
    <row r="2203" spans="2:15" x14ac:dyDescent="0.25">
      <c r="B2203" s="1" t="s">
        <v>1520</v>
      </c>
      <c r="C2203" s="2" t="s">
        <v>196</v>
      </c>
      <c r="D2203" s="2" t="s">
        <v>721</v>
      </c>
      <c r="E2203" s="2" t="s">
        <v>721</v>
      </c>
      <c r="F2203" s="3">
        <v>45065</v>
      </c>
      <c r="G2203" s="4">
        <f t="shared" si="225"/>
        <v>5</v>
      </c>
      <c r="H2203" s="4">
        <f t="shared" si="226"/>
        <v>2023</v>
      </c>
      <c r="I2203" s="2" t="s">
        <v>4</v>
      </c>
      <c r="J2203" s="2" t="s">
        <v>2994</v>
      </c>
      <c r="K2203" s="2" t="s">
        <v>25</v>
      </c>
      <c r="L2203" s="2" t="s">
        <v>541</v>
      </c>
      <c r="M2203" s="2" t="s">
        <v>27</v>
      </c>
      <c r="N2203" s="4" t="str">
        <f t="shared" si="227"/>
        <v>GAL</v>
      </c>
      <c r="O2203" s="5">
        <v>10</v>
      </c>
    </row>
    <row r="2204" spans="2:15" x14ac:dyDescent="0.25">
      <c r="B2204" s="1" t="s">
        <v>1520</v>
      </c>
      <c r="C2204" s="2" t="s">
        <v>196</v>
      </c>
      <c r="D2204" s="2" t="s">
        <v>721</v>
      </c>
      <c r="E2204" s="2" t="s">
        <v>722</v>
      </c>
      <c r="F2204" s="3">
        <v>45065</v>
      </c>
      <c r="G2204" s="4">
        <f t="shared" si="225"/>
        <v>5</v>
      </c>
      <c r="H2204" s="4">
        <f t="shared" si="226"/>
        <v>2023</v>
      </c>
      <c r="I2204" s="2" t="s">
        <v>4</v>
      </c>
      <c r="J2204" s="2" t="s">
        <v>2995</v>
      </c>
      <c r="K2204" s="2" t="s">
        <v>268</v>
      </c>
      <c r="L2204" s="2" t="s">
        <v>269</v>
      </c>
      <c r="M2204" s="2" t="s">
        <v>119</v>
      </c>
      <c r="N2204" s="4" t="str">
        <f t="shared" si="227"/>
        <v>TON</v>
      </c>
      <c r="O2204" s="5">
        <v>1.25</v>
      </c>
    </row>
    <row r="2205" spans="2:15" x14ac:dyDescent="0.25">
      <c r="B2205" s="1" t="s">
        <v>1520</v>
      </c>
      <c r="C2205" s="2" t="s">
        <v>196</v>
      </c>
      <c r="D2205" s="2" t="s">
        <v>280</v>
      </c>
      <c r="E2205" s="2" t="s">
        <v>254</v>
      </c>
      <c r="F2205" s="3">
        <v>45065</v>
      </c>
      <c r="G2205" s="4">
        <f t="shared" si="225"/>
        <v>5</v>
      </c>
      <c r="H2205" s="4">
        <f t="shared" si="226"/>
        <v>2023</v>
      </c>
      <c r="I2205" s="2" t="s">
        <v>4</v>
      </c>
      <c r="J2205" s="2" t="s">
        <v>2996</v>
      </c>
      <c r="K2205" s="2" t="s">
        <v>2776</v>
      </c>
      <c r="L2205" s="2" t="s">
        <v>2777</v>
      </c>
      <c r="M2205" s="2" t="s">
        <v>119</v>
      </c>
      <c r="N2205" s="4" t="str">
        <f t="shared" si="227"/>
        <v>TON</v>
      </c>
      <c r="O2205" s="5">
        <v>10</v>
      </c>
    </row>
    <row r="2206" spans="2:15" x14ac:dyDescent="0.25">
      <c r="B2206" s="1" t="s">
        <v>1520</v>
      </c>
      <c r="C2206" s="2" t="s">
        <v>196</v>
      </c>
      <c r="D2206" s="2" t="s">
        <v>1706</v>
      </c>
      <c r="E2206" s="2" t="s">
        <v>102</v>
      </c>
      <c r="F2206" s="3">
        <v>45065</v>
      </c>
      <c r="G2206" s="4">
        <f t="shared" si="225"/>
        <v>5</v>
      </c>
      <c r="H2206" s="4">
        <f t="shared" si="226"/>
        <v>2023</v>
      </c>
      <c r="I2206" s="2" t="s">
        <v>4</v>
      </c>
      <c r="J2206" s="2" t="s">
        <v>2997</v>
      </c>
      <c r="K2206" s="2" t="s">
        <v>268</v>
      </c>
      <c r="L2206" s="2" t="s">
        <v>269</v>
      </c>
      <c r="M2206" s="2" t="s">
        <v>119</v>
      </c>
      <c r="N2206" s="4" t="str">
        <f t="shared" si="227"/>
        <v>TON</v>
      </c>
      <c r="O2206" s="5">
        <v>0.5</v>
      </c>
    </row>
    <row r="2207" spans="2:15" x14ac:dyDescent="0.25">
      <c r="B2207" s="1" t="s">
        <v>1520</v>
      </c>
      <c r="C2207" s="2" t="s">
        <v>196</v>
      </c>
      <c r="D2207" s="2" t="s">
        <v>317</v>
      </c>
      <c r="E2207" s="2" t="s">
        <v>484</v>
      </c>
      <c r="F2207" s="3">
        <v>45068</v>
      </c>
      <c r="G2207" s="4">
        <f t="shared" si="225"/>
        <v>5</v>
      </c>
      <c r="H2207" s="4">
        <f t="shared" si="226"/>
        <v>2023</v>
      </c>
      <c r="I2207" s="2" t="s">
        <v>4</v>
      </c>
      <c r="J2207" s="2" t="s">
        <v>2998</v>
      </c>
      <c r="K2207" s="2" t="s">
        <v>2776</v>
      </c>
      <c r="L2207" s="2" t="s">
        <v>2777</v>
      </c>
      <c r="M2207" s="2" t="s">
        <v>119</v>
      </c>
      <c r="N2207" s="4" t="str">
        <f t="shared" si="227"/>
        <v>TON</v>
      </c>
      <c r="O2207" s="5">
        <v>2.5</v>
      </c>
    </row>
    <row r="2208" spans="2:15" x14ac:dyDescent="0.25">
      <c r="B2208" s="1" t="s">
        <v>1520</v>
      </c>
      <c r="C2208" s="2" t="s">
        <v>196</v>
      </c>
      <c r="D2208" s="2" t="s">
        <v>317</v>
      </c>
      <c r="E2208" s="2" t="s">
        <v>319</v>
      </c>
      <c r="F2208" s="3">
        <v>45068</v>
      </c>
      <c r="G2208" s="4">
        <f t="shared" si="225"/>
        <v>5</v>
      </c>
      <c r="H2208" s="4">
        <f t="shared" si="226"/>
        <v>2023</v>
      </c>
      <c r="I2208" s="2" t="s">
        <v>4</v>
      </c>
      <c r="J2208" s="2" t="s">
        <v>2999</v>
      </c>
      <c r="K2208" s="2" t="s">
        <v>2776</v>
      </c>
      <c r="L2208" s="2" t="s">
        <v>2777</v>
      </c>
      <c r="M2208" s="2" t="s">
        <v>119</v>
      </c>
      <c r="N2208" s="4" t="str">
        <f t="shared" si="227"/>
        <v>TON</v>
      </c>
      <c r="O2208" s="5">
        <v>2.48</v>
      </c>
    </row>
    <row r="2209" spans="2:15" x14ac:dyDescent="0.25">
      <c r="B2209" s="1" t="s">
        <v>1520</v>
      </c>
      <c r="C2209" s="2" t="s">
        <v>196</v>
      </c>
      <c r="D2209" s="2" t="s">
        <v>241</v>
      </c>
      <c r="E2209" s="2" t="s">
        <v>258</v>
      </c>
      <c r="F2209" s="3">
        <v>45068</v>
      </c>
      <c r="G2209" s="4">
        <f t="shared" si="225"/>
        <v>5</v>
      </c>
      <c r="H2209" s="4">
        <f t="shared" si="226"/>
        <v>2023</v>
      </c>
      <c r="I2209" s="2" t="s">
        <v>4</v>
      </c>
      <c r="J2209" s="2" t="s">
        <v>3000</v>
      </c>
      <c r="K2209" s="2" t="s">
        <v>260</v>
      </c>
      <c r="L2209" s="2" t="s">
        <v>261</v>
      </c>
      <c r="M2209" s="2" t="s">
        <v>119</v>
      </c>
      <c r="N2209" s="4" t="str">
        <f t="shared" si="227"/>
        <v>TON</v>
      </c>
      <c r="O2209" s="5">
        <v>2.2524999999999999</v>
      </c>
    </row>
    <row r="2210" spans="2:15" x14ac:dyDescent="0.25">
      <c r="B2210" s="1" t="s">
        <v>1520</v>
      </c>
      <c r="C2210" s="2" t="s">
        <v>196</v>
      </c>
      <c r="D2210" s="2" t="s">
        <v>299</v>
      </c>
      <c r="E2210" s="2" t="s">
        <v>1140</v>
      </c>
      <c r="F2210" s="3">
        <v>45068</v>
      </c>
      <c r="G2210" s="4">
        <f t="shared" si="225"/>
        <v>5</v>
      </c>
      <c r="H2210" s="4">
        <f t="shared" si="226"/>
        <v>2023</v>
      </c>
      <c r="I2210" s="2" t="s">
        <v>4</v>
      </c>
      <c r="J2210" s="2" t="s">
        <v>3001</v>
      </c>
      <c r="K2210" s="2" t="s">
        <v>2776</v>
      </c>
      <c r="L2210" s="2" t="s">
        <v>2777</v>
      </c>
      <c r="M2210" s="2" t="s">
        <v>119</v>
      </c>
      <c r="N2210" s="4" t="str">
        <f t="shared" si="227"/>
        <v>TON</v>
      </c>
      <c r="O2210" s="5">
        <v>3.02</v>
      </c>
    </row>
    <row r="2211" spans="2:15" x14ac:dyDescent="0.25">
      <c r="B2211" s="1" t="s">
        <v>1520</v>
      </c>
      <c r="C2211" s="2" t="s">
        <v>196</v>
      </c>
      <c r="D2211" s="2" t="s">
        <v>114</v>
      </c>
      <c r="E2211" s="2" t="s">
        <v>491</v>
      </c>
      <c r="F2211" s="3">
        <v>45068</v>
      </c>
      <c r="G2211" s="4">
        <f t="shared" si="225"/>
        <v>5</v>
      </c>
      <c r="H2211" s="4">
        <f t="shared" si="226"/>
        <v>2023</v>
      </c>
      <c r="I2211" s="2" t="s">
        <v>4</v>
      </c>
      <c r="J2211" s="2" t="s">
        <v>3002</v>
      </c>
      <c r="K2211" s="2" t="s">
        <v>2776</v>
      </c>
      <c r="L2211" s="2" t="s">
        <v>2777</v>
      </c>
      <c r="M2211" s="2" t="s">
        <v>119</v>
      </c>
      <c r="N2211" s="4" t="str">
        <f t="shared" si="227"/>
        <v>TON</v>
      </c>
      <c r="O2211" s="5">
        <v>2.5125000000000002</v>
      </c>
    </row>
    <row r="2212" spans="2:15" x14ac:dyDescent="0.25">
      <c r="B2212" s="1" t="s">
        <v>1520</v>
      </c>
      <c r="C2212" s="2" t="s">
        <v>196</v>
      </c>
      <c r="D2212" s="2" t="s">
        <v>114</v>
      </c>
      <c r="E2212" s="2" t="s">
        <v>1304</v>
      </c>
      <c r="F2212" s="3">
        <v>45071</v>
      </c>
      <c r="G2212" s="4">
        <f t="shared" si="225"/>
        <v>5</v>
      </c>
      <c r="H2212" s="4">
        <f t="shared" si="226"/>
        <v>2023</v>
      </c>
      <c r="I2212" s="2" t="s">
        <v>4</v>
      </c>
      <c r="J2212" s="2" t="s">
        <v>3003</v>
      </c>
      <c r="K2212" s="2" t="s">
        <v>2776</v>
      </c>
      <c r="L2212" s="2" t="s">
        <v>2777</v>
      </c>
      <c r="M2212" s="2" t="s">
        <v>119</v>
      </c>
      <c r="N2212" s="4" t="str">
        <f t="shared" si="227"/>
        <v>TON</v>
      </c>
      <c r="O2212" s="5">
        <v>2.0099999999999998</v>
      </c>
    </row>
    <row r="2213" spans="2:15" x14ac:dyDescent="0.25">
      <c r="B2213" s="1" t="s">
        <v>1520</v>
      </c>
      <c r="C2213" s="2" t="s">
        <v>196</v>
      </c>
      <c r="D2213" s="2" t="s">
        <v>2338</v>
      </c>
      <c r="E2213" s="2" t="s">
        <v>141</v>
      </c>
      <c r="F2213" s="3">
        <v>45070</v>
      </c>
      <c r="G2213" s="4">
        <f t="shared" si="225"/>
        <v>5</v>
      </c>
      <c r="H2213" s="4">
        <f t="shared" si="226"/>
        <v>2023</v>
      </c>
      <c r="I2213" s="2" t="s">
        <v>4</v>
      </c>
      <c r="J2213" s="2" t="s">
        <v>3004</v>
      </c>
      <c r="K2213" s="2" t="s">
        <v>626</v>
      </c>
      <c r="L2213" s="2" t="s">
        <v>627</v>
      </c>
      <c r="M2213" s="2" t="s">
        <v>119</v>
      </c>
      <c r="N2213" s="4" t="str">
        <f t="shared" si="227"/>
        <v>TON</v>
      </c>
      <c r="O2213" s="5">
        <v>3.75</v>
      </c>
    </row>
    <row r="2214" spans="2:15" x14ac:dyDescent="0.25">
      <c r="B2214" s="1" t="s">
        <v>1520</v>
      </c>
      <c r="C2214" s="2" t="s">
        <v>196</v>
      </c>
      <c r="D2214" s="2" t="s">
        <v>238</v>
      </c>
      <c r="E2214" s="2" t="s">
        <v>1154</v>
      </c>
      <c r="F2214" s="3">
        <v>45071</v>
      </c>
      <c r="G2214" s="4">
        <f t="shared" si="225"/>
        <v>5</v>
      </c>
      <c r="H2214" s="4">
        <f t="shared" si="226"/>
        <v>2023</v>
      </c>
      <c r="I2214" s="2" t="s">
        <v>4</v>
      </c>
      <c r="J2214" s="2" t="s">
        <v>3005</v>
      </c>
      <c r="K2214" s="2" t="s">
        <v>205</v>
      </c>
      <c r="L2214" s="2" t="s">
        <v>206</v>
      </c>
      <c r="M2214" s="2" t="s">
        <v>119</v>
      </c>
      <c r="N2214" s="4" t="str">
        <f t="shared" si="227"/>
        <v>TON</v>
      </c>
      <c r="O2214" s="5">
        <v>9.5</v>
      </c>
    </row>
    <row r="2215" spans="2:15" x14ac:dyDescent="0.25">
      <c r="B2215" s="1" t="s">
        <v>1520</v>
      </c>
      <c r="C2215" s="2" t="s">
        <v>196</v>
      </c>
      <c r="D2215" s="2" t="s">
        <v>294</v>
      </c>
      <c r="E2215" s="2" t="s">
        <v>295</v>
      </c>
      <c r="F2215" s="3">
        <v>45072</v>
      </c>
      <c r="G2215" s="4">
        <f t="shared" si="225"/>
        <v>5</v>
      </c>
      <c r="H2215" s="4">
        <f t="shared" si="226"/>
        <v>2023</v>
      </c>
      <c r="I2215" s="2" t="s">
        <v>4</v>
      </c>
      <c r="J2215" s="2" t="s">
        <v>3006</v>
      </c>
      <c r="K2215" s="2" t="s">
        <v>122</v>
      </c>
      <c r="L2215" s="2" t="s">
        <v>123</v>
      </c>
      <c r="M2215" s="2" t="s">
        <v>119</v>
      </c>
      <c r="N2215" s="4" t="str">
        <f t="shared" si="227"/>
        <v>TON</v>
      </c>
      <c r="O2215" s="5">
        <v>7.5575000000000001</v>
      </c>
    </row>
    <row r="2216" spans="2:15" x14ac:dyDescent="0.25">
      <c r="B2216" s="1" t="s">
        <v>1520</v>
      </c>
      <c r="C2216" s="2" t="s">
        <v>196</v>
      </c>
      <c r="D2216" s="2" t="s">
        <v>262</v>
      </c>
      <c r="E2216" s="2" t="s">
        <v>1170</v>
      </c>
      <c r="F2216" s="3">
        <v>45072</v>
      </c>
      <c r="G2216" s="4">
        <f t="shared" si="225"/>
        <v>5</v>
      </c>
      <c r="H2216" s="4">
        <f t="shared" si="226"/>
        <v>2023</v>
      </c>
      <c r="I2216" s="2" t="s">
        <v>4</v>
      </c>
      <c r="J2216" s="2" t="s">
        <v>3007</v>
      </c>
      <c r="K2216" s="2" t="s">
        <v>292</v>
      </c>
      <c r="L2216" s="2" t="s">
        <v>293</v>
      </c>
      <c r="M2216" s="2" t="s">
        <v>119</v>
      </c>
      <c r="N2216" s="4" t="str">
        <f t="shared" si="227"/>
        <v>TON</v>
      </c>
      <c r="O2216" s="5">
        <v>6.5125000000000002</v>
      </c>
    </row>
    <row r="2217" spans="2:15" x14ac:dyDescent="0.25">
      <c r="B2217" s="1" t="s">
        <v>645</v>
      </c>
      <c r="C2217" s="2" t="s">
        <v>196</v>
      </c>
      <c r="D2217" s="2" t="s">
        <v>888</v>
      </c>
      <c r="E2217" s="2" t="s">
        <v>888</v>
      </c>
      <c r="F2217" s="3">
        <v>45072</v>
      </c>
      <c r="G2217" s="4">
        <f t="shared" si="225"/>
        <v>5</v>
      </c>
      <c r="H2217" s="4">
        <f t="shared" si="226"/>
        <v>2023</v>
      </c>
      <c r="I2217" s="2" t="s">
        <v>4</v>
      </c>
      <c r="J2217" s="2" t="s">
        <v>3008</v>
      </c>
      <c r="K2217" s="2" t="s">
        <v>25</v>
      </c>
      <c r="L2217" s="2" t="s">
        <v>541</v>
      </c>
      <c r="M2217" s="2" t="s">
        <v>27</v>
      </c>
      <c r="N2217" s="4" t="str">
        <f t="shared" si="227"/>
        <v>GAL</v>
      </c>
      <c r="O2217" s="5">
        <v>5</v>
      </c>
    </row>
    <row r="2218" spans="2:15" x14ac:dyDescent="0.25">
      <c r="B2218" s="1" t="s">
        <v>645</v>
      </c>
      <c r="C2218" s="2" t="s">
        <v>196</v>
      </c>
      <c r="D2218" s="2" t="s">
        <v>888</v>
      </c>
      <c r="E2218" s="2" t="s">
        <v>888</v>
      </c>
      <c r="F2218" s="3">
        <v>45072</v>
      </c>
      <c r="G2218" s="4">
        <f t="shared" si="225"/>
        <v>5</v>
      </c>
      <c r="H2218" s="4">
        <f t="shared" si="226"/>
        <v>2023</v>
      </c>
      <c r="I2218" s="2" t="s">
        <v>4</v>
      </c>
      <c r="J2218" s="2" t="s">
        <v>3009</v>
      </c>
      <c r="K2218" s="2" t="s">
        <v>268</v>
      </c>
      <c r="L2218" s="2" t="s">
        <v>269</v>
      </c>
      <c r="M2218" s="2" t="s">
        <v>119</v>
      </c>
      <c r="N2218" s="4" t="str">
        <f t="shared" si="227"/>
        <v>TON</v>
      </c>
      <c r="O2218" s="5">
        <v>0.3</v>
      </c>
    </row>
    <row r="2219" spans="2:15" x14ac:dyDescent="0.25">
      <c r="B2219" s="1" t="s">
        <v>1520</v>
      </c>
      <c r="C2219" s="2" t="s">
        <v>196</v>
      </c>
      <c r="D2219" s="2" t="s">
        <v>215</v>
      </c>
      <c r="E2219" s="2" t="s">
        <v>858</v>
      </c>
      <c r="F2219" s="3">
        <v>45076</v>
      </c>
      <c r="G2219" s="4">
        <f t="shared" si="225"/>
        <v>5</v>
      </c>
      <c r="H2219" s="4">
        <f t="shared" si="226"/>
        <v>2023</v>
      </c>
      <c r="I2219" s="2" t="s">
        <v>4</v>
      </c>
      <c r="J2219" s="2" t="s">
        <v>3010</v>
      </c>
      <c r="K2219" s="2" t="s">
        <v>329</v>
      </c>
      <c r="L2219" s="2" t="s">
        <v>330</v>
      </c>
      <c r="M2219" s="2" t="s">
        <v>119</v>
      </c>
      <c r="N2219" s="4" t="str">
        <f t="shared" si="227"/>
        <v>TON</v>
      </c>
      <c r="O2219" s="5">
        <v>2.5074999999999998</v>
      </c>
    </row>
    <row r="2220" spans="2:15" x14ac:dyDescent="0.25">
      <c r="B2220" s="1" t="s">
        <v>1520</v>
      </c>
      <c r="C2220" s="2" t="s">
        <v>196</v>
      </c>
      <c r="D2220" s="2" t="s">
        <v>1276</v>
      </c>
      <c r="E2220" s="2" t="s">
        <v>1277</v>
      </c>
      <c r="F2220" s="3">
        <v>45076</v>
      </c>
      <c r="G2220" s="4">
        <f t="shared" si="225"/>
        <v>5</v>
      </c>
      <c r="H2220" s="4">
        <f t="shared" si="226"/>
        <v>2023</v>
      </c>
      <c r="I2220" s="2" t="s">
        <v>4</v>
      </c>
      <c r="J2220" s="2" t="s">
        <v>3011</v>
      </c>
      <c r="K2220" s="2" t="s">
        <v>394</v>
      </c>
      <c r="L2220" s="2" t="s">
        <v>395</v>
      </c>
      <c r="M2220" s="2" t="s">
        <v>119</v>
      </c>
      <c r="N2220" s="4" t="str">
        <f t="shared" si="227"/>
        <v>TON</v>
      </c>
      <c r="O2220" s="5">
        <v>1.1775</v>
      </c>
    </row>
    <row r="2221" spans="2:15" x14ac:dyDescent="0.25">
      <c r="B2221" s="1" t="s">
        <v>1520</v>
      </c>
      <c r="C2221" s="2" t="s">
        <v>196</v>
      </c>
      <c r="D2221" s="2" t="s">
        <v>207</v>
      </c>
      <c r="E2221" s="2" t="s">
        <v>208</v>
      </c>
      <c r="F2221" s="3">
        <v>45077</v>
      </c>
      <c r="G2221" s="4">
        <f t="shared" si="225"/>
        <v>5</v>
      </c>
      <c r="H2221" s="4">
        <f t="shared" si="226"/>
        <v>2023</v>
      </c>
      <c r="I2221" s="2" t="s">
        <v>4</v>
      </c>
      <c r="J2221" s="2" t="s">
        <v>3012</v>
      </c>
      <c r="K2221" s="2" t="s">
        <v>3013</v>
      </c>
      <c r="L2221" s="2" t="s">
        <v>3014</v>
      </c>
      <c r="M2221" s="2" t="s">
        <v>119</v>
      </c>
      <c r="N2221" s="4" t="str">
        <f t="shared" si="227"/>
        <v>TON</v>
      </c>
      <c r="O2221" s="5">
        <v>1.2575000000000001</v>
      </c>
    </row>
    <row r="2222" spans="2:15" x14ac:dyDescent="0.25">
      <c r="B2222" s="1" t="s">
        <v>1520</v>
      </c>
      <c r="C2222" s="2" t="s">
        <v>196</v>
      </c>
      <c r="D2222" s="2" t="s">
        <v>241</v>
      </c>
      <c r="E2222" s="2" t="s">
        <v>258</v>
      </c>
      <c r="F2222" s="3">
        <v>45077</v>
      </c>
      <c r="G2222" s="4">
        <f t="shared" si="225"/>
        <v>5</v>
      </c>
      <c r="H2222" s="4">
        <f t="shared" si="226"/>
        <v>2023</v>
      </c>
      <c r="I2222" s="2" t="s">
        <v>4</v>
      </c>
      <c r="J2222" s="2" t="s">
        <v>3015</v>
      </c>
      <c r="K2222" s="2" t="s">
        <v>260</v>
      </c>
      <c r="L2222" s="2" t="s">
        <v>261</v>
      </c>
      <c r="M2222" s="2" t="s">
        <v>119</v>
      </c>
      <c r="N2222" s="4" t="str">
        <f t="shared" si="227"/>
        <v>TON</v>
      </c>
      <c r="O2222" s="5">
        <v>2.27</v>
      </c>
    </row>
    <row r="2223" spans="2:15" x14ac:dyDescent="0.25">
      <c r="B2223" s="1" t="s">
        <v>1520</v>
      </c>
      <c r="C2223" s="2" t="s">
        <v>196</v>
      </c>
      <c r="D2223" s="2" t="s">
        <v>241</v>
      </c>
      <c r="E2223" s="2" t="s">
        <v>242</v>
      </c>
      <c r="F2223" s="3">
        <v>45077</v>
      </c>
      <c r="G2223" s="4">
        <f t="shared" si="225"/>
        <v>5</v>
      </c>
      <c r="H2223" s="4">
        <f t="shared" si="226"/>
        <v>2023</v>
      </c>
      <c r="I2223" s="2" t="s">
        <v>4</v>
      </c>
      <c r="J2223" s="2" t="s">
        <v>3016</v>
      </c>
      <c r="K2223" s="2" t="s">
        <v>260</v>
      </c>
      <c r="L2223" s="2" t="s">
        <v>261</v>
      </c>
      <c r="M2223" s="2" t="s">
        <v>119</v>
      </c>
      <c r="N2223" s="4" t="str">
        <f t="shared" si="227"/>
        <v>TON</v>
      </c>
      <c r="O2223" s="5">
        <v>0.53</v>
      </c>
    </row>
    <row r="2224" spans="2:15" x14ac:dyDescent="0.25">
      <c r="B2224" s="1" t="s">
        <v>382</v>
      </c>
      <c r="C2224" s="2" t="s">
        <v>506</v>
      </c>
      <c r="D2224" s="2" t="s">
        <v>515</v>
      </c>
      <c r="E2224" s="2" t="s">
        <v>516</v>
      </c>
      <c r="F2224" s="3">
        <v>45047</v>
      </c>
      <c r="G2224" s="4">
        <f t="shared" si="225"/>
        <v>5</v>
      </c>
      <c r="H2224" s="4">
        <f t="shared" si="226"/>
        <v>2023</v>
      </c>
      <c r="I2224" s="2" t="s">
        <v>4</v>
      </c>
      <c r="J2224" s="2" t="s">
        <v>3017</v>
      </c>
      <c r="K2224" s="2" t="s">
        <v>2447</v>
      </c>
      <c r="L2224" s="2" t="s">
        <v>547</v>
      </c>
      <c r="M2224" s="2" t="s">
        <v>160</v>
      </c>
      <c r="N2224" s="4" t="str">
        <f t="shared" si="227"/>
        <v>GAL</v>
      </c>
      <c r="O2224" s="5">
        <v>60</v>
      </c>
    </row>
    <row r="2225" spans="2:15" x14ac:dyDescent="0.25">
      <c r="B2225" s="1" t="s">
        <v>382</v>
      </c>
      <c r="C2225" s="2" t="s">
        <v>506</v>
      </c>
      <c r="D2225" s="2" t="s">
        <v>515</v>
      </c>
      <c r="E2225" s="2" t="s">
        <v>516</v>
      </c>
      <c r="F2225" s="3">
        <v>45047</v>
      </c>
      <c r="G2225" s="4">
        <f t="shared" si="225"/>
        <v>5</v>
      </c>
      <c r="H2225" s="4">
        <f t="shared" si="226"/>
        <v>2023</v>
      </c>
      <c r="I2225" s="2" t="s">
        <v>4</v>
      </c>
      <c r="J2225" s="2" t="s">
        <v>3017</v>
      </c>
      <c r="K2225" s="2" t="s">
        <v>33</v>
      </c>
      <c r="L2225" s="2" t="s">
        <v>2786</v>
      </c>
      <c r="M2225" s="2" t="s">
        <v>35</v>
      </c>
      <c r="N2225" s="4" t="str">
        <f t="shared" si="227"/>
        <v>GAL</v>
      </c>
      <c r="O2225" s="5">
        <v>60</v>
      </c>
    </row>
    <row r="2226" spans="2:15" x14ac:dyDescent="0.25">
      <c r="B2226" s="1" t="s">
        <v>382</v>
      </c>
      <c r="C2226" s="2" t="s">
        <v>506</v>
      </c>
      <c r="D2226" s="2" t="s">
        <v>507</v>
      </c>
      <c r="E2226" s="2" t="s">
        <v>141</v>
      </c>
      <c r="F2226" s="3">
        <v>45051</v>
      </c>
      <c r="G2226" s="4">
        <f t="shared" si="225"/>
        <v>5</v>
      </c>
      <c r="H2226" s="4">
        <f t="shared" si="226"/>
        <v>2023</v>
      </c>
      <c r="I2226" s="2" t="s">
        <v>4</v>
      </c>
      <c r="J2226" s="2" t="s">
        <v>3018</v>
      </c>
      <c r="K2226" s="2" t="s">
        <v>329</v>
      </c>
      <c r="L2226" s="2" t="s">
        <v>330</v>
      </c>
      <c r="M2226" s="2" t="s">
        <v>119</v>
      </c>
      <c r="N2226" s="4" t="str">
        <f t="shared" si="227"/>
        <v>TON</v>
      </c>
      <c r="O2226" s="5">
        <v>2.5</v>
      </c>
    </row>
    <row r="2227" spans="2:15" x14ac:dyDescent="0.25">
      <c r="B2227" s="1" t="s">
        <v>382</v>
      </c>
      <c r="C2227" s="2" t="s">
        <v>506</v>
      </c>
      <c r="D2227" s="2" t="s">
        <v>1727</v>
      </c>
      <c r="E2227" s="2" t="s">
        <v>141</v>
      </c>
      <c r="F2227" s="3">
        <v>45057</v>
      </c>
      <c r="G2227" s="4">
        <f t="shared" si="225"/>
        <v>5</v>
      </c>
      <c r="H2227" s="4">
        <f t="shared" si="226"/>
        <v>2023</v>
      </c>
      <c r="I2227" s="2" t="s">
        <v>4</v>
      </c>
      <c r="J2227" s="2" t="s">
        <v>3019</v>
      </c>
      <c r="K2227" s="2" t="s">
        <v>1729</v>
      </c>
      <c r="L2227" s="2" t="s">
        <v>3020</v>
      </c>
      <c r="M2227" s="2" t="s">
        <v>1731</v>
      </c>
      <c r="N2227" s="4" t="str">
        <f t="shared" si="227"/>
        <v>GAL</v>
      </c>
      <c r="O2227" s="5">
        <v>180</v>
      </c>
    </row>
    <row r="2228" spans="2:15" x14ac:dyDescent="0.25">
      <c r="B2228" s="6" t="s">
        <v>382</v>
      </c>
      <c r="C2228" s="7" t="s">
        <v>506</v>
      </c>
      <c r="D2228" s="8" t="s">
        <v>1727</v>
      </c>
      <c r="E2228" s="8" t="s">
        <v>141</v>
      </c>
      <c r="F2228" s="12">
        <v>45057</v>
      </c>
      <c r="G2228" s="10">
        <f t="shared" si="225"/>
        <v>5</v>
      </c>
      <c r="H2228" s="10">
        <f t="shared" si="226"/>
        <v>2023</v>
      </c>
      <c r="I2228" s="8" t="s">
        <v>4</v>
      </c>
      <c r="J2228" s="7" t="s">
        <v>3019</v>
      </c>
      <c r="K2228" s="8" t="s">
        <v>1266</v>
      </c>
      <c r="L2228" s="8" t="s">
        <v>3021</v>
      </c>
      <c r="M2228" s="8" t="s">
        <v>191</v>
      </c>
      <c r="N2228" s="10" t="str">
        <f t="shared" si="227"/>
        <v>GAL</v>
      </c>
      <c r="O2228" s="11">
        <v>180</v>
      </c>
    </row>
    <row r="2229" spans="2:15" x14ac:dyDescent="0.25">
      <c r="B2229" s="1" t="s">
        <v>382</v>
      </c>
      <c r="C2229" s="2" t="s">
        <v>506</v>
      </c>
      <c r="D2229" s="2" t="s">
        <v>1727</v>
      </c>
      <c r="E2229" s="2" t="s">
        <v>141</v>
      </c>
      <c r="F2229" s="3">
        <v>45057</v>
      </c>
      <c r="G2229" s="4">
        <f t="shared" si="225"/>
        <v>5</v>
      </c>
      <c r="H2229" s="4">
        <f t="shared" si="226"/>
        <v>2023</v>
      </c>
      <c r="I2229" s="2" t="s">
        <v>4</v>
      </c>
      <c r="J2229" s="2" t="s">
        <v>3019</v>
      </c>
      <c r="K2229" s="2" t="s">
        <v>25</v>
      </c>
      <c r="L2229" s="2" t="s">
        <v>1732</v>
      </c>
      <c r="M2229" s="2" t="s">
        <v>27</v>
      </c>
      <c r="N2229" s="4" t="str">
        <f t="shared" si="227"/>
        <v>GAL</v>
      </c>
      <c r="O2229" s="5">
        <v>180</v>
      </c>
    </row>
    <row r="2230" spans="2:15" x14ac:dyDescent="0.25">
      <c r="B2230" s="1" t="s">
        <v>382</v>
      </c>
      <c r="C2230" s="2" t="s">
        <v>506</v>
      </c>
      <c r="D2230" s="2" t="s">
        <v>515</v>
      </c>
      <c r="E2230" s="2" t="s">
        <v>516</v>
      </c>
      <c r="F2230" s="3">
        <v>45065</v>
      </c>
      <c r="G2230" s="4">
        <f t="shared" si="225"/>
        <v>5</v>
      </c>
      <c r="H2230" s="4">
        <f t="shared" si="226"/>
        <v>2023</v>
      </c>
      <c r="I2230" s="2" t="s">
        <v>4</v>
      </c>
      <c r="J2230" s="2" t="s">
        <v>3022</v>
      </c>
      <c r="K2230" s="2" t="s">
        <v>44</v>
      </c>
      <c r="L2230" s="2" t="s">
        <v>3023</v>
      </c>
      <c r="M2230" s="2" t="s">
        <v>46</v>
      </c>
      <c r="N2230" s="4" t="str">
        <f t="shared" si="227"/>
        <v>GAL</v>
      </c>
      <c r="O2230" s="5">
        <v>60</v>
      </c>
    </row>
    <row r="2231" spans="2:15" x14ac:dyDescent="0.25">
      <c r="B2231" s="1" t="s">
        <v>382</v>
      </c>
      <c r="C2231" s="2" t="s">
        <v>506</v>
      </c>
      <c r="D2231" s="2" t="s">
        <v>515</v>
      </c>
      <c r="E2231" s="2" t="s">
        <v>516</v>
      </c>
      <c r="F2231" s="3">
        <v>45065</v>
      </c>
      <c r="G2231" s="4">
        <f t="shared" si="225"/>
        <v>5</v>
      </c>
      <c r="H2231" s="4">
        <f t="shared" si="226"/>
        <v>2023</v>
      </c>
      <c r="I2231" s="2" t="s">
        <v>4</v>
      </c>
      <c r="J2231" s="2" t="s">
        <v>3022</v>
      </c>
      <c r="K2231" s="2" t="s">
        <v>1266</v>
      </c>
      <c r="L2231" s="2" t="s">
        <v>1267</v>
      </c>
      <c r="M2231" s="2" t="s">
        <v>191</v>
      </c>
      <c r="N2231" s="4" t="str">
        <f t="shared" si="227"/>
        <v>GAL</v>
      </c>
      <c r="O2231" s="5">
        <v>30</v>
      </c>
    </row>
    <row r="2232" spans="2:15" x14ac:dyDescent="0.25">
      <c r="B2232" s="1" t="s">
        <v>382</v>
      </c>
      <c r="C2232" s="2" t="s">
        <v>506</v>
      </c>
      <c r="D2232" s="2" t="s">
        <v>515</v>
      </c>
      <c r="E2232" s="2" t="s">
        <v>516</v>
      </c>
      <c r="F2232" s="3">
        <v>45072</v>
      </c>
      <c r="G2232" s="4">
        <f t="shared" si="225"/>
        <v>5</v>
      </c>
      <c r="H2232" s="4">
        <f t="shared" si="226"/>
        <v>2023</v>
      </c>
      <c r="I2232" s="2" t="s">
        <v>4</v>
      </c>
      <c r="J2232" s="2" t="s">
        <v>3024</v>
      </c>
      <c r="K2232" s="2" t="s">
        <v>642</v>
      </c>
      <c r="L2232" s="2" t="s">
        <v>111</v>
      </c>
      <c r="M2232" s="2" t="s">
        <v>112</v>
      </c>
      <c r="N2232" s="4" t="str">
        <f t="shared" si="227"/>
        <v>GAL</v>
      </c>
      <c r="O2232" s="5">
        <v>240</v>
      </c>
    </row>
    <row r="2233" spans="2:15" x14ac:dyDescent="0.25">
      <c r="B2233" s="1" t="s">
        <v>782</v>
      </c>
      <c r="C2233" s="2" t="s">
        <v>1018</v>
      </c>
      <c r="D2233" s="2" t="s">
        <v>3025</v>
      </c>
      <c r="E2233" s="2" t="s">
        <v>102</v>
      </c>
      <c r="F2233" s="3">
        <v>45061</v>
      </c>
      <c r="G2233" s="4">
        <f t="shared" si="225"/>
        <v>5</v>
      </c>
      <c r="H2233" s="4">
        <f t="shared" si="226"/>
        <v>2023</v>
      </c>
      <c r="I2233" s="2" t="s">
        <v>4</v>
      </c>
      <c r="J2233" s="2" t="s">
        <v>3026</v>
      </c>
      <c r="K2233" s="2" t="s">
        <v>1496</v>
      </c>
      <c r="L2233" s="2" t="s">
        <v>159</v>
      </c>
      <c r="M2233" s="2" t="s">
        <v>160</v>
      </c>
      <c r="N2233" s="4" t="str">
        <f t="shared" si="227"/>
        <v>GAL</v>
      </c>
      <c r="O2233" s="5">
        <v>1500</v>
      </c>
    </row>
    <row r="2234" spans="2:15" x14ac:dyDescent="0.25">
      <c r="B2234" s="1" t="s">
        <v>782</v>
      </c>
      <c r="C2234" s="2" t="s">
        <v>1018</v>
      </c>
      <c r="D2234" s="2" t="s">
        <v>2448</v>
      </c>
      <c r="E2234" s="2" t="s">
        <v>141</v>
      </c>
      <c r="F2234" s="3">
        <v>45062</v>
      </c>
      <c r="G2234" s="4">
        <f t="shared" si="225"/>
        <v>5</v>
      </c>
      <c r="H2234" s="4">
        <f t="shared" si="226"/>
        <v>2023</v>
      </c>
      <c r="I2234" s="2" t="s">
        <v>4</v>
      </c>
      <c r="J2234" s="2" t="s">
        <v>3027</v>
      </c>
      <c r="K2234" s="2" t="s">
        <v>158</v>
      </c>
      <c r="L2234" s="2" t="s">
        <v>159</v>
      </c>
      <c r="M2234" s="2" t="s">
        <v>160</v>
      </c>
      <c r="N2234" s="4" t="str">
        <f t="shared" si="227"/>
        <v>GAL</v>
      </c>
      <c r="O2234" s="5">
        <v>140</v>
      </c>
    </row>
    <row r="2235" spans="2:15" x14ac:dyDescent="0.25">
      <c r="B2235" s="1" t="s">
        <v>782</v>
      </c>
      <c r="C2235" s="2" t="s">
        <v>1018</v>
      </c>
      <c r="D2235" s="2" t="s">
        <v>3025</v>
      </c>
      <c r="E2235" s="2" t="s">
        <v>102</v>
      </c>
      <c r="F2235" s="3">
        <v>45063</v>
      </c>
      <c r="G2235" s="4">
        <f t="shared" si="225"/>
        <v>5</v>
      </c>
      <c r="H2235" s="4">
        <f t="shared" si="226"/>
        <v>2023</v>
      </c>
      <c r="I2235" s="2" t="s">
        <v>4</v>
      </c>
      <c r="J2235" s="2" t="s">
        <v>3028</v>
      </c>
      <c r="K2235" s="2" t="s">
        <v>3029</v>
      </c>
      <c r="L2235" s="2" t="s">
        <v>2454</v>
      </c>
      <c r="M2235" s="2" t="s">
        <v>2455</v>
      </c>
      <c r="N2235" s="4" t="str">
        <f t="shared" si="227"/>
        <v>GAL</v>
      </c>
      <c r="O2235" s="5">
        <v>500</v>
      </c>
    </row>
    <row r="2236" spans="2:15" x14ac:dyDescent="0.25">
      <c r="B2236" s="1" t="s">
        <v>782</v>
      </c>
      <c r="C2236" s="2" t="s">
        <v>1018</v>
      </c>
      <c r="D2236" s="2" t="s">
        <v>2144</v>
      </c>
      <c r="E2236" s="2" t="s">
        <v>3030</v>
      </c>
      <c r="F2236" s="3">
        <v>45065</v>
      </c>
      <c r="G2236" s="4">
        <f t="shared" si="225"/>
        <v>5</v>
      </c>
      <c r="H2236" s="4">
        <f t="shared" si="226"/>
        <v>2023</v>
      </c>
      <c r="I2236" s="2" t="s">
        <v>4</v>
      </c>
      <c r="J2236" s="2" t="s">
        <v>3031</v>
      </c>
      <c r="K2236" s="2" t="s">
        <v>3029</v>
      </c>
      <c r="L2236" s="2" t="s">
        <v>2454</v>
      </c>
      <c r="M2236" s="2" t="s">
        <v>2455</v>
      </c>
      <c r="N2236" s="4" t="str">
        <f t="shared" si="227"/>
        <v>GAL</v>
      </c>
      <c r="O2236" s="5">
        <v>1250</v>
      </c>
    </row>
    <row r="2237" spans="2:15" x14ac:dyDescent="0.25">
      <c r="B2237" s="1" t="s">
        <v>782</v>
      </c>
      <c r="C2237" s="2" t="s">
        <v>1018</v>
      </c>
      <c r="D2237" s="2" t="s">
        <v>2144</v>
      </c>
      <c r="E2237" s="2" t="s">
        <v>3030</v>
      </c>
      <c r="F2237" s="3">
        <v>45065</v>
      </c>
      <c r="G2237" s="4">
        <f t="shared" si="225"/>
        <v>5</v>
      </c>
      <c r="H2237" s="4">
        <f t="shared" si="226"/>
        <v>2023</v>
      </c>
      <c r="I2237" s="2" t="s">
        <v>4</v>
      </c>
      <c r="J2237" s="2" t="s">
        <v>3031</v>
      </c>
      <c r="K2237" s="2" t="s">
        <v>2453</v>
      </c>
      <c r="L2237" s="2" t="s">
        <v>2454</v>
      </c>
      <c r="M2237" s="2" t="s">
        <v>2455</v>
      </c>
      <c r="N2237" s="4" t="str">
        <f t="shared" si="227"/>
        <v>GAL</v>
      </c>
      <c r="O2237" s="5">
        <v>180</v>
      </c>
    </row>
    <row r="2238" spans="2:15" x14ac:dyDescent="0.25">
      <c r="B2238" s="1" t="s">
        <v>782</v>
      </c>
      <c r="C2238" s="2" t="s">
        <v>1018</v>
      </c>
      <c r="D2238" s="2" t="s">
        <v>3032</v>
      </c>
      <c r="E2238" s="2" t="s">
        <v>3033</v>
      </c>
      <c r="F2238" s="3">
        <v>45070</v>
      </c>
      <c r="G2238" s="4">
        <f t="shared" si="225"/>
        <v>5</v>
      </c>
      <c r="H2238" s="4">
        <f t="shared" si="226"/>
        <v>2023</v>
      </c>
      <c r="I2238" s="2" t="s">
        <v>4</v>
      </c>
      <c r="J2238" s="2" t="s">
        <v>3034</v>
      </c>
      <c r="K2238" s="2" t="s">
        <v>1119</v>
      </c>
      <c r="L2238" s="2" t="s">
        <v>1023</v>
      </c>
      <c r="M2238" s="2" t="s">
        <v>1024</v>
      </c>
      <c r="N2238" s="4" t="str">
        <f t="shared" si="227"/>
        <v>GAL</v>
      </c>
      <c r="O2238" s="5">
        <v>60</v>
      </c>
    </row>
    <row r="2239" spans="2:15" x14ac:dyDescent="0.25">
      <c r="B2239" s="1" t="s">
        <v>782</v>
      </c>
      <c r="C2239" s="2" t="s">
        <v>1018</v>
      </c>
      <c r="D2239" s="2" t="s">
        <v>2448</v>
      </c>
      <c r="E2239" s="2" t="s">
        <v>3035</v>
      </c>
      <c r="F2239" s="3">
        <v>45070</v>
      </c>
      <c r="G2239" s="4">
        <f t="shared" si="225"/>
        <v>5</v>
      </c>
      <c r="H2239" s="4">
        <f t="shared" si="226"/>
        <v>2023</v>
      </c>
      <c r="I2239" s="2" t="s">
        <v>4</v>
      </c>
      <c r="J2239" s="2" t="s">
        <v>3036</v>
      </c>
      <c r="K2239" s="2" t="s">
        <v>822</v>
      </c>
      <c r="L2239" s="2" t="s">
        <v>565</v>
      </c>
      <c r="M2239" s="2" t="s">
        <v>21</v>
      </c>
      <c r="N2239" s="4" t="str">
        <f t="shared" si="227"/>
        <v>GAL</v>
      </c>
      <c r="O2239" s="5">
        <v>2000</v>
      </c>
    </row>
    <row r="2240" spans="2:15" x14ac:dyDescent="0.25">
      <c r="B2240" s="1" t="s">
        <v>782</v>
      </c>
      <c r="C2240" s="2" t="s">
        <v>1018</v>
      </c>
      <c r="D2240" s="2" t="s">
        <v>2448</v>
      </c>
      <c r="E2240" s="2" t="s">
        <v>3035</v>
      </c>
      <c r="F2240" s="3">
        <v>45070</v>
      </c>
      <c r="G2240" s="4">
        <f t="shared" si="225"/>
        <v>5</v>
      </c>
      <c r="H2240" s="4">
        <f t="shared" si="226"/>
        <v>2023</v>
      </c>
      <c r="I2240" s="2" t="s">
        <v>4</v>
      </c>
      <c r="J2240" s="2" t="s">
        <v>3036</v>
      </c>
      <c r="K2240" s="2" t="s">
        <v>158</v>
      </c>
      <c r="L2240" s="2" t="s">
        <v>159</v>
      </c>
      <c r="M2240" s="2" t="s">
        <v>160</v>
      </c>
      <c r="N2240" s="4" t="str">
        <f t="shared" si="227"/>
        <v>GAL</v>
      </c>
      <c r="O2240" s="5">
        <v>360</v>
      </c>
    </row>
    <row r="2241" spans="2:15" x14ac:dyDescent="0.25">
      <c r="B2241" s="1" t="s">
        <v>782</v>
      </c>
      <c r="C2241" s="2" t="s">
        <v>1018</v>
      </c>
      <c r="D2241" s="2" t="s">
        <v>2448</v>
      </c>
      <c r="E2241" s="2" t="s">
        <v>3035</v>
      </c>
      <c r="F2241" s="3">
        <v>45071</v>
      </c>
      <c r="G2241" s="4">
        <f t="shared" si="225"/>
        <v>5</v>
      </c>
      <c r="H2241" s="4">
        <f t="shared" si="226"/>
        <v>2023</v>
      </c>
      <c r="I2241" s="2" t="s">
        <v>4</v>
      </c>
      <c r="J2241" s="2" t="s">
        <v>3037</v>
      </c>
      <c r="K2241" s="2" t="s">
        <v>560</v>
      </c>
      <c r="L2241" s="2" t="s">
        <v>602</v>
      </c>
      <c r="M2241" s="2" t="s">
        <v>41</v>
      </c>
      <c r="N2241" s="4" t="str">
        <f t="shared" si="227"/>
        <v>GAL</v>
      </c>
      <c r="O2241" s="5">
        <v>250</v>
      </c>
    </row>
    <row r="2242" spans="2:15" x14ac:dyDescent="0.25">
      <c r="B2242" s="1" t="s">
        <v>782</v>
      </c>
      <c r="C2242" s="2" t="s">
        <v>1018</v>
      </c>
      <c r="D2242" s="2" t="s">
        <v>3038</v>
      </c>
      <c r="E2242" s="2" t="s">
        <v>102</v>
      </c>
      <c r="F2242" s="3">
        <v>45072</v>
      </c>
      <c r="G2242" s="4">
        <f t="shared" si="225"/>
        <v>5</v>
      </c>
      <c r="H2242" s="4">
        <f t="shared" si="226"/>
        <v>2023</v>
      </c>
      <c r="I2242" s="2" t="s">
        <v>4</v>
      </c>
      <c r="J2242" s="2" t="s">
        <v>3039</v>
      </c>
      <c r="K2242" s="2" t="s">
        <v>1643</v>
      </c>
      <c r="L2242" s="2" t="s">
        <v>1644</v>
      </c>
      <c r="M2242" s="2" t="s">
        <v>46</v>
      </c>
      <c r="N2242" s="4" t="str">
        <f t="shared" si="227"/>
        <v>GAL</v>
      </c>
      <c r="O2242" s="5">
        <v>5</v>
      </c>
    </row>
    <row r="2243" spans="2:15" x14ac:dyDescent="0.25">
      <c r="B2243" s="1" t="s">
        <v>782</v>
      </c>
      <c r="C2243" s="2" t="s">
        <v>1018</v>
      </c>
      <c r="D2243" s="2" t="s">
        <v>3038</v>
      </c>
      <c r="E2243" s="2" t="s">
        <v>102</v>
      </c>
      <c r="F2243" s="3">
        <v>45072</v>
      </c>
      <c r="G2243" s="4">
        <f t="shared" ref="G2243:G2306" si="228">+MONTH(F2243)</f>
        <v>5</v>
      </c>
      <c r="H2243" s="4">
        <f t="shared" ref="H2243:H2306" si="229">+YEAR(F2243)</f>
        <v>2023</v>
      </c>
      <c r="I2243" s="2" t="s">
        <v>4</v>
      </c>
      <c r="J2243" s="2" t="s">
        <v>3039</v>
      </c>
      <c r="K2243" s="2" t="s">
        <v>158</v>
      </c>
      <c r="L2243" s="2" t="s">
        <v>159</v>
      </c>
      <c r="M2243" s="2" t="s">
        <v>160</v>
      </c>
      <c r="N2243" s="4" t="str">
        <f t="shared" ref="N2243:N2306" si="230">+LEFT(M2243,3)</f>
        <v>GAL</v>
      </c>
      <c r="O2243" s="5">
        <v>5</v>
      </c>
    </row>
    <row r="2244" spans="2:15" x14ac:dyDescent="0.25">
      <c r="B2244" s="1" t="s">
        <v>782</v>
      </c>
      <c r="C2244" s="2" t="s">
        <v>1018</v>
      </c>
      <c r="D2244" s="2" t="s">
        <v>2448</v>
      </c>
      <c r="E2244" s="2" t="s">
        <v>3040</v>
      </c>
      <c r="F2244" s="3">
        <v>45072</v>
      </c>
      <c r="G2244" s="4">
        <f t="shared" si="228"/>
        <v>5</v>
      </c>
      <c r="H2244" s="4">
        <f t="shared" si="229"/>
        <v>2023</v>
      </c>
      <c r="I2244" s="2" t="s">
        <v>4</v>
      </c>
      <c r="J2244" s="2" t="s">
        <v>3041</v>
      </c>
      <c r="K2244" s="2" t="s">
        <v>822</v>
      </c>
      <c r="L2244" s="2" t="s">
        <v>565</v>
      </c>
      <c r="M2244" s="2" t="s">
        <v>21</v>
      </c>
      <c r="N2244" s="4" t="str">
        <f t="shared" si="230"/>
        <v>GAL</v>
      </c>
      <c r="O2244" s="5">
        <v>2500</v>
      </c>
    </row>
    <row r="2245" spans="2:15" x14ac:dyDescent="0.25">
      <c r="B2245" s="1" t="s">
        <v>782</v>
      </c>
      <c r="C2245" s="2" t="s">
        <v>1018</v>
      </c>
      <c r="D2245" s="2" t="s">
        <v>3042</v>
      </c>
      <c r="E2245" s="2" t="s">
        <v>3043</v>
      </c>
      <c r="F2245" s="3">
        <v>45072</v>
      </c>
      <c r="G2245" s="4">
        <f t="shared" si="228"/>
        <v>5</v>
      </c>
      <c r="H2245" s="4">
        <f t="shared" si="229"/>
        <v>2023</v>
      </c>
      <c r="I2245" s="2" t="s">
        <v>4</v>
      </c>
      <c r="J2245" s="2" t="s">
        <v>3044</v>
      </c>
      <c r="K2245" s="2" t="s">
        <v>1643</v>
      </c>
      <c r="L2245" s="2" t="s">
        <v>1644</v>
      </c>
      <c r="M2245" s="2" t="s">
        <v>46</v>
      </c>
      <c r="N2245" s="4" t="str">
        <f t="shared" si="230"/>
        <v>GAL</v>
      </c>
      <c r="O2245" s="5">
        <v>5</v>
      </c>
    </row>
    <row r="2246" spans="2:15" x14ac:dyDescent="0.25">
      <c r="B2246" s="1" t="s">
        <v>782</v>
      </c>
      <c r="C2246" s="2" t="s">
        <v>1018</v>
      </c>
      <c r="D2246" s="2" t="s">
        <v>3042</v>
      </c>
      <c r="E2246" s="2" t="s">
        <v>3043</v>
      </c>
      <c r="F2246" s="3">
        <v>45072</v>
      </c>
      <c r="G2246" s="4">
        <f t="shared" si="228"/>
        <v>5</v>
      </c>
      <c r="H2246" s="4">
        <f t="shared" si="229"/>
        <v>2023</v>
      </c>
      <c r="I2246" s="2" t="s">
        <v>4</v>
      </c>
      <c r="J2246" s="2" t="s">
        <v>3044</v>
      </c>
      <c r="K2246" s="2" t="s">
        <v>158</v>
      </c>
      <c r="L2246" s="2" t="s">
        <v>159</v>
      </c>
      <c r="M2246" s="2" t="s">
        <v>160</v>
      </c>
      <c r="N2246" s="4" t="str">
        <f t="shared" si="230"/>
        <v>GAL</v>
      </c>
      <c r="O2246" s="5">
        <v>5</v>
      </c>
    </row>
    <row r="2247" spans="2:15" x14ac:dyDescent="0.25">
      <c r="B2247" s="1" t="s">
        <v>782</v>
      </c>
      <c r="C2247" s="2" t="s">
        <v>1018</v>
      </c>
      <c r="D2247" s="2" t="s">
        <v>3038</v>
      </c>
      <c r="E2247" s="2" t="s">
        <v>102</v>
      </c>
      <c r="F2247" s="3">
        <v>45077</v>
      </c>
      <c r="G2247" s="4">
        <f t="shared" si="228"/>
        <v>5</v>
      </c>
      <c r="H2247" s="4">
        <f t="shared" si="229"/>
        <v>2023</v>
      </c>
      <c r="I2247" s="2" t="s">
        <v>4</v>
      </c>
      <c r="J2247" s="2" t="s">
        <v>3045</v>
      </c>
      <c r="K2247" s="2" t="s">
        <v>551</v>
      </c>
      <c r="L2247" s="2" t="s">
        <v>2426</v>
      </c>
      <c r="M2247" s="2" t="s">
        <v>553</v>
      </c>
      <c r="N2247" s="4" t="str">
        <f t="shared" si="230"/>
        <v>GAL</v>
      </c>
      <c r="O2247" s="5">
        <v>5</v>
      </c>
    </row>
    <row r="2248" spans="2:15" x14ac:dyDescent="0.25">
      <c r="B2248" s="1" t="s">
        <v>1742</v>
      </c>
      <c r="C2248" s="2" t="s">
        <v>1025</v>
      </c>
      <c r="D2248" s="2" t="s">
        <v>628</v>
      </c>
      <c r="E2248" s="2" t="s">
        <v>3046</v>
      </c>
      <c r="F2248" s="3">
        <v>45054</v>
      </c>
      <c r="G2248" s="4">
        <f t="shared" si="228"/>
        <v>5</v>
      </c>
      <c r="H2248" s="4">
        <f t="shared" si="229"/>
        <v>2023</v>
      </c>
      <c r="I2248" s="2" t="s">
        <v>4</v>
      </c>
      <c r="J2248" s="2" t="s">
        <v>3047</v>
      </c>
      <c r="K2248" s="2" t="s">
        <v>560</v>
      </c>
      <c r="L2248" s="2" t="s">
        <v>602</v>
      </c>
      <c r="M2248" s="2" t="s">
        <v>41</v>
      </c>
      <c r="N2248" s="4" t="str">
        <f t="shared" si="230"/>
        <v>GAL</v>
      </c>
      <c r="O2248" s="5">
        <v>3000</v>
      </c>
    </row>
    <row r="2249" spans="2:15" x14ac:dyDescent="0.25">
      <c r="B2249" s="1" t="s">
        <v>1742</v>
      </c>
      <c r="C2249" s="2" t="s">
        <v>1025</v>
      </c>
      <c r="D2249" s="2" t="s">
        <v>3048</v>
      </c>
      <c r="E2249" s="2" t="s">
        <v>102</v>
      </c>
      <c r="F2249" s="3">
        <v>45055</v>
      </c>
      <c r="G2249" s="4">
        <f t="shared" si="228"/>
        <v>5</v>
      </c>
      <c r="H2249" s="4">
        <f t="shared" si="229"/>
        <v>2023</v>
      </c>
      <c r="I2249" s="2" t="s">
        <v>4</v>
      </c>
      <c r="J2249" s="2" t="s">
        <v>3049</v>
      </c>
      <c r="K2249" s="2" t="s">
        <v>158</v>
      </c>
      <c r="L2249" s="2" t="s">
        <v>159</v>
      </c>
      <c r="M2249" s="2" t="s">
        <v>160</v>
      </c>
      <c r="N2249" s="4" t="str">
        <f t="shared" si="230"/>
        <v>GAL</v>
      </c>
      <c r="O2249" s="5">
        <v>180</v>
      </c>
    </row>
    <row r="2250" spans="2:15" x14ac:dyDescent="0.25">
      <c r="B2250" s="1" t="s">
        <v>1742</v>
      </c>
      <c r="C2250" s="2" t="s">
        <v>1025</v>
      </c>
      <c r="D2250" s="2" t="s">
        <v>628</v>
      </c>
      <c r="E2250" s="2" t="s">
        <v>3050</v>
      </c>
      <c r="F2250" s="3">
        <v>45056</v>
      </c>
      <c r="G2250" s="4">
        <f t="shared" si="228"/>
        <v>5</v>
      </c>
      <c r="H2250" s="4">
        <f t="shared" si="229"/>
        <v>2023</v>
      </c>
      <c r="I2250" s="2" t="s">
        <v>4</v>
      </c>
      <c r="J2250" s="2" t="s">
        <v>3051</v>
      </c>
      <c r="K2250" s="2" t="s">
        <v>3052</v>
      </c>
      <c r="L2250" s="2" t="s">
        <v>3053</v>
      </c>
      <c r="M2250" s="2" t="s">
        <v>119</v>
      </c>
      <c r="N2250" s="4" t="str">
        <f t="shared" si="230"/>
        <v>TON</v>
      </c>
      <c r="O2250" s="5">
        <v>1.25</v>
      </c>
    </row>
    <row r="2251" spans="2:15" x14ac:dyDescent="0.25">
      <c r="B2251" s="1" t="s">
        <v>645</v>
      </c>
      <c r="C2251" s="2" t="s">
        <v>1025</v>
      </c>
      <c r="D2251" s="2" t="s">
        <v>2079</v>
      </c>
      <c r="E2251" s="2" t="s">
        <v>1402</v>
      </c>
      <c r="F2251" s="3">
        <v>45057</v>
      </c>
      <c r="G2251" s="4">
        <f t="shared" si="228"/>
        <v>5</v>
      </c>
      <c r="H2251" s="4">
        <f t="shared" si="229"/>
        <v>2023</v>
      </c>
      <c r="I2251" s="2" t="s">
        <v>4</v>
      </c>
      <c r="J2251" s="2" t="s">
        <v>3054</v>
      </c>
      <c r="K2251" s="2" t="s">
        <v>609</v>
      </c>
      <c r="L2251" s="2" t="s">
        <v>610</v>
      </c>
      <c r="M2251" s="2" t="s">
        <v>611</v>
      </c>
      <c r="N2251" s="4" t="str">
        <f t="shared" si="230"/>
        <v>GAL</v>
      </c>
      <c r="O2251" s="5">
        <v>180</v>
      </c>
    </row>
    <row r="2252" spans="2:15" x14ac:dyDescent="0.25">
      <c r="B2252" s="6" t="s">
        <v>1742</v>
      </c>
      <c r="C2252" s="7" t="s">
        <v>1025</v>
      </c>
      <c r="D2252" s="8" t="s">
        <v>2478</v>
      </c>
      <c r="E2252" s="8" t="s">
        <v>124</v>
      </c>
      <c r="F2252" s="12">
        <v>45058</v>
      </c>
      <c r="G2252" s="10">
        <f t="shared" si="228"/>
        <v>5</v>
      </c>
      <c r="H2252" s="10">
        <f t="shared" si="229"/>
        <v>2023</v>
      </c>
      <c r="I2252" s="8" t="s">
        <v>4</v>
      </c>
      <c r="J2252" s="7" t="s">
        <v>3055</v>
      </c>
      <c r="K2252" s="8" t="s">
        <v>2486</v>
      </c>
      <c r="L2252" s="8" t="s">
        <v>2487</v>
      </c>
      <c r="M2252" s="8" t="s">
        <v>119</v>
      </c>
      <c r="N2252" s="10" t="str">
        <f t="shared" si="230"/>
        <v>TON</v>
      </c>
      <c r="O2252" s="11">
        <v>9.0150000000000006</v>
      </c>
    </row>
    <row r="2253" spans="2:15" x14ac:dyDescent="0.25">
      <c r="B2253" s="1" t="s">
        <v>1742</v>
      </c>
      <c r="C2253" s="2" t="s">
        <v>1025</v>
      </c>
      <c r="D2253" s="2" t="s">
        <v>496</v>
      </c>
      <c r="E2253" s="2" t="s">
        <v>3056</v>
      </c>
      <c r="F2253" s="3">
        <v>45063</v>
      </c>
      <c r="G2253" s="4">
        <f t="shared" si="228"/>
        <v>5</v>
      </c>
      <c r="H2253" s="4">
        <f t="shared" si="229"/>
        <v>2023</v>
      </c>
      <c r="I2253" s="2" t="s">
        <v>4</v>
      </c>
      <c r="J2253" s="2" t="s">
        <v>3057</v>
      </c>
      <c r="K2253" s="2" t="s">
        <v>551</v>
      </c>
      <c r="L2253" s="2" t="s">
        <v>2426</v>
      </c>
      <c r="M2253" s="2" t="s">
        <v>553</v>
      </c>
      <c r="N2253" s="4" t="str">
        <f t="shared" si="230"/>
        <v>GAL</v>
      </c>
      <c r="O2253" s="5">
        <v>2.5</v>
      </c>
    </row>
    <row r="2254" spans="2:15" x14ac:dyDescent="0.25">
      <c r="B2254" s="1" t="s">
        <v>1742</v>
      </c>
      <c r="C2254" s="2" t="s">
        <v>1025</v>
      </c>
      <c r="D2254" s="2" t="s">
        <v>496</v>
      </c>
      <c r="E2254" s="2" t="s">
        <v>3056</v>
      </c>
      <c r="F2254" s="3">
        <v>45063</v>
      </c>
      <c r="G2254" s="4">
        <f t="shared" si="228"/>
        <v>5</v>
      </c>
      <c r="H2254" s="4">
        <f t="shared" si="229"/>
        <v>2023</v>
      </c>
      <c r="I2254" s="2" t="s">
        <v>4</v>
      </c>
      <c r="J2254" s="2" t="s">
        <v>3057</v>
      </c>
      <c r="K2254" s="2" t="s">
        <v>158</v>
      </c>
      <c r="L2254" s="2" t="s">
        <v>159</v>
      </c>
      <c r="M2254" s="2" t="s">
        <v>160</v>
      </c>
      <c r="N2254" s="4" t="str">
        <f t="shared" si="230"/>
        <v>GAL</v>
      </c>
      <c r="O2254" s="5">
        <v>2.5</v>
      </c>
    </row>
    <row r="2255" spans="2:15" x14ac:dyDescent="0.25">
      <c r="B2255" s="6" t="s">
        <v>1742</v>
      </c>
      <c r="C2255" s="7" t="s">
        <v>1025</v>
      </c>
      <c r="D2255" s="8" t="s">
        <v>496</v>
      </c>
      <c r="E2255" s="8" t="s">
        <v>497</v>
      </c>
      <c r="F2255" s="12">
        <v>45077</v>
      </c>
      <c r="G2255" s="10">
        <f t="shared" si="228"/>
        <v>5</v>
      </c>
      <c r="H2255" s="10">
        <f t="shared" si="229"/>
        <v>2023</v>
      </c>
      <c r="I2255" s="8" t="s">
        <v>4</v>
      </c>
      <c r="J2255" s="7" t="s">
        <v>3058</v>
      </c>
      <c r="K2255" s="8" t="s">
        <v>2484</v>
      </c>
      <c r="L2255" s="8" t="s">
        <v>99</v>
      </c>
      <c r="M2255" s="8" t="s">
        <v>100</v>
      </c>
      <c r="N2255" s="10" t="str">
        <f t="shared" si="230"/>
        <v>GAL</v>
      </c>
      <c r="O2255" s="11">
        <v>250</v>
      </c>
    </row>
    <row r="2256" spans="2:15" x14ac:dyDescent="0.25">
      <c r="B2256" s="1" t="s">
        <v>1742</v>
      </c>
      <c r="C2256" s="2" t="s">
        <v>1025</v>
      </c>
      <c r="D2256" s="2" t="s">
        <v>2144</v>
      </c>
      <c r="E2256" s="2" t="s">
        <v>2524</v>
      </c>
      <c r="F2256" s="3">
        <v>45077</v>
      </c>
      <c r="G2256" s="4">
        <f t="shared" si="228"/>
        <v>5</v>
      </c>
      <c r="H2256" s="4">
        <f t="shared" si="229"/>
        <v>2023</v>
      </c>
      <c r="I2256" s="2" t="s">
        <v>4</v>
      </c>
      <c r="J2256" s="2" t="s">
        <v>3059</v>
      </c>
      <c r="K2256" s="2" t="s">
        <v>2147</v>
      </c>
      <c r="L2256" s="2" t="s">
        <v>2148</v>
      </c>
      <c r="M2256" s="2" t="s">
        <v>41</v>
      </c>
      <c r="N2256" s="4" t="str">
        <f t="shared" si="230"/>
        <v>GAL</v>
      </c>
      <c r="O2256" s="5">
        <v>720</v>
      </c>
    </row>
    <row r="2257" spans="2:15" x14ac:dyDescent="0.25">
      <c r="B2257" s="1" t="s">
        <v>1410</v>
      </c>
      <c r="C2257" s="2" t="s">
        <v>525</v>
      </c>
      <c r="D2257" s="2" t="s">
        <v>628</v>
      </c>
      <c r="E2257" s="2" t="s">
        <v>3060</v>
      </c>
      <c r="F2257" s="3">
        <v>45047</v>
      </c>
      <c r="G2257" s="4">
        <f t="shared" si="228"/>
        <v>5</v>
      </c>
      <c r="H2257" s="4">
        <f t="shared" si="229"/>
        <v>2023</v>
      </c>
      <c r="I2257" s="2" t="s">
        <v>4</v>
      </c>
      <c r="J2257" s="2" t="s">
        <v>3061</v>
      </c>
      <c r="K2257" s="2" t="s">
        <v>2493</v>
      </c>
      <c r="L2257" s="2" t="s">
        <v>2494</v>
      </c>
      <c r="M2257" s="2" t="s">
        <v>119</v>
      </c>
      <c r="N2257" s="4" t="str">
        <f t="shared" si="230"/>
        <v>TON</v>
      </c>
      <c r="O2257" s="5">
        <v>1.25</v>
      </c>
    </row>
    <row r="2258" spans="2:15" x14ac:dyDescent="0.25">
      <c r="B2258" s="1" t="s">
        <v>1410</v>
      </c>
      <c r="C2258" s="2" t="s">
        <v>525</v>
      </c>
      <c r="D2258" s="2" t="s">
        <v>124</v>
      </c>
      <c r="E2258" s="2" t="s">
        <v>526</v>
      </c>
      <c r="F2258" s="3">
        <v>45049</v>
      </c>
      <c r="G2258" s="4">
        <f t="shared" si="228"/>
        <v>5</v>
      </c>
      <c r="H2258" s="4">
        <f t="shared" si="229"/>
        <v>2023</v>
      </c>
      <c r="I2258" s="2" t="s">
        <v>4</v>
      </c>
      <c r="J2258" s="2" t="s">
        <v>3062</v>
      </c>
      <c r="K2258" s="2" t="s">
        <v>2493</v>
      </c>
      <c r="L2258" s="2" t="s">
        <v>2494</v>
      </c>
      <c r="M2258" s="2" t="s">
        <v>119</v>
      </c>
      <c r="N2258" s="4" t="str">
        <f t="shared" si="230"/>
        <v>TON</v>
      </c>
      <c r="O2258" s="5">
        <v>6.125</v>
      </c>
    </row>
    <row r="2259" spans="2:15" x14ac:dyDescent="0.25">
      <c r="B2259" s="1" t="s">
        <v>1410</v>
      </c>
      <c r="C2259" s="2" t="s">
        <v>525</v>
      </c>
      <c r="D2259" s="2" t="s">
        <v>507</v>
      </c>
      <c r="E2259" s="2" t="s">
        <v>508</v>
      </c>
      <c r="F2259" s="3">
        <v>45054</v>
      </c>
      <c r="G2259" s="4">
        <f t="shared" si="228"/>
        <v>5</v>
      </c>
      <c r="H2259" s="4">
        <f t="shared" si="229"/>
        <v>2023</v>
      </c>
      <c r="I2259" s="2" t="s">
        <v>4</v>
      </c>
      <c r="J2259" s="2" t="s">
        <v>3063</v>
      </c>
      <c r="K2259" s="2" t="s">
        <v>513</v>
      </c>
      <c r="L2259" s="2" t="s">
        <v>514</v>
      </c>
      <c r="M2259" s="2" t="s">
        <v>119</v>
      </c>
      <c r="N2259" s="4" t="str">
        <f t="shared" si="230"/>
        <v>TON</v>
      </c>
      <c r="O2259" s="5">
        <v>1.25</v>
      </c>
    </row>
    <row r="2260" spans="2:15" x14ac:dyDescent="0.25">
      <c r="B2260" s="1" t="s">
        <v>1410</v>
      </c>
      <c r="C2260" s="2" t="s">
        <v>525</v>
      </c>
      <c r="D2260" s="2" t="s">
        <v>124</v>
      </c>
      <c r="E2260" s="2" t="s">
        <v>526</v>
      </c>
      <c r="F2260" s="3">
        <v>45058</v>
      </c>
      <c r="G2260" s="4">
        <f t="shared" si="228"/>
        <v>5</v>
      </c>
      <c r="H2260" s="4">
        <f t="shared" si="229"/>
        <v>2023</v>
      </c>
      <c r="I2260" s="2" t="s">
        <v>4</v>
      </c>
      <c r="J2260" s="2" t="s">
        <v>3064</v>
      </c>
      <c r="K2260" s="2" t="s">
        <v>865</v>
      </c>
      <c r="L2260" s="2" t="s">
        <v>866</v>
      </c>
      <c r="M2260" s="2" t="s">
        <v>119</v>
      </c>
      <c r="N2260" s="4" t="str">
        <f t="shared" si="230"/>
        <v>TON</v>
      </c>
      <c r="O2260" s="5">
        <v>12.0505</v>
      </c>
    </row>
    <row r="2261" spans="2:15" x14ac:dyDescent="0.25">
      <c r="B2261" s="1" t="s">
        <v>1410</v>
      </c>
      <c r="C2261" s="2" t="s">
        <v>525</v>
      </c>
      <c r="D2261" s="2" t="s">
        <v>124</v>
      </c>
      <c r="E2261" s="2" t="s">
        <v>526</v>
      </c>
      <c r="F2261" s="3">
        <v>45063</v>
      </c>
      <c r="G2261" s="4">
        <f t="shared" si="228"/>
        <v>5</v>
      </c>
      <c r="H2261" s="4">
        <f t="shared" si="229"/>
        <v>2023</v>
      </c>
      <c r="I2261" s="2" t="s">
        <v>4</v>
      </c>
      <c r="J2261" s="2" t="s">
        <v>3065</v>
      </c>
      <c r="K2261" s="2" t="s">
        <v>2493</v>
      </c>
      <c r="L2261" s="2" t="s">
        <v>2494</v>
      </c>
      <c r="M2261" s="2" t="s">
        <v>119</v>
      </c>
      <c r="N2261" s="4" t="str">
        <f t="shared" si="230"/>
        <v>TON</v>
      </c>
      <c r="O2261" s="5">
        <v>6.1524999999999999</v>
      </c>
    </row>
    <row r="2262" spans="2:15" x14ac:dyDescent="0.25">
      <c r="B2262" s="1" t="s">
        <v>1410</v>
      </c>
      <c r="C2262" s="2" t="s">
        <v>525</v>
      </c>
      <c r="D2262" s="2" t="s">
        <v>124</v>
      </c>
      <c r="E2262" s="2" t="s">
        <v>526</v>
      </c>
      <c r="F2262" s="3">
        <v>45064</v>
      </c>
      <c r="G2262" s="4">
        <f t="shared" si="228"/>
        <v>5</v>
      </c>
      <c r="H2262" s="4">
        <f t="shared" si="229"/>
        <v>2023</v>
      </c>
      <c r="I2262" s="2" t="s">
        <v>4</v>
      </c>
      <c r="J2262" s="2" t="s">
        <v>3066</v>
      </c>
      <c r="K2262" s="2" t="s">
        <v>1031</v>
      </c>
      <c r="L2262" s="2" t="s">
        <v>1032</v>
      </c>
      <c r="M2262" s="2" t="s">
        <v>119</v>
      </c>
      <c r="N2262" s="4" t="str">
        <f t="shared" si="230"/>
        <v>TON</v>
      </c>
      <c r="O2262" s="5">
        <v>10</v>
      </c>
    </row>
    <row r="2263" spans="2:15" x14ac:dyDescent="0.25">
      <c r="B2263" s="1" t="s">
        <v>1410</v>
      </c>
      <c r="C2263" s="2" t="s">
        <v>525</v>
      </c>
      <c r="D2263" s="2" t="s">
        <v>507</v>
      </c>
      <c r="E2263" s="2" t="s">
        <v>508</v>
      </c>
      <c r="F2263" s="3">
        <v>45069</v>
      </c>
      <c r="G2263" s="4">
        <f t="shared" si="228"/>
        <v>5</v>
      </c>
      <c r="H2263" s="4">
        <f t="shared" si="229"/>
        <v>2023</v>
      </c>
      <c r="I2263" s="2" t="s">
        <v>4</v>
      </c>
      <c r="J2263" s="2" t="s">
        <v>3067</v>
      </c>
      <c r="K2263" s="2" t="s">
        <v>513</v>
      </c>
      <c r="L2263" s="2" t="s">
        <v>514</v>
      </c>
      <c r="M2263" s="2" t="s">
        <v>119</v>
      </c>
      <c r="N2263" s="4" t="str">
        <f t="shared" si="230"/>
        <v>TON</v>
      </c>
      <c r="O2263" s="5">
        <v>1.25</v>
      </c>
    </row>
    <row r="2264" spans="2:15" x14ac:dyDescent="0.25">
      <c r="B2264" s="1" t="s">
        <v>1410</v>
      </c>
      <c r="C2264" s="2" t="s">
        <v>525</v>
      </c>
      <c r="D2264" s="2" t="s">
        <v>1956</v>
      </c>
      <c r="E2264" s="2" t="s">
        <v>102</v>
      </c>
      <c r="F2264" s="3">
        <v>45072</v>
      </c>
      <c r="G2264" s="4">
        <f t="shared" si="228"/>
        <v>5</v>
      </c>
      <c r="H2264" s="4">
        <f t="shared" si="229"/>
        <v>2023</v>
      </c>
      <c r="I2264" s="2" t="s">
        <v>4</v>
      </c>
      <c r="J2264" s="2" t="s">
        <v>3068</v>
      </c>
      <c r="K2264" s="2" t="s">
        <v>122</v>
      </c>
      <c r="L2264" s="2" t="s">
        <v>123</v>
      </c>
      <c r="M2264" s="2" t="s">
        <v>119</v>
      </c>
      <c r="N2264" s="4" t="str">
        <f t="shared" si="230"/>
        <v>TON</v>
      </c>
      <c r="O2264" s="5">
        <v>0.45</v>
      </c>
    </row>
    <row r="2265" spans="2:15" x14ac:dyDescent="0.25">
      <c r="B2265" s="1" t="s">
        <v>1410</v>
      </c>
      <c r="C2265" s="2" t="s">
        <v>525</v>
      </c>
      <c r="D2265" s="2" t="s">
        <v>507</v>
      </c>
      <c r="E2265" s="2" t="s">
        <v>508</v>
      </c>
      <c r="F2265" s="3">
        <v>45077</v>
      </c>
      <c r="G2265" s="4">
        <f t="shared" si="228"/>
        <v>5</v>
      </c>
      <c r="H2265" s="4">
        <f t="shared" si="229"/>
        <v>2023</v>
      </c>
      <c r="I2265" s="2" t="s">
        <v>4</v>
      </c>
      <c r="J2265" s="2" t="s">
        <v>3069</v>
      </c>
      <c r="K2265" s="2" t="s">
        <v>164</v>
      </c>
      <c r="L2265" s="2" t="s">
        <v>165</v>
      </c>
      <c r="M2265" s="2" t="s">
        <v>166</v>
      </c>
      <c r="N2265" s="4" t="str">
        <f t="shared" si="230"/>
        <v>GAL</v>
      </c>
      <c r="O2265" s="5">
        <v>30</v>
      </c>
    </row>
    <row r="2266" spans="2:15" x14ac:dyDescent="0.25">
      <c r="B2266" s="6" t="s">
        <v>645</v>
      </c>
      <c r="C2266" s="7" t="s">
        <v>533</v>
      </c>
      <c r="D2266" s="8" t="s">
        <v>557</v>
      </c>
      <c r="E2266" s="8" t="s">
        <v>3070</v>
      </c>
      <c r="F2266" s="12">
        <v>45050</v>
      </c>
      <c r="G2266" s="10">
        <f t="shared" si="228"/>
        <v>5</v>
      </c>
      <c r="H2266" s="10">
        <f t="shared" si="229"/>
        <v>2023</v>
      </c>
      <c r="I2266" s="8" t="s">
        <v>4</v>
      </c>
      <c r="J2266" s="7" t="s">
        <v>3071</v>
      </c>
      <c r="K2266" s="8" t="s">
        <v>2823</v>
      </c>
      <c r="L2266" s="8" t="s">
        <v>2824</v>
      </c>
      <c r="M2266" s="8" t="s">
        <v>27</v>
      </c>
      <c r="N2266" s="10" t="str">
        <f t="shared" si="230"/>
        <v>GAL</v>
      </c>
      <c r="O2266" s="11">
        <v>250</v>
      </c>
    </row>
    <row r="2267" spans="2:15" x14ac:dyDescent="0.25">
      <c r="B2267" s="1" t="s">
        <v>1050</v>
      </c>
      <c r="C2267" s="2" t="s">
        <v>533</v>
      </c>
      <c r="D2267" s="2" t="s">
        <v>2144</v>
      </c>
      <c r="E2267" s="2" t="s">
        <v>2145</v>
      </c>
      <c r="F2267" s="3">
        <v>45051</v>
      </c>
      <c r="G2267" s="4">
        <f t="shared" si="228"/>
        <v>5</v>
      </c>
      <c r="H2267" s="4">
        <f t="shared" si="229"/>
        <v>2023</v>
      </c>
      <c r="I2267" s="2" t="s">
        <v>4</v>
      </c>
      <c r="J2267" s="2" t="s">
        <v>3072</v>
      </c>
      <c r="K2267" s="2" t="s">
        <v>2147</v>
      </c>
      <c r="L2267" s="2" t="s">
        <v>2148</v>
      </c>
      <c r="M2267" s="2" t="s">
        <v>41</v>
      </c>
      <c r="N2267" s="4" t="str">
        <f t="shared" si="230"/>
        <v>GAL</v>
      </c>
      <c r="O2267" s="5">
        <v>720</v>
      </c>
    </row>
    <row r="2268" spans="2:15" x14ac:dyDescent="0.25">
      <c r="B2268" s="1" t="s">
        <v>1050</v>
      </c>
      <c r="C2268" s="2" t="s">
        <v>533</v>
      </c>
      <c r="D2268" s="2" t="s">
        <v>557</v>
      </c>
      <c r="E2268" s="2" t="s">
        <v>3073</v>
      </c>
      <c r="F2268" s="3">
        <v>45056</v>
      </c>
      <c r="G2268" s="4">
        <f t="shared" si="228"/>
        <v>5</v>
      </c>
      <c r="H2268" s="4">
        <f t="shared" si="229"/>
        <v>2023</v>
      </c>
      <c r="I2268" s="2" t="s">
        <v>4</v>
      </c>
      <c r="J2268" s="2" t="s">
        <v>3074</v>
      </c>
      <c r="K2268" s="2" t="s">
        <v>3075</v>
      </c>
      <c r="L2268" s="2" t="s">
        <v>3076</v>
      </c>
      <c r="M2268" s="2" t="s">
        <v>106</v>
      </c>
      <c r="N2268" s="4" t="str">
        <f t="shared" si="230"/>
        <v>LBS</v>
      </c>
      <c r="O2268" s="5">
        <v>1800</v>
      </c>
    </row>
    <row r="2269" spans="2:15" x14ac:dyDescent="0.25">
      <c r="B2269" s="1" t="s">
        <v>645</v>
      </c>
      <c r="C2269" s="2" t="s">
        <v>533</v>
      </c>
      <c r="D2269" s="2" t="s">
        <v>557</v>
      </c>
      <c r="E2269" s="2" t="s">
        <v>1090</v>
      </c>
      <c r="F2269" s="3">
        <v>45058</v>
      </c>
      <c r="G2269" s="4">
        <f t="shared" si="228"/>
        <v>5</v>
      </c>
      <c r="H2269" s="4">
        <f t="shared" si="229"/>
        <v>2023</v>
      </c>
      <c r="I2269" s="2" t="s">
        <v>4</v>
      </c>
      <c r="J2269" s="2" t="s">
        <v>3077</v>
      </c>
      <c r="K2269" s="2" t="s">
        <v>3078</v>
      </c>
      <c r="L2269" s="2" t="s">
        <v>3079</v>
      </c>
      <c r="M2269" s="2" t="s">
        <v>13</v>
      </c>
      <c r="N2269" s="4" t="str">
        <f t="shared" si="230"/>
        <v>GAL</v>
      </c>
      <c r="O2269" s="5">
        <v>180</v>
      </c>
    </row>
    <row r="2270" spans="2:15" x14ac:dyDescent="0.25">
      <c r="B2270" s="1" t="s">
        <v>1050</v>
      </c>
      <c r="C2270" s="2" t="s">
        <v>533</v>
      </c>
      <c r="D2270" s="2" t="s">
        <v>557</v>
      </c>
      <c r="E2270" s="2" t="s">
        <v>3080</v>
      </c>
      <c r="F2270" s="3">
        <v>45058</v>
      </c>
      <c r="G2270" s="4">
        <f t="shared" si="228"/>
        <v>5</v>
      </c>
      <c r="H2270" s="4">
        <f t="shared" si="229"/>
        <v>2023</v>
      </c>
      <c r="I2270" s="2" t="s">
        <v>4</v>
      </c>
      <c r="J2270" s="2" t="s">
        <v>3081</v>
      </c>
      <c r="K2270" s="2" t="s">
        <v>3078</v>
      </c>
      <c r="L2270" s="2" t="s">
        <v>3079</v>
      </c>
      <c r="M2270" s="2" t="s">
        <v>13</v>
      </c>
      <c r="N2270" s="4" t="str">
        <f t="shared" si="230"/>
        <v>GAL</v>
      </c>
      <c r="O2270" s="5">
        <v>180</v>
      </c>
    </row>
    <row r="2271" spans="2:15" x14ac:dyDescent="0.25">
      <c r="B2271" s="1" t="s">
        <v>645</v>
      </c>
      <c r="C2271" s="2" t="s">
        <v>533</v>
      </c>
      <c r="D2271" s="2" t="s">
        <v>562</v>
      </c>
      <c r="E2271" s="2" t="s">
        <v>2118</v>
      </c>
      <c r="F2271" s="3">
        <v>45061</v>
      </c>
      <c r="G2271" s="4">
        <f t="shared" si="228"/>
        <v>5</v>
      </c>
      <c r="H2271" s="4">
        <f t="shared" si="229"/>
        <v>2023</v>
      </c>
      <c r="I2271" s="2" t="s">
        <v>4</v>
      </c>
      <c r="J2271" s="2" t="s">
        <v>3082</v>
      </c>
      <c r="K2271" s="2" t="s">
        <v>19</v>
      </c>
      <c r="L2271" s="2" t="s">
        <v>565</v>
      </c>
      <c r="M2271" s="2" t="s">
        <v>21</v>
      </c>
      <c r="N2271" s="4" t="str">
        <f t="shared" si="230"/>
        <v>GAL</v>
      </c>
      <c r="O2271" s="5">
        <v>360</v>
      </c>
    </row>
    <row r="2272" spans="2:15" x14ac:dyDescent="0.25">
      <c r="B2272" s="1" t="s">
        <v>645</v>
      </c>
      <c r="C2272" s="2" t="s">
        <v>533</v>
      </c>
      <c r="D2272" s="2" t="s">
        <v>1047</v>
      </c>
      <c r="E2272" s="2" t="s">
        <v>2522</v>
      </c>
      <c r="F2272" s="3">
        <v>45061</v>
      </c>
      <c r="G2272" s="4">
        <f t="shared" si="228"/>
        <v>5</v>
      </c>
      <c r="H2272" s="4">
        <f t="shared" si="229"/>
        <v>2023</v>
      </c>
      <c r="I2272" s="2" t="s">
        <v>4</v>
      </c>
      <c r="J2272" s="2" t="s">
        <v>3083</v>
      </c>
      <c r="K2272" s="2" t="s">
        <v>2530</v>
      </c>
      <c r="L2272" s="2" t="s">
        <v>2531</v>
      </c>
      <c r="M2272" s="2" t="s">
        <v>2532</v>
      </c>
      <c r="N2272" s="4" t="str">
        <f t="shared" si="230"/>
        <v>GAL</v>
      </c>
      <c r="O2272" s="5">
        <v>80</v>
      </c>
    </row>
    <row r="2273" spans="2:15" x14ac:dyDescent="0.25">
      <c r="B2273" s="1" t="s">
        <v>645</v>
      </c>
      <c r="C2273" s="2" t="s">
        <v>533</v>
      </c>
      <c r="D2273" s="2" t="s">
        <v>1047</v>
      </c>
      <c r="E2273" s="2" t="s">
        <v>2522</v>
      </c>
      <c r="F2273" s="3">
        <v>45061</v>
      </c>
      <c r="G2273" s="4">
        <f t="shared" si="228"/>
        <v>5</v>
      </c>
      <c r="H2273" s="4">
        <f t="shared" si="229"/>
        <v>2023</v>
      </c>
      <c r="I2273" s="2" t="s">
        <v>4</v>
      </c>
      <c r="J2273" s="2" t="s">
        <v>3083</v>
      </c>
      <c r="K2273" s="2" t="s">
        <v>2556</v>
      </c>
      <c r="L2273" s="2" t="s">
        <v>2557</v>
      </c>
      <c r="M2273" s="2" t="s">
        <v>1472</v>
      </c>
      <c r="N2273" s="4" t="str">
        <f t="shared" si="230"/>
        <v>GAL</v>
      </c>
      <c r="O2273" s="5">
        <v>80</v>
      </c>
    </row>
    <row r="2274" spans="2:15" x14ac:dyDescent="0.25">
      <c r="B2274" s="1" t="s">
        <v>645</v>
      </c>
      <c r="C2274" s="2" t="s">
        <v>533</v>
      </c>
      <c r="D2274" s="2" t="s">
        <v>1047</v>
      </c>
      <c r="E2274" s="2" t="s">
        <v>2522</v>
      </c>
      <c r="F2274" s="3">
        <v>45061</v>
      </c>
      <c r="G2274" s="4">
        <f t="shared" si="228"/>
        <v>5</v>
      </c>
      <c r="H2274" s="4">
        <f t="shared" si="229"/>
        <v>2023</v>
      </c>
      <c r="I2274" s="2" t="s">
        <v>4</v>
      </c>
      <c r="J2274" s="2" t="s">
        <v>3083</v>
      </c>
      <c r="K2274" s="2" t="s">
        <v>50</v>
      </c>
      <c r="L2274" s="2" t="s">
        <v>550</v>
      </c>
      <c r="M2274" s="2" t="s">
        <v>52</v>
      </c>
      <c r="N2274" s="4" t="str">
        <f t="shared" si="230"/>
        <v>GAL</v>
      </c>
      <c r="O2274" s="5">
        <v>20</v>
      </c>
    </row>
    <row r="2275" spans="2:15" x14ac:dyDescent="0.25">
      <c r="B2275" s="1" t="s">
        <v>645</v>
      </c>
      <c r="C2275" s="2" t="s">
        <v>533</v>
      </c>
      <c r="D2275" s="2" t="s">
        <v>1047</v>
      </c>
      <c r="E2275" s="2" t="s">
        <v>2136</v>
      </c>
      <c r="F2275" s="3">
        <v>45061</v>
      </c>
      <c r="G2275" s="4">
        <f t="shared" si="228"/>
        <v>5</v>
      </c>
      <c r="H2275" s="4">
        <f t="shared" si="229"/>
        <v>2023</v>
      </c>
      <c r="I2275" s="2" t="s">
        <v>4</v>
      </c>
      <c r="J2275" s="2" t="s">
        <v>3084</v>
      </c>
      <c r="K2275" s="2" t="s">
        <v>2530</v>
      </c>
      <c r="L2275" s="2" t="s">
        <v>2531</v>
      </c>
      <c r="M2275" s="2" t="s">
        <v>2532</v>
      </c>
      <c r="N2275" s="4" t="str">
        <f t="shared" si="230"/>
        <v>GAL</v>
      </c>
      <c r="O2275" s="5">
        <v>20</v>
      </c>
    </row>
    <row r="2276" spans="2:15" x14ac:dyDescent="0.25">
      <c r="B2276" s="1" t="s">
        <v>645</v>
      </c>
      <c r="C2276" s="2" t="s">
        <v>533</v>
      </c>
      <c r="D2276" s="2" t="s">
        <v>1047</v>
      </c>
      <c r="E2276" s="2" t="s">
        <v>2136</v>
      </c>
      <c r="F2276" s="3">
        <v>45061</v>
      </c>
      <c r="G2276" s="4">
        <f t="shared" si="228"/>
        <v>5</v>
      </c>
      <c r="H2276" s="4">
        <f t="shared" si="229"/>
        <v>2023</v>
      </c>
      <c r="I2276" s="2" t="s">
        <v>4</v>
      </c>
      <c r="J2276" s="2" t="s">
        <v>3084</v>
      </c>
      <c r="K2276" s="2" t="s">
        <v>2138</v>
      </c>
      <c r="L2276" s="2" t="s">
        <v>2139</v>
      </c>
      <c r="M2276" s="2" t="s">
        <v>1472</v>
      </c>
      <c r="N2276" s="4" t="str">
        <f t="shared" si="230"/>
        <v>GAL</v>
      </c>
      <c r="O2276" s="5">
        <v>250</v>
      </c>
    </row>
    <row r="2277" spans="2:15" x14ac:dyDescent="0.25">
      <c r="B2277" s="1" t="s">
        <v>645</v>
      </c>
      <c r="C2277" s="2" t="s">
        <v>533</v>
      </c>
      <c r="D2277" s="2" t="s">
        <v>2144</v>
      </c>
      <c r="E2277" s="2" t="s">
        <v>2145</v>
      </c>
      <c r="F2277" s="3">
        <v>45061</v>
      </c>
      <c r="G2277" s="4">
        <f t="shared" si="228"/>
        <v>5</v>
      </c>
      <c r="H2277" s="4">
        <f t="shared" si="229"/>
        <v>2023</v>
      </c>
      <c r="I2277" s="2" t="s">
        <v>4</v>
      </c>
      <c r="J2277" s="2" t="s">
        <v>3085</v>
      </c>
      <c r="K2277" s="2" t="s">
        <v>2553</v>
      </c>
      <c r="L2277" s="2" t="s">
        <v>2527</v>
      </c>
      <c r="M2277" s="2" t="s">
        <v>2528</v>
      </c>
      <c r="N2277" s="4" t="str">
        <f t="shared" si="230"/>
        <v>GAL</v>
      </c>
      <c r="O2277" s="5">
        <v>4000</v>
      </c>
    </row>
    <row r="2278" spans="2:15" x14ac:dyDescent="0.25">
      <c r="B2278" s="1" t="s">
        <v>645</v>
      </c>
      <c r="C2278" s="2" t="s">
        <v>533</v>
      </c>
      <c r="D2278" s="2" t="s">
        <v>2144</v>
      </c>
      <c r="E2278" s="2" t="s">
        <v>2524</v>
      </c>
      <c r="F2278" s="3">
        <v>45062</v>
      </c>
      <c r="G2278" s="4">
        <f t="shared" si="228"/>
        <v>5</v>
      </c>
      <c r="H2278" s="4">
        <f t="shared" si="229"/>
        <v>2023</v>
      </c>
      <c r="I2278" s="2" t="s">
        <v>4</v>
      </c>
      <c r="J2278" s="2" t="s">
        <v>3086</v>
      </c>
      <c r="K2278" s="2" t="s">
        <v>2553</v>
      </c>
      <c r="L2278" s="2" t="s">
        <v>2527</v>
      </c>
      <c r="M2278" s="2" t="s">
        <v>2528</v>
      </c>
      <c r="N2278" s="4" t="str">
        <f t="shared" si="230"/>
        <v>GAL</v>
      </c>
      <c r="O2278" s="5">
        <v>1250</v>
      </c>
    </row>
    <row r="2279" spans="2:15" x14ac:dyDescent="0.25">
      <c r="B2279" s="1" t="s">
        <v>645</v>
      </c>
      <c r="C2279" s="2" t="s">
        <v>533</v>
      </c>
      <c r="D2279" s="2" t="s">
        <v>2144</v>
      </c>
      <c r="E2279" s="2" t="s">
        <v>2145</v>
      </c>
      <c r="F2279" s="3">
        <v>45063</v>
      </c>
      <c r="G2279" s="4">
        <f t="shared" si="228"/>
        <v>5</v>
      </c>
      <c r="H2279" s="4">
        <f t="shared" si="229"/>
        <v>2023</v>
      </c>
      <c r="I2279" s="2" t="s">
        <v>4</v>
      </c>
      <c r="J2279" s="2" t="s">
        <v>3087</v>
      </c>
      <c r="K2279" s="2" t="s">
        <v>2553</v>
      </c>
      <c r="L2279" s="2" t="s">
        <v>2527</v>
      </c>
      <c r="M2279" s="2" t="s">
        <v>2528</v>
      </c>
      <c r="N2279" s="4" t="str">
        <f t="shared" si="230"/>
        <v>GAL</v>
      </c>
      <c r="O2279" s="5">
        <v>3250</v>
      </c>
    </row>
    <row r="2280" spans="2:15" x14ac:dyDescent="0.25">
      <c r="B2280" s="1" t="s">
        <v>645</v>
      </c>
      <c r="C2280" s="2" t="s">
        <v>533</v>
      </c>
      <c r="D2280" s="2" t="s">
        <v>2144</v>
      </c>
      <c r="E2280" s="2" t="s">
        <v>2145</v>
      </c>
      <c r="F2280" s="3">
        <v>45063</v>
      </c>
      <c r="G2280" s="4">
        <f t="shared" si="228"/>
        <v>5</v>
      </c>
      <c r="H2280" s="4">
        <f t="shared" si="229"/>
        <v>2023</v>
      </c>
      <c r="I2280" s="2" t="s">
        <v>4</v>
      </c>
      <c r="J2280" s="2" t="s">
        <v>3088</v>
      </c>
      <c r="K2280" s="2" t="s">
        <v>2147</v>
      </c>
      <c r="L2280" s="2" t="s">
        <v>2148</v>
      </c>
      <c r="M2280" s="2" t="s">
        <v>41</v>
      </c>
      <c r="N2280" s="4" t="str">
        <f t="shared" si="230"/>
        <v>GAL</v>
      </c>
      <c r="O2280" s="5">
        <v>720</v>
      </c>
    </row>
    <row r="2281" spans="2:15" x14ac:dyDescent="0.25">
      <c r="B2281" s="1" t="s">
        <v>645</v>
      </c>
      <c r="C2281" s="2" t="s">
        <v>533</v>
      </c>
      <c r="D2281" s="2" t="s">
        <v>2144</v>
      </c>
      <c r="E2281" s="2" t="s">
        <v>2149</v>
      </c>
      <c r="F2281" s="3">
        <v>45064</v>
      </c>
      <c r="G2281" s="4">
        <f t="shared" si="228"/>
        <v>5</v>
      </c>
      <c r="H2281" s="4">
        <f t="shared" si="229"/>
        <v>2023</v>
      </c>
      <c r="I2281" s="2" t="s">
        <v>4</v>
      </c>
      <c r="J2281" s="2" t="s">
        <v>3089</v>
      </c>
      <c r="K2281" s="2" t="s">
        <v>2553</v>
      </c>
      <c r="L2281" s="2" t="s">
        <v>2527</v>
      </c>
      <c r="M2281" s="2" t="s">
        <v>2528</v>
      </c>
      <c r="N2281" s="4" t="str">
        <f t="shared" si="230"/>
        <v>GAL</v>
      </c>
      <c r="O2281" s="5">
        <v>4000</v>
      </c>
    </row>
    <row r="2282" spans="2:15" x14ac:dyDescent="0.25">
      <c r="B2282" s="1" t="s">
        <v>645</v>
      </c>
      <c r="C2282" s="2" t="s">
        <v>533</v>
      </c>
      <c r="D2282" s="2" t="s">
        <v>557</v>
      </c>
      <c r="E2282" s="2" t="s">
        <v>1090</v>
      </c>
      <c r="F2282" s="3">
        <v>45064</v>
      </c>
      <c r="G2282" s="4">
        <f t="shared" si="228"/>
        <v>5</v>
      </c>
      <c r="H2282" s="4">
        <f t="shared" si="229"/>
        <v>2023</v>
      </c>
      <c r="I2282" s="2" t="s">
        <v>4</v>
      </c>
      <c r="J2282" s="2" t="s">
        <v>3090</v>
      </c>
      <c r="K2282" s="2" t="s">
        <v>3078</v>
      </c>
      <c r="L2282" s="2" t="s">
        <v>3079</v>
      </c>
      <c r="M2282" s="2" t="s">
        <v>13</v>
      </c>
      <c r="N2282" s="4" t="str">
        <f t="shared" si="230"/>
        <v>GAL</v>
      </c>
      <c r="O2282" s="5">
        <v>180</v>
      </c>
    </row>
    <row r="2283" spans="2:15" x14ac:dyDescent="0.25">
      <c r="B2283" s="1" t="s">
        <v>645</v>
      </c>
      <c r="C2283" s="2" t="s">
        <v>533</v>
      </c>
      <c r="D2283" s="2" t="s">
        <v>3091</v>
      </c>
      <c r="E2283" s="2" t="s">
        <v>3092</v>
      </c>
      <c r="F2283" s="3">
        <v>45064</v>
      </c>
      <c r="G2283" s="4">
        <f t="shared" si="228"/>
        <v>5</v>
      </c>
      <c r="H2283" s="4">
        <f t="shared" si="229"/>
        <v>2023</v>
      </c>
      <c r="I2283" s="2" t="s">
        <v>4</v>
      </c>
      <c r="J2283" s="2" t="s">
        <v>3093</v>
      </c>
      <c r="K2283" s="2" t="s">
        <v>22</v>
      </c>
      <c r="L2283" s="2" t="s">
        <v>176</v>
      </c>
      <c r="M2283" s="2" t="s">
        <v>24</v>
      </c>
      <c r="N2283" s="4" t="str">
        <f t="shared" si="230"/>
        <v>GAL</v>
      </c>
      <c r="O2283" s="5">
        <v>360</v>
      </c>
    </row>
    <row r="2284" spans="2:15" x14ac:dyDescent="0.25">
      <c r="B2284" s="1" t="s">
        <v>1050</v>
      </c>
      <c r="C2284" s="2" t="s">
        <v>533</v>
      </c>
      <c r="D2284" s="2" t="s">
        <v>2456</v>
      </c>
      <c r="E2284" s="2" t="s">
        <v>3094</v>
      </c>
      <c r="F2284" s="3">
        <v>45064</v>
      </c>
      <c r="G2284" s="4">
        <f t="shared" si="228"/>
        <v>5</v>
      </c>
      <c r="H2284" s="4">
        <f t="shared" si="229"/>
        <v>2023</v>
      </c>
      <c r="I2284" s="2" t="s">
        <v>4</v>
      </c>
      <c r="J2284" s="2" t="s">
        <v>3095</v>
      </c>
      <c r="K2284" s="2" t="s">
        <v>560</v>
      </c>
      <c r="L2284" s="2" t="s">
        <v>602</v>
      </c>
      <c r="M2284" s="2" t="s">
        <v>41</v>
      </c>
      <c r="N2284" s="4" t="str">
        <f t="shared" si="230"/>
        <v>GAL</v>
      </c>
      <c r="O2284" s="5">
        <v>500</v>
      </c>
    </row>
    <row r="2285" spans="2:15" x14ac:dyDescent="0.25">
      <c r="B2285" s="1" t="s">
        <v>645</v>
      </c>
      <c r="C2285" s="2" t="s">
        <v>533</v>
      </c>
      <c r="D2285" s="2" t="s">
        <v>557</v>
      </c>
      <c r="E2285" s="2" t="s">
        <v>3096</v>
      </c>
      <c r="F2285" s="3">
        <v>45065</v>
      </c>
      <c r="G2285" s="4">
        <f t="shared" si="228"/>
        <v>5</v>
      </c>
      <c r="H2285" s="4">
        <f t="shared" si="229"/>
        <v>2023</v>
      </c>
      <c r="I2285" s="2" t="s">
        <v>4</v>
      </c>
      <c r="J2285" s="2" t="s">
        <v>3097</v>
      </c>
      <c r="K2285" s="2" t="s">
        <v>2164</v>
      </c>
      <c r="L2285" s="2" t="s">
        <v>2156</v>
      </c>
      <c r="M2285" s="2" t="s">
        <v>106</v>
      </c>
      <c r="N2285" s="4" t="str">
        <f t="shared" si="230"/>
        <v>LBS</v>
      </c>
      <c r="O2285" s="5">
        <v>2500</v>
      </c>
    </row>
    <row r="2286" spans="2:15" x14ac:dyDescent="0.25">
      <c r="B2286" s="1" t="s">
        <v>1050</v>
      </c>
      <c r="C2286" s="2" t="s">
        <v>533</v>
      </c>
      <c r="D2286" s="2" t="s">
        <v>557</v>
      </c>
      <c r="E2286" s="2" t="s">
        <v>3080</v>
      </c>
      <c r="F2286" s="3">
        <v>45065</v>
      </c>
      <c r="G2286" s="4">
        <f t="shared" si="228"/>
        <v>5</v>
      </c>
      <c r="H2286" s="4">
        <f t="shared" si="229"/>
        <v>2023</v>
      </c>
      <c r="I2286" s="2" t="s">
        <v>4</v>
      </c>
      <c r="J2286" s="2" t="s">
        <v>3098</v>
      </c>
      <c r="K2286" s="2" t="s">
        <v>3078</v>
      </c>
      <c r="L2286" s="2" t="s">
        <v>3079</v>
      </c>
      <c r="M2286" s="2" t="s">
        <v>13</v>
      </c>
      <c r="N2286" s="4" t="str">
        <f t="shared" si="230"/>
        <v>GAL</v>
      </c>
      <c r="O2286" s="5">
        <v>360</v>
      </c>
    </row>
    <row r="2287" spans="2:15" x14ac:dyDescent="0.25">
      <c r="B2287" s="6" t="s">
        <v>645</v>
      </c>
      <c r="C2287" s="7" t="s">
        <v>533</v>
      </c>
      <c r="D2287" s="8" t="s">
        <v>557</v>
      </c>
      <c r="E2287" s="8" t="s">
        <v>3099</v>
      </c>
      <c r="F2287" s="12">
        <v>45068</v>
      </c>
      <c r="G2287" s="10">
        <f t="shared" si="228"/>
        <v>5</v>
      </c>
      <c r="H2287" s="10">
        <f t="shared" si="229"/>
        <v>2023</v>
      </c>
      <c r="I2287" s="8" t="s">
        <v>4</v>
      </c>
      <c r="J2287" s="8" t="s">
        <v>3100</v>
      </c>
      <c r="K2287" s="8" t="s">
        <v>3101</v>
      </c>
      <c r="L2287" s="8" t="s">
        <v>3102</v>
      </c>
      <c r="M2287" s="8" t="s">
        <v>1024</v>
      </c>
      <c r="N2287" s="10" t="str">
        <f t="shared" si="230"/>
        <v>GAL</v>
      </c>
      <c r="O2287" s="11">
        <v>3780</v>
      </c>
    </row>
    <row r="2288" spans="2:15" x14ac:dyDescent="0.25">
      <c r="B2288" s="1" t="s">
        <v>645</v>
      </c>
      <c r="C2288" s="2" t="s">
        <v>533</v>
      </c>
      <c r="D2288" s="2" t="s">
        <v>562</v>
      </c>
      <c r="E2288" s="2" t="s">
        <v>563</v>
      </c>
      <c r="F2288" s="3">
        <v>45070</v>
      </c>
      <c r="G2288" s="4">
        <f t="shared" si="228"/>
        <v>5</v>
      </c>
      <c r="H2288" s="4">
        <f t="shared" si="229"/>
        <v>2023</v>
      </c>
      <c r="I2288" s="2" t="s">
        <v>4</v>
      </c>
      <c r="J2288" s="2" t="s">
        <v>3103</v>
      </c>
      <c r="K2288" s="2" t="s">
        <v>2120</v>
      </c>
      <c r="L2288" s="2" t="s">
        <v>2121</v>
      </c>
      <c r="M2288" s="2" t="s">
        <v>85</v>
      </c>
      <c r="N2288" s="4" t="str">
        <f t="shared" si="230"/>
        <v>GAL</v>
      </c>
      <c r="O2288" s="5">
        <v>90</v>
      </c>
    </row>
    <row r="2289" spans="2:15" x14ac:dyDescent="0.25">
      <c r="B2289" s="1" t="s">
        <v>645</v>
      </c>
      <c r="C2289" s="2" t="s">
        <v>533</v>
      </c>
      <c r="D2289" s="2" t="s">
        <v>562</v>
      </c>
      <c r="E2289" s="2" t="s">
        <v>563</v>
      </c>
      <c r="F2289" s="3">
        <v>45070</v>
      </c>
      <c r="G2289" s="4">
        <f t="shared" si="228"/>
        <v>5</v>
      </c>
      <c r="H2289" s="4">
        <f t="shared" si="229"/>
        <v>2023</v>
      </c>
      <c r="I2289" s="2" t="s">
        <v>4</v>
      </c>
      <c r="J2289" s="2" t="s">
        <v>3103</v>
      </c>
      <c r="K2289" s="2" t="s">
        <v>50</v>
      </c>
      <c r="L2289" s="2" t="s">
        <v>550</v>
      </c>
      <c r="M2289" s="2" t="s">
        <v>52</v>
      </c>
      <c r="N2289" s="4" t="str">
        <f t="shared" si="230"/>
        <v>GAL</v>
      </c>
      <c r="O2289" s="5">
        <v>180</v>
      </c>
    </row>
    <row r="2290" spans="2:15" x14ac:dyDescent="0.25">
      <c r="B2290" s="1" t="s">
        <v>1050</v>
      </c>
      <c r="C2290" s="2" t="s">
        <v>533</v>
      </c>
      <c r="D2290" s="2" t="s">
        <v>557</v>
      </c>
      <c r="E2290" s="2" t="s">
        <v>3104</v>
      </c>
      <c r="F2290" s="3">
        <v>45071</v>
      </c>
      <c r="G2290" s="4">
        <f t="shared" si="228"/>
        <v>5</v>
      </c>
      <c r="H2290" s="4">
        <f t="shared" si="229"/>
        <v>2023</v>
      </c>
      <c r="I2290" s="2" t="s">
        <v>4</v>
      </c>
      <c r="J2290" s="2" t="s">
        <v>3105</v>
      </c>
      <c r="K2290" s="2" t="s">
        <v>3106</v>
      </c>
      <c r="L2290" s="2" t="s">
        <v>3107</v>
      </c>
      <c r="M2290" s="2" t="s">
        <v>3108</v>
      </c>
      <c r="N2290" s="4" t="str">
        <f t="shared" si="230"/>
        <v>GAL</v>
      </c>
      <c r="O2290" s="5">
        <v>180</v>
      </c>
    </row>
    <row r="2291" spans="2:15" x14ac:dyDescent="0.25">
      <c r="B2291" s="1" t="s">
        <v>1050</v>
      </c>
      <c r="C2291" s="2" t="s">
        <v>533</v>
      </c>
      <c r="D2291" s="2" t="s">
        <v>557</v>
      </c>
      <c r="E2291" s="2" t="s">
        <v>2153</v>
      </c>
      <c r="F2291" s="3">
        <v>45071</v>
      </c>
      <c r="G2291" s="4">
        <f t="shared" si="228"/>
        <v>5</v>
      </c>
      <c r="H2291" s="4">
        <f t="shared" si="229"/>
        <v>2023</v>
      </c>
      <c r="I2291" s="2" t="s">
        <v>4</v>
      </c>
      <c r="J2291" s="2" t="s">
        <v>3109</v>
      </c>
      <c r="K2291" s="2" t="s">
        <v>3106</v>
      </c>
      <c r="L2291" s="2" t="s">
        <v>3107</v>
      </c>
      <c r="M2291" s="2" t="s">
        <v>3108</v>
      </c>
      <c r="N2291" s="4" t="str">
        <f t="shared" si="230"/>
        <v>GAL</v>
      </c>
      <c r="O2291" s="5">
        <v>180</v>
      </c>
    </row>
    <row r="2292" spans="2:15" x14ac:dyDescent="0.25">
      <c r="B2292" s="1" t="s">
        <v>1050</v>
      </c>
      <c r="C2292" s="2" t="s">
        <v>533</v>
      </c>
      <c r="D2292" s="2" t="s">
        <v>557</v>
      </c>
      <c r="E2292" s="2" t="s">
        <v>2153</v>
      </c>
      <c r="F2292" s="3">
        <v>45071</v>
      </c>
      <c r="G2292" s="4">
        <f t="shared" si="228"/>
        <v>5</v>
      </c>
      <c r="H2292" s="4">
        <f t="shared" si="229"/>
        <v>2023</v>
      </c>
      <c r="I2292" s="2" t="s">
        <v>4</v>
      </c>
      <c r="J2292" s="2" t="s">
        <v>3110</v>
      </c>
      <c r="K2292" s="2" t="s">
        <v>3106</v>
      </c>
      <c r="L2292" s="2" t="s">
        <v>3107</v>
      </c>
      <c r="M2292" s="2" t="s">
        <v>3108</v>
      </c>
      <c r="N2292" s="4" t="str">
        <f t="shared" si="230"/>
        <v>GAL</v>
      </c>
      <c r="O2292" s="5">
        <v>360</v>
      </c>
    </row>
    <row r="2293" spans="2:15" x14ac:dyDescent="0.25">
      <c r="B2293" s="1" t="s">
        <v>645</v>
      </c>
      <c r="C2293" s="2" t="s">
        <v>533</v>
      </c>
      <c r="D2293" s="2" t="s">
        <v>557</v>
      </c>
      <c r="E2293" s="2" t="s">
        <v>3111</v>
      </c>
      <c r="F2293" s="3">
        <v>45076</v>
      </c>
      <c r="G2293" s="4">
        <f t="shared" si="228"/>
        <v>5</v>
      </c>
      <c r="H2293" s="4">
        <f t="shared" si="229"/>
        <v>2023</v>
      </c>
      <c r="I2293" s="2" t="s">
        <v>4</v>
      </c>
      <c r="J2293" s="2" t="s">
        <v>3112</v>
      </c>
      <c r="K2293" s="2" t="s">
        <v>2536</v>
      </c>
      <c r="L2293" s="2" t="s">
        <v>2537</v>
      </c>
      <c r="M2293" s="2" t="s">
        <v>131</v>
      </c>
      <c r="N2293" s="4" t="str">
        <f t="shared" si="230"/>
        <v>GAL</v>
      </c>
      <c r="O2293" s="5">
        <v>360</v>
      </c>
    </row>
    <row r="2294" spans="2:15" x14ac:dyDescent="0.25">
      <c r="B2294" s="1" t="s">
        <v>3113</v>
      </c>
      <c r="C2294" s="2" t="s">
        <v>3114</v>
      </c>
      <c r="D2294" s="2" t="s">
        <v>2456</v>
      </c>
      <c r="E2294" s="2" t="s">
        <v>2457</v>
      </c>
      <c r="F2294" s="3">
        <v>45071</v>
      </c>
      <c r="G2294" s="4">
        <f t="shared" si="228"/>
        <v>5</v>
      </c>
      <c r="H2294" s="4">
        <f t="shared" si="229"/>
        <v>2023</v>
      </c>
      <c r="I2294" s="2" t="s">
        <v>4</v>
      </c>
      <c r="J2294" s="2" t="s">
        <v>3115</v>
      </c>
      <c r="K2294" s="2" t="s">
        <v>158</v>
      </c>
      <c r="L2294" s="2" t="s">
        <v>159</v>
      </c>
      <c r="M2294" s="2" t="s">
        <v>160</v>
      </c>
      <c r="N2294" s="4" t="str">
        <f t="shared" si="230"/>
        <v>GAL</v>
      </c>
      <c r="O2294" s="5">
        <v>180</v>
      </c>
    </row>
    <row r="2295" spans="2:15" x14ac:dyDescent="0.25">
      <c r="B2295" s="1" t="s">
        <v>0</v>
      </c>
      <c r="C2295" s="2" t="s">
        <v>1</v>
      </c>
      <c r="D2295" s="2" t="s">
        <v>2</v>
      </c>
      <c r="E2295" s="2" t="s">
        <v>3116</v>
      </c>
      <c r="F2295" s="3">
        <f>DATE(2023,6,2)</f>
        <v>45079</v>
      </c>
      <c r="G2295" s="4">
        <f t="shared" si="228"/>
        <v>6</v>
      </c>
      <c r="H2295" s="4">
        <f t="shared" si="229"/>
        <v>2023</v>
      </c>
      <c r="I2295" s="2" t="s">
        <v>4</v>
      </c>
      <c r="J2295" s="2" t="s">
        <v>3117</v>
      </c>
      <c r="K2295" s="2" t="s">
        <v>566</v>
      </c>
      <c r="L2295" s="2" t="s">
        <v>20</v>
      </c>
      <c r="M2295" s="2" t="s">
        <v>21</v>
      </c>
      <c r="N2295" s="4" t="str">
        <f t="shared" si="230"/>
        <v>GAL</v>
      </c>
      <c r="O2295" s="5">
        <v>55</v>
      </c>
    </row>
    <row r="2296" spans="2:15" x14ac:dyDescent="0.25">
      <c r="B2296" s="1" t="s">
        <v>0</v>
      </c>
      <c r="C2296" s="2" t="s">
        <v>1</v>
      </c>
      <c r="D2296" s="2" t="s">
        <v>2</v>
      </c>
      <c r="E2296" s="2" t="s">
        <v>3116</v>
      </c>
      <c r="F2296" s="3">
        <f>DATE(2023,6,2)</f>
        <v>45079</v>
      </c>
      <c r="G2296" s="4">
        <f t="shared" si="228"/>
        <v>6</v>
      </c>
      <c r="H2296" s="4">
        <f t="shared" si="229"/>
        <v>2023</v>
      </c>
      <c r="I2296" s="2" t="s">
        <v>4</v>
      </c>
      <c r="J2296" s="2" t="s">
        <v>3117</v>
      </c>
      <c r="K2296" s="2" t="s">
        <v>19</v>
      </c>
      <c r="L2296" s="2" t="s">
        <v>20</v>
      </c>
      <c r="M2296" s="2" t="s">
        <v>21</v>
      </c>
      <c r="N2296" s="4" t="str">
        <f t="shared" si="230"/>
        <v>GAL</v>
      </c>
      <c r="O2296" s="5">
        <v>20</v>
      </c>
    </row>
    <row r="2297" spans="2:15" x14ac:dyDescent="0.25">
      <c r="B2297" s="1" t="s">
        <v>0</v>
      </c>
      <c r="C2297" s="2" t="s">
        <v>1</v>
      </c>
      <c r="D2297" s="2" t="s">
        <v>2</v>
      </c>
      <c r="E2297" s="2" t="s">
        <v>3116</v>
      </c>
      <c r="F2297" s="3">
        <f>DATE(2023,6,2)</f>
        <v>45079</v>
      </c>
      <c r="G2297" s="4">
        <f t="shared" si="228"/>
        <v>6</v>
      </c>
      <c r="H2297" s="4">
        <f t="shared" si="229"/>
        <v>2023</v>
      </c>
      <c r="I2297" s="2" t="s">
        <v>4</v>
      </c>
      <c r="J2297" s="2" t="s">
        <v>3117</v>
      </c>
      <c r="K2297" s="2" t="s">
        <v>6</v>
      </c>
      <c r="L2297" s="2" t="s">
        <v>7</v>
      </c>
      <c r="M2297" s="2" t="s">
        <v>8</v>
      </c>
      <c r="N2297" s="4" t="str">
        <f t="shared" si="230"/>
        <v>GAL</v>
      </c>
      <c r="O2297" s="5">
        <v>55</v>
      </c>
    </row>
    <row r="2298" spans="2:15" x14ac:dyDescent="0.25">
      <c r="B2298" s="1" t="s">
        <v>0</v>
      </c>
      <c r="C2298" s="2" t="s">
        <v>1</v>
      </c>
      <c r="D2298" s="2" t="s">
        <v>2</v>
      </c>
      <c r="E2298" s="2" t="s">
        <v>61</v>
      </c>
      <c r="F2298" s="3">
        <f>DATE(2023,6,9)</f>
        <v>45086</v>
      </c>
      <c r="G2298" s="4">
        <f t="shared" si="228"/>
        <v>6</v>
      </c>
      <c r="H2298" s="4">
        <f t="shared" si="229"/>
        <v>2023</v>
      </c>
      <c r="I2298" s="2" t="s">
        <v>4</v>
      </c>
      <c r="J2298" s="2" t="s">
        <v>3118</v>
      </c>
      <c r="K2298" s="2" t="s">
        <v>19</v>
      </c>
      <c r="L2298" s="2" t="s">
        <v>20</v>
      </c>
      <c r="M2298" s="2" t="s">
        <v>21</v>
      </c>
      <c r="N2298" s="4" t="str">
        <f t="shared" si="230"/>
        <v>GAL</v>
      </c>
      <c r="O2298" s="5">
        <v>50</v>
      </c>
    </row>
    <row r="2299" spans="2:15" x14ac:dyDescent="0.25">
      <c r="B2299" s="1" t="s">
        <v>0</v>
      </c>
      <c r="C2299" s="2" t="s">
        <v>1</v>
      </c>
      <c r="D2299" s="2" t="s">
        <v>2</v>
      </c>
      <c r="E2299" s="2" t="s">
        <v>61</v>
      </c>
      <c r="F2299" s="3">
        <f>DATE(2023,6,9)</f>
        <v>45086</v>
      </c>
      <c r="G2299" s="4">
        <f t="shared" si="228"/>
        <v>6</v>
      </c>
      <c r="H2299" s="4">
        <f t="shared" si="229"/>
        <v>2023</v>
      </c>
      <c r="I2299" s="2" t="s">
        <v>4</v>
      </c>
      <c r="J2299" s="2" t="s">
        <v>3118</v>
      </c>
      <c r="K2299" s="2" t="s">
        <v>25</v>
      </c>
      <c r="L2299" s="2" t="s">
        <v>26</v>
      </c>
      <c r="M2299" s="2" t="s">
        <v>27</v>
      </c>
      <c r="N2299" s="4" t="str">
        <f t="shared" si="230"/>
        <v>GAL</v>
      </c>
      <c r="O2299" s="5">
        <v>100</v>
      </c>
    </row>
    <row r="2300" spans="2:15" x14ac:dyDescent="0.25">
      <c r="B2300" s="1" t="s">
        <v>0</v>
      </c>
      <c r="C2300" s="2" t="s">
        <v>1</v>
      </c>
      <c r="D2300" s="2" t="s">
        <v>2</v>
      </c>
      <c r="E2300" s="2" t="s">
        <v>61</v>
      </c>
      <c r="F2300" s="3">
        <f>DATE(2023,6,9)</f>
        <v>45086</v>
      </c>
      <c r="G2300" s="4">
        <f t="shared" si="228"/>
        <v>6</v>
      </c>
      <c r="H2300" s="4">
        <f t="shared" si="229"/>
        <v>2023</v>
      </c>
      <c r="I2300" s="2" t="s">
        <v>4</v>
      </c>
      <c r="J2300" s="2" t="s">
        <v>3118</v>
      </c>
      <c r="K2300" s="2" t="s">
        <v>28</v>
      </c>
      <c r="L2300" s="2" t="s">
        <v>29</v>
      </c>
      <c r="M2300" s="2" t="s">
        <v>30</v>
      </c>
      <c r="N2300" s="4" t="str">
        <f t="shared" si="230"/>
        <v>GAL</v>
      </c>
      <c r="O2300" s="5">
        <v>50</v>
      </c>
    </row>
    <row r="2301" spans="2:15" x14ac:dyDescent="0.25">
      <c r="B2301" s="1" t="s">
        <v>0</v>
      </c>
      <c r="C2301" s="2" t="s">
        <v>1</v>
      </c>
      <c r="D2301" s="2" t="s">
        <v>2</v>
      </c>
      <c r="E2301" s="2" t="s">
        <v>61</v>
      </c>
      <c r="F2301" s="3">
        <f>DATE(2023,6,9)</f>
        <v>45086</v>
      </c>
      <c r="G2301" s="4">
        <f t="shared" si="228"/>
        <v>6</v>
      </c>
      <c r="H2301" s="4">
        <f t="shared" si="229"/>
        <v>2023</v>
      </c>
      <c r="I2301" s="2" t="s">
        <v>4</v>
      </c>
      <c r="J2301" s="2" t="s">
        <v>3118</v>
      </c>
      <c r="K2301" s="2" t="s">
        <v>16</v>
      </c>
      <c r="L2301" s="2" t="s">
        <v>7</v>
      </c>
      <c r="M2301" s="2" t="s">
        <v>8</v>
      </c>
      <c r="N2301" s="4" t="str">
        <f t="shared" si="230"/>
        <v>GAL</v>
      </c>
      <c r="O2301" s="5">
        <v>100</v>
      </c>
    </row>
    <row r="2302" spans="2:15" x14ac:dyDescent="0.25">
      <c r="B2302" s="1" t="s">
        <v>0</v>
      </c>
      <c r="C2302" s="2" t="s">
        <v>1</v>
      </c>
      <c r="D2302" s="2" t="s">
        <v>2</v>
      </c>
      <c r="E2302" s="2" t="s">
        <v>78</v>
      </c>
      <c r="F2302" s="3">
        <f>DATE(2023,6,13)</f>
        <v>45090</v>
      </c>
      <c r="G2302" s="4">
        <f t="shared" si="228"/>
        <v>6</v>
      </c>
      <c r="H2302" s="4">
        <f t="shared" si="229"/>
        <v>2023</v>
      </c>
      <c r="I2302" s="2" t="s">
        <v>4</v>
      </c>
      <c r="J2302" s="2" t="s">
        <v>3119</v>
      </c>
      <c r="K2302" s="2" t="s">
        <v>19</v>
      </c>
      <c r="L2302" s="2" t="s">
        <v>20</v>
      </c>
      <c r="M2302" s="2" t="s">
        <v>21</v>
      </c>
      <c r="N2302" s="4" t="str">
        <f t="shared" si="230"/>
        <v>GAL</v>
      </c>
      <c r="O2302" s="5">
        <v>120</v>
      </c>
    </row>
    <row r="2303" spans="2:15" x14ac:dyDescent="0.25">
      <c r="B2303" s="1" t="s">
        <v>0</v>
      </c>
      <c r="C2303" s="2" t="s">
        <v>1</v>
      </c>
      <c r="D2303" s="2" t="s">
        <v>2</v>
      </c>
      <c r="E2303" s="2" t="s">
        <v>78</v>
      </c>
      <c r="F2303" s="3">
        <f>DATE(2023,6,13)</f>
        <v>45090</v>
      </c>
      <c r="G2303" s="4">
        <f t="shared" si="228"/>
        <v>6</v>
      </c>
      <c r="H2303" s="4">
        <f t="shared" si="229"/>
        <v>2023</v>
      </c>
      <c r="I2303" s="2" t="s">
        <v>4</v>
      </c>
      <c r="J2303" s="2" t="s">
        <v>3119</v>
      </c>
      <c r="K2303" s="2" t="s">
        <v>22</v>
      </c>
      <c r="L2303" s="2" t="s">
        <v>23</v>
      </c>
      <c r="M2303" s="2" t="s">
        <v>24</v>
      </c>
      <c r="N2303" s="4" t="str">
        <f t="shared" si="230"/>
        <v>GAL</v>
      </c>
      <c r="O2303" s="5">
        <v>60</v>
      </c>
    </row>
    <row r="2304" spans="2:15" x14ac:dyDescent="0.25">
      <c r="B2304" s="1" t="s">
        <v>0</v>
      </c>
      <c r="C2304" s="2" t="s">
        <v>1</v>
      </c>
      <c r="D2304" s="2" t="s">
        <v>2</v>
      </c>
      <c r="E2304" s="2" t="s">
        <v>78</v>
      </c>
      <c r="F2304" s="3">
        <f>DATE(2023,6,13)</f>
        <v>45090</v>
      </c>
      <c r="G2304" s="4">
        <f t="shared" si="228"/>
        <v>6</v>
      </c>
      <c r="H2304" s="4">
        <f t="shared" si="229"/>
        <v>2023</v>
      </c>
      <c r="I2304" s="2" t="s">
        <v>4</v>
      </c>
      <c r="J2304" s="2" t="s">
        <v>3119</v>
      </c>
      <c r="K2304" s="2" t="s">
        <v>36</v>
      </c>
      <c r="L2304" s="2" t="s">
        <v>37</v>
      </c>
      <c r="M2304" s="2" t="s">
        <v>38</v>
      </c>
      <c r="N2304" s="4" t="str">
        <f t="shared" si="230"/>
        <v>GAL</v>
      </c>
      <c r="O2304" s="5">
        <v>60</v>
      </c>
    </row>
    <row r="2305" spans="2:15" x14ac:dyDescent="0.25">
      <c r="B2305" s="1" t="s">
        <v>0</v>
      </c>
      <c r="C2305" s="2" t="s">
        <v>1</v>
      </c>
      <c r="D2305" s="2" t="s">
        <v>2</v>
      </c>
      <c r="E2305" s="2" t="s">
        <v>78</v>
      </c>
      <c r="F2305" s="3">
        <f>DATE(2023,6,13)</f>
        <v>45090</v>
      </c>
      <c r="G2305" s="4">
        <f t="shared" si="228"/>
        <v>6</v>
      </c>
      <c r="H2305" s="4">
        <f t="shared" si="229"/>
        <v>2023</v>
      </c>
      <c r="I2305" s="2" t="s">
        <v>4</v>
      </c>
      <c r="J2305" s="2" t="s">
        <v>3119</v>
      </c>
      <c r="K2305" s="2" t="s">
        <v>80</v>
      </c>
      <c r="L2305" s="2" t="s">
        <v>81</v>
      </c>
      <c r="M2305" s="2" t="s">
        <v>82</v>
      </c>
      <c r="N2305" s="4" t="str">
        <f t="shared" si="230"/>
        <v>GAL</v>
      </c>
      <c r="O2305" s="5">
        <v>60</v>
      </c>
    </row>
    <row r="2306" spans="2:15" x14ac:dyDescent="0.25">
      <c r="B2306" s="1" t="s">
        <v>0</v>
      </c>
      <c r="C2306" s="2" t="s">
        <v>1</v>
      </c>
      <c r="D2306" s="2" t="s">
        <v>2</v>
      </c>
      <c r="E2306" s="2" t="s">
        <v>1432</v>
      </c>
      <c r="F2306" s="3">
        <f>DATE(2023,6,22)</f>
        <v>45099</v>
      </c>
      <c r="G2306" s="4">
        <f t="shared" si="228"/>
        <v>6</v>
      </c>
      <c r="H2306" s="4">
        <f t="shared" si="229"/>
        <v>2023</v>
      </c>
      <c r="I2306" s="2" t="s">
        <v>4</v>
      </c>
      <c r="J2306" s="2" t="s">
        <v>3120</v>
      </c>
      <c r="K2306" s="2" t="s">
        <v>33</v>
      </c>
      <c r="L2306" s="2" t="s">
        <v>34</v>
      </c>
      <c r="M2306" s="2" t="s">
        <v>35</v>
      </c>
      <c r="N2306" s="4" t="str">
        <f t="shared" si="230"/>
        <v>GAL</v>
      </c>
      <c r="O2306" s="5">
        <v>20</v>
      </c>
    </row>
    <row r="2307" spans="2:15" x14ac:dyDescent="0.25">
      <c r="B2307" s="1" t="s">
        <v>0</v>
      </c>
      <c r="C2307" s="2" t="s">
        <v>1</v>
      </c>
      <c r="D2307" s="2" t="s">
        <v>2</v>
      </c>
      <c r="E2307" s="2" t="s">
        <v>1432</v>
      </c>
      <c r="F2307" s="3">
        <f>DATE(2023,6,22)</f>
        <v>45099</v>
      </c>
      <c r="G2307" s="4">
        <f t="shared" ref="G2307:G2370" si="231">+MONTH(F2307)</f>
        <v>6</v>
      </c>
      <c r="H2307" s="4">
        <f t="shared" ref="H2307:H2370" si="232">+YEAR(F2307)</f>
        <v>2023</v>
      </c>
      <c r="I2307" s="2" t="s">
        <v>4</v>
      </c>
      <c r="J2307" s="2" t="s">
        <v>3120</v>
      </c>
      <c r="K2307" s="2" t="s">
        <v>19</v>
      </c>
      <c r="L2307" s="2" t="s">
        <v>20</v>
      </c>
      <c r="M2307" s="2" t="s">
        <v>21</v>
      </c>
      <c r="N2307" s="4" t="str">
        <f t="shared" ref="N2307:N2370" si="233">+LEFT(M2307,3)</f>
        <v>GAL</v>
      </c>
      <c r="O2307" s="5">
        <v>20</v>
      </c>
    </row>
    <row r="2308" spans="2:15" x14ac:dyDescent="0.25">
      <c r="B2308" s="1" t="s">
        <v>0</v>
      </c>
      <c r="C2308" s="2" t="s">
        <v>1</v>
      </c>
      <c r="D2308" s="2" t="s">
        <v>2</v>
      </c>
      <c r="E2308" s="2" t="s">
        <v>1432</v>
      </c>
      <c r="F2308" s="3">
        <f>DATE(2023,6,22)</f>
        <v>45099</v>
      </c>
      <c r="G2308" s="4">
        <f t="shared" si="231"/>
        <v>6</v>
      </c>
      <c r="H2308" s="4">
        <f t="shared" si="232"/>
        <v>2023</v>
      </c>
      <c r="I2308" s="2" t="s">
        <v>4</v>
      </c>
      <c r="J2308" s="2" t="s">
        <v>3120</v>
      </c>
      <c r="K2308" s="2" t="s">
        <v>25</v>
      </c>
      <c r="L2308" s="2" t="s">
        <v>26</v>
      </c>
      <c r="M2308" s="2" t="s">
        <v>27</v>
      </c>
      <c r="N2308" s="4" t="str">
        <f t="shared" si="233"/>
        <v>GAL</v>
      </c>
      <c r="O2308" s="5">
        <v>20</v>
      </c>
    </row>
    <row r="2309" spans="2:15" x14ac:dyDescent="0.25">
      <c r="B2309" s="1" t="s">
        <v>0</v>
      </c>
      <c r="C2309" s="2" t="s">
        <v>1</v>
      </c>
      <c r="D2309" s="2" t="s">
        <v>2</v>
      </c>
      <c r="E2309" s="2" t="s">
        <v>1432</v>
      </c>
      <c r="F2309" s="3">
        <f>DATE(2023,6,22)</f>
        <v>45099</v>
      </c>
      <c r="G2309" s="4">
        <f t="shared" si="231"/>
        <v>6</v>
      </c>
      <c r="H2309" s="4">
        <f t="shared" si="232"/>
        <v>2023</v>
      </c>
      <c r="I2309" s="2" t="s">
        <v>4</v>
      </c>
      <c r="J2309" s="2" t="s">
        <v>3120</v>
      </c>
      <c r="K2309" s="2" t="s">
        <v>28</v>
      </c>
      <c r="L2309" s="2" t="s">
        <v>29</v>
      </c>
      <c r="M2309" s="2" t="s">
        <v>30</v>
      </c>
      <c r="N2309" s="4" t="str">
        <f t="shared" si="233"/>
        <v>GAL</v>
      </c>
      <c r="O2309" s="5">
        <v>10</v>
      </c>
    </row>
    <row r="2310" spans="2:15" x14ac:dyDescent="0.25">
      <c r="B2310" s="1" t="s">
        <v>0</v>
      </c>
      <c r="C2310" s="2" t="s">
        <v>1</v>
      </c>
      <c r="D2310" s="2" t="s">
        <v>2</v>
      </c>
      <c r="E2310" s="2" t="s">
        <v>1432</v>
      </c>
      <c r="F2310" s="3">
        <f>DATE(2023,6,22)</f>
        <v>45099</v>
      </c>
      <c r="G2310" s="4">
        <f t="shared" si="231"/>
        <v>6</v>
      </c>
      <c r="H2310" s="4">
        <f t="shared" si="232"/>
        <v>2023</v>
      </c>
      <c r="I2310" s="2" t="s">
        <v>4</v>
      </c>
      <c r="J2310" s="2" t="s">
        <v>3120</v>
      </c>
      <c r="K2310" s="2" t="s">
        <v>16</v>
      </c>
      <c r="L2310" s="2" t="s">
        <v>7</v>
      </c>
      <c r="M2310" s="2" t="s">
        <v>8</v>
      </c>
      <c r="N2310" s="4" t="str">
        <f t="shared" si="233"/>
        <v>GAL</v>
      </c>
      <c r="O2310" s="5">
        <v>20</v>
      </c>
    </row>
    <row r="2311" spans="2:15" x14ac:dyDescent="0.25">
      <c r="B2311" s="1" t="s">
        <v>0</v>
      </c>
      <c r="C2311" s="2" t="s">
        <v>1</v>
      </c>
      <c r="D2311" s="2" t="s">
        <v>2</v>
      </c>
      <c r="E2311" s="2" t="s">
        <v>2174</v>
      </c>
      <c r="F2311" s="3">
        <f>DATE(2023,6,29)</f>
        <v>45106</v>
      </c>
      <c r="G2311" s="4">
        <f t="shared" si="231"/>
        <v>6</v>
      </c>
      <c r="H2311" s="4">
        <f t="shared" si="232"/>
        <v>2023</v>
      </c>
      <c r="I2311" s="2" t="s">
        <v>4</v>
      </c>
      <c r="J2311" s="2" t="s">
        <v>3121</v>
      </c>
      <c r="K2311" s="2" t="s">
        <v>11</v>
      </c>
      <c r="L2311" s="2" t="s">
        <v>12</v>
      </c>
      <c r="M2311" s="2" t="s">
        <v>13</v>
      </c>
      <c r="N2311" s="4" t="str">
        <f t="shared" si="233"/>
        <v>GAL</v>
      </c>
      <c r="O2311" s="5">
        <v>55</v>
      </c>
    </row>
    <row r="2312" spans="2:15" x14ac:dyDescent="0.25">
      <c r="B2312" s="1" t="s">
        <v>88</v>
      </c>
      <c r="C2312" s="2" t="s">
        <v>89</v>
      </c>
      <c r="D2312" s="2" t="s">
        <v>146</v>
      </c>
      <c r="E2312" s="2" t="s">
        <v>147</v>
      </c>
      <c r="F2312" s="3">
        <f>DATE(2023,6,1)</f>
        <v>45078</v>
      </c>
      <c r="G2312" s="4">
        <f t="shared" si="231"/>
        <v>6</v>
      </c>
      <c r="H2312" s="4">
        <f t="shared" si="232"/>
        <v>2023</v>
      </c>
      <c r="I2312" s="2" t="s">
        <v>4</v>
      </c>
      <c r="J2312" s="2" t="s">
        <v>3122</v>
      </c>
      <c r="K2312" s="2" t="s">
        <v>149</v>
      </c>
      <c r="L2312" s="2" t="s">
        <v>150</v>
      </c>
      <c r="M2312" s="2" t="s">
        <v>21</v>
      </c>
      <c r="N2312" s="4" t="str">
        <f t="shared" si="233"/>
        <v>GAL</v>
      </c>
      <c r="O2312" s="5">
        <v>5</v>
      </c>
    </row>
    <row r="2313" spans="2:15" x14ac:dyDescent="0.25">
      <c r="B2313" s="1" t="s">
        <v>88</v>
      </c>
      <c r="C2313" s="2" t="s">
        <v>89</v>
      </c>
      <c r="D2313" s="2" t="s">
        <v>146</v>
      </c>
      <c r="E2313" s="2" t="s">
        <v>147</v>
      </c>
      <c r="F2313" s="3">
        <f>DATE(2023,6,1)</f>
        <v>45078</v>
      </c>
      <c r="G2313" s="4">
        <f t="shared" si="231"/>
        <v>6</v>
      </c>
      <c r="H2313" s="4">
        <f t="shared" si="232"/>
        <v>2023</v>
      </c>
      <c r="I2313" s="2" t="s">
        <v>4</v>
      </c>
      <c r="J2313" s="2" t="s">
        <v>3122</v>
      </c>
      <c r="K2313" s="2" t="s">
        <v>609</v>
      </c>
      <c r="L2313" s="2" t="s">
        <v>610</v>
      </c>
      <c r="M2313" s="2" t="s">
        <v>611</v>
      </c>
      <c r="N2313" s="4" t="str">
        <f t="shared" si="233"/>
        <v>GAL</v>
      </c>
      <c r="O2313" s="5">
        <v>10</v>
      </c>
    </row>
    <row r="2314" spans="2:15" x14ac:dyDescent="0.25">
      <c r="B2314" s="1" t="s">
        <v>88</v>
      </c>
      <c r="C2314" s="2" t="s">
        <v>89</v>
      </c>
      <c r="D2314" s="2" t="s">
        <v>515</v>
      </c>
      <c r="E2314" s="2" t="s">
        <v>516</v>
      </c>
      <c r="F2314" s="3">
        <f>DATE(2023,6,5)</f>
        <v>45082</v>
      </c>
      <c r="G2314" s="4">
        <f t="shared" si="231"/>
        <v>6</v>
      </c>
      <c r="H2314" s="4">
        <f t="shared" si="232"/>
        <v>2023</v>
      </c>
      <c r="I2314" s="2" t="s">
        <v>4</v>
      </c>
      <c r="J2314" s="2" t="s">
        <v>3123</v>
      </c>
      <c r="K2314" s="2" t="s">
        <v>110</v>
      </c>
      <c r="L2314" s="2" t="s">
        <v>111</v>
      </c>
      <c r="M2314" s="2" t="s">
        <v>112</v>
      </c>
      <c r="N2314" s="4" t="str">
        <f t="shared" si="233"/>
        <v>GAL</v>
      </c>
      <c r="O2314" s="5">
        <v>469.7</v>
      </c>
    </row>
    <row r="2315" spans="2:15" x14ac:dyDescent="0.25">
      <c r="B2315" s="1" t="s">
        <v>88</v>
      </c>
      <c r="C2315" s="2" t="s">
        <v>89</v>
      </c>
      <c r="D2315" s="2" t="s">
        <v>1111</v>
      </c>
      <c r="E2315" s="2" t="s">
        <v>1112</v>
      </c>
      <c r="F2315" s="3">
        <f>DATE(2023,6,9)</f>
        <v>45086</v>
      </c>
      <c r="G2315" s="4">
        <f t="shared" si="231"/>
        <v>6</v>
      </c>
      <c r="H2315" s="4">
        <f t="shared" si="232"/>
        <v>2023</v>
      </c>
      <c r="I2315" s="2" t="s">
        <v>4</v>
      </c>
      <c r="J2315" s="2" t="s">
        <v>3124</v>
      </c>
      <c r="K2315" s="2" t="s">
        <v>2629</v>
      </c>
      <c r="L2315" s="2" t="s">
        <v>2630</v>
      </c>
      <c r="M2315" s="2" t="s">
        <v>2631</v>
      </c>
      <c r="N2315" s="4" t="str">
        <f t="shared" si="233"/>
        <v>GAL</v>
      </c>
      <c r="O2315" s="5">
        <v>70</v>
      </c>
    </row>
    <row r="2316" spans="2:15" x14ac:dyDescent="0.25">
      <c r="B2316" s="1" t="s">
        <v>88</v>
      </c>
      <c r="C2316" s="2" t="s">
        <v>89</v>
      </c>
      <c r="D2316" s="2" t="s">
        <v>1111</v>
      </c>
      <c r="E2316" s="2" t="s">
        <v>1112</v>
      </c>
      <c r="F2316" s="3">
        <f>DATE(2023,6,9)</f>
        <v>45086</v>
      </c>
      <c r="G2316" s="4">
        <f t="shared" si="231"/>
        <v>6</v>
      </c>
      <c r="H2316" s="4">
        <f t="shared" si="232"/>
        <v>2023</v>
      </c>
      <c r="I2316" s="2" t="s">
        <v>4</v>
      </c>
      <c r="J2316" s="2" t="s">
        <v>3125</v>
      </c>
      <c r="K2316" s="2" t="s">
        <v>2629</v>
      </c>
      <c r="L2316" s="2" t="s">
        <v>2630</v>
      </c>
      <c r="M2316" s="2" t="s">
        <v>2631</v>
      </c>
      <c r="N2316" s="4" t="str">
        <f t="shared" si="233"/>
        <v>GAL</v>
      </c>
      <c r="O2316" s="5">
        <v>70</v>
      </c>
    </row>
    <row r="2317" spans="2:15" x14ac:dyDescent="0.25">
      <c r="B2317" s="1" t="s">
        <v>88</v>
      </c>
      <c r="C2317" s="2" t="s">
        <v>89</v>
      </c>
      <c r="D2317" s="2" t="s">
        <v>1111</v>
      </c>
      <c r="E2317" s="2" t="s">
        <v>1112</v>
      </c>
      <c r="F2317" s="3">
        <f>DATE(2023,6,9)</f>
        <v>45086</v>
      </c>
      <c r="G2317" s="4">
        <f t="shared" si="231"/>
        <v>6</v>
      </c>
      <c r="H2317" s="4">
        <f t="shared" si="232"/>
        <v>2023</v>
      </c>
      <c r="I2317" s="2" t="s">
        <v>4</v>
      </c>
      <c r="J2317" s="2" t="s">
        <v>3126</v>
      </c>
      <c r="K2317" s="2" t="s">
        <v>2629</v>
      </c>
      <c r="L2317" s="2" t="s">
        <v>2630</v>
      </c>
      <c r="M2317" s="2" t="s">
        <v>2631</v>
      </c>
      <c r="N2317" s="4" t="str">
        <f t="shared" si="233"/>
        <v>GAL</v>
      </c>
      <c r="O2317" s="5">
        <v>70</v>
      </c>
    </row>
    <row r="2318" spans="2:15" x14ac:dyDescent="0.25">
      <c r="B2318" s="1" t="s">
        <v>88</v>
      </c>
      <c r="C2318" s="2" t="s">
        <v>89</v>
      </c>
      <c r="D2318" s="2" t="s">
        <v>1111</v>
      </c>
      <c r="E2318" s="2" t="s">
        <v>1112</v>
      </c>
      <c r="F2318" s="3">
        <f>DATE(2023,6,9)</f>
        <v>45086</v>
      </c>
      <c r="G2318" s="4">
        <f t="shared" si="231"/>
        <v>6</v>
      </c>
      <c r="H2318" s="4">
        <f t="shared" si="232"/>
        <v>2023</v>
      </c>
      <c r="I2318" s="2" t="s">
        <v>4</v>
      </c>
      <c r="J2318" s="2" t="s">
        <v>3127</v>
      </c>
      <c r="K2318" s="2" t="s">
        <v>2629</v>
      </c>
      <c r="L2318" s="2" t="s">
        <v>2630</v>
      </c>
      <c r="M2318" s="2" t="s">
        <v>2631</v>
      </c>
      <c r="N2318" s="4" t="str">
        <f t="shared" si="233"/>
        <v>GAL</v>
      </c>
      <c r="O2318" s="5">
        <v>70</v>
      </c>
    </row>
    <row r="2319" spans="2:15" x14ac:dyDescent="0.25">
      <c r="B2319" s="1" t="s">
        <v>88</v>
      </c>
      <c r="C2319" s="2" t="s">
        <v>89</v>
      </c>
      <c r="D2319" s="2" t="s">
        <v>616</v>
      </c>
      <c r="E2319" s="2" t="s">
        <v>2872</v>
      </c>
      <c r="F2319" s="3">
        <f>DATE(2023,6,15)</f>
        <v>45092</v>
      </c>
      <c r="G2319" s="4">
        <f t="shared" si="231"/>
        <v>6</v>
      </c>
      <c r="H2319" s="4">
        <f t="shared" si="232"/>
        <v>2023</v>
      </c>
      <c r="I2319" s="2" t="s">
        <v>4</v>
      </c>
      <c r="J2319" s="2" t="s">
        <v>3128</v>
      </c>
      <c r="K2319" s="2" t="s">
        <v>2874</v>
      </c>
      <c r="L2319" s="2" t="s">
        <v>2875</v>
      </c>
      <c r="M2319" s="2" t="s">
        <v>2876</v>
      </c>
      <c r="N2319" s="4" t="str">
        <f t="shared" si="233"/>
        <v>GAL</v>
      </c>
      <c r="O2319" s="5">
        <v>500</v>
      </c>
    </row>
    <row r="2320" spans="2:15" x14ac:dyDescent="0.25">
      <c r="B2320" s="1" t="s">
        <v>88</v>
      </c>
      <c r="C2320" s="2" t="s">
        <v>89</v>
      </c>
      <c r="D2320" s="2" t="s">
        <v>134</v>
      </c>
      <c r="E2320" s="2" t="s">
        <v>3129</v>
      </c>
      <c r="F2320" s="3">
        <f>DATE(2023,6,16)</f>
        <v>45093</v>
      </c>
      <c r="G2320" s="4">
        <f t="shared" si="231"/>
        <v>6</v>
      </c>
      <c r="H2320" s="4">
        <f t="shared" si="232"/>
        <v>2023</v>
      </c>
      <c r="I2320" s="2" t="s">
        <v>4</v>
      </c>
      <c r="J2320" s="2" t="s">
        <v>3130</v>
      </c>
      <c r="K2320" s="2" t="s">
        <v>3131</v>
      </c>
      <c r="L2320" s="2" t="s">
        <v>3132</v>
      </c>
      <c r="M2320" s="2" t="s">
        <v>2565</v>
      </c>
      <c r="N2320" s="4" t="str">
        <f t="shared" si="233"/>
        <v>GAL</v>
      </c>
      <c r="O2320" s="5">
        <v>55</v>
      </c>
    </row>
    <row r="2321" spans="2:15" x14ac:dyDescent="0.25">
      <c r="B2321" s="1" t="s">
        <v>88</v>
      </c>
      <c r="C2321" s="2" t="s">
        <v>89</v>
      </c>
      <c r="D2321" s="2" t="s">
        <v>134</v>
      </c>
      <c r="E2321" s="2" t="s">
        <v>3129</v>
      </c>
      <c r="F2321" s="3">
        <f>DATE(2023,6,16)</f>
        <v>45093</v>
      </c>
      <c r="G2321" s="4">
        <f t="shared" si="231"/>
        <v>6</v>
      </c>
      <c r="H2321" s="4">
        <f t="shared" si="232"/>
        <v>2023</v>
      </c>
      <c r="I2321" s="2" t="s">
        <v>4</v>
      </c>
      <c r="J2321" s="2" t="s">
        <v>3130</v>
      </c>
      <c r="K2321" s="2" t="s">
        <v>19</v>
      </c>
      <c r="L2321" s="2" t="s">
        <v>1474</v>
      </c>
      <c r="M2321" s="2" t="s">
        <v>21</v>
      </c>
      <c r="N2321" s="4" t="str">
        <f t="shared" si="233"/>
        <v>GAL</v>
      </c>
      <c r="O2321" s="5">
        <v>15</v>
      </c>
    </row>
    <row r="2322" spans="2:15" x14ac:dyDescent="0.25">
      <c r="B2322" s="1" t="s">
        <v>88</v>
      </c>
      <c r="C2322" s="2" t="s">
        <v>89</v>
      </c>
      <c r="D2322" s="2" t="s">
        <v>134</v>
      </c>
      <c r="E2322" s="2" t="s">
        <v>3129</v>
      </c>
      <c r="F2322" s="3">
        <f>DATE(2023,6,16)</f>
        <v>45093</v>
      </c>
      <c r="G2322" s="4">
        <f t="shared" si="231"/>
        <v>6</v>
      </c>
      <c r="H2322" s="4">
        <f t="shared" si="232"/>
        <v>2023</v>
      </c>
      <c r="I2322" s="2" t="s">
        <v>4</v>
      </c>
      <c r="J2322" s="2" t="s">
        <v>3130</v>
      </c>
      <c r="K2322" s="2" t="s">
        <v>2098</v>
      </c>
      <c r="L2322" s="2" t="s">
        <v>3133</v>
      </c>
      <c r="M2322" s="2" t="s">
        <v>2100</v>
      </c>
      <c r="N2322" s="4" t="str">
        <f t="shared" si="233"/>
        <v>GAL</v>
      </c>
      <c r="O2322" s="5">
        <v>20</v>
      </c>
    </row>
    <row r="2323" spans="2:15" x14ac:dyDescent="0.25">
      <c r="B2323" s="1" t="s">
        <v>88</v>
      </c>
      <c r="C2323" s="2" t="s">
        <v>89</v>
      </c>
      <c r="D2323" s="2" t="s">
        <v>140</v>
      </c>
      <c r="E2323" s="2" t="s">
        <v>141</v>
      </c>
      <c r="F2323" s="3">
        <f>DATE(2023,6,20)</f>
        <v>45097</v>
      </c>
      <c r="G2323" s="4">
        <f t="shared" si="231"/>
        <v>6</v>
      </c>
      <c r="H2323" s="4">
        <f t="shared" si="232"/>
        <v>2023</v>
      </c>
      <c r="I2323" s="2" t="s">
        <v>4</v>
      </c>
      <c r="J2323" s="2" t="s">
        <v>3134</v>
      </c>
      <c r="K2323" s="2" t="s">
        <v>1464</v>
      </c>
      <c r="L2323" s="2" t="s">
        <v>1465</v>
      </c>
      <c r="M2323" s="2" t="s">
        <v>1466</v>
      </c>
      <c r="N2323" s="4" t="str">
        <f t="shared" si="233"/>
        <v>GAL</v>
      </c>
      <c r="O2323" s="5">
        <v>250</v>
      </c>
    </row>
    <row r="2324" spans="2:15" x14ac:dyDescent="0.25">
      <c r="B2324" s="1" t="s">
        <v>88</v>
      </c>
      <c r="C2324" s="2" t="s">
        <v>89</v>
      </c>
      <c r="D2324" s="2" t="s">
        <v>1444</v>
      </c>
      <c r="E2324" s="2" t="s">
        <v>102</v>
      </c>
      <c r="F2324" s="3">
        <f>DATE(2023,6,21)</f>
        <v>45098</v>
      </c>
      <c r="G2324" s="4">
        <f t="shared" si="231"/>
        <v>6</v>
      </c>
      <c r="H2324" s="4">
        <f t="shared" si="232"/>
        <v>2023</v>
      </c>
      <c r="I2324" s="2" t="s">
        <v>4</v>
      </c>
      <c r="J2324" s="2" t="s">
        <v>3135</v>
      </c>
      <c r="K2324" s="2" t="s">
        <v>3136</v>
      </c>
      <c r="L2324" s="2" t="s">
        <v>2581</v>
      </c>
      <c r="M2324" s="2" t="s">
        <v>1448</v>
      </c>
      <c r="N2324" s="4" t="str">
        <f t="shared" si="233"/>
        <v>GAL</v>
      </c>
      <c r="O2324" s="5">
        <v>150</v>
      </c>
    </row>
    <row r="2325" spans="2:15" x14ac:dyDescent="0.25">
      <c r="B2325" s="1" t="s">
        <v>88</v>
      </c>
      <c r="C2325" s="2" t="s">
        <v>89</v>
      </c>
      <c r="D2325" s="2" t="s">
        <v>1103</v>
      </c>
      <c r="E2325" s="2" t="s">
        <v>1104</v>
      </c>
      <c r="F2325" s="3">
        <f>DATE(2023,6,22)</f>
        <v>45099</v>
      </c>
      <c r="G2325" s="4">
        <f t="shared" si="231"/>
        <v>6</v>
      </c>
      <c r="H2325" s="4">
        <f t="shared" si="232"/>
        <v>2023</v>
      </c>
      <c r="I2325" s="2" t="s">
        <v>4</v>
      </c>
      <c r="J2325" s="2" t="s">
        <v>3137</v>
      </c>
      <c r="K2325" s="2" t="s">
        <v>126</v>
      </c>
      <c r="L2325" s="2" t="s">
        <v>127</v>
      </c>
      <c r="M2325" s="2" t="s">
        <v>106</v>
      </c>
      <c r="N2325" s="4" t="str">
        <f t="shared" si="233"/>
        <v>LBS</v>
      </c>
      <c r="O2325" s="5">
        <v>13150</v>
      </c>
    </row>
    <row r="2326" spans="2:15" x14ac:dyDescent="0.25">
      <c r="B2326" s="1" t="s">
        <v>88</v>
      </c>
      <c r="C2326" s="2" t="s">
        <v>89</v>
      </c>
      <c r="D2326" s="2" t="s">
        <v>515</v>
      </c>
      <c r="E2326" s="2" t="s">
        <v>516</v>
      </c>
      <c r="F2326" s="3">
        <f>DATE(2023,6,23)</f>
        <v>45100</v>
      </c>
      <c r="G2326" s="4">
        <f t="shared" si="231"/>
        <v>6</v>
      </c>
      <c r="H2326" s="4">
        <f t="shared" si="232"/>
        <v>2023</v>
      </c>
      <c r="I2326" s="2" t="s">
        <v>4</v>
      </c>
      <c r="J2326" s="2" t="s">
        <v>3138</v>
      </c>
      <c r="K2326" s="2" t="s">
        <v>110</v>
      </c>
      <c r="L2326" s="2" t="s">
        <v>111</v>
      </c>
      <c r="M2326" s="2" t="s">
        <v>112</v>
      </c>
      <c r="N2326" s="4" t="str">
        <f t="shared" si="233"/>
        <v>GAL</v>
      </c>
      <c r="O2326" s="5">
        <v>1650</v>
      </c>
    </row>
    <row r="2327" spans="2:15" x14ac:dyDescent="0.25">
      <c r="B2327" s="1" t="s">
        <v>88</v>
      </c>
      <c r="C2327" s="2" t="s">
        <v>89</v>
      </c>
      <c r="D2327" s="2" t="s">
        <v>3139</v>
      </c>
      <c r="E2327" s="2" t="s">
        <v>102</v>
      </c>
      <c r="F2327" s="3">
        <f>DATE(2023,6,23)</f>
        <v>45100</v>
      </c>
      <c r="G2327" s="4">
        <f t="shared" si="231"/>
        <v>6</v>
      </c>
      <c r="H2327" s="4">
        <f t="shared" si="232"/>
        <v>2023</v>
      </c>
      <c r="I2327" s="2" t="s">
        <v>4</v>
      </c>
      <c r="J2327" s="2" t="s">
        <v>3140</v>
      </c>
      <c r="K2327" s="2" t="s">
        <v>1734</v>
      </c>
      <c r="L2327" s="2" t="s">
        <v>1735</v>
      </c>
      <c r="M2327" s="2" t="s">
        <v>1736</v>
      </c>
      <c r="N2327" s="4" t="str">
        <f t="shared" si="233"/>
        <v>GAL</v>
      </c>
      <c r="O2327" s="5">
        <v>10</v>
      </c>
    </row>
    <row r="2328" spans="2:15" x14ac:dyDescent="0.25">
      <c r="B2328" s="1" t="s">
        <v>88</v>
      </c>
      <c r="C2328" s="2" t="s">
        <v>89</v>
      </c>
      <c r="D2328" s="2" t="s">
        <v>3141</v>
      </c>
      <c r="E2328" s="2" t="s">
        <v>102</v>
      </c>
      <c r="F2328" s="3">
        <f>DATE(2023,6,27)</f>
        <v>45104</v>
      </c>
      <c r="G2328" s="4">
        <f t="shared" si="231"/>
        <v>6</v>
      </c>
      <c r="H2328" s="4">
        <f t="shared" si="232"/>
        <v>2023</v>
      </c>
      <c r="I2328" s="2" t="s">
        <v>4</v>
      </c>
      <c r="J2328" s="2" t="s">
        <v>3142</v>
      </c>
      <c r="K2328" s="2" t="s">
        <v>1820</v>
      </c>
      <c r="L2328" s="2" t="s">
        <v>1815</v>
      </c>
      <c r="M2328" s="2" t="s">
        <v>1816</v>
      </c>
      <c r="N2328" s="4" t="str">
        <f t="shared" si="233"/>
        <v>GAL</v>
      </c>
      <c r="O2328" s="5">
        <v>1000</v>
      </c>
    </row>
    <row r="2329" spans="2:15" x14ac:dyDescent="0.25">
      <c r="B2329" s="1" t="s">
        <v>88</v>
      </c>
      <c r="C2329" s="2" t="s">
        <v>89</v>
      </c>
      <c r="D2329" s="2" t="s">
        <v>1444</v>
      </c>
      <c r="E2329" s="2" t="s">
        <v>102</v>
      </c>
      <c r="F2329" s="3">
        <f>DATE(2023,6,27)</f>
        <v>45104</v>
      </c>
      <c r="G2329" s="4">
        <f t="shared" si="231"/>
        <v>6</v>
      </c>
      <c r="H2329" s="4">
        <f t="shared" si="232"/>
        <v>2023</v>
      </c>
      <c r="I2329" s="2" t="s">
        <v>4</v>
      </c>
      <c r="J2329" s="2" t="s">
        <v>3143</v>
      </c>
      <c r="K2329" s="2" t="s">
        <v>1446</v>
      </c>
      <c r="L2329" s="2" t="s">
        <v>2581</v>
      </c>
      <c r="M2329" s="2" t="s">
        <v>1448</v>
      </c>
      <c r="N2329" s="4" t="str">
        <f t="shared" si="233"/>
        <v>GAL</v>
      </c>
      <c r="O2329" s="5">
        <v>180</v>
      </c>
    </row>
    <row r="2330" spans="2:15" x14ac:dyDescent="0.25">
      <c r="B2330" s="1" t="s">
        <v>88</v>
      </c>
      <c r="C2330" s="2" t="s">
        <v>89</v>
      </c>
      <c r="D2330" s="2" t="s">
        <v>1111</v>
      </c>
      <c r="E2330" s="2" t="s">
        <v>1112</v>
      </c>
      <c r="F2330" s="3">
        <f>DATE(2023,6,28)</f>
        <v>45105</v>
      </c>
      <c r="G2330" s="4">
        <f t="shared" si="231"/>
        <v>6</v>
      </c>
      <c r="H2330" s="4">
        <f t="shared" si="232"/>
        <v>2023</v>
      </c>
      <c r="I2330" s="2" t="s">
        <v>4</v>
      </c>
      <c r="J2330" s="2" t="s">
        <v>3144</v>
      </c>
      <c r="K2330" s="2" t="s">
        <v>2629</v>
      </c>
      <c r="L2330" s="2" t="s">
        <v>2630</v>
      </c>
      <c r="M2330" s="2" t="s">
        <v>2631</v>
      </c>
      <c r="N2330" s="4" t="str">
        <f t="shared" si="233"/>
        <v>GAL</v>
      </c>
      <c r="O2330" s="5">
        <v>70</v>
      </c>
    </row>
    <row r="2331" spans="2:15" x14ac:dyDescent="0.25">
      <c r="B2331" s="1" t="s">
        <v>88</v>
      </c>
      <c r="C2331" s="2" t="s">
        <v>89</v>
      </c>
      <c r="D2331" s="2" t="s">
        <v>1444</v>
      </c>
      <c r="E2331" s="2" t="s">
        <v>102</v>
      </c>
      <c r="F2331" s="3">
        <f>DATE(2023,6,28)</f>
        <v>45105</v>
      </c>
      <c r="G2331" s="4">
        <f t="shared" si="231"/>
        <v>6</v>
      </c>
      <c r="H2331" s="4">
        <f t="shared" si="232"/>
        <v>2023</v>
      </c>
      <c r="I2331" s="2" t="s">
        <v>4</v>
      </c>
      <c r="J2331" s="2" t="s">
        <v>3145</v>
      </c>
      <c r="K2331" s="2" t="s">
        <v>1446</v>
      </c>
      <c r="L2331" s="2" t="s">
        <v>2581</v>
      </c>
      <c r="M2331" s="2" t="s">
        <v>1448</v>
      </c>
      <c r="N2331" s="4" t="str">
        <f t="shared" si="233"/>
        <v>GAL</v>
      </c>
      <c r="O2331" s="5">
        <v>180</v>
      </c>
    </row>
    <row r="2332" spans="2:15" x14ac:dyDescent="0.25">
      <c r="B2332" s="1" t="s">
        <v>88</v>
      </c>
      <c r="C2332" s="2" t="s">
        <v>89</v>
      </c>
      <c r="D2332" s="2" t="s">
        <v>3146</v>
      </c>
      <c r="E2332" s="2" t="s">
        <v>102</v>
      </c>
      <c r="F2332" s="3">
        <f>DATE(2023,6,28)</f>
        <v>45105</v>
      </c>
      <c r="G2332" s="4">
        <f t="shared" si="231"/>
        <v>6</v>
      </c>
      <c r="H2332" s="4">
        <f t="shared" si="232"/>
        <v>2023</v>
      </c>
      <c r="I2332" s="2" t="s">
        <v>4</v>
      </c>
      <c r="J2332" s="2" t="s">
        <v>3147</v>
      </c>
      <c r="K2332" s="2" t="s">
        <v>158</v>
      </c>
      <c r="L2332" s="2" t="s">
        <v>159</v>
      </c>
      <c r="M2332" s="2" t="s">
        <v>160</v>
      </c>
      <c r="N2332" s="4" t="str">
        <f t="shared" si="233"/>
        <v>GAL</v>
      </c>
      <c r="O2332" s="5">
        <v>20</v>
      </c>
    </row>
    <row r="2333" spans="2:15" x14ac:dyDescent="0.25">
      <c r="B2333" s="1" t="s">
        <v>154</v>
      </c>
      <c r="C2333" s="2" t="s">
        <v>155</v>
      </c>
      <c r="D2333" s="2" t="s">
        <v>1838</v>
      </c>
      <c r="E2333" s="2" t="s">
        <v>1839</v>
      </c>
      <c r="F2333" s="3">
        <f>DATE(2023,6,1)</f>
        <v>45078</v>
      </c>
      <c r="G2333" s="4">
        <f t="shared" si="231"/>
        <v>6</v>
      </c>
      <c r="H2333" s="4">
        <f t="shared" si="232"/>
        <v>2023</v>
      </c>
      <c r="I2333" s="2" t="s">
        <v>4</v>
      </c>
      <c r="J2333" s="2" t="s">
        <v>3148</v>
      </c>
      <c r="K2333" s="2" t="s">
        <v>1119</v>
      </c>
      <c r="L2333" s="2" t="s">
        <v>1023</v>
      </c>
      <c r="M2333" s="2" t="s">
        <v>1024</v>
      </c>
      <c r="N2333" s="4" t="str">
        <f t="shared" si="233"/>
        <v>GAL</v>
      </c>
      <c r="O2333" s="5">
        <v>100</v>
      </c>
    </row>
    <row r="2334" spans="2:15" x14ac:dyDescent="0.25">
      <c r="B2334" s="1" t="s">
        <v>154</v>
      </c>
      <c r="C2334" s="2" t="s">
        <v>155</v>
      </c>
      <c r="D2334" s="2" t="s">
        <v>1838</v>
      </c>
      <c r="E2334" s="2" t="s">
        <v>1839</v>
      </c>
      <c r="F2334" s="3">
        <f>DATE(2023,6,1)</f>
        <v>45078</v>
      </c>
      <c r="G2334" s="4">
        <f t="shared" si="231"/>
        <v>6</v>
      </c>
      <c r="H2334" s="4">
        <f t="shared" si="232"/>
        <v>2023</v>
      </c>
      <c r="I2334" s="2" t="s">
        <v>4</v>
      </c>
      <c r="J2334" s="2" t="s">
        <v>3148</v>
      </c>
      <c r="K2334" s="2" t="s">
        <v>171</v>
      </c>
      <c r="L2334" s="2" t="s">
        <v>172</v>
      </c>
      <c r="M2334" s="2" t="s">
        <v>27</v>
      </c>
      <c r="N2334" s="4" t="str">
        <f t="shared" si="233"/>
        <v>GAL</v>
      </c>
      <c r="O2334" s="5">
        <v>1080</v>
      </c>
    </row>
    <row r="2335" spans="2:15" x14ac:dyDescent="0.25">
      <c r="B2335" s="1" t="s">
        <v>154</v>
      </c>
      <c r="C2335" s="2" t="s">
        <v>155</v>
      </c>
      <c r="D2335" s="2" t="s">
        <v>628</v>
      </c>
      <c r="E2335" s="2" t="s">
        <v>629</v>
      </c>
      <c r="F2335" s="3">
        <f>DATE(2023,6,2)</f>
        <v>45079</v>
      </c>
      <c r="G2335" s="4">
        <f t="shared" si="231"/>
        <v>6</v>
      </c>
      <c r="H2335" s="4">
        <f t="shared" si="232"/>
        <v>2023</v>
      </c>
      <c r="I2335" s="2" t="s">
        <v>4</v>
      </c>
      <c r="J2335" s="2" t="s">
        <v>3149</v>
      </c>
      <c r="K2335" s="2" t="s">
        <v>3150</v>
      </c>
      <c r="L2335" s="2" t="s">
        <v>1023</v>
      </c>
      <c r="M2335" s="2" t="s">
        <v>1024</v>
      </c>
      <c r="N2335" s="4" t="str">
        <f t="shared" si="233"/>
        <v>GAL</v>
      </c>
      <c r="O2335" s="5">
        <v>30</v>
      </c>
    </row>
    <row r="2336" spans="2:15" x14ac:dyDescent="0.25">
      <c r="B2336" s="1" t="s">
        <v>154</v>
      </c>
      <c r="C2336" s="2" t="s">
        <v>155</v>
      </c>
      <c r="D2336" s="2" t="s">
        <v>591</v>
      </c>
      <c r="E2336" s="2" t="s">
        <v>592</v>
      </c>
      <c r="F2336" s="3">
        <f>DATE(2023,6,5)</f>
        <v>45082</v>
      </c>
      <c r="G2336" s="4">
        <f t="shared" si="231"/>
        <v>6</v>
      </c>
      <c r="H2336" s="4">
        <f t="shared" si="232"/>
        <v>2023</v>
      </c>
      <c r="I2336" s="2" t="s">
        <v>4</v>
      </c>
      <c r="J2336" s="2" t="s">
        <v>3151</v>
      </c>
      <c r="K2336" s="2" t="s">
        <v>1098</v>
      </c>
      <c r="L2336" s="2" t="s">
        <v>632</v>
      </c>
      <c r="M2336" s="2" t="s">
        <v>633</v>
      </c>
      <c r="N2336" s="4" t="str">
        <f t="shared" si="233"/>
        <v>GAL</v>
      </c>
      <c r="O2336" s="5">
        <v>2853</v>
      </c>
    </row>
    <row r="2337" spans="2:15" x14ac:dyDescent="0.25">
      <c r="B2337" s="1" t="s">
        <v>154</v>
      </c>
      <c r="C2337" s="2" t="s">
        <v>155</v>
      </c>
      <c r="D2337" s="2" t="s">
        <v>1838</v>
      </c>
      <c r="E2337" s="2" t="s">
        <v>1839</v>
      </c>
      <c r="F2337" s="3">
        <f>DATE(2023,6,7)</f>
        <v>45084</v>
      </c>
      <c r="G2337" s="4">
        <f t="shared" si="231"/>
        <v>6</v>
      </c>
      <c r="H2337" s="4">
        <f t="shared" si="232"/>
        <v>2023</v>
      </c>
      <c r="I2337" s="2" t="s">
        <v>4</v>
      </c>
      <c r="J2337" s="2" t="s">
        <v>3152</v>
      </c>
      <c r="K2337" s="2" t="s">
        <v>171</v>
      </c>
      <c r="L2337" s="2" t="s">
        <v>172</v>
      </c>
      <c r="M2337" s="2" t="s">
        <v>27</v>
      </c>
      <c r="N2337" s="4" t="str">
        <f t="shared" si="233"/>
        <v>GAL</v>
      </c>
      <c r="O2337" s="5">
        <v>720</v>
      </c>
    </row>
    <row r="2338" spans="2:15" x14ac:dyDescent="0.25">
      <c r="B2338" s="1" t="s">
        <v>154</v>
      </c>
      <c r="C2338" s="2" t="s">
        <v>155</v>
      </c>
      <c r="D2338" s="2" t="s">
        <v>173</v>
      </c>
      <c r="E2338" s="2" t="s">
        <v>174</v>
      </c>
      <c r="F2338" s="3">
        <f>DATE(2023,6,7)</f>
        <v>45084</v>
      </c>
      <c r="G2338" s="4">
        <f t="shared" si="231"/>
        <v>6</v>
      </c>
      <c r="H2338" s="4">
        <f t="shared" si="232"/>
        <v>2023</v>
      </c>
      <c r="I2338" s="2" t="s">
        <v>4</v>
      </c>
      <c r="J2338" s="2" t="s">
        <v>3153</v>
      </c>
      <c r="K2338" s="2" t="s">
        <v>1869</v>
      </c>
      <c r="L2338" s="2" t="s">
        <v>172</v>
      </c>
      <c r="M2338" s="2" t="s">
        <v>27</v>
      </c>
      <c r="N2338" s="4" t="str">
        <f t="shared" si="233"/>
        <v>GAL</v>
      </c>
      <c r="O2338" s="5">
        <v>1250</v>
      </c>
    </row>
    <row r="2339" spans="2:15" x14ac:dyDescent="0.25">
      <c r="B2339" s="1" t="s">
        <v>154</v>
      </c>
      <c r="C2339" s="2" t="s">
        <v>155</v>
      </c>
      <c r="D2339" s="2" t="s">
        <v>178</v>
      </c>
      <c r="E2339" s="2" t="s">
        <v>179</v>
      </c>
      <c r="F2339" s="3">
        <f>DATE(2023,6,8)</f>
        <v>45085</v>
      </c>
      <c r="G2339" s="4">
        <f t="shared" si="231"/>
        <v>6</v>
      </c>
      <c r="H2339" s="4">
        <f t="shared" si="232"/>
        <v>2023</v>
      </c>
      <c r="I2339" s="2" t="s">
        <v>4</v>
      </c>
      <c r="J2339" s="2" t="s">
        <v>3154</v>
      </c>
      <c r="K2339" s="2" t="s">
        <v>164</v>
      </c>
      <c r="L2339" s="2" t="s">
        <v>165</v>
      </c>
      <c r="M2339" s="2" t="s">
        <v>166</v>
      </c>
      <c r="N2339" s="4" t="str">
        <f t="shared" si="233"/>
        <v>GAL</v>
      </c>
      <c r="O2339" s="5">
        <v>180</v>
      </c>
    </row>
    <row r="2340" spans="2:15" x14ac:dyDescent="0.25">
      <c r="B2340" s="1" t="s">
        <v>154</v>
      </c>
      <c r="C2340" s="2" t="s">
        <v>155</v>
      </c>
      <c r="D2340" s="2" t="s">
        <v>167</v>
      </c>
      <c r="E2340" s="2" t="s">
        <v>168</v>
      </c>
      <c r="F2340" s="3">
        <f>DATE(2023,6,9)</f>
        <v>45086</v>
      </c>
      <c r="G2340" s="4">
        <f t="shared" si="231"/>
        <v>6</v>
      </c>
      <c r="H2340" s="4">
        <f t="shared" si="232"/>
        <v>2023</v>
      </c>
      <c r="I2340" s="2" t="s">
        <v>4</v>
      </c>
      <c r="J2340" s="2" t="s">
        <v>3155</v>
      </c>
      <c r="K2340" s="2" t="s">
        <v>1820</v>
      </c>
      <c r="L2340" s="2" t="s">
        <v>1815</v>
      </c>
      <c r="M2340" s="2" t="s">
        <v>1816</v>
      </c>
      <c r="N2340" s="4" t="str">
        <f t="shared" si="233"/>
        <v>GAL</v>
      </c>
      <c r="O2340" s="5">
        <v>250</v>
      </c>
    </row>
    <row r="2341" spans="2:15" x14ac:dyDescent="0.25">
      <c r="B2341" s="1" t="s">
        <v>154</v>
      </c>
      <c r="C2341" s="2" t="s">
        <v>155</v>
      </c>
      <c r="D2341" s="2" t="s">
        <v>173</v>
      </c>
      <c r="E2341" s="2" t="s">
        <v>174</v>
      </c>
      <c r="F2341" s="3">
        <f>DATE(2023,6,14)</f>
        <v>45091</v>
      </c>
      <c r="G2341" s="4">
        <f t="shared" si="231"/>
        <v>6</v>
      </c>
      <c r="H2341" s="4">
        <f t="shared" si="232"/>
        <v>2023</v>
      </c>
      <c r="I2341" s="2" t="s">
        <v>4</v>
      </c>
      <c r="J2341" s="2" t="s">
        <v>3156</v>
      </c>
      <c r="K2341" s="2" t="s">
        <v>1814</v>
      </c>
      <c r="L2341" s="2" t="s">
        <v>1815</v>
      </c>
      <c r="M2341" s="2" t="s">
        <v>1816</v>
      </c>
      <c r="N2341" s="4" t="str">
        <f t="shared" si="233"/>
        <v>GAL</v>
      </c>
      <c r="O2341" s="5">
        <v>180</v>
      </c>
    </row>
    <row r="2342" spans="2:15" x14ac:dyDescent="0.25">
      <c r="B2342" s="1" t="s">
        <v>154</v>
      </c>
      <c r="C2342" s="2" t="s">
        <v>155</v>
      </c>
      <c r="D2342" s="2" t="s">
        <v>628</v>
      </c>
      <c r="E2342" s="2" t="s">
        <v>629</v>
      </c>
      <c r="F2342" s="3">
        <f>DATE(2023,6,15)</f>
        <v>45092</v>
      </c>
      <c r="G2342" s="4">
        <f t="shared" si="231"/>
        <v>6</v>
      </c>
      <c r="H2342" s="4">
        <f t="shared" si="232"/>
        <v>2023</v>
      </c>
      <c r="I2342" s="2" t="s">
        <v>4</v>
      </c>
      <c r="J2342" s="2" t="s">
        <v>3157</v>
      </c>
      <c r="K2342" s="2" t="s">
        <v>1119</v>
      </c>
      <c r="L2342" s="2" t="s">
        <v>1023</v>
      </c>
      <c r="M2342" s="2" t="s">
        <v>1024</v>
      </c>
      <c r="N2342" s="4" t="str">
        <f t="shared" si="233"/>
        <v>GAL</v>
      </c>
      <c r="O2342" s="5">
        <v>900</v>
      </c>
    </row>
    <row r="2343" spans="2:15" x14ac:dyDescent="0.25">
      <c r="B2343" s="1" t="s">
        <v>154</v>
      </c>
      <c r="C2343" s="2" t="s">
        <v>155</v>
      </c>
      <c r="D2343" s="2" t="s">
        <v>167</v>
      </c>
      <c r="E2343" s="2" t="s">
        <v>168</v>
      </c>
      <c r="F2343" s="3">
        <f>DATE(2023,6,20)</f>
        <v>45097</v>
      </c>
      <c r="G2343" s="4">
        <f t="shared" si="231"/>
        <v>6</v>
      </c>
      <c r="H2343" s="4">
        <f t="shared" si="232"/>
        <v>2023</v>
      </c>
      <c r="I2343" s="2" t="s">
        <v>4</v>
      </c>
      <c r="J2343" s="2" t="s">
        <v>3158</v>
      </c>
      <c r="K2343" s="2" t="s">
        <v>1853</v>
      </c>
      <c r="L2343" s="2" t="s">
        <v>1854</v>
      </c>
      <c r="M2343" s="2" t="s">
        <v>1816</v>
      </c>
      <c r="N2343" s="4" t="str">
        <f t="shared" si="233"/>
        <v>GAL</v>
      </c>
      <c r="O2343" s="5">
        <v>180</v>
      </c>
    </row>
    <row r="2344" spans="2:15" x14ac:dyDescent="0.25">
      <c r="B2344" s="1" t="s">
        <v>154</v>
      </c>
      <c r="C2344" s="2" t="s">
        <v>155</v>
      </c>
      <c r="D2344" s="2" t="s">
        <v>628</v>
      </c>
      <c r="E2344" s="2" t="s">
        <v>629</v>
      </c>
      <c r="F2344" s="3">
        <f>DATE(2023,6,21)</f>
        <v>45098</v>
      </c>
      <c r="G2344" s="4">
        <f t="shared" si="231"/>
        <v>6</v>
      </c>
      <c r="H2344" s="4">
        <f t="shared" si="232"/>
        <v>2023</v>
      </c>
      <c r="I2344" s="2" t="s">
        <v>4</v>
      </c>
      <c r="J2344" s="2" t="s">
        <v>3159</v>
      </c>
      <c r="K2344" s="2" t="s">
        <v>2600</v>
      </c>
      <c r="L2344" s="2" t="s">
        <v>1644</v>
      </c>
      <c r="M2344" s="2" t="s">
        <v>46</v>
      </c>
      <c r="N2344" s="4" t="str">
        <f t="shared" si="233"/>
        <v>GAL</v>
      </c>
      <c r="O2344" s="5">
        <v>250</v>
      </c>
    </row>
    <row r="2345" spans="2:15" x14ac:dyDescent="0.25">
      <c r="B2345" s="1" t="s">
        <v>154</v>
      </c>
      <c r="C2345" s="2" t="s">
        <v>155</v>
      </c>
      <c r="D2345" s="2" t="s">
        <v>1103</v>
      </c>
      <c r="E2345" s="2" t="s">
        <v>1104</v>
      </c>
      <c r="F2345" s="3">
        <f>DATE(2023,6,22)</f>
        <v>45099</v>
      </c>
      <c r="G2345" s="4">
        <f t="shared" si="231"/>
        <v>6</v>
      </c>
      <c r="H2345" s="4">
        <f t="shared" si="232"/>
        <v>2023</v>
      </c>
      <c r="I2345" s="2" t="s">
        <v>4</v>
      </c>
      <c r="J2345" s="2" t="s">
        <v>3160</v>
      </c>
      <c r="K2345" s="2" t="s">
        <v>1106</v>
      </c>
      <c r="L2345" s="2" t="s">
        <v>1107</v>
      </c>
      <c r="M2345" s="2" t="s">
        <v>1108</v>
      </c>
      <c r="N2345" s="4" t="str">
        <f t="shared" si="233"/>
        <v>GAL</v>
      </c>
      <c r="O2345" s="5">
        <v>1000</v>
      </c>
    </row>
    <row r="2346" spans="2:15" x14ac:dyDescent="0.25">
      <c r="B2346" s="1" t="s">
        <v>154</v>
      </c>
      <c r="C2346" s="2" t="s">
        <v>155</v>
      </c>
      <c r="D2346" s="2" t="s">
        <v>167</v>
      </c>
      <c r="E2346" s="2" t="s">
        <v>168</v>
      </c>
      <c r="F2346" s="3">
        <f>DATE(2023,6,23)</f>
        <v>45100</v>
      </c>
      <c r="G2346" s="4">
        <f t="shared" si="231"/>
        <v>6</v>
      </c>
      <c r="H2346" s="4">
        <f t="shared" si="232"/>
        <v>2023</v>
      </c>
      <c r="I2346" s="2" t="s">
        <v>4</v>
      </c>
      <c r="J2346" s="2" t="s">
        <v>3161</v>
      </c>
      <c r="K2346" s="2" t="s">
        <v>171</v>
      </c>
      <c r="L2346" s="2" t="s">
        <v>172</v>
      </c>
      <c r="M2346" s="2" t="s">
        <v>27</v>
      </c>
      <c r="N2346" s="4" t="str">
        <f t="shared" si="233"/>
        <v>GAL</v>
      </c>
      <c r="O2346" s="5">
        <v>180</v>
      </c>
    </row>
    <row r="2347" spans="2:15" x14ac:dyDescent="0.25">
      <c r="B2347" s="1" t="s">
        <v>154</v>
      </c>
      <c r="C2347" s="2" t="s">
        <v>155</v>
      </c>
      <c r="D2347" s="2" t="s">
        <v>628</v>
      </c>
      <c r="E2347" s="2" t="s">
        <v>3162</v>
      </c>
      <c r="F2347" s="3">
        <f>DATE(2023,6,23)</f>
        <v>45100</v>
      </c>
      <c r="G2347" s="4">
        <f t="shared" si="231"/>
        <v>6</v>
      </c>
      <c r="H2347" s="4">
        <f t="shared" si="232"/>
        <v>2023</v>
      </c>
      <c r="I2347" s="2" t="s">
        <v>4</v>
      </c>
      <c r="J2347" s="2" t="s">
        <v>3163</v>
      </c>
      <c r="K2347" s="2" t="s">
        <v>1098</v>
      </c>
      <c r="L2347" s="2" t="s">
        <v>632</v>
      </c>
      <c r="M2347" s="2" t="s">
        <v>633</v>
      </c>
      <c r="N2347" s="4" t="str">
        <f t="shared" si="233"/>
        <v>GAL</v>
      </c>
      <c r="O2347" s="5">
        <v>750</v>
      </c>
    </row>
    <row r="2348" spans="2:15" x14ac:dyDescent="0.25">
      <c r="B2348" s="1" t="s">
        <v>154</v>
      </c>
      <c r="C2348" s="2" t="s">
        <v>155</v>
      </c>
      <c r="D2348" s="2" t="s">
        <v>3164</v>
      </c>
      <c r="E2348" s="2" t="s">
        <v>141</v>
      </c>
      <c r="F2348" s="3">
        <f>DATE(2023,6,23)</f>
        <v>45100</v>
      </c>
      <c r="G2348" s="4">
        <f t="shared" si="231"/>
        <v>6</v>
      </c>
      <c r="H2348" s="4">
        <f t="shared" si="232"/>
        <v>2023</v>
      </c>
      <c r="I2348" s="2" t="s">
        <v>4</v>
      </c>
      <c r="J2348" s="2" t="s">
        <v>3165</v>
      </c>
      <c r="K2348" s="2" t="s">
        <v>3166</v>
      </c>
      <c r="L2348" s="2" t="s">
        <v>3167</v>
      </c>
      <c r="M2348" s="2" t="s">
        <v>2455</v>
      </c>
      <c r="N2348" s="4" t="str">
        <f t="shared" si="233"/>
        <v>GAL</v>
      </c>
      <c r="O2348" s="5">
        <v>20</v>
      </c>
    </row>
    <row r="2349" spans="2:15" x14ac:dyDescent="0.25">
      <c r="B2349" s="1" t="s">
        <v>154</v>
      </c>
      <c r="C2349" s="2" t="s">
        <v>155</v>
      </c>
      <c r="D2349" s="2" t="s">
        <v>167</v>
      </c>
      <c r="E2349" s="2" t="s">
        <v>168</v>
      </c>
      <c r="F2349" s="3">
        <f>DATE(2023,6,26)</f>
        <v>45103</v>
      </c>
      <c r="G2349" s="4">
        <f t="shared" si="231"/>
        <v>6</v>
      </c>
      <c r="H2349" s="4">
        <f t="shared" si="232"/>
        <v>2023</v>
      </c>
      <c r="I2349" s="2" t="s">
        <v>4</v>
      </c>
      <c r="J2349" s="2" t="s">
        <v>3168</v>
      </c>
      <c r="K2349" s="2" t="s">
        <v>1853</v>
      </c>
      <c r="L2349" s="2" t="s">
        <v>1854</v>
      </c>
      <c r="M2349" s="2" t="s">
        <v>1816</v>
      </c>
      <c r="N2349" s="4" t="str">
        <f t="shared" si="233"/>
        <v>GAL</v>
      </c>
      <c r="O2349" s="5">
        <v>180</v>
      </c>
    </row>
    <row r="2350" spans="2:15" x14ac:dyDescent="0.25">
      <c r="B2350" s="1" t="s">
        <v>154</v>
      </c>
      <c r="C2350" s="2" t="s">
        <v>155</v>
      </c>
      <c r="D2350" s="2" t="s">
        <v>167</v>
      </c>
      <c r="E2350" s="2" t="s">
        <v>168</v>
      </c>
      <c r="F2350" s="3">
        <f>DATE(2023,6,28)</f>
        <v>45105</v>
      </c>
      <c r="G2350" s="4">
        <f t="shared" si="231"/>
        <v>6</v>
      </c>
      <c r="H2350" s="4">
        <f t="shared" si="232"/>
        <v>2023</v>
      </c>
      <c r="I2350" s="2" t="s">
        <v>4</v>
      </c>
      <c r="J2350" s="2" t="s">
        <v>3169</v>
      </c>
      <c r="K2350" s="2" t="s">
        <v>171</v>
      </c>
      <c r="L2350" s="2" t="s">
        <v>172</v>
      </c>
      <c r="M2350" s="2" t="s">
        <v>27</v>
      </c>
      <c r="N2350" s="4" t="str">
        <f t="shared" si="233"/>
        <v>GAL</v>
      </c>
      <c r="O2350" s="5">
        <v>180</v>
      </c>
    </row>
    <row r="2351" spans="2:15" x14ac:dyDescent="0.25">
      <c r="B2351" s="1" t="s">
        <v>154</v>
      </c>
      <c r="C2351" s="2" t="s">
        <v>155</v>
      </c>
      <c r="D2351" s="2" t="s">
        <v>161</v>
      </c>
      <c r="E2351" s="2" t="s">
        <v>162</v>
      </c>
      <c r="F2351" s="3">
        <f>DATE(2023,6,30)</f>
        <v>45107</v>
      </c>
      <c r="G2351" s="4">
        <f t="shared" si="231"/>
        <v>6</v>
      </c>
      <c r="H2351" s="4">
        <f t="shared" si="232"/>
        <v>2023</v>
      </c>
      <c r="I2351" s="2" t="s">
        <v>4</v>
      </c>
      <c r="J2351" s="2" t="s">
        <v>3170</v>
      </c>
      <c r="K2351" s="2" t="s">
        <v>1814</v>
      </c>
      <c r="L2351" s="2" t="s">
        <v>1815</v>
      </c>
      <c r="M2351" s="2" t="s">
        <v>1816</v>
      </c>
      <c r="N2351" s="4" t="str">
        <f t="shared" si="233"/>
        <v>GAL</v>
      </c>
      <c r="O2351" s="5">
        <v>180</v>
      </c>
    </row>
    <row r="2352" spans="2:15" x14ac:dyDescent="0.25">
      <c r="B2352" s="1" t="s">
        <v>1520</v>
      </c>
      <c r="C2352" s="2" t="s">
        <v>196</v>
      </c>
      <c r="D2352" s="2" t="s">
        <v>241</v>
      </c>
      <c r="E2352" s="2" t="s">
        <v>258</v>
      </c>
      <c r="F2352" s="3">
        <f>DATE(2023,6,7)</f>
        <v>45084</v>
      </c>
      <c r="G2352" s="4">
        <f t="shared" si="231"/>
        <v>6</v>
      </c>
      <c r="H2352" s="4">
        <f t="shared" si="232"/>
        <v>2023</v>
      </c>
      <c r="I2352" s="2" t="s">
        <v>4</v>
      </c>
      <c r="J2352" s="2" t="s">
        <v>3171</v>
      </c>
      <c r="K2352" s="2" t="s">
        <v>260</v>
      </c>
      <c r="L2352" s="2" t="s">
        <v>261</v>
      </c>
      <c r="M2352" s="2" t="s">
        <v>119</v>
      </c>
      <c r="N2352" s="4" t="str">
        <f t="shared" si="233"/>
        <v>TON</v>
      </c>
      <c r="O2352" s="5">
        <v>2.2524999999999999</v>
      </c>
    </row>
    <row r="2353" spans="2:15" x14ac:dyDescent="0.25">
      <c r="B2353" s="1" t="s">
        <v>1520</v>
      </c>
      <c r="C2353" s="2" t="s">
        <v>196</v>
      </c>
      <c r="D2353" s="2" t="s">
        <v>294</v>
      </c>
      <c r="E2353" s="2" t="s">
        <v>295</v>
      </c>
      <c r="F2353" s="3">
        <f>DATE(2023,6,7)</f>
        <v>45084</v>
      </c>
      <c r="G2353" s="4">
        <f t="shared" si="231"/>
        <v>6</v>
      </c>
      <c r="H2353" s="4">
        <f t="shared" si="232"/>
        <v>2023</v>
      </c>
      <c r="I2353" s="2" t="s">
        <v>4</v>
      </c>
      <c r="J2353" s="2" t="s">
        <v>3172</v>
      </c>
      <c r="K2353" s="2" t="s">
        <v>122</v>
      </c>
      <c r="L2353" s="2" t="s">
        <v>123</v>
      </c>
      <c r="M2353" s="2" t="s">
        <v>119</v>
      </c>
      <c r="N2353" s="4" t="str">
        <f t="shared" si="233"/>
        <v>TON</v>
      </c>
      <c r="O2353" s="5">
        <v>7.5</v>
      </c>
    </row>
    <row r="2354" spans="2:15" x14ac:dyDescent="0.25">
      <c r="B2354" s="1" t="s">
        <v>1520</v>
      </c>
      <c r="C2354" s="2" t="s">
        <v>196</v>
      </c>
      <c r="D2354" s="2" t="s">
        <v>253</v>
      </c>
      <c r="E2354" s="2" t="s">
        <v>254</v>
      </c>
      <c r="F2354" s="3">
        <f>DATE(2023,6,9)</f>
        <v>45086</v>
      </c>
      <c r="G2354" s="4">
        <f t="shared" si="231"/>
        <v>6</v>
      </c>
      <c r="H2354" s="4">
        <f t="shared" si="232"/>
        <v>2023</v>
      </c>
      <c r="I2354" s="2" t="s">
        <v>4</v>
      </c>
      <c r="J2354" s="2" t="s">
        <v>3173</v>
      </c>
      <c r="K2354" s="2" t="s">
        <v>256</v>
      </c>
      <c r="L2354" s="2" t="s">
        <v>257</v>
      </c>
      <c r="M2354" s="2" t="s">
        <v>119</v>
      </c>
      <c r="N2354" s="4" t="str">
        <f t="shared" si="233"/>
        <v>TON</v>
      </c>
      <c r="O2354" s="5">
        <v>2.5</v>
      </c>
    </row>
    <row r="2355" spans="2:15" x14ac:dyDescent="0.25">
      <c r="B2355" s="1" t="s">
        <v>1520</v>
      </c>
      <c r="C2355" s="2" t="s">
        <v>196</v>
      </c>
      <c r="D2355" s="2" t="s">
        <v>241</v>
      </c>
      <c r="E2355" s="2" t="s">
        <v>258</v>
      </c>
      <c r="F2355" s="3">
        <f>DATE(2023,6,12)</f>
        <v>45089</v>
      </c>
      <c r="G2355" s="4">
        <f t="shared" si="231"/>
        <v>6</v>
      </c>
      <c r="H2355" s="4">
        <f t="shared" si="232"/>
        <v>2023</v>
      </c>
      <c r="I2355" s="2" t="s">
        <v>4</v>
      </c>
      <c r="J2355" s="2" t="s">
        <v>3174</v>
      </c>
      <c r="K2355" s="2" t="s">
        <v>260</v>
      </c>
      <c r="L2355" s="2" t="s">
        <v>261</v>
      </c>
      <c r="M2355" s="2" t="s">
        <v>119</v>
      </c>
      <c r="N2355" s="4" t="str">
        <f t="shared" si="233"/>
        <v>TON</v>
      </c>
      <c r="O2355" s="5">
        <v>2.25</v>
      </c>
    </row>
    <row r="2356" spans="2:15" x14ac:dyDescent="0.25">
      <c r="B2356" s="1" t="s">
        <v>1520</v>
      </c>
      <c r="C2356" s="2" t="s">
        <v>196</v>
      </c>
      <c r="D2356" s="2" t="s">
        <v>507</v>
      </c>
      <c r="E2356" s="2" t="s">
        <v>2902</v>
      </c>
      <c r="F2356" s="3">
        <f>DATE(2023,6,13)</f>
        <v>45090</v>
      </c>
      <c r="G2356" s="4">
        <f t="shared" si="231"/>
        <v>6</v>
      </c>
      <c r="H2356" s="4">
        <f t="shared" si="232"/>
        <v>2023</v>
      </c>
      <c r="I2356" s="2" t="s">
        <v>4</v>
      </c>
      <c r="J2356" s="2" t="s">
        <v>3175</v>
      </c>
      <c r="K2356" s="2" t="s">
        <v>513</v>
      </c>
      <c r="L2356" s="2" t="s">
        <v>514</v>
      </c>
      <c r="M2356" s="2" t="s">
        <v>119</v>
      </c>
      <c r="N2356" s="4" t="str">
        <f t="shared" si="233"/>
        <v>TON</v>
      </c>
      <c r="O2356" s="5">
        <v>12.5</v>
      </c>
    </row>
    <row r="2357" spans="2:15" x14ac:dyDescent="0.25">
      <c r="B2357" s="1" t="s">
        <v>1520</v>
      </c>
      <c r="C2357" s="2" t="s">
        <v>196</v>
      </c>
      <c r="D2357" s="2" t="s">
        <v>210</v>
      </c>
      <c r="E2357" s="2" t="s">
        <v>3176</v>
      </c>
      <c r="F2357" s="3">
        <f>DATE(2023,6,14)</f>
        <v>45091</v>
      </c>
      <c r="G2357" s="4">
        <f t="shared" si="231"/>
        <v>6</v>
      </c>
      <c r="H2357" s="4">
        <f t="shared" si="232"/>
        <v>2023</v>
      </c>
      <c r="I2357" s="2" t="s">
        <v>4</v>
      </c>
      <c r="J2357" s="2" t="s">
        <v>3177</v>
      </c>
      <c r="K2357" s="2" t="s">
        <v>351</v>
      </c>
      <c r="L2357" s="2" t="s">
        <v>352</v>
      </c>
      <c r="M2357" s="2" t="s">
        <v>119</v>
      </c>
      <c r="N2357" s="4" t="str">
        <f t="shared" si="233"/>
        <v>TON</v>
      </c>
      <c r="O2357" s="5">
        <v>15.01</v>
      </c>
    </row>
    <row r="2358" spans="2:15" x14ac:dyDescent="0.25">
      <c r="B2358" s="1" t="s">
        <v>1520</v>
      </c>
      <c r="C2358" s="2" t="s">
        <v>196</v>
      </c>
      <c r="D2358" s="2" t="s">
        <v>241</v>
      </c>
      <c r="E2358" s="2" t="s">
        <v>258</v>
      </c>
      <c r="F2358" s="3">
        <f>DATE(2023,6,21)</f>
        <v>45098</v>
      </c>
      <c r="G2358" s="4">
        <f t="shared" si="231"/>
        <v>6</v>
      </c>
      <c r="H2358" s="4">
        <f t="shared" si="232"/>
        <v>2023</v>
      </c>
      <c r="I2358" s="2" t="s">
        <v>4</v>
      </c>
      <c r="J2358" s="2" t="s">
        <v>3178</v>
      </c>
      <c r="K2358" s="2" t="s">
        <v>260</v>
      </c>
      <c r="L2358" s="2" t="s">
        <v>261</v>
      </c>
      <c r="M2358" s="2" t="s">
        <v>119</v>
      </c>
      <c r="N2358" s="4" t="str">
        <f t="shared" si="233"/>
        <v>TON</v>
      </c>
      <c r="O2358" s="5">
        <v>2.1</v>
      </c>
    </row>
    <row r="2359" spans="2:15" x14ac:dyDescent="0.25">
      <c r="B2359" s="1" t="s">
        <v>1520</v>
      </c>
      <c r="C2359" s="2" t="s">
        <v>196</v>
      </c>
      <c r="D2359" s="2" t="s">
        <v>218</v>
      </c>
      <c r="E2359" s="2" t="s">
        <v>3179</v>
      </c>
      <c r="F2359" s="3">
        <f>DATE(2023,6,22)</f>
        <v>45099</v>
      </c>
      <c r="G2359" s="4">
        <f t="shared" si="231"/>
        <v>6</v>
      </c>
      <c r="H2359" s="4">
        <f t="shared" si="232"/>
        <v>2023</v>
      </c>
      <c r="I2359" s="2" t="s">
        <v>4</v>
      </c>
      <c r="J2359" s="2" t="s">
        <v>3180</v>
      </c>
      <c r="K2359" s="2" t="s">
        <v>220</v>
      </c>
      <c r="L2359" s="2" t="s">
        <v>201</v>
      </c>
      <c r="M2359" s="2" t="s">
        <v>202</v>
      </c>
      <c r="N2359" s="4" t="str">
        <f t="shared" si="233"/>
        <v>GAL</v>
      </c>
      <c r="O2359" s="5">
        <v>250</v>
      </c>
    </row>
    <row r="2360" spans="2:15" x14ac:dyDescent="0.25">
      <c r="B2360" s="1" t="s">
        <v>1520</v>
      </c>
      <c r="C2360" s="2" t="s">
        <v>196</v>
      </c>
      <c r="D2360" s="2" t="s">
        <v>2755</v>
      </c>
      <c r="E2360" s="2" t="s">
        <v>141</v>
      </c>
      <c r="F2360" s="3">
        <f>DATE(2023,6,28)</f>
        <v>45105</v>
      </c>
      <c r="G2360" s="4">
        <f t="shared" si="231"/>
        <v>6</v>
      </c>
      <c r="H2360" s="4">
        <f t="shared" si="232"/>
        <v>2023</v>
      </c>
      <c r="I2360" s="2" t="s">
        <v>4</v>
      </c>
      <c r="J2360" s="2" t="s">
        <v>3181</v>
      </c>
      <c r="K2360" s="2" t="s">
        <v>244</v>
      </c>
      <c r="L2360" s="2" t="s">
        <v>182</v>
      </c>
      <c r="M2360" s="2" t="s">
        <v>183</v>
      </c>
      <c r="N2360" s="4" t="str">
        <f t="shared" si="233"/>
        <v>GAL</v>
      </c>
      <c r="O2360" s="5">
        <v>5</v>
      </c>
    </row>
    <row r="2361" spans="2:15" x14ac:dyDescent="0.25">
      <c r="B2361" s="1" t="s">
        <v>1520</v>
      </c>
      <c r="C2361" s="2" t="s">
        <v>196</v>
      </c>
      <c r="D2361" s="2" t="s">
        <v>253</v>
      </c>
      <c r="E2361" s="2" t="s">
        <v>254</v>
      </c>
      <c r="F2361" s="3">
        <f>DATE(2023,6,30)</f>
        <v>45107</v>
      </c>
      <c r="G2361" s="4">
        <f t="shared" si="231"/>
        <v>6</v>
      </c>
      <c r="H2361" s="4">
        <f t="shared" si="232"/>
        <v>2023</v>
      </c>
      <c r="I2361" s="2" t="s">
        <v>4</v>
      </c>
      <c r="J2361" s="2" t="s">
        <v>3182</v>
      </c>
      <c r="K2361" s="2" t="s">
        <v>256</v>
      </c>
      <c r="L2361" s="2" t="s">
        <v>257</v>
      </c>
      <c r="M2361" s="2" t="s">
        <v>119</v>
      </c>
      <c r="N2361" s="4" t="str">
        <f t="shared" si="233"/>
        <v>TON</v>
      </c>
      <c r="O2361" s="5">
        <v>2.5</v>
      </c>
    </row>
    <row r="2362" spans="2:15" x14ac:dyDescent="0.25">
      <c r="B2362" s="1" t="s">
        <v>1520</v>
      </c>
      <c r="C2362" s="2" t="s">
        <v>196</v>
      </c>
      <c r="D2362" s="2" t="s">
        <v>241</v>
      </c>
      <c r="E2362" s="2" t="s">
        <v>258</v>
      </c>
      <c r="F2362" s="3">
        <f>DATE(2023,6,30)</f>
        <v>45107</v>
      </c>
      <c r="G2362" s="4">
        <f t="shared" si="231"/>
        <v>6</v>
      </c>
      <c r="H2362" s="4">
        <f t="shared" si="232"/>
        <v>2023</v>
      </c>
      <c r="I2362" s="2" t="s">
        <v>4</v>
      </c>
      <c r="J2362" s="2" t="s">
        <v>3183</v>
      </c>
      <c r="K2362" s="2" t="s">
        <v>260</v>
      </c>
      <c r="L2362" s="2" t="s">
        <v>261</v>
      </c>
      <c r="M2362" s="2" t="s">
        <v>119</v>
      </c>
      <c r="N2362" s="4" t="str">
        <f t="shared" si="233"/>
        <v>TON</v>
      </c>
      <c r="O2362" s="5">
        <v>2.2574999999999998</v>
      </c>
    </row>
    <row r="2363" spans="2:15" x14ac:dyDescent="0.25">
      <c r="B2363" s="1" t="s">
        <v>645</v>
      </c>
      <c r="C2363" s="2" t="s">
        <v>196</v>
      </c>
      <c r="D2363" s="2" t="s">
        <v>888</v>
      </c>
      <c r="E2363" s="2" t="s">
        <v>888</v>
      </c>
      <c r="F2363" s="3">
        <f>DATE(2023,6,30)</f>
        <v>45107</v>
      </c>
      <c r="G2363" s="4">
        <f t="shared" si="231"/>
        <v>6</v>
      </c>
      <c r="H2363" s="4">
        <f t="shared" si="232"/>
        <v>2023</v>
      </c>
      <c r="I2363" s="2" t="s">
        <v>4</v>
      </c>
      <c r="J2363" s="2" t="s">
        <v>3184</v>
      </c>
      <c r="K2363" s="2" t="s">
        <v>268</v>
      </c>
      <c r="L2363" s="2" t="s">
        <v>269</v>
      </c>
      <c r="M2363" s="2" t="s">
        <v>119</v>
      </c>
      <c r="N2363" s="4" t="str">
        <f t="shared" si="233"/>
        <v>TON</v>
      </c>
      <c r="O2363" s="5">
        <v>0.15</v>
      </c>
    </row>
    <row r="2364" spans="2:15" x14ac:dyDescent="0.25">
      <c r="B2364" s="6" t="s">
        <v>382</v>
      </c>
      <c r="C2364" s="7" t="s">
        <v>506</v>
      </c>
      <c r="D2364" s="8" t="s">
        <v>995</v>
      </c>
      <c r="E2364" s="8" t="s">
        <v>1721</v>
      </c>
      <c r="F2364" s="9">
        <f>DATE(2023,6,6)</f>
        <v>45083</v>
      </c>
      <c r="G2364" s="10">
        <f t="shared" si="231"/>
        <v>6</v>
      </c>
      <c r="H2364" s="10">
        <f t="shared" si="232"/>
        <v>2023</v>
      </c>
      <c r="I2364" s="8" t="s">
        <v>4</v>
      </c>
      <c r="J2364" s="8" t="s">
        <v>3185</v>
      </c>
      <c r="K2364" s="8" t="s">
        <v>1723</v>
      </c>
      <c r="L2364" s="8" t="s">
        <v>1724</v>
      </c>
      <c r="M2364" s="8" t="s">
        <v>13</v>
      </c>
      <c r="N2364" s="10" t="str">
        <f t="shared" si="233"/>
        <v>GAL</v>
      </c>
      <c r="O2364" s="11">
        <v>250</v>
      </c>
    </row>
    <row r="2365" spans="2:15" x14ac:dyDescent="0.25">
      <c r="B2365" s="1" t="s">
        <v>382</v>
      </c>
      <c r="C2365" s="2" t="s">
        <v>506</v>
      </c>
      <c r="D2365" s="2" t="s">
        <v>995</v>
      </c>
      <c r="E2365" s="2" t="s">
        <v>3186</v>
      </c>
      <c r="F2365" s="3">
        <f>DATE(2023,6,5)</f>
        <v>45082</v>
      </c>
      <c r="G2365" s="4">
        <f t="shared" si="231"/>
        <v>6</v>
      </c>
      <c r="H2365" s="4">
        <f t="shared" si="232"/>
        <v>2023</v>
      </c>
      <c r="I2365" s="2" t="s">
        <v>4</v>
      </c>
      <c r="J2365" s="2" t="s">
        <v>3187</v>
      </c>
      <c r="K2365" s="2" t="s">
        <v>3188</v>
      </c>
      <c r="L2365" s="2" t="s">
        <v>999</v>
      </c>
      <c r="M2365" s="2" t="s">
        <v>1000</v>
      </c>
      <c r="N2365" s="4" t="str">
        <f t="shared" si="233"/>
        <v>GAL</v>
      </c>
      <c r="O2365" s="5">
        <v>55</v>
      </c>
    </row>
    <row r="2366" spans="2:15" x14ac:dyDescent="0.25">
      <c r="B2366" s="1" t="s">
        <v>382</v>
      </c>
      <c r="C2366" s="2" t="s">
        <v>506</v>
      </c>
      <c r="D2366" s="2" t="s">
        <v>507</v>
      </c>
      <c r="E2366" s="2" t="s">
        <v>141</v>
      </c>
      <c r="F2366" s="3">
        <f>DATE(2023,6,14)</f>
        <v>45091</v>
      </c>
      <c r="G2366" s="4">
        <f t="shared" si="231"/>
        <v>6</v>
      </c>
      <c r="H2366" s="4">
        <f t="shared" si="232"/>
        <v>2023</v>
      </c>
      <c r="I2366" s="2" t="s">
        <v>4</v>
      </c>
      <c r="J2366" s="2" t="s">
        <v>3189</v>
      </c>
      <c r="K2366" s="2" t="s">
        <v>1505</v>
      </c>
      <c r="L2366" s="2" t="s">
        <v>182</v>
      </c>
      <c r="M2366" s="2" t="s">
        <v>183</v>
      </c>
      <c r="N2366" s="4" t="str">
        <f t="shared" si="233"/>
        <v>GAL</v>
      </c>
      <c r="O2366" s="5">
        <v>500</v>
      </c>
    </row>
    <row r="2367" spans="2:15" x14ac:dyDescent="0.25">
      <c r="B2367" s="1" t="s">
        <v>382</v>
      </c>
      <c r="C2367" s="2" t="s">
        <v>506</v>
      </c>
      <c r="D2367" s="2" t="s">
        <v>515</v>
      </c>
      <c r="E2367" s="2" t="s">
        <v>516</v>
      </c>
      <c r="F2367" s="3">
        <f>DATE(2023,6,23)</f>
        <v>45100</v>
      </c>
      <c r="G2367" s="4">
        <f t="shared" si="231"/>
        <v>6</v>
      </c>
      <c r="H2367" s="4">
        <f t="shared" si="232"/>
        <v>2023</v>
      </c>
      <c r="I2367" s="2" t="s">
        <v>4</v>
      </c>
      <c r="J2367" s="2" t="s">
        <v>3190</v>
      </c>
      <c r="K2367" s="2" t="s">
        <v>19</v>
      </c>
      <c r="L2367" s="2" t="s">
        <v>565</v>
      </c>
      <c r="M2367" s="2" t="s">
        <v>21</v>
      </c>
      <c r="N2367" s="4" t="str">
        <f t="shared" si="233"/>
        <v>GAL</v>
      </c>
      <c r="O2367" s="5">
        <v>60</v>
      </c>
    </row>
    <row r="2368" spans="2:15" x14ac:dyDescent="0.25">
      <c r="B2368" s="1" t="s">
        <v>382</v>
      </c>
      <c r="C2368" s="2" t="s">
        <v>506</v>
      </c>
      <c r="D2368" s="2" t="s">
        <v>515</v>
      </c>
      <c r="E2368" s="2" t="s">
        <v>516</v>
      </c>
      <c r="F2368" s="3">
        <f>DATE(2023,6,23)</f>
        <v>45100</v>
      </c>
      <c r="G2368" s="4">
        <f t="shared" si="231"/>
        <v>6</v>
      </c>
      <c r="H2368" s="4">
        <f t="shared" si="232"/>
        <v>2023</v>
      </c>
      <c r="I2368" s="2" t="s">
        <v>4</v>
      </c>
      <c r="J2368" s="2" t="s">
        <v>3190</v>
      </c>
      <c r="K2368" s="2" t="s">
        <v>3191</v>
      </c>
      <c r="L2368" s="2" t="s">
        <v>3192</v>
      </c>
      <c r="M2368" s="2" t="s">
        <v>2168</v>
      </c>
      <c r="N2368" s="4" t="str">
        <f t="shared" si="233"/>
        <v>GAL</v>
      </c>
      <c r="O2368" s="5">
        <v>60</v>
      </c>
    </row>
    <row r="2369" spans="2:15" x14ac:dyDescent="0.25">
      <c r="B2369" s="1" t="s">
        <v>382</v>
      </c>
      <c r="C2369" s="2" t="s">
        <v>506</v>
      </c>
      <c r="D2369" s="2" t="s">
        <v>515</v>
      </c>
      <c r="E2369" s="2" t="s">
        <v>516</v>
      </c>
      <c r="F2369" s="3">
        <f>DATE(2023,6,23)</f>
        <v>45100</v>
      </c>
      <c r="G2369" s="4">
        <f t="shared" si="231"/>
        <v>6</v>
      </c>
      <c r="H2369" s="4">
        <f t="shared" si="232"/>
        <v>2023</v>
      </c>
      <c r="I2369" s="2" t="s">
        <v>4</v>
      </c>
      <c r="J2369" s="2" t="s">
        <v>3190</v>
      </c>
      <c r="K2369" s="2" t="s">
        <v>1729</v>
      </c>
      <c r="L2369" s="2" t="s">
        <v>2073</v>
      </c>
      <c r="M2369" s="2" t="s">
        <v>1731</v>
      </c>
      <c r="N2369" s="4" t="str">
        <f t="shared" si="233"/>
        <v>GAL</v>
      </c>
      <c r="O2369" s="5">
        <v>60</v>
      </c>
    </row>
    <row r="2370" spans="2:15" x14ac:dyDescent="0.25">
      <c r="B2370" s="1" t="s">
        <v>382</v>
      </c>
      <c r="C2370" s="2" t="s">
        <v>506</v>
      </c>
      <c r="D2370" s="2" t="s">
        <v>521</v>
      </c>
      <c r="E2370" s="2" t="s">
        <v>522</v>
      </c>
      <c r="F2370" s="3">
        <f>DATE(2023,6,27)</f>
        <v>45104</v>
      </c>
      <c r="G2370" s="4">
        <f t="shared" si="231"/>
        <v>6</v>
      </c>
      <c r="H2370" s="4">
        <f t="shared" si="232"/>
        <v>2023</v>
      </c>
      <c r="I2370" s="2" t="s">
        <v>4</v>
      </c>
      <c r="J2370" s="2" t="s">
        <v>3193</v>
      </c>
      <c r="K2370" s="2" t="s">
        <v>1395</v>
      </c>
      <c r="L2370" s="2" t="s">
        <v>1396</v>
      </c>
      <c r="M2370" s="2" t="s">
        <v>1397</v>
      </c>
      <c r="N2370" s="4" t="str">
        <f t="shared" si="233"/>
        <v>GAL</v>
      </c>
      <c r="O2370" s="5">
        <v>180</v>
      </c>
    </row>
    <row r="2371" spans="2:15" x14ac:dyDescent="0.25">
      <c r="B2371" s="1" t="s">
        <v>645</v>
      </c>
      <c r="C2371" s="2" t="s">
        <v>1018</v>
      </c>
      <c r="D2371" s="2" t="s">
        <v>2456</v>
      </c>
      <c r="E2371" s="2" t="s">
        <v>3194</v>
      </c>
      <c r="F2371" s="3">
        <f>DATE(2023,6,1)</f>
        <v>45078</v>
      </c>
      <c r="G2371" s="4">
        <f t="shared" ref="G2371:G2434" si="234">+MONTH(F2371)</f>
        <v>6</v>
      </c>
      <c r="H2371" s="4">
        <f t="shared" ref="H2371:H2422" si="235">+YEAR(F2371)</f>
        <v>2023</v>
      </c>
      <c r="I2371" s="2" t="s">
        <v>4</v>
      </c>
      <c r="J2371" s="2" t="s">
        <v>3195</v>
      </c>
      <c r="K2371" s="2" t="s">
        <v>1496</v>
      </c>
      <c r="L2371" s="2" t="s">
        <v>159</v>
      </c>
      <c r="M2371" s="2" t="s">
        <v>160</v>
      </c>
      <c r="N2371" s="4" t="str">
        <f t="shared" ref="N2371:N2434" si="236">+LEFT(M2371,3)</f>
        <v>GAL</v>
      </c>
      <c r="O2371" s="5">
        <v>2500</v>
      </c>
    </row>
    <row r="2372" spans="2:15" x14ac:dyDescent="0.25">
      <c r="B2372" s="1" t="s">
        <v>645</v>
      </c>
      <c r="C2372" s="2" t="s">
        <v>1018</v>
      </c>
      <c r="D2372" s="2" t="s">
        <v>2456</v>
      </c>
      <c r="E2372" s="2" t="s">
        <v>3194</v>
      </c>
      <c r="F2372" s="3">
        <f>DATE(2023,6,1)</f>
        <v>45078</v>
      </c>
      <c r="G2372" s="4">
        <f t="shared" si="234"/>
        <v>6</v>
      </c>
      <c r="H2372" s="4">
        <f t="shared" si="235"/>
        <v>2023</v>
      </c>
      <c r="I2372" s="2" t="s">
        <v>4</v>
      </c>
      <c r="J2372" s="2" t="s">
        <v>3195</v>
      </c>
      <c r="K2372" s="2" t="s">
        <v>158</v>
      </c>
      <c r="L2372" s="2" t="s">
        <v>159</v>
      </c>
      <c r="M2372" s="2" t="s">
        <v>160</v>
      </c>
      <c r="N2372" s="4" t="str">
        <f t="shared" si="236"/>
        <v>GAL</v>
      </c>
      <c r="O2372" s="5">
        <v>180</v>
      </c>
    </row>
    <row r="2373" spans="2:15" x14ac:dyDescent="0.25">
      <c r="B2373" s="1" t="s">
        <v>782</v>
      </c>
      <c r="C2373" s="2" t="s">
        <v>1018</v>
      </c>
      <c r="D2373" s="2" t="s">
        <v>3196</v>
      </c>
      <c r="E2373" s="2" t="s">
        <v>102</v>
      </c>
      <c r="F2373" s="3">
        <f>DATE(2023,6,5)</f>
        <v>45082</v>
      </c>
      <c r="G2373" s="4">
        <f t="shared" si="234"/>
        <v>6</v>
      </c>
      <c r="H2373" s="4">
        <f t="shared" si="235"/>
        <v>2023</v>
      </c>
      <c r="I2373" s="2" t="s">
        <v>4</v>
      </c>
      <c r="J2373" s="2" t="s">
        <v>3197</v>
      </c>
      <c r="K2373" s="2" t="s">
        <v>158</v>
      </c>
      <c r="L2373" s="2" t="s">
        <v>159</v>
      </c>
      <c r="M2373" s="2" t="s">
        <v>160</v>
      </c>
      <c r="N2373" s="4" t="str">
        <f t="shared" si="236"/>
        <v>GAL</v>
      </c>
      <c r="O2373" s="5">
        <v>530</v>
      </c>
    </row>
    <row r="2374" spans="2:15" x14ac:dyDescent="0.25">
      <c r="B2374" s="1" t="s">
        <v>782</v>
      </c>
      <c r="C2374" s="2" t="s">
        <v>1018</v>
      </c>
      <c r="D2374" s="2" t="s">
        <v>3198</v>
      </c>
      <c r="E2374" s="2" t="s">
        <v>3199</v>
      </c>
      <c r="F2374" s="3">
        <f>DATE(2023,6,7)</f>
        <v>45084</v>
      </c>
      <c r="G2374" s="4">
        <f t="shared" si="234"/>
        <v>6</v>
      </c>
      <c r="H2374" s="4">
        <f t="shared" si="235"/>
        <v>2023</v>
      </c>
      <c r="I2374" s="2" t="s">
        <v>4</v>
      </c>
      <c r="J2374" s="2" t="s">
        <v>3200</v>
      </c>
      <c r="K2374" s="2" t="s">
        <v>1496</v>
      </c>
      <c r="L2374" s="2" t="s">
        <v>159</v>
      </c>
      <c r="M2374" s="2" t="s">
        <v>160</v>
      </c>
      <c r="N2374" s="4" t="str">
        <f t="shared" si="236"/>
        <v>GAL</v>
      </c>
      <c r="O2374" s="5">
        <v>1500</v>
      </c>
    </row>
    <row r="2375" spans="2:15" x14ac:dyDescent="0.25">
      <c r="B2375" s="1" t="s">
        <v>782</v>
      </c>
      <c r="C2375" s="2" t="s">
        <v>1018</v>
      </c>
      <c r="D2375" s="2" t="s">
        <v>3198</v>
      </c>
      <c r="E2375" s="2" t="s">
        <v>3199</v>
      </c>
      <c r="F2375" s="3">
        <f>DATE(2023,6,7)</f>
        <v>45084</v>
      </c>
      <c r="G2375" s="4">
        <f t="shared" si="234"/>
        <v>6</v>
      </c>
      <c r="H2375" s="4">
        <f t="shared" si="235"/>
        <v>2023</v>
      </c>
      <c r="I2375" s="2" t="s">
        <v>4</v>
      </c>
      <c r="J2375" s="2" t="s">
        <v>3200</v>
      </c>
      <c r="K2375" s="2" t="s">
        <v>158</v>
      </c>
      <c r="L2375" s="2" t="s">
        <v>159</v>
      </c>
      <c r="M2375" s="2" t="s">
        <v>160</v>
      </c>
      <c r="N2375" s="4" t="str">
        <f t="shared" si="236"/>
        <v>GAL</v>
      </c>
      <c r="O2375" s="5">
        <v>40</v>
      </c>
    </row>
    <row r="2376" spans="2:15" x14ac:dyDescent="0.25">
      <c r="B2376" s="1" t="s">
        <v>782</v>
      </c>
      <c r="C2376" s="2" t="s">
        <v>1018</v>
      </c>
      <c r="D2376" s="2" t="s">
        <v>2448</v>
      </c>
      <c r="E2376" s="2" t="s">
        <v>3040</v>
      </c>
      <c r="F2376" s="3">
        <f>DATE(2023,6,9)</f>
        <v>45086</v>
      </c>
      <c r="G2376" s="4">
        <f t="shared" si="234"/>
        <v>6</v>
      </c>
      <c r="H2376" s="4">
        <f t="shared" si="235"/>
        <v>2023</v>
      </c>
      <c r="I2376" s="2" t="s">
        <v>4</v>
      </c>
      <c r="J2376" s="2" t="s">
        <v>3201</v>
      </c>
      <c r="K2376" s="2" t="s">
        <v>822</v>
      </c>
      <c r="L2376" s="2" t="s">
        <v>565</v>
      </c>
      <c r="M2376" s="2" t="s">
        <v>21</v>
      </c>
      <c r="N2376" s="4" t="str">
        <f t="shared" si="236"/>
        <v>GAL</v>
      </c>
      <c r="O2376" s="5">
        <v>2400</v>
      </c>
    </row>
    <row r="2377" spans="2:15" x14ac:dyDescent="0.25">
      <c r="B2377" s="1" t="s">
        <v>782</v>
      </c>
      <c r="C2377" s="2" t="s">
        <v>1018</v>
      </c>
      <c r="D2377" s="2" t="s">
        <v>2448</v>
      </c>
      <c r="E2377" s="2" t="s">
        <v>3040</v>
      </c>
      <c r="F2377" s="3">
        <f>DATE(2023,6,9)</f>
        <v>45086</v>
      </c>
      <c r="G2377" s="4">
        <f t="shared" si="234"/>
        <v>6</v>
      </c>
      <c r="H2377" s="4">
        <f t="shared" si="235"/>
        <v>2023</v>
      </c>
      <c r="I2377" s="2" t="s">
        <v>4</v>
      </c>
      <c r="J2377" s="2" t="s">
        <v>3201</v>
      </c>
      <c r="K2377" s="2" t="s">
        <v>1496</v>
      </c>
      <c r="L2377" s="2" t="s">
        <v>159</v>
      </c>
      <c r="M2377" s="2" t="s">
        <v>160</v>
      </c>
      <c r="N2377" s="4" t="str">
        <f t="shared" si="236"/>
        <v>GAL</v>
      </c>
      <c r="O2377" s="5">
        <v>750</v>
      </c>
    </row>
    <row r="2378" spans="2:15" x14ac:dyDescent="0.25">
      <c r="B2378" s="1" t="s">
        <v>782</v>
      </c>
      <c r="C2378" s="2" t="s">
        <v>1018</v>
      </c>
      <c r="D2378" s="2" t="s">
        <v>2448</v>
      </c>
      <c r="E2378" s="2" t="s">
        <v>3040</v>
      </c>
      <c r="F2378" s="3">
        <f>DATE(2023,6,9)</f>
        <v>45086</v>
      </c>
      <c r="G2378" s="4">
        <f t="shared" si="234"/>
        <v>6</v>
      </c>
      <c r="H2378" s="4">
        <f t="shared" si="235"/>
        <v>2023</v>
      </c>
      <c r="I2378" s="2" t="s">
        <v>4</v>
      </c>
      <c r="J2378" s="2" t="s">
        <v>3202</v>
      </c>
      <c r="K2378" s="2" t="s">
        <v>158</v>
      </c>
      <c r="L2378" s="2" t="s">
        <v>159</v>
      </c>
      <c r="M2378" s="2" t="s">
        <v>160</v>
      </c>
      <c r="N2378" s="4" t="str">
        <f t="shared" si="236"/>
        <v>GAL</v>
      </c>
      <c r="O2378" s="5">
        <v>180</v>
      </c>
    </row>
    <row r="2379" spans="2:15" x14ac:dyDescent="0.25">
      <c r="B2379" s="1" t="s">
        <v>782</v>
      </c>
      <c r="C2379" s="2" t="s">
        <v>1018</v>
      </c>
      <c r="D2379" s="2" t="s">
        <v>2448</v>
      </c>
      <c r="E2379" s="2" t="s">
        <v>3040</v>
      </c>
      <c r="F2379" s="3">
        <f>DATE(2023,6,12)</f>
        <v>45089</v>
      </c>
      <c r="G2379" s="4">
        <f t="shared" si="234"/>
        <v>6</v>
      </c>
      <c r="H2379" s="4">
        <f t="shared" si="235"/>
        <v>2023</v>
      </c>
      <c r="I2379" s="2" t="s">
        <v>4</v>
      </c>
      <c r="J2379" s="2" t="s">
        <v>3203</v>
      </c>
      <c r="K2379" s="2" t="s">
        <v>822</v>
      </c>
      <c r="L2379" s="2" t="s">
        <v>565</v>
      </c>
      <c r="M2379" s="2" t="s">
        <v>21</v>
      </c>
      <c r="N2379" s="4" t="str">
        <f t="shared" si="236"/>
        <v>GAL</v>
      </c>
      <c r="O2379" s="5">
        <v>500</v>
      </c>
    </row>
    <row r="2380" spans="2:15" x14ac:dyDescent="0.25">
      <c r="B2380" s="1" t="s">
        <v>645</v>
      </c>
      <c r="C2380" s="2" t="s">
        <v>1018</v>
      </c>
      <c r="D2380" s="2" t="s">
        <v>3042</v>
      </c>
      <c r="E2380" s="2" t="s">
        <v>3043</v>
      </c>
      <c r="F2380" s="3">
        <f>DATE(2023,6,16)</f>
        <v>45093</v>
      </c>
      <c r="G2380" s="4">
        <f t="shared" si="234"/>
        <v>6</v>
      </c>
      <c r="H2380" s="4">
        <f t="shared" si="235"/>
        <v>2023</v>
      </c>
      <c r="I2380" s="2" t="s">
        <v>4</v>
      </c>
      <c r="J2380" s="2" t="s">
        <v>3204</v>
      </c>
      <c r="K2380" s="2" t="s">
        <v>158</v>
      </c>
      <c r="L2380" s="2" t="s">
        <v>159</v>
      </c>
      <c r="M2380" s="2" t="s">
        <v>160</v>
      </c>
      <c r="N2380" s="4" t="str">
        <f t="shared" si="236"/>
        <v>GAL</v>
      </c>
      <c r="O2380" s="5">
        <v>50</v>
      </c>
    </row>
    <row r="2381" spans="2:15" x14ac:dyDescent="0.25">
      <c r="B2381" s="1" t="s">
        <v>645</v>
      </c>
      <c r="C2381" s="2" t="s">
        <v>1018</v>
      </c>
      <c r="D2381" s="2" t="s">
        <v>3042</v>
      </c>
      <c r="E2381" s="2" t="s">
        <v>3043</v>
      </c>
      <c r="F2381" s="3">
        <f>DATE(2023,6,20)</f>
        <v>45097</v>
      </c>
      <c r="G2381" s="4">
        <f t="shared" si="234"/>
        <v>6</v>
      </c>
      <c r="H2381" s="4">
        <f t="shared" si="235"/>
        <v>2023</v>
      </c>
      <c r="I2381" s="2" t="s">
        <v>4</v>
      </c>
      <c r="J2381" s="2" t="s">
        <v>3205</v>
      </c>
      <c r="K2381" s="2" t="s">
        <v>158</v>
      </c>
      <c r="L2381" s="2" t="s">
        <v>159</v>
      </c>
      <c r="M2381" s="2" t="s">
        <v>160</v>
      </c>
      <c r="N2381" s="4" t="str">
        <f t="shared" si="236"/>
        <v>GAL</v>
      </c>
      <c r="O2381" s="5">
        <v>80</v>
      </c>
    </row>
    <row r="2382" spans="2:15" x14ac:dyDescent="0.25">
      <c r="B2382" s="1" t="s">
        <v>782</v>
      </c>
      <c r="C2382" s="2" t="s">
        <v>1018</v>
      </c>
      <c r="D2382" s="2" t="s">
        <v>2448</v>
      </c>
      <c r="E2382" s="2" t="s">
        <v>3040</v>
      </c>
      <c r="F2382" s="3">
        <f>DATE(2023,6,23)</f>
        <v>45100</v>
      </c>
      <c r="G2382" s="4">
        <f t="shared" si="234"/>
        <v>6</v>
      </c>
      <c r="H2382" s="4">
        <f t="shared" si="235"/>
        <v>2023</v>
      </c>
      <c r="I2382" s="2" t="s">
        <v>4</v>
      </c>
      <c r="J2382" s="2" t="s">
        <v>3206</v>
      </c>
      <c r="K2382" s="2" t="s">
        <v>822</v>
      </c>
      <c r="L2382" s="2" t="s">
        <v>565</v>
      </c>
      <c r="M2382" s="2" t="s">
        <v>21</v>
      </c>
      <c r="N2382" s="4" t="str">
        <f t="shared" si="236"/>
        <v>GAL</v>
      </c>
      <c r="O2382" s="5">
        <v>2800</v>
      </c>
    </row>
    <row r="2383" spans="2:15" x14ac:dyDescent="0.25">
      <c r="B2383" s="1" t="s">
        <v>782</v>
      </c>
      <c r="C2383" s="2" t="s">
        <v>1018</v>
      </c>
      <c r="D2383" s="2" t="s">
        <v>2448</v>
      </c>
      <c r="E2383" s="2" t="s">
        <v>3035</v>
      </c>
      <c r="F2383" s="3">
        <f>DATE(2023,6,29)</f>
        <v>45106</v>
      </c>
      <c r="G2383" s="4">
        <f t="shared" si="234"/>
        <v>6</v>
      </c>
      <c r="H2383" s="4">
        <f t="shared" si="235"/>
        <v>2023</v>
      </c>
      <c r="I2383" s="2" t="s">
        <v>4</v>
      </c>
      <c r="J2383" s="2" t="s">
        <v>3207</v>
      </c>
      <c r="K2383" s="2" t="s">
        <v>158</v>
      </c>
      <c r="L2383" s="2" t="s">
        <v>159</v>
      </c>
      <c r="M2383" s="2" t="s">
        <v>160</v>
      </c>
      <c r="N2383" s="4" t="str">
        <f t="shared" si="236"/>
        <v>GAL</v>
      </c>
      <c r="O2383" s="5">
        <v>180</v>
      </c>
    </row>
    <row r="2384" spans="2:15" x14ac:dyDescent="0.25">
      <c r="B2384" s="1" t="s">
        <v>782</v>
      </c>
      <c r="C2384" s="2" t="s">
        <v>1018</v>
      </c>
      <c r="D2384" s="2" t="s">
        <v>3198</v>
      </c>
      <c r="E2384" s="2" t="s">
        <v>3208</v>
      </c>
      <c r="F2384" s="3">
        <f>DATE(2023,6,30)</f>
        <v>45107</v>
      </c>
      <c r="G2384" s="4">
        <f t="shared" si="234"/>
        <v>6</v>
      </c>
      <c r="H2384" s="4">
        <f t="shared" si="235"/>
        <v>2023</v>
      </c>
      <c r="I2384" s="2" t="s">
        <v>4</v>
      </c>
      <c r="J2384" s="2" t="s">
        <v>3209</v>
      </c>
      <c r="K2384" s="2" t="s">
        <v>1496</v>
      </c>
      <c r="L2384" s="2" t="s">
        <v>159</v>
      </c>
      <c r="M2384" s="2" t="s">
        <v>160</v>
      </c>
      <c r="N2384" s="4" t="str">
        <f t="shared" si="236"/>
        <v>GAL</v>
      </c>
      <c r="O2384" s="5">
        <v>250</v>
      </c>
    </row>
    <row r="2385" spans="2:15" x14ac:dyDescent="0.25">
      <c r="B2385" s="1" t="s">
        <v>782</v>
      </c>
      <c r="C2385" s="2" t="s">
        <v>1018</v>
      </c>
      <c r="D2385" s="2" t="s">
        <v>3210</v>
      </c>
      <c r="E2385" s="2" t="s">
        <v>102</v>
      </c>
      <c r="F2385" s="3">
        <f>DATE(2023,6,30)</f>
        <v>45107</v>
      </c>
      <c r="G2385" s="4">
        <f t="shared" si="234"/>
        <v>6</v>
      </c>
      <c r="H2385" s="4">
        <f t="shared" si="235"/>
        <v>2023</v>
      </c>
      <c r="I2385" s="2" t="s">
        <v>4</v>
      </c>
      <c r="J2385" s="2" t="s">
        <v>3211</v>
      </c>
      <c r="K2385" s="2" t="s">
        <v>158</v>
      </c>
      <c r="L2385" s="2" t="s">
        <v>159</v>
      </c>
      <c r="M2385" s="2" t="s">
        <v>160</v>
      </c>
      <c r="N2385" s="4" t="str">
        <f t="shared" si="236"/>
        <v>GAL</v>
      </c>
      <c r="O2385" s="5">
        <v>180</v>
      </c>
    </row>
    <row r="2386" spans="2:15" x14ac:dyDescent="0.25">
      <c r="B2386" s="1" t="s">
        <v>782</v>
      </c>
      <c r="C2386" s="2" t="s">
        <v>1018</v>
      </c>
      <c r="D2386" s="2" t="s">
        <v>3025</v>
      </c>
      <c r="E2386" s="2" t="s">
        <v>3212</v>
      </c>
      <c r="F2386" s="3">
        <f>DATE(2023,6,30)</f>
        <v>45107</v>
      </c>
      <c r="G2386" s="4">
        <f t="shared" si="234"/>
        <v>6</v>
      </c>
      <c r="H2386" s="4">
        <f t="shared" si="235"/>
        <v>2023</v>
      </c>
      <c r="I2386" s="2" t="s">
        <v>4</v>
      </c>
      <c r="J2386" s="2" t="s">
        <v>3213</v>
      </c>
      <c r="K2386" s="2" t="s">
        <v>1496</v>
      </c>
      <c r="L2386" s="2" t="s">
        <v>159</v>
      </c>
      <c r="M2386" s="2" t="s">
        <v>160</v>
      </c>
      <c r="N2386" s="4" t="str">
        <f t="shared" si="236"/>
        <v>GAL</v>
      </c>
      <c r="O2386" s="5">
        <v>1500</v>
      </c>
    </row>
    <row r="2387" spans="2:15" x14ac:dyDescent="0.25">
      <c r="B2387" s="1" t="s">
        <v>1742</v>
      </c>
      <c r="C2387" s="2" t="s">
        <v>1025</v>
      </c>
      <c r="D2387" s="2" t="s">
        <v>496</v>
      </c>
      <c r="E2387" s="2" t="s">
        <v>497</v>
      </c>
      <c r="F2387" s="3">
        <f>DATE(2023,6,6)</f>
        <v>45083</v>
      </c>
      <c r="G2387" s="4">
        <f t="shared" si="234"/>
        <v>6</v>
      </c>
      <c r="H2387" s="4">
        <f t="shared" si="235"/>
        <v>2023</v>
      </c>
      <c r="I2387" s="2" t="s">
        <v>4</v>
      </c>
      <c r="J2387" s="2" t="s">
        <v>3214</v>
      </c>
      <c r="K2387" s="2" t="s">
        <v>499</v>
      </c>
      <c r="L2387" s="2" t="s">
        <v>500</v>
      </c>
      <c r="M2387" s="2" t="s">
        <v>119</v>
      </c>
      <c r="N2387" s="4" t="str">
        <f t="shared" si="236"/>
        <v>TON</v>
      </c>
      <c r="O2387" s="5">
        <v>3.75</v>
      </c>
    </row>
    <row r="2388" spans="2:15" x14ac:dyDescent="0.25">
      <c r="B2388" s="1" t="s">
        <v>1742</v>
      </c>
      <c r="C2388" s="2" t="s">
        <v>1025</v>
      </c>
      <c r="D2388" s="2" t="s">
        <v>2092</v>
      </c>
      <c r="E2388" s="2" t="s">
        <v>2093</v>
      </c>
      <c r="F2388" s="3">
        <f>DATE(2023,6,13)</f>
        <v>45090</v>
      </c>
      <c r="G2388" s="4">
        <f t="shared" si="234"/>
        <v>6</v>
      </c>
      <c r="H2388" s="4">
        <f t="shared" si="235"/>
        <v>2023</v>
      </c>
      <c r="I2388" s="2" t="s">
        <v>4</v>
      </c>
      <c r="J2388" s="2" t="s">
        <v>3215</v>
      </c>
      <c r="K2388" s="2" t="s">
        <v>2095</v>
      </c>
      <c r="L2388" s="2" t="s">
        <v>2096</v>
      </c>
      <c r="M2388" s="2" t="s">
        <v>119</v>
      </c>
      <c r="N2388" s="4" t="str">
        <f t="shared" si="236"/>
        <v>TON</v>
      </c>
      <c r="O2388" s="5">
        <v>15.0025</v>
      </c>
    </row>
    <row r="2389" spans="2:15" x14ac:dyDescent="0.25">
      <c r="B2389" s="1" t="s">
        <v>1410</v>
      </c>
      <c r="C2389" s="2" t="s">
        <v>525</v>
      </c>
      <c r="D2389" s="2" t="s">
        <v>124</v>
      </c>
      <c r="E2389" s="2" t="s">
        <v>526</v>
      </c>
      <c r="F2389" s="3">
        <f>DATE(2023,6,8)</f>
        <v>45085</v>
      </c>
      <c r="G2389" s="4">
        <f t="shared" si="234"/>
        <v>6</v>
      </c>
      <c r="H2389" s="4">
        <f t="shared" si="235"/>
        <v>2023</v>
      </c>
      <c r="I2389" s="2" t="s">
        <v>4</v>
      </c>
      <c r="J2389" s="2" t="s">
        <v>3216</v>
      </c>
      <c r="K2389" s="2" t="s">
        <v>1031</v>
      </c>
      <c r="L2389" s="2" t="s">
        <v>1032</v>
      </c>
      <c r="M2389" s="2" t="s">
        <v>119</v>
      </c>
      <c r="N2389" s="4" t="str">
        <f t="shared" si="236"/>
        <v>TON</v>
      </c>
      <c r="O2389" s="5">
        <v>1.2450000000000001</v>
      </c>
    </row>
    <row r="2390" spans="2:15" x14ac:dyDescent="0.25">
      <c r="B2390" s="1" t="s">
        <v>1410</v>
      </c>
      <c r="C2390" s="2" t="s">
        <v>525</v>
      </c>
      <c r="D2390" s="2" t="s">
        <v>124</v>
      </c>
      <c r="E2390" s="2" t="s">
        <v>526</v>
      </c>
      <c r="F2390" s="3">
        <f>DATE(2023,6,14)</f>
        <v>45091</v>
      </c>
      <c r="G2390" s="4">
        <f t="shared" si="234"/>
        <v>6</v>
      </c>
      <c r="H2390" s="4">
        <f t="shared" si="235"/>
        <v>2023</v>
      </c>
      <c r="I2390" s="2" t="s">
        <v>4</v>
      </c>
      <c r="J2390" s="2" t="s">
        <v>3217</v>
      </c>
      <c r="K2390" s="2" t="s">
        <v>2493</v>
      </c>
      <c r="L2390" s="2" t="s">
        <v>2494</v>
      </c>
      <c r="M2390" s="2" t="s">
        <v>119</v>
      </c>
      <c r="N2390" s="4" t="str">
        <f t="shared" si="236"/>
        <v>TON</v>
      </c>
      <c r="O2390" s="5">
        <v>6.2949999999999999</v>
      </c>
    </row>
    <row r="2391" spans="2:15" x14ac:dyDescent="0.25">
      <c r="B2391" s="1" t="s">
        <v>1410</v>
      </c>
      <c r="C2391" s="2" t="s">
        <v>525</v>
      </c>
      <c r="D2391" s="2" t="s">
        <v>507</v>
      </c>
      <c r="E2391" s="2" t="s">
        <v>508</v>
      </c>
      <c r="F2391" s="3">
        <f>DATE(2023,6,21)</f>
        <v>45098</v>
      </c>
      <c r="G2391" s="4">
        <f t="shared" si="234"/>
        <v>6</v>
      </c>
      <c r="H2391" s="4">
        <f t="shared" si="235"/>
        <v>2023</v>
      </c>
      <c r="I2391" s="2" t="s">
        <v>4</v>
      </c>
      <c r="J2391" s="2" t="s">
        <v>3218</v>
      </c>
      <c r="K2391" s="2" t="s">
        <v>25</v>
      </c>
      <c r="L2391" s="2" t="s">
        <v>541</v>
      </c>
      <c r="M2391" s="2" t="s">
        <v>27</v>
      </c>
      <c r="N2391" s="4" t="str">
        <f t="shared" si="236"/>
        <v>GAL</v>
      </c>
      <c r="O2391" s="5">
        <v>200</v>
      </c>
    </row>
    <row r="2392" spans="2:15" x14ac:dyDescent="0.25">
      <c r="B2392" s="1" t="s">
        <v>1410</v>
      </c>
      <c r="C2392" s="2" t="s">
        <v>525</v>
      </c>
      <c r="D2392" s="2" t="s">
        <v>124</v>
      </c>
      <c r="E2392" s="2" t="s">
        <v>526</v>
      </c>
      <c r="F2392" s="3">
        <f>DATE(2023,6,26)</f>
        <v>45103</v>
      </c>
      <c r="G2392" s="4">
        <f t="shared" si="234"/>
        <v>6</v>
      </c>
      <c r="H2392" s="4">
        <f t="shared" si="235"/>
        <v>2023</v>
      </c>
      <c r="I2392" s="2" t="s">
        <v>4</v>
      </c>
      <c r="J2392" s="2" t="s">
        <v>3219</v>
      </c>
      <c r="K2392" s="2" t="s">
        <v>1031</v>
      </c>
      <c r="L2392" s="2" t="s">
        <v>1032</v>
      </c>
      <c r="M2392" s="2" t="s">
        <v>119</v>
      </c>
      <c r="N2392" s="4" t="str">
        <f t="shared" si="236"/>
        <v>TON</v>
      </c>
      <c r="O2392" s="5">
        <v>5.0025000000000004</v>
      </c>
    </row>
    <row r="2393" spans="2:15" x14ac:dyDescent="0.25">
      <c r="B2393" s="1" t="s">
        <v>1410</v>
      </c>
      <c r="C2393" s="2" t="s">
        <v>525</v>
      </c>
      <c r="D2393" s="2" t="s">
        <v>628</v>
      </c>
      <c r="E2393" s="2" t="s">
        <v>1036</v>
      </c>
      <c r="F2393" s="3">
        <f>DATE(2023,6,29)</f>
        <v>45106</v>
      </c>
      <c r="G2393" s="4">
        <f t="shared" si="234"/>
        <v>6</v>
      </c>
      <c r="H2393" s="4">
        <f t="shared" si="235"/>
        <v>2023</v>
      </c>
      <c r="I2393" s="2" t="s">
        <v>4</v>
      </c>
      <c r="J2393" s="2" t="s">
        <v>3220</v>
      </c>
      <c r="K2393" s="2" t="s">
        <v>1119</v>
      </c>
      <c r="L2393" s="2" t="s">
        <v>1023</v>
      </c>
      <c r="M2393" s="2" t="s">
        <v>1024</v>
      </c>
      <c r="N2393" s="4" t="str">
        <f t="shared" si="236"/>
        <v>GAL</v>
      </c>
      <c r="O2393" s="5">
        <v>360</v>
      </c>
    </row>
    <row r="2394" spans="2:15" x14ac:dyDescent="0.25">
      <c r="B2394" s="1" t="s">
        <v>645</v>
      </c>
      <c r="C2394" s="2" t="s">
        <v>533</v>
      </c>
      <c r="D2394" s="2" t="s">
        <v>2144</v>
      </c>
      <c r="E2394" s="2" t="s">
        <v>2145</v>
      </c>
      <c r="F2394" s="3">
        <f>DATE(2023,6,2)</f>
        <v>45079</v>
      </c>
      <c r="G2394" s="4">
        <f t="shared" si="234"/>
        <v>6</v>
      </c>
      <c r="H2394" s="4">
        <f t="shared" si="235"/>
        <v>2023</v>
      </c>
      <c r="I2394" s="2" t="s">
        <v>4</v>
      </c>
      <c r="J2394" s="2" t="s">
        <v>3221</v>
      </c>
      <c r="K2394" s="2" t="s">
        <v>2147</v>
      </c>
      <c r="L2394" s="2" t="s">
        <v>2148</v>
      </c>
      <c r="M2394" s="2" t="s">
        <v>41</v>
      </c>
      <c r="N2394" s="4" t="str">
        <f t="shared" si="236"/>
        <v>GAL</v>
      </c>
      <c r="O2394" s="5">
        <v>360</v>
      </c>
    </row>
    <row r="2395" spans="2:15" x14ac:dyDescent="0.25">
      <c r="B2395" s="1" t="s">
        <v>1050</v>
      </c>
      <c r="C2395" s="2" t="s">
        <v>533</v>
      </c>
      <c r="D2395" s="2" t="s">
        <v>3091</v>
      </c>
      <c r="E2395" s="2" t="s">
        <v>3092</v>
      </c>
      <c r="F2395" s="3">
        <f>DATE(2023,6,5)</f>
        <v>45082</v>
      </c>
      <c r="G2395" s="4">
        <f t="shared" si="234"/>
        <v>6</v>
      </c>
      <c r="H2395" s="4">
        <f t="shared" si="235"/>
        <v>2023</v>
      </c>
      <c r="I2395" s="2" t="s">
        <v>4</v>
      </c>
      <c r="J2395" s="2" t="s">
        <v>3222</v>
      </c>
      <c r="K2395" s="2" t="s">
        <v>25</v>
      </c>
      <c r="L2395" s="2" t="s">
        <v>541</v>
      </c>
      <c r="M2395" s="2" t="s">
        <v>27</v>
      </c>
      <c r="N2395" s="4" t="str">
        <f t="shared" si="236"/>
        <v>GAL</v>
      </c>
      <c r="O2395" s="5">
        <v>360</v>
      </c>
    </row>
    <row r="2396" spans="2:15" x14ac:dyDescent="0.25">
      <c r="B2396" s="1" t="s">
        <v>1050</v>
      </c>
      <c r="C2396" s="2" t="s">
        <v>533</v>
      </c>
      <c r="D2396" s="2" t="s">
        <v>1047</v>
      </c>
      <c r="E2396" s="2" t="s">
        <v>3223</v>
      </c>
      <c r="F2396" s="3">
        <f>DATE(2023,6,6)</f>
        <v>45083</v>
      </c>
      <c r="G2396" s="4">
        <f t="shared" si="234"/>
        <v>6</v>
      </c>
      <c r="H2396" s="4">
        <f t="shared" si="235"/>
        <v>2023</v>
      </c>
      <c r="I2396" s="2" t="s">
        <v>4</v>
      </c>
      <c r="J2396" s="2" t="s">
        <v>3224</v>
      </c>
      <c r="K2396" s="2" t="s">
        <v>1470</v>
      </c>
      <c r="L2396" s="2" t="s">
        <v>2558</v>
      </c>
      <c r="M2396" s="2" t="s">
        <v>1472</v>
      </c>
      <c r="N2396" s="4" t="str">
        <f t="shared" si="236"/>
        <v>GAL</v>
      </c>
      <c r="O2396" s="5">
        <v>50</v>
      </c>
    </row>
    <row r="2397" spans="2:15" x14ac:dyDescent="0.25">
      <c r="B2397" s="1" t="s">
        <v>645</v>
      </c>
      <c r="C2397" s="2" t="s">
        <v>533</v>
      </c>
      <c r="D2397" s="2" t="s">
        <v>534</v>
      </c>
      <c r="E2397" s="2" t="s">
        <v>535</v>
      </c>
      <c r="F2397" s="3">
        <f t="shared" ref="F2397:F2409" si="237">DATE(2023,6,8)</f>
        <v>45085</v>
      </c>
      <c r="G2397" s="4">
        <f t="shared" si="234"/>
        <v>6</v>
      </c>
      <c r="H2397" s="4">
        <f t="shared" si="235"/>
        <v>2023</v>
      </c>
      <c r="I2397" s="2" t="s">
        <v>4</v>
      </c>
      <c r="J2397" s="2" t="s">
        <v>3225</v>
      </c>
      <c r="K2397" s="2" t="s">
        <v>537</v>
      </c>
      <c r="L2397" s="2" t="s">
        <v>538</v>
      </c>
      <c r="M2397" s="2" t="s">
        <v>539</v>
      </c>
      <c r="N2397" s="4" t="str">
        <f t="shared" si="236"/>
        <v>GAL</v>
      </c>
      <c r="O2397" s="5">
        <v>55</v>
      </c>
    </row>
    <row r="2398" spans="2:15" x14ac:dyDescent="0.25">
      <c r="B2398" s="1" t="s">
        <v>645</v>
      </c>
      <c r="C2398" s="2" t="s">
        <v>533</v>
      </c>
      <c r="D2398" s="2" t="s">
        <v>534</v>
      </c>
      <c r="E2398" s="2" t="s">
        <v>535</v>
      </c>
      <c r="F2398" s="3">
        <f t="shared" si="237"/>
        <v>45085</v>
      </c>
      <c r="G2398" s="4">
        <f t="shared" si="234"/>
        <v>6</v>
      </c>
      <c r="H2398" s="4">
        <f t="shared" si="235"/>
        <v>2023</v>
      </c>
      <c r="I2398" s="2" t="s">
        <v>4</v>
      </c>
      <c r="J2398" s="2" t="s">
        <v>3225</v>
      </c>
      <c r="K2398" s="2" t="s">
        <v>540</v>
      </c>
      <c r="L2398" s="2" t="s">
        <v>541</v>
      </c>
      <c r="M2398" s="2" t="s">
        <v>27</v>
      </c>
      <c r="N2398" s="4" t="str">
        <f t="shared" si="236"/>
        <v>GAL</v>
      </c>
      <c r="O2398" s="5">
        <v>110</v>
      </c>
    </row>
    <row r="2399" spans="2:15" x14ac:dyDescent="0.25">
      <c r="B2399" s="1" t="s">
        <v>645</v>
      </c>
      <c r="C2399" s="2" t="s">
        <v>533</v>
      </c>
      <c r="D2399" s="2" t="s">
        <v>534</v>
      </c>
      <c r="E2399" s="2" t="s">
        <v>535</v>
      </c>
      <c r="F2399" s="3">
        <f t="shared" si="237"/>
        <v>45085</v>
      </c>
      <c r="G2399" s="4">
        <f t="shared" si="234"/>
        <v>6</v>
      </c>
      <c r="H2399" s="4">
        <f t="shared" si="235"/>
        <v>2023</v>
      </c>
      <c r="I2399" s="2" t="s">
        <v>4</v>
      </c>
      <c r="J2399" s="2" t="s">
        <v>3225</v>
      </c>
      <c r="K2399" s="2" t="s">
        <v>2540</v>
      </c>
      <c r="L2399" s="2" t="s">
        <v>2541</v>
      </c>
      <c r="M2399" s="2" t="s">
        <v>2542</v>
      </c>
      <c r="N2399" s="4" t="str">
        <f t="shared" si="236"/>
        <v>GAL</v>
      </c>
      <c r="O2399" s="5">
        <v>55</v>
      </c>
    </row>
    <row r="2400" spans="2:15" x14ac:dyDescent="0.25">
      <c r="B2400" s="1" t="s">
        <v>645</v>
      </c>
      <c r="C2400" s="2" t="s">
        <v>533</v>
      </c>
      <c r="D2400" s="2" t="s">
        <v>534</v>
      </c>
      <c r="E2400" s="2" t="s">
        <v>535</v>
      </c>
      <c r="F2400" s="3">
        <f t="shared" si="237"/>
        <v>45085</v>
      </c>
      <c r="G2400" s="4">
        <f t="shared" si="234"/>
        <v>6</v>
      </c>
      <c r="H2400" s="4">
        <f t="shared" si="235"/>
        <v>2023</v>
      </c>
      <c r="I2400" s="2" t="s">
        <v>4</v>
      </c>
      <c r="J2400" s="2" t="s">
        <v>3225</v>
      </c>
      <c r="K2400" s="2" t="s">
        <v>544</v>
      </c>
      <c r="L2400" s="2" t="s">
        <v>545</v>
      </c>
      <c r="M2400" s="2" t="s">
        <v>67</v>
      </c>
      <c r="N2400" s="4" t="str">
        <f t="shared" si="236"/>
        <v>GAL</v>
      </c>
      <c r="O2400" s="5">
        <v>110</v>
      </c>
    </row>
    <row r="2401" spans="2:15" x14ac:dyDescent="0.25">
      <c r="B2401" s="1" t="s">
        <v>645</v>
      </c>
      <c r="C2401" s="2" t="s">
        <v>533</v>
      </c>
      <c r="D2401" s="2" t="s">
        <v>534</v>
      </c>
      <c r="E2401" s="2" t="s">
        <v>535</v>
      </c>
      <c r="F2401" s="3">
        <f t="shared" si="237"/>
        <v>45085</v>
      </c>
      <c r="G2401" s="4">
        <f t="shared" si="234"/>
        <v>6</v>
      </c>
      <c r="H2401" s="4">
        <f t="shared" si="235"/>
        <v>2023</v>
      </c>
      <c r="I2401" s="2" t="s">
        <v>4</v>
      </c>
      <c r="J2401" s="2" t="s">
        <v>3225</v>
      </c>
      <c r="K2401" s="2" t="s">
        <v>546</v>
      </c>
      <c r="L2401" s="2" t="s">
        <v>547</v>
      </c>
      <c r="M2401" s="2" t="s">
        <v>160</v>
      </c>
      <c r="N2401" s="4" t="str">
        <f t="shared" si="236"/>
        <v>GAL</v>
      </c>
      <c r="O2401" s="5">
        <v>110</v>
      </c>
    </row>
    <row r="2402" spans="2:15" x14ac:dyDescent="0.25">
      <c r="B2402" s="1" t="s">
        <v>645</v>
      </c>
      <c r="C2402" s="2" t="s">
        <v>533</v>
      </c>
      <c r="D2402" s="2" t="s">
        <v>534</v>
      </c>
      <c r="E2402" s="2" t="s">
        <v>535</v>
      </c>
      <c r="F2402" s="3">
        <f t="shared" si="237"/>
        <v>45085</v>
      </c>
      <c r="G2402" s="4">
        <f t="shared" si="234"/>
        <v>6</v>
      </c>
      <c r="H2402" s="4">
        <f t="shared" si="235"/>
        <v>2023</v>
      </c>
      <c r="I2402" s="2" t="s">
        <v>4</v>
      </c>
      <c r="J2402" s="2" t="s">
        <v>3225</v>
      </c>
      <c r="K2402" s="2" t="s">
        <v>549</v>
      </c>
      <c r="L2402" s="2" t="s">
        <v>550</v>
      </c>
      <c r="M2402" s="2" t="s">
        <v>52</v>
      </c>
      <c r="N2402" s="4" t="str">
        <f t="shared" si="236"/>
        <v>GAL</v>
      </c>
      <c r="O2402" s="5">
        <v>110</v>
      </c>
    </row>
    <row r="2403" spans="2:15" x14ac:dyDescent="0.25">
      <c r="B2403" s="1" t="s">
        <v>645</v>
      </c>
      <c r="C2403" s="2" t="s">
        <v>533</v>
      </c>
      <c r="D2403" s="2" t="s">
        <v>534</v>
      </c>
      <c r="E2403" s="2" t="s">
        <v>535</v>
      </c>
      <c r="F2403" s="3">
        <f t="shared" si="237"/>
        <v>45085</v>
      </c>
      <c r="G2403" s="4">
        <f t="shared" si="234"/>
        <v>6</v>
      </c>
      <c r="H2403" s="4">
        <f t="shared" si="235"/>
        <v>2023</v>
      </c>
      <c r="I2403" s="2" t="s">
        <v>4</v>
      </c>
      <c r="J2403" s="2" t="s">
        <v>3225</v>
      </c>
      <c r="K2403" s="2" t="s">
        <v>2547</v>
      </c>
      <c r="L2403" s="2" t="s">
        <v>552</v>
      </c>
      <c r="M2403" s="2" t="s">
        <v>553</v>
      </c>
      <c r="N2403" s="4" t="str">
        <f t="shared" si="236"/>
        <v>GAL</v>
      </c>
      <c r="O2403" s="5">
        <v>55</v>
      </c>
    </row>
    <row r="2404" spans="2:15" x14ac:dyDescent="0.25">
      <c r="B2404" s="1" t="s">
        <v>645</v>
      </c>
      <c r="C2404" s="2" t="s">
        <v>533</v>
      </c>
      <c r="D2404" s="2" t="s">
        <v>534</v>
      </c>
      <c r="E2404" s="2" t="s">
        <v>535</v>
      </c>
      <c r="F2404" s="3">
        <f t="shared" si="237"/>
        <v>45085</v>
      </c>
      <c r="G2404" s="4">
        <f t="shared" si="234"/>
        <v>6</v>
      </c>
      <c r="H2404" s="4">
        <f t="shared" si="235"/>
        <v>2023</v>
      </c>
      <c r="I2404" s="2" t="s">
        <v>4</v>
      </c>
      <c r="J2404" s="2" t="s">
        <v>3225</v>
      </c>
      <c r="K2404" s="2" t="s">
        <v>2548</v>
      </c>
      <c r="L2404" s="2" t="s">
        <v>176</v>
      </c>
      <c r="M2404" s="2" t="s">
        <v>24</v>
      </c>
      <c r="N2404" s="4" t="str">
        <f t="shared" si="236"/>
        <v>GAL</v>
      </c>
      <c r="O2404" s="5">
        <v>250</v>
      </c>
    </row>
    <row r="2405" spans="2:15" x14ac:dyDescent="0.25">
      <c r="B2405" s="1" t="s">
        <v>645</v>
      </c>
      <c r="C2405" s="2" t="s">
        <v>533</v>
      </c>
      <c r="D2405" s="2" t="s">
        <v>534</v>
      </c>
      <c r="E2405" s="2" t="s">
        <v>535</v>
      </c>
      <c r="F2405" s="3">
        <f t="shared" si="237"/>
        <v>45085</v>
      </c>
      <c r="G2405" s="4">
        <f t="shared" si="234"/>
        <v>6</v>
      </c>
      <c r="H2405" s="4">
        <f t="shared" si="235"/>
        <v>2023</v>
      </c>
      <c r="I2405" s="2" t="s">
        <v>4</v>
      </c>
      <c r="J2405" s="2" t="s">
        <v>3225</v>
      </c>
      <c r="K2405" s="2" t="s">
        <v>554</v>
      </c>
      <c r="L2405" s="2" t="s">
        <v>555</v>
      </c>
      <c r="M2405" s="2" t="s">
        <v>556</v>
      </c>
      <c r="N2405" s="4" t="str">
        <f t="shared" si="236"/>
        <v>GAL</v>
      </c>
      <c r="O2405" s="5">
        <v>250</v>
      </c>
    </row>
    <row r="2406" spans="2:15" x14ac:dyDescent="0.25">
      <c r="B2406" s="1" t="s">
        <v>645</v>
      </c>
      <c r="C2406" s="2" t="s">
        <v>533</v>
      </c>
      <c r="D2406" s="2" t="s">
        <v>1047</v>
      </c>
      <c r="E2406" s="2" t="s">
        <v>3226</v>
      </c>
      <c r="F2406" s="3">
        <f t="shared" si="237"/>
        <v>45085</v>
      </c>
      <c r="G2406" s="4">
        <f t="shared" si="234"/>
        <v>6</v>
      </c>
      <c r="H2406" s="4">
        <f t="shared" si="235"/>
        <v>2023</v>
      </c>
      <c r="I2406" s="2" t="s">
        <v>4</v>
      </c>
      <c r="J2406" s="2" t="s">
        <v>3227</v>
      </c>
      <c r="K2406" s="2" t="s">
        <v>2530</v>
      </c>
      <c r="L2406" s="2" t="s">
        <v>2531</v>
      </c>
      <c r="M2406" s="2" t="s">
        <v>2532</v>
      </c>
      <c r="N2406" s="4" t="str">
        <f t="shared" si="236"/>
        <v>GAL</v>
      </c>
      <c r="O2406" s="5">
        <v>15</v>
      </c>
    </row>
    <row r="2407" spans="2:15" x14ac:dyDescent="0.25">
      <c r="B2407" s="1" t="s">
        <v>645</v>
      </c>
      <c r="C2407" s="2" t="s">
        <v>533</v>
      </c>
      <c r="D2407" s="2" t="s">
        <v>1047</v>
      </c>
      <c r="E2407" s="2" t="s">
        <v>3226</v>
      </c>
      <c r="F2407" s="3">
        <f t="shared" si="237"/>
        <v>45085</v>
      </c>
      <c r="G2407" s="4">
        <f t="shared" si="234"/>
        <v>6</v>
      </c>
      <c r="H2407" s="4">
        <f t="shared" si="235"/>
        <v>2023</v>
      </c>
      <c r="I2407" s="2" t="s">
        <v>4</v>
      </c>
      <c r="J2407" s="2" t="s">
        <v>3227</v>
      </c>
      <c r="K2407" s="2" t="s">
        <v>3228</v>
      </c>
      <c r="L2407" s="2" t="s">
        <v>3229</v>
      </c>
      <c r="M2407" s="2" t="s">
        <v>3230</v>
      </c>
      <c r="N2407" s="4" t="str">
        <f t="shared" si="236"/>
        <v>GAL</v>
      </c>
      <c r="O2407" s="5">
        <v>10</v>
      </c>
    </row>
    <row r="2408" spans="2:15" x14ac:dyDescent="0.25">
      <c r="B2408" s="1" t="s">
        <v>645</v>
      </c>
      <c r="C2408" s="2" t="s">
        <v>533</v>
      </c>
      <c r="D2408" s="2" t="s">
        <v>1047</v>
      </c>
      <c r="E2408" s="2" t="s">
        <v>3226</v>
      </c>
      <c r="F2408" s="3">
        <f t="shared" si="237"/>
        <v>45085</v>
      </c>
      <c r="G2408" s="4">
        <f t="shared" si="234"/>
        <v>6</v>
      </c>
      <c r="H2408" s="4">
        <f t="shared" si="235"/>
        <v>2023</v>
      </c>
      <c r="I2408" s="2" t="s">
        <v>4</v>
      </c>
      <c r="J2408" s="2" t="s">
        <v>3227</v>
      </c>
      <c r="K2408" s="2" t="s">
        <v>1009</v>
      </c>
      <c r="L2408" s="2" t="s">
        <v>1010</v>
      </c>
      <c r="M2408" s="2" t="s">
        <v>13</v>
      </c>
      <c r="N2408" s="4" t="str">
        <f t="shared" si="236"/>
        <v>GAL</v>
      </c>
      <c r="O2408" s="5">
        <v>10</v>
      </c>
    </row>
    <row r="2409" spans="2:15" x14ac:dyDescent="0.25">
      <c r="B2409" s="1" t="s">
        <v>645</v>
      </c>
      <c r="C2409" s="2" t="s">
        <v>533</v>
      </c>
      <c r="D2409" s="2" t="s">
        <v>1047</v>
      </c>
      <c r="E2409" s="2" t="s">
        <v>3226</v>
      </c>
      <c r="F2409" s="3">
        <f t="shared" si="237"/>
        <v>45085</v>
      </c>
      <c r="G2409" s="4">
        <f t="shared" si="234"/>
        <v>6</v>
      </c>
      <c r="H2409" s="4">
        <f t="shared" si="235"/>
        <v>2023</v>
      </c>
      <c r="I2409" s="2" t="s">
        <v>4</v>
      </c>
      <c r="J2409" s="2" t="s">
        <v>3227</v>
      </c>
      <c r="K2409" s="2" t="s">
        <v>22</v>
      </c>
      <c r="L2409" s="2" t="s">
        <v>176</v>
      </c>
      <c r="M2409" s="2" t="s">
        <v>24</v>
      </c>
      <c r="N2409" s="4" t="str">
        <f t="shared" si="236"/>
        <v>GAL</v>
      </c>
      <c r="O2409" s="5">
        <v>10</v>
      </c>
    </row>
    <row r="2410" spans="2:15" x14ac:dyDescent="0.25">
      <c r="B2410" s="1" t="s">
        <v>1050</v>
      </c>
      <c r="C2410" s="2" t="s">
        <v>533</v>
      </c>
      <c r="D2410" s="2" t="s">
        <v>1047</v>
      </c>
      <c r="E2410" s="2" t="s">
        <v>3226</v>
      </c>
      <c r="F2410" s="3">
        <f>DATE(2023,6,13)</f>
        <v>45090</v>
      </c>
      <c r="G2410" s="4">
        <f t="shared" si="234"/>
        <v>6</v>
      </c>
      <c r="H2410" s="4">
        <f t="shared" si="235"/>
        <v>2023</v>
      </c>
      <c r="I2410" s="2" t="s">
        <v>4</v>
      </c>
      <c r="J2410" s="2" t="s">
        <v>3231</v>
      </c>
      <c r="K2410" s="2" t="s">
        <v>2530</v>
      </c>
      <c r="L2410" s="2" t="s">
        <v>2531</v>
      </c>
      <c r="M2410" s="2" t="s">
        <v>2532</v>
      </c>
      <c r="N2410" s="4" t="str">
        <f t="shared" si="236"/>
        <v>GAL</v>
      </c>
      <c r="O2410" s="5">
        <v>15</v>
      </c>
    </row>
    <row r="2411" spans="2:15" x14ac:dyDescent="0.25">
      <c r="B2411" s="1" t="s">
        <v>1050</v>
      </c>
      <c r="C2411" s="2" t="s">
        <v>533</v>
      </c>
      <c r="D2411" s="2" t="s">
        <v>1047</v>
      </c>
      <c r="E2411" s="2" t="s">
        <v>3226</v>
      </c>
      <c r="F2411" s="3">
        <f>DATE(2023,6,13)</f>
        <v>45090</v>
      </c>
      <c r="G2411" s="4">
        <f t="shared" si="234"/>
        <v>6</v>
      </c>
      <c r="H2411" s="4">
        <f t="shared" si="235"/>
        <v>2023</v>
      </c>
      <c r="I2411" s="2" t="s">
        <v>4</v>
      </c>
      <c r="J2411" s="2" t="s">
        <v>3231</v>
      </c>
      <c r="K2411" s="2" t="s">
        <v>3228</v>
      </c>
      <c r="L2411" s="2" t="s">
        <v>3229</v>
      </c>
      <c r="M2411" s="2" t="s">
        <v>3230</v>
      </c>
      <c r="N2411" s="4" t="str">
        <f t="shared" si="236"/>
        <v>GAL</v>
      </c>
      <c r="O2411" s="5">
        <v>10</v>
      </c>
    </row>
    <row r="2412" spans="2:15" x14ac:dyDescent="0.25">
      <c r="B2412" s="1" t="s">
        <v>1050</v>
      </c>
      <c r="C2412" s="2" t="s">
        <v>533</v>
      </c>
      <c r="D2412" s="2" t="s">
        <v>1047</v>
      </c>
      <c r="E2412" s="2" t="s">
        <v>3226</v>
      </c>
      <c r="F2412" s="3">
        <f>DATE(2023,6,13)</f>
        <v>45090</v>
      </c>
      <c r="G2412" s="4">
        <f t="shared" si="234"/>
        <v>6</v>
      </c>
      <c r="H2412" s="4">
        <f t="shared" si="235"/>
        <v>2023</v>
      </c>
      <c r="I2412" s="2" t="s">
        <v>4</v>
      </c>
      <c r="J2412" s="2" t="s">
        <v>3231</v>
      </c>
      <c r="K2412" s="2" t="s">
        <v>1009</v>
      </c>
      <c r="L2412" s="2" t="s">
        <v>1010</v>
      </c>
      <c r="M2412" s="2" t="s">
        <v>13</v>
      </c>
      <c r="N2412" s="4" t="str">
        <f t="shared" si="236"/>
        <v>GAL</v>
      </c>
      <c r="O2412" s="5">
        <v>10</v>
      </c>
    </row>
    <row r="2413" spans="2:15" x14ac:dyDescent="0.25">
      <c r="B2413" s="1" t="s">
        <v>1050</v>
      </c>
      <c r="C2413" s="2" t="s">
        <v>533</v>
      </c>
      <c r="D2413" s="2" t="s">
        <v>1047</v>
      </c>
      <c r="E2413" s="2" t="s">
        <v>3226</v>
      </c>
      <c r="F2413" s="3">
        <f>DATE(2023,6,13)</f>
        <v>45090</v>
      </c>
      <c r="G2413" s="4">
        <f t="shared" si="234"/>
        <v>6</v>
      </c>
      <c r="H2413" s="4">
        <f t="shared" si="235"/>
        <v>2023</v>
      </c>
      <c r="I2413" s="2" t="s">
        <v>4</v>
      </c>
      <c r="J2413" s="2" t="s">
        <v>3231</v>
      </c>
      <c r="K2413" s="2" t="s">
        <v>22</v>
      </c>
      <c r="L2413" s="2" t="s">
        <v>176</v>
      </c>
      <c r="M2413" s="2" t="s">
        <v>24</v>
      </c>
      <c r="N2413" s="4" t="str">
        <f t="shared" si="236"/>
        <v>GAL</v>
      </c>
      <c r="O2413" s="5">
        <v>10</v>
      </c>
    </row>
    <row r="2414" spans="2:15" x14ac:dyDescent="0.25">
      <c r="B2414" s="1" t="s">
        <v>645</v>
      </c>
      <c r="C2414" s="2" t="s">
        <v>533</v>
      </c>
      <c r="D2414" s="2" t="s">
        <v>2144</v>
      </c>
      <c r="E2414" s="2" t="s">
        <v>3232</v>
      </c>
      <c r="F2414" s="3">
        <f>DATE(2023,6,19)</f>
        <v>45096</v>
      </c>
      <c r="G2414" s="4">
        <f t="shared" si="234"/>
        <v>6</v>
      </c>
      <c r="H2414" s="4">
        <f t="shared" si="235"/>
        <v>2023</v>
      </c>
      <c r="I2414" s="2" t="s">
        <v>4</v>
      </c>
      <c r="J2414" s="2" t="s">
        <v>3233</v>
      </c>
      <c r="K2414" s="2" t="s">
        <v>1734</v>
      </c>
      <c r="L2414" s="2" t="s">
        <v>2521</v>
      </c>
      <c r="M2414" s="2" t="s">
        <v>1736</v>
      </c>
      <c r="N2414" s="4" t="str">
        <f t="shared" si="236"/>
        <v>GAL</v>
      </c>
      <c r="O2414" s="5">
        <v>180</v>
      </c>
    </row>
    <row r="2415" spans="2:15" x14ac:dyDescent="0.25">
      <c r="B2415" s="6" t="s">
        <v>3113</v>
      </c>
      <c r="C2415" s="7" t="s">
        <v>3114</v>
      </c>
      <c r="D2415" s="8" t="s">
        <v>3234</v>
      </c>
      <c r="E2415" s="8" t="s">
        <v>102</v>
      </c>
      <c r="F2415" s="9">
        <f>DATE(2023,6,6)</f>
        <v>45083</v>
      </c>
      <c r="G2415" s="10">
        <f t="shared" si="234"/>
        <v>6</v>
      </c>
      <c r="H2415" s="10">
        <f t="shared" si="235"/>
        <v>2023</v>
      </c>
      <c r="I2415" s="8" t="s">
        <v>4</v>
      </c>
      <c r="J2415" s="7" t="s">
        <v>3235</v>
      </c>
      <c r="K2415" s="8" t="s">
        <v>36</v>
      </c>
      <c r="L2415" s="8" t="s">
        <v>511</v>
      </c>
      <c r="M2415" s="8" t="s">
        <v>38</v>
      </c>
      <c r="N2415" s="10" t="str">
        <f t="shared" si="236"/>
        <v>GAL</v>
      </c>
      <c r="O2415" s="11">
        <v>5</v>
      </c>
    </row>
    <row r="2416" spans="2:15" x14ac:dyDescent="0.25">
      <c r="B2416" s="1" t="s">
        <v>3113</v>
      </c>
      <c r="C2416" s="2" t="s">
        <v>3114</v>
      </c>
      <c r="D2416" s="2" t="s">
        <v>3234</v>
      </c>
      <c r="E2416" s="2" t="s">
        <v>102</v>
      </c>
      <c r="F2416" s="3">
        <f>DATE(2023,6,6)</f>
        <v>45083</v>
      </c>
      <c r="G2416" s="4">
        <f t="shared" si="234"/>
        <v>6</v>
      </c>
      <c r="H2416" s="4">
        <f t="shared" si="235"/>
        <v>2023</v>
      </c>
      <c r="I2416" s="2" t="s">
        <v>4</v>
      </c>
      <c r="J2416" s="2" t="s">
        <v>3235</v>
      </c>
      <c r="K2416" s="2" t="s">
        <v>3236</v>
      </c>
      <c r="L2416" s="2" t="s">
        <v>3237</v>
      </c>
      <c r="M2416" s="2" t="s">
        <v>1472</v>
      </c>
      <c r="N2416" s="4" t="str">
        <f t="shared" si="236"/>
        <v>GAL</v>
      </c>
      <c r="O2416" s="5">
        <v>5</v>
      </c>
    </row>
    <row r="2417" spans="2:15" x14ac:dyDescent="0.25">
      <c r="B2417" s="1" t="s">
        <v>3113</v>
      </c>
      <c r="C2417" s="2" t="s">
        <v>3114</v>
      </c>
      <c r="D2417" s="2" t="s">
        <v>3234</v>
      </c>
      <c r="E2417" s="2" t="s">
        <v>102</v>
      </c>
      <c r="F2417" s="3">
        <f>DATE(2023,6,6)</f>
        <v>45083</v>
      </c>
      <c r="G2417" s="4">
        <f t="shared" si="234"/>
        <v>6</v>
      </c>
      <c r="H2417" s="4">
        <f t="shared" si="235"/>
        <v>2023</v>
      </c>
      <c r="I2417" s="2" t="s">
        <v>4</v>
      </c>
      <c r="J2417" s="2" t="s">
        <v>3235</v>
      </c>
      <c r="K2417" s="2" t="s">
        <v>597</v>
      </c>
      <c r="L2417" s="2" t="s">
        <v>598</v>
      </c>
      <c r="M2417" s="2" t="s">
        <v>599</v>
      </c>
      <c r="N2417" s="4" t="str">
        <f t="shared" si="236"/>
        <v>GAL</v>
      </c>
      <c r="O2417" s="5">
        <v>5</v>
      </c>
    </row>
    <row r="2418" spans="2:15" x14ac:dyDescent="0.25">
      <c r="B2418" s="1" t="s">
        <v>3113</v>
      </c>
      <c r="C2418" s="2" t="s">
        <v>3114</v>
      </c>
      <c r="D2418" s="2" t="s">
        <v>3234</v>
      </c>
      <c r="E2418" s="2" t="s">
        <v>102</v>
      </c>
      <c r="F2418" s="3">
        <f>DATE(2023,6,6)</f>
        <v>45083</v>
      </c>
      <c r="G2418" s="4">
        <f t="shared" si="234"/>
        <v>6</v>
      </c>
      <c r="H2418" s="4">
        <f t="shared" si="235"/>
        <v>2023</v>
      </c>
      <c r="I2418" s="2" t="s">
        <v>4</v>
      </c>
      <c r="J2418" s="2" t="s">
        <v>3235</v>
      </c>
      <c r="K2418" s="2" t="s">
        <v>551</v>
      </c>
      <c r="L2418" s="2" t="s">
        <v>2426</v>
      </c>
      <c r="M2418" s="2" t="s">
        <v>553</v>
      </c>
      <c r="N2418" s="4" t="str">
        <f t="shared" si="236"/>
        <v>GAL</v>
      </c>
      <c r="O2418" s="5">
        <v>10</v>
      </c>
    </row>
    <row r="2419" spans="2:15" x14ac:dyDescent="0.25">
      <c r="B2419" s="1" t="s">
        <v>3238</v>
      </c>
      <c r="C2419" s="2" t="s">
        <v>3239</v>
      </c>
      <c r="D2419" s="2" t="s">
        <v>3240</v>
      </c>
      <c r="E2419" s="2" t="s">
        <v>3241</v>
      </c>
      <c r="F2419" s="3">
        <f>DATE(2023,6,29)</f>
        <v>45106</v>
      </c>
      <c r="G2419" s="4">
        <f t="shared" si="234"/>
        <v>6</v>
      </c>
      <c r="H2419" s="4">
        <f t="shared" si="235"/>
        <v>2023</v>
      </c>
      <c r="I2419" s="2" t="s">
        <v>4</v>
      </c>
      <c r="J2419" s="2" t="s">
        <v>3242</v>
      </c>
      <c r="K2419" s="2" t="s">
        <v>3243</v>
      </c>
      <c r="L2419" s="2" t="s">
        <v>3244</v>
      </c>
      <c r="M2419" s="2" t="s">
        <v>3245</v>
      </c>
      <c r="N2419" s="4" t="str">
        <f t="shared" si="236"/>
        <v>GAL</v>
      </c>
      <c r="O2419" s="5">
        <v>550</v>
      </c>
    </row>
    <row r="2420" spans="2:15" x14ac:dyDescent="0.25">
      <c r="B2420" s="1" t="s">
        <v>3238</v>
      </c>
      <c r="C2420" s="2" t="s">
        <v>3239</v>
      </c>
      <c r="D2420" s="2" t="s">
        <v>3240</v>
      </c>
      <c r="E2420" s="2" t="s">
        <v>3246</v>
      </c>
      <c r="F2420" s="3">
        <f>DATE(2023,6,29)</f>
        <v>45106</v>
      </c>
      <c r="G2420" s="4">
        <f t="shared" si="234"/>
        <v>6</v>
      </c>
      <c r="H2420" s="4">
        <f t="shared" si="235"/>
        <v>2023</v>
      </c>
      <c r="I2420" s="2" t="s">
        <v>4</v>
      </c>
      <c r="J2420" s="2" t="s">
        <v>3247</v>
      </c>
      <c r="K2420" s="2" t="s">
        <v>2530</v>
      </c>
      <c r="L2420" s="2" t="s">
        <v>3248</v>
      </c>
      <c r="M2420" s="2" t="s">
        <v>2532</v>
      </c>
      <c r="N2420" s="4" t="str">
        <f t="shared" si="236"/>
        <v>GAL</v>
      </c>
      <c r="O2420" s="5">
        <v>230</v>
      </c>
    </row>
    <row r="2421" spans="2:15" x14ac:dyDescent="0.25">
      <c r="B2421" s="1" t="s">
        <v>3238</v>
      </c>
      <c r="C2421" s="2" t="s">
        <v>3239</v>
      </c>
      <c r="D2421" s="2" t="s">
        <v>3240</v>
      </c>
      <c r="E2421" s="2" t="s">
        <v>3246</v>
      </c>
      <c r="F2421" s="3">
        <f>DATE(2023,6,29)</f>
        <v>45106</v>
      </c>
      <c r="G2421" s="4">
        <f t="shared" si="234"/>
        <v>6</v>
      </c>
      <c r="H2421" s="4">
        <f t="shared" si="235"/>
        <v>2023</v>
      </c>
      <c r="I2421" s="2" t="s">
        <v>4</v>
      </c>
      <c r="J2421" s="2" t="s">
        <v>3247</v>
      </c>
      <c r="K2421" s="2" t="s">
        <v>3249</v>
      </c>
      <c r="L2421" s="2" t="s">
        <v>3250</v>
      </c>
      <c r="M2421" s="2" t="s">
        <v>3251</v>
      </c>
      <c r="N2421" s="4" t="str">
        <f t="shared" si="236"/>
        <v>GAL</v>
      </c>
      <c r="O2421" s="5">
        <v>450</v>
      </c>
    </row>
    <row r="2422" spans="2:15" x14ac:dyDescent="0.25">
      <c r="B2422" s="1" t="s">
        <v>3238</v>
      </c>
      <c r="C2422" s="2" t="s">
        <v>3239</v>
      </c>
      <c r="D2422" s="2" t="s">
        <v>3240</v>
      </c>
      <c r="E2422" s="2" t="s">
        <v>102</v>
      </c>
      <c r="F2422" s="3">
        <f>DATE(2023,6,30)</f>
        <v>45107</v>
      </c>
      <c r="G2422" s="4">
        <f t="shared" si="234"/>
        <v>6</v>
      </c>
      <c r="H2422" s="4">
        <f t="shared" si="235"/>
        <v>2023</v>
      </c>
      <c r="I2422" s="2" t="s">
        <v>4</v>
      </c>
      <c r="J2422" s="2" t="s">
        <v>3252</v>
      </c>
      <c r="K2422" s="2" t="s">
        <v>3249</v>
      </c>
      <c r="L2422" s="2" t="s">
        <v>3250</v>
      </c>
      <c r="M2422" s="2" t="s">
        <v>3251</v>
      </c>
      <c r="N2422" s="4" t="str">
        <f t="shared" si="236"/>
        <v>GAL</v>
      </c>
      <c r="O2422" s="5">
        <v>180</v>
      </c>
    </row>
    <row r="2423" spans="2:15" x14ac:dyDescent="0.25">
      <c r="B2423" s="1" t="s">
        <v>0</v>
      </c>
      <c r="C2423" s="2" t="s">
        <v>1</v>
      </c>
      <c r="D2423" s="2" t="s">
        <v>55</v>
      </c>
      <c r="E2423" s="2" t="s">
        <v>56</v>
      </c>
      <c r="F2423" s="3">
        <f>DATE(2023,7,3)</f>
        <v>45110</v>
      </c>
      <c r="G2423" s="4">
        <f t="shared" si="234"/>
        <v>7</v>
      </c>
      <c r="H2423" s="4">
        <v>2023</v>
      </c>
      <c r="I2423" s="2" t="s">
        <v>4</v>
      </c>
      <c r="J2423" s="2" t="s">
        <v>3253</v>
      </c>
      <c r="K2423" s="2" t="s">
        <v>582</v>
      </c>
      <c r="L2423" s="2" t="s">
        <v>583</v>
      </c>
      <c r="M2423" s="2" t="s">
        <v>553</v>
      </c>
      <c r="N2423" s="4" t="str">
        <f t="shared" si="236"/>
        <v>GAL</v>
      </c>
      <c r="O2423" s="5">
        <v>55</v>
      </c>
    </row>
    <row r="2424" spans="2:15" x14ac:dyDescent="0.25">
      <c r="B2424" s="1" t="s">
        <v>0</v>
      </c>
      <c r="C2424" s="2" t="s">
        <v>1</v>
      </c>
      <c r="D2424" s="2" t="s">
        <v>55</v>
      </c>
      <c r="E2424" s="2" t="s">
        <v>56</v>
      </c>
      <c r="F2424" s="3">
        <f>DATE(2023,7,3)</f>
        <v>45110</v>
      </c>
      <c r="G2424" s="4">
        <f t="shared" si="234"/>
        <v>7</v>
      </c>
      <c r="H2424" s="4">
        <v>2023</v>
      </c>
      <c r="I2424" s="2" t="s">
        <v>4</v>
      </c>
      <c r="J2424" s="2" t="s">
        <v>3253</v>
      </c>
      <c r="K2424" s="2" t="s">
        <v>83</v>
      </c>
      <c r="L2424" s="2" t="s">
        <v>584</v>
      </c>
      <c r="M2424" s="2" t="s">
        <v>85</v>
      </c>
      <c r="N2424" s="4" t="str">
        <f t="shared" si="236"/>
        <v>GAL</v>
      </c>
      <c r="O2424" s="5">
        <v>55</v>
      </c>
    </row>
    <row r="2425" spans="2:15" x14ac:dyDescent="0.25">
      <c r="B2425" s="1" t="s">
        <v>0</v>
      </c>
      <c r="C2425" s="2" t="s">
        <v>1</v>
      </c>
      <c r="D2425" s="2" t="s">
        <v>55</v>
      </c>
      <c r="E2425" s="2" t="s">
        <v>56</v>
      </c>
      <c r="F2425" s="3">
        <f>DATE(2023,7,3)</f>
        <v>45110</v>
      </c>
      <c r="G2425" s="4">
        <f t="shared" si="234"/>
        <v>7</v>
      </c>
      <c r="H2425" s="4">
        <v>2023</v>
      </c>
      <c r="I2425" s="2" t="s">
        <v>4</v>
      </c>
      <c r="J2425" s="2" t="s">
        <v>3253</v>
      </c>
      <c r="K2425" s="2" t="s">
        <v>585</v>
      </c>
      <c r="L2425" s="2" t="s">
        <v>586</v>
      </c>
      <c r="M2425" s="2" t="s">
        <v>587</v>
      </c>
      <c r="N2425" s="4" t="str">
        <f t="shared" si="236"/>
        <v>GAL</v>
      </c>
      <c r="O2425" s="5">
        <v>55</v>
      </c>
    </row>
    <row r="2426" spans="2:15" x14ac:dyDescent="0.25">
      <c r="B2426" s="1" t="s">
        <v>0</v>
      </c>
      <c r="C2426" s="2" t="s">
        <v>1</v>
      </c>
      <c r="D2426" s="2" t="s">
        <v>2</v>
      </c>
      <c r="E2426" s="2" t="s">
        <v>3254</v>
      </c>
      <c r="F2426" s="3">
        <f>DATE(2023,7,11)</f>
        <v>45118</v>
      </c>
      <c r="G2426" s="4">
        <f t="shared" si="234"/>
        <v>7</v>
      </c>
      <c r="H2426" s="4">
        <v>2023</v>
      </c>
      <c r="I2426" s="2" t="s">
        <v>4</v>
      </c>
      <c r="J2426" s="2" t="s">
        <v>3255</v>
      </c>
      <c r="K2426" s="2" t="s">
        <v>33</v>
      </c>
      <c r="L2426" s="2" t="s">
        <v>34</v>
      </c>
      <c r="M2426" s="2" t="s">
        <v>35</v>
      </c>
      <c r="N2426" s="4" t="str">
        <f t="shared" si="236"/>
        <v>GAL</v>
      </c>
      <c r="O2426" s="5">
        <v>15</v>
      </c>
    </row>
    <row r="2427" spans="2:15" x14ac:dyDescent="0.25">
      <c r="B2427" s="1" t="s">
        <v>0</v>
      </c>
      <c r="C2427" s="2" t="s">
        <v>1</v>
      </c>
      <c r="D2427" s="2" t="s">
        <v>2</v>
      </c>
      <c r="E2427" s="2" t="s">
        <v>3254</v>
      </c>
      <c r="F2427" s="3">
        <f>DATE(2023,7,11)</f>
        <v>45118</v>
      </c>
      <c r="G2427" s="4">
        <f t="shared" si="234"/>
        <v>7</v>
      </c>
      <c r="H2427" s="4">
        <v>2023</v>
      </c>
      <c r="I2427" s="2" t="s">
        <v>4</v>
      </c>
      <c r="J2427" s="2" t="s">
        <v>3255</v>
      </c>
      <c r="K2427" s="2" t="s">
        <v>16</v>
      </c>
      <c r="L2427" s="2" t="s">
        <v>7</v>
      </c>
      <c r="M2427" s="2" t="s">
        <v>8</v>
      </c>
      <c r="N2427" s="4" t="str">
        <f t="shared" si="236"/>
        <v>GAL</v>
      </c>
      <c r="O2427" s="5">
        <v>15</v>
      </c>
    </row>
    <row r="2428" spans="2:15" x14ac:dyDescent="0.25">
      <c r="B2428" s="1" t="s">
        <v>0</v>
      </c>
      <c r="C2428" s="2" t="s">
        <v>1</v>
      </c>
      <c r="D2428" s="2" t="s">
        <v>2</v>
      </c>
      <c r="E2428" s="2" t="s">
        <v>1784</v>
      </c>
      <c r="F2428" s="3">
        <f>DATE(2023,7,14)</f>
        <v>45121</v>
      </c>
      <c r="G2428" s="4">
        <f t="shared" si="234"/>
        <v>7</v>
      </c>
      <c r="H2428" s="4">
        <v>2023</v>
      </c>
      <c r="I2428" s="2" t="s">
        <v>4</v>
      </c>
      <c r="J2428" s="2" t="s">
        <v>3256</v>
      </c>
      <c r="K2428" s="2" t="s">
        <v>1786</v>
      </c>
      <c r="L2428" s="2" t="s">
        <v>84</v>
      </c>
      <c r="M2428" s="2" t="s">
        <v>85</v>
      </c>
      <c r="N2428" s="4" t="str">
        <f t="shared" si="236"/>
        <v>GAL</v>
      </c>
      <c r="O2428" s="5">
        <v>55</v>
      </c>
    </row>
    <row r="2429" spans="2:15" x14ac:dyDescent="0.25">
      <c r="B2429" s="1" t="s">
        <v>0</v>
      </c>
      <c r="C2429" s="2" t="s">
        <v>1</v>
      </c>
      <c r="D2429" s="2" t="s">
        <v>2</v>
      </c>
      <c r="E2429" s="2" t="s">
        <v>1784</v>
      </c>
      <c r="F2429" s="3">
        <f>DATE(2023,7,14)</f>
        <v>45121</v>
      </c>
      <c r="G2429" s="4">
        <f t="shared" si="234"/>
        <v>7</v>
      </c>
      <c r="H2429" s="4">
        <v>2023</v>
      </c>
      <c r="I2429" s="2" t="s">
        <v>4</v>
      </c>
      <c r="J2429" s="2" t="s">
        <v>3256</v>
      </c>
      <c r="K2429" s="2" t="s">
        <v>6</v>
      </c>
      <c r="L2429" s="2" t="s">
        <v>7</v>
      </c>
      <c r="M2429" s="2" t="s">
        <v>8</v>
      </c>
      <c r="N2429" s="4" t="str">
        <f t="shared" si="236"/>
        <v>GAL</v>
      </c>
      <c r="O2429" s="5">
        <v>55</v>
      </c>
    </row>
    <row r="2430" spans="2:15" x14ac:dyDescent="0.25">
      <c r="B2430" s="1" t="s">
        <v>0</v>
      </c>
      <c r="C2430" s="2" t="s">
        <v>1</v>
      </c>
      <c r="D2430" s="2" t="s">
        <v>2</v>
      </c>
      <c r="E2430" s="2" t="s">
        <v>42</v>
      </c>
      <c r="F2430" s="3">
        <f t="shared" ref="F2430:F2436" si="238">DATE(2023,7,17)</f>
        <v>45124</v>
      </c>
      <c r="G2430" s="4">
        <f t="shared" si="234"/>
        <v>7</v>
      </c>
      <c r="H2430" s="4">
        <v>2023</v>
      </c>
      <c r="I2430" s="2" t="s">
        <v>4</v>
      </c>
      <c r="J2430" s="2" t="s">
        <v>3257</v>
      </c>
      <c r="K2430" s="2" t="s">
        <v>574</v>
      </c>
      <c r="L2430" s="2" t="s">
        <v>66</v>
      </c>
      <c r="M2430" s="2" t="s">
        <v>67</v>
      </c>
      <c r="N2430" s="4" t="str">
        <f t="shared" si="236"/>
        <v>GAL</v>
      </c>
      <c r="O2430" s="5">
        <v>60</v>
      </c>
    </row>
    <row r="2431" spans="2:15" x14ac:dyDescent="0.25">
      <c r="B2431" s="1" t="s">
        <v>0</v>
      </c>
      <c r="C2431" s="2" t="s">
        <v>1</v>
      </c>
      <c r="D2431" s="2" t="s">
        <v>2</v>
      </c>
      <c r="E2431" s="2" t="s">
        <v>42</v>
      </c>
      <c r="F2431" s="3">
        <f t="shared" si="238"/>
        <v>45124</v>
      </c>
      <c r="G2431" s="4">
        <f t="shared" si="234"/>
        <v>7</v>
      </c>
      <c r="H2431" s="4">
        <v>2023</v>
      </c>
      <c r="I2431" s="2" t="s">
        <v>4</v>
      </c>
      <c r="J2431" s="2" t="s">
        <v>3257</v>
      </c>
      <c r="K2431" s="2" t="s">
        <v>1069</v>
      </c>
      <c r="L2431" s="2" t="s">
        <v>1070</v>
      </c>
      <c r="M2431" s="2" t="s">
        <v>1071</v>
      </c>
      <c r="N2431" s="4" t="str">
        <f t="shared" si="236"/>
        <v>GAL</v>
      </c>
      <c r="O2431" s="5">
        <v>30</v>
      </c>
    </row>
    <row r="2432" spans="2:15" x14ac:dyDescent="0.25">
      <c r="B2432" s="1" t="s">
        <v>0</v>
      </c>
      <c r="C2432" s="2" t="s">
        <v>1</v>
      </c>
      <c r="D2432" s="2" t="s">
        <v>2</v>
      </c>
      <c r="E2432" s="2" t="s">
        <v>42</v>
      </c>
      <c r="F2432" s="3">
        <f t="shared" si="238"/>
        <v>45124</v>
      </c>
      <c r="G2432" s="4">
        <f t="shared" si="234"/>
        <v>7</v>
      </c>
      <c r="H2432" s="4">
        <v>2023</v>
      </c>
      <c r="I2432" s="2" t="s">
        <v>4</v>
      </c>
      <c r="J2432" s="2" t="s">
        <v>3257</v>
      </c>
      <c r="K2432" s="2" t="s">
        <v>44</v>
      </c>
      <c r="L2432" s="2" t="s">
        <v>45</v>
      </c>
      <c r="M2432" s="2" t="s">
        <v>46</v>
      </c>
      <c r="N2432" s="4" t="str">
        <f t="shared" si="236"/>
        <v>GAL</v>
      </c>
      <c r="O2432" s="5">
        <v>60</v>
      </c>
    </row>
    <row r="2433" spans="2:15" x14ac:dyDescent="0.25">
      <c r="B2433" s="1" t="s">
        <v>0</v>
      </c>
      <c r="C2433" s="2" t="s">
        <v>1</v>
      </c>
      <c r="D2433" s="2" t="s">
        <v>2</v>
      </c>
      <c r="E2433" s="2" t="s">
        <v>42</v>
      </c>
      <c r="F2433" s="3">
        <f t="shared" si="238"/>
        <v>45124</v>
      </c>
      <c r="G2433" s="4">
        <f t="shared" si="234"/>
        <v>7</v>
      </c>
      <c r="H2433" s="4">
        <v>2023</v>
      </c>
      <c r="I2433" s="2" t="s">
        <v>4</v>
      </c>
      <c r="J2433" s="2" t="s">
        <v>3257</v>
      </c>
      <c r="K2433" s="2" t="s">
        <v>47</v>
      </c>
      <c r="L2433" s="2" t="s">
        <v>48</v>
      </c>
      <c r="M2433" s="2" t="s">
        <v>49</v>
      </c>
      <c r="N2433" s="4" t="str">
        <f t="shared" si="236"/>
        <v>GAL</v>
      </c>
      <c r="O2433" s="5">
        <v>60</v>
      </c>
    </row>
    <row r="2434" spans="2:15" x14ac:dyDescent="0.25">
      <c r="B2434" s="1" t="s">
        <v>0</v>
      </c>
      <c r="C2434" s="2" t="s">
        <v>1</v>
      </c>
      <c r="D2434" s="2" t="s">
        <v>2</v>
      </c>
      <c r="E2434" s="2" t="s">
        <v>42</v>
      </c>
      <c r="F2434" s="3">
        <f t="shared" si="238"/>
        <v>45124</v>
      </c>
      <c r="G2434" s="4">
        <f t="shared" si="234"/>
        <v>7</v>
      </c>
      <c r="H2434" s="4">
        <v>2023</v>
      </c>
      <c r="I2434" s="2" t="s">
        <v>4</v>
      </c>
      <c r="J2434" s="2" t="s">
        <v>3257</v>
      </c>
      <c r="K2434" s="2" t="s">
        <v>578</v>
      </c>
      <c r="L2434" s="2" t="s">
        <v>72</v>
      </c>
      <c r="M2434" s="2" t="s">
        <v>73</v>
      </c>
      <c r="N2434" s="4" t="str">
        <f t="shared" si="236"/>
        <v>GAL</v>
      </c>
      <c r="O2434" s="5">
        <v>30</v>
      </c>
    </row>
    <row r="2435" spans="2:15" x14ac:dyDescent="0.25">
      <c r="B2435" s="1" t="s">
        <v>0</v>
      </c>
      <c r="C2435" s="2" t="s">
        <v>1</v>
      </c>
      <c r="D2435" s="2" t="s">
        <v>2</v>
      </c>
      <c r="E2435" s="2" t="s">
        <v>42</v>
      </c>
      <c r="F2435" s="3">
        <f t="shared" si="238"/>
        <v>45124</v>
      </c>
      <c r="G2435" s="4">
        <f t="shared" ref="G2435:G2498" si="239">+MONTH(F2435)</f>
        <v>7</v>
      </c>
      <c r="H2435" s="4">
        <v>2023</v>
      </c>
      <c r="I2435" s="2" t="s">
        <v>4</v>
      </c>
      <c r="J2435" s="2" t="s">
        <v>3257</v>
      </c>
      <c r="K2435" s="2" t="s">
        <v>28</v>
      </c>
      <c r="L2435" s="2" t="s">
        <v>29</v>
      </c>
      <c r="M2435" s="2" t="s">
        <v>30</v>
      </c>
      <c r="N2435" s="4" t="str">
        <f t="shared" ref="N2435:N2498" si="240">+LEFT(M2435,3)</f>
        <v>GAL</v>
      </c>
      <c r="O2435" s="5">
        <v>120</v>
      </c>
    </row>
    <row r="2436" spans="2:15" x14ac:dyDescent="0.25">
      <c r="B2436" s="1" t="s">
        <v>0</v>
      </c>
      <c r="C2436" s="2" t="s">
        <v>1</v>
      </c>
      <c r="D2436" s="2" t="s">
        <v>2</v>
      </c>
      <c r="E2436" s="2" t="s">
        <v>42</v>
      </c>
      <c r="F2436" s="3">
        <f t="shared" si="238"/>
        <v>45124</v>
      </c>
      <c r="G2436" s="4">
        <f t="shared" si="239"/>
        <v>7</v>
      </c>
      <c r="H2436" s="4">
        <v>2023</v>
      </c>
      <c r="I2436" s="2" t="s">
        <v>4</v>
      </c>
      <c r="J2436" s="2" t="s">
        <v>3257</v>
      </c>
      <c r="K2436" s="2" t="s">
        <v>16</v>
      </c>
      <c r="L2436" s="2" t="s">
        <v>7</v>
      </c>
      <c r="M2436" s="2" t="s">
        <v>8</v>
      </c>
      <c r="N2436" s="4" t="str">
        <f t="shared" si="240"/>
        <v>GAL</v>
      </c>
      <c r="O2436" s="5">
        <v>120</v>
      </c>
    </row>
    <row r="2437" spans="2:15" x14ac:dyDescent="0.25">
      <c r="B2437" s="1" t="s">
        <v>0</v>
      </c>
      <c r="C2437" s="2" t="s">
        <v>1</v>
      </c>
      <c r="D2437" s="2" t="s">
        <v>2</v>
      </c>
      <c r="E2437" s="2" t="s">
        <v>1787</v>
      </c>
      <c r="F2437" s="3">
        <f>DATE(2023,7,18)</f>
        <v>45125</v>
      </c>
      <c r="G2437" s="4">
        <f t="shared" si="239"/>
        <v>7</v>
      </c>
      <c r="H2437" s="4">
        <v>2023</v>
      </c>
      <c r="I2437" s="2" t="s">
        <v>4</v>
      </c>
      <c r="J2437" s="2" t="s">
        <v>3258</v>
      </c>
      <c r="K2437" s="2" t="s">
        <v>11</v>
      </c>
      <c r="L2437" s="2" t="s">
        <v>12</v>
      </c>
      <c r="M2437" s="2" t="s">
        <v>13</v>
      </c>
      <c r="N2437" s="4" t="str">
        <f t="shared" si="240"/>
        <v>GAL</v>
      </c>
      <c r="O2437" s="5">
        <v>220</v>
      </c>
    </row>
    <row r="2438" spans="2:15" x14ac:dyDescent="0.25">
      <c r="B2438" s="1" t="s">
        <v>0</v>
      </c>
      <c r="C2438" s="2" t="s">
        <v>1</v>
      </c>
      <c r="D2438" s="2" t="s">
        <v>2</v>
      </c>
      <c r="E2438" s="2" t="s">
        <v>1787</v>
      </c>
      <c r="F2438" s="3">
        <f>DATE(2023,7,25)</f>
        <v>45132</v>
      </c>
      <c r="G2438" s="4">
        <f t="shared" si="239"/>
        <v>7</v>
      </c>
      <c r="H2438" s="4">
        <v>2023</v>
      </c>
      <c r="I2438" s="2" t="s">
        <v>4</v>
      </c>
      <c r="J2438" s="2" t="s">
        <v>3259</v>
      </c>
      <c r="K2438" s="2" t="s">
        <v>566</v>
      </c>
      <c r="L2438" s="2" t="s">
        <v>20</v>
      </c>
      <c r="M2438" s="2" t="s">
        <v>21</v>
      </c>
      <c r="N2438" s="4" t="str">
        <f t="shared" si="240"/>
        <v>GAL</v>
      </c>
      <c r="O2438" s="5">
        <v>55</v>
      </c>
    </row>
    <row r="2439" spans="2:15" x14ac:dyDescent="0.25">
      <c r="B2439" s="1" t="s">
        <v>0</v>
      </c>
      <c r="C2439" s="2" t="s">
        <v>1</v>
      </c>
      <c r="D2439" s="2" t="s">
        <v>2</v>
      </c>
      <c r="E2439" s="2" t="s">
        <v>1787</v>
      </c>
      <c r="F2439" s="3">
        <f>DATE(2023,7,25)</f>
        <v>45132</v>
      </c>
      <c r="G2439" s="4">
        <f t="shared" si="239"/>
        <v>7</v>
      </c>
      <c r="H2439" s="4">
        <v>2023</v>
      </c>
      <c r="I2439" s="2" t="s">
        <v>4</v>
      </c>
      <c r="J2439" s="2" t="s">
        <v>3259</v>
      </c>
      <c r="K2439" s="2" t="s">
        <v>1786</v>
      </c>
      <c r="L2439" s="2" t="s">
        <v>84</v>
      </c>
      <c r="M2439" s="2" t="s">
        <v>85</v>
      </c>
      <c r="N2439" s="4" t="str">
        <f t="shared" si="240"/>
        <v>GAL</v>
      </c>
      <c r="O2439" s="5">
        <v>55</v>
      </c>
    </row>
    <row r="2440" spans="2:15" x14ac:dyDescent="0.25">
      <c r="B2440" s="1" t="s">
        <v>0</v>
      </c>
      <c r="C2440" s="2" t="s">
        <v>1</v>
      </c>
      <c r="D2440" s="2" t="s">
        <v>2</v>
      </c>
      <c r="E2440" s="2" t="s">
        <v>1787</v>
      </c>
      <c r="F2440" s="3">
        <f>DATE(2023,7,25)</f>
        <v>45132</v>
      </c>
      <c r="G2440" s="4">
        <f t="shared" si="239"/>
        <v>7</v>
      </c>
      <c r="H2440" s="4">
        <v>2023</v>
      </c>
      <c r="I2440" s="2" t="s">
        <v>4</v>
      </c>
      <c r="J2440" s="2" t="s">
        <v>3259</v>
      </c>
      <c r="K2440" s="2" t="s">
        <v>6</v>
      </c>
      <c r="L2440" s="2" t="s">
        <v>7</v>
      </c>
      <c r="M2440" s="2" t="s">
        <v>8</v>
      </c>
      <c r="N2440" s="4" t="str">
        <f t="shared" si="240"/>
        <v>GAL</v>
      </c>
      <c r="O2440" s="5">
        <v>55</v>
      </c>
    </row>
    <row r="2441" spans="2:15" x14ac:dyDescent="0.25">
      <c r="B2441" s="1" t="s">
        <v>0</v>
      </c>
      <c r="C2441" s="2" t="s">
        <v>1</v>
      </c>
      <c r="D2441" s="2" t="s">
        <v>2</v>
      </c>
      <c r="E2441" s="2" t="s">
        <v>1790</v>
      </c>
      <c r="F2441" s="3">
        <f t="shared" ref="F2441:F2446" si="241">DATE(2023,7,26)</f>
        <v>45133</v>
      </c>
      <c r="G2441" s="4">
        <f t="shared" si="239"/>
        <v>7</v>
      </c>
      <c r="H2441" s="4">
        <v>2023</v>
      </c>
      <c r="I2441" s="2" t="s">
        <v>4</v>
      </c>
      <c r="J2441" s="2" t="s">
        <v>3260</v>
      </c>
      <c r="K2441" s="2" t="s">
        <v>33</v>
      </c>
      <c r="L2441" s="2" t="s">
        <v>34</v>
      </c>
      <c r="M2441" s="2" t="s">
        <v>35</v>
      </c>
      <c r="N2441" s="4" t="str">
        <f t="shared" si="240"/>
        <v>GAL</v>
      </c>
      <c r="O2441" s="5">
        <v>40</v>
      </c>
    </row>
    <row r="2442" spans="2:15" x14ac:dyDescent="0.25">
      <c r="B2442" s="1" t="s">
        <v>0</v>
      </c>
      <c r="C2442" s="2" t="s">
        <v>1</v>
      </c>
      <c r="D2442" s="2" t="s">
        <v>2</v>
      </c>
      <c r="E2442" s="2" t="s">
        <v>1790</v>
      </c>
      <c r="F2442" s="3">
        <f t="shared" si="241"/>
        <v>45133</v>
      </c>
      <c r="G2442" s="4">
        <f t="shared" si="239"/>
        <v>7</v>
      </c>
      <c r="H2442" s="4">
        <v>2023</v>
      </c>
      <c r="I2442" s="2" t="s">
        <v>4</v>
      </c>
      <c r="J2442" s="2" t="s">
        <v>3260</v>
      </c>
      <c r="K2442" s="2" t="s">
        <v>19</v>
      </c>
      <c r="L2442" s="2" t="s">
        <v>20</v>
      </c>
      <c r="M2442" s="2" t="s">
        <v>21</v>
      </c>
      <c r="N2442" s="4" t="str">
        <f t="shared" si="240"/>
        <v>GAL</v>
      </c>
      <c r="O2442" s="5">
        <v>40</v>
      </c>
    </row>
    <row r="2443" spans="2:15" x14ac:dyDescent="0.25">
      <c r="B2443" s="1" t="s">
        <v>0</v>
      </c>
      <c r="C2443" s="2" t="s">
        <v>1</v>
      </c>
      <c r="D2443" s="2" t="s">
        <v>2</v>
      </c>
      <c r="E2443" s="2" t="s">
        <v>1790</v>
      </c>
      <c r="F2443" s="3">
        <f t="shared" si="241"/>
        <v>45133</v>
      </c>
      <c r="G2443" s="4">
        <f t="shared" si="239"/>
        <v>7</v>
      </c>
      <c r="H2443" s="4">
        <v>2023</v>
      </c>
      <c r="I2443" s="2" t="s">
        <v>4</v>
      </c>
      <c r="J2443" s="2" t="s">
        <v>3260</v>
      </c>
      <c r="K2443" s="2" t="s">
        <v>22</v>
      </c>
      <c r="L2443" s="2" t="s">
        <v>23</v>
      </c>
      <c r="M2443" s="2" t="s">
        <v>24</v>
      </c>
      <c r="N2443" s="4" t="str">
        <f t="shared" si="240"/>
        <v>GAL</v>
      </c>
      <c r="O2443" s="5">
        <v>40</v>
      </c>
    </row>
    <row r="2444" spans="2:15" x14ac:dyDescent="0.25">
      <c r="B2444" s="1" t="s">
        <v>0</v>
      </c>
      <c r="C2444" s="2" t="s">
        <v>1</v>
      </c>
      <c r="D2444" s="2" t="s">
        <v>2</v>
      </c>
      <c r="E2444" s="2" t="s">
        <v>1790</v>
      </c>
      <c r="F2444" s="3">
        <f t="shared" si="241"/>
        <v>45133</v>
      </c>
      <c r="G2444" s="4">
        <f t="shared" si="239"/>
        <v>7</v>
      </c>
      <c r="H2444" s="4">
        <v>2023</v>
      </c>
      <c r="I2444" s="2" t="s">
        <v>4</v>
      </c>
      <c r="J2444" s="2" t="s">
        <v>3260</v>
      </c>
      <c r="K2444" s="2" t="s">
        <v>25</v>
      </c>
      <c r="L2444" s="2" t="s">
        <v>26</v>
      </c>
      <c r="M2444" s="2" t="s">
        <v>27</v>
      </c>
      <c r="N2444" s="4" t="str">
        <f t="shared" si="240"/>
        <v>GAL</v>
      </c>
      <c r="O2444" s="5">
        <v>40</v>
      </c>
    </row>
    <row r="2445" spans="2:15" x14ac:dyDescent="0.25">
      <c r="B2445" s="1" t="s">
        <v>0</v>
      </c>
      <c r="C2445" s="2" t="s">
        <v>1</v>
      </c>
      <c r="D2445" s="2" t="s">
        <v>2</v>
      </c>
      <c r="E2445" s="2" t="s">
        <v>1790</v>
      </c>
      <c r="F2445" s="3">
        <f t="shared" si="241"/>
        <v>45133</v>
      </c>
      <c r="G2445" s="4">
        <f t="shared" si="239"/>
        <v>7</v>
      </c>
      <c r="H2445" s="4">
        <v>2023</v>
      </c>
      <c r="I2445" s="2" t="s">
        <v>4</v>
      </c>
      <c r="J2445" s="2" t="s">
        <v>3260</v>
      </c>
      <c r="K2445" s="2" t="s">
        <v>28</v>
      </c>
      <c r="L2445" s="2" t="s">
        <v>29</v>
      </c>
      <c r="M2445" s="2" t="s">
        <v>30</v>
      </c>
      <c r="N2445" s="4" t="str">
        <f t="shared" si="240"/>
        <v>GAL</v>
      </c>
      <c r="O2445" s="5">
        <v>40</v>
      </c>
    </row>
    <row r="2446" spans="2:15" x14ac:dyDescent="0.25">
      <c r="B2446" s="1" t="s">
        <v>0</v>
      </c>
      <c r="C2446" s="2" t="s">
        <v>1</v>
      </c>
      <c r="D2446" s="2" t="s">
        <v>2</v>
      </c>
      <c r="E2446" s="2" t="s">
        <v>1790</v>
      </c>
      <c r="F2446" s="3">
        <f t="shared" si="241"/>
        <v>45133</v>
      </c>
      <c r="G2446" s="4">
        <f t="shared" si="239"/>
        <v>7</v>
      </c>
      <c r="H2446" s="4">
        <v>2023</v>
      </c>
      <c r="I2446" s="2" t="s">
        <v>4</v>
      </c>
      <c r="J2446" s="2" t="s">
        <v>3260</v>
      </c>
      <c r="K2446" s="2" t="s">
        <v>16</v>
      </c>
      <c r="L2446" s="2" t="s">
        <v>7</v>
      </c>
      <c r="M2446" s="2" t="s">
        <v>8</v>
      </c>
      <c r="N2446" s="4" t="str">
        <f t="shared" si="240"/>
        <v>GAL</v>
      </c>
      <c r="O2446" s="5">
        <v>40</v>
      </c>
    </row>
    <row r="2447" spans="2:15" x14ac:dyDescent="0.25">
      <c r="B2447" s="1" t="s">
        <v>88</v>
      </c>
      <c r="C2447" s="2" t="s">
        <v>89</v>
      </c>
      <c r="D2447" s="2" t="s">
        <v>3141</v>
      </c>
      <c r="E2447" s="2" t="s">
        <v>102</v>
      </c>
      <c r="F2447" s="3">
        <f>DATE(2023,7,6)</f>
        <v>45113</v>
      </c>
      <c r="G2447" s="4">
        <f t="shared" si="239"/>
        <v>7</v>
      </c>
      <c r="H2447" s="4">
        <v>2023</v>
      </c>
      <c r="I2447" s="2" t="s">
        <v>4</v>
      </c>
      <c r="J2447" s="2" t="s">
        <v>3261</v>
      </c>
      <c r="K2447" s="2" t="s">
        <v>1820</v>
      </c>
      <c r="L2447" s="2" t="s">
        <v>1815</v>
      </c>
      <c r="M2447" s="2" t="s">
        <v>1816</v>
      </c>
      <c r="N2447" s="4" t="str">
        <f t="shared" si="240"/>
        <v>GAL</v>
      </c>
      <c r="O2447" s="5">
        <v>1000</v>
      </c>
    </row>
    <row r="2448" spans="2:15" x14ac:dyDescent="0.25">
      <c r="B2448" s="1" t="s">
        <v>88</v>
      </c>
      <c r="C2448" s="2" t="s">
        <v>89</v>
      </c>
      <c r="D2448" s="2" t="s">
        <v>1026</v>
      </c>
      <c r="E2448" s="2" t="s">
        <v>3262</v>
      </c>
      <c r="F2448" s="3">
        <f>DATE(2023,7,6)</f>
        <v>45113</v>
      </c>
      <c r="G2448" s="4">
        <f t="shared" si="239"/>
        <v>7</v>
      </c>
      <c r="H2448" s="4">
        <v>2023</v>
      </c>
      <c r="I2448" s="2" t="s">
        <v>4</v>
      </c>
      <c r="J2448" s="2" t="s">
        <v>3263</v>
      </c>
      <c r="K2448" s="2" t="s">
        <v>1028</v>
      </c>
      <c r="L2448" s="2" t="s">
        <v>1029</v>
      </c>
      <c r="M2448" s="2" t="s">
        <v>106</v>
      </c>
      <c r="N2448" s="4" t="str">
        <f t="shared" si="240"/>
        <v>LBS</v>
      </c>
      <c r="O2448" s="5">
        <v>23880</v>
      </c>
    </row>
    <row r="2449" spans="2:15" x14ac:dyDescent="0.25">
      <c r="B2449" s="1" t="s">
        <v>88</v>
      </c>
      <c r="C2449" s="2" t="s">
        <v>89</v>
      </c>
      <c r="D2449" s="2" t="s">
        <v>1103</v>
      </c>
      <c r="E2449" s="2" t="s">
        <v>1104</v>
      </c>
      <c r="F2449" s="3">
        <f>DATE(2023,7,7)</f>
        <v>45114</v>
      </c>
      <c r="G2449" s="4">
        <f t="shared" si="239"/>
        <v>7</v>
      </c>
      <c r="H2449" s="4">
        <v>2023</v>
      </c>
      <c r="I2449" s="2" t="s">
        <v>4</v>
      </c>
      <c r="J2449" s="2" t="s">
        <v>3264</v>
      </c>
      <c r="K2449" s="2" t="s">
        <v>2850</v>
      </c>
      <c r="L2449" s="2" t="s">
        <v>2851</v>
      </c>
      <c r="M2449" s="2" t="s">
        <v>106</v>
      </c>
      <c r="N2449" s="4" t="str">
        <f t="shared" si="240"/>
        <v>LBS</v>
      </c>
      <c r="O2449" s="5">
        <v>58820</v>
      </c>
    </row>
    <row r="2450" spans="2:15" x14ac:dyDescent="0.25">
      <c r="B2450" s="1" t="s">
        <v>88</v>
      </c>
      <c r="C2450" s="2" t="s">
        <v>89</v>
      </c>
      <c r="D2450" s="2" t="s">
        <v>3265</v>
      </c>
      <c r="E2450" s="2" t="s">
        <v>3266</v>
      </c>
      <c r="F2450" s="3">
        <f>DATE(2023,7,7)</f>
        <v>45114</v>
      </c>
      <c r="G2450" s="4">
        <f t="shared" si="239"/>
        <v>7</v>
      </c>
      <c r="H2450" s="4">
        <v>2023</v>
      </c>
      <c r="I2450" s="2" t="s">
        <v>4</v>
      </c>
      <c r="J2450" s="2" t="s">
        <v>3267</v>
      </c>
      <c r="K2450" s="2" t="s">
        <v>3268</v>
      </c>
      <c r="L2450" s="2" t="s">
        <v>3269</v>
      </c>
      <c r="M2450" s="2" t="s">
        <v>2576</v>
      </c>
      <c r="N2450" s="4" t="str">
        <f t="shared" si="240"/>
        <v>GAL</v>
      </c>
      <c r="O2450" s="5">
        <v>150</v>
      </c>
    </row>
    <row r="2451" spans="2:15" x14ac:dyDescent="0.25">
      <c r="B2451" s="1" t="s">
        <v>88</v>
      </c>
      <c r="C2451" s="2" t="s">
        <v>89</v>
      </c>
      <c r="D2451" s="2" t="s">
        <v>1444</v>
      </c>
      <c r="E2451" s="2" t="s">
        <v>102</v>
      </c>
      <c r="F2451" s="3">
        <f>DATE(2023,7,10)</f>
        <v>45117</v>
      </c>
      <c r="G2451" s="4">
        <f t="shared" si="239"/>
        <v>7</v>
      </c>
      <c r="H2451" s="4">
        <v>2023</v>
      </c>
      <c r="I2451" s="2" t="s">
        <v>4</v>
      </c>
      <c r="J2451" s="2" t="s">
        <v>3270</v>
      </c>
      <c r="K2451" s="2" t="s">
        <v>1446</v>
      </c>
      <c r="L2451" s="2" t="s">
        <v>2581</v>
      </c>
      <c r="M2451" s="2" t="s">
        <v>1448</v>
      </c>
      <c r="N2451" s="4" t="str">
        <f t="shared" si="240"/>
        <v>GAL</v>
      </c>
      <c r="O2451" s="5">
        <v>360</v>
      </c>
    </row>
    <row r="2452" spans="2:15" x14ac:dyDescent="0.25">
      <c r="B2452" s="1" t="s">
        <v>88</v>
      </c>
      <c r="C2452" s="2" t="s">
        <v>89</v>
      </c>
      <c r="D2452" s="2" t="s">
        <v>1444</v>
      </c>
      <c r="E2452" s="2" t="s">
        <v>2864</v>
      </c>
      <c r="F2452" s="3">
        <f>DATE(2023,7,10)</f>
        <v>45117</v>
      </c>
      <c r="G2452" s="4">
        <f t="shared" si="239"/>
        <v>7</v>
      </c>
      <c r="H2452" s="4">
        <v>2023</v>
      </c>
      <c r="I2452" s="2" t="s">
        <v>4</v>
      </c>
      <c r="J2452" s="2" t="s">
        <v>3271</v>
      </c>
      <c r="K2452" s="2" t="s">
        <v>1446</v>
      </c>
      <c r="L2452" s="2" t="s">
        <v>2581</v>
      </c>
      <c r="M2452" s="2" t="s">
        <v>1448</v>
      </c>
      <c r="N2452" s="4" t="str">
        <f t="shared" si="240"/>
        <v>GAL</v>
      </c>
      <c r="O2452" s="5">
        <v>360</v>
      </c>
    </row>
    <row r="2453" spans="2:15" x14ac:dyDescent="0.25">
      <c r="B2453" s="1" t="s">
        <v>88</v>
      </c>
      <c r="C2453" s="2" t="s">
        <v>89</v>
      </c>
      <c r="D2453" s="2" t="s">
        <v>3272</v>
      </c>
      <c r="E2453" s="2" t="s">
        <v>91</v>
      </c>
      <c r="F2453" s="3">
        <f>DATE(2023,7,13)</f>
        <v>45120</v>
      </c>
      <c r="G2453" s="4">
        <f t="shared" si="239"/>
        <v>7</v>
      </c>
      <c r="H2453" s="4">
        <v>2023</v>
      </c>
      <c r="I2453" s="2" t="s">
        <v>4</v>
      </c>
      <c r="J2453" s="2" t="s">
        <v>3273</v>
      </c>
      <c r="K2453" s="2" t="s">
        <v>542</v>
      </c>
      <c r="L2453" s="2" t="s">
        <v>543</v>
      </c>
      <c r="M2453" s="2" t="s">
        <v>27</v>
      </c>
      <c r="N2453" s="4" t="str">
        <f t="shared" si="240"/>
        <v>GAL</v>
      </c>
      <c r="O2453" s="5">
        <v>422</v>
      </c>
    </row>
    <row r="2454" spans="2:15" x14ac:dyDescent="0.25">
      <c r="B2454" s="1" t="s">
        <v>88</v>
      </c>
      <c r="C2454" s="2" t="s">
        <v>89</v>
      </c>
      <c r="D2454" s="2" t="s">
        <v>616</v>
      </c>
      <c r="E2454" s="2" t="s">
        <v>2872</v>
      </c>
      <c r="F2454" s="3">
        <f>DATE(2023,7,20)</f>
        <v>45127</v>
      </c>
      <c r="G2454" s="4">
        <f t="shared" si="239"/>
        <v>7</v>
      </c>
      <c r="H2454" s="4">
        <v>2023</v>
      </c>
      <c r="I2454" s="2" t="s">
        <v>4</v>
      </c>
      <c r="J2454" s="2" t="s">
        <v>3274</v>
      </c>
      <c r="K2454" s="2" t="s">
        <v>2874</v>
      </c>
      <c r="L2454" s="2" t="s">
        <v>2875</v>
      </c>
      <c r="M2454" s="2" t="s">
        <v>2876</v>
      </c>
      <c r="N2454" s="4" t="str">
        <f t="shared" si="240"/>
        <v>GAL</v>
      </c>
      <c r="O2454" s="5">
        <v>500</v>
      </c>
    </row>
    <row r="2455" spans="2:15" x14ac:dyDescent="0.25">
      <c r="B2455" s="1" t="s">
        <v>88</v>
      </c>
      <c r="C2455" s="2" t="s">
        <v>89</v>
      </c>
      <c r="D2455" s="2" t="s">
        <v>90</v>
      </c>
      <c r="E2455" s="2" t="s">
        <v>91</v>
      </c>
      <c r="F2455" s="3">
        <f>DATE(2023,7,21)</f>
        <v>45128</v>
      </c>
      <c r="G2455" s="4">
        <f t="shared" si="239"/>
        <v>7</v>
      </c>
      <c r="H2455" s="4">
        <v>2023</v>
      </c>
      <c r="I2455" s="2" t="s">
        <v>4</v>
      </c>
      <c r="J2455" s="2" t="s">
        <v>3275</v>
      </c>
      <c r="K2455" s="2" t="s">
        <v>3276</v>
      </c>
      <c r="L2455" s="2" t="s">
        <v>3277</v>
      </c>
      <c r="M2455" s="2" t="s">
        <v>160</v>
      </c>
      <c r="N2455" s="4" t="str">
        <f t="shared" si="240"/>
        <v>GAL</v>
      </c>
      <c r="O2455" s="5">
        <v>20</v>
      </c>
    </row>
    <row r="2456" spans="2:15" x14ac:dyDescent="0.25">
      <c r="B2456" s="1" t="s">
        <v>88</v>
      </c>
      <c r="C2456" s="2" t="s">
        <v>89</v>
      </c>
      <c r="D2456" s="2" t="s">
        <v>90</v>
      </c>
      <c r="E2456" s="2" t="s">
        <v>91</v>
      </c>
      <c r="F2456" s="3">
        <f>DATE(2023,7,21)</f>
        <v>45128</v>
      </c>
      <c r="G2456" s="4">
        <f t="shared" si="239"/>
        <v>7</v>
      </c>
      <c r="H2456" s="4">
        <v>2023</v>
      </c>
      <c r="I2456" s="2" t="s">
        <v>4</v>
      </c>
      <c r="J2456" s="2" t="s">
        <v>3275</v>
      </c>
      <c r="K2456" s="2" t="s">
        <v>614</v>
      </c>
      <c r="L2456" s="2" t="s">
        <v>615</v>
      </c>
      <c r="M2456" s="2" t="s">
        <v>41</v>
      </c>
      <c r="N2456" s="4" t="str">
        <f t="shared" si="240"/>
        <v>GAL</v>
      </c>
      <c r="O2456" s="5">
        <v>250</v>
      </c>
    </row>
    <row r="2457" spans="2:15" x14ac:dyDescent="0.25">
      <c r="B2457" s="1" t="s">
        <v>88</v>
      </c>
      <c r="C2457" s="2" t="s">
        <v>89</v>
      </c>
      <c r="D2457" s="2" t="s">
        <v>3240</v>
      </c>
      <c r="E2457" s="2" t="s">
        <v>3246</v>
      </c>
      <c r="F2457" s="3">
        <f>DATE(2023,7,27)</f>
        <v>45134</v>
      </c>
      <c r="G2457" s="4">
        <f t="shared" si="239"/>
        <v>7</v>
      </c>
      <c r="H2457" s="4">
        <v>2023</v>
      </c>
      <c r="I2457" s="2" t="s">
        <v>4</v>
      </c>
      <c r="J2457" s="2" t="s">
        <v>3278</v>
      </c>
      <c r="K2457" s="2" t="s">
        <v>3279</v>
      </c>
      <c r="L2457" s="2" t="s">
        <v>3280</v>
      </c>
      <c r="M2457" s="2" t="s">
        <v>3281</v>
      </c>
      <c r="N2457" s="4" t="str">
        <f t="shared" si="240"/>
        <v>GAL</v>
      </c>
      <c r="O2457" s="5">
        <v>500</v>
      </c>
    </row>
    <row r="2458" spans="2:15" x14ac:dyDescent="0.25">
      <c r="B2458" s="1" t="s">
        <v>88</v>
      </c>
      <c r="C2458" s="2" t="s">
        <v>89</v>
      </c>
      <c r="D2458" s="2" t="s">
        <v>1082</v>
      </c>
      <c r="E2458" s="2" t="s">
        <v>1083</v>
      </c>
      <c r="F2458" s="3">
        <f>DATE(2023,7,31)</f>
        <v>45138</v>
      </c>
      <c r="G2458" s="4">
        <f t="shared" si="239"/>
        <v>7</v>
      </c>
      <c r="H2458" s="4">
        <v>2023</v>
      </c>
      <c r="I2458" s="2" t="s">
        <v>4</v>
      </c>
      <c r="J2458" s="2" t="s">
        <v>3282</v>
      </c>
      <c r="K2458" s="2" t="s">
        <v>2574</v>
      </c>
      <c r="L2458" s="2" t="s">
        <v>2575</v>
      </c>
      <c r="M2458" s="2" t="s">
        <v>2576</v>
      </c>
      <c r="N2458" s="4" t="str">
        <f t="shared" si="240"/>
        <v>GAL</v>
      </c>
      <c r="O2458" s="5">
        <v>250</v>
      </c>
    </row>
    <row r="2459" spans="2:15" x14ac:dyDescent="0.25">
      <c r="B2459" s="1" t="s">
        <v>88</v>
      </c>
      <c r="C2459" s="2" t="s">
        <v>89</v>
      </c>
      <c r="D2459" s="2" t="s">
        <v>1047</v>
      </c>
      <c r="E2459" s="2" t="s">
        <v>1468</v>
      </c>
      <c r="F2459" s="3">
        <f>DATE(2023,7,31)</f>
        <v>45138</v>
      </c>
      <c r="G2459" s="4">
        <f t="shared" si="239"/>
        <v>7</v>
      </c>
      <c r="H2459" s="4">
        <v>2023</v>
      </c>
      <c r="I2459" s="2" t="s">
        <v>4</v>
      </c>
      <c r="J2459" s="2" t="s">
        <v>3283</v>
      </c>
      <c r="K2459" s="2" t="s">
        <v>83</v>
      </c>
      <c r="L2459" s="2" t="s">
        <v>518</v>
      </c>
      <c r="M2459" s="2" t="s">
        <v>85</v>
      </c>
      <c r="N2459" s="4" t="str">
        <f t="shared" si="240"/>
        <v>GAL</v>
      </c>
      <c r="O2459" s="5">
        <v>40</v>
      </c>
    </row>
    <row r="2460" spans="2:15" x14ac:dyDescent="0.25">
      <c r="B2460" s="1" t="s">
        <v>88</v>
      </c>
      <c r="C2460" s="2" t="s">
        <v>89</v>
      </c>
      <c r="D2460" s="2" t="s">
        <v>1047</v>
      </c>
      <c r="E2460" s="2" t="s">
        <v>1468</v>
      </c>
      <c r="F2460" s="3">
        <f>DATE(2023,7,31)</f>
        <v>45138</v>
      </c>
      <c r="G2460" s="4">
        <f t="shared" si="239"/>
        <v>7</v>
      </c>
      <c r="H2460" s="4">
        <v>2023</v>
      </c>
      <c r="I2460" s="2" t="s">
        <v>4</v>
      </c>
      <c r="J2460" s="2" t="s">
        <v>3283</v>
      </c>
      <c r="K2460" s="2" t="s">
        <v>1470</v>
      </c>
      <c r="L2460" s="2" t="s">
        <v>2558</v>
      </c>
      <c r="M2460" s="2" t="s">
        <v>1472</v>
      </c>
      <c r="N2460" s="4" t="str">
        <f t="shared" si="240"/>
        <v>GAL</v>
      </c>
      <c r="O2460" s="5">
        <v>30</v>
      </c>
    </row>
    <row r="2461" spans="2:15" x14ac:dyDescent="0.25">
      <c r="B2461" s="1" t="s">
        <v>154</v>
      </c>
      <c r="C2461" s="2" t="s">
        <v>155</v>
      </c>
      <c r="D2461" s="2" t="s">
        <v>628</v>
      </c>
      <c r="E2461" s="2" t="s">
        <v>1036</v>
      </c>
      <c r="F2461" s="3">
        <f>DATE(2023,7,5)</f>
        <v>45112</v>
      </c>
      <c r="G2461" s="4">
        <f t="shared" si="239"/>
        <v>7</v>
      </c>
      <c r="H2461" s="4">
        <v>2023</v>
      </c>
      <c r="I2461" s="2" t="s">
        <v>4</v>
      </c>
      <c r="J2461" s="2" t="s">
        <v>3284</v>
      </c>
      <c r="K2461" s="2" t="s">
        <v>631</v>
      </c>
      <c r="L2461" s="2" t="s">
        <v>632</v>
      </c>
      <c r="M2461" s="2" t="s">
        <v>633</v>
      </c>
      <c r="N2461" s="4" t="str">
        <f t="shared" si="240"/>
        <v>GAL</v>
      </c>
      <c r="O2461" s="5">
        <v>1000</v>
      </c>
    </row>
    <row r="2462" spans="2:15" x14ac:dyDescent="0.25">
      <c r="B2462" s="1" t="s">
        <v>154</v>
      </c>
      <c r="C2462" s="2" t="s">
        <v>155</v>
      </c>
      <c r="D2462" s="2" t="s">
        <v>1838</v>
      </c>
      <c r="E2462" s="2" t="s">
        <v>1839</v>
      </c>
      <c r="F2462" s="3">
        <f>DATE(2023,7,5)</f>
        <v>45112</v>
      </c>
      <c r="G2462" s="4">
        <f t="shared" si="239"/>
        <v>7</v>
      </c>
      <c r="H2462" s="4">
        <v>2023</v>
      </c>
      <c r="I2462" s="2" t="s">
        <v>4</v>
      </c>
      <c r="J2462" s="2" t="s">
        <v>3285</v>
      </c>
      <c r="K2462" s="2" t="s">
        <v>171</v>
      </c>
      <c r="L2462" s="2" t="s">
        <v>172</v>
      </c>
      <c r="M2462" s="2" t="s">
        <v>27</v>
      </c>
      <c r="N2462" s="4" t="str">
        <f t="shared" si="240"/>
        <v>GAL</v>
      </c>
      <c r="O2462" s="5">
        <v>1440</v>
      </c>
    </row>
    <row r="2463" spans="2:15" x14ac:dyDescent="0.25">
      <c r="B2463" s="1" t="s">
        <v>154</v>
      </c>
      <c r="C2463" s="2" t="s">
        <v>155</v>
      </c>
      <c r="D2463" s="2" t="s">
        <v>1838</v>
      </c>
      <c r="E2463" s="2" t="s">
        <v>1839</v>
      </c>
      <c r="F2463" s="3">
        <f>DATE(2023,7,5)</f>
        <v>45112</v>
      </c>
      <c r="G2463" s="4">
        <f t="shared" si="239"/>
        <v>7</v>
      </c>
      <c r="H2463" s="4">
        <v>2023</v>
      </c>
      <c r="I2463" s="2" t="s">
        <v>4</v>
      </c>
      <c r="J2463" s="2" t="s">
        <v>3285</v>
      </c>
      <c r="K2463" s="2" t="s">
        <v>1869</v>
      </c>
      <c r="L2463" s="2" t="s">
        <v>172</v>
      </c>
      <c r="M2463" s="2" t="s">
        <v>27</v>
      </c>
      <c r="N2463" s="4" t="str">
        <f t="shared" si="240"/>
        <v>GAL</v>
      </c>
      <c r="O2463" s="5">
        <v>1500</v>
      </c>
    </row>
    <row r="2464" spans="2:15" x14ac:dyDescent="0.25">
      <c r="B2464" s="1" t="s">
        <v>154</v>
      </c>
      <c r="C2464" s="2" t="s">
        <v>155</v>
      </c>
      <c r="D2464" s="2" t="s">
        <v>1838</v>
      </c>
      <c r="E2464" s="2" t="s">
        <v>1839</v>
      </c>
      <c r="F2464" s="3">
        <f>DATE(2023,7,6)</f>
        <v>45113</v>
      </c>
      <c r="G2464" s="4">
        <f t="shared" si="239"/>
        <v>7</v>
      </c>
      <c r="H2464" s="4">
        <v>2023</v>
      </c>
      <c r="I2464" s="2" t="s">
        <v>4</v>
      </c>
      <c r="J2464" s="2" t="s">
        <v>3286</v>
      </c>
      <c r="K2464" s="2" t="s">
        <v>171</v>
      </c>
      <c r="L2464" s="2" t="s">
        <v>172</v>
      </c>
      <c r="M2464" s="2" t="s">
        <v>27</v>
      </c>
      <c r="N2464" s="4" t="str">
        <f t="shared" si="240"/>
        <v>GAL</v>
      </c>
      <c r="O2464" s="5">
        <v>2160</v>
      </c>
    </row>
    <row r="2465" spans="2:15" x14ac:dyDescent="0.25">
      <c r="B2465" s="1" t="s">
        <v>154</v>
      </c>
      <c r="C2465" s="2" t="s">
        <v>155</v>
      </c>
      <c r="D2465" s="2" t="s">
        <v>167</v>
      </c>
      <c r="E2465" s="2" t="s">
        <v>168</v>
      </c>
      <c r="F2465" s="3">
        <f>DATE(2023,7,10)</f>
        <v>45117</v>
      </c>
      <c r="G2465" s="4">
        <f t="shared" si="239"/>
        <v>7</v>
      </c>
      <c r="H2465" s="4">
        <v>2023</v>
      </c>
      <c r="I2465" s="2" t="s">
        <v>4</v>
      </c>
      <c r="J2465" s="2" t="s">
        <v>3287</v>
      </c>
      <c r="K2465" s="2" t="s">
        <v>1853</v>
      </c>
      <c r="L2465" s="2" t="s">
        <v>1854</v>
      </c>
      <c r="M2465" s="2" t="s">
        <v>1816</v>
      </c>
      <c r="N2465" s="4" t="str">
        <f t="shared" si="240"/>
        <v>GAL</v>
      </c>
      <c r="O2465" s="5">
        <v>180</v>
      </c>
    </row>
    <row r="2466" spans="2:15" x14ac:dyDescent="0.25">
      <c r="B2466" s="1" t="s">
        <v>154</v>
      </c>
      <c r="C2466" s="2" t="s">
        <v>155</v>
      </c>
      <c r="D2466" s="2" t="s">
        <v>1838</v>
      </c>
      <c r="E2466" s="2" t="s">
        <v>1839</v>
      </c>
      <c r="F2466" s="3">
        <f>DATE(2023,7,10)</f>
        <v>45117</v>
      </c>
      <c r="G2466" s="4">
        <f t="shared" si="239"/>
        <v>7</v>
      </c>
      <c r="H2466" s="4">
        <v>2023</v>
      </c>
      <c r="I2466" s="2" t="s">
        <v>4</v>
      </c>
      <c r="J2466" s="2" t="s">
        <v>3288</v>
      </c>
      <c r="K2466" s="2" t="s">
        <v>609</v>
      </c>
      <c r="L2466" s="2" t="s">
        <v>610</v>
      </c>
      <c r="M2466" s="2" t="s">
        <v>611</v>
      </c>
      <c r="N2466" s="4" t="str">
        <f t="shared" si="240"/>
        <v>GAL</v>
      </c>
      <c r="O2466" s="5">
        <v>180</v>
      </c>
    </row>
    <row r="2467" spans="2:15" x14ac:dyDescent="0.25">
      <c r="B2467" s="1" t="s">
        <v>154</v>
      </c>
      <c r="C2467" s="2" t="s">
        <v>155</v>
      </c>
      <c r="D2467" s="2" t="s">
        <v>1838</v>
      </c>
      <c r="E2467" s="2" t="s">
        <v>1839</v>
      </c>
      <c r="F2467" s="3">
        <f>DATE(2023,7,10)</f>
        <v>45117</v>
      </c>
      <c r="G2467" s="4">
        <f t="shared" si="239"/>
        <v>7</v>
      </c>
      <c r="H2467" s="4">
        <v>2023</v>
      </c>
      <c r="I2467" s="2" t="s">
        <v>4</v>
      </c>
      <c r="J2467" s="2" t="s">
        <v>3288</v>
      </c>
      <c r="K2467" s="2" t="s">
        <v>1869</v>
      </c>
      <c r="L2467" s="2" t="s">
        <v>172</v>
      </c>
      <c r="M2467" s="2" t="s">
        <v>27</v>
      </c>
      <c r="N2467" s="4" t="str">
        <f t="shared" si="240"/>
        <v>GAL</v>
      </c>
      <c r="O2467" s="5">
        <v>250</v>
      </c>
    </row>
    <row r="2468" spans="2:15" x14ac:dyDescent="0.25">
      <c r="B2468" s="1" t="s">
        <v>154</v>
      </c>
      <c r="C2468" s="2" t="s">
        <v>155</v>
      </c>
      <c r="D2468" s="2" t="s">
        <v>591</v>
      </c>
      <c r="E2468" s="2" t="s">
        <v>592</v>
      </c>
      <c r="F2468" s="3">
        <f>DATE(2023,7,10)</f>
        <v>45117</v>
      </c>
      <c r="G2468" s="4">
        <f t="shared" si="239"/>
        <v>7</v>
      </c>
      <c r="H2468" s="4">
        <v>2023</v>
      </c>
      <c r="I2468" s="2" t="s">
        <v>4</v>
      </c>
      <c r="J2468" s="2" t="s">
        <v>3289</v>
      </c>
      <c r="K2468" s="2" t="s">
        <v>1098</v>
      </c>
      <c r="L2468" s="2" t="s">
        <v>632</v>
      </c>
      <c r="M2468" s="2" t="s">
        <v>633</v>
      </c>
      <c r="N2468" s="4" t="str">
        <f t="shared" si="240"/>
        <v>GAL</v>
      </c>
      <c r="O2468" s="5">
        <v>1966</v>
      </c>
    </row>
    <row r="2469" spans="2:15" x14ac:dyDescent="0.25">
      <c r="B2469" s="1" t="s">
        <v>154</v>
      </c>
      <c r="C2469" s="2" t="s">
        <v>155</v>
      </c>
      <c r="D2469" s="2" t="s">
        <v>161</v>
      </c>
      <c r="E2469" s="2" t="s">
        <v>162</v>
      </c>
      <c r="F2469" s="3">
        <f>DATE(2023,7,14)</f>
        <v>45121</v>
      </c>
      <c r="G2469" s="4">
        <f t="shared" si="239"/>
        <v>7</v>
      </c>
      <c r="H2469" s="4">
        <v>2023</v>
      </c>
      <c r="I2469" s="2" t="s">
        <v>4</v>
      </c>
      <c r="J2469" s="2" t="s">
        <v>3290</v>
      </c>
      <c r="K2469" s="2" t="s">
        <v>1869</v>
      </c>
      <c r="L2469" s="2" t="s">
        <v>172</v>
      </c>
      <c r="M2469" s="2" t="s">
        <v>27</v>
      </c>
      <c r="N2469" s="4" t="str">
        <f t="shared" si="240"/>
        <v>GAL</v>
      </c>
      <c r="O2469" s="5">
        <v>500</v>
      </c>
    </row>
    <row r="2470" spans="2:15" x14ac:dyDescent="0.25">
      <c r="B2470" s="1" t="s">
        <v>154</v>
      </c>
      <c r="C2470" s="2" t="s">
        <v>155</v>
      </c>
      <c r="D2470" s="2" t="s">
        <v>161</v>
      </c>
      <c r="E2470" s="2" t="s">
        <v>162</v>
      </c>
      <c r="F2470" s="3">
        <f>DATE(2023,7,14)</f>
        <v>45121</v>
      </c>
      <c r="G2470" s="4">
        <f t="shared" si="239"/>
        <v>7</v>
      </c>
      <c r="H2470" s="4">
        <v>2023</v>
      </c>
      <c r="I2470" s="2" t="s">
        <v>4</v>
      </c>
      <c r="J2470" s="2" t="s">
        <v>3290</v>
      </c>
      <c r="K2470" s="2" t="s">
        <v>171</v>
      </c>
      <c r="L2470" s="2" t="s">
        <v>172</v>
      </c>
      <c r="M2470" s="2" t="s">
        <v>27</v>
      </c>
      <c r="N2470" s="4" t="str">
        <f t="shared" si="240"/>
        <v>GAL</v>
      </c>
      <c r="O2470" s="5">
        <v>180</v>
      </c>
    </row>
    <row r="2471" spans="2:15" x14ac:dyDescent="0.25">
      <c r="B2471" s="1" t="s">
        <v>154</v>
      </c>
      <c r="C2471" s="2" t="s">
        <v>155</v>
      </c>
      <c r="D2471" s="2" t="s">
        <v>628</v>
      </c>
      <c r="E2471" s="2" t="s">
        <v>629</v>
      </c>
      <c r="F2471" s="3">
        <f>DATE(2023,7,17)</f>
        <v>45124</v>
      </c>
      <c r="G2471" s="4">
        <f t="shared" si="239"/>
        <v>7</v>
      </c>
      <c r="H2471" s="4">
        <v>2023</v>
      </c>
      <c r="I2471" s="2" t="s">
        <v>4</v>
      </c>
      <c r="J2471" s="2" t="s">
        <v>3291</v>
      </c>
      <c r="K2471" s="2" t="s">
        <v>1119</v>
      </c>
      <c r="L2471" s="2" t="s">
        <v>1023</v>
      </c>
      <c r="M2471" s="2" t="s">
        <v>1024</v>
      </c>
      <c r="N2471" s="4" t="str">
        <f t="shared" si="240"/>
        <v>GAL</v>
      </c>
      <c r="O2471" s="5">
        <v>360</v>
      </c>
    </row>
    <row r="2472" spans="2:15" x14ac:dyDescent="0.25">
      <c r="B2472" s="1" t="s">
        <v>154</v>
      </c>
      <c r="C2472" s="2" t="s">
        <v>155</v>
      </c>
      <c r="D2472" s="2" t="s">
        <v>167</v>
      </c>
      <c r="E2472" s="2" t="s">
        <v>168</v>
      </c>
      <c r="F2472" s="3">
        <f>DATE(2023,7,17)</f>
        <v>45124</v>
      </c>
      <c r="G2472" s="4">
        <f t="shared" si="239"/>
        <v>7</v>
      </c>
      <c r="H2472" s="4">
        <v>2023</v>
      </c>
      <c r="I2472" s="2" t="s">
        <v>4</v>
      </c>
      <c r="J2472" s="2" t="s">
        <v>3292</v>
      </c>
      <c r="K2472" s="2" t="s">
        <v>185</v>
      </c>
      <c r="L2472" s="2" t="s">
        <v>165</v>
      </c>
      <c r="M2472" s="2" t="s">
        <v>166</v>
      </c>
      <c r="N2472" s="4" t="str">
        <f t="shared" si="240"/>
        <v>GAL</v>
      </c>
      <c r="O2472" s="5">
        <v>500</v>
      </c>
    </row>
    <row r="2473" spans="2:15" x14ac:dyDescent="0.25">
      <c r="B2473" s="1" t="s">
        <v>154</v>
      </c>
      <c r="C2473" s="2" t="s">
        <v>155</v>
      </c>
      <c r="D2473" s="2" t="s">
        <v>167</v>
      </c>
      <c r="E2473" s="2" t="s">
        <v>168</v>
      </c>
      <c r="F2473" s="3">
        <f>DATE(2023,7,19)</f>
        <v>45126</v>
      </c>
      <c r="G2473" s="4">
        <f t="shared" si="239"/>
        <v>7</v>
      </c>
      <c r="H2473" s="4">
        <v>2023</v>
      </c>
      <c r="I2473" s="2" t="s">
        <v>4</v>
      </c>
      <c r="J2473" s="2" t="s">
        <v>3293</v>
      </c>
      <c r="K2473" s="2" t="s">
        <v>1853</v>
      </c>
      <c r="L2473" s="2" t="s">
        <v>1854</v>
      </c>
      <c r="M2473" s="2" t="s">
        <v>1816</v>
      </c>
      <c r="N2473" s="4" t="str">
        <f t="shared" si="240"/>
        <v>GAL</v>
      </c>
      <c r="O2473" s="5">
        <v>360</v>
      </c>
    </row>
    <row r="2474" spans="2:15" x14ac:dyDescent="0.25">
      <c r="B2474" s="1" t="s">
        <v>154</v>
      </c>
      <c r="C2474" s="2" t="s">
        <v>155</v>
      </c>
      <c r="D2474" s="2" t="s">
        <v>161</v>
      </c>
      <c r="E2474" s="2" t="s">
        <v>162</v>
      </c>
      <c r="F2474" s="3">
        <f>DATE(2023,7,20)</f>
        <v>45127</v>
      </c>
      <c r="G2474" s="4">
        <f t="shared" si="239"/>
        <v>7</v>
      </c>
      <c r="H2474" s="4">
        <v>2023</v>
      </c>
      <c r="I2474" s="2" t="s">
        <v>4</v>
      </c>
      <c r="J2474" s="2" t="s">
        <v>3294</v>
      </c>
      <c r="K2474" s="2" t="s">
        <v>185</v>
      </c>
      <c r="L2474" s="2" t="s">
        <v>165</v>
      </c>
      <c r="M2474" s="2" t="s">
        <v>166</v>
      </c>
      <c r="N2474" s="4" t="str">
        <f t="shared" si="240"/>
        <v>GAL</v>
      </c>
      <c r="O2474" s="5">
        <v>250</v>
      </c>
    </row>
    <row r="2475" spans="2:15" x14ac:dyDescent="0.25">
      <c r="B2475" s="1" t="s">
        <v>154</v>
      </c>
      <c r="C2475" s="2" t="s">
        <v>155</v>
      </c>
      <c r="D2475" s="2" t="s">
        <v>178</v>
      </c>
      <c r="E2475" s="2" t="s">
        <v>179</v>
      </c>
      <c r="F2475" s="3">
        <f>DATE(2023,7,20)</f>
        <v>45127</v>
      </c>
      <c r="G2475" s="4">
        <f t="shared" si="239"/>
        <v>7</v>
      </c>
      <c r="H2475" s="4">
        <v>2023</v>
      </c>
      <c r="I2475" s="2" t="s">
        <v>4</v>
      </c>
      <c r="J2475" s="2" t="s">
        <v>3295</v>
      </c>
      <c r="K2475" s="2" t="s">
        <v>164</v>
      </c>
      <c r="L2475" s="2" t="s">
        <v>165</v>
      </c>
      <c r="M2475" s="2" t="s">
        <v>166</v>
      </c>
      <c r="N2475" s="4" t="str">
        <f t="shared" si="240"/>
        <v>GAL</v>
      </c>
      <c r="O2475" s="5">
        <v>180</v>
      </c>
    </row>
    <row r="2476" spans="2:15" x14ac:dyDescent="0.25">
      <c r="B2476" s="1" t="s">
        <v>154</v>
      </c>
      <c r="C2476" s="2" t="s">
        <v>155</v>
      </c>
      <c r="D2476" s="2" t="s">
        <v>616</v>
      </c>
      <c r="E2476" s="2" t="s">
        <v>141</v>
      </c>
      <c r="F2476" s="3">
        <f>DATE(2023,7,19)</f>
        <v>45126</v>
      </c>
      <c r="G2476" s="4">
        <f t="shared" si="239"/>
        <v>7</v>
      </c>
      <c r="H2476" s="4">
        <v>2023</v>
      </c>
      <c r="I2476" s="2" t="s">
        <v>4</v>
      </c>
      <c r="J2476" s="2" t="s">
        <v>3296</v>
      </c>
      <c r="K2476" s="2" t="s">
        <v>3297</v>
      </c>
      <c r="L2476" s="2" t="s">
        <v>3298</v>
      </c>
      <c r="M2476" s="2" t="s">
        <v>3299</v>
      </c>
      <c r="N2476" s="4" t="str">
        <f t="shared" si="240"/>
        <v>GAL</v>
      </c>
      <c r="O2476" s="5">
        <v>5</v>
      </c>
    </row>
    <row r="2477" spans="2:15" x14ac:dyDescent="0.25">
      <c r="B2477" s="1" t="s">
        <v>154</v>
      </c>
      <c r="C2477" s="2" t="s">
        <v>155</v>
      </c>
      <c r="D2477" s="2" t="s">
        <v>1838</v>
      </c>
      <c r="E2477" s="2" t="s">
        <v>1839</v>
      </c>
      <c r="F2477" s="3">
        <f>DATE(2023,7,21)</f>
        <v>45128</v>
      </c>
      <c r="G2477" s="4">
        <f t="shared" si="239"/>
        <v>7</v>
      </c>
      <c r="H2477" s="4">
        <v>2023</v>
      </c>
      <c r="I2477" s="2" t="s">
        <v>4</v>
      </c>
      <c r="J2477" s="2" t="s">
        <v>3300</v>
      </c>
      <c r="K2477" s="2" t="s">
        <v>1869</v>
      </c>
      <c r="L2477" s="2" t="s">
        <v>172</v>
      </c>
      <c r="M2477" s="2" t="s">
        <v>27</v>
      </c>
      <c r="N2477" s="4" t="str">
        <f t="shared" si="240"/>
        <v>GAL</v>
      </c>
      <c r="O2477" s="5">
        <v>250</v>
      </c>
    </row>
    <row r="2478" spans="2:15" x14ac:dyDescent="0.25">
      <c r="B2478" s="1" t="s">
        <v>154</v>
      </c>
      <c r="C2478" s="2" t="s">
        <v>155</v>
      </c>
      <c r="D2478" s="2" t="s">
        <v>1838</v>
      </c>
      <c r="E2478" s="2" t="s">
        <v>1839</v>
      </c>
      <c r="F2478" s="3">
        <f>DATE(2023,7,21)</f>
        <v>45128</v>
      </c>
      <c r="G2478" s="4">
        <f t="shared" si="239"/>
        <v>7</v>
      </c>
      <c r="H2478" s="4">
        <v>2023</v>
      </c>
      <c r="I2478" s="2" t="s">
        <v>4</v>
      </c>
      <c r="J2478" s="2" t="s">
        <v>3300</v>
      </c>
      <c r="K2478" s="2" t="s">
        <v>171</v>
      </c>
      <c r="L2478" s="2" t="s">
        <v>172</v>
      </c>
      <c r="M2478" s="2" t="s">
        <v>27</v>
      </c>
      <c r="N2478" s="4" t="str">
        <f t="shared" si="240"/>
        <v>GAL</v>
      </c>
      <c r="O2478" s="5">
        <v>720</v>
      </c>
    </row>
    <row r="2479" spans="2:15" x14ac:dyDescent="0.25">
      <c r="B2479" s="1" t="s">
        <v>154</v>
      </c>
      <c r="C2479" s="2" t="s">
        <v>155</v>
      </c>
      <c r="D2479" s="2" t="s">
        <v>161</v>
      </c>
      <c r="E2479" s="2" t="s">
        <v>162</v>
      </c>
      <c r="F2479" s="3">
        <f>DATE(2023,7,24)</f>
        <v>45131</v>
      </c>
      <c r="G2479" s="4">
        <f t="shared" si="239"/>
        <v>7</v>
      </c>
      <c r="H2479" s="4">
        <v>2023</v>
      </c>
      <c r="I2479" s="2" t="s">
        <v>4</v>
      </c>
      <c r="J2479" s="2" t="s">
        <v>3301</v>
      </c>
      <c r="K2479" s="2" t="s">
        <v>2600</v>
      </c>
      <c r="L2479" s="2" t="s">
        <v>1644</v>
      </c>
      <c r="M2479" s="2" t="s">
        <v>46</v>
      </c>
      <c r="N2479" s="4" t="str">
        <f t="shared" si="240"/>
        <v>GAL</v>
      </c>
      <c r="O2479" s="5">
        <v>250</v>
      </c>
    </row>
    <row r="2480" spans="2:15" x14ac:dyDescent="0.25">
      <c r="B2480" s="1" t="s">
        <v>645</v>
      </c>
      <c r="C2480" s="2" t="s">
        <v>155</v>
      </c>
      <c r="D2480" s="2" t="s">
        <v>646</v>
      </c>
      <c r="E2480" s="2" t="s">
        <v>647</v>
      </c>
      <c r="F2480" s="3">
        <f>DATE(2023,7,24)</f>
        <v>45131</v>
      </c>
      <c r="G2480" s="4">
        <f t="shared" si="239"/>
        <v>7</v>
      </c>
      <c r="H2480" s="4">
        <v>2023</v>
      </c>
      <c r="I2480" s="2" t="s">
        <v>4</v>
      </c>
      <c r="J2480" s="2" t="s">
        <v>3302</v>
      </c>
      <c r="K2480" s="2" t="s">
        <v>1098</v>
      </c>
      <c r="L2480" s="2" t="s">
        <v>632</v>
      </c>
      <c r="M2480" s="2" t="s">
        <v>633</v>
      </c>
      <c r="N2480" s="4" t="str">
        <f t="shared" si="240"/>
        <v>GAL</v>
      </c>
      <c r="O2480" s="5">
        <v>1429</v>
      </c>
    </row>
    <row r="2481" spans="2:15" x14ac:dyDescent="0.25">
      <c r="B2481" s="1" t="s">
        <v>154</v>
      </c>
      <c r="C2481" s="2" t="s">
        <v>155</v>
      </c>
      <c r="D2481" s="2" t="s">
        <v>628</v>
      </c>
      <c r="E2481" s="2" t="s">
        <v>629</v>
      </c>
      <c r="F2481" s="3">
        <f>DATE(2023,7,24)</f>
        <v>45131</v>
      </c>
      <c r="G2481" s="4">
        <f t="shared" si="239"/>
        <v>7</v>
      </c>
      <c r="H2481" s="4">
        <v>2023</v>
      </c>
      <c r="I2481" s="2" t="s">
        <v>4</v>
      </c>
      <c r="J2481" s="2" t="s">
        <v>3303</v>
      </c>
      <c r="K2481" s="2" t="s">
        <v>1869</v>
      </c>
      <c r="L2481" s="2" t="s">
        <v>172</v>
      </c>
      <c r="M2481" s="2" t="s">
        <v>27</v>
      </c>
      <c r="N2481" s="4" t="str">
        <f t="shared" si="240"/>
        <v>GAL</v>
      </c>
      <c r="O2481" s="5">
        <v>250</v>
      </c>
    </row>
    <row r="2482" spans="2:15" x14ac:dyDescent="0.25">
      <c r="B2482" s="1" t="s">
        <v>154</v>
      </c>
      <c r="C2482" s="2" t="s">
        <v>155</v>
      </c>
      <c r="D2482" s="2" t="s">
        <v>167</v>
      </c>
      <c r="E2482" s="2" t="s">
        <v>168</v>
      </c>
      <c r="F2482" s="3">
        <f>DATE(2023,7,25)</f>
        <v>45132</v>
      </c>
      <c r="G2482" s="4">
        <f t="shared" si="239"/>
        <v>7</v>
      </c>
      <c r="H2482" s="4">
        <v>2023</v>
      </c>
      <c r="I2482" s="2" t="s">
        <v>4</v>
      </c>
      <c r="J2482" s="2" t="s">
        <v>3304</v>
      </c>
      <c r="K2482" s="2" t="s">
        <v>1820</v>
      </c>
      <c r="L2482" s="2" t="s">
        <v>1815</v>
      </c>
      <c r="M2482" s="2" t="s">
        <v>1816</v>
      </c>
      <c r="N2482" s="4" t="str">
        <f t="shared" si="240"/>
        <v>GAL</v>
      </c>
      <c r="O2482" s="5">
        <v>250</v>
      </c>
    </row>
    <row r="2483" spans="2:15" x14ac:dyDescent="0.25">
      <c r="B2483" s="1" t="s">
        <v>154</v>
      </c>
      <c r="C2483" s="2" t="s">
        <v>155</v>
      </c>
      <c r="D2483" s="2" t="s">
        <v>616</v>
      </c>
      <c r="E2483" s="2" t="s">
        <v>2215</v>
      </c>
      <c r="F2483" s="3">
        <f>DATE(2023,7,25)</f>
        <v>45132</v>
      </c>
      <c r="G2483" s="4">
        <f t="shared" si="239"/>
        <v>7</v>
      </c>
      <c r="H2483" s="4">
        <v>2023</v>
      </c>
      <c r="I2483" s="2" t="s">
        <v>4</v>
      </c>
      <c r="J2483" s="2" t="s">
        <v>3305</v>
      </c>
      <c r="K2483" s="2" t="s">
        <v>3297</v>
      </c>
      <c r="L2483" s="2" t="s">
        <v>3298</v>
      </c>
      <c r="M2483" s="2" t="s">
        <v>3299</v>
      </c>
      <c r="N2483" s="4" t="str">
        <f t="shared" si="240"/>
        <v>GAL</v>
      </c>
      <c r="O2483" s="5">
        <v>5</v>
      </c>
    </row>
    <row r="2484" spans="2:15" x14ac:dyDescent="0.25">
      <c r="B2484" s="1" t="s">
        <v>154</v>
      </c>
      <c r="C2484" s="2" t="s">
        <v>155</v>
      </c>
      <c r="D2484" s="2" t="s">
        <v>107</v>
      </c>
      <c r="E2484" s="2" t="s">
        <v>108</v>
      </c>
      <c r="F2484" s="3">
        <f>DATE(2023,7,26)</f>
        <v>45133</v>
      </c>
      <c r="G2484" s="4">
        <f t="shared" si="239"/>
        <v>7</v>
      </c>
      <c r="H2484" s="4">
        <v>2023</v>
      </c>
      <c r="I2484" s="2" t="s">
        <v>4</v>
      </c>
      <c r="J2484" s="2" t="s">
        <v>3306</v>
      </c>
      <c r="K2484" s="2" t="s">
        <v>1482</v>
      </c>
      <c r="L2484" s="2" t="s">
        <v>1483</v>
      </c>
      <c r="M2484" s="2" t="s">
        <v>1484</v>
      </c>
      <c r="N2484" s="4" t="str">
        <f t="shared" si="240"/>
        <v>GAL</v>
      </c>
      <c r="O2484" s="5">
        <v>60</v>
      </c>
    </row>
    <row r="2485" spans="2:15" x14ac:dyDescent="0.25">
      <c r="B2485" s="1" t="s">
        <v>154</v>
      </c>
      <c r="C2485" s="2" t="s">
        <v>155</v>
      </c>
      <c r="D2485" s="2" t="s">
        <v>107</v>
      </c>
      <c r="E2485" s="2" t="s">
        <v>108</v>
      </c>
      <c r="F2485" s="3">
        <f>DATE(2023,7,26)</f>
        <v>45133</v>
      </c>
      <c r="G2485" s="4">
        <f t="shared" si="239"/>
        <v>7</v>
      </c>
      <c r="H2485" s="4">
        <v>2023</v>
      </c>
      <c r="I2485" s="2" t="s">
        <v>4</v>
      </c>
      <c r="J2485" s="2" t="s">
        <v>3307</v>
      </c>
      <c r="K2485" s="2" t="s">
        <v>3308</v>
      </c>
      <c r="L2485" s="2" t="s">
        <v>3309</v>
      </c>
      <c r="M2485" s="2" t="s">
        <v>119</v>
      </c>
      <c r="N2485" s="4" t="str">
        <f t="shared" si="240"/>
        <v>TON</v>
      </c>
      <c r="O2485" s="5">
        <v>2.5</v>
      </c>
    </row>
    <row r="2486" spans="2:15" x14ac:dyDescent="0.25">
      <c r="B2486" s="1" t="s">
        <v>154</v>
      </c>
      <c r="C2486" s="2" t="s">
        <v>155</v>
      </c>
      <c r="D2486" s="2" t="s">
        <v>591</v>
      </c>
      <c r="E2486" s="2" t="s">
        <v>592</v>
      </c>
      <c r="F2486" s="3">
        <f>DATE(2023,7,28)</f>
        <v>45135</v>
      </c>
      <c r="G2486" s="4">
        <f t="shared" si="239"/>
        <v>7</v>
      </c>
      <c r="H2486" s="4">
        <v>2023</v>
      </c>
      <c r="I2486" s="2" t="s">
        <v>4</v>
      </c>
      <c r="J2486" s="2" t="s">
        <v>3310</v>
      </c>
      <c r="K2486" s="2" t="s">
        <v>1098</v>
      </c>
      <c r="L2486" s="2" t="s">
        <v>632</v>
      </c>
      <c r="M2486" s="2" t="s">
        <v>633</v>
      </c>
      <c r="N2486" s="4" t="str">
        <f t="shared" si="240"/>
        <v>GAL</v>
      </c>
      <c r="O2486" s="5">
        <v>2496.0500000000002</v>
      </c>
    </row>
    <row r="2487" spans="2:15" x14ac:dyDescent="0.25">
      <c r="B2487" s="1" t="s">
        <v>154</v>
      </c>
      <c r="C2487" s="2" t="s">
        <v>155</v>
      </c>
      <c r="D2487" s="2" t="s">
        <v>167</v>
      </c>
      <c r="E2487" s="2" t="s">
        <v>168</v>
      </c>
      <c r="F2487" s="3">
        <f>DATE(2023,7,28)</f>
        <v>45135</v>
      </c>
      <c r="G2487" s="4">
        <f t="shared" si="239"/>
        <v>7</v>
      </c>
      <c r="H2487" s="4">
        <v>2023</v>
      </c>
      <c r="I2487" s="2" t="s">
        <v>4</v>
      </c>
      <c r="J2487" s="2" t="s">
        <v>3311</v>
      </c>
      <c r="K2487" s="2" t="s">
        <v>1820</v>
      </c>
      <c r="L2487" s="2" t="s">
        <v>1815</v>
      </c>
      <c r="M2487" s="2" t="s">
        <v>1816</v>
      </c>
      <c r="N2487" s="4" t="str">
        <f t="shared" si="240"/>
        <v>GAL</v>
      </c>
      <c r="O2487" s="5">
        <v>250</v>
      </c>
    </row>
    <row r="2488" spans="2:15" x14ac:dyDescent="0.25">
      <c r="B2488" s="1" t="s">
        <v>1520</v>
      </c>
      <c r="C2488" s="2" t="s">
        <v>196</v>
      </c>
      <c r="D2488" s="2" t="s">
        <v>207</v>
      </c>
      <c r="E2488" s="2" t="s">
        <v>208</v>
      </c>
      <c r="F2488" s="3">
        <f>DATE(2023,7,6)</f>
        <v>45113</v>
      </c>
      <c r="G2488" s="4">
        <f t="shared" si="239"/>
        <v>7</v>
      </c>
      <c r="H2488" s="4">
        <v>2023</v>
      </c>
      <c r="I2488" s="2" t="s">
        <v>4</v>
      </c>
      <c r="J2488" s="2" t="s">
        <v>3312</v>
      </c>
      <c r="K2488" s="2" t="s">
        <v>3013</v>
      </c>
      <c r="L2488" s="2" t="s">
        <v>3014</v>
      </c>
      <c r="M2488" s="2" t="s">
        <v>119</v>
      </c>
      <c r="N2488" s="4" t="str">
        <f t="shared" si="240"/>
        <v>TON</v>
      </c>
      <c r="O2488" s="5">
        <v>4</v>
      </c>
    </row>
    <row r="2489" spans="2:15" x14ac:dyDescent="0.25">
      <c r="B2489" s="1" t="s">
        <v>1520</v>
      </c>
      <c r="C2489" s="2" t="s">
        <v>196</v>
      </c>
      <c r="D2489" s="2" t="s">
        <v>253</v>
      </c>
      <c r="E2489" s="2" t="s">
        <v>254</v>
      </c>
      <c r="F2489" s="3">
        <f>DATE(2023,7,11)</f>
        <v>45118</v>
      </c>
      <c r="G2489" s="4">
        <f t="shared" si="239"/>
        <v>7</v>
      </c>
      <c r="H2489" s="4">
        <v>2023</v>
      </c>
      <c r="I2489" s="2" t="s">
        <v>4</v>
      </c>
      <c r="J2489" s="2" t="s">
        <v>3313</v>
      </c>
      <c r="K2489" s="2" t="s">
        <v>256</v>
      </c>
      <c r="L2489" s="2" t="s">
        <v>257</v>
      </c>
      <c r="M2489" s="2" t="s">
        <v>119</v>
      </c>
      <c r="N2489" s="4" t="str">
        <f t="shared" si="240"/>
        <v>TON</v>
      </c>
      <c r="O2489" s="5">
        <v>2.4500000000000002</v>
      </c>
    </row>
    <row r="2490" spans="2:15" x14ac:dyDescent="0.25">
      <c r="B2490" s="1" t="s">
        <v>1520</v>
      </c>
      <c r="C2490" s="2" t="s">
        <v>196</v>
      </c>
      <c r="D2490" s="2" t="s">
        <v>241</v>
      </c>
      <c r="E2490" s="2" t="s">
        <v>258</v>
      </c>
      <c r="F2490" s="3">
        <f>DATE(2023,7,14)</f>
        <v>45121</v>
      </c>
      <c r="G2490" s="4">
        <f t="shared" si="239"/>
        <v>7</v>
      </c>
      <c r="H2490" s="4">
        <v>2023</v>
      </c>
      <c r="I2490" s="2" t="s">
        <v>4</v>
      </c>
      <c r="J2490" s="2" t="s">
        <v>3314</v>
      </c>
      <c r="K2490" s="2" t="s">
        <v>260</v>
      </c>
      <c r="L2490" s="2" t="s">
        <v>261</v>
      </c>
      <c r="M2490" s="2" t="s">
        <v>119</v>
      </c>
      <c r="N2490" s="4" t="str">
        <f t="shared" si="240"/>
        <v>TON</v>
      </c>
      <c r="O2490" s="5">
        <v>0.97750000000000004</v>
      </c>
    </row>
    <row r="2491" spans="2:15" x14ac:dyDescent="0.25">
      <c r="B2491" s="1" t="s">
        <v>1520</v>
      </c>
      <c r="C2491" s="2" t="s">
        <v>196</v>
      </c>
      <c r="D2491" s="2" t="s">
        <v>210</v>
      </c>
      <c r="E2491" s="2" t="s">
        <v>827</v>
      </c>
      <c r="F2491" s="3">
        <f>DATE(2023,7,20)</f>
        <v>45127</v>
      </c>
      <c r="G2491" s="4">
        <f t="shared" si="239"/>
        <v>7</v>
      </c>
      <c r="H2491" s="4">
        <v>2023</v>
      </c>
      <c r="I2491" s="2" t="s">
        <v>4</v>
      </c>
      <c r="J2491" s="2" t="s">
        <v>3315</v>
      </c>
      <c r="K2491" s="2" t="s">
        <v>351</v>
      </c>
      <c r="L2491" s="2" t="s">
        <v>352</v>
      </c>
      <c r="M2491" s="2" t="s">
        <v>119</v>
      </c>
      <c r="N2491" s="4" t="str">
        <f t="shared" si="240"/>
        <v>TON</v>
      </c>
      <c r="O2491" s="5">
        <v>15</v>
      </c>
    </row>
    <row r="2492" spans="2:15" x14ac:dyDescent="0.25">
      <c r="B2492" s="1" t="s">
        <v>1520</v>
      </c>
      <c r="C2492" s="2" t="s">
        <v>196</v>
      </c>
      <c r="D2492" s="2" t="s">
        <v>241</v>
      </c>
      <c r="E2492" s="2" t="s">
        <v>258</v>
      </c>
      <c r="F2492" s="3">
        <f>DATE(2023,7,24)</f>
        <v>45131</v>
      </c>
      <c r="G2492" s="4">
        <f t="shared" si="239"/>
        <v>7</v>
      </c>
      <c r="H2492" s="4">
        <v>2023</v>
      </c>
      <c r="I2492" s="2" t="s">
        <v>4</v>
      </c>
      <c r="J2492" s="2" t="s">
        <v>3316</v>
      </c>
      <c r="K2492" s="2" t="s">
        <v>260</v>
      </c>
      <c r="L2492" s="2" t="s">
        <v>261</v>
      </c>
      <c r="M2492" s="2" t="s">
        <v>119</v>
      </c>
      <c r="N2492" s="4" t="str">
        <f t="shared" si="240"/>
        <v>TON</v>
      </c>
      <c r="O2492" s="5">
        <v>1.2350000000000001</v>
      </c>
    </row>
    <row r="2493" spans="2:15" x14ac:dyDescent="0.25">
      <c r="B2493" s="1" t="s">
        <v>645</v>
      </c>
      <c r="C2493" s="2" t="s">
        <v>196</v>
      </c>
      <c r="D2493" s="2" t="s">
        <v>888</v>
      </c>
      <c r="E2493" s="2" t="s">
        <v>888</v>
      </c>
      <c r="F2493" s="3">
        <f>DATE(2023,7,25)</f>
        <v>45132</v>
      </c>
      <c r="G2493" s="4">
        <f t="shared" si="239"/>
        <v>7</v>
      </c>
      <c r="H2493" s="4">
        <v>2023</v>
      </c>
      <c r="I2493" s="2" t="s">
        <v>4</v>
      </c>
      <c r="J2493" s="2" t="s">
        <v>3317</v>
      </c>
      <c r="K2493" s="2" t="s">
        <v>268</v>
      </c>
      <c r="L2493" s="2" t="s">
        <v>269</v>
      </c>
      <c r="M2493" s="2" t="s">
        <v>119</v>
      </c>
      <c r="N2493" s="4" t="str">
        <f t="shared" si="240"/>
        <v>TON</v>
      </c>
      <c r="O2493" s="5">
        <v>0.15</v>
      </c>
    </row>
    <row r="2494" spans="2:15" x14ac:dyDescent="0.25">
      <c r="B2494" s="1" t="s">
        <v>1520</v>
      </c>
      <c r="C2494" s="2" t="s">
        <v>196</v>
      </c>
      <c r="D2494" s="2" t="s">
        <v>321</v>
      </c>
      <c r="E2494" s="2" t="s">
        <v>392</v>
      </c>
      <c r="F2494" s="3">
        <f>DATE(2023,7,26)</f>
        <v>45133</v>
      </c>
      <c r="G2494" s="4">
        <f t="shared" si="239"/>
        <v>7</v>
      </c>
      <c r="H2494" s="4">
        <v>2023</v>
      </c>
      <c r="I2494" s="2" t="s">
        <v>4</v>
      </c>
      <c r="J2494" s="2" t="s">
        <v>3318</v>
      </c>
      <c r="K2494" s="2" t="s">
        <v>394</v>
      </c>
      <c r="L2494" s="2" t="s">
        <v>395</v>
      </c>
      <c r="M2494" s="2" t="s">
        <v>119</v>
      </c>
      <c r="N2494" s="4" t="str">
        <f t="shared" si="240"/>
        <v>TON</v>
      </c>
      <c r="O2494" s="5">
        <v>1.2549999999999999</v>
      </c>
    </row>
    <row r="2495" spans="2:15" x14ac:dyDescent="0.25">
      <c r="B2495" s="6" t="s">
        <v>1520</v>
      </c>
      <c r="C2495" s="7" t="s">
        <v>196</v>
      </c>
      <c r="D2495" s="8" t="s">
        <v>341</v>
      </c>
      <c r="E2495" s="8" t="s">
        <v>91</v>
      </c>
      <c r="F2495" s="9">
        <f>DATE(2023,7,28)</f>
        <v>45135</v>
      </c>
      <c r="G2495" s="10">
        <f t="shared" si="239"/>
        <v>7</v>
      </c>
      <c r="H2495" s="13">
        <v>2023</v>
      </c>
      <c r="I2495" s="8" t="s">
        <v>4</v>
      </c>
      <c r="J2495" s="7" t="s">
        <v>3319</v>
      </c>
      <c r="K2495" s="8" t="s">
        <v>344</v>
      </c>
      <c r="L2495" s="8" t="s">
        <v>345</v>
      </c>
      <c r="M2495" s="8" t="s">
        <v>346</v>
      </c>
      <c r="N2495" s="10" t="str">
        <f t="shared" si="240"/>
        <v>GAL</v>
      </c>
      <c r="O2495" s="11">
        <v>25</v>
      </c>
    </row>
    <row r="2496" spans="2:15" x14ac:dyDescent="0.25">
      <c r="B2496" s="1" t="s">
        <v>1520</v>
      </c>
      <c r="C2496" s="2" t="s">
        <v>196</v>
      </c>
      <c r="D2496" s="2" t="s">
        <v>262</v>
      </c>
      <c r="E2496" s="2" t="s">
        <v>1170</v>
      </c>
      <c r="F2496" s="3">
        <f>DATE(2023,7,28)</f>
        <v>45135</v>
      </c>
      <c r="G2496" s="4">
        <f t="shared" si="239"/>
        <v>7</v>
      </c>
      <c r="H2496" s="4">
        <v>2023</v>
      </c>
      <c r="I2496" s="2" t="s">
        <v>4</v>
      </c>
      <c r="J2496" s="2" t="s">
        <v>3320</v>
      </c>
      <c r="K2496" s="2" t="s">
        <v>3321</v>
      </c>
      <c r="L2496" s="2" t="s">
        <v>3322</v>
      </c>
      <c r="M2496" s="2" t="s">
        <v>106</v>
      </c>
      <c r="N2496" s="4" t="str">
        <f t="shared" si="240"/>
        <v>LBS</v>
      </c>
      <c r="O2496" s="5">
        <v>8000</v>
      </c>
    </row>
    <row r="2497" spans="2:15" x14ac:dyDescent="0.25">
      <c r="B2497" s="1" t="s">
        <v>1520</v>
      </c>
      <c r="C2497" s="2" t="s">
        <v>196</v>
      </c>
      <c r="D2497" s="2" t="s">
        <v>253</v>
      </c>
      <c r="E2497" s="2" t="s">
        <v>254</v>
      </c>
      <c r="F2497" s="3">
        <f>DATE(2023,7,31)</f>
        <v>45138</v>
      </c>
      <c r="G2497" s="4">
        <f t="shared" si="239"/>
        <v>7</v>
      </c>
      <c r="H2497" s="4">
        <v>2023</v>
      </c>
      <c r="I2497" s="2" t="s">
        <v>4</v>
      </c>
      <c r="J2497" s="2" t="s">
        <v>3323</v>
      </c>
      <c r="K2497" s="2" t="s">
        <v>256</v>
      </c>
      <c r="L2497" s="2" t="s">
        <v>257</v>
      </c>
      <c r="M2497" s="2" t="s">
        <v>119</v>
      </c>
      <c r="N2497" s="4" t="str">
        <f t="shared" si="240"/>
        <v>TON</v>
      </c>
      <c r="O2497" s="5">
        <v>2.5</v>
      </c>
    </row>
    <row r="2498" spans="2:15" x14ac:dyDescent="0.25">
      <c r="B2498" s="1" t="s">
        <v>382</v>
      </c>
      <c r="C2498" s="2" t="s">
        <v>506</v>
      </c>
      <c r="D2498" s="2" t="s">
        <v>515</v>
      </c>
      <c r="E2498" s="2" t="s">
        <v>516</v>
      </c>
      <c r="F2498" s="3">
        <f>DATE(2023,7,7)</f>
        <v>45114</v>
      </c>
      <c r="G2498" s="4">
        <f t="shared" si="239"/>
        <v>7</v>
      </c>
      <c r="H2498" s="4">
        <v>2023</v>
      </c>
      <c r="I2498" s="2" t="s">
        <v>4</v>
      </c>
      <c r="J2498" s="2" t="s">
        <v>3324</v>
      </c>
      <c r="K2498" s="2" t="s">
        <v>2447</v>
      </c>
      <c r="L2498" s="2" t="s">
        <v>547</v>
      </c>
      <c r="M2498" s="2" t="s">
        <v>160</v>
      </c>
      <c r="N2498" s="4" t="str">
        <f t="shared" si="240"/>
        <v>GAL</v>
      </c>
      <c r="O2498" s="5">
        <v>180</v>
      </c>
    </row>
    <row r="2499" spans="2:15" x14ac:dyDescent="0.25">
      <c r="B2499" s="1" t="s">
        <v>382</v>
      </c>
      <c r="C2499" s="2" t="s">
        <v>506</v>
      </c>
      <c r="D2499" s="2" t="s">
        <v>515</v>
      </c>
      <c r="E2499" s="2" t="s">
        <v>516</v>
      </c>
      <c r="F2499" s="3">
        <f>DATE(2023,7,7)</f>
        <v>45114</v>
      </c>
      <c r="G2499" s="4">
        <f t="shared" ref="G2499:G2562" si="242">+MONTH(F2499)</f>
        <v>7</v>
      </c>
      <c r="H2499" s="4">
        <v>2023</v>
      </c>
      <c r="I2499" s="2" t="s">
        <v>4</v>
      </c>
      <c r="J2499" s="2" t="s">
        <v>3324</v>
      </c>
      <c r="K2499" s="2" t="s">
        <v>1729</v>
      </c>
      <c r="L2499" s="2" t="s">
        <v>2073</v>
      </c>
      <c r="M2499" s="2" t="s">
        <v>1731</v>
      </c>
      <c r="N2499" s="4" t="str">
        <f t="shared" ref="N2499:N2562" si="243">+LEFT(M2499,3)</f>
        <v>GAL</v>
      </c>
      <c r="O2499" s="5">
        <v>180</v>
      </c>
    </row>
    <row r="2500" spans="2:15" x14ac:dyDescent="0.25">
      <c r="B2500" s="1" t="s">
        <v>382</v>
      </c>
      <c r="C2500" s="2" t="s">
        <v>506</v>
      </c>
      <c r="D2500" s="2" t="s">
        <v>515</v>
      </c>
      <c r="E2500" s="2" t="s">
        <v>516</v>
      </c>
      <c r="F2500" s="3">
        <f>DATE(2023,7,7)</f>
        <v>45114</v>
      </c>
      <c r="G2500" s="4">
        <f t="shared" si="242"/>
        <v>7</v>
      </c>
      <c r="H2500" s="4">
        <v>2023</v>
      </c>
      <c r="I2500" s="2" t="s">
        <v>4</v>
      </c>
      <c r="J2500" s="2" t="s">
        <v>3325</v>
      </c>
      <c r="K2500" s="2" t="s">
        <v>1085</v>
      </c>
      <c r="L2500" s="2" t="s">
        <v>999</v>
      </c>
      <c r="M2500" s="2" t="s">
        <v>1000</v>
      </c>
      <c r="N2500" s="4" t="str">
        <f t="shared" si="243"/>
        <v>GAL</v>
      </c>
      <c r="O2500" s="5">
        <v>30</v>
      </c>
    </row>
    <row r="2501" spans="2:15" x14ac:dyDescent="0.25">
      <c r="B2501" s="1" t="s">
        <v>382</v>
      </c>
      <c r="C2501" s="2" t="s">
        <v>506</v>
      </c>
      <c r="D2501" s="2" t="s">
        <v>515</v>
      </c>
      <c r="E2501" s="2" t="s">
        <v>516</v>
      </c>
      <c r="F2501" s="3">
        <f>DATE(2023,7,7)</f>
        <v>45114</v>
      </c>
      <c r="G2501" s="4">
        <f t="shared" si="242"/>
        <v>7</v>
      </c>
      <c r="H2501" s="4">
        <v>2023</v>
      </c>
      <c r="I2501" s="2" t="s">
        <v>4</v>
      </c>
      <c r="J2501" s="2" t="s">
        <v>3325</v>
      </c>
      <c r="K2501" s="2" t="s">
        <v>1014</v>
      </c>
      <c r="L2501" s="2" t="s">
        <v>472</v>
      </c>
      <c r="M2501" s="2" t="s">
        <v>473</v>
      </c>
      <c r="N2501" s="4" t="str">
        <f t="shared" si="243"/>
        <v>GAL</v>
      </c>
      <c r="O2501" s="5">
        <v>60</v>
      </c>
    </row>
    <row r="2502" spans="2:15" x14ac:dyDescent="0.25">
      <c r="B2502" s="1" t="s">
        <v>382</v>
      </c>
      <c r="C2502" s="2" t="s">
        <v>506</v>
      </c>
      <c r="D2502" s="2" t="s">
        <v>515</v>
      </c>
      <c r="E2502" s="2" t="s">
        <v>516</v>
      </c>
      <c r="F2502" s="3">
        <f>DATE(2023,7,7)</f>
        <v>45114</v>
      </c>
      <c r="G2502" s="4">
        <f t="shared" si="242"/>
        <v>7</v>
      </c>
      <c r="H2502" s="4">
        <v>2023</v>
      </c>
      <c r="I2502" s="2" t="s">
        <v>4</v>
      </c>
      <c r="J2502" s="2" t="s">
        <v>3325</v>
      </c>
      <c r="K2502" s="2" t="s">
        <v>609</v>
      </c>
      <c r="L2502" s="2" t="s">
        <v>610</v>
      </c>
      <c r="M2502" s="2" t="s">
        <v>611</v>
      </c>
      <c r="N2502" s="4" t="str">
        <f t="shared" si="243"/>
        <v>GAL</v>
      </c>
      <c r="O2502" s="5">
        <v>60</v>
      </c>
    </row>
    <row r="2503" spans="2:15" x14ac:dyDescent="0.25">
      <c r="B2503" s="1" t="s">
        <v>382</v>
      </c>
      <c r="C2503" s="2" t="s">
        <v>506</v>
      </c>
      <c r="D2503" s="2" t="s">
        <v>521</v>
      </c>
      <c r="E2503" s="2" t="s">
        <v>522</v>
      </c>
      <c r="F2503" s="3">
        <f>DATE(2023,7,12)</f>
        <v>45119</v>
      </c>
      <c r="G2503" s="4">
        <f t="shared" si="242"/>
        <v>7</v>
      </c>
      <c r="H2503" s="4">
        <v>2023</v>
      </c>
      <c r="I2503" s="2" t="s">
        <v>4</v>
      </c>
      <c r="J2503" s="2" t="s">
        <v>3326</v>
      </c>
      <c r="K2503" s="2" t="s">
        <v>1266</v>
      </c>
      <c r="L2503" s="2" t="s">
        <v>1267</v>
      </c>
      <c r="M2503" s="2" t="s">
        <v>191</v>
      </c>
      <c r="N2503" s="4" t="str">
        <f t="shared" si="243"/>
        <v>GAL</v>
      </c>
      <c r="O2503" s="5">
        <v>180</v>
      </c>
    </row>
    <row r="2504" spans="2:15" x14ac:dyDescent="0.25">
      <c r="B2504" s="1" t="s">
        <v>382</v>
      </c>
      <c r="C2504" s="2" t="s">
        <v>506</v>
      </c>
      <c r="D2504" s="2" t="s">
        <v>995</v>
      </c>
      <c r="E2504" s="2" t="s">
        <v>3327</v>
      </c>
      <c r="F2504" s="3">
        <f>DATE(2023,7,26)</f>
        <v>45133</v>
      </c>
      <c r="G2504" s="4">
        <f t="shared" si="242"/>
        <v>7</v>
      </c>
      <c r="H2504" s="4">
        <v>2023</v>
      </c>
      <c r="I2504" s="2" t="s">
        <v>4</v>
      </c>
      <c r="J2504" s="2" t="s">
        <v>3328</v>
      </c>
      <c r="K2504" s="2" t="s">
        <v>3329</v>
      </c>
      <c r="L2504" s="2" t="s">
        <v>1471</v>
      </c>
      <c r="M2504" s="2" t="s">
        <v>1472</v>
      </c>
      <c r="N2504" s="4" t="str">
        <f t="shared" si="243"/>
        <v>GAL</v>
      </c>
      <c r="O2504" s="5">
        <v>250</v>
      </c>
    </row>
    <row r="2505" spans="2:15" x14ac:dyDescent="0.25">
      <c r="B2505" s="1" t="s">
        <v>382</v>
      </c>
      <c r="C2505" s="2" t="s">
        <v>506</v>
      </c>
      <c r="D2505" s="2" t="s">
        <v>1727</v>
      </c>
      <c r="E2505" s="2" t="s">
        <v>141</v>
      </c>
      <c r="F2505" s="3">
        <f>DATE(2023,7,28)</f>
        <v>45135</v>
      </c>
      <c r="G2505" s="4">
        <f t="shared" si="242"/>
        <v>7</v>
      </c>
      <c r="H2505" s="4">
        <v>2023</v>
      </c>
      <c r="I2505" s="2" t="s">
        <v>4</v>
      </c>
      <c r="J2505" s="2" t="s">
        <v>3330</v>
      </c>
      <c r="K2505" s="2" t="s">
        <v>3331</v>
      </c>
      <c r="L2505" s="2" t="s">
        <v>3332</v>
      </c>
      <c r="M2505" s="2" t="s">
        <v>3333</v>
      </c>
      <c r="N2505" s="4" t="str">
        <f t="shared" si="243"/>
        <v>Gal</v>
      </c>
      <c r="O2505" s="5">
        <v>100</v>
      </c>
    </row>
    <row r="2506" spans="2:15" x14ac:dyDescent="0.25">
      <c r="B2506" s="1" t="s">
        <v>382</v>
      </c>
      <c r="C2506" s="2" t="s">
        <v>506</v>
      </c>
      <c r="D2506" s="2" t="s">
        <v>1006</v>
      </c>
      <c r="E2506" s="2" t="s">
        <v>1007</v>
      </c>
      <c r="F2506" s="3">
        <f>DATE(2023,7,31)</f>
        <v>45138</v>
      </c>
      <c r="G2506" s="4">
        <f t="shared" si="242"/>
        <v>7</v>
      </c>
      <c r="H2506" s="4">
        <v>2023</v>
      </c>
      <c r="I2506" s="2" t="s">
        <v>4</v>
      </c>
      <c r="J2506" s="2" t="s">
        <v>3334</v>
      </c>
      <c r="K2506" s="2" t="s">
        <v>1009</v>
      </c>
      <c r="L2506" s="2" t="s">
        <v>1010</v>
      </c>
      <c r="M2506" s="2" t="s">
        <v>13</v>
      </c>
      <c r="N2506" s="4" t="str">
        <f t="shared" si="243"/>
        <v>GAL</v>
      </c>
      <c r="O2506" s="5">
        <v>180</v>
      </c>
    </row>
    <row r="2507" spans="2:15" x14ac:dyDescent="0.25">
      <c r="B2507" s="1" t="s">
        <v>782</v>
      </c>
      <c r="C2507" s="2" t="s">
        <v>1018</v>
      </c>
      <c r="D2507" s="2" t="s">
        <v>3198</v>
      </c>
      <c r="E2507" s="2" t="s">
        <v>3335</v>
      </c>
      <c r="F2507" s="3">
        <f>DATE(2023,7,7)</f>
        <v>45114</v>
      </c>
      <c r="G2507" s="4">
        <f t="shared" si="242"/>
        <v>7</v>
      </c>
      <c r="H2507" s="4">
        <v>2023</v>
      </c>
      <c r="I2507" s="2" t="s">
        <v>4</v>
      </c>
      <c r="J2507" s="2" t="s">
        <v>3336</v>
      </c>
      <c r="K2507" s="2" t="s">
        <v>1496</v>
      </c>
      <c r="L2507" s="2" t="s">
        <v>159</v>
      </c>
      <c r="M2507" s="2" t="s">
        <v>160</v>
      </c>
      <c r="N2507" s="4" t="str">
        <f t="shared" si="243"/>
        <v>GAL</v>
      </c>
      <c r="O2507" s="5">
        <v>250</v>
      </c>
    </row>
    <row r="2508" spans="2:15" x14ac:dyDescent="0.25">
      <c r="B2508" s="1" t="s">
        <v>782</v>
      </c>
      <c r="C2508" s="2" t="s">
        <v>1018</v>
      </c>
      <c r="D2508" s="2" t="s">
        <v>3198</v>
      </c>
      <c r="E2508" s="2" t="s">
        <v>3337</v>
      </c>
      <c r="F2508" s="3">
        <f>DATE(2023,7,7)</f>
        <v>45114</v>
      </c>
      <c r="G2508" s="4">
        <f t="shared" si="242"/>
        <v>7</v>
      </c>
      <c r="H2508" s="4">
        <v>2023</v>
      </c>
      <c r="I2508" s="2" t="s">
        <v>4</v>
      </c>
      <c r="J2508" s="2" t="s">
        <v>3338</v>
      </c>
      <c r="K2508" s="2" t="s">
        <v>560</v>
      </c>
      <c r="L2508" s="2" t="s">
        <v>602</v>
      </c>
      <c r="M2508" s="2" t="s">
        <v>41</v>
      </c>
      <c r="N2508" s="4" t="str">
        <f t="shared" si="243"/>
        <v>GAL</v>
      </c>
      <c r="O2508" s="5">
        <v>500</v>
      </c>
    </row>
    <row r="2509" spans="2:15" x14ac:dyDescent="0.25">
      <c r="B2509" s="1" t="s">
        <v>782</v>
      </c>
      <c r="C2509" s="2" t="s">
        <v>1018</v>
      </c>
      <c r="D2509" s="2" t="s">
        <v>2456</v>
      </c>
      <c r="E2509" s="2" t="s">
        <v>3339</v>
      </c>
      <c r="F2509" s="3">
        <f>DATE(2023,7,20)</f>
        <v>45127</v>
      </c>
      <c r="G2509" s="4">
        <f t="shared" si="242"/>
        <v>7</v>
      </c>
      <c r="H2509" s="4">
        <v>2023</v>
      </c>
      <c r="I2509" s="2" t="s">
        <v>4</v>
      </c>
      <c r="J2509" s="2" t="s">
        <v>3340</v>
      </c>
      <c r="K2509" s="2" t="s">
        <v>1496</v>
      </c>
      <c r="L2509" s="2" t="s">
        <v>159</v>
      </c>
      <c r="M2509" s="2" t="s">
        <v>160</v>
      </c>
      <c r="N2509" s="4" t="str">
        <f t="shared" si="243"/>
        <v>GAL</v>
      </c>
      <c r="O2509" s="5">
        <v>500</v>
      </c>
    </row>
    <row r="2510" spans="2:15" x14ac:dyDescent="0.25">
      <c r="B2510" s="1" t="s">
        <v>1742</v>
      </c>
      <c r="C2510" s="2" t="s">
        <v>1025</v>
      </c>
      <c r="D2510" s="2" t="s">
        <v>2092</v>
      </c>
      <c r="E2510" s="2" t="s">
        <v>2093</v>
      </c>
      <c r="F2510" s="3">
        <f>DATE(2023,7,7)</f>
        <v>45114</v>
      </c>
      <c r="G2510" s="4">
        <f t="shared" si="242"/>
        <v>7</v>
      </c>
      <c r="H2510" s="4">
        <v>2023</v>
      </c>
      <c r="I2510" s="2" t="s">
        <v>4</v>
      </c>
      <c r="J2510" s="2" t="s">
        <v>3341</v>
      </c>
      <c r="K2510" s="2" t="s">
        <v>2095</v>
      </c>
      <c r="L2510" s="2" t="s">
        <v>2096</v>
      </c>
      <c r="M2510" s="2" t="s">
        <v>119</v>
      </c>
      <c r="N2510" s="4" t="str">
        <f t="shared" si="243"/>
        <v>TON</v>
      </c>
      <c r="O2510" s="5">
        <v>15</v>
      </c>
    </row>
    <row r="2511" spans="2:15" x14ac:dyDescent="0.25">
      <c r="B2511" s="1" t="s">
        <v>1742</v>
      </c>
      <c r="C2511" s="2" t="s">
        <v>1025</v>
      </c>
      <c r="D2511" s="2" t="s">
        <v>628</v>
      </c>
      <c r="E2511" s="2" t="s">
        <v>2488</v>
      </c>
      <c r="F2511" s="3">
        <f>DATE(2023,7,7)</f>
        <v>45114</v>
      </c>
      <c r="G2511" s="4">
        <f t="shared" si="242"/>
        <v>7</v>
      </c>
      <c r="H2511" s="4">
        <v>2023</v>
      </c>
      <c r="I2511" s="2" t="s">
        <v>4</v>
      </c>
      <c r="J2511" s="2" t="s">
        <v>3342</v>
      </c>
      <c r="K2511" s="2" t="s">
        <v>1482</v>
      </c>
      <c r="L2511" s="2" t="s">
        <v>1483</v>
      </c>
      <c r="M2511" s="2" t="s">
        <v>1484</v>
      </c>
      <c r="N2511" s="4" t="str">
        <f t="shared" si="243"/>
        <v>GAL</v>
      </c>
      <c r="O2511" s="5">
        <v>30</v>
      </c>
    </row>
    <row r="2512" spans="2:15" x14ac:dyDescent="0.25">
      <c r="B2512" s="1" t="s">
        <v>1742</v>
      </c>
      <c r="C2512" s="2" t="s">
        <v>1025</v>
      </c>
      <c r="D2512" s="2" t="s">
        <v>2478</v>
      </c>
      <c r="E2512" s="2" t="s">
        <v>124</v>
      </c>
      <c r="F2512" s="3">
        <f>DATE(2023,7,14)</f>
        <v>45121</v>
      </c>
      <c r="G2512" s="4">
        <f t="shared" si="242"/>
        <v>7</v>
      </c>
      <c r="H2512" s="4">
        <v>2023</v>
      </c>
      <c r="I2512" s="2" t="s">
        <v>4</v>
      </c>
      <c r="J2512" s="2" t="s">
        <v>3343</v>
      </c>
      <c r="K2512" s="2" t="s">
        <v>3344</v>
      </c>
      <c r="L2512" s="2" t="s">
        <v>3345</v>
      </c>
      <c r="M2512" s="2" t="s">
        <v>119</v>
      </c>
      <c r="N2512" s="4" t="str">
        <f t="shared" si="243"/>
        <v>TON</v>
      </c>
      <c r="O2512" s="5">
        <v>8.9924999999999997</v>
      </c>
    </row>
    <row r="2513" spans="2:15" x14ac:dyDescent="0.25">
      <c r="B2513" s="1" t="s">
        <v>1742</v>
      </c>
      <c r="C2513" s="2" t="s">
        <v>1025</v>
      </c>
      <c r="D2513" s="2" t="s">
        <v>3048</v>
      </c>
      <c r="E2513" s="2" t="s">
        <v>102</v>
      </c>
      <c r="F2513" s="3">
        <f>DATE(2023,7,25)</f>
        <v>45132</v>
      </c>
      <c r="G2513" s="4">
        <f t="shared" si="242"/>
        <v>7</v>
      </c>
      <c r="H2513" s="4">
        <v>2023</v>
      </c>
      <c r="I2513" s="2" t="s">
        <v>4</v>
      </c>
      <c r="J2513" s="2" t="s">
        <v>3346</v>
      </c>
      <c r="K2513" s="2" t="s">
        <v>158</v>
      </c>
      <c r="L2513" s="2" t="s">
        <v>159</v>
      </c>
      <c r="M2513" s="2" t="s">
        <v>160</v>
      </c>
      <c r="N2513" s="4" t="str">
        <f t="shared" si="243"/>
        <v>GAL</v>
      </c>
      <c r="O2513" s="5">
        <v>180</v>
      </c>
    </row>
    <row r="2514" spans="2:15" x14ac:dyDescent="0.25">
      <c r="B2514" s="1" t="s">
        <v>1410</v>
      </c>
      <c r="C2514" s="2" t="s">
        <v>525</v>
      </c>
      <c r="D2514" s="2" t="s">
        <v>507</v>
      </c>
      <c r="E2514" s="2" t="s">
        <v>508</v>
      </c>
      <c r="F2514" s="3">
        <f>DATE(2023,7,6)</f>
        <v>45113</v>
      </c>
      <c r="G2514" s="4">
        <f t="shared" si="242"/>
        <v>7</v>
      </c>
      <c r="H2514" s="4">
        <v>2023</v>
      </c>
      <c r="I2514" s="2" t="s">
        <v>4</v>
      </c>
      <c r="J2514" s="2" t="s">
        <v>3347</v>
      </c>
      <c r="K2514" s="2" t="s">
        <v>164</v>
      </c>
      <c r="L2514" s="2" t="s">
        <v>165</v>
      </c>
      <c r="M2514" s="2" t="s">
        <v>166</v>
      </c>
      <c r="N2514" s="4" t="str">
        <f t="shared" si="243"/>
        <v>GAL</v>
      </c>
      <c r="O2514" s="5">
        <v>180</v>
      </c>
    </row>
    <row r="2515" spans="2:15" x14ac:dyDescent="0.25">
      <c r="B2515" s="1" t="s">
        <v>1410</v>
      </c>
      <c r="C2515" s="2" t="s">
        <v>525</v>
      </c>
      <c r="D2515" s="2" t="s">
        <v>507</v>
      </c>
      <c r="E2515" s="2" t="s">
        <v>2902</v>
      </c>
      <c r="F2515" s="3">
        <f>DATE(2023,7,11)</f>
        <v>45118</v>
      </c>
      <c r="G2515" s="4">
        <f t="shared" si="242"/>
        <v>7</v>
      </c>
      <c r="H2515" s="4">
        <v>2023</v>
      </c>
      <c r="I2515" s="2" t="s">
        <v>4</v>
      </c>
      <c r="J2515" s="2" t="s">
        <v>3348</v>
      </c>
      <c r="K2515" s="2" t="s">
        <v>513</v>
      </c>
      <c r="L2515" s="2" t="s">
        <v>514</v>
      </c>
      <c r="M2515" s="2" t="s">
        <v>119</v>
      </c>
      <c r="N2515" s="4" t="str">
        <f t="shared" si="243"/>
        <v>TON</v>
      </c>
      <c r="O2515" s="5">
        <v>12.475</v>
      </c>
    </row>
    <row r="2516" spans="2:15" x14ac:dyDescent="0.25">
      <c r="B2516" s="1" t="s">
        <v>1410</v>
      </c>
      <c r="C2516" s="2" t="s">
        <v>525</v>
      </c>
      <c r="D2516" s="2" t="s">
        <v>507</v>
      </c>
      <c r="E2516" s="2" t="s">
        <v>508</v>
      </c>
      <c r="F2516" s="3">
        <f>DATE(2023,7,12)</f>
        <v>45119</v>
      </c>
      <c r="G2516" s="4">
        <f t="shared" si="242"/>
        <v>7</v>
      </c>
      <c r="H2516" s="4">
        <v>2023</v>
      </c>
      <c r="I2516" s="2" t="s">
        <v>4</v>
      </c>
      <c r="J2516" s="2" t="s">
        <v>3349</v>
      </c>
      <c r="K2516" s="2" t="s">
        <v>513</v>
      </c>
      <c r="L2516" s="2" t="s">
        <v>514</v>
      </c>
      <c r="M2516" s="2" t="s">
        <v>119</v>
      </c>
      <c r="N2516" s="4" t="str">
        <f t="shared" si="243"/>
        <v>TON</v>
      </c>
      <c r="O2516" s="5">
        <v>1.25</v>
      </c>
    </row>
    <row r="2517" spans="2:15" x14ac:dyDescent="0.25">
      <c r="B2517" s="1" t="s">
        <v>1410</v>
      </c>
      <c r="C2517" s="2" t="s">
        <v>525</v>
      </c>
      <c r="D2517" s="2" t="s">
        <v>507</v>
      </c>
      <c r="E2517" s="2" t="s">
        <v>508</v>
      </c>
      <c r="F2517" s="3">
        <f>DATE(2023,7,14)</f>
        <v>45121</v>
      </c>
      <c r="G2517" s="4">
        <f t="shared" si="242"/>
        <v>7</v>
      </c>
      <c r="H2517" s="4">
        <v>2023</v>
      </c>
      <c r="I2517" s="2" t="s">
        <v>4</v>
      </c>
      <c r="J2517" s="2" t="s">
        <v>3350</v>
      </c>
      <c r="K2517" s="2" t="s">
        <v>25</v>
      </c>
      <c r="L2517" s="2" t="s">
        <v>541</v>
      </c>
      <c r="M2517" s="2" t="s">
        <v>27</v>
      </c>
      <c r="N2517" s="4" t="str">
        <f t="shared" si="243"/>
        <v>GAL</v>
      </c>
      <c r="O2517" s="5">
        <v>180</v>
      </c>
    </row>
    <row r="2518" spans="2:15" x14ac:dyDescent="0.25">
      <c r="B2518" s="1" t="s">
        <v>1410</v>
      </c>
      <c r="C2518" s="2" t="s">
        <v>525</v>
      </c>
      <c r="D2518" s="2" t="s">
        <v>507</v>
      </c>
      <c r="E2518" s="2" t="s">
        <v>508</v>
      </c>
      <c r="F2518" s="3">
        <f>DATE(2023,7,14)</f>
        <v>45121</v>
      </c>
      <c r="G2518" s="4">
        <f t="shared" si="242"/>
        <v>7</v>
      </c>
      <c r="H2518" s="4">
        <v>2023</v>
      </c>
      <c r="I2518" s="2" t="s">
        <v>4</v>
      </c>
      <c r="J2518" s="2" t="s">
        <v>3351</v>
      </c>
      <c r="K2518" s="2" t="s">
        <v>2098</v>
      </c>
      <c r="L2518" s="2" t="s">
        <v>2099</v>
      </c>
      <c r="M2518" s="2" t="s">
        <v>2100</v>
      </c>
      <c r="N2518" s="4" t="str">
        <f t="shared" si="243"/>
        <v>GAL</v>
      </c>
      <c r="O2518" s="5">
        <v>180</v>
      </c>
    </row>
    <row r="2519" spans="2:15" x14ac:dyDescent="0.25">
      <c r="B2519" s="1" t="s">
        <v>1410</v>
      </c>
      <c r="C2519" s="2" t="s">
        <v>525</v>
      </c>
      <c r="D2519" s="2" t="s">
        <v>507</v>
      </c>
      <c r="E2519" s="2" t="s">
        <v>508</v>
      </c>
      <c r="F2519" s="3">
        <f>DATE(2023,7,14)</f>
        <v>45121</v>
      </c>
      <c r="G2519" s="4">
        <f t="shared" si="242"/>
        <v>7</v>
      </c>
      <c r="H2519" s="4">
        <v>2023</v>
      </c>
      <c r="I2519" s="2" t="s">
        <v>4</v>
      </c>
      <c r="J2519" s="2" t="s">
        <v>3352</v>
      </c>
      <c r="K2519" s="2" t="s">
        <v>1119</v>
      </c>
      <c r="L2519" s="2" t="s">
        <v>1023</v>
      </c>
      <c r="M2519" s="2" t="s">
        <v>1024</v>
      </c>
      <c r="N2519" s="4" t="str">
        <f t="shared" si="243"/>
        <v>GAL</v>
      </c>
      <c r="O2519" s="5">
        <v>90</v>
      </c>
    </row>
    <row r="2520" spans="2:15" x14ac:dyDescent="0.25">
      <c r="B2520" s="1" t="s">
        <v>1410</v>
      </c>
      <c r="C2520" s="2" t="s">
        <v>525</v>
      </c>
      <c r="D2520" s="2" t="s">
        <v>124</v>
      </c>
      <c r="E2520" s="2" t="s">
        <v>526</v>
      </c>
      <c r="F2520" s="3">
        <f>DATE(2023,7,26)</f>
        <v>45133</v>
      </c>
      <c r="G2520" s="4">
        <f t="shared" si="242"/>
        <v>7</v>
      </c>
      <c r="H2520" s="4">
        <v>2023</v>
      </c>
      <c r="I2520" s="2" t="s">
        <v>4</v>
      </c>
      <c r="J2520" s="2" t="s">
        <v>3353</v>
      </c>
      <c r="K2520" s="2" t="s">
        <v>1031</v>
      </c>
      <c r="L2520" s="2" t="s">
        <v>1032</v>
      </c>
      <c r="M2520" s="2" t="s">
        <v>119</v>
      </c>
      <c r="N2520" s="4" t="str">
        <f t="shared" si="243"/>
        <v>TON</v>
      </c>
      <c r="O2520" s="5">
        <v>8.7575000000000003</v>
      </c>
    </row>
    <row r="2521" spans="2:15" x14ac:dyDescent="0.25">
      <c r="B2521" s="1" t="s">
        <v>645</v>
      </c>
      <c r="C2521" s="2" t="s">
        <v>533</v>
      </c>
      <c r="D2521" s="2" t="s">
        <v>557</v>
      </c>
      <c r="E2521" s="2" t="s">
        <v>1090</v>
      </c>
      <c r="F2521" s="3">
        <f>DATE(2023,7,12)</f>
        <v>45119</v>
      </c>
      <c r="G2521" s="4">
        <f t="shared" si="242"/>
        <v>7</v>
      </c>
      <c r="H2521" s="4">
        <v>2023</v>
      </c>
      <c r="I2521" s="2" t="s">
        <v>4</v>
      </c>
      <c r="J2521" s="2" t="s">
        <v>3354</v>
      </c>
      <c r="K2521" s="2" t="s">
        <v>2536</v>
      </c>
      <c r="L2521" s="2" t="s">
        <v>2537</v>
      </c>
      <c r="M2521" s="2" t="s">
        <v>131</v>
      </c>
      <c r="N2521" s="4" t="str">
        <f t="shared" si="243"/>
        <v>GAL</v>
      </c>
      <c r="O2521" s="5">
        <v>360</v>
      </c>
    </row>
    <row r="2522" spans="2:15" x14ac:dyDescent="0.25">
      <c r="B2522" s="1" t="s">
        <v>645</v>
      </c>
      <c r="C2522" s="2" t="s">
        <v>533</v>
      </c>
      <c r="D2522" s="2" t="s">
        <v>534</v>
      </c>
      <c r="E2522" s="2" t="s">
        <v>535</v>
      </c>
      <c r="F2522" s="3">
        <f>DATE(2023,7,12)</f>
        <v>45119</v>
      </c>
      <c r="G2522" s="4">
        <f t="shared" si="242"/>
        <v>7</v>
      </c>
      <c r="H2522" s="4">
        <v>2023</v>
      </c>
      <c r="I2522" s="2" t="s">
        <v>4</v>
      </c>
      <c r="J2522" s="2" t="s">
        <v>3355</v>
      </c>
      <c r="K2522" s="2" t="s">
        <v>537</v>
      </c>
      <c r="L2522" s="2" t="s">
        <v>538</v>
      </c>
      <c r="M2522" s="2" t="s">
        <v>539</v>
      </c>
      <c r="N2522" s="4" t="str">
        <f t="shared" si="243"/>
        <v>GAL</v>
      </c>
      <c r="O2522" s="5">
        <v>55</v>
      </c>
    </row>
    <row r="2523" spans="2:15" x14ac:dyDescent="0.25">
      <c r="B2523" s="1" t="s">
        <v>645</v>
      </c>
      <c r="C2523" s="2" t="s">
        <v>533</v>
      </c>
      <c r="D2523" s="2" t="s">
        <v>534</v>
      </c>
      <c r="E2523" s="2" t="s">
        <v>535</v>
      </c>
      <c r="F2523" s="3">
        <f>DATE(2023,7,12)</f>
        <v>45119</v>
      </c>
      <c r="G2523" s="4">
        <f t="shared" si="242"/>
        <v>7</v>
      </c>
      <c r="H2523" s="4">
        <v>2023</v>
      </c>
      <c r="I2523" s="2" t="s">
        <v>4</v>
      </c>
      <c r="J2523" s="2" t="s">
        <v>3355</v>
      </c>
      <c r="K2523" s="2" t="s">
        <v>542</v>
      </c>
      <c r="L2523" s="2" t="s">
        <v>543</v>
      </c>
      <c r="M2523" s="2" t="s">
        <v>27</v>
      </c>
      <c r="N2523" s="4" t="str">
        <f t="shared" si="243"/>
        <v>GAL</v>
      </c>
      <c r="O2523" s="5">
        <v>55</v>
      </c>
    </row>
    <row r="2524" spans="2:15" x14ac:dyDescent="0.25">
      <c r="B2524" s="1" t="s">
        <v>645</v>
      </c>
      <c r="C2524" s="2" t="s">
        <v>533</v>
      </c>
      <c r="D2524" s="2" t="s">
        <v>534</v>
      </c>
      <c r="E2524" s="2" t="s">
        <v>535</v>
      </c>
      <c r="F2524" s="3">
        <f>DATE(2023,7,12)</f>
        <v>45119</v>
      </c>
      <c r="G2524" s="4">
        <f t="shared" si="242"/>
        <v>7</v>
      </c>
      <c r="H2524" s="4">
        <v>2023</v>
      </c>
      <c r="I2524" s="2" t="s">
        <v>4</v>
      </c>
      <c r="J2524" s="2" t="s">
        <v>3355</v>
      </c>
      <c r="K2524" s="2" t="s">
        <v>2540</v>
      </c>
      <c r="L2524" s="2" t="s">
        <v>2541</v>
      </c>
      <c r="M2524" s="2" t="s">
        <v>2542</v>
      </c>
      <c r="N2524" s="4" t="str">
        <f t="shared" si="243"/>
        <v>GAL</v>
      </c>
      <c r="O2524" s="5">
        <v>110</v>
      </c>
    </row>
    <row r="2525" spans="2:15" x14ac:dyDescent="0.25">
      <c r="B2525" s="1" t="s">
        <v>645</v>
      </c>
      <c r="C2525" s="2" t="s">
        <v>533</v>
      </c>
      <c r="D2525" s="2" t="s">
        <v>534</v>
      </c>
      <c r="E2525" s="2" t="s">
        <v>535</v>
      </c>
      <c r="F2525" s="3">
        <f>DATE(2023,7,12)</f>
        <v>45119</v>
      </c>
      <c r="G2525" s="4">
        <f t="shared" si="242"/>
        <v>7</v>
      </c>
      <c r="H2525" s="4">
        <v>2023</v>
      </c>
      <c r="I2525" s="2" t="s">
        <v>4</v>
      </c>
      <c r="J2525" s="2" t="s">
        <v>3355</v>
      </c>
      <c r="K2525" s="2" t="s">
        <v>2546</v>
      </c>
      <c r="L2525" s="2" t="s">
        <v>3356</v>
      </c>
      <c r="M2525" s="2" t="s">
        <v>553</v>
      </c>
      <c r="N2525" s="4" t="str">
        <f t="shared" si="243"/>
        <v>GAL</v>
      </c>
      <c r="O2525" s="5">
        <v>250</v>
      </c>
    </row>
    <row r="2526" spans="2:15" x14ac:dyDescent="0.25">
      <c r="B2526" s="1" t="s">
        <v>1050</v>
      </c>
      <c r="C2526" s="2" t="s">
        <v>533</v>
      </c>
      <c r="D2526" s="2" t="s">
        <v>557</v>
      </c>
      <c r="E2526" s="2" t="s">
        <v>1427</v>
      </c>
      <c r="F2526" s="3">
        <f>DATE(2023,7,13)</f>
        <v>45120</v>
      </c>
      <c r="G2526" s="4">
        <f t="shared" si="242"/>
        <v>7</v>
      </c>
      <c r="H2526" s="4">
        <v>2023</v>
      </c>
      <c r="I2526" s="2" t="s">
        <v>4</v>
      </c>
      <c r="J2526" s="2" t="s">
        <v>3357</v>
      </c>
      <c r="K2526" s="2" t="s">
        <v>1056</v>
      </c>
      <c r="L2526" s="2" t="s">
        <v>1057</v>
      </c>
      <c r="M2526" s="2" t="s">
        <v>1058</v>
      </c>
      <c r="N2526" s="4" t="str">
        <f t="shared" si="243"/>
        <v>GAL</v>
      </c>
      <c r="O2526" s="5">
        <v>3710</v>
      </c>
    </row>
    <row r="2527" spans="2:15" x14ac:dyDescent="0.25">
      <c r="B2527" s="1" t="s">
        <v>645</v>
      </c>
      <c r="C2527" s="2" t="s">
        <v>533</v>
      </c>
      <c r="D2527" s="2" t="s">
        <v>2144</v>
      </c>
      <c r="E2527" s="2" t="s">
        <v>2524</v>
      </c>
      <c r="F2527" s="3">
        <f>DATE(2023,7,18)</f>
        <v>45125</v>
      </c>
      <c r="G2527" s="4">
        <f t="shared" si="242"/>
        <v>7</v>
      </c>
      <c r="H2527" s="4">
        <v>2023</v>
      </c>
      <c r="I2527" s="2" t="s">
        <v>4</v>
      </c>
      <c r="J2527" s="2" t="s">
        <v>3358</v>
      </c>
      <c r="K2527" s="2" t="s">
        <v>2553</v>
      </c>
      <c r="L2527" s="2" t="s">
        <v>2527</v>
      </c>
      <c r="M2527" s="2" t="s">
        <v>2528</v>
      </c>
      <c r="N2527" s="4" t="str">
        <f t="shared" si="243"/>
        <v>GAL</v>
      </c>
      <c r="O2527" s="5">
        <v>4000</v>
      </c>
    </row>
    <row r="2528" spans="2:15" x14ac:dyDescent="0.25">
      <c r="B2528" s="1" t="s">
        <v>645</v>
      </c>
      <c r="C2528" s="2" t="s">
        <v>533</v>
      </c>
      <c r="D2528" s="2" t="s">
        <v>534</v>
      </c>
      <c r="E2528" s="2" t="s">
        <v>535</v>
      </c>
      <c r="F2528" s="3">
        <f>DATE(2023,7,18)</f>
        <v>45125</v>
      </c>
      <c r="G2528" s="4">
        <f t="shared" si="242"/>
        <v>7</v>
      </c>
      <c r="H2528" s="4">
        <v>2023</v>
      </c>
      <c r="I2528" s="2" t="s">
        <v>4</v>
      </c>
      <c r="J2528" s="2" t="s">
        <v>3359</v>
      </c>
      <c r="K2528" s="2" t="s">
        <v>1188</v>
      </c>
      <c r="L2528" s="2" t="s">
        <v>541</v>
      </c>
      <c r="M2528" s="2" t="s">
        <v>27</v>
      </c>
      <c r="N2528" s="4" t="str">
        <f t="shared" si="243"/>
        <v>GAL</v>
      </c>
      <c r="O2528" s="5">
        <v>250</v>
      </c>
    </row>
    <row r="2529" spans="2:15" x14ac:dyDescent="0.25">
      <c r="B2529" s="1" t="s">
        <v>1050</v>
      </c>
      <c r="C2529" s="2" t="s">
        <v>533</v>
      </c>
      <c r="D2529" s="2" t="s">
        <v>3265</v>
      </c>
      <c r="E2529" s="2" t="s">
        <v>3360</v>
      </c>
      <c r="F2529" s="3">
        <f>DATE(2023,7,18)</f>
        <v>45125</v>
      </c>
      <c r="G2529" s="4">
        <f t="shared" si="242"/>
        <v>7</v>
      </c>
      <c r="H2529" s="4">
        <v>2023</v>
      </c>
      <c r="I2529" s="2" t="s">
        <v>4</v>
      </c>
      <c r="J2529" s="2" t="s">
        <v>3361</v>
      </c>
      <c r="K2529" s="2" t="s">
        <v>3268</v>
      </c>
      <c r="L2529" s="2" t="s">
        <v>3269</v>
      </c>
      <c r="M2529" s="2" t="s">
        <v>2576</v>
      </c>
      <c r="N2529" s="4" t="str">
        <f t="shared" si="243"/>
        <v>GAL</v>
      </c>
      <c r="O2529" s="5">
        <v>150</v>
      </c>
    </row>
    <row r="2530" spans="2:15" x14ac:dyDescent="0.25">
      <c r="B2530" s="1" t="s">
        <v>1050</v>
      </c>
      <c r="C2530" s="2" t="s">
        <v>533</v>
      </c>
      <c r="D2530" s="2" t="s">
        <v>3265</v>
      </c>
      <c r="E2530" s="2" t="s">
        <v>3360</v>
      </c>
      <c r="F2530" s="3">
        <f>DATE(2023,7,18)</f>
        <v>45125</v>
      </c>
      <c r="G2530" s="4">
        <f t="shared" si="242"/>
        <v>7</v>
      </c>
      <c r="H2530" s="4">
        <v>2023</v>
      </c>
      <c r="I2530" s="2" t="s">
        <v>4</v>
      </c>
      <c r="J2530" s="2" t="s">
        <v>3361</v>
      </c>
      <c r="K2530" s="2" t="s">
        <v>3362</v>
      </c>
      <c r="L2530" s="2" t="s">
        <v>3363</v>
      </c>
      <c r="M2530" s="2" t="s">
        <v>3364</v>
      </c>
      <c r="N2530" s="4" t="str">
        <f t="shared" si="243"/>
        <v>GAL</v>
      </c>
      <c r="O2530" s="5">
        <v>150</v>
      </c>
    </row>
    <row r="2531" spans="2:15" x14ac:dyDescent="0.25">
      <c r="B2531" s="1" t="s">
        <v>1050</v>
      </c>
      <c r="C2531" s="2" t="s">
        <v>533</v>
      </c>
      <c r="D2531" s="2" t="s">
        <v>3265</v>
      </c>
      <c r="E2531" s="2" t="s">
        <v>3360</v>
      </c>
      <c r="F2531" s="3">
        <f>DATE(2023,7,18)</f>
        <v>45125</v>
      </c>
      <c r="G2531" s="4">
        <f t="shared" si="242"/>
        <v>7</v>
      </c>
      <c r="H2531" s="4">
        <v>2023</v>
      </c>
      <c r="I2531" s="2" t="s">
        <v>4</v>
      </c>
      <c r="J2531" s="2" t="s">
        <v>3361</v>
      </c>
      <c r="K2531" s="2" t="s">
        <v>3365</v>
      </c>
      <c r="L2531" s="2" t="s">
        <v>3366</v>
      </c>
      <c r="M2531" s="2" t="s">
        <v>3367</v>
      </c>
      <c r="N2531" s="4" t="str">
        <f t="shared" si="243"/>
        <v>GAL</v>
      </c>
      <c r="O2531" s="5">
        <v>150</v>
      </c>
    </row>
    <row r="2532" spans="2:15" x14ac:dyDescent="0.25">
      <c r="B2532" s="1" t="s">
        <v>645</v>
      </c>
      <c r="C2532" s="2" t="s">
        <v>533</v>
      </c>
      <c r="D2532" s="2" t="s">
        <v>2144</v>
      </c>
      <c r="E2532" s="2" t="s">
        <v>2145</v>
      </c>
      <c r="F2532" s="3">
        <f>DATE(2023,7,19)</f>
        <v>45126</v>
      </c>
      <c r="G2532" s="4">
        <f t="shared" si="242"/>
        <v>7</v>
      </c>
      <c r="H2532" s="4">
        <v>2023</v>
      </c>
      <c r="I2532" s="2" t="s">
        <v>4</v>
      </c>
      <c r="J2532" s="2" t="s">
        <v>3368</v>
      </c>
      <c r="K2532" s="2" t="s">
        <v>2553</v>
      </c>
      <c r="L2532" s="2" t="s">
        <v>2527</v>
      </c>
      <c r="M2532" s="2" t="s">
        <v>2528</v>
      </c>
      <c r="N2532" s="4" t="str">
        <f t="shared" si="243"/>
        <v>GAL</v>
      </c>
      <c r="O2532" s="5">
        <v>4000</v>
      </c>
    </row>
    <row r="2533" spans="2:15" x14ac:dyDescent="0.25">
      <c r="B2533" s="1" t="s">
        <v>1050</v>
      </c>
      <c r="C2533" s="2" t="s">
        <v>533</v>
      </c>
      <c r="D2533" s="2" t="s">
        <v>557</v>
      </c>
      <c r="E2533" s="2" t="s">
        <v>1427</v>
      </c>
      <c r="F2533" s="3">
        <f t="shared" ref="F2533:F2539" si="244">DATE(2023,7,21)</f>
        <v>45128</v>
      </c>
      <c r="G2533" s="4">
        <f t="shared" si="242"/>
        <v>7</v>
      </c>
      <c r="H2533" s="4">
        <v>2023</v>
      </c>
      <c r="I2533" s="2" t="s">
        <v>4</v>
      </c>
      <c r="J2533" s="2" t="s">
        <v>3369</v>
      </c>
      <c r="K2533" s="2" t="s">
        <v>1056</v>
      </c>
      <c r="L2533" s="2" t="s">
        <v>1057</v>
      </c>
      <c r="M2533" s="2" t="s">
        <v>1058</v>
      </c>
      <c r="N2533" s="4" t="str">
        <f t="shared" si="243"/>
        <v>GAL</v>
      </c>
      <c r="O2533" s="5">
        <v>3710</v>
      </c>
    </row>
    <row r="2534" spans="2:15" x14ac:dyDescent="0.25">
      <c r="B2534" s="1" t="s">
        <v>645</v>
      </c>
      <c r="C2534" s="2" t="s">
        <v>533</v>
      </c>
      <c r="D2534" s="2" t="s">
        <v>1047</v>
      </c>
      <c r="E2534" s="2" t="s">
        <v>2136</v>
      </c>
      <c r="F2534" s="3">
        <f t="shared" si="244"/>
        <v>45128</v>
      </c>
      <c r="G2534" s="4">
        <f t="shared" si="242"/>
        <v>7</v>
      </c>
      <c r="H2534" s="4">
        <v>2023</v>
      </c>
      <c r="I2534" s="2" t="s">
        <v>4</v>
      </c>
      <c r="J2534" s="2" t="s">
        <v>3370</v>
      </c>
      <c r="K2534" s="2" t="s">
        <v>2138</v>
      </c>
      <c r="L2534" s="2" t="s">
        <v>2139</v>
      </c>
      <c r="M2534" s="2" t="s">
        <v>1472</v>
      </c>
      <c r="N2534" s="4" t="str">
        <f t="shared" si="243"/>
        <v>GAL</v>
      </c>
      <c r="O2534" s="5">
        <v>500</v>
      </c>
    </row>
    <row r="2535" spans="2:15" x14ac:dyDescent="0.25">
      <c r="B2535" s="1" t="s">
        <v>1050</v>
      </c>
      <c r="C2535" s="2" t="s">
        <v>533</v>
      </c>
      <c r="D2535" s="2" t="s">
        <v>1047</v>
      </c>
      <c r="E2535" s="2" t="s">
        <v>2554</v>
      </c>
      <c r="F2535" s="3">
        <f t="shared" si="244"/>
        <v>45128</v>
      </c>
      <c r="G2535" s="4">
        <f t="shared" si="242"/>
        <v>7</v>
      </c>
      <c r="H2535" s="4">
        <v>2023</v>
      </c>
      <c r="I2535" s="2" t="s">
        <v>4</v>
      </c>
      <c r="J2535" s="2" t="s">
        <v>3371</v>
      </c>
      <c r="K2535" s="2" t="s">
        <v>2530</v>
      </c>
      <c r="L2535" s="2" t="s">
        <v>2531</v>
      </c>
      <c r="M2535" s="2" t="s">
        <v>2532</v>
      </c>
      <c r="N2535" s="4" t="str">
        <f t="shared" si="243"/>
        <v>GAL</v>
      </c>
      <c r="O2535" s="5">
        <v>135</v>
      </c>
    </row>
    <row r="2536" spans="2:15" x14ac:dyDescent="0.25">
      <c r="B2536" s="1" t="s">
        <v>1050</v>
      </c>
      <c r="C2536" s="2" t="s">
        <v>533</v>
      </c>
      <c r="D2536" s="2" t="s">
        <v>1047</v>
      </c>
      <c r="E2536" s="2" t="s">
        <v>2554</v>
      </c>
      <c r="F2536" s="3">
        <f t="shared" si="244"/>
        <v>45128</v>
      </c>
      <c r="G2536" s="4">
        <f t="shared" si="242"/>
        <v>7</v>
      </c>
      <c r="H2536" s="4">
        <v>2023</v>
      </c>
      <c r="I2536" s="2" t="s">
        <v>4</v>
      </c>
      <c r="J2536" s="2" t="s">
        <v>3371</v>
      </c>
      <c r="K2536" s="2" t="s">
        <v>2556</v>
      </c>
      <c r="L2536" s="2" t="s">
        <v>2557</v>
      </c>
      <c r="M2536" s="2" t="s">
        <v>1472</v>
      </c>
      <c r="N2536" s="4" t="str">
        <f t="shared" si="243"/>
        <v>GAL</v>
      </c>
      <c r="O2536" s="5">
        <v>20</v>
      </c>
    </row>
    <row r="2537" spans="2:15" x14ac:dyDescent="0.25">
      <c r="B2537" s="1" t="s">
        <v>1050</v>
      </c>
      <c r="C2537" s="2" t="s">
        <v>533</v>
      </c>
      <c r="D2537" s="2" t="s">
        <v>1047</v>
      </c>
      <c r="E2537" s="2" t="s">
        <v>2554</v>
      </c>
      <c r="F2537" s="3">
        <f t="shared" si="244"/>
        <v>45128</v>
      </c>
      <c r="G2537" s="4">
        <f t="shared" si="242"/>
        <v>7</v>
      </c>
      <c r="H2537" s="4">
        <v>2023</v>
      </c>
      <c r="I2537" s="2" t="s">
        <v>4</v>
      </c>
      <c r="J2537" s="2" t="s">
        <v>3371</v>
      </c>
      <c r="K2537" s="2" t="s">
        <v>1470</v>
      </c>
      <c r="L2537" s="2" t="s">
        <v>1471</v>
      </c>
      <c r="M2537" s="2" t="s">
        <v>1472</v>
      </c>
      <c r="N2537" s="4" t="str">
        <f t="shared" si="243"/>
        <v>GAL</v>
      </c>
      <c r="O2537" s="5">
        <v>20</v>
      </c>
    </row>
    <row r="2538" spans="2:15" x14ac:dyDescent="0.25">
      <c r="B2538" s="1" t="s">
        <v>1050</v>
      </c>
      <c r="C2538" s="2" t="s">
        <v>533</v>
      </c>
      <c r="D2538" s="2" t="s">
        <v>1047</v>
      </c>
      <c r="E2538" s="2" t="s">
        <v>2554</v>
      </c>
      <c r="F2538" s="3">
        <f t="shared" si="244"/>
        <v>45128</v>
      </c>
      <c r="G2538" s="4">
        <f t="shared" si="242"/>
        <v>7</v>
      </c>
      <c r="H2538" s="4">
        <v>2023</v>
      </c>
      <c r="I2538" s="2" t="s">
        <v>4</v>
      </c>
      <c r="J2538" s="2" t="s">
        <v>3371</v>
      </c>
      <c r="K2538" s="2" t="s">
        <v>597</v>
      </c>
      <c r="L2538" s="2" t="s">
        <v>598</v>
      </c>
      <c r="M2538" s="2" t="s">
        <v>599</v>
      </c>
      <c r="N2538" s="4" t="str">
        <f t="shared" si="243"/>
        <v>GAL</v>
      </c>
      <c r="O2538" s="5">
        <v>5</v>
      </c>
    </row>
    <row r="2539" spans="2:15" x14ac:dyDescent="0.25">
      <c r="B2539" s="1" t="s">
        <v>1050</v>
      </c>
      <c r="C2539" s="2" t="s">
        <v>533</v>
      </c>
      <c r="D2539" s="2" t="s">
        <v>1047</v>
      </c>
      <c r="E2539" s="2" t="s">
        <v>3223</v>
      </c>
      <c r="F2539" s="3">
        <f t="shared" si="244"/>
        <v>45128</v>
      </c>
      <c r="G2539" s="4">
        <f t="shared" si="242"/>
        <v>7</v>
      </c>
      <c r="H2539" s="4">
        <v>2023</v>
      </c>
      <c r="I2539" s="2" t="s">
        <v>4</v>
      </c>
      <c r="J2539" s="2" t="s">
        <v>3372</v>
      </c>
      <c r="K2539" s="2" t="s">
        <v>2530</v>
      </c>
      <c r="L2539" s="2" t="s">
        <v>2531</v>
      </c>
      <c r="M2539" s="2" t="s">
        <v>2532</v>
      </c>
      <c r="N2539" s="4" t="str">
        <f t="shared" si="243"/>
        <v>GAL</v>
      </c>
      <c r="O2539" s="5">
        <v>35</v>
      </c>
    </row>
    <row r="2540" spans="2:15" x14ac:dyDescent="0.25">
      <c r="B2540" s="1" t="s">
        <v>1050</v>
      </c>
      <c r="C2540" s="2" t="s">
        <v>533</v>
      </c>
      <c r="D2540" s="2" t="s">
        <v>1047</v>
      </c>
      <c r="E2540" s="2" t="s">
        <v>3373</v>
      </c>
      <c r="F2540" s="3">
        <f>DATE(2023,7,26)</f>
        <v>45133</v>
      </c>
      <c r="G2540" s="4">
        <f t="shared" si="242"/>
        <v>7</v>
      </c>
      <c r="H2540" s="4">
        <v>2023</v>
      </c>
      <c r="I2540" s="2" t="s">
        <v>4</v>
      </c>
      <c r="J2540" s="2" t="s">
        <v>3374</v>
      </c>
      <c r="K2540" s="2" t="s">
        <v>2530</v>
      </c>
      <c r="L2540" s="2" t="s">
        <v>2531</v>
      </c>
      <c r="M2540" s="2" t="s">
        <v>2532</v>
      </c>
      <c r="N2540" s="4" t="str">
        <f t="shared" si="243"/>
        <v>GAL</v>
      </c>
      <c r="O2540" s="5">
        <v>20</v>
      </c>
    </row>
    <row r="2541" spans="2:15" x14ac:dyDescent="0.25">
      <c r="B2541" s="1" t="s">
        <v>1050</v>
      </c>
      <c r="C2541" s="2" t="s">
        <v>533</v>
      </c>
      <c r="D2541" s="2" t="s">
        <v>557</v>
      </c>
      <c r="E2541" s="2" t="s">
        <v>3375</v>
      </c>
      <c r="F2541" s="3">
        <f>DATE(2023,7,28)</f>
        <v>45135</v>
      </c>
      <c r="G2541" s="4">
        <f t="shared" si="242"/>
        <v>7</v>
      </c>
      <c r="H2541" s="4">
        <v>2023</v>
      </c>
      <c r="I2541" s="2" t="s">
        <v>4</v>
      </c>
      <c r="J2541" s="2" t="s">
        <v>3376</v>
      </c>
      <c r="K2541" s="2" t="s">
        <v>3078</v>
      </c>
      <c r="L2541" s="2" t="s">
        <v>3079</v>
      </c>
      <c r="M2541" s="2" t="s">
        <v>13</v>
      </c>
      <c r="N2541" s="4" t="str">
        <f t="shared" si="243"/>
        <v>GAL</v>
      </c>
      <c r="O2541" s="5">
        <v>180</v>
      </c>
    </row>
    <row r="2542" spans="2:15" x14ac:dyDescent="0.25">
      <c r="B2542" s="6" t="s">
        <v>3238</v>
      </c>
      <c r="C2542" s="7" t="s">
        <v>3239</v>
      </c>
      <c r="D2542" s="8" t="s">
        <v>3240</v>
      </c>
      <c r="E2542" s="8" t="s">
        <v>3377</v>
      </c>
      <c r="F2542" s="9">
        <f>DATE(2023,7,5)</f>
        <v>45112</v>
      </c>
      <c r="G2542" s="10">
        <f t="shared" si="242"/>
        <v>7</v>
      </c>
      <c r="H2542" s="13">
        <v>2023</v>
      </c>
      <c r="I2542" s="8" t="s">
        <v>4</v>
      </c>
      <c r="J2542" s="7" t="s">
        <v>3378</v>
      </c>
      <c r="K2542" s="8" t="s">
        <v>1723</v>
      </c>
      <c r="L2542" s="8" t="s">
        <v>1724</v>
      </c>
      <c r="M2542" s="8" t="s">
        <v>13</v>
      </c>
      <c r="N2542" s="10" t="str">
        <f t="shared" si="243"/>
        <v>GAL</v>
      </c>
      <c r="O2542" s="11">
        <v>250</v>
      </c>
    </row>
    <row r="2543" spans="2:15" x14ac:dyDescent="0.25">
      <c r="B2543" s="1" t="s">
        <v>3238</v>
      </c>
      <c r="C2543" s="2" t="s">
        <v>3239</v>
      </c>
      <c r="D2543" s="2" t="s">
        <v>3240</v>
      </c>
      <c r="E2543" s="2" t="s">
        <v>3379</v>
      </c>
      <c r="F2543" s="3">
        <f>DATE(2023,7,11)</f>
        <v>45118</v>
      </c>
      <c r="G2543" s="4">
        <f t="shared" si="242"/>
        <v>7</v>
      </c>
      <c r="H2543" s="4">
        <v>2023</v>
      </c>
      <c r="I2543" s="2" t="s">
        <v>4</v>
      </c>
      <c r="J2543" s="2" t="s">
        <v>3380</v>
      </c>
      <c r="K2543" s="2" t="s">
        <v>3381</v>
      </c>
      <c r="L2543" s="2" t="s">
        <v>3382</v>
      </c>
      <c r="M2543" s="2" t="s">
        <v>3383</v>
      </c>
      <c r="N2543" s="4" t="str">
        <f t="shared" si="243"/>
        <v>GAL</v>
      </c>
      <c r="O2543" s="5">
        <v>500</v>
      </c>
    </row>
    <row r="2544" spans="2:15" x14ac:dyDescent="0.25">
      <c r="B2544" s="1" t="s">
        <v>3238</v>
      </c>
      <c r="C2544" s="2" t="s">
        <v>3239</v>
      </c>
      <c r="D2544" s="2" t="s">
        <v>3240</v>
      </c>
      <c r="E2544" s="2" t="s">
        <v>3384</v>
      </c>
      <c r="F2544" s="3">
        <f>DATE(2023,7,11)</f>
        <v>45118</v>
      </c>
      <c r="G2544" s="4">
        <f t="shared" si="242"/>
        <v>7</v>
      </c>
      <c r="H2544" s="4">
        <v>2023</v>
      </c>
      <c r="I2544" s="2" t="s">
        <v>4</v>
      </c>
      <c r="J2544" s="2" t="s">
        <v>3385</v>
      </c>
      <c r="K2544" s="2" t="s">
        <v>3386</v>
      </c>
      <c r="L2544" s="2" t="s">
        <v>3387</v>
      </c>
      <c r="M2544" s="2" t="s">
        <v>139</v>
      </c>
      <c r="N2544" s="4" t="str">
        <f t="shared" si="243"/>
        <v>GAL</v>
      </c>
      <c r="O2544" s="5">
        <v>750</v>
      </c>
    </row>
    <row r="2545" spans="2:15" x14ac:dyDescent="0.25">
      <c r="B2545" s="1" t="s">
        <v>3238</v>
      </c>
      <c r="C2545" s="2" t="s">
        <v>3239</v>
      </c>
      <c r="D2545" s="2" t="s">
        <v>3240</v>
      </c>
      <c r="E2545" s="2" t="s">
        <v>3388</v>
      </c>
      <c r="F2545" s="3">
        <f>DATE(2023,7,12)</f>
        <v>45119</v>
      </c>
      <c r="G2545" s="4">
        <f t="shared" si="242"/>
        <v>7</v>
      </c>
      <c r="H2545" s="4">
        <v>2023</v>
      </c>
      <c r="I2545" s="2" t="s">
        <v>4</v>
      </c>
      <c r="J2545" s="2" t="s">
        <v>3389</v>
      </c>
      <c r="K2545" s="2" t="s">
        <v>3390</v>
      </c>
      <c r="L2545" s="2" t="s">
        <v>3250</v>
      </c>
      <c r="M2545" s="2" t="s">
        <v>3251</v>
      </c>
      <c r="N2545" s="4" t="str">
        <f t="shared" si="243"/>
        <v>GAL</v>
      </c>
      <c r="O2545" s="5">
        <v>250</v>
      </c>
    </row>
    <row r="2546" spans="2:15" x14ac:dyDescent="0.25">
      <c r="B2546" s="1" t="s">
        <v>3238</v>
      </c>
      <c r="C2546" s="2" t="s">
        <v>3239</v>
      </c>
      <c r="D2546" s="2" t="s">
        <v>3240</v>
      </c>
      <c r="E2546" s="2" t="s">
        <v>3241</v>
      </c>
      <c r="F2546" s="3">
        <f>DATE(2023,7,14)</f>
        <v>45121</v>
      </c>
      <c r="G2546" s="4">
        <f t="shared" si="242"/>
        <v>7</v>
      </c>
      <c r="H2546" s="4">
        <v>2023</v>
      </c>
      <c r="I2546" s="2" t="s">
        <v>4</v>
      </c>
      <c r="J2546" s="2" t="s">
        <v>3391</v>
      </c>
      <c r="K2546" s="2" t="s">
        <v>3392</v>
      </c>
      <c r="L2546" s="2" t="s">
        <v>843</v>
      </c>
      <c r="M2546" s="2" t="s">
        <v>844</v>
      </c>
      <c r="N2546" s="4" t="str">
        <f t="shared" si="243"/>
        <v>GAL</v>
      </c>
      <c r="O2546" s="5">
        <v>10</v>
      </c>
    </row>
    <row r="2547" spans="2:15" x14ac:dyDescent="0.25">
      <c r="B2547" s="1" t="s">
        <v>3238</v>
      </c>
      <c r="C2547" s="2" t="s">
        <v>3239</v>
      </c>
      <c r="D2547" s="2" t="s">
        <v>3240</v>
      </c>
      <c r="E2547" s="2" t="s">
        <v>3393</v>
      </c>
      <c r="F2547" s="3">
        <f>DATE(2023,7,17)</f>
        <v>45124</v>
      </c>
      <c r="G2547" s="4">
        <f t="shared" si="242"/>
        <v>7</v>
      </c>
      <c r="H2547" s="4">
        <v>2023</v>
      </c>
      <c r="I2547" s="2" t="s">
        <v>4</v>
      </c>
      <c r="J2547" s="2" t="s">
        <v>3394</v>
      </c>
      <c r="K2547" s="2" t="s">
        <v>3395</v>
      </c>
      <c r="L2547" s="2" t="s">
        <v>3396</v>
      </c>
      <c r="M2547" s="2" t="s">
        <v>844</v>
      </c>
      <c r="N2547" s="4" t="str">
        <f t="shared" si="243"/>
        <v>GAL</v>
      </c>
      <c r="O2547" s="5">
        <v>275</v>
      </c>
    </row>
    <row r="2548" spans="2:15" x14ac:dyDescent="0.25">
      <c r="B2548" s="6" t="s">
        <v>3238</v>
      </c>
      <c r="C2548" s="7" t="s">
        <v>3239</v>
      </c>
      <c r="D2548" s="8" t="s">
        <v>3240</v>
      </c>
      <c r="E2548" s="8" t="s">
        <v>3397</v>
      </c>
      <c r="F2548" s="9">
        <f>DATE(2023,7,24)</f>
        <v>45131</v>
      </c>
      <c r="G2548" s="10">
        <f t="shared" si="242"/>
        <v>7</v>
      </c>
      <c r="H2548" s="13">
        <v>2023</v>
      </c>
      <c r="I2548" s="8" t="s">
        <v>4</v>
      </c>
      <c r="J2548" s="7" t="s">
        <v>3398</v>
      </c>
      <c r="K2548" s="8" t="s">
        <v>3399</v>
      </c>
      <c r="L2548" s="8" t="s">
        <v>3400</v>
      </c>
      <c r="M2548" s="8" t="s">
        <v>3401</v>
      </c>
      <c r="N2548" s="10" t="str">
        <f t="shared" si="243"/>
        <v>GAL</v>
      </c>
      <c r="O2548" s="11">
        <v>250</v>
      </c>
    </row>
    <row r="2549" spans="2:15" x14ac:dyDescent="0.25">
      <c r="B2549" s="1" t="s">
        <v>3238</v>
      </c>
      <c r="C2549" s="2" t="s">
        <v>3239</v>
      </c>
      <c r="D2549" s="2" t="s">
        <v>3240</v>
      </c>
      <c r="E2549" s="2" t="s">
        <v>3402</v>
      </c>
      <c r="F2549" s="3">
        <f>DATE(2023,7,25)</f>
        <v>45132</v>
      </c>
      <c r="G2549" s="4">
        <f t="shared" si="242"/>
        <v>7</v>
      </c>
      <c r="H2549" s="4">
        <v>2023</v>
      </c>
      <c r="I2549" s="2" t="s">
        <v>4</v>
      </c>
      <c r="J2549" s="2" t="s">
        <v>3403</v>
      </c>
      <c r="K2549" s="2" t="s">
        <v>3404</v>
      </c>
      <c r="L2549" s="2" t="s">
        <v>3405</v>
      </c>
      <c r="M2549" s="2" t="s">
        <v>3406</v>
      </c>
      <c r="N2549" s="4" t="str">
        <f t="shared" si="243"/>
        <v>GAL</v>
      </c>
      <c r="O2549" s="5">
        <v>500</v>
      </c>
    </row>
    <row r="2550" spans="2:15" x14ac:dyDescent="0.25">
      <c r="B2550" s="6" t="s">
        <v>3238</v>
      </c>
      <c r="C2550" s="7" t="s">
        <v>3239</v>
      </c>
      <c r="D2550" s="8" t="s">
        <v>3240</v>
      </c>
      <c r="E2550" s="8" t="s">
        <v>3407</v>
      </c>
      <c r="F2550" s="9">
        <f>DATE(2023,7,25)</f>
        <v>45132</v>
      </c>
      <c r="G2550" s="10">
        <f t="shared" si="242"/>
        <v>7</v>
      </c>
      <c r="H2550" s="13">
        <v>2023</v>
      </c>
      <c r="I2550" s="8" t="s">
        <v>4</v>
      </c>
      <c r="J2550" s="7" t="s">
        <v>3408</v>
      </c>
      <c r="K2550" s="8" t="s">
        <v>3409</v>
      </c>
      <c r="L2550" s="8" t="s">
        <v>3410</v>
      </c>
      <c r="M2550" s="8" t="s">
        <v>41</v>
      </c>
      <c r="N2550" s="10" t="str">
        <f t="shared" si="243"/>
        <v>GAL</v>
      </c>
      <c r="O2550" s="11">
        <v>452.48</v>
      </c>
    </row>
    <row r="2551" spans="2:15" x14ac:dyDescent="0.25">
      <c r="B2551" s="1" t="s">
        <v>3238</v>
      </c>
      <c r="C2551" s="2" t="s">
        <v>3239</v>
      </c>
      <c r="D2551" s="2" t="s">
        <v>3240</v>
      </c>
      <c r="E2551" s="2" t="s">
        <v>3384</v>
      </c>
      <c r="F2551" s="3">
        <f>DATE(2023,7,25)</f>
        <v>45132</v>
      </c>
      <c r="G2551" s="4">
        <f t="shared" si="242"/>
        <v>7</v>
      </c>
      <c r="H2551" s="4">
        <v>2023</v>
      </c>
      <c r="I2551" s="2" t="s">
        <v>4</v>
      </c>
      <c r="J2551" s="2" t="s">
        <v>3411</v>
      </c>
      <c r="K2551" s="2" t="s">
        <v>3386</v>
      </c>
      <c r="L2551" s="2" t="s">
        <v>3387</v>
      </c>
      <c r="M2551" s="2" t="s">
        <v>139</v>
      </c>
      <c r="N2551" s="4" t="str">
        <f t="shared" si="243"/>
        <v>GAL</v>
      </c>
      <c r="O2551" s="5">
        <v>250</v>
      </c>
    </row>
    <row r="2552" spans="2:15" x14ac:dyDescent="0.25">
      <c r="B2552" s="1" t="s">
        <v>3238</v>
      </c>
      <c r="C2552" s="2" t="s">
        <v>3239</v>
      </c>
      <c r="D2552" s="2" t="s">
        <v>3240</v>
      </c>
      <c r="E2552" s="2" t="s">
        <v>3241</v>
      </c>
      <c r="F2552" s="3">
        <f>DATE(2023,7,27)</f>
        <v>45134</v>
      </c>
      <c r="G2552" s="4">
        <f t="shared" si="242"/>
        <v>7</v>
      </c>
      <c r="H2552" s="4">
        <v>2023</v>
      </c>
      <c r="I2552" s="2" t="s">
        <v>4</v>
      </c>
      <c r="J2552" s="2" t="s">
        <v>3412</v>
      </c>
      <c r="K2552" s="2" t="s">
        <v>3390</v>
      </c>
      <c r="L2552" s="2" t="s">
        <v>3250</v>
      </c>
      <c r="M2552" s="2" t="s">
        <v>3251</v>
      </c>
      <c r="N2552" s="4" t="str">
        <f t="shared" si="243"/>
        <v>GAL</v>
      </c>
      <c r="O2552" s="5">
        <v>750</v>
      </c>
    </row>
    <row r="2553" spans="2:15" x14ac:dyDescent="0.25">
      <c r="B2553" s="1" t="s">
        <v>3238</v>
      </c>
      <c r="C2553" s="2" t="s">
        <v>3239</v>
      </c>
      <c r="D2553" s="2" t="s">
        <v>3240</v>
      </c>
      <c r="E2553" s="2" t="s">
        <v>3379</v>
      </c>
      <c r="F2553" s="3">
        <f>DATE(2023,7,28)</f>
        <v>45135</v>
      </c>
      <c r="G2553" s="4">
        <f t="shared" si="242"/>
        <v>7</v>
      </c>
      <c r="H2553" s="4">
        <v>2023</v>
      </c>
      <c r="I2553" s="2" t="s">
        <v>4</v>
      </c>
      <c r="J2553" s="2" t="s">
        <v>3413</v>
      </c>
      <c r="K2553" s="2" t="s">
        <v>3395</v>
      </c>
      <c r="L2553" s="2" t="s">
        <v>3396</v>
      </c>
      <c r="M2553" s="2" t="s">
        <v>844</v>
      </c>
      <c r="N2553" s="4" t="str">
        <f t="shared" si="243"/>
        <v>GAL</v>
      </c>
      <c r="O2553" s="5">
        <v>250</v>
      </c>
    </row>
    <row r="2554" spans="2:15" x14ac:dyDescent="0.25">
      <c r="B2554" s="1" t="s">
        <v>3238</v>
      </c>
      <c r="C2554" s="2" t="s">
        <v>3239</v>
      </c>
      <c r="D2554" s="2" t="s">
        <v>3240</v>
      </c>
      <c r="E2554" s="2" t="s">
        <v>3379</v>
      </c>
      <c r="F2554" s="3">
        <f>DATE(2023,7,28)</f>
        <v>45135</v>
      </c>
      <c r="G2554" s="4">
        <f t="shared" si="242"/>
        <v>7</v>
      </c>
      <c r="H2554" s="4">
        <v>2023</v>
      </c>
      <c r="I2554" s="2" t="s">
        <v>4</v>
      </c>
      <c r="J2554" s="2" t="s">
        <v>3413</v>
      </c>
      <c r="K2554" s="2" t="s">
        <v>3381</v>
      </c>
      <c r="L2554" s="2" t="s">
        <v>3382</v>
      </c>
      <c r="M2554" s="2" t="s">
        <v>3383</v>
      </c>
      <c r="N2554" s="4" t="str">
        <f t="shared" si="243"/>
        <v>GAL</v>
      </c>
      <c r="O2554" s="5">
        <v>250</v>
      </c>
    </row>
    <row r="2555" spans="2:15" x14ac:dyDescent="0.25">
      <c r="B2555" s="1" t="s">
        <v>0</v>
      </c>
      <c r="C2555" s="2" t="s">
        <v>1</v>
      </c>
      <c r="D2555" s="2" t="s">
        <v>2</v>
      </c>
      <c r="E2555" s="2" t="s">
        <v>1432</v>
      </c>
      <c r="F2555" s="3">
        <f>DATE(2023,8,1)</f>
        <v>45139</v>
      </c>
      <c r="G2555" s="4">
        <f t="shared" si="242"/>
        <v>8</v>
      </c>
      <c r="H2555" s="4">
        <f t="shared" ref="H2555:H2618" si="245">+YEAR(F2555)</f>
        <v>2023</v>
      </c>
      <c r="I2555" s="2" t="s">
        <v>4</v>
      </c>
      <c r="J2555" s="2" t="s">
        <v>3414</v>
      </c>
      <c r="K2555" s="2" t="s">
        <v>33</v>
      </c>
      <c r="L2555" s="2" t="s">
        <v>34</v>
      </c>
      <c r="M2555" s="2" t="s">
        <v>35</v>
      </c>
      <c r="N2555" s="4" t="str">
        <f t="shared" si="243"/>
        <v>GAL</v>
      </c>
      <c r="O2555" s="5">
        <v>20</v>
      </c>
    </row>
    <row r="2556" spans="2:15" x14ac:dyDescent="0.25">
      <c r="B2556" s="1" t="s">
        <v>0</v>
      </c>
      <c r="C2556" s="2" t="s">
        <v>1</v>
      </c>
      <c r="D2556" s="2" t="s">
        <v>2</v>
      </c>
      <c r="E2556" s="2" t="s">
        <v>1432</v>
      </c>
      <c r="F2556" s="3">
        <f>DATE(2023,8,1)</f>
        <v>45139</v>
      </c>
      <c r="G2556" s="4">
        <f t="shared" si="242"/>
        <v>8</v>
      </c>
      <c r="H2556" s="4">
        <f t="shared" si="245"/>
        <v>2023</v>
      </c>
      <c r="I2556" s="2" t="s">
        <v>4</v>
      </c>
      <c r="J2556" s="2" t="s">
        <v>3414</v>
      </c>
      <c r="K2556" s="2" t="s">
        <v>19</v>
      </c>
      <c r="L2556" s="2" t="s">
        <v>20</v>
      </c>
      <c r="M2556" s="2" t="s">
        <v>21</v>
      </c>
      <c r="N2556" s="4" t="str">
        <f t="shared" si="243"/>
        <v>GAL</v>
      </c>
      <c r="O2556" s="5">
        <v>20</v>
      </c>
    </row>
    <row r="2557" spans="2:15" x14ac:dyDescent="0.25">
      <c r="B2557" s="1" t="s">
        <v>0</v>
      </c>
      <c r="C2557" s="2" t="s">
        <v>1</v>
      </c>
      <c r="D2557" s="2" t="s">
        <v>2</v>
      </c>
      <c r="E2557" s="2" t="s">
        <v>1432</v>
      </c>
      <c r="F2557" s="3">
        <f>DATE(2023,8,1)</f>
        <v>45139</v>
      </c>
      <c r="G2557" s="4">
        <f t="shared" si="242"/>
        <v>8</v>
      </c>
      <c r="H2557" s="4">
        <f t="shared" si="245"/>
        <v>2023</v>
      </c>
      <c r="I2557" s="2" t="s">
        <v>4</v>
      </c>
      <c r="J2557" s="2" t="s">
        <v>3414</v>
      </c>
      <c r="K2557" s="2" t="s">
        <v>25</v>
      </c>
      <c r="L2557" s="2" t="s">
        <v>26</v>
      </c>
      <c r="M2557" s="2" t="s">
        <v>27</v>
      </c>
      <c r="N2557" s="4" t="str">
        <f t="shared" si="243"/>
        <v>GAL</v>
      </c>
      <c r="O2557" s="5">
        <v>20</v>
      </c>
    </row>
    <row r="2558" spans="2:15" x14ac:dyDescent="0.25">
      <c r="B2558" s="1" t="s">
        <v>0</v>
      </c>
      <c r="C2558" s="2" t="s">
        <v>1</v>
      </c>
      <c r="D2558" s="2" t="s">
        <v>2</v>
      </c>
      <c r="E2558" s="2" t="s">
        <v>1432</v>
      </c>
      <c r="F2558" s="3">
        <f>DATE(2023,8,1)</f>
        <v>45139</v>
      </c>
      <c r="G2558" s="4">
        <f t="shared" si="242"/>
        <v>8</v>
      </c>
      <c r="H2558" s="4">
        <f t="shared" si="245"/>
        <v>2023</v>
      </c>
      <c r="I2558" s="2" t="s">
        <v>4</v>
      </c>
      <c r="J2558" s="2" t="s">
        <v>3414</v>
      </c>
      <c r="K2558" s="2" t="s">
        <v>28</v>
      </c>
      <c r="L2558" s="2" t="s">
        <v>29</v>
      </c>
      <c r="M2558" s="2" t="s">
        <v>30</v>
      </c>
      <c r="N2558" s="4" t="str">
        <f t="shared" si="243"/>
        <v>GAL</v>
      </c>
      <c r="O2558" s="5">
        <v>10</v>
      </c>
    </row>
    <row r="2559" spans="2:15" x14ac:dyDescent="0.25">
      <c r="B2559" s="1" t="s">
        <v>0</v>
      </c>
      <c r="C2559" s="2" t="s">
        <v>1</v>
      </c>
      <c r="D2559" s="2" t="s">
        <v>2</v>
      </c>
      <c r="E2559" s="2" t="s">
        <v>1432</v>
      </c>
      <c r="F2559" s="3">
        <f>DATE(2023,8,1)</f>
        <v>45139</v>
      </c>
      <c r="G2559" s="4">
        <f t="shared" si="242"/>
        <v>8</v>
      </c>
      <c r="H2559" s="4">
        <f t="shared" si="245"/>
        <v>2023</v>
      </c>
      <c r="I2559" s="2" t="s">
        <v>4</v>
      </c>
      <c r="J2559" s="2" t="s">
        <v>3414</v>
      </c>
      <c r="K2559" s="2" t="s">
        <v>16</v>
      </c>
      <c r="L2559" s="2" t="s">
        <v>7</v>
      </c>
      <c r="M2559" s="2" t="s">
        <v>8</v>
      </c>
      <c r="N2559" s="4" t="str">
        <f t="shared" si="243"/>
        <v>GAL</v>
      </c>
      <c r="O2559" s="5">
        <v>20</v>
      </c>
    </row>
    <row r="2560" spans="2:15" x14ac:dyDescent="0.25">
      <c r="B2560" s="1" t="s">
        <v>0</v>
      </c>
      <c r="C2560" s="2" t="s">
        <v>1</v>
      </c>
      <c r="D2560" s="2" t="s">
        <v>2</v>
      </c>
      <c r="E2560" s="2" t="s">
        <v>78</v>
      </c>
      <c r="F2560" s="3">
        <f t="shared" ref="F2560:F2566" si="246">DATE(2023,8,2)</f>
        <v>45140</v>
      </c>
      <c r="G2560" s="4">
        <f t="shared" si="242"/>
        <v>8</v>
      </c>
      <c r="H2560" s="4">
        <f t="shared" si="245"/>
        <v>2023</v>
      </c>
      <c r="I2560" s="2" t="s">
        <v>4</v>
      </c>
      <c r="J2560" s="2" t="s">
        <v>3415</v>
      </c>
      <c r="K2560" s="2" t="s">
        <v>19</v>
      </c>
      <c r="L2560" s="2" t="s">
        <v>20</v>
      </c>
      <c r="M2560" s="2" t="s">
        <v>21</v>
      </c>
      <c r="N2560" s="4" t="str">
        <f t="shared" si="243"/>
        <v>GAL</v>
      </c>
      <c r="O2560" s="5">
        <v>120</v>
      </c>
    </row>
    <row r="2561" spans="2:15" x14ac:dyDescent="0.25">
      <c r="B2561" s="1" t="s">
        <v>0</v>
      </c>
      <c r="C2561" s="2" t="s">
        <v>1</v>
      </c>
      <c r="D2561" s="2" t="s">
        <v>2</v>
      </c>
      <c r="E2561" s="2" t="s">
        <v>78</v>
      </c>
      <c r="F2561" s="3">
        <f t="shared" si="246"/>
        <v>45140</v>
      </c>
      <c r="G2561" s="4">
        <f t="shared" si="242"/>
        <v>8</v>
      </c>
      <c r="H2561" s="4">
        <f t="shared" si="245"/>
        <v>2023</v>
      </c>
      <c r="I2561" s="2" t="s">
        <v>4</v>
      </c>
      <c r="J2561" s="2" t="s">
        <v>3415</v>
      </c>
      <c r="K2561" s="2" t="s">
        <v>22</v>
      </c>
      <c r="L2561" s="2" t="s">
        <v>23</v>
      </c>
      <c r="M2561" s="2" t="s">
        <v>24</v>
      </c>
      <c r="N2561" s="4" t="str">
        <f t="shared" si="243"/>
        <v>GAL</v>
      </c>
      <c r="O2561" s="5">
        <v>60</v>
      </c>
    </row>
    <row r="2562" spans="2:15" x14ac:dyDescent="0.25">
      <c r="B2562" s="1" t="s">
        <v>0</v>
      </c>
      <c r="C2562" s="2" t="s">
        <v>1</v>
      </c>
      <c r="D2562" s="2" t="s">
        <v>2</v>
      </c>
      <c r="E2562" s="2" t="s">
        <v>78</v>
      </c>
      <c r="F2562" s="3">
        <f t="shared" si="246"/>
        <v>45140</v>
      </c>
      <c r="G2562" s="4">
        <f t="shared" si="242"/>
        <v>8</v>
      </c>
      <c r="H2562" s="4">
        <f t="shared" si="245"/>
        <v>2023</v>
      </c>
      <c r="I2562" s="2" t="s">
        <v>4</v>
      </c>
      <c r="J2562" s="2" t="s">
        <v>3415</v>
      </c>
      <c r="K2562" s="2" t="s">
        <v>36</v>
      </c>
      <c r="L2562" s="2" t="s">
        <v>37</v>
      </c>
      <c r="M2562" s="2" t="s">
        <v>38</v>
      </c>
      <c r="N2562" s="4" t="str">
        <f t="shared" si="243"/>
        <v>GAL</v>
      </c>
      <c r="O2562" s="5">
        <v>60</v>
      </c>
    </row>
    <row r="2563" spans="2:15" x14ac:dyDescent="0.25">
      <c r="B2563" s="1" t="s">
        <v>0</v>
      </c>
      <c r="C2563" s="2" t="s">
        <v>1</v>
      </c>
      <c r="D2563" s="2" t="s">
        <v>2</v>
      </c>
      <c r="E2563" s="2" t="s">
        <v>78</v>
      </c>
      <c r="F2563" s="3">
        <f t="shared" si="246"/>
        <v>45140</v>
      </c>
      <c r="G2563" s="4">
        <f t="shared" ref="G2563:G2626" si="247">+MONTH(F2563)</f>
        <v>8</v>
      </c>
      <c r="H2563" s="4">
        <f t="shared" si="245"/>
        <v>2023</v>
      </c>
      <c r="I2563" s="2" t="s">
        <v>4</v>
      </c>
      <c r="J2563" s="2" t="s">
        <v>3415</v>
      </c>
      <c r="K2563" s="2" t="s">
        <v>25</v>
      </c>
      <c r="L2563" s="2" t="s">
        <v>26</v>
      </c>
      <c r="M2563" s="2" t="s">
        <v>27</v>
      </c>
      <c r="N2563" s="4" t="str">
        <f t="shared" ref="N2563:N2626" si="248">+LEFT(M2563,3)</f>
        <v>GAL</v>
      </c>
      <c r="O2563" s="5">
        <v>120</v>
      </c>
    </row>
    <row r="2564" spans="2:15" x14ac:dyDescent="0.25">
      <c r="B2564" s="1" t="s">
        <v>0</v>
      </c>
      <c r="C2564" s="2" t="s">
        <v>1</v>
      </c>
      <c r="D2564" s="2" t="s">
        <v>2</v>
      </c>
      <c r="E2564" s="2" t="s">
        <v>78</v>
      </c>
      <c r="F2564" s="3">
        <f t="shared" si="246"/>
        <v>45140</v>
      </c>
      <c r="G2564" s="4">
        <f t="shared" si="247"/>
        <v>8</v>
      </c>
      <c r="H2564" s="4">
        <f t="shared" si="245"/>
        <v>2023</v>
      </c>
      <c r="I2564" s="2" t="s">
        <v>4</v>
      </c>
      <c r="J2564" s="2" t="s">
        <v>3415</v>
      </c>
      <c r="K2564" s="2" t="s">
        <v>50</v>
      </c>
      <c r="L2564" s="2" t="s">
        <v>51</v>
      </c>
      <c r="M2564" s="2" t="s">
        <v>52</v>
      </c>
      <c r="N2564" s="4" t="str">
        <f t="shared" si="248"/>
        <v>GAL</v>
      </c>
      <c r="O2564" s="5">
        <v>60</v>
      </c>
    </row>
    <row r="2565" spans="2:15" x14ac:dyDescent="0.25">
      <c r="B2565" s="1" t="s">
        <v>0</v>
      </c>
      <c r="C2565" s="2" t="s">
        <v>1</v>
      </c>
      <c r="D2565" s="2" t="s">
        <v>2</v>
      </c>
      <c r="E2565" s="2" t="s">
        <v>78</v>
      </c>
      <c r="F2565" s="3">
        <f t="shared" si="246"/>
        <v>45140</v>
      </c>
      <c r="G2565" s="4">
        <f t="shared" si="247"/>
        <v>8</v>
      </c>
      <c r="H2565" s="4">
        <f t="shared" si="245"/>
        <v>2023</v>
      </c>
      <c r="I2565" s="2" t="s">
        <v>4</v>
      </c>
      <c r="J2565" s="2" t="s">
        <v>3415</v>
      </c>
      <c r="K2565" s="2" t="s">
        <v>28</v>
      </c>
      <c r="L2565" s="2" t="s">
        <v>29</v>
      </c>
      <c r="M2565" s="2" t="s">
        <v>30</v>
      </c>
      <c r="N2565" s="4" t="str">
        <f t="shared" si="248"/>
        <v>GAL</v>
      </c>
      <c r="O2565" s="5">
        <v>60</v>
      </c>
    </row>
    <row r="2566" spans="2:15" x14ac:dyDescent="0.25">
      <c r="B2566" s="1" t="s">
        <v>0</v>
      </c>
      <c r="C2566" s="2" t="s">
        <v>1</v>
      </c>
      <c r="D2566" s="2" t="s">
        <v>2</v>
      </c>
      <c r="E2566" s="2" t="s">
        <v>78</v>
      </c>
      <c r="F2566" s="3">
        <f t="shared" si="246"/>
        <v>45140</v>
      </c>
      <c r="G2566" s="4">
        <f t="shared" si="247"/>
        <v>8</v>
      </c>
      <c r="H2566" s="4">
        <f t="shared" si="245"/>
        <v>2023</v>
      </c>
      <c r="I2566" s="2" t="s">
        <v>4</v>
      </c>
      <c r="J2566" s="2" t="s">
        <v>3415</v>
      </c>
      <c r="K2566" s="2" t="s">
        <v>16</v>
      </c>
      <c r="L2566" s="2" t="s">
        <v>7</v>
      </c>
      <c r="M2566" s="2" t="s">
        <v>8</v>
      </c>
      <c r="N2566" s="4" t="str">
        <f t="shared" si="248"/>
        <v>GAL</v>
      </c>
      <c r="O2566" s="5">
        <v>120</v>
      </c>
    </row>
    <row r="2567" spans="2:15" x14ac:dyDescent="0.25">
      <c r="B2567" s="1" t="s">
        <v>0</v>
      </c>
      <c r="C2567" s="2" t="s">
        <v>1</v>
      </c>
      <c r="D2567" s="2" t="s">
        <v>2</v>
      </c>
      <c r="E2567" s="2" t="s">
        <v>61</v>
      </c>
      <c r="F2567" s="3">
        <f>DATE(2023,8,8)</f>
        <v>45146</v>
      </c>
      <c r="G2567" s="4">
        <f t="shared" si="247"/>
        <v>8</v>
      </c>
      <c r="H2567" s="4">
        <f t="shared" si="245"/>
        <v>2023</v>
      </c>
      <c r="I2567" s="2" t="s">
        <v>4</v>
      </c>
      <c r="J2567" s="2" t="s">
        <v>3416</v>
      </c>
      <c r="K2567" s="2" t="s">
        <v>19</v>
      </c>
      <c r="L2567" s="2" t="s">
        <v>20</v>
      </c>
      <c r="M2567" s="2" t="s">
        <v>21</v>
      </c>
      <c r="N2567" s="4" t="str">
        <f t="shared" si="248"/>
        <v>GAL</v>
      </c>
      <c r="O2567" s="5">
        <v>45</v>
      </c>
    </row>
    <row r="2568" spans="2:15" x14ac:dyDescent="0.25">
      <c r="B2568" s="1" t="s">
        <v>0</v>
      </c>
      <c r="C2568" s="2" t="s">
        <v>1</v>
      </c>
      <c r="D2568" s="2" t="s">
        <v>2</v>
      </c>
      <c r="E2568" s="2" t="s">
        <v>61</v>
      </c>
      <c r="F2568" s="3">
        <f>DATE(2023,8,8)</f>
        <v>45146</v>
      </c>
      <c r="G2568" s="4">
        <f t="shared" si="247"/>
        <v>8</v>
      </c>
      <c r="H2568" s="4">
        <f t="shared" si="245"/>
        <v>2023</v>
      </c>
      <c r="I2568" s="2" t="s">
        <v>4</v>
      </c>
      <c r="J2568" s="2" t="s">
        <v>3416</v>
      </c>
      <c r="K2568" s="2" t="s">
        <v>25</v>
      </c>
      <c r="L2568" s="2" t="s">
        <v>26</v>
      </c>
      <c r="M2568" s="2" t="s">
        <v>27</v>
      </c>
      <c r="N2568" s="4" t="str">
        <f t="shared" si="248"/>
        <v>GAL</v>
      </c>
      <c r="O2568" s="5">
        <v>90</v>
      </c>
    </row>
    <row r="2569" spans="2:15" x14ac:dyDescent="0.25">
      <c r="B2569" s="1" t="s">
        <v>0</v>
      </c>
      <c r="C2569" s="2" t="s">
        <v>1</v>
      </c>
      <c r="D2569" s="2" t="s">
        <v>2</v>
      </c>
      <c r="E2569" s="2" t="s">
        <v>61</v>
      </c>
      <c r="F2569" s="3">
        <f>DATE(2023,8,8)</f>
        <v>45146</v>
      </c>
      <c r="G2569" s="4">
        <f t="shared" si="247"/>
        <v>8</v>
      </c>
      <c r="H2569" s="4">
        <f t="shared" si="245"/>
        <v>2023</v>
      </c>
      <c r="I2569" s="2" t="s">
        <v>4</v>
      </c>
      <c r="J2569" s="2" t="s">
        <v>3416</v>
      </c>
      <c r="K2569" s="2" t="s">
        <v>28</v>
      </c>
      <c r="L2569" s="2" t="s">
        <v>29</v>
      </c>
      <c r="M2569" s="2" t="s">
        <v>30</v>
      </c>
      <c r="N2569" s="4" t="str">
        <f t="shared" si="248"/>
        <v>GAL</v>
      </c>
      <c r="O2569" s="5">
        <v>45</v>
      </c>
    </row>
    <row r="2570" spans="2:15" x14ac:dyDescent="0.25">
      <c r="B2570" s="1" t="s">
        <v>0</v>
      </c>
      <c r="C2570" s="2" t="s">
        <v>1</v>
      </c>
      <c r="D2570" s="2" t="s">
        <v>2</v>
      </c>
      <c r="E2570" s="2" t="s">
        <v>61</v>
      </c>
      <c r="F2570" s="3">
        <f>DATE(2023,8,8)</f>
        <v>45146</v>
      </c>
      <c r="G2570" s="4">
        <f t="shared" si="247"/>
        <v>8</v>
      </c>
      <c r="H2570" s="4">
        <f t="shared" si="245"/>
        <v>2023</v>
      </c>
      <c r="I2570" s="2" t="s">
        <v>4</v>
      </c>
      <c r="J2570" s="2" t="s">
        <v>3416</v>
      </c>
      <c r="K2570" s="2" t="s">
        <v>16</v>
      </c>
      <c r="L2570" s="2" t="s">
        <v>7</v>
      </c>
      <c r="M2570" s="2" t="s">
        <v>8</v>
      </c>
      <c r="N2570" s="4" t="str">
        <f t="shared" si="248"/>
        <v>GAL</v>
      </c>
      <c r="O2570" s="5">
        <v>90</v>
      </c>
    </row>
    <row r="2571" spans="2:15" x14ac:dyDescent="0.25">
      <c r="B2571" s="1" t="s">
        <v>0</v>
      </c>
      <c r="C2571" s="2" t="s">
        <v>1</v>
      </c>
      <c r="D2571" s="2" t="s">
        <v>2</v>
      </c>
      <c r="E2571" s="2" t="s">
        <v>42</v>
      </c>
      <c r="F2571" s="3">
        <f>DATE(2023,8,22)</f>
        <v>45160</v>
      </c>
      <c r="G2571" s="4">
        <f t="shared" si="247"/>
        <v>8</v>
      </c>
      <c r="H2571" s="4">
        <f t="shared" si="245"/>
        <v>2023</v>
      </c>
      <c r="I2571" s="2" t="s">
        <v>4</v>
      </c>
      <c r="J2571" s="2" t="s">
        <v>3417</v>
      </c>
      <c r="K2571" s="2" t="s">
        <v>36</v>
      </c>
      <c r="L2571" s="2" t="s">
        <v>37</v>
      </c>
      <c r="M2571" s="2" t="s">
        <v>38</v>
      </c>
      <c r="N2571" s="4" t="str">
        <f t="shared" si="248"/>
        <v>GAL</v>
      </c>
      <c r="O2571" s="5">
        <v>60</v>
      </c>
    </row>
    <row r="2572" spans="2:15" x14ac:dyDescent="0.25">
      <c r="B2572" s="1" t="s">
        <v>0</v>
      </c>
      <c r="C2572" s="2" t="s">
        <v>1</v>
      </c>
      <c r="D2572" s="2" t="s">
        <v>2</v>
      </c>
      <c r="E2572" s="2" t="s">
        <v>42</v>
      </c>
      <c r="F2572" s="3">
        <f>DATE(2023,8,22)</f>
        <v>45160</v>
      </c>
      <c r="G2572" s="4">
        <f t="shared" si="247"/>
        <v>8</v>
      </c>
      <c r="H2572" s="4">
        <f t="shared" si="245"/>
        <v>2023</v>
      </c>
      <c r="I2572" s="2" t="s">
        <v>4</v>
      </c>
      <c r="J2572" s="2" t="s">
        <v>3417</v>
      </c>
      <c r="K2572" s="2" t="s">
        <v>83</v>
      </c>
      <c r="L2572" s="2" t="s">
        <v>84</v>
      </c>
      <c r="M2572" s="2" t="s">
        <v>85</v>
      </c>
      <c r="N2572" s="4" t="str">
        <f t="shared" si="248"/>
        <v>GAL</v>
      </c>
      <c r="O2572" s="5">
        <v>60</v>
      </c>
    </row>
    <row r="2573" spans="2:15" x14ac:dyDescent="0.25">
      <c r="B2573" s="1" t="s">
        <v>0</v>
      </c>
      <c r="C2573" s="2" t="s">
        <v>1</v>
      </c>
      <c r="D2573" s="2" t="s">
        <v>2</v>
      </c>
      <c r="E2573" s="2" t="s">
        <v>42</v>
      </c>
      <c r="F2573" s="3">
        <f>DATE(2023,8,22)</f>
        <v>45160</v>
      </c>
      <c r="G2573" s="4">
        <f t="shared" si="247"/>
        <v>8</v>
      </c>
      <c r="H2573" s="4">
        <f t="shared" si="245"/>
        <v>2023</v>
      </c>
      <c r="I2573" s="2" t="s">
        <v>4</v>
      </c>
      <c r="J2573" s="2" t="s">
        <v>3417</v>
      </c>
      <c r="K2573" s="2" t="s">
        <v>50</v>
      </c>
      <c r="L2573" s="2" t="s">
        <v>51</v>
      </c>
      <c r="M2573" s="2" t="s">
        <v>52</v>
      </c>
      <c r="N2573" s="4" t="str">
        <f t="shared" si="248"/>
        <v>GAL</v>
      </c>
      <c r="O2573" s="5">
        <v>120</v>
      </c>
    </row>
    <row r="2574" spans="2:15" x14ac:dyDescent="0.25">
      <c r="B2574" s="1" t="s">
        <v>0</v>
      </c>
      <c r="C2574" s="2" t="s">
        <v>1</v>
      </c>
      <c r="D2574" s="2" t="s">
        <v>2</v>
      </c>
      <c r="E2574" s="2" t="s">
        <v>42</v>
      </c>
      <c r="F2574" s="3">
        <f>DATE(2023,8,22)</f>
        <v>45160</v>
      </c>
      <c r="G2574" s="4">
        <f t="shared" si="247"/>
        <v>8</v>
      </c>
      <c r="H2574" s="4">
        <f t="shared" si="245"/>
        <v>2023</v>
      </c>
      <c r="I2574" s="2" t="s">
        <v>4</v>
      </c>
      <c r="J2574" s="2" t="s">
        <v>3417</v>
      </c>
      <c r="K2574" s="2" t="s">
        <v>28</v>
      </c>
      <c r="L2574" s="2" t="s">
        <v>29</v>
      </c>
      <c r="M2574" s="2" t="s">
        <v>30</v>
      </c>
      <c r="N2574" s="4" t="str">
        <f t="shared" si="248"/>
        <v>GAL</v>
      </c>
      <c r="O2574" s="5">
        <v>120</v>
      </c>
    </row>
    <row r="2575" spans="2:15" x14ac:dyDescent="0.25">
      <c r="B2575" s="1" t="s">
        <v>0</v>
      </c>
      <c r="C2575" s="2" t="s">
        <v>1</v>
      </c>
      <c r="D2575" s="2" t="s">
        <v>2</v>
      </c>
      <c r="E2575" s="2" t="s">
        <v>42</v>
      </c>
      <c r="F2575" s="3">
        <f>DATE(2023,8,22)</f>
        <v>45160</v>
      </c>
      <c r="G2575" s="4">
        <f t="shared" si="247"/>
        <v>8</v>
      </c>
      <c r="H2575" s="4">
        <f t="shared" si="245"/>
        <v>2023</v>
      </c>
      <c r="I2575" s="2" t="s">
        <v>4</v>
      </c>
      <c r="J2575" s="2" t="s">
        <v>3417</v>
      </c>
      <c r="K2575" s="2" t="s">
        <v>16</v>
      </c>
      <c r="L2575" s="2" t="s">
        <v>7</v>
      </c>
      <c r="M2575" s="2" t="s">
        <v>8</v>
      </c>
      <c r="N2575" s="4" t="str">
        <f t="shared" si="248"/>
        <v>GAL</v>
      </c>
      <c r="O2575" s="5">
        <v>120</v>
      </c>
    </row>
    <row r="2576" spans="2:15" x14ac:dyDescent="0.25">
      <c r="B2576" s="1" t="s">
        <v>0</v>
      </c>
      <c r="C2576" s="2" t="s">
        <v>1</v>
      </c>
      <c r="D2576" s="2" t="s">
        <v>2</v>
      </c>
      <c r="E2576" s="2" t="s">
        <v>1784</v>
      </c>
      <c r="F2576" s="3">
        <f>DATE(2023,8,28)</f>
        <v>45166</v>
      </c>
      <c r="G2576" s="4">
        <f t="shared" si="247"/>
        <v>8</v>
      </c>
      <c r="H2576" s="4">
        <f t="shared" si="245"/>
        <v>2023</v>
      </c>
      <c r="I2576" s="2" t="s">
        <v>4</v>
      </c>
      <c r="J2576" s="2" t="s">
        <v>3418</v>
      </c>
      <c r="K2576" s="2" t="s">
        <v>1786</v>
      </c>
      <c r="L2576" s="2" t="s">
        <v>84</v>
      </c>
      <c r="M2576" s="2" t="s">
        <v>85</v>
      </c>
      <c r="N2576" s="4" t="str">
        <f t="shared" si="248"/>
        <v>GAL</v>
      </c>
      <c r="O2576" s="5">
        <v>55</v>
      </c>
    </row>
    <row r="2577" spans="2:15" x14ac:dyDescent="0.25">
      <c r="B2577" s="1" t="s">
        <v>0</v>
      </c>
      <c r="C2577" s="2" t="s">
        <v>1</v>
      </c>
      <c r="D2577" s="2" t="s">
        <v>2</v>
      </c>
      <c r="E2577" s="2" t="s">
        <v>1784</v>
      </c>
      <c r="F2577" s="3">
        <f>DATE(2023,8,28)</f>
        <v>45166</v>
      </c>
      <c r="G2577" s="4">
        <f t="shared" si="247"/>
        <v>8</v>
      </c>
      <c r="H2577" s="4">
        <f t="shared" si="245"/>
        <v>2023</v>
      </c>
      <c r="I2577" s="2" t="s">
        <v>4</v>
      </c>
      <c r="J2577" s="2" t="s">
        <v>3418</v>
      </c>
      <c r="K2577" s="2" t="s">
        <v>28</v>
      </c>
      <c r="L2577" s="2" t="s">
        <v>29</v>
      </c>
      <c r="M2577" s="2" t="s">
        <v>30</v>
      </c>
      <c r="N2577" s="4" t="str">
        <f t="shared" si="248"/>
        <v>GAL</v>
      </c>
      <c r="O2577" s="5">
        <v>30</v>
      </c>
    </row>
    <row r="2578" spans="2:15" x14ac:dyDescent="0.25">
      <c r="B2578" s="1" t="s">
        <v>0</v>
      </c>
      <c r="C2578" s="2" t="s">
        <v>1</v>
      </c>
      <c r="D2578" s="2" t="s">
        <v>2</v>
      </c>
      <c r="E2578" s="2" t="s">
        <v>1784</v>
      </c>
      <c r="F2578" s="3">
        <f>DATE(2023,8,28)</f>
        <v>45166</v>
      </c>
      <c r="G2578" s="4">
        <f t="shared" si="247"/>
        <v>8</v>
      </c>
      <c r="H2578" s="4">
        <f t="shared" si="245"/>
        <v>2023</v>
      </c>
      <c r="I2578" s="2" t="s">
        <v>4</v>
      </c>
      <c r="J2578" s="2" t="s">
        <v>3418</v>
      </c>
      <c r="K2578" s="2" t="s">
        <v>6</v>
      </c>
      <c r="L2578" s="2" t="s">
        <v>7</v>
      </c>
      <c r="M2578" s="2" t="s">
        <v>8</v>
      </c>
      <c r="N2578" s="4" t="str">
        <f t="shared" si="248"/>
        <v>GAL</v>
      </c>
      <c r="O2578" s="5">
        <v>55</v>
      </c>
    </row>
    <row r="2579" spans="2:15" x14ac:dyDescent="0.25">
      <c r="B2579" s="1" t="s">
        <v>88</v>
      </c>
      <c r="C2579" s="2" t="s">
        <v>89</v>
      </c>
      <c r="D2579" s="2" t="s">
        <v>1444</v>
      </c>
      <c r="E2579" s="2" t="s">
        <v>102</v>
      </c>
      <c r="F2579" s="3">
        <f>DATE(2023,8,2)</f>
        <v>45140</v>
      </c>
      <c r="G2579" s="4">
        <f t="shared" si="247"/>
        <v>8</v>
      </c>
      <c r="H2579" s="4">
        <f t="shared" si="245"/>
        <v>2023</v>
      </c>
      <c r="I2579" s="2" t="s">
        <v>4</v>
      </c>
      <c r="J2579" s="2" t="s">
        <v>3419</v>
      </c>
      <c r="K2579" s="2" t="s">
        <v>1446</v>
      </c>
      <c r="L2579" s="2" t="s">
        <v>2581</v>
      </c>
      <c r="M2579" s="2" t="s">
        <v>1448</v>
      </c>
      <c r="N2579" s="4" t="str">
        <f t="shared" si="248"/>
        <v>GAL</v>
      </c>
      <c r="O2579" s="5">
        <v>360</v>
      </c>
    </row>
    <row r="2580" spans="2:15" x14ac:dyDescent="0.25">
      <c r="B2580" s="1" t="s">
        <v>88</v>
      </c>
      <c r="C2580" s="2" t="s">
        <v>89</v>
      </c>
      <c r="D2580" s="2" t="s">
        <v>2887</v>
      </c>
      <c r="E2580" s="2" t="s">
        <v>102</v>
      </c>
      <c r="F2580" s="3">
        <f>DATE(2023,8,3)</f>
        <v>45141</v>
      </c>
      <c r="G2580" s="4">
        <f t="shared" si="247"/>
        <v>8</v>
      </c>
      <c r="H2580" s="4">
        <f t="shared" si="245"/>
        <v>2023</v>
      </c>
      <c r="I2580" s="2" t="s">
        <v>4</v>
      </c>
      <c r="J2580" s="2" t="s">
        <v>3420</v>
      </c>
      <c r="K2580" s="2" t="s">
        <v>3421</v>
      </c>
      <c r="L2580" s="2" t="s">
        <v>3422</v>
      </c>
      <c r="M2580" s="2" t="s">
        <v>3423</v>
      </c>
      <c r="N2580" s="4" t="str">
        <f t="shared" si="248"/>
        <v>GAL</v>
      </c>
      <c r="O2580" s="5">
        <v>180</v>
      </c>
    </row>
    <row r="2581" spans="2:15" x14ac:dyDescent="0.25">
      <c r="B2581" s="1" t="s">
        <v>88</v>
      </c>
      <c r="C2581" s="2" t="s">
        <v>89</v>
      </c>
      <c r="D2581" s="2" t="s">
        <v>146</v>
      </c>
      <c r="E2581" s="2" t="s">
        <v>147</v>
      </c>
      <c r="F2581" s="3">
        <f>DATE(2023,8,3)</f>
        <v>45141</v>
      </c>
      <c r="G2581" s="4">
        <f t="shared" si="247"/>
        <v>8</v>
      </c>
      <c r="H2581" s="4">
        <f t="shared" si="245"/>
        <v>2023</v>
      </c>
      <c r="I2581" s="2" t="s">
        <v>4</v>
      </c>
      <c r="J2581" s="2" t="s">
        <v>3424</v>
      </c>
      <c r="K2581" s="2" t="s">
        <v>609</v>
      </c>
      <c r="L2581" s="2" t="s">
        <v>610</v>
      </c>
      <c r="M2581" s="2" t="s">
        <v>611</v>
      </c>
      <c r="N2581" s="4" t="str">
        <f t="shared" si="248"/>
        <v>GAL</v>
      </c>
      <c r="O2581" s="5">
        <v>10</v>
      </c>
    </row>
    <row r="2582" spans="2:15" x14ac:dyDescent="0.25">
      <c r="B2582" s="1" t="s">
        <v>88</v>
      </c>
      <c r="C2582" s="2" t="s">
        <v>89</v>
      </c>
      <c r="D2582" s="2" t="s">
        <v>146</v>
      </c>
      <c r="E2582" s="2" t="s">
        <v>147</v>
      </c>
      <c r="F2582" s="3">
        <f>DATE(2023,8,3)</f>
        <v>45141</v>
      </c>
      <c r="G2582" s="4">
        <f t="shared" si="247"/>
        <v>8</v>
      </c>
      <c r="H2582" s="4">
        <f t="shared" si="245"/>
        <v>2023</v>
      </c>
      <c r="I2582" s="2" t="s">
        <v>4</v>
      </c>
      <c r="J2582" s="2" t="s">
        <v>3425</v>
      </c>
      <c r="K2582" s="2" t="s">
        <v>149</v>
      </c>
      <c r="L2582" s="2" t="s">
        <v>150</v>
      </c>
      <c r="M2582" s="2" t="s">
        <v>21</v>
      </c>
      <c r="N2582" s="4" t="str">
        <f t="shared" si="248"/>
        <v>GAL</v>
      </c>
      <c r="O2582" s="5">
        <v>15</v>
      </c>
    </row>
    <row r="2583" spans="2:15" x14ac:dyDescent="0.25">
      <c r="B2583" s="1" t="s">
        <v>88</v>
      </c>
      <c r="C2583" s="2" t="s">
        <v>89</v>
      </c>
      <c r="D2583" s="2" t="s">
        <v>616</v>
      </c>
      <c r="E2583" s="2" t="s">
        <v>617</v>
      </c>
      <c r="F2583" s="3">
        <f>DATE(2023,8,4)</f>
        <v>45142</v>
      </c>
      <c r="G2583" s="4">
        <f t="shared" si="247"/>
        <v>8</v>
      </c>
      <c r="H2583" s="4">
        <f t="shared" si="245"/>
        <v>2023</v>
      </c>
      <c r="I2583" s="2" t="s">
        <v>4</v>
      </c>
      <c r="J2583" s="2" t="s">
        <v>3426</v>
      </c>
      <c r="K2583" s="2" t="s">
        <v>3297</v>
      </c>
      <c r="L2583" s="2" t="s">
        <v>3298</v>
      </c>
      <c r="M2583" s="2" t="s">
        <v>3299</v>
      </c>
      <c r="N2583" s="4" t="str">
        <f t="shared" si="248"/>
        <v>GAL</v>
      </c>
      <c r="O2583" s="5">
        <v>25</v>
      </c>
    </row>
    <row r="2584" spans="2:15" x14ac:dyDescent="0.25">
      <c r="B2584" s="1" t="s">
        <v>88</v>
      </c>
      <c r="C2584" s="2" t="s">
        <v>89</v>
      </c>
      <c r="D2584" s="2" t="s">
        <v>1444</v>
      </c>
      <c r="E2584" s="2" t="s">
        <v>102</v>
      </c>
      <c r="F2584" s="3">
        <f>DATE(2023,8,4)</f>
        <v>45142</v>
      </c>
      <c r="G2584" s="4">
        <f t="shared" si="247"/>
        <v>8</v>
      </c>
      <c r="H2584" s="4">
        <f t="shared" si="245"/>
        <v>2023</v>
      </c>
      <c r="I2584" s="2" t="s">
        <v>4</v>
      </c>
      <c r="J2584" s="2" t="s">
        <v>3427</v>
      </c>
      <c r="K2584" s="2" t="s">
        <v>1446</v>
      </c>
      <c r="L2584" s="2" t="s">
        <v>2581</v>
      </c>
      <c r="M2584" s="2" t="s">
        <v>1448</v>
      </c>
      <c r="N2584" s="4" t="str">
        <f t="shared" si="248"/>
        <v>GAL</v>
      </c>
      <c r="O2584" s="5">
        <v>180</v>
      </c>
    </row>
    <row r="2585" spans="2:15" x14ac:dyDescent="0.25">
      <c r="B2585" s="1" t="s">
        <v>88</v>
      </c>
      <c r="C2585" s="2" t="s">
        <v>89</v>
      </c>
      <c r="D2585" s="2" t="s">
        <v>107</v>
      </c>
      <c r="E2585" s="2" t="s">
        <v>108</v>
      </c>
      <c r="F2585" s="3">
        <f>DATE(2023,8,10)</f>
        <v>45148</v>
      </c>
      <c r="G2585" s="4">
        <f t="shared" si="247"/>
        <v>8</v>
      </c>
      <c r="H2585" s="4">
        <f t="shared" si="245"/>
        <v>2023</v>
      </c>
      <c r="I2585" s="2" t="s">
        <v>4</v>
      </c>
      <c r="J2585" s="2" t="s">
        <v>3428</v>
      </c>
      <c r="K2585" s="2" t="s">
        <v>110</v>
      </c>
      <c r="L2585" s="2" t="s">
        <v>111</v>
      </c>
      <c r="M2585" s="2" t="s">
        <v>112</v>
      </c>
      <c r="N2585" s="4" t="str">
        <f t="shared" si="248"/>
        <v>GAL</v>
      </c>
      <c r="O2585" s="5">
        <v>350</v>
      </c>
    </row>
    <row r="2586" spans="2:15" x14ac:dyDescent="0.25">
      <c r="B2586" s="1" t="s">
        <v>88</v>
      </c>
      <c r="C2586" s="2" t="s">
        <v>89</v>
      </c>
      <c r="D2586" s="2" t="s">
        <v>124</v>
      </c>
      <c r="E2586" s="2" t="s">
        <v>124</v>
      </c>
      <c r="F2586" s="3">
        <f>DATE(2023,8,16)</f>
        <v>45154</v>
      </c>
      <c r="G2586" s="4">
        <f t="shared" si="247"/>
        <v>8</v>
      </c>
      <c r="H2586" s="4">
        <f t="shared" si="245"/>
        <v>2023</v>
      </c>
      <c r="I2586" s="2" t="s">
        <v>4</v>
      </c>
      <c r="J2586" s="2" t="s">
        <v>3429</v>
      </c>
      <c r="K2586" s="2" t="s">
        <v>126</v>
      </c>
      <c r="L2586" s="2" t="s">
        <v>127</v>
      </c>
      <c r="M2586" s="2" t="s">
        <v>106</v>
      </c>
      <c r="N2586" s="4" t="str">
        <f t="shared" si="248"/>
        <v>LBS</v>
      </c>
      <c r="O2586" s="5">
        <v>44580</v>
      </c>
    </row>
    <row r="2587" spans="2:15" x14ac:dyDescent="0.25">
      <c r="B2587" s="1" t="s">
        <v>88</v>
      </c>
      <c r="C2587" s="2" t="s">
        <v>89</v>
      </c>
      <c r="D2587" s="2" t="s">
        <v>3265</v>
      </c>
      <c r="E2587" s="2" t="s">
        <v>3266</v>
      </c>
      <c r="F2587" s="3">
        <f>DATE(2023,8,18)</f>
        <v>45156</v>
      </c>
      <c r="G2587" s="4">
        <f t="shared" si="247"/>
        <v>8</v>
      </c>
      <c r="H2587" s="4">
        <f t="shared" si="245"/>
        <v>2023</v>
      </c>
      <c r="I2587" s="2" t="s">
        <v>4</v>
      </c>
      <c r="J2587" s="2" t="s">
        <v>3430</v>
      </c>
      <c r="K2587" s="2" t="s">
        <v>3362</v>
      </c>
      <c r="L2587" s="2" t="s">
        <v>3363</v>
      </c>
      <c r="M2587" s="2" t="s">
        <v>3364</v>
      </c>
      <c r="N2587" s="4" t="str">
        <f t="shared" si="248"/>
        <v>GAL</v>
      </c>
      <c r="O2587" s="5">
        <v>150</v>
      </c>
    </row>
    <row r="2588" spans="2:15" x14ac:dyDescent="0.25">
      <c r="B2588" s="1" t="s">
        <v>88</v>
      </c>
      <c r="C2588" s="2" t="s">
        <v>89</v>
      </c>
      <c r="D2588" s="2" t="s">
        <v>628</v>
      </c>
      <c r="E2588" s="2" t="s">
        <v>629</v>
      </c>
      <c r="F2588" s="3">
        <f>DATE(2023,8,23)</f>
        <v>45161</v>
      </c>
      <c r="G2588" s="4">
        <f t="shared" si="247"/>
        <v>8</v>
      </c>
      <c r="H2588" s="4">
        <f t="shared" si="245"/>
        <v>2023</v>
      </c>
      <c r="I2588" s="2" t="s">
        <v>4</v>
      </c>
      <c r="J2588" s="2" t="s">
        <v>3431</v>
      </c>
      <c r="K2588" s="2" t="s">
        <v>1041</v>
      </c>
      <c r="L2588" s="2" t="s">
        <v>1042</v>
      </c>
      <c r="M2588" s="2" t="s">
        <v>106</v>
      </c>
      <c r="N2588" s="4" t="str">
        <f t="shared" si="248"/>
        <v>LBS</v>
      </c>
      <c r="O2588" s="5">
        <v>800</v>
      </c>
    </row>
    <row r="2589" spans="2:15" x14ac:dyDescent="0.25">
      <c r="B2589" s="1" t="s">
        <v>88</v>
      </c>
      <c r="C2589" s="2" t="s">
        <v>89</v>
      </c>
      <c r="D2589" s="2" t="s">
        <v>616</v>
      </c>
      <c r="E2589" s="2" t="s">
        <v>3432</v>
      </c>
      <c r="F2589" s="3">
        <f>DATE(2023,8,31)</f>
        <v>45169</v>
      </c>
      <c r="G2589" s="4">
        <f t="shared" si="247"/>
        <v>8</v>
      </c>
      <c r="H2589" s="4">
        <f t="shared" si="245"/>
        <v>2023</v>
      </c>
      <c r="I2589" s="2" t="s">
        <v>4</v>
      </c>
      <c r="J2589" s="2" t="s">
        <v>3433</v>
      </c>
      <c r="K2589" s="2" t="s">
        <v>69</v>
      </c>
      <c r="L2589" s="2" t="s">
        <v>565</v>
      </c>
      <c r="M2589" s="2" t="s">
        <v>21</v>
      </c>
      <c r="N2589" s="4" t="str">
        <f t="shared" si="248"/>
        <v>GAL</v>
      </c>
      <c r="O2589" s="5">
        <v>60</v>
      </c>
    </row>
    <row r="2590" spans="2:15" x14ac:dyDescent="0.25">
      <c r="B2590" s="1" t="s">
        <v>88</v>
      </c>
      <c r="C2590" s="2" t="s">
        <v>89</v>
      </c>
      <c r="D2590" s="2" t="s">
        <v>616</v>
      </c>
      <c r="E2590" s="2" t="s">
        <v>2215</v>
      </c>
      <c r="F2590" s="3">
        <f>DATE(2023,8,31)</f>
        <v>45169</v>
      </c>
      <c r="G2590" s="4">
        <f t="shared" si="247"/>
        <v>8</v>
      </c>
      <c r="H2590" s="4">
        <f t="shared" si="245"/>
        <v>2023</v>
      </c>
      <c r="I2590" s="2" t="s">
        <v>4</v>
      </c>
      <c r="J2590" s="2" t="s">
        <v>3434</v>
      </c>
      <c r="K2590" s="2" t="s">
        <v>83</v>
      </c>
      <c r="L2590" s="2" t="s">
        <v>518</v>
      </c>
      <c r="M2590" s="2" t="s">
        <v>85</v>
      </c>
      <c r="N2590" s="4" t="str">
        <f t="shared" si="248"/>
        <v>GAL</v>
      </c>
      <c r="O2590" s="5">
        <v>25</v>
      </c>
    </row>
    <row r="2591" spans="2:15" x14ac:dyDescent="0.25">
      <c r="B2591" s="1" t="s">
        <v>88</v>
      </c>
      <c r="C2591" s="2" t="s">
        <v>89</v>
      </c>
      <c r="D2591" s="2" t="s">
        <v>616</v>
      </c>
      <c r="E2591" s="2" t="s">
        <v>2215</v>
      </c>
      <c r="F2591" s="3">
        <f>DATE(2023,8,31)</f>
        <v>45169</v>
      </c>
      <c r="G2591" s="4">
        <f t="shared" si="247"/>
        <v>8</v>
      </c>
      <c r="H2591" s="4">
        <f t="shared" si="245"/>
        <v>2023</v>
      </c>
      <c r="I2591" s="2" t="s">
        <v>4</v>
      </c>
      <c r="J2591" s="2" t="s">
        <v>3434</v>
      </c>
      <c r="K2591" s="2" t="s">
        <v>3297</v>
      </c>
      <c r="L2591" s="2" t="s">
        <v>3298</v>
      </c>
      <c r="M2591" s="2" t="s">
        <v>3299</v>
      </c>
      <c r="N2591" s="4" t="str">
        <f t="shared" si="248"/>
        <v>GAL</v>
      </c>
      <c r="O2591" s="5">
        <v>25</v>
      </c>
    </row>
    <row r="2592" spans="2:15" x14ac:dyDescent="0.25">
      <c r="B2592" s="1" t="s">
        <v>154</v>
      </c>
      <c r="C2592" s="2" t="s">
        <v>155</v>
      </c>
      <c r="D2592" s="2" t="s">
        <v>167</v>
      </c>
      <c r="E2592" s="2" t="s">
        <v>168</v>
      </c>
      <c r="F2592" s="3">
        <f>DATE(2023,8,2)</f>
        <v>45140</v>
      </c>
      <c r="G2592" s="4">
        <f t="shared" si="247"/>
        <v>8</v>
      </c>
      <c r="H2592" s="4">
        <f t="shared" si="245"/>
        <v>2023</v>
      </c>
      <c r="I2592" s="2" t="s">
        <v>4</v>
      </c>
      <c r="J2592" s="2" t="s">
        <v>3435</v>
      </c>
      <c r="K2592" s="2" t="s">
        <v>3436</v>
      </c>
      <c r="L2592" s="2" t="s">
        <v>3437</v>
      </c>
      <c r="M2592" s="2" t="s">
        <v>67</v>
      </c>
      <c r="N2592" s="4" t="str">
        <f t="shared" si="248"/>
        <v>GAL</v>
      </c>
      <c r="O2592" s="5">
        <v>500</v>
      </c>
    </row>
    <row r="2593" spans="2:15" x14ac:dyDescent="0.25">
      <c r="B2593" s="1" t="s">
        <v>154</v>
      </c>
      <c r="C2593" s="2" t="s">
        <v>155</v>
      </c>
      <c r="D2593" s="2" t="s">
        <v>161</v>
      </c>
      <c r="E2593" s="2" t="s">
        <v>162</v>
      </c>
      <c r="F2593" s="3">
        <f>DATE(2023,8,2)</f>
        <v>45140</v>
      </c>
      <c r="G2593" s="4">
        <f t="shared" si="247"/>
        <v>8</v>
      </c>
      <c r="H2593" s="4">
        <f t="shared" si="245"/>
        <v>2023</v>
      </c>
      <c r="I2593" s="2" t="s">
        <v>4</v>
      </c>
      <c r="J2593" s="2" t="s">
        <v>3438</v>
      </c>
      <c r="K2593" s="2" t="s">
        <v>185</v>
      </c>
      <c r="L2593" s="2" t="s">
        <v>165</v>
      </c>
      <c r="M2593" s="2" t="s">
        <v>166</v>
      </c>
      <c r="N2593" s="4" t="str">
        <f t="shared" si="248"/>
        <v>GAL</v>
      </c>
      <c r="O2593" s="5">
        <v>500</v>
      </c>
    </row>
    <row r="2594" spans="2:15" x14ac:dyDescent="0.25">
      <c r="B2594" s="1" t="s">
        <v>154</v>
      </c>
      <c r="C2594" s="2" t="s">
        <v>155</v>
      </c>
      <c r="D2594" s="2" t="s">
        <v>161</v>
      </c>
      <c r="E2594" s="2" t="s">
        <v>162</v>
      </c>
      <c r="F2594" s="3">
        <f>DATE(2023,8,2)</f>
        <v>45140</v>
      </c>
      <c r="G2594" s="4">
        <f t="shared" si="247"/>
        <v>8</v>
      </c>
      <c r="H2594" s="4">
        <f t="shared" si="245"/>
        <v>2023</v>
      </c>
      <c r="I2594" s="2" t="s">
        <v>4</v>
      </c>
      <c r="J2594" s="2" t="s">
        <v>3438</v>
      </c>
      <c r="K2594" s="2" t="s">
        <v>164</v>
      </c>
      <c r="L2594" s="2" t="s">
        <v>165</v>
      </c>
      <c r="M2594" s="2" t="s">
        <v>166</v>
      </c>
      <c r="N2594" s="4" t="str">
        <f t="shared" si="248"/>
        <v>GAL</v>
      </c>
      <c r="O2594" s="5">
        <v>180</v>
      </c>
    </row>
    <row r="2595" spans="2:15" x14ac:dyDescent="0.25">
      <c r="B2595" s="1" t="s">
        <v>154</v>
      </c>
      <c r="C2595" s="2" t="s">
        <v>155</v>
      </c>
      <c r="D2595" s="2" t="s">
        <v>161</v>
      </c>
      <c r="E2595" s="2" t="s">
        <v>162</v>
      </c>
      <c r="F2595" s="3">
        <f>DATE(2023,8,7)</f>
        <v>45145</v>
      </c>
      <c r="G2595" s="4">
        <f t="shared" si="247"/>
        <v>8</v>
      </c>
      <c r="H2595" s="4">
        <f t="shared" si="245"/>
        <v>2023</v>
      </c>
      <c r="I2595" s="2" t="s">
        <v>4</v>
      </c>
      <c r="J2595" s="2" t="s">
        <v>3439</v>
      </c>
      <c r="K2595" s="2" t="s">
        <v>164</v>
      </c>
      <c r="L2595" s="2" t="s">
        <v>165</v>
      </c>
      <c r="M2595" s="2" t="s">
        <v>166</v>
      </c>
      <c r="N2595" s="4" t="str">
        <f t="shared" si="248"/>
        <v>GAL</v>
      </c>
      <c r="O2595" s="5">
        <v>360</v>
      </c>
    </row>
    <row r="2596" spans="2:15" x14ac:dyDescent="0.25">
      <c r="B2596" s="1" t="s">
        <v>154</v>
      </c>
      <c r="C2596" s="2" t="s">
        <v>155</v>
      </c>
      <c r="D2596" s="2" t="s">
        <v>628</v>
      </c>
      <c r="E2596" s="2" t="s">
        <v>2488</v>
      </c>
      <c r="F2596" s="3">
        <f>DATE(2023,8,9)</f>
        <v>45147</v>
      </c>
      <c r="G2596" s="4">
        <f t="shared" si="247"/>
        <v>8</v>
      </c>
      <c r="H2596" s="4">
        <f t="shared" si="245"/>
        <v>2023</v>
      </c>
      <c r="I2596" s="2" t="s">
        <v>4</v>
      </c>
      <c r="J2596" s="2" t="s">
        <v>3440</v>
      </c>
      <c r="K2596" s="2" t="s">
        <v>551</v>
      </c>
      <c r="L2596" s="2" t="s">
        <v>2426</v>
      </c>
      <c r="M2596" s="2" t="s">
        <v>553</v>
      </c>
      <c r="N2596" s="4" t="str">
        <f t="shared" si="248"/>
        <v>GAL</v>
      </c>
      <c r="O2596" s="5">
        <v>35</v>
      </c>
    </row>
    <row r="2597" spans="2:15" x14ac:dyDescent="0.25">
      <c r="B2597" s="1" t="s">
        <v>154</v>
      </c>
      <c r="C2597" s="2" t="s">
        <v>155</v>
      </c>
      <c r="D2597" s="2" t="s">
        <v>167</v>
      </c>
      <c r="E2597" s="2" t="s">
        <v>168</v>
      </c>
      <c r="F2597" s="3">
        <f>DATE(2023,8,14)</f>
        <v>45152</v>
      </c>
      <c r="G2597" s="4">
        <f t="shared" si="247"/>
        <v>8</v>
      </c>
      <c r="H2597" s="4">
        <f t="shared" si="245"/>
        <v>2023</v>
      </c>
      <c r="I2597" s="2" t="s">
        <v>4</v>
      </c>
      <c r="J2597" s="2" t="s">
        <v>3441</v>
      </c>
      <c r="K2597" s="2" t="s">
        <v>171</v>
      </c>
      <c r="L2597" s="2" t="s">
        <v>172</v>
      </c>
      <c r="M2597" s="2" t="s">
        <v>27</v>
      </c>
      <c r="N2597" s="4" t="str">
        <f t="shared" si="248"/>
        <v>GAL</v>
      </c>
      <c r="O2597" s="5">
        <v>180</v>
      </c>
    </row>
    <row r="2598" spans="2:15" x14ac:dyDescent="0.25">
      <c r="B2598" s="1" t="s">
        <v>154</v>
      </c>
      <c r="C2598" s="2" t="s">
        <v>155</v>
      </c>
      <c r="D2598" s="2" t="s">
        <v>107</v>
      </c>
      <c r="E2598" s="2" t="s">
        <v>108</v>
      </c>
      <c r="F2598" s="3">
        <f>DATE(2023,8,14)</f>
        <v>45152</v>
      </c>
      <c r="G2598" s="4">
        <f t="shared" si="247"/>
        <v>8</v>
      </c>
      <c r="H2598" s="4">
        <f t="shared" si="245"/>
        <v>2023</v>
      </c>
      <c r="I2598" s="2" t="s">
        <v>4</v>
      </c>
      <c r="J2598" s="2" t="s">
        <v>3442</v>
      </c>
      <c r="K2598" s="2" t="s">
        <v>1502</v>
      </c>
      <c r="L2598" s="2" t="s">
        <v>1503</v>
      </c>
      <c r="M2598" s="2" t="s">
        <v>8</v>
      </c>
      <c r="N2598" s="4" t="str">
        <f t="shared" si="248"/>
        <v>GAL</v>
      </c>
      <c r="O2598" s="5">
        <v>90</v>
      </c>
    </row>
    <row r="2599" spans="2:15" x14ac:dyDescent="0.25">
      <c r="B2599" s="1" t="s">
        <v>154</v>
      </c>
      <c r="C2599" s="2" t="s">
        <v>155</v>
      </c>
      <c r="D2599" s="2" t="s">
        <v>628</v>
      </c>
      <c r="E2599" s="2" t="s">
        <v>629</v>
      </c>
      <c r="F2599" s="3">
        <f>DATE(2023,8,17)</f>
        <v>45155</v>
      </c>
      <c r="G2599" s="4">
        <f t="shared" si="247"/>
        <v>8</v>
      </c>
      <c r="H2599" s="4">
        <f t="shared" si="245"/>
        <v>2023</v>
      </c>
      <c r="I2599" s="2" t="s">
        <v>4</v>
      </c>
      <c r="J2599" s="2" t="s">
        <v>3443</v>
      </c>
      <c r="K2599" s="2" t="s">
        <v>631</v>
      </c>
      <c r="L2599" s="2" t="s">
        <v>632</v>
      </c>
      <c r="M2599" s="2" t="s">
        <v>633</v>
      </c>
      <c r="N2599" s="4" t="str">
        <f t="shared" si="248"/>
        <v>GAL</v>
      </c>
      <c r="O2599" s="5">
        <v>1750</v>
      </c>
    </row>
    <row r="2600" spans="2:15" x14ac:dyDescent="0.25">
      <c r="B2600" s="1" t="s">
        <v>154</v>
      </c>
      <c r="C2600" s="2" t="s">
        <v>155</v>
      </c>
      <c r="D2600" s="2" t="s">
        <v>628</v>
      </c>
      <c r="E2600" s="2" t="s">
        <v>629</v>
      </c>
      <c r="F2600" s="3">
        <f>DATE(2023,8,17)</f>
        <v>45155</v>
      </c>
      <c r="G2600" s="4">
        <f t="shared" si="247"/>
        <v>8</v>
      </c>
      <c r="H2600" s="4">
        <f t="shared" si="245"/>
        <v>2023</v>
      </c>
      <c r="I2600" s="2" t="s">
        <v>4</v>
      </c>
      <c r="J2600" s="2" t="s">
        <v>3443</v>
      </c>
      <c r="K2600" s="2" t="s">
        <v>3150</v>
      </c>
      <c r="L2600" s="2" t="s">
        <v>1023</v>
      </c>
      <c r="M2600" s="2" t="s">
        <v>1024</v>
      </c>
      <c r="N2600" s="4" t="str">
        <f t="shared" si="248"/>
        <v>GAL</v>
      </c>
      <c r="O2600" s="5">
        <v>30</v>
      </c>
    </row>
    <row r="2601" spans="2:15" x14ac:dyDescent="0.25">
      <c r="B2601" s="1" t="s">
        <v>154</v>
      </c>
      <c r="C2601" s="2" t="s">
        <v>155</v>
      </c>
      <c r="D2601" s="2" t="s">
        <v>178</v>
      </c>
      <c r="E2601" s="2" t="s">
        <v>179</v>
      </c>
      <c r="F2601" s="3">
        <f>DATE(2023,8,18)</f>
        <v>45156</v>
      </c>
      <c r="G2601" s="4">
        <f t="shared" si="247"/>
        <v>8</v>
      </c>
      <c r="H2601" s="4">
        <f t="shared" si="245"/>
        <v>2023</v>
      </c>
      <c r="I2601" s="2" t="s">
        <v>4</v>
      </c>
      <c r="J2601" s="2" t="s">
        <v>3444</v>
      </c>
      <c r="K2601" s="2" t="s">
        <v>164</v>
      </c>
      <c r="L2601" s="2" t="s">
        <v>165</v>
      </c>
      <c r="M2601" s="2" t="s">
        <v>166</v>
      </c>
      <c r="N2601" s="4" t="str">
        <f t="shared" si="248"/>
        <v>GAL</v>
      </c>
      <c r="O2601" s="5">
        <v>180</v>
      </c>
    </row>
    <row r="2602" spans="2:15" x14ac:dyDescent="0.25">
      <c r="B2602" s="1" t="s">
        <v>154</v>
      </c>
      <c r="C2602" s="2" t="s">
        <v>155</v>
      </c>
      <c r="D2602" s="2" t="s">
        <v>628</v>
      </c>
      <c r="E2602" s="2" t="s">
        <v>629</v>
      </c>
      <c r="F2602" s="3">
        <f>DATE(2023,8,23)</f>
        <v>45161</v>
      </c>
      <c r="G2602" s="4">
        <f t="shared" si="247"/>
        <v>8</v>
      </c>
      <c r="H2602" s="4">
        <f t="shared" si="245"/>
        <v>2023</v>
      </c>
      <c r="I2602" s="2" t="s">
        <v>4</v>
      </c>
      <c r="J2602" s="2" t="s">
        <v>3445</v>
      </c>
      <c r="K2602" s="2" t="s">
        <v>631</v>
      </c>
      <c r="L2602" s="2" t="s">
        <v>632</v>
      </c>
      <c r="M2602" s="2" t="s">
        <v>633</v>
      </c>
      <c r="N2602" s="4" t="str">
        <f t="shared" si="248"/>
        <v>GAL</v>
      </c>
      <c r="O2602" s="5">
        <v>1000</v>
      </c>
    </row>
    <row r="2603" spans="2:15" x14ac:dyDescent="0.25">
      <c r="B2603" s="1" t="s">
        <v>154</v>
      </c>
      <c r="C2603" s="2" t="s">
        <v>155</v>
      </c>
      <c r="D2603" s="2" t="s">
        <v>167</v>
      </c>
      <c r="E2603" s="2" t="s">
        <v>168</v>
      </c>
      <c r="F2603" s="3">
        <f>DATE(2023,8,25)</f>
        <v>45163</v>
      </c>
      <c r="G2603" s="4">
        <f t="shared" si="247"/>
        <v>8</v>
      </c>
      <c r="H2603" s="4">
        <f t="shared" si="245"/>
        <v>2023</v>
      </c>
      <c r="I2603" s="2" t="s">
        <v>4</v>
      </c>
      <c r="J2603" s="2" t="s">
        <v>3446</v>
      </c>
      <c r="K2603" s="2" t="s">
        <v>164</v>
      </c>
      <c r="L2603" s="2" t="s">
        <v>165</v>
      </c>
      <c r="M2603" s="2" t="s">
        <v>166</v>
      </c>
      <c r="N2603" s="4" t="str">
        <f t="shared" si="248"/>
        <v>GAL</v>
      </c>
      <c r="O2603" s="5">
        <v>60</v>
      </c>
    </row>
    <row r="2604" spans="2:15" x14ac:dyDescent="0.25">
      <c r="B2604" s="1" t="s">
        <v>154</v>
      </c>
      <c r="C2604" s="2" t="s">
        <v>155</v>
      </c>
      <c r="D2604" s="2" t="s">
        <v>167</v>
      </c>
      <c r="E2604" s="2" t="s">
        <v>168</v>
      </c>
      <c r="F2604" s="3">
        <f>DATE(2023,8,29)</f>
        <v>45167</v>
      </c>
      <c r="G2604" s="4">
        <f t="shared" si="247"/>
        <v>8</v>
      </c>
      <c r="H2604" s="4">
        <f t="shared" si="245"/>
        <v>2023</v>
      </c>
      <c r="I2604" s="2" t="s">
        <v>4</v>
      </c>
      <c r="J2604" s="2" t="s">
        <v>3447</v>
      </c>
      <c r="K2604" s="2" t="s">
        <v>1853</v>
      </c>
      <c r="L2604" s="2" t="s">
        <v>1854</v>
      </c>
      <c r="M2604" s="2" t="s">
        <v>1816</v>
      </c>
      <c r="N2604" s="4" t="str">
        <f t="shared" si="248"/>
        <v>GAL</v>
      </c>
      <c r="O2604" s="5">
        <v>180</v>
      </c>
    </row>
    <row r="2605" spans="2:15" x14ac:dyDescent="0.25">
      <c r="B2605" s="1" t="s">
        <v>1520</v>
      </c>
      <c r="C2605" s="2" t="s">
        <v>196</v>
      </c>
      <c r="D2605" s="2" t="s">
        <v>294</v>
      </c>
      <c r="E2605" s="2" t="s">
        <v>295</v>
      </c>
      <c r="F2605" s="3">
        <f>DATE(2023,8,1)</f>
        <v>45139</v>
      </c>
      <c r="G2605" s="4">
        <f t="shared" si="247"/>
        <v>8</v>
      </c>
      <c r="H2605" s="4">
        <f t="shared" si="245"/>
        <v>2023</v>
      </c>
      <c r="I2605" s="2" t="s">
        <v>4</v>
      </c>
      <c r="J2605" s="2" t="s">
        <v>3448</v>
      </c>
      <c r="K2605" s="2" t="s">
        <v>122</v>
      </c>
      <c r="L2605" s="2" t="s">
        <v>123</v>
      </c>
      <c r="M2605" s="2" t="s">
        <v>119</v>
      </c>
      <c r="N2605" s="4" t="str">
        <f t="shared" si="248"/>
        <v>TON</v>
      </c>
      <c r="O2605" s="5">
        <v>7.5</v>
      </c>
    </row>
    <row r="2606" spans="2:15" x14ac:dyDescent="0.25">
      <c r="B2606" s="6" t="s">
        <v>1520</v>
      </c>
      <c r="C2606" s="7" t="s">
        <v>196</v>
      </c>
      <c r="D2606" s="8" t="s">
        <v>253</v>
      </c>
      <c r="E2606" s="8" t="s">
        <v>922</v>
      </c>
      <c r="F2606" s="9">
        <f>DATE(2023,8,1)</f>
        <v>45139</v>
      </c>
      <c r="G2606" s="10">
        <f t="shared" si="247"/>
        <v>8</v>
      </c>
      <c r="H2606" s="10">
        <f t="shared" si="245"/>
        <v>2023</v>
      </c>
      <c r="I2606" s="8" t="s">
        <v>4</v>
      </c>
      <c r="J2606" s="7" t="s">
        <v>3449</v>
      </c>
      <c r="K2606" s="8" t="s">
        <v>924</v>
      </c>
      <c r="L2606" s="8" t="s">
        <v>925</v>
      </c>
      <c r="M2606" s="8" t="s">
        <v>119</v>
      </c>
      <c r="N2606" s="10" t="str">
        <f t="shared" si="248"/>
        <v>TON</v>
      </c>
      <c r="O2606" s="11">
        <v>1.0049999999999999</v>
      </c>
    </row>
    <row r="2607" spans="2:15" x14ac:dyDescent="0.25">
      <c r="B2607" s="1" t="s">
        <v>1520</v>
      </c>
      <c r="C2607" s="2" t="s">
        <v>196</v>
      </c>
      <c r="D2607" s="2" t="s">
        <v>253</v>
      </c>
      <c r="E2607" s="2" t="s">
        <v>922</v>
      </c>
      <c r="F2607" s="3">
        <f>DATE(2023,8,1)</f>
        <v>45139</v>
      </c>
      <c r="G2607" s="4">
        <f t="shared" si="247"/>
        <v>8</v>
      </c>
      <c r="H2607" s="4">
        <f t="shared" si="245"/>
        <v>2023</v>
      </c>
      <c r="I2607" s="2" t="s">
        <v>4</v>
      </c>
      <c r="J2607" s="2" t="s">
        <v>3449</v>
      </c>
      <c r="K2607" s="2" t="s">
        <v>143</v>
      </c>
      <c r="L2607" s="2" t="s">
        <v>926</v>
      </c>
      <c r="M2607" s="2" t="s">
        <v>145</v>
      </c>
      <c r="N2607" s="4" t="str">
        <f t="shared" si="248"/>
        <v>GAL</v>
      </c>
      <c r="O2607" s="5">
        <v>200</v>
      </c>
    </row>
    <row r="2608" spans="2:15" x14ac:dyDescent="0.25">
      <c r="B2608" s="1" t="s">
        <v>1520</v>
      </c>
      <c r="C2608" s="2" t="s">
        <v>196</v>
      </c>
      <c r="D2608" s="2" t="s">
        <v>3450</v>
      </c>
      <c r="E2608" s="2" t="s">
        <v>91</v>
      </c>
      <c r="F2608" s="3">
        <f>DATE(2023,8,3)</f>
        <v>45141</v>
      </c>
      <c r="G2608" s="4">
        <f t="shared" si="247"/>
        <v>8</v>
      </c>
      <c r="H2608" s="4">
        <f t="shared" si="245"/>
        <v>2023</v>
      </c>
      <c r="I2608" s="2" t="s">
        <v>4</v>
      </c>
      <c r="J2608" s="2" t="s">
        <v>3451</v>
      </c>
      <c r="K2608" s="2" t="s">
        <v>25</v>
      </c>
      <c r="L2608" s="2" t="s">
        <v>541</v>
      </c>
      <c r="M2608" s="2" t="s">
        <v>27</v>
      </c>
      <c r="N2608" s="4" t="str">
        <f t="shared" si="248"/>
        <v>GAL</v>
      </c>
      <c r="O2608" s="5">
        <v>5</v>
      </c>
    </row>
    <row r="2609" spans="2:15" x14ac:dyDescent="0.25">
      <c r="B2609" s="1" t="s">
        <v>1520</v>
      </c>
      <c r="C2609" s="2" t="s">
        <v>196</v>
      </c>
      <c r="D2609" s="2" t="s">
        <v>3450</v>
      </c>
      <c r="E2609" s="2" t="s">
        <v>91</v>
      </c>
      <c r="F2609" s="3">
        <f>DATE(2023,8,7)</f>
        <v>45145</v>
      </c>
      <c r="G2609" s="4">
        <f t="shared" si="247"/>
        <v>8</v>
      </c>
      <c r="H2609" s="4">
        <f t="shared" si="245"/>
        <v>2023</v>
      </c>
      <c r="I2609" s="2" t="s">
        <v>4</v>
      </c>
      <c r="J2609" s="2" t="s">
        <v>3452</v>
      </c>
      <c r="K2609" s="2" t="s">
        <v>25</v>
      </c>
      <c r="L2609" s="2" t="s">
        <v>3453</v>
      </c>
      <c r="M2609" s="2" t="s">
        <v>27</v>
      </c>
      <c r="N2609" s="4" t="str">
        <f t="shared" si="248"/>
        <v>GAL</v>
      </c>
      <c r="O2609" s="5">
        <v>5</v>
      </c>
    </row>
    <row r="2610" spans="2:15" x14ac:dyDescent="0.25">
      <c r="B2610" s="6" t="s">
        <v>1520</v>
      </c>
      <c r="C2610" s="7" t="s">
        <v>196</v>
      </c>
      <c r="D2610" s="8" t="s">
        <v>207</v>
      </c>
      <c r="E2610" s="8" t="s">
        <v>208</v>
      </c>
      <c r="F2610" s="9">
        <f>DATE(2023,8,8)</f>
        <v>45146</v>
      </c>
      <c r="G2610" s="10">
        <f t="shared" si="247"/>
        <v>8</v>
      </c>
      <c r="H2610" s="10">
        <f t="shared" si="245"/>
        <v>2023</v>
      </c>
      <c r="I2610" s="8" t="s">
        <v>4</v>
      </c>
      <c r="J2610" s="7" t="s">
        <v>3454</v>
      </c>
      <c r="K2610" s="8" t="s">
        <v>3455</v>
      </c>
      <c r="L2610" s="8" t="s">
        <v>3456</v>
      </c>
      <c r="M2610" s="8" t="s">
        <v>119</v>
      </c>
      <c r="N2610" s="10" t="str">
        <f t="shared" si="248"/>
        <v>TON</v>
      </c>
      <c r="O2610" s="11">
        <v>2.5024999999999999</v>
      </c>
    </row>
    <row r="2611" spans="2:15" x14ac:dyDescent="0.25">
      <c r="B2611" s="1" t="s">
        <v>1520</v>
      </c>
      <c r="C2611" s="2" t="s">
        <v>196</v>
      </c>
      <c r="D2611" s="2" t="s">
        <v>241</v>
      </c>
      <c r="E2611" s="2" t="s">
        <v>258</v>
      </c>
      <c r="F2611" s="3">
        <f>DATE(2023,8,14)</f>
        <v>45152</v>
      </c>
      <c r="G2611" s="4">
        <f t="shared" si="247"/>
        <v>8</v>
      </c>
      <c r="H2611" s="4">
        <f t="shared" si="245"/>
        <v>2023</v>
      </c>
      <c r="I2611" s="2" t="s">
        <v>4</v>
      </c>
      <c r="J2611" s="2" t="s">
        <v>3457</v>
      </c>
      <c r="K2611" s="2" t="s">
        <v>3458</v>
      </c>
      <c r="L2611" s="2" t="s">
        <v>3459</v>
      </c>
      <c r="M2611" s="2" t="s">
        <v>119</v>
      </c>
      <c r="N2611" s="4" t="str">
        <f t="shared" si="248"/>
        <v>TON</v>
      </c>
      <c r="O2611" s="5">
        <v>2.25</v>
      </c>
    </row>
    <row r="2612" spans="2:15" x14ac:dyDescent="0.25">
      <c r="B2612" s="1" t="s">
        <v>1520</v>
      </c>
      <c r="C2612" s="2" t="s">
        <v>196</v>
      </c>
      <c r="D2612" s="2" t="s">
        <v>241</v>
      </c>
      <c r="E2612" s="2" t="s">
        <v>242</v>
      </c>
      <c r="F2612" s="3">
        <f>DATE(2023,8,16)</f>
        <v>45154</v>
      </c>
      <c r="G2612" s="4">
        <f t="shared" si="247"/>
        <v>8</v>
      </c>
      <c r="H2612" s="4">
        <f t="shared" si="245"/>
        <v>2023</v>
      </c>
      <c r="I2612" s="2" t="s">
        <v>4</v>
      </c>
      <c r="J2612" s="2" t="s">
        <v>3460</v>
      </c>
      <c r="K2612" s="2" t="s">
        <v>3461</v>
      </c>
      <c r="L2612" s="2" t="s">
        <v>3462</v>
      </c>
      <c r="M2612" s="2" t="s">
        <v>3251</v>
      </c>
      <c r="N2612" s="4" t="str">
        <f t="shared" si="248"/>
        <v>GAL</v>
      </c>
      <c r="O2612" s="5">
        <v>10</v>
      </c>
    </row>
    <row r="2613" spans="2:15" x14ac:dyDescent="0.25">
      <c r="B2613" s="1" t="s">
        <v>1520</v>
      </c>
      <c r="C2613" s="2" t="s">
        <v>196</v>
      </c>
      <c r="D2613" s="2" t="s">
        <v>294</v>
      </c>
      <c r="E2613" s="2" t="s">
        <v>295</v>
      </c>
      <c r="F2613" s="3">
        <f>DATE(2023,8,17)</f>
        <v>45155</v>
      </c>
      <c r="G2613" s="4">
        <f t="shared" si="247"/>
        <v>8</v>
      </c>
      <c r="H2613" s="4">
        <f t="shared" si="245"/>
        <v>2023</v>
      </c>
      <c r="I2613" s="2" t="s">
        <v>4</v>
      </c>
      <c r="J2613" s="2" t="s">
        <v>3463</v>
      </c>
      <c r="K2613" s="2" t="s">
        <v>122</v>
      </c>
      <c r="L2613" s="2" t="s">
        <v>123</v>
      </c>
      <c r="M2613" s="2" t="s">
        <v>119</v>
      </c>
      <c r="N2613" s="4" t="str">
        <f t="shared" si="248"/>
        <v>TON</v>
      </c>
      <c r="O2613" s="5">
        <v>7.4950000000000001</v>
      </c>
    </row>
    <row r="2614" spans="2:15" x14ac:dyDescent="0.25">
      <c r="B2614" s="1" t="s">
        <v>1520</v>
      </c>
      <c r="C2614" s="2" t="s">
        <v>196</v>
      </c>
      <c r="D2614" s="2" t="s">
        <v>265</v>
      </c>
      <c r="E2614" s="2" t="s">
        <v>266</v>
      </c>
      <c r="F2614" s="3">
        <f>DATE(2023,8,21)</f>
        <v>45159</v>
      </c>
      <c r="G2614" s="4">
        <f t="shared" si="247"/>
        <v>8</v>
      </c>
      <c r="H2614" s="4">
        <f t="shared" si="245"/>
        <v>2023</v>
      </c>
      <c r="I2614" s="2" t="s">
        <v>4</v>
      </c>
      <c r="J2614" s="2" t="s">
        <v>3464</v>
      </c>
      <c r="K2614" s="2" t="s">
        <v>268</v>
      </c>
      <c r="L2614" s="2" t="s">
        <v>269</v>
      </c>
      <c r="M2614" s="2" t="s">
        <v>119</v>
      </c>
      <c r="N2614" s="4" t="str">
        <f t="shared" si="248"/>
        <v>TON</v>
      </c>
      <c r="O2614" s="5">
        <v>0.15</v>
      </c>
    </row>
    <row r="2615" spans="2:15" x14ac:dyDescent="0.25">
      <c r="B2615" s="1" t="s">
        <v>1520</v>
      </c>
      <c r="C2615" s="2" t="s">
        <v>196</v>
      </c>
      <c r="D2615" s="2" t="s">
        <v>241</v>
      </c>
      <c r="E2615" s="2" t="s">
        <v>242</v>
      </c>
      <c r="F2615" s="3">
        <f>DATE(2023,8,24)</f>
        <v>45162</v>
      </c>
      <c r="G2615" s="4">
        <f t="shared" si="247"/>
        <v>8</v>
      </c>
      <c r="H2615" s="4">
        <f t="shared" si="245"/>
        <v>2023</v>
      </c>
      <c r="I2615" s="2" t="s">
        <v>4</v>
      </c>
      <c r="J2615" s="2" t="s">
        <v>3465</v>
      </c>
      <c r="K2615" s="2" t="s">
        <v>3466</v>
      </c>
      <c r="L2615" s="2" t="s">
        <v>3467</v>
      </c>
      <c r="M2615" s="2" t="s">
        <v>119</v>
      </c>
      <c r="N2615" s="4" t="str">
        <f t="shared" si="248"/>
        <v>TON</v>
      </c>
      <c r="O2615" s="5">
        <v>0.05</v>
      </c>
    </row>
    <row r="2616" spans="2:15" x14ac:dyDescent="0.25">
      <c r="B2616" s="1" t="s">
        <v>1520</v>
      </c>
      <c r="C2616" s="2" t="s">
        <v>196</v>
      </c>
      <c r="D2616" s="2" t="s">
        <v>207</v>
      </c>
      <c r="E2616" s="2" t="s">
        <v>208</v>
      </c>
      <c r="F2616" s="3">
        <f>DATE(2023,8,31)</f>
        <v>45169</v>
      </c>
      <c r="G2616" s="4">
        <f t="shared" si="247"/>
        <v>8</v>
      </c>
      <c r="H2616" s="4">
        <f t="shared" si="245"/>
        <v>2023</v>
      </c>
      <c r="I2616" s="2" t="s">
        <v>4</v>
      </c>
      <c r="J2616" s="2" t="s">
        <v>3468</v>
      </c>
      <c r="K2616" s="2" t="s">
        <v>205</v>
      </c>
      <c r="L2616" s="2" t="s">
        <v>206</v>
      </c>
      <c r="M2616" s="2" t="s">
        <v>119</v>
      </c>
      <c r="N2616" s="4" t="str">
        <f t="shared" si="248"/>
        <v>TON</v>
      </c>
      <c r="O2616" s="5">
        <v>5.0199999999999996</v>
      </c>
    </row>
    <row r="2617" spans="2:15" x14ac:dyDescent="0.25">
      <c r="B2617" s="1" t="s">
        <v>1520</v>
      </c>
      <c r="C2617" s="2" t="s">
        <v>196</v>
      </c>
      <c r="D2617" s="2" t="s">
        <v>3469</v>
      </c>
      <c r="E2617" s="2" t="s">
        <v>56</v>
      </c>
      <c r="F2617" s="3">
        <f>DATE(2023,8,31)</f>
        <v>45169</v>
      </c>
      <c r="G2617" s="4">
        <f t="shared" si="247"/>
        <v>8</v>
      </c>
      <c r="H2617" s="4">
        <f t="shared" si="245"/>
        <v>2023</v>
      </c>
      <c r="I2617" s="2" t="s">
        <v>4</v>
      </c>
      <c r="J2617" s="2" t="s">
        <v>3470</v>
      </c>
      <c r="K2617" s="2" t="s">
        <v>171</v>
      </c>
      <c r="L2617" s="2" t="s">
        <v>172</v>
      </c>
      <c r="M2617" s="2" t="s">
        <v>27</v>
      </c>
      <c r="N2617" s="4" t="str">
        <f t="shared" si="248"/>
        <v>GAL</v>
      </c>
      <c r="O2617" s="5">
        <v>5</v>
      </c>
    </row>
    <row r="2618" spans="2:15" x14ac:dyDescent="0.25">
      <c r="B2618" s="1" t="s">
        <v>1520</v>
      </c>
      <c r="C2618" s="2" t="s">
        <v>196</v>
      </c>
      <c r="D2618" s="2" t="s">
        <v>3469</v>
      </c>
      <c r="E2618" s="2" t="s">
        <v>56</v>
      </c>
      <c r="F2618" s="3">
        <f>DATE(2023,8,31)</f>
        <v>45169</v>
      </c>
      <c r="G2618" s="4">
        <f t="shared" si="247"/>
        <v>8</v>
      </c>
      <c r="H2618" s="4">
        <f t="shared" si="245"/>
        <v>2023</v>
      </c>
      <c r="I2618" s="2" t="s">
        <v>4</v>
      </c>
      <c r="J2618" s="2" t="s">
        <v>3470</v>
      </c>
      <c r="K2618" s="2" t="s">
        <v>3471</v>
      </c>
      <c r="L2618" s="2" t="s">
        <v>176</v>
      </c>
      <c r="M2618" s="2" t="s">
        <v>24</v>
      </c>
      <c r="N2618" s="4" t="str">
        <f t="shared" si="248"/>
        <v>GAL</v>
      </c>
      <c r="O2618" s="5">
        <v>10</v>
      </c>
    </row>
    <row r="2619" spans="2:15" x14ac:dyDescent="0.25">
      <c r="B2619" s="1" t="s">
        <v>1520</v>
      </c>
      <c r="C2619" s="2" t="s">
        <v>196</v>
      </c>
      <c r="D2619" s="2" t="s">
        <v>265</v>
      </c>
      <c r="E2619" s="2" t="s">
        <v>266</v>
      </c>
      <c r="F2619" s="3">
        <f>DATE(2023,8,31)</f>
        <v>45169</v>
      </c>
      <c r="G2619" s="4">
        <f t="shared" si="247"/>
        <v>8</v>
      </c>
      <c r="H2619" s="4">
        <f t="shared" ref="H2619:H2682" si="249">+YEAR(F2619)</f>
        <v>2023</v>
      </c>
      <c r="I2619" s="2" t="s">
        <v>4</v>
      </c>
      <c r="J2619" s="2" t="s">
        <v>3472</v>
      </c>
      <c r="K2619" s="2" t="s">
        <v>268</v>
      </c>
      <c r="L2619" s="2" t="s">
        <v>269</v>
      </c>
      <c r="M2619" s="2" t="s">
        <v>119</v>
      </c>
      <c r="N2619" s="4" t="str">
        <f t="shared" si="248"/>
        <v>TON</v>
      </c>
      <c r="O2619" s="5">
        <v>0.15</v>
      </c>
    </row>
    <row r="2620" spans="2:15" x14ac:dyDescent="0.25">
      <c r="B2620" s="1" t="s">
        <v>382</v>
      </c>
      <c r="C2620" s="2" t="s">
        <v>506</v>
      </c>
      <c r="D2620" s="2" t="s">
        <v>515</v>
      </c>
      <c r="E2620" s="2" t="s">
        <v>516</v>
      </c>
      <c r="F2620" s="3">
        <f>DATE(2023,8,11)</f>
        <v>45149</v>
      </c>
      <c r="G2620" s="4">
        <f t="shared" si="247"/>
        <v>8</v>
      </c>
      <c r="H2620" s="4">
        <f t="shared" si="249"/>
        <v>2023</v>
      </c>
      <c r="I2620" s="2" t="s">
        <v>4</v>
      </c>
      <c r="J2620" s="2" t="s">
        <v>3473</v>
      </c>
      <c r="K2620" s="2" t="s">
        <v>149</v>
      </c>
      <c r="L2620" s="2" t="s">
        <v>150</v>
      </c>
      <c r="M2620" s="2" t="s">
        <v>21</v>
      </c>
      <c r="N2620" s="4" t="str">
        <f t="shared" si="248"/>
        <v>GAL</v>
      </c>
      <c r="O2620" s="5">
        <v>180</v>
      </c>
    </row>
    <row r="2621" spans="2:15" x14ac:dyDescent="0.25">
      <c r="B2621" s="1" t="s">
        <v>382</v>
      </c>
      <c r="C2621" s="2" t="s">
        <v>506</v>
      </c>
      <c r="D2621" s="2" t="s">
        <v>521</v>
      </c>
      <c r="E2621" s="2" t="s">
        <v>522</v>
      </c>
      <c r="F2621" s="3">
        <f>DATE(2023,8,18)</f>
        <v>45156</v>
      </c>
      <c r="G2621" s="4">
        <f t="shared" si="247"/>
        <v>8</v>
      </c>
      <c r="H2621" s="4">
        <f t="shared" si="249"/>
        <v>2023</v>
      </c>
      <c r="I2621" s="2" t="s">
        <v>4</v>
      </c>
      <c r="J2621" s="2" t="s">
        <v>3474</v>
      </c>
      <c r="K2621" s="2" t="s">
        <v>1395</v>
      </c>
      <c r="L2621" s="2" t="s">
        <v>1396</v>
      </c>
      <c r="M2621" s="2" t="s">
        <v>1397</v>
      </c>
      <c r="N2621" s="4" t="str">
        <f t="shared" si="248"/>
        <v>GAL</v>
      </c>
      <c r="O2621" s="5">
        <v>180</v>
      </c>
    </row>
    <row r="2622" spans="2:15" x14ac:dyDescent="0.25">
      <c r="B2622" s="1" t="s">
        <v>382</v>
      </c>
      <c r="C2622" s="2" t="s">
        <v>506</v>
      </c>
      <c r="D2622" s="2" t="s">
        <v>521</v>
      </c>
      <c r="E2622" s="2" t="s">
        <v>522</v>
      </c>
      <c r="F2622" s="3">
        <f>DATE(2023,8,21)</f>
        <v>45159</v>
      </c>
      <c r="G2622" s="4">
        <f t="shared" si="247"/>
        <v>8</v>
      </c>
      <c r="H2622" s="4">
        <f t="shared" si="249"/>
        <v>2023</v>
      </c>
      <c r="I2622" s="2" t="s">
        <v>4</v>
      </c>
      <c r="J2622" s="2" t="s">
        <v>3475</v>
      </c>
      <c r="K2622" s="2" t="s">
        <v>609</v>
      </c>
      <c r="L2622" s="2" t="s">
        <v>610</v>
      </c>
      <c r="M2622" s="2" t="s">
        <v>611</v>
      </c>
      <c r="N2622" s="4" t="str">
        <f t="shared" si="248"/>
        <v>GAL</v>
      </c>
      <c r="O2622" s="5">
        <v>180</v>
      </c>
    </row>
    <row r="2623" spans="2:15" x14ac:dyDescent="0.25">
      <c r="B2623" s="1" t="s">
        <v>382</v>
      </c>
      <c r="C2623" s="2" t="s">
        <v>506</v>
      </c>
      <c r="D2623" s="2" t="s">
        <v>989</v>
      </c>
      <c r="E2623" s="2" t="s">
        <v>990</v>
      </c>
      <c r="F2623" s="3">
        <f>DATE(2023,8,31)</f>
        <v>45169</v>
      </c>
      <c r="G2623" s="4">
        <f t="shared" si="247"/>
        <v>8</v>
      </c>
      <c r="H2623" s="4">
        <f t="shared" si="249"/>
        <v>2023</v>
      </c>
      <c r="I2623" s="2" t="s">
        <v>4</v>
      </c>
      <c r="J2623" s="2" t="s">
        <v>3476</v>
      </c>
      <c r="K2623" s="2" t="s">
        <v>609</v>
      </c>
      <c r="L2623" s="2" t="s">
        <v>610</v>
      </c>
      <c r="M2623" s="2" t="s">
        <v>611</v>
      </c>
      <c r="N2623" s="4" t="str">
        <f t="shared" si="248"/>
        <v>GAL</v>
      </c>
      <c r="O2623" s="5">
        <v>20</v>
      </c>
    </row>
    <row r="2624" spans="2:15" x14ac:dyDescent="0.25">
      <c r="B2624" s="1" t="s">
        <v>645</v>
      </c>
      <c r="C2624" s="2" t="s">
        <v>1018</v>
      </c>
      <c r="D2624" s="2" t="s">
        <v>2144</v>
      </c>
      <c r="E2624" s="2" t="s">
        <v>3477</v>
      </c>
      <c r="F2624" s="3">
        <f>DATE(2023,8,8)</f>
        <v>45146</v>
      </c>
      <c r="G2624" s="4">
        <f t="shared" si="247"/>
        <v>8</v>
      </c>
      <c r="H2624" s="4">
        <f t="shared" si="249"/>
        <v>2023</v>
      </c>
      <c r="I2624" s="2" t="s">
        <v>4</v>
      </c>
      <c r="J2624" s="2" t="s">
        <v>3478</v>
      </c>
      <c r="K2624" s="2" t="s">
        <v>1470</v>
      </c>
      <c r="L2624" s="2" t="s">
        <v>1471</v>
      </c>
      <c r="M2624" s="2" t="s">
        <v>1472</v>
      </c>
      <c r="N2624" s="4" t="str">
        <f t="shared" si="248"/>
        <v>GAL</v>
      </c>
      <c r="O2624" s="5">
        <v>50</v>
      </c>
    </row>
    <row r="2625" spans="2:15" x14ac:dyDescent="0.25">
      <c r="B2625" s="1" t="s">
        <v>645</v>
      </c>
      <c r="C2625" s="2" t="s">
        <v>1018</v>
      </c>
      <c r="D2625" s="2" t="s">
        <v>2144</v>
      </c>
      <c r="E2625" s="2" t="s">
        <v>3477</v>
      </c>
      <c r="F2625" s="3">
        <f>DATE(2023,8,11)</f>
        <v>45149</v>
      </c>
      <c r="G2625" s="4">
        <f t="shared" si="247"/>
        <v>8</v>
      </c>
      <c r="H2625" s="4">
        <f t="shared" si="249"/>
        <v>2023</v>
      </c>
      <c r="I2625" s="2" t="s">
        <v>4</v>
      </c>
      <c r="J2625" s="2" t="s">
        <v>3479</v>
      </c>
      <c r="K2625" s="2" t="s">
        <v>1470</v>
      </c>
      <c r="L2625" s="2" t="s">
        <v>1471</v>
      </c>
      <c r="M2625" s="2" t="s">
        <v>1472</v>
      </c>
      <c r="N2625" s="4" t="str">
        <f t="shared" si="248"/>
        <v>GAL</v>
      </c>
      <c r="O2625" s="5">
        <v>30</v>
      </c>
    </row>
    <row r="2626" spans="2:15" x14ac:dyDescent="0.25">
      <c r="B2626" s="1" t="s">
        <v>782</v>
      </c>
      <c r="C2626" s="2" t="s">
        <v>1018</v>
      </c>
      <c r="D2626" s="2" t="s">
        <v>2448</v>
      </c>
      <c r="E2626" s="2" t="s">
        <v>3035</v>
      </c>
      <c r="F2626" s="3">
        <f>DATE(2023,8,22)</f>
        <v>45160</v>
      </c>
      <c r="G2626" s="4">
        <f t="shared" si="247"/>
        <v>8</v>
      </c>
      <c r="H2626" s="4">
        <f t="shared" si="249"/>
        <v>2023</v>
      </c>
      <c r="I2626" s="2" t="s">
        <v>3480</v>
      </c>
      <c r="J2626" s="2" t="s">
        <v>3481</v>
      </c>
      <c r="K2626" s="2" t="s">
        <v>1496</v>
      </c>
      <c r="L2626" s="2" t="s">
        <v>159</v>
      </c>
      <c r="M2626" s="2" t="s">
        <v>160</v>
      </c>
      <c r="N2626" s="4" t="str">
        <f t="shared" si="248"/>
        <v>GAL</v>
      </c>
      <c r="O2626" s="5">
        <v>-500</v>
      </c>
    </row>
    <row r="2627" spans="2:15" x14ac:dyDescent="0.25">
      <c r="B2627" s="1" t="s">
        <v>782</v>
      </c>
      <c r="C2627" s="2" t="s">
        <v>1018</v>
      </c>
      <c r="D2627" s="2" t="s">
        <v>2448</v>
      </c>
      <c r="E2627" s="2" t="s">
        <v>3035</v>
      </c>
      <c r="F2627" s="3">
        <f>DATE(2023,8,22)</f>
        <v>45160</v>
      </c>
      <c r="G2627" s="4">
        <f t="shared" ref="G2627:G2690" si="250">+MONTH(F2627)</f>
        <v>8</v>
      </c>
      <c r="H2627" s="4">
        <f t="shared" si="249"/>
        <v>2023</v>
      </c>
      <c r="I2627" s="2" t="s">
        <v>3480</v>
      </c>
      <c r="J2627" s="2" t="s">
        <v>3481</v>
      </c>
      <c r="K2627" s="2" t="s">
        <v>158</v>
      </c>
      <c r="L2627" s="2" t="s">
        <v>159</v>
      </c>
      <c r="M2627" s="2" t="s">
        <v>160</v>
      </c>
      <c r="N2627" s="4" t="str">
        <f t="shared" ref="N2627:N2690" si="251">+LEFT(M2627,3)</f>
        <v>GAL</v>
      </c>
      <c r="O2627" s="5">
        <v>-215</v>
      </c>
    </row>
    <row r="2628" spans="2:15" x14ac:dyDescent="0.25">
      <c r="B2628" s="1" t="s">
        <v>782</v>
      </c>
      <c r="C2628" s="2" t="s">
        <v>1018</v>
      </c>
      <c r="D2628" s="2" t="s">
        <v>2456</v>
      </c>
      <c r="E2628" s="2" t="s">
        <v>3194</v>
      </c>
      <c r="F2628" s="3">
        <f>DATE(2023,8,31)</f>
        <v>45169</v>
      </c>
      <c r="G2628" s="4">
        <f t="shared" si="250"/>
        <v>8</v>
      </c>
      <c r="H2628" s="4">
        <f t="shared" si="249"/>
        <v>2023</v>
      </c>
      <c r="I2628" s="2" t="s">
        <v>3480</v>
      </c>
      <c r="J2628" s="2" t="s">
        <v>3482</v>
      </c>
      <c r="K2628" s="2" t="s">
        <v>1496</v>
      </c>
      <c r="L2628" s="2" t="s">
        <v>159</v>
      </c>
      <c r="M2628" s="2" t="s">
        <v>160</v>
      </c>
      <c r="N2628" s="4" t="str">
        <f t="shared" si="251"/>
        <v>GAL</v>
      </c>
      <c r="O2628" s="5">
        <v>-500</v>
      </c>
    </row>
    <row r="2629" spans="2:15" x14ac:dyDescent="0.25">
      <c r="B2629" s="1" t="s">
        <v>782</v>
      </c>
      <c r="C2629" s="2" t="s">
        <v>1018</v>
      </c>
      <c r="D2629" s="2" t="s">
        <v>2456</v>
      </c>
      <c r="E2629" s="2" t="s">
        <v>3194</v>
      </c>
      <c r="F2629" s="3">
        <f>DATE(2023,8,31)</f>
        <v>45169</v>
      </c>
      <c r="G2629" s="4">
        <f t="shared" si="250"/>
        <v>8</v>
      </c>
      <c r="H2629" s="4">
        <f t="shared" si="249"/>
        <v>2023</v>
      </c>
      <c r="I2629" s="2" t="s">
        <v>3480</v>
      </c>
      <c r="J2629" s="2" t="s">
        <v>3482</v>
      </c>
      <c r="K2629" s="2" t="s">
        <v>158</v>
      </c>
      <c r="L2629" s="2" t="s">
        <v>159</v>
      </c>
      <c r="M2629" s="2" t="s">
        <v>160</v>
      </c>
      <c r="N2629" s="4" t="str">
        <f t="shared" si="251"/>
        <v>GAL</v>
      </c>
      <c r="O2629" s="5">
        <v>-25</v>
      </c>
    </row>
    <row r="2630" spans="2:15" x14ac:dyDescent="0.25">
      <c r="B2630" s="1" t="s">
        <v>1742</v>
      </c>
      <c r="C2630" s="2" t="s">
        <v>1025</v>
      </c>
      <c r="D2630" s="2" t="s">
        <v>2092</v>
      </c>
      <c r="E2630" s="2" t="s">
        <v>2093</v>
      </c>
      <c r="F2630" s="3">
        <f>DATE(2023,8,15)</f>
        <v>45153</v>
      </c>
      <c r="G2630" s="4">
        <f t="shared" si="250"/>
        <v>8</v>
      </c>
      <c r="H2630" s="4">
        <f t="shared" si="249"/>
        <v>2023</v>
      </c>
      <c r="I2630" s="2" t="s">
        <v>4</v>
      </c>
      <c r="J2630" s="2" t="s">
        <v>3483</v>
      </c>
      <c r="K2630" s="2" t="s">
        <v>2095</v>
      </c>
      <c r="L2630" s="2" t="s">
        <v>2096</v>
      </c>
      <c r="M2630" s="2" t="s">
        <v>119</v>
      </c>
      <c r="N2630" s="4" t="str">
        <f t="shared" si="251"/>
        <v>TON</v>
      </c>
      <c r="O2630" s="5">
        <v>15.01</v>
      </c>
    </row>
    <row r="2631" spans="2:15" x14ac:dyDescent="0.25">
      <c r="B2631" s="1" t="s">
        <v>645</v>
      </c>
      <c r="C2631" s="2" t="s">
        <v>1025</v>
      </c>
      <c r="D2631" s="2" t="s">
        <v>1026</v>
      </c>
      <c r="E2631" s="2" t="s">
        <v>3262</v>
      </c>
      <c r="F2631" s="3">
        <f>DATE(2023,8,24)</f>
        <v>45162</v>
      </c>
      <c r="G2631" s="4">
        <f t="shared" si="250"/>
        <v>8</v>
      </c>
      <c r="H2631" s="4">
        <f t="shared" si="249"/>
        <v>2023</v>
      </c>
      <c r="I2631" s="2" t="s">
        <v>4</v>
      </c>
      <c r="J2631" s="2" t="s">
        <v>3484</v>
      </c>
      <c r="K2631" s="2" t="s">
        <v>1028</v>
      </c>
      <c r="L2631" s="2" t="s">
        <v>1029</v>
      </c>
      <c r="M2631" s="2" t="s">
        <v>106</v>
      </c>
      <c r="N2631" s="4" t="str">
        <f t="shared" si="251"/>
        <v>LBS</v>
      </c>
      <c r="O2631" s="5">
        <v>21960</v>
      </c>
    </row>
    <row r="2632" spans="2:15" x14ac:dyDescent="0.25">
      <c r="B2632" s="1" t="s">
        <v>1742</v>
      </c>
      <c r="C2632" s="2" t="s">
        <v>1025</v>
      </c>
      <c r="D2632" s="2" t="s">
        <v>628</v>
      </c>
      <c r="E2632" s="2" t="s">
        <v>2488</v>
      </c>
      <c r="F2632" s="3">
        <f>DATE(2023,8,24)</f>
        <v>45162</v>
      </c>
      <c r="G2632" s="4">
        <f t="shared" si="250"/>
        <v>8</v>
      </c>
      <c r="H2632" s="4">
        <f t="shared" si="249"/>
        <v>2023</v>
      </c>
      <c r="I2632" s="2" t="s">
        <v>4</v>
      </c>
      <c r="J2632" s="2" t="s">
        <v>3485</v>
      </c>
      <c r="K2632" s="2" t="s">
        <v>1031</v>
      </c>
      <c r="L2632" s="2" t="s">
        <v>1032</v>
      </c>
      <c r="M2632" s="2" t="s">
        <v>119</v>
      </c>
      <c r="N2632" s="4" t="str">
        <f t="shared" si="251"/>
        <v>TON</v>
      </c>
      <c r="O2632" s="5">
        <v>1.25</v>
      </c>
    </row>
    <row r="2633" spans="2:15" x14ac:dyDescent="0.25">
      <c r="B2633" s="1" t="s">
        <v>1410</v>
      </c>
      <c r="C2633" s="2" t="s">
        <v>525</v>
      </c>
      <c r="D2633" s="2" t="s">
        <v>124</v>
      </c>
      <c r="E2633" s="2" t="s">
        <v>526</v>
      </c>
      <c r="F2633" s="3">
        <f>DATE(2023,8,2)</f>
        <v>45140</v>
      </c>
      <c r="G2633" s="4">
        <f t="shared" si="250"/>
        <v>8</v>
      </c>
      <c r="H2633" s="4">
        <f t="shared" si="249"/>
        <v>2023</v>
      </c>
      <c r="I2633" s="2" t="s">
        <v>4</v>
      </c>
      <c r="J2633" s="2" t="s">
        <v>3486</v>
      </c>
      <c r="K2633" s="2" t="s">
        <v>1470</v>
      </c>
      <c r="L2633" s="2" t="s">
        <v>1471</v>
      </c>
      <c r="M2633" s="2" t="s">
        <v>1472</v>
      </c>
      <c r="N2633" s="4" t="str">
        <f t="shared" si="251"/>
        <v>GAL</v>
      </c>
      <c r="O2633" s="5">
        <v>100</v>
      </c>
    </row>
    <row r="2634" spans="2:15" x14ac:dyDescent="0.25">
      <c r="B2634" s="1" t="s">
        <v>1520</v>
      </c>
      <c r="C2634" s="2" t="s">
        <v>525</v>
      </c>
      <c r="D2634" s="2" t="s">
        <v>507</v>
      </c>
      <c r="E2634" s="2" t="s">
        <v>2902</v>
      </c>
      <c r="F2634" s="3">
        <f>DATE(2023,8,2)</f>
        <v>45140</v>
      </c>
      <c r="G2634" s="4">
        <f t="shared" si="250"/>
        <v>8</v>
      </c>
      <c r="H2634" s="4">
        <f t="shared" si="249"/>
        <v>2023</v>
      </c>
      <c r="I2634" s="2" t="s">
        <v>4</v>
      </c>
      <c r="J2634" s="2" t="s">
        <v>3487</v>
      </c>
      <c r="K2634" s="2" t="s">
        <v>513</v>
      </c>
      <c r="L2634" s="2" t="s">
        <v>514</v>
      </c>
      <c r="M2634" s="2" t="s">
        <v>119</v>
      </c>
      <c r="N2634" s="4" t="str">
        <f t="shared" si="251"/>
        <v>TON</v>
      </c>
      <c r="O2634" s="5">
        <v>12.49</v>
      </c>
    </row>
    <row r="2635" spans="2:15" x14ac:dyDescent="0.25">
      <c r="B2635" s="1" t="s">
        <v>1410</v>
      </c>
      <c r="C2635" s="2" t="s">
        <v>525</v>
      </c>
      <c r="D2635" s="2" t="s">
        <v>124</v>
      </c>
      <c r="E2635" s="2" t="s">
        <v>526</v>
      </c>
      <c r="F2635" s="3">
        <f>DATE(2023,8,11)</f>
        <v>45149</v>
      </c>
      <c r="G2635" s="4">
        <f t="shared" si="250"/>
        <v>8</v>
      </c>
      <c r="H2635" s="4">
        <f t="shared" si="249"/>
        <v>2023</v>
      </c>
      <c r="I2635" s="2" t="s">
        <v>4</v>
      </c>
      <c r="J2635" s="2" t="s">
        <v>3488</v>
      </c>
      <c r="K2635" s="2" t="s">
        <v>1031</v>
      </c>
      <c r="L2635" s="2" t="s">
        <v>1032</v>
      </c>
      <c r="M2635" s="2" t="s">
        <v>119</v>
      </c>
      <c r="N2635" s="4" t="str">
        <f t="shared" si="251"/>
        <v>TON</v>
      </c>
      <c r="O2635" s="5">
        <v>5</v>
      </c>
    </row>
    <row r="2636" spans="2:15" x14ac:dyDescent="0.25">
      <c r="B2636" s="1" t="s">
        <v>1410</v>
      </c>
      <c r="C2636" s="2" t="s">
        <v>525</v>
      </c>
      <c r="D2636" s="2" t="s">
        <v>124</v>
      </c>
      <c r="E2636" s="2" t="s">
        <v>526</v>
      </c>
      <c r="F2636" s="3">
        <f>DATE(2023,8,15)</f>
        <v>45153</v>
      </c>
      <c r="G2636" s="4">
        <f t="shared" si="250"/>
        <v>8</v>
      </c>
      <c r="H2636" s="4">
        <f t="shared" si="249"/>
        <v>2023</v>
      </c>
      <c r="I2636" s="2" t="s">
        <v>4</v>
      </c>
      <c r="J2636" s="2" t="s">
        <v>3489</v>
      </c>
      <c r="K2636" s="2" t="s">
        <v>2493</v>
      </c>
      <c r="L2636" s="2" t="s">
        <v>2494</v>
      </c>
      <c r="M2636" s="2" t="s">
        <v>119</v>
      </c>
      <c r="N2636" s="4" t="str">
        <f t="shared" si="251"/>
        <v>TON</v>
      </c>
      <c r="O2636" s="5">
        <v>6.14</v>
      </c>
    </row>
    <row r="2637" spans="2:15" x14ac:dyDescent="0.25">
      <c r="B2637" s="1" t="s">
        <v>1410</v>
      </c>
      <c r="C2637" s="2" t="s">
        <v>525</v>
      </c>
      <c r="D2637" s="2" t="s">
        <v>507</v>
      </c>
      <c r="E2637" s="2" t="s">
        <v>508</v>
      </c>
      <c r="F2637" s="3">
        <f>DATE(2023,8,18)</f>
        <v>45156</v>
      </c>
      <c r="G2637" s="4">
        <f t="shared" si="250"/>
        <v>8</v>
      </c>
      <c r="H2637" s="4">
        <f t="shared" si="249"/>
        <v>2023</v>
      </c>
      <c r="I2637" s="2" t="s">
        <v>4</v>
      </c>
      <c r="J2637" s="2" t="s">
        <v>3490</v>
      </c>
      <c r="K2637" s="2" t="s">
        <v>1119</v>
      </c>
      <c r="L2637" s="2" t="s">
        <v>1023</v>
      </c>
      <c r="M2637" s="2" t="s">
        <v>1024</v>
      </c>
      <c r="N2637" s="4" t="str">
        <f t="shared" si="251"/>
        <v>GAL</v>
      </c>
      <c r="O2637" s="5">
        <v>300</v>
      </c>
    </row>
    <row r="2638" spans="2:15" x14ac:dyDescent="0.25">
      <c r="B2638" s="1" t="s">
        <v>1050</v>
      </c>
      <c r="C2638" s="2" t="s">
        <v>533</v>
      </c>
      <c r="D2638" s="2" t="s">
        <v>2144</v>
      </c>
      <c r="E2638" s="2" t="s">
        <v>2145</v>
      </c>
      <c r="F2638" s="3">
        <f>DATE(2023,8,2)</f>
        <v>45140</v>
      </c>
      <c r="G2638" s="4">
        <f t="shared" si="250"/>
        <v>8</v>
      </c>
      <c r="H2638" s="4">
        <f t="shared" si="249"/>
        <v>2023</v>
      </c>
      <c r="I2638" s="2" t="s">
        <v>4</v>
      </c>
      <c r="J2638" s="2" t="s">
        <v>3491</v>
      </c>
      <c r="K2638" s="2" t="s">
        <v>2836</v>
      </c>
      <c r="L2638" s="2" t="s">
        <v>2148</v>
      </c>
      <c r="M2638" s="2" t="s">
        <v>41</v>
      </c>
      <c r="N2638" s="4" t="str">
        <f t="shared" si="251"/>
        <v>GAL</v>
      </c>
      <c r="O2638" s="5">
        <v>250</v>
      </c>
    </row>
    <row r="2639" spans="2:15" x14ac:dyDescent="0.25">
      <c r="B2639" s="1" t="s">
        <v>645</v>
      </c>
      <c r="C2639" s="2" t="s">
        <v>533</v>
      </c>
      <c r="D2639" s="2" t="s">
        <v>557</v>
      </c>
      <c r="E2639" s="2" t="s">
        <v>1090</v>
      </c>
      <c r="F2639" s="3">
        <f>DATE(2023,8,3)</f>
        <v>45141</v>
      </c>
      <c r="G2639" s="4">
        <f t="shared" si="250"/>
        <v>8</v>
      </c>
      <c r="H2639" s="4">
        <f t="shared" si="249"/>
        <v>2023</v>
      </c>
      <c r="I2639" s="2" t="s">
        <v>4</v>
      </c>
      <c r="J2639" s="2" t="s">
        <v>3492</v>
      </c>
      <c r="K2639" s="2" t="s">
        <v>2536</v>
      </c>
      <c r="L2639" s="2" t="s">
        <v>2537</v>
      </c>
      <c r="M2639" s="2" t="s">
        <v>131</v>
      </c>
      <c r="N2639" s="4" t="str">
        <f t="shared" si="251"/>
        <v>GAL</v>
      </c>
      <c r="O2639" s="5">
        <v>360</v>
      </c>
    </row>
    <row r="2640" spans="2:15" x14ac:dyDescent="0.25">
      <c r="B2640" s="1" t="s">
        <v>645</v>
      </c>
      <c r="C2640" s="2" t="s">
        <v>533</v>
      </c>
      <c r="D2640" s="2" t="s">
        <v>557</v>
      </c>
      <c r="E2640" s="2" t="s">
        <v>2534</v>
      </c>
      <c r="F2640" s="3">
        <f>DATE(2023,8,3)</f>
        <v>45141</v>
      </c>
      <c r="G2640" s="4">
        <f t="shared" si="250"/>
        <v>8</v>
      </c>
      <c r="H2640" s="4">
        <f t="shared" si="249"/>
        <v>2023</v>
      </c>
      <c r="I2640" s="2" t="s">
        <v>4</v>
      </c>
      <c r="J2640" s="2" t="s">
        <v>3493</v>
      </c>
      <c r="K2640" s="2" t="s">
        <v>2536</v>
      </c>
      <c r="L2640" s="2" t="s">
        <v>2537</v>
      </c>
      <c r="M2640" s="2" t="s">
        <v>131</v>
      </c>
      <c r="N2640" s="4" t="str">
        <f t="shared" si="251"/>
        <v>GAL</v>
      </c>
      <c r="O2640" s="5">
        <v>720</v>
      </c>
    </row>
    <row r="2641" spans="2:15" x14ac:dyDescent="0.25">
      <c r="B2641" s="1" t="s">
        <v>645</v>
      </c>
      <c r="C2641" s="2" t="s">
        <v>533</v>
      </c>
      <c r="D2641" s="2" t="s">
        <v>562</v>
      </c>
      <c r="E2641" s="2" t="s">
        <v>563</v>
      </c>
      <c r="F2641" s="3">
        <f>DATE(2023,8,17)</f>
        <v>45155</v>
      </c>
      <c r="G2641" s="4">
        <f t="shared" si="250"/>
        <v>8</v>
      </c>
      <c r="H2641" s="4">
        <f t="shared" si="249"/>
        <v>2023</v>
      </c>
      <c r="I2641" s="2" t="s">
        <v>4</v>
      </c>
      <c r="J2641" s="2" t="s">
        <v>3494</v>
      </c>
      <c r="K2641" s="2" t="s">
        <v>19</v>
      </c>
      <c r="L2641" s="2" t="s">
        <v>565</v>
      </c>
      <c r="M2641" s="2" t="s">
        <v>21</v>
      </c>
      <c r="N2641" s="4" t="str">
        <f t="shared" si="251"/>
        <v>GAL</v>
      </c>
      <c r="O2641" s="5">
        <v>720</v>
      </c>
    </row>
    <row r="2642" spans="2:15" x14ac:dyDescent="0.25">
      <c r="B2642" s="1" t="s">
        <v>645</v>
      </c>
      <c r="C2642" s="2" t="s">
        <v>533</v>
      </c>
      <c r="D2642" s="2" t="s">
        <v>562</v>
      </c>
      <c r="E2642" s="2" t="s">
        <v>563</v>
      </c>
      <c r="F2642" s="3">
        <f>DATE(2023,8,17)</f>
        <v>45155</v>
      </c>
      <c r="G2642" s="4">
        <f t="shared" si="250"/>
        <v>8</v>
      </c>
      <c r="H2642" s="4">
        <f t="shared" si="249"/>
        <v>2023</v>
      </c>
      <c r="I2642" s="2" t="s">
        <v>4</v>
      </c>
      <c r="J2642" s="2" t="s">
        <v>3494</v>
      </c>
      <c r="K2642" s="2" t="s">
        <v>548</v>
      </c>
      <c r="L2642" s="2" t="s">
        <v>518</v>
      </c>
      <c r="M2642" s="2" t="s">
        <v>85</v>
      </c>
      <c r="N2642" s="4" t="str">
        <f t="shared" si="251"/>
        <v>GAL</v>
      </c>
      <c r="O2642" s="5">
        <v>250</v>
      </c>
    </row>
    <row r="2643" spans="2:15" x14ac:dyDescent="0.25">
      <c r="B2643" s="1" t="s">
        <v>645</v>
      </c>
      <c r="C2643" s="2" t="s">
        <v>533</v>
      </c>
      <c r="D2643" s="2" t="s">
        <v>562</v>
      </c>
      <c r="E2643" s="2" t="s">
        <v>2151</v>
      </c>
      <c r="F2643" s="3">
        <f>DATE(2023,8,24)</f>
        <v>45162</v>
      </c>
      <c r="G2643" s="4">
        <f t="shared" si="250"/>
        <v>8</v>
      </c>
      <c r="H2643" s="4">
        <f t="shared" si="249"/>
        <v>2023</v>
      </c>
      <c r="I2643" s="2" t="s">
        <v>4</v>
      </c>
      <c r="J2643" s="2" t="s">
        <v>3495</v>
      </c>
      <c r="K2643" s="2" t="s">
        <v>1505</v>
      </c>
      <c r="L2643" s="2" t="s">
        <v>182</v>
      </c>
      <c r="M2643" s="2" t="s">
        <v>183</v>
      </c>
      <c r="N2643" s="4" t="str">
        <f t="shared" si="251"/>
        <v>GAL</v>
      </c>
      <c r="O2643" s="5">
        <v>250</v>
      </c>
    </row>
    <row r="2644" spans="2:15" x14ac:dyDescent="0.25">
      <c r="B2644" s="6" t="s">
        <v>3238</v>
      </c>
      <c r="C2644" s="7" t="s">
        <v>3239</v>
      </c>
      <c r="D2644" s="8" t="s">
        <v>3240</v>
      </c>
      <c r="E2644" s="8" t="s">
        <v>3241</v>
      </c>
      <c r="F2644" s="9">
        <f>DATE(2023,8,3)</f>
        <v>45141</v>
      </c>
      <c r="G2644" s="10">
        <f t="shared" si="250"/>
        <v>8</v>
      </c>
      <c r="H2644" s="10">
        <f t="shared" si="249"/>
        <v>2023</v>
      </c>
      <c r="I2644" s="8" t="s">
        <v>4</v>
      </c>
      <c r="J2644" s="8" t="s">
        <v>3496</v>
      </c>
      <c r="K2644" s="8" t="s">
        <v>3497</v>
      </c>
      <c r="L2644" s="8" t="s">
        <v>3498</v>
      </c>
      <c r="M2644" s="8" t="s">
        <v>1024</v>
      </c>
      <c r="N2644" s="10" t="str">
        <f t="shared" si="251"/>
        <v>GAL</v>
      </c>
      <c r="O2644" s="11">
        <v>1000</v>
      </c>
    </row>
    <row r="2645" spans="2:15" x14ac:dyDescent="0.25">
      <c r="B2645" s="1" t="s">
        <v>3238</v>
      </c>
      <c r="C2645" s="2" t="s">
        <v>3239</v>
      </c>
      <c r="D2645" s="2" t="s">
        <v>3240</v>
      </c>
      <c r="E2645" s="2" t="s">
        <v>3241</v>
      </c>
      <c r="F2645" s="3">
        <f>DATE(2023,8,3)</f>
        <v>45141</v>
      </c>
      <c r="G2645" s="4">
        <f t="shared" si="250"/>
        <v>8</v>
      </c>
      <c r="H2645" s="4">
        <f t="shared" si="249"/>
        <v>2023</v>
      </c>
      <c r="I2645" s="2" t="s">
        <v>4</v>
      </c>
      <c r="J2645" s="2" t="s">
        <v>3496</v>
      </c>
      <c r="K2645" s="2" t="s">
        <v>842</v>
      </c>
      <c r="L2645" s="2" t="s">
        <v>843</v>
      </c>
      <c r="M2645" s="2" t="s">
        <v>844</v>
      </c>
      <c r="N2645" s="4" t="str">
        <f t="shared" si="251"/>
        <v>GAL</v>
      </c>
      <c r="O2645" s="5">
        <v>250</v>
      </c>
    </row>
    <row r="2646" spans="2:15" x14ac:dyDescent="0.25">
      <c r="B2646" s="1" t="s">
        <v>3238</v>
      </c>
      <c r="C2646" s="2" t="s">
        <v>3239</v>
      </c>
      <c r="D2646" s="2" t="s">
        <v>3240</v>
      </c>
      <c r="E2646" s="2" t="s">
        <v>3499</v>
      </c>
      <c r="F2646" s="3">
        <f t="shared" ref="F2646:F2652" si="252">DATE(2023,8,9)</f>
        <v>45147</v>
      </c>
      <c r="G2646" s="4">
        <f t="shared" si="250"/>
        <v>8</v>
      </c>
      <c r="H2646" s="4">
        <f t="shared" si="249"/>
        <v>2023</v>
      </c>
      <c r="I2646" s="2" t="s">
        <v>4</v>
      </c>
      <c r="J2646" s="2" t="s">
        <v>3500</v>
      </c>
      <c r="K2646" s="2" t="s">
        <v>998</v>
      </c>
      <c r="L2646" s="2" t="s">
        <v>3501</v>
      </c>
      <c r="M2646" s="2" t="s">
        <v>1000</v>
      </c>
      <c r="N2646" s="4" t="str">
        <f t="shared" si="251"/>
        <v>GAL</v>
      </c>
      <c r="O2646" s="5">
        <v>250</v>
      </c>
    </row>
    <row r="2647" spans="2:15" x14ac:dyDescent="0.25">
      <c r="B2647" s="1" t="s">
        <v>3238</v>
      </c>
      <c r="C2647" s="2" t="s">
        <v>3239</v>
      </c>
      <c r="D2647" s="2" t="s">
        <v>3240</v>
      </c>
      <c r="E2647" s="2" t="s">
        <v>3499</v>
      </c>
      <c r="F2647" s="3">
        <f t="shared" si="252"/>
        <v>45147</v>
      </c>
      <c r="G2647" s="4">
        <f t="shared" si="250"/>
        <v>8</v>
      </c>
      <c r="H2647" s="4">
        <f t="shared" si="249"/>
        <v>2023</v>
      </c>
      <c r="I2647" s="2" t="s">
        <v>4</v>
      </c>
      <c r="J2647" s="2" t="s">
        <v>3500</v>
      </c>
      <c r="K2647" s="2" t="s">
        <v>3502</v>
      </c>
      <c r="L2647" s="2" t="s">
        <v>3503</v>
      </c>
      <c r="M2647" s="2" t="s">
        <v>2532</v>
      </c>
      <c r="N2647" s="4" t="str">
        <f t="shared" si="251"/>
        <v>GAL</v>
      </c>
      <c r="O2647" s="5">
        <v>250</v>
      </c>
    </row>
    <row r="2648" spans="2:15" x14ac:dyDescent="0.25">
      <c r="B2648" s="6" t="s">
        <v>3238</v>
      </c>
      <c r="C2648" s="7" t="s">
        <v>3239</v>
      </c>
      <c r="D2648" s="8" t="s">
        <v>3240</v>
      </c>
      <c r="E2648" s="8" t="s">
        <v>3241</v>
      </c>
      <c r="F2648" s="9">
        <f t="shared" si="252"/>
        <v>45147</v>
      </c>
      <c r="G2648" s="10">
        <f t="shared" si="250"/>
        <v>8</v>
      </c>
      <c r="H2648" s="10">
        <f t="shared" si="249"/>
        <v>2023</v>
      </c>
      <c r="I2648" s="8" t="s">
        <v>4</v>
      </c>
      <c r="J2648" s="7" t="s">
        <v>3504</v>
      </c>
      <c r="K2648" s="8" t="s">
        <v>3497</v>
      </c>
      <c r="L2648" s="8" t="s">
        <v>3498</v>
      </c>
      <c r="M2648" s="8" t="s">
        <v>1024</v>
      </c>
      <c r="N2648" s="10" t="str">
        <f t="shared" si="251"/>
        <v>GAL</v>
      </c>
      <c r="O2648" s="11">
        <v>1000</v>
      </c>
    </row>
    <row r="2649" spans="2:15" x14ac:dyDescent="0.25">
      <c r="B2649" s="1" t="s">
        <v>3238</v>
      </c>
      <c r="C2649" s="2" t="s">
        <v>3239</v>
      </c>
      <c r="D2649" s="2" t="s">
        <v>3240</v>
      </c>
      <c r="E2649" s="2" t="s">
        <v>102</v>
      </c>
      <c r="F2649" s="3">
        <f t="shared" si="252"/>
        <v>45147</v>
      </c>
      <c r="G2649" s="4">
        <f t="shared" si="250"/>
        <v>8</v>
      </c>
      <c r="H2649" s="4">
        <f t="shared" si="249"/>
        <v>2023</v>
      </c>
      <c r="I2649" s="2" t="s">
        <v>4</v>
      </c>
      <c r="J2649" s="2" t="s">
        <v>3505</v>
      </c>
      <c r="K2649" s="2" t="s">
        <v>1239</v>
      </c>
      <c r="L2649" s="2" t="s">
        <v>3506</v>
      </c>
      <c r="M2649" s="2" t="s">
        <v>917</v>
      </c>
      <c r="N2649" s="4" t="str">
        <f t="shared" si="251"/>
        <v>GAL</v>
      </c>
      <c r="O2649" s="5">
        <v>60</v>
      </c>
    </row>
    <row r="2650" spans="2:15" x14ac:dyDescent="0.25">
      <c r="B2650" s="1" t="s">
        <v>3238</v>
      </c>
      <c r="C2650" s="2" t="s">
        <v>3239</v>
      </c>
      <c r="D2650" s="2" t="s">
        <v>3240</v>
      </c>
      <c r="E2650" s="2" t="s">
        <v>102</v>
      </c>
      <c r="F2650" s="3">
        <f t="shared" si="252"/>
        <v>45147</v>
      </c>
      <c r="G2650" s="4">
        <f t="shared" si="250"/>
        <v>8</v>
      </c>
      <c r="H2650" s="4">
        <f t="shared" si="249"/>
        <v>2023</v>
      </c>
      <c r="I2650" s="2" t="s">
        <v>4</v>
      </c>
      <c r="J2650" s="2" t="s">
        <v>3505</v>
      </c>
      <c r="K2650" s="2" t="s">
        <v>2530</v>
      </c>
      <c r="L2650" s="2" t="s">
        <v>3503</v>
      </c>
      <c r="M2650" s="2" t="s">
        <v>2532</v>
      </c>
      <c r="N2650" s="4" t="str">
        <f t="shared" si="251"/>
        <v>GAL</v>
      </c>
      <c r="O2650" s="5">
        <v>150</v>
      </c>
    </row>
    <row r="2651" spans="2:15" x14ac:dyDescent="0.25">
      <c r="B2651" s="1" t="s">
        <v>3238</v>
      </c>
      <c r="C2651" s="2" t="s">
        <v>3239</v>
      </c>
      <c r="D2651" s="2" t="s">
        <v>3240</v>
      </c>
      <c r="E2651" s="2" t="s">
        <v>102</v>
      </c>
      <c r="F2651" s="3">
        <f t="shared" si="252"/>
        <v>45147</v>
      </c>
      <c r="G2651" s="4">
        <f t="shared" si="250"/>
        <v>8</v>
      </c>
      <c r="H2651" s="4">
        <f t="shared" si="249"/>
        <v>2023</v>
      </c>
      <c r="I2651" s="2" t="s">
        <v>4</v>
      </c>
      <c r="J2651" s="2" t="s">
        <v>3505</v>
      </c>
      <c r="K2651" s="2" t="s">
        <v>3507</v>
      </c>
      <c r="L2651" s="2" t="s">
        <v>3508</v>
      </c>
      <c r="M2651" s="2" t="s">
        <v>3509</v>
      </c>
      <c r="N2651" s="4" t="str">
        <f t="shared" si="251"/>
        <v>GAL</v>
      </c>
      <c r="O2651" s="5">
        <v>90</v>
      </c>
    </row>
    <row r="2652" spans="2:15" x14ac:dyDescent="0.25">
      <c r="B2652" s="6" t="s">
        <v>3238</v>
      </c>
      <c r="C2652" s="7" t="s">
        <v>3239</v>
      </c>
      <c r="D2652" s="8" t="s">
        <v>3240</v>
      </c>
      <c r="E2652" s="8" t="s">
        <v>102</v>
      </c>
      <c r="F2652" s="9">
        <f t="shared" si="252"/>
        <v>45147</v>
      </c>
      <c r="G2652" s="10">
        <f t="shared" si="250"/>
        <v>8</v>
      </c>
      <c r="H2652" s="10">
        <f t="shared" si="249"/>
        <v>2023</v>
      </c>
      <c r="I2652" s="8" t="s">
        <v>4</v>
      </c>
      <c r="J2652" s="7" t="s">
        <v>3505</v>
      </c>
      <c r="K2652" s="8" t="s">
        <v>3510</v>
      </c>
      <c r="L2652" s="8" t="s">
        <v>3400</v>
      </c>
      <c r="M2652" s="8" t="s">
        <v>3401</v>
      </c>
      <c r="N2652" s="10" t="str">
        <f t="shared" si="251"/>
        <v>GAL</v>
      </c>
      <c r="O2652" s="11">
        <v>60</v>
      </c>
    </row>
    <row r="2653" spans="2:15" x14ac:dyDescent="0.25">
      <c r="B2653" s="1" t="s">
        <v>3238</v>
      </c>
      <c r="C2653" s="2" t="s">
        <v>3239</v>
      </c>
      <c r="D2653" s="2" t="s">
        <v>3240</v>
      </c>
      <c r="E2653" s="2" t="s">
        <v>3388</v>
      </c>
      <c r="F2653" s="3">
        <f>DATE(2023,8,16)</f>
        <v>45154</v>
      </c>
      <c r="G2653" s="4">
        <f t="shared" si="250"/>
        <v>8</v>
      </c>
      <c r="H2653" s="4">
        <f t="shared" si="249"/>
        <v>2023</v>
      </c>
      <c r="I2653" s="2" t="s">
        <v>4</v>
      </c>
      <c r="J2653" s="2" t="s">
        <v>3511</v>
      </c>
      <c r="K2653" s="2" t="s">
        <v>3512</v>
      </c>
      <c r="L2653" s="2" t="s">
        <v>3250</v>
      </c>
      <c r="M2653" s="2" t="s">
        <v>3251</v>
      </c>
      <c r="N2653" s="4" t="str">
        <f t="shared" si="251"/>
        <v>GAL</v>
      </c>
      <c r="O2653" s="5">
        <v>250</v>
      </c>
    </row>
    <row r="2654" spans="2:15" x14ac:dyDescent="0.25">
      <c r="B2654" s="1" t="s">
        <v>3238</v>
      </c>
      <c r="C2654" s="2" t="s">
        <v>3239</v>
      </c>
      <c r="D2654" s="2" t="s">
        <v>3240</v>
      </c>
      <c r="E2654" s="2" t="s">
        <v>3379</v>
      </c>
      <c r="F2654" s="3">
        <f>DATE(2023,8,17)</f>
        <v>45155</v>
      </c>
      <c r="G2654" s="4">
        <f t="shared" si="250"/>
        <v>8</v>
      </c>
      <c r="H2654" s="4">
        <f t="shared" si="249"/>
        <v>2023</v>
      </c>
      <c r="I2654" s="2" t="s">
        <v>4</v>
      </c>
      <c r="J2654" s="2" t="s">
        <v>3513</v>
      </c>
      <c r="K2654" s="2" t="s">
        <v>3514</v>
      </c>
      <c r="L2654" s="2" t="s">
        <v>3515</v>
      </c>
      <c r="M2654" s="2" t="s">
        <v>3516</v>
      </c>
      <c r="N2654" s="4" t="str">
        <f t="shared" si="251"/>
        <v>GAL</v>
      </c>
      <c r="O2654" s="5">
        <v>250</v>
      </c>
    </row>
    <row r="2655" spans="2:15" x14ac:dyDescent="0.25">
      <c r="B2655" s="1" t="s">
        <v>3238</v>
      </c>
      <c r="C2655" s="2" t="s">
        <v>3239</v>
      </c>
      <c r="D2655" s="2" t="s">
        <v>3240</v>
      </c>
      <c r="E2655" s="2" t="s">
        <v>3379</v>
      </c>
      <c r="F2655" s="3">
        <f>DATE(2023,8,17)</f>
        <v>45155</v>
      </c>
      <c r="G2655" s="4">
        <f t="shared" si="250"/>
        <v>8</v>
      </c>
      <c r="H2655" s="4">
        <f t="shared" si="249"/>
        <v>2023</v>
      </c>
      <c r="I2655" s="2" t="s">
        <v>4</v>
      </c>
      <c r="J2655" s="2" t="s">
        <v>3513</v>
      </c>
      <c r="K2655" s="2" t="s">
        <v>3381</v>
      </c>
      <c r="L2655" s="2" t="s">
        <v>3382</v>
      </c>
      <c r="M2655" s="2" t="s">
        <v>3383</v>
      </c>
      <c r="N2655" s="4" t="str">
        <f t="shared" si="251"/>
        <v>GAL</v>
      </c>
      <c r="O2655" s="5">
        <v>250</v>
      </c>
    </row>
    <row r="2656" spans="2:15" x14ac:dyDescent="0.25">
      <c r="B2656" s="1" t="s">
        <v>3238</v>
      </c>
      <c r="C2656" s="2" t="s">
        <v>3239</v>
      </c>
      <c r="D2656" s="2" t="s">
        <v>3240</v>
      </c>
      <c r="E2656" s="2" t="s">
        <v>3402</v>
      </c>
      <c r="F2656" s="3">
        <f>DATE(2023,8,17)</f>
        <v>45155</v>
      </c>
      <c r="G2656" s="4">
        <f t="shared" si="250"/>
        <v>8</v>
      </c>
      <c r="H2656" s="4">
        <f t="shared" si="249"/>
        <v>2023</v>
      </c>
      <c r="I2656" s="2" t="s">
        <v>4</v>
      </c>
      <c r="J2656" s="2" t="s">
        <v>3517</v>
      </c>
      <c r="K2656" s="2" t="s">
        <v>3404</v>
      </c>
      <c r="L2656" s="2" t="s">
        <v>3405</v>
      </c>
      <c r="M2656" s="2" t="s">
        <v>3406</v>
      </c>
      <c r="N2656" s="4" t="str">
        <f t="shared" si="251"/>
        <v>GAL</v>
      </c>
      <c r="O2656" s="5">
        <v>500</v>
      </c>
    </row>
    <row r="2657" spans="2:15" x14ac:dyDescent="0.25">
      <c r="B2657" s="1" t="s">
        <v>3238</v>
      </c>
      <c r="C2657" s="2" t="s">
        <v>3239</v>
      </c>
      <c r="D2657" s="2" t="s">
        <v>3240</v>
      </c>
      <c r="E2657" s="2" t="s">
        <v>3518</v>
      </c>
      <c r="F2657" s="3">
        <f>DATE(2023,8,22)</f>
        <v>45160</v>
      </c>
      <c r="G2657" s="4">
        <f t="shared" si="250"/>
        <v>8</v>
      </c>
      <c r="H2657" s="4">
        <f t="shared" si="249"/>
        <v>2023</v>
      </c>
      <c r="I2657" s="2" t="s">
        <v>4</v>
      </c>
      <c r="J2657" s="2" t="s">
        <v>3519</v>
      </c>
      <c r="K2657" s="2" t="s">
        <v>3249</v>
      </c>
      <c r="L2657" s="2" t="s">
        <v>3250</v>
      </c>
      <c r="M2657" s="2" t="s">
        <v>3251</v>
      </c>
      <c r="N2657" s="4" t="str">
        <f t="shared" si="251"/>
        <v>GAL</v>
      </c>
      <c r="O2657" s="5">
        <v>180</v>
      </c>
    </row>
    <row r="2658" spans="2:15" x14ac:dyDescent="0.25">
      <c r="B2658" s="6" t="s">
        <v>3238</v>
      </c>
      <c r="C2658" s="7" t="s">
        <v>3239</v>
      </c>
      <c r="D2658" s="8" t="s">
        <v>3240</v>
      </c>
      <c r="E2658" s="8" t="s">
        <v>102</v>
      </c>
      <c r="F2658" s="9">
        <f>DATE(2023,8,23)</f>
        <v>45161</v>
      </c>
      <c r="G2658" s="10">
        <f t="shared" si="250"/>
        <v>8</v>
      </c>
      <c r="H2658" s="10">
        <f t="shared" si="249"/>
        <v>2023</v>
      </c>
      <c r="I2658" s="8" t="s">
        <v>4</v>
      </c>
      <c r="J2658" s="7" t="s">
        <v>3520</v>
      </c>
      <c r="K2658" s="8" t="s">
        <v>3521</v>
      </c>
      <c r="L2658" s="8" t="s">
        <v>3498</v>
      </c>
      <c r="M2658" s="8" t="s">
        <v>556</v>
      </c>
      <c r="N2658" s="10" t="str">
        <f t="shared" si="251"/>
        <v>GAL</v>
      </c>
      <c r="O2658" s="11">
        <v>360</v>
      </c>
    </row>
    <row r="2659" spans="2:15" x14ac:dyDescent="0.25">
      <c r="B2659" s="1" t="s">
        <v>3238</v>
      </c>
      <c r="C2659" s="2" t="s">
        <v>3239</v>
      </c>
      <c r="D2659" s="2" t="s">
        <v>3240</v>
      </c>
      <c r="E2659" s="2" t="s">
        <v>3522</v>
      </c>
      <c r="F2659" s="3">
        <f t="shared" ref="F2659:F2664" si="253">DATE(2023,8,28)</f>
        <v>45166</v>
      </c>
      <c r="G2659" s="4">
        <f t="shared" si="250"/>
        <v>8</v>
      </c>
      <c r="H2659" s="4">
        <f t="shared" si="249"/>
        <v>2023</v>
      </c>
      <c r="I2659" s="2" t="s">
        <v>4</v>
      </c>
      <c r="J2659" s="2" t="s">
        <v>3523</v>
      </c>
      <c r="K2659" s="2" t="s">
        <v>3524</v>
      </c>
      <c r="L2659" s="2" t="s">
        <v>3525</v>
      </c>
      <c r="M2659" s="2" t="s">
        <v>1397</v>
      </c>
      <c r="N2659" s="4" t="str">
        <f t="shared" si="251"/>
        <v>GAL</v>
      </c>
      <c r="O2659" s="5">
        <v>250</v>
      </c>
    </row>
    <row r="2660" spans="2:15" x14ac:dyDescent="0.25">
      <c r="B2660" s="1" t="s">
        <v>3238</v>
      </c>
      <c r="C2660" s="2" t="s">
        <v>3239</v>
      </c>
      <c r="D2660" s="2" t="s">
        <v>3240</v>
      </c>
      <c r="E2660" s="2" t="s">
        <v>3522</v>
      </c>
      <c r="F2660" s="3">
        <f t="shared" si="253"/>
        <v>45166</v>
      </c>
      <c r="G2660" s="4">
        <f t="shared" si="250"/>
        <v>8</v>
      </c>
      <c r="H2660" s="4">
        <f t="shared" si="249"/>
        <v>2023</v>
      </c>
      <c r="I2660" s="2" t="s">
        <v>4</v>
      </c>
      <c r="J2660" s="2" t="s">
        <v>3523</v>
      </c>
      <c r="K2660" s="2" t="s">
        <v>998</v>
      </c>
      <c r="L2660" s="2" t="s">
        <v>3526</v>
      </c>
      <c r="M2660" s="2" t="s">
        <v>1000</v>
      </c>
      <c r="N2660" s="4" t="str">
        <f t="shared" si="251"/>
        <v>GAL</v>
      </c>
      <c r="O2660" s="5">
        <v>250</v>
      </c>
    </row>
    <row r="2661" spans="2:15" x14ac:dyDescent="0.25">
      <c r="B2661" s="1" t="s">
        <v>3238</v>
      </c>
      <c r="C2661" s="2" t="s">
        <v>3239</v>
      </c>
      <c r="D2661" s="2" t="s">
        <v>3240</v>
      </c>
      <c r="E2661" s="2" t="s">
        <v>3527</v>
      </c>
      <c r="F2661" s="3">
        <f t="shared" si="253"/>
        <v>45166</v>
      </c>
      <c r="G2661" s="4">
        <f t="shared" si="250"/>
        <v>8</v>
      </c>
      <c r="H2661" s="4">
        <f t="shared" si="249"/>
        <v>2023</v>
      </c>
      <c r="I2661" s="2" t="s">
        <v>4</v>
      </c>
      <c r="J2661" s="2" t="s">
        <v>3528</v>
      </c>
      <c r="K2661" s="2" t="s">
        <v>3524</v>
      </c>
      <c r="L2661" s="2" t="s">
        <v>3525</v>
      </c>
      <c r="M2661" s="2" t="s">
        <v>1397</v>
      </c>
      <c r="N2661" s="4" t="str">
        <f t="shared" si="251"/>
        <v>GAL</v>
      </c>
      <c r="O2661" s="5">
        <v>275</v>
      </c>
    </row>
    <row r="2662" spans="2:15" x14ac:dyDescent="0.25">
      <c r="B2662" s="1" t="s">
        <v>3238</v>
      </c>
      <c r="C2662" s="2" t="s">
        <v>3239</v>
      </c>
      <c r="D2662" s="2" t="s">
        <v>3240</v>
      </c>
      <c r="E2662" s="2" t="s">
        <v>3529</v>
      </c>
      <c r="F2662" s="3">
        <f t="shared" si="253"/>
        <v>45166</v>
      </c>
      <c r="G2662" s="4">
        <f t="shared" si="250"/>
        <v>8</v>
      </c>
      <c r="H2662" s="4">
        <f t="shared" si="249"/>
        <v>2023</v>
      </c>
      <c r="I2662" s="2" t="s">
        <v>4</v>
      </c>
      <c r="J2662" s="2" t="s">
        <v>3530</v>
      </c>
      <c r="K2662" s="2" t="s">
        <v>998</v>
      </c>
      <c r="L2662" s="2" t="s">
        <v>3526</v>
      </c>
      <c r="M2662" s="2" t="s">
        <v>1000</v>
      </c>
      <c r="N2662" s="4" t="str">
        <f t="shared" si="251"/>
        <v>GAL</v>
      </c>
      <c r="O2662" s="5">
        <v>250</v>
      </c>
    </row>
    <row r="2663" spans="2:15" x14ac:dyDescent="0.25">
      <c r="B2663" s="1" t="s">
        <v>3238</v>
      </c>
      <c r="C2663" s="2" t="s">
        <v>3239</v>
      </c>
      <c r="D2663" s="2" t="s">
        <v>3240</v>
      </c>
      <c r="E2663" s="2" t="s">
        <v>3529</v>
      </c>
      <c r="F2663" s="3">
        <f t="shared" si="253"/>
        <v>45166</v>
      </c>
      <c r="G2663" s="4">
        <f t="shared" si="250"/>
        <v>8</v>
      </c>
      <c r="H2663" s="4">
        <f t="shared" si="249"/>
        <v>2023</v>
      </c>
      <c r="I2663" s="2" t="s">
        <v>4</v>
      </c>
      <c r="J2663" s="2" t="s">
        <v>3530</v>
      </c>
      <c r="K2663" s="2" t="s">
        <v>3395</v>
      </c>
      <c r="L2663" s="2" t="s">
        <v>3396</v>
      </c>
      <c r="M2663" s="2" t="s">
        <v>844</v>
      </c>
      <c r="N2663" s="4" t="str">
        <f t="shared" si="251"/>
        <v>GAL</v>
      </c>
      <c r="O2663" s="5">
        <v>275</v>
      </c>
    </row>
    <row r="2664" spans="2:15" x14ac:dyDescent="0.25">
      <c r="B2664" s="1" t="s">
        <v>3238</v>
      </c>
      <c r="C2664" s="2" t="s">
        <v>3239</v>
      </c>
      <c r="D2664" s="2" t="s">
        <v>3240</v>
      </c>
      <c r="E2664" s="2" t="s">
        <v>3529</v>
      </c>
      <c r="F2664" s="3">
        <f t="shared" si="253"/>
        <v>45166</v>
      </c>
      <c r="G2664" s="4">
        <f t="shared" si="250"/>
        <v>8</v>
      </c>
      <c r="H2664" s="4">
        <f t="shared" si="249"/>
        <v>2023</v>
      </c>
      <c r="I2664" s="2" t="s">
        <v>4</v>
      </c>
      <c r="J2664" s="2" t="s">
        <v>3530</v>
      </c>
      <c r="K2664" s="2" t="s">
        <v>3531</v>
      </c>
      <c r="L2664" s="2" t="s">
        <v>3532</v>
      </c>
      <c r="M2664" s="2" t="s">
        <v>41</v>
      </c>
      <c r="N2664" s="4" t="str">
        <f t="shared" si="251"/>
        <v>GAL</v>
      </c>
      <c r="O2664" s="5">
        <v>275</v>
      </c>
    </row>
    <row r="2665" spans="2:15" x14ac:dyDescent="0.25">
      <c r="B2665" s="1" t="s">
        <v>3238</v>
      </c>
      <c r="C2665" s="2" t="s">
        <v>3239</v>
      </c>
      <c r="D2665" s="2" t="s">
        <v>3240</v>
      </c>
      <c r="E2665" s="2" t="s">
        <v>102</v>
      </c>
      <c r="F2665" s="3">
        <f>DATE(2023,8,31)</f>
        <v>45169</v>
      </c>
      <c r="G2665" s="4">
        <f t="shared" si="250"/>
        <v>8</v>
      </c>
      <c r="H2665" s="4">
        <f t="shared" si="249"/>
        <v>2023</v>
      </c>
      <c r="I2665" s="2" t="s">
        <v>4</v>
      </c>
      <c r="J2665" s="2" t="s">
        <v>3533</v>
      </c>
      <c r="K2665" s="2" t="s">
        <v>36</v>
      </c>
      <c r="L2665" s="2" t="s">
        <v>3534</v>
      </c>
      <c r="M2665" s="2" t="s">
        <v>38</v>
      </c>
      <c r="N2665" s="4" t="str">
        <f t="shared" si="251"/>
        <v>GAL</v>
      </c>
      <c r="O2665" s="5">
        <v>110</v>
      </c>
    </row>
    <row r="2666" spans="2:15" x14ac:dyDescent="0.25">
      <c r="B2666" s="1" t="s">
        <v>3238</v>
      </c>
      <c r="C2666" s="2" t="s">
        <v>3239</v>
      </c>
      <c r="D2666" s="2" t="s">
        <v>3240</v>
      </c>
      <c r="E2666" s="2" t="s">
        <v>102</v>
      </c>
      <c r="F2666" s="3">
        <f>DATE(2023,8,31)</f>
        <v>45169</v>
      </c>
      <c r="G2666" s="4">
        <f t="shared" si="250"/>
        <v>8</v>
      </c>
      <c r="H2666" s="4">
        <f t="shared" si="249"/>
        <v>2023</v>
      </c>
      <c r="I2666" s="2" t="s">
        <v>4</v>
      </c>
      <c r="J2666" s="2" t="s">
        <v>3533</v>
      </c>
      <c r="K2666" s="2" t="s">
        <v>3535</v>
      </c>
      <c r="L2666" s="2" t="s">
        <v>3536</v>
      </c>
      <c r="M2666" s="2" t="s">
        <v>2532</v>
      </c>
      <c r="N2666" s="4" t="str">
        <f t="shared" si="251"/>
        <v>GAL</v>
      </c>
      <c r="O2666" s="5">
        <v>70</v>
      </c>
    </row>
    <row r="2667" spans="2:15" x14ac:dyDescent="0.25">
      <c r="B2667" s="1" t="s">
        <v>0</v>
      </c>
      <c r="C2667" s="2" t="s">
        <v>1</v>
      </c>
      <c r="D2667" s="2" t="s">
        <v>2</v>
      </c>
      <c r="E2667" s="2" t="s">
        <v>1432</v>
      </c>
      <c r="F2667" s="3">
        <f>DATE(2023,9,5)</f>
        <v>45174</v>
      </c>
      <c r="G2667" s="4">
        <f t="shared" si="250"/>
        <v>9</v>
      </c>
      <c r="H2667" s="4">
        <f t="shared" si="249"/>
        <v>2023</v>
      </c>
      <c r="I2667" s="2" t="s">
        <v>4</v>
      </c>
      <c r="J2667" s="2" t="s">
        <v>3537</v>
      </c>
      <c r="K2667" s="2" t="s">
        <v>19</v>
      </c>
      <c r="L2667" s="2" t="s">
        <v>20</v>
      </c>
      <c r="M2667" s="2" t="s">
        <v>21</v>
      </c>
      <c r="N2667" s="4" t="str">
        <f t="shared" si="251"/>
        <v>GAL</v>
      </c>
      <c r="O2667" s="5">
        <v>20</v>
      </c>
    </row>
    <row r="2668" spans="2:15" x14ac:dyDescent="0.25">
      <c r="B2668" s="1" t="s">
        <v>0</v>
      </c>
      <c r="C2668" s="2" t="s">
        <v>1</v>
      </c>
      <c r="D2668" s="2" t="s">
        <v>2</v>
      </c>
      <c r="E2668" s="2" t="s">
        <v>1432</v>
      </c>
      <c r="F2668" s="3">
        <f>DATE(2023,9,5)</f>
        <v>45174</v>
      </c>
      <c r="G2668" s="4">
        <f t="shared" si="250"/>
        <v>9</v>
      </c>
      <c r="H2668" s="4">
        <f t="shared" si="249"/>
        <v>2023</v>
      </c>
      <c r="I2668" s="2" t="s">
        <v>4</v>
      </c>
      <c r="J2668" s="2" t="s">
        <v>3537</v>
      </c>
      <c r="K2668" s="2" t="s">
        <v>25</v>
      </c>
      <c r="L2668" s="2" t="s">
        <v>26</v>
      </c>
      <c r="M2668" s="2" t="s">
        <v>27</v>
      </c>
      <c r="N2668" s="4" t="str">
        <f t="shared" si="251"/>
        <v>GAL</v>
      </c>
      <c r="O2668" s="5">
        <v>20</v>
      </c>
    </row>
    <row r="2669" spans="2:15" x14ac:dyDescent="0.25">
      <c r="B2669" s="1" t="s">
        <v>0</v>
      </c>
      <c r="C2669" s="2" t="s">
        <v>1</v>
      </c>
      <c r="D2669" s="2" t="s">
        <v>2</v>
      </c>
      <c r="E2669" s="2" t="s">
        <v>1432</v>
      </c>
      <c r="F2669" s="3">
        <f>DATE(2023,9,5)</f>
        <v>45174</v>
      </c>
      <c r="G2669" s="4">
        <f t="shared" si="250"/>
        <v>9</v>
      </c>
      <c r="H2669" s="4">
        <f t="shared" si="249"/>
        <v>2023</v>
      </c>
      <c r="I2669" s="2" t="s">
        <v>4</v>
      </c>
      <c r="J2669" s="2" t="s">
        <v>3537</v>
      </c>
      <c r="K2669" s="2" t="s">
        <v>28</v>
      </c>
      <c r="L2669" s="2" t="s">
        <v>29</v>
      </c>
      <c r="M2669" s="2" t="s">
        <v>30</v>
      </c>
      <c r="N2669" s="4" t="str">
        <f t="shared" si="251"/>
        <v>GAL</v>
      </c>
      <c r="O2669" s="5">
        <v>10</v>
      </c>
    </row>
    <row r="2670" spans="2:15" x14ac:dyDescent="0.25">
      <c r="B2670" s="1" t="s">
        <v>0</v>
      </c>
      <c r="C2670" s="2" t="s">
        <v>1</v>
      </c>
      <c r="D2670" s="2" t="s">
        <v>2</v>
      </c>
      <c r="E2670" s="2" t="s">
        <v>1432</v>
      </c>
      <c r="F2670" s="3">
        <f>DATE(2023,9,5)</f>
        <v>45174</v>
      </c>
      <c r="G2670" s="4">
        <f t="shared" si="250"/>
        <v>9</v>
      </c>
      <c r="H2670" s="4">
        <f t="shared" si="249"/>
        <v>2023</v>
      </c>
      <c r="I2670" s="2" t="s">
        <v>4</v>
      </c>
      <c r="J2670" s="2" t="s">
        <v>3537</v>
      </c>
      <c r="K2670" s="2" t="s">
        <v>16</v>
      </c>
      <c r="L2670" s="2" t="s">
        <v>7</v>
      </c>
      <c r="M2670" s="2" t="s">
        <v>8</v>
      </c>
      <c r="N2670" s="4" t="str">
        <f t="shared" si="251"/>
        <v>GAL</v>
      </c>
      <c r="O2670" s="5">
        <v>20</v>
      </c>
    </row>
    <row r="2671" spans="2:15" x14ac:dyDescent="0.25">
      <c r="B2671" s="1" t="s">
        <v>0</v>
      </c>
      <c r="C2671" s="2" t="s">
        <v>1</v>
      </c>
      <c r="D2671" s="2" t="s">
        <v>2</v>
      </c>
      <c r="E2671" s="2" t="s">
        <v>78</v>
      </c>
      <c r="F2671" s="3">
        <f t="shared" ref="F2671:F2677" si="254">DATE(2023,9,19)</f>
        <v>45188</v>
      </c>
      <c r="G2671" s="4">
        <f t="shared" si="250"/>
        <v>9</v>
      </c>
      <c r="H2671" s="4">
        <f t="shared" si="249"/>
        <v>2023</v>
      </c>
      <c r="I2671" s="2" t="s">
        <v>4</v>
      </c>
      <c r="J2671" s="2" t="s">
        <v>3538</v>
      </c>
      <c r="K2671" s="2" t="s">
        <v>19</v>
      </c>
      <c r="L2671" s="2" t="s">
        <v>20</v>
      </c>
      <c r="M2671" s="2" t="s">
        <v>21</v>
      </c>
      <c r="N2671" s="4" t="str">
        <f t="shared" si="251"/>
        <v>GAL</v>
      </c>
      <c r="O2671" s="5">
        <v>120</v>
      </c>
    </row>
    <row r="2672" spans="2:15" x14ac:dyDescent="0.25">
      <c r="B2672" s="1" t="s">
        <v>0</v>
      </c>
      <c r="C2672" s="2" t="s">
        <v>1</v>
      </c>
      <c r="D2672" s="2" t="s">
        <v>2</v>
      </c>
      <c r="E2672" s="2" t="s">
        <v>78</v>
      </c>
      <c r="F2672" s="3">
        <f t="shared" si="254"/>
        <v>45188</v>
      </c>
      <c r="G2672" s="4">
        <f t="shared" si="250"/>
        <v>9</v>
      </c>
      <c r="H2672" s="4">
        <f t="shared" si="249"/>
        <v>2023</v>
      </c>
      <c r="I2672" s="2" t="s">
        <v>4</v>
      </c>
      <c r="J2672" s="2" t="s">
        <v>3538</v>
      </c>
      <c r="K2672" s="2" t="s">
        <v>80</v>
      </c>
      <c r="L2672" s="2" t="s">
        <v>81</v>
      </c>
      <c r="M2672" s="2" t="s">
        <v>82</v>
      </c>
      <c r="N2672" s="4" t="str">
        <f t="shared" si="251"/>
        <v>GAL</v>
      </c>
      <c r="O2672" s="5">
        <v>60</v>
      </c>
    </row>
    <row r="2673" spans="2:15" x14ac:dyDescent="0.25">
      <c r="B2673" s="1" t="s">
        <v>0</v>
      </c>
      <c r="C2673" s="2" t="s">
        <v>1</v>
      </c>
      <c r="D2673" s="2" t="s">
        <v>2</v>
      </c>
      <c r="E2673" s="2" t="s">
        <v>78</v>
      </c>
      <c r="F2673" s="3">
        <f t="shared" si="254"/>
        <v>45188</v>
      </c>
      <c r="G2673" s="4">
        <f t="shared" si="250"/>
        <v>9</v>
      </c>
      <c r="H2673" s="4">
        <f t="shared" si="249"/>
        <v>2023</v>
      </c>
      <c r="I2673" s="2" t="s">
        <v>4</v>
      </c>
      <c r="J2673" s="2" t="s">
        <v>3538</v>
      </c>
      <c r="K2673" s="2" t="s">
        <v>25</v>
      </c>
      <c r="L2673" s="2" t="s">
        <v>26</v>
      </c>
      <c r="M2673" s="2" t="s">
        <v>27</v>
      </c>
      <c r="N2673" s="4" t="str">
        <f t="shared" si="251"/>
        <v>GAL</v>
      </c>
      <c r="O2673" s="5">
        <v>120</v>
      </c>
    </row>
    <row r="2674" spans="2:15" x14ac:dyDescent="0.25">
      <c r="B2674" s="1" t="s">
        <v>0</v>
      </c>
      <c r="C2674" s="2" t="s">
        <v>1</v>
      </c>
      <c r="D2674" s="2" t="s">
        <v>2</v>
      </c>
      <c r="E2674" s="2" t="s">
        <v>78</v>
      </c>
      <c r="F2674" s="3">
        <f t="shared" si="254"/>
        <v>45188</v>
      </c>
      <c r="G2674" s="4">
        <f t="shared" si="250"/>
        <v>9</v>
      </c>
      <c r="H2674" s="4">
        <f t="shared" si="249"/>
        <v>2023</v>
      </c>
      <c r="I2674" s="2" t="s">
        <v>4</v>
      </c>
      <c r="J2674" s="2" t="s">
        <v>3538</v>
      </c>
      <c r="K2674" s="2" t="s">
        <v>28</v>
      </c>
      <c r="L2674" s="2" t="s">
        <v>29</v>
      </c>
      <c r="M2674" s="2" t="s">
        <v>30</v>
      </c>
      <c r="N2674" s="4" t="str">
        <f t="shared" si="251"/>
        <v>GAL</v>
      </c>
      <c r="O2674" s="5">
        <v>120</v>
      </c>
    </row>
    <row r="2675" spans="2:15" x14ac:dyDescent="0.25">
      <c r="B2675" s="1" t="s">
        <v>0</v>
      </c>
      <c r="C2675" s="2" t="s">
        <v>1</v>
      </c>
      <c r="D2675" s="2" t="s">
        <v>2</v>
      </c>
      <c r="E2675" s="2" t="s">
        <v>78</v>
      </c>
      <c r="F2675" s="3">
        <f t="shared" si="254"/>
        <v>45188</v>
      </c>
      <c r="G2675" s="4">
        <f t="shared" si="250"/>
        <v>9</v>
      </c>
      <c r="H2675" s="4">
        <f t="shared" si="249"/>
        <v>2023</v>
      </c>
      <c r="I2675" s="2" t="s">
        <v>4</v>
      </c>
      <c r="J2675" s="2" t="s">
        <v>3538</v>
      </c>
      <c r="K2675" s="2" t="s">
        <v>16</v>
      </c>
      <c r="L2675" s="2" t="s">
        <v>7</v>
      </c>
      <c r="M2675" s="2" t="s">
        <v>8</v>
      </c>
      <c r="N2675" s="4" t="str">
        <f t="shared" si="251"/>
        <v>GAL</v>
      </c>
      <c r="O2675" s="5">
        <v>180</v>
      </c>
    </row>
    <row r="2676" spans="2:15" x14ac:dyDescent="0.25">
      <c r="B2676" s="1" t="s">
        <v>0</v>
      </c>
      <c r="C2676" s="2" t="s">
        <v>1</v>
      </c>
      <c r="D2676" s="2" t="s">
        <v>2</v>
      </c>
      <c r="E2676" s="2" t="s">
        <v>3</v>
      </c>
      <c r="F2676" s="3">
        <f t="shared" si="254"/>
        <v>45188</v>
      </c>
      <c r="G2676" s="4">
        <f t="shared" si="250"/>
        <v>9</v>
      </c>
      <c r="H2676" s="4">
        <f t="shared" si="249"/>
        <v>2023</v>
      </c>
      <c r="I2676" s="2" t="s">
        <v>4</v>
      </c>
      <c r="J2676" s="2" t="s">
        <v>3539</v>
      </c>
      <c r="K2676" s="2" t="s">
        <v>566</v>
      </c>
      <c r="L2676" s="2" t="s">
        <v>20</v>
      </c>
      <c r="M2676" s="2" t="s">
        <v>21</v>
      </c>
      <c r="N2676" s="4" t="str">
        <f t="shared" si="251"/>
        <v>GAL</v>
      </c>
      <c r="O2676" s="5">
        <v>55</v>
      </c>
    </row>
    <row r="2677" spans="2:15" x14ac:dyDescent="0.25">
      <c r="B2677" s="1" t="s">
        <v>0</v>
      </c>
      <c r="C2677" s="2" t="s">
        <v>1</v>
      </c>
      <c r="D2677" s="2" t="s">
        <v>2</v>
      </c>
      <c r="E2677" s="2" t="s">
        <v>3</v>
      </c>
      <c r="F2677" s="3">
        <f t="shared" si="254"/>
        <v>45188</v>
      </c>
      <c r="G2677" s="4">
        <f t="shared" si="250"/>
        <v>9</v>
      </c>
      <c r="H2677" s="4">
        <f t="shared" si="249"/>
        <v>2023</v>
      </c>
      <c r="I2677" s="2" t="s">
        <v>4</v>
      </c>
      <c r="J2677" s="2" t="s">
        <v>3539</v>
      </c>
      <c r="K2677" s="2" t="s">
        <v>6</v>
      </c>
      <c r="L2677" s="2" t="s">
        <v>7</v>
      </c>
      <c r="M2677" s="2" t="s">
        <v>8</v>
      </c>
      <c r="N2677" s="4" t="str">
        <f t="shared" si="251"/>
        <v>GAL</v>
      </c>
      <c r="O2677" s="5">
        <v>55</v>
      </c>
    </row>
    <row r="2678" spans="2:15" x14ac:dyDescent="0.25">
      <c r="B2678" s="1" t="s">
        <v>0</v>
      </c>
      <c r="C2678" s="2" t="s">
        <v>1</v>
      </c>
      <c r="D2678" s="2" t="s">
        <v>55</v>
      </c>
      <c r="E2678" s="2" t="s">
        <v>56</v>
      </c>
      <c r="F2678" s="3">
        <f>DATE(2023,9,20)</f>
        <v>45189</v>
      </c>
      <c r="G2678" s="4">
        <f t="shared" si="250"/>
        <v>9</v>
      </c>
      <c r="H2678" s="4">
        <f t="shared" si="249"/>
        <v>2023</v>
      </c>
      <c r="I2678" s="2" t="s">
        <v>4</v>
      </c>
      <c r="J2678" s="2" t="s">
        <v>3540</v>
      </c>
      <c r="K2678" s="2" t="s">
        <v>582</v>
      </c>
      <c r="L2678" s="2" t="s">
        <v>583</v>
      </c>
      <c r="M2678" s="2" t="s">
        <v>553</v>
      </c>
      <c r="N2678" s="4" t="str">
        <f t="shared" si="251"/>
        <v>GAL</v>
      </c>
      <c r="O2678" s="5">
        <v>55</v>
      </c>
    </row>
    <row r="2679" spans="2:15" x14ac:dyDescent="0.25">
      <c r="B2679" s="1" t="s">
        <v>0</v>
      </c>
      <c r="C2679" s="2" t="s">
        <v>1</v>
      </c>
      <c r="D2679" s="2" t="s">
        <v>55</v>
      </c>
      <c r="E2679" s="2" t="s">
        <v>56</v>
      </c>
      <c r="F2679" s="3">
        <f>DATE(2023,9,20)</f>
        <v>45189</v>
      </c>
      <c r="G2679" s="4">
        <f t="shared" si="250"/>
        <v>9</v>
      </c>
      <c r="H2679" s="4">
        <f t="shared" si="249"/>
        <v>2023</v>
      </c>
      <c r="I2679" s="2" t="s">
        <v>4</v>
      </c>
      <c r="J2679" s="2" t="s">
        <v>3540</v>
      </c>
      <c r="K2679" s="2" t="s">
        <v>83</v>
      </c>
      <c r="L2679" s="2" t="s">
        <v>584</v>
      </c>
      <c r="M2679" s="2" t="s">
        <v>85</v>
      </c>
      <c r="N2679" s="4" t="str">
        <f t="shared" si="251"/>
        <v>GAL</v>
      </c>
      <c r="O2679" s="5">
        <v>55</v>
      </c>
    </row>
    <row r="2680" spans="2:15" x14ac:dyDescent="0.25">
      <c r="B2680" s="1" t="s">
        <v>0</v>
      </c>
      <c r="C2680" s="2" t="s">
        <v>1</v>
      </c>
      <c r="D2680" s="2" t="s">
        <v>55</v>
      </c>
      <c r="E2680" s="2" t="s">
        <v>56</v>
      </c>
      <c r="F2680" s="3">
        <f>DATE(2023,9,20)</f>
        <v>45189</v>
      </c>
      <c r="G2680" s="4">
        <f t="shared" si="250"/>
        <v>9</v>
      </c>
      <c r="H2680" s="4">
        <f t="shared" si="249"/>
        <v>2023</v>
      </c>
      <c r="I2680" s="2" t="s">
        <v>4</v>
      </c>
      <c r="J2680" s="2" t="s">
        <v>3540</v>
      </c>
      <c r="K2680" s="2" t="s">
        <v>585</v>
      </c>
      <c r="L2680" s="2" t="s">
        <v>586</v>
      </c>
      <c r="M2680" s="2" t="s">
        <v>587</v>
      </c>
      <c r="N2680" s="4" t="str">
        <f t="shared" si="251"/>
        <v>GAL</v>
      </c>
      <c r="O2680" s="5">
        <v>55</v>
      </c>
    </row>
    <row r="2681" spans="2:15" x14ac:dyDescent="0.25">
      <c r="B2681" s="1" t="s">
        <v>0</v>
      </c>
      <c r="C2681" s="2" t="s">
        <v>1</v>
      </c>
      <c r="D2681" s="2" t="s">
        <v>2</v>
      </c>
      <c r="E2681" s="2" t="s">
        <v>3541</v>
      </c>
      <c r="F2681" s="3">
        <f>DATE(2023,9,20)</f>
        <v>45189</v>
      </c>
      <c r="G2681" s="4">
        <f t="shared" si="250"/>
        <v>9</v>
      </c>
      <c r="H2681" s="4">
        <f t="shared" si="249"/>
        <v>2023</v>
      </c>
      <c r="I2681" s="2" t="s">
        <v>4</v>
      </c>
      <c r="J2681" s="2" t="s">
        <v>3542</v>
      </c>
      <c r="K2681" s="2" t="s">
        <v>11</v>
      </c>
      <c r="L2681" s="2" t="s">
        <v>12</v>
      </c>
      <c r="M2681" s="2" t="s">
        <v>13</v>
      </c>
      <c r="N2681" s="4" t="str">
        <f t="shared" si="251"/>
        <v>GAL</v>
      </c>
      <c r="O2681" s="5">
        <v>110</v>
      </c>
    </row>
    <row r="2682" spans="2:15" x14ac:dyDescent="0.25">
      <c r="B2682" s="1" t="s">
        <v>88</v>
      </c>
      <c r="C2682" s="2" t="s">
        <v>89</v>
      </c>
      <c r="D2682" s="2" t="s">
        <v>1444</v>
      </c>
      <c r="E2682" s="2" t="s">
        <v>2864</v>
      </c>
      <c r="F2682" s="3">
        <f>DATE(2023,9,6)</f>
        <v>45175</v>
      </c>
      <c r="G2682" s="4">
        <f t="shared" si="250"/>
        <v>9</v>
      </c>
      <c r="H2682" s="4">
        <f t="shared" si="249"/>
        <v>2023</v>
      </c>
      <c r="I2682" s="2" t="s">
        <v>4</v>
      </c>
      <c r="J2682" s="2" t="s">
        <v>3543</v>
      </c>
      <c r="K2682" s="2" t="s">
        <v>1446</v>
      </c>
      <c r="L2682" s="2" t="s">
        <v>2581</v>
      </c>
      <c r="M2682" s="2" t="s">
        <v>1448</v>
      </c>
      <c r="N2682" s="4" t="str">
        <f t="shared" si="251"/>
        <v>GAL</v>
      </c>
      <c r="O2682" s="5">
        <v>360</v>
      </c>
    </row>
    <row r="2683" spans="2:15" x14ac:dyDescent="0.25">
      <c r="B2683" s="1" t="s">
        <v>88</v>
      </c>
      <c r="C2683" s="2" t="s">
        <v>89</v>
      </c>
      <c r="D2683" s="2" t="s">
        <v>3544</v>
      </c>
      <c r="E2683" s="2" t="s">
        <v>102</v>
      </c>
      <c r="F2683" s="3">
        <f>DATE(2023,9,8)</f>
        <v>45177</v>
      </c>
      <c r="G2683" s="4">
        <f t="shared" si="250"/>
        <v>9</v>
      </c>
      <c r="H2683" s="4">
        <f t="shared" ref="H2683:H2746" si="255">+YEAR(F2683)</f>
        <v>2023</v>
      </c>
      <c r="I2683" s="2" t="s">
        <v>4</v>
      </c>
      <c r="J2683" s="2" t="s">
        <v>3545</v>
      </c>
      <c r="K2683" s="2" t="s">
        <v>3546</v>
      </c>
      <c r="L2683" s="2" t="s">
        <v>632</v>
      </c>
      <c r="M2683" s="2" t="s">
        <v>633</v>
      </c>
      <c r="N2683" s="4" t="str">
        <f t="shared" si="251"/>
        <v>GAL</v>
      </c>
      <c r="O2683" s="5">
        <v>15</v>
      </c>
    </row>
    <row r="2684" spans="2:15" x14ac:dyDescent="0.25">
      <c r="B2684" s="1" t="s">
        <v>88</v>
      </c>
      <c r="C2684" s="2" t="s">
        <v>89</v>
      </c>
      <c r="D2684" s="2" t="s">
        <v>3544</v>
      </c>
      <c r="E2684" s="2" t="s">
        <v>102</v>
      </c>
      <c r="F2684" s="3">
        <f>DATE(2023,9,8)</f>
        <v>45177</v>
      </c>
      <c r="G2684" s="4">
        <f t="shared" si="250"/>
        <v>9</v>
      </c>
      <c r="H2684" s="4">
        <f t="shared" si="255"/>
        <v>2023</v>
      </c>
      <c r="I2684" s="2" t="s">
        <v>4</v>
      </c>
      <c r="J2684" s="2" t="s">
        <v>3545</v>
      </c>
      <c r="K2684" s="2" t="s">
        <v>3547</v>
      </c>
      <c r="L2684" s="2" t="s">
        <v>632</v>
      </c>
      <c r="M2684" s="2" t="s">
        <v>633</v>
      </c>
      <c r="N2684" s="4" t="str">
        <f t="shared" si="251"/>
        <v>GAL</v>
      </c>
      <c r="O2684" s="5">
        <v>8</v>
      </c>
    </row>
    <row r="2685" spans="2:15" x14ac:dyDescent="0.25">
      <c r="B2685" s="1" t="s">
        <v>88</v>
      </c>
      <c r="C2685" s="2" t="s">
        <v>89</v>
      </c>
      <c r="D2685" s="2" t="s">
        <v>3548</v>
      </c>
      <c r="E2685" s="2" t="s">
        <v>102</v>
      </c>
      <c r="F2685" s="3">
        <f>DATE(2023,9,8)</f>
        <v>45177</v>
      </c>
      <c r="G2685" s="4">
        <f t="shared" si="250"/>
        <v>9</v>
      </c>
      <c r="H2685" s="4">
        <f t="shared" si="255"/>
        <v>2023</v>
      </c>
      <c r="I2685" s="2" t="s">
        <v>4</v>
      </c>
      <c r="J2685" s="2" t="s">
        <v>3549</v>
      </c>
      <c r="K2685" s="2" t="s">
        <v>3550</v>
      </c>
      <c r="L2685" s="2" t="s">
        <v>3551</v>
      </c>
      <c r="M2685" s="2" t="s">
        <v>106</v>
      </c>
      <c r="N2685" s="4" t="str">
        <f t="shared" si="251"/>
        <v>LBS</v>
      </c>
      <c r="O2685" s="5">
        <v>3968</v>
      </c>
    </row>
    <row r="2686" spans="2:15" x14ac:dyDescent="0.25">
      <c r="B2686" s="1" t="s">
        <v>88</v>
      </c>
      <c r="C2686" s="2" t="s">
        <v>89</v>
      </c>
      <c r="D2686" s="2" t="s">
        <v>3552</v>
      </c>
      <c r="E2686" s="2" t="s">
        <v>102</v>
      </c>
      <c r="F2686" s="3">
        <f>DATE(2023,9,12)</f>
        <v>45181</v>
      </c>
      <c r="G2686" s="4">
        <f t="shared" si="250"/>
        <v>9</v>
      </c>
      <c r="H2686" s="4">
        <f t="shared" si="255"/>
        <v>2023</v>
      </c>
      <c r="I2686" s="2" t="s">
        <v>4</v>
      </c>
      <c r="J2686" s="2" t="s">
        <v>3553</v>
      </c>
      <c r="K2686" s="2" t="s">
        <v>3554</v>
      </c>
      <c r="L2686" s="2" t="s">
        <v>3555</v>
      </c>
      <c r="M2686" s="2" t="s">
        <v>106</v>
      </c>
      <c r="N2686" s="4" t="str">
        <f t="shared" si="251"/>
        <v>LBS</v>
      </c>
      <c r="O2686" s="5">
        <v>6105</v>
      </c>
    </row>
    <row r="2687" spans="2:15" x14ac:dyDescent="0.25">
      <c r="B2687" s="1" t="s">
        <v>88</v>
      </c>
      <c r="C2687" s="2" t="s">
        <v>89</v>
      </c>
      <c r="D2687" s="2" t="s">
        <v>140</v>
      </c>
      <c r="E2687" s="2" t="s">
        <v>141</v>
      </c>
      <c r="F2687" s="3">
        <f>DATE(2023,9,13)</f>
        <v>45182</v>
      </c>
      <c r="G2687" s="4">
        <f t="shared" si="250"/>
        <v>9</v>
      </c>
      <c r="H2687" s="4">
        <f t="shared" si="255"/>
        <v>2023</v>
      </c>
      <c r="I2687" s="2" t="s">
        <v>4</v>
      </c>
      <c r="J2687" s="2" t="s">
        <v>3556</v>
      </c>
      <c r="K2687" s="2" t="s">
        <v>1464</v>
      </c>
      <c r="L2687" s="2" t="s">
        <v>1465</v>
      </c>
      <c r="M2687" s="2" t="s">
        <v>1466</v>
      </c>
      <c r="N2687" s="4" t="str">
        <f t="shared" si="251"/>
        <v>GAL</v>
      </c>
      <c r="O2687" s="5">
        <v>250</v>
      </c>
    </row>
    <row r="2688" spans="2:15" x14ac:dyDescent="0.25">
      <c r="B2688" s="1" t="s">
        <v>88</v>
      </c>
      <c r="C2688" s="2" t="s">
        <v>89</v>
      </c>
      <c r="D2688" s="2" t="s">
        <v>1082</v>
      </c>
      <c r="E2688" s="2" t="s">
        <v>1083</v>
      </c>
      <c r="F2688" s="3">
        <f>DATE(2023,9,13)</f>
        <v>45182</v>
      </c>
      <c r="G2688" s="4">
        <f t="shared" si="250"/>
        <v>9</v>
      </c>
      <c r="H2688" s="4">
        <f t="shared" si="255"/>
        <v>2023</v>
      </c>
      <c r="I2688" s="2" t="s">
        <v>4</v>
      </c>
      <c r="J2688" s="2" t="s">
        <v>3557</v>
      </c>
      <c r="K2688" s="2" t="s">
        <v>1085</v>
      </c>
      <c r="L2688" s="2" t="s">
        <v>999</v>
      </c>
      <c r="M2688" s="2" t="s">
        <v>1000</v>
      </c>
      <c r="N2688" s="4" t="str">
        <f t="shared" si="251"/>
        <v>GAL</v>
      </c>
      <c r="O2688" s="5">
        <v>75</v>
      </c>
    </row>
    <row r="2689" spans="2:15" x14ac:dyDescent="0.25">
      <c r="B2689" s="1" t="s">
        <v>88</v>
      </c>
      <c r="C2689" s="2" t="s">
        <v>89</v>
      </c>
      <c r="D2689" s="2" t="s">
        <v>1444</v>
      </c>
      <c r="E2689" s="2" t="s">
        <v>102</v>
      </c>
      <c r="F2689" s="3">
        <f>DATE(2023,9,15)</f>
        <v>45184</v>
      </c>
      <c r="G2689" s="4">
        <f t="shared" si="250"/>
        <v>9</v>
      </c>
      <c r="H2689" s="4">
        <f t="shared" si="255"/>
        <v>2023</v>
      </c>
      <c r="I2689" s="2" t="s">
        <v>4</v>
      </c>
      <c r="J2689" s="2" t="s">
        <v>3558</v>
      </c>
      <c r="K2689" s="2" t="s">
        <v>1446</v>
      </c>
      <c r="L2689" s="2" t="s">
        <v>2581</v>
      </c>
      <c r="M2689" s="2" t="s">
        <v>1448</v>
      </c>
      <c r="N2689" s="4" t="str">
        <f t="shared" si="251"/>
        <v>GAL</v>
      </c>
      <c r="O2689" s="5">
        <v>360</v>
      </c>
    </row>
    <row r="2690" spans="2:15" x14ac:dyDescent="0.25">
      <c r="B2690" s="1" t="s">
        <v>88</v>
      </c>
      <c r="C2690" s="2" t="s">
        <v>89</v>
      </c>
      <c r="D2690" s="2" t="s">
        <v>161</v>
      </c>
      <c r="E2690" s="2" t="s">
        <v>162</v>
      </c>
      <c r="F2690" s="3">
        <f>DATE(2023,9,18)</f>
        <v>45187</v>
      </c>
      <c r="G2690" s="4">
        <f t="shared" si="250"/>
        <v>9</v>
      </c>
      <c r="H2690" s="4">
        <f t="shared" si="255"/>
        <v>2023</v>
      </c>
      <c r="I2690" s="2" t="s">
        <v>4</v>
      </c>
      <c r="J2690" s="2" t="s">
        <v>3559</v>
      </c>
      <c r="K2690" s="2" t="s">
        <v>2629</v>
      </c>
      <c r="L2690" s="2" t="s">
        <v>2630</v>
      </c>
      <c r="M2690" s="2" t="s">
        <v>2631</v>
      </c>
      <c r="N2690" s="4" t="str">
        <f t="shared" si="251"/>
        <v>GAL</v>
      </c>
      <c r="O2690" s="5">
        <v>75</v>
      </c>
    </row>
    <row r="2691" spans="2:15" x14ac:dyDescent="0.25">
      <c r="B2691" s="1" t="s">
        <v>88</v>
      </c>
      <c r="C2691" s="2" t="s">
        <v>89</v>
      </c>
      <c r="D2691" s="2" t="s">
        <v>1103</v>
      </c>
      <c r="E2691" s="2" t="s">
        <v>1104</v>
      </c>
      <c r="F2691" s="3">
        <f>DATE(2023,9,20)</f>
        <v>45189</v>
      </c>
      <c r="G2691" s="4">
        <f t="shared" ref="G2691:G2754" si="256">+MONTH(F2691)</f>
        <v>9</v>
      </c>
      <c r="H2691" s="4">
        <f t="shared" si="255"/>
        <v>2023</v>
      </c>
      <c r="I2691" s="2" t="s">
        <v>4</v>
      </c>
      <c r="J2691" s="2" t="s">
        <v>3560</v>
      </c>
      <c r="K2691" s="2" t="s">
        <v>126</v>
      </c>
      <c r="L2691" s="2" t="s">
        <v>127</v>
      </c>
      <c r="M2691" s="2" t="s">
        <v>106</v>
      </c>
      <c r="N2691" s="4" t="str">
        <f t="shared" ref="N2691:N2754" si="257">+LEFT(M2691,3)</f>
        <v>LBS</v>
      </c>
      <c r="O2691" s="5">
        <v>6575</v>
      </c>
    </row>
    <row r="2692" spans="2:15" x14ac:dyDescent="0.25">
      <c r="B2692" s="1" t="s">
        <v>88</v>
      </c>
      <c r="C2692" s="2" t="s">
        <v>89</v>
      </c>
      <c r="D2692" s="2" t="s">
        <v>134</v>
      </c>
      <c r="E2692" s="2" t="s">
        <v>135</v>
      </c>
      <c r="F2692" s="3">
        <f>DATE(2023,9,21)</f>
        <v>45190</v>
      </c>
      <c r="G2692" s="4">
        <f t="shared" si="256"/>
        <v>9</v>
      </c>
      <c r="H2692" s="4">
        <f t="shared" si="255"/>
        <v>2023</v>
      </c>
      <c r="I2692" s="2" t="s">
        <v>4</v>
      </c>
      <c r="J2692" s="2" t="s">
        <v>3561</v>
      </c>
      <c r="K2692" s="2" t="s">
        <v>19</v>
      </c>
      <c r="L2692" s="2" t="s">
        <v>1474</v>
      </c>
      <c r="M2692" s="2" t="s">
        <v>21</v>
      </c>
      <c r="N2692" s="4" t="str">
        <f t="shared" si="257"/>
        <v>GAL</v>
      </c>
      <c r="O2692" s="5">
        <v>20</v>
      </c>
    </row>
    <row r="2693" spans="2:15" x14ac:dyDescent="0.25">
      <c r="B2693" s="1" t="s">
        <v>88</v>
      </c>
      <c r="C2693" s="2" t="s">
        <v>89</v>
      </c>
      <c r="D2693" s="2" t="s">
        <v>3265</v>
      </c>
      <c r="E2693" s="2" t="s">
        <v>3266</v>
      </c>
      <c r="F2693" s="3">
        <f>DATE(2023,9,21)</f>
        <v>45190</v>
      </c>
      <c r="G2693" s="4">
        <f t="shared" si="256"/>
        <v>9</v>
      </c>
      <c r="H2693" s="4">
        <f t="shared" si="255"/>
        <v>2023</v>
      </c>
      <c r="I2693" s="2" t="s">
        <v>4</v>
      </c>
      <c r="J2693" s="2" t="s">
        <v>3562</v>
      </c>
      <c r="K2693" s="2" t="s">
        <v>3268</v>
      </c>
      <c r="L2693" s="2" t="s">
        <v>3269</v>
      </c>
      <c r="M2693" s="2" t="s">
        <v>2576</v>
      </c>
      <c r="N2693" s="4" t="str">
        <f t="shared" si="257"/>
        <v>GAL</v>
      </c>
      <c r="O2693" s="5">
        <v>250</v>
      </c>
    </row>
    <row r="2694" spans="2:15" x14ac:dyDescent="0.25">
      <c r="B2694" s="1" t="s">
        <v>88</v>
      </c>
      <c r="C2694" s="2" t="s">
        <v>89</v>
      </c>
      <c r="D2694" s="2" t="s">
        <v>1047</v>
      </c>
      <c r="E2694" s="2" t="s">
        <v>1468</v>
      </c>
      <c r="F2694" s="3">
        <f>DATE(2023,9,25)</f>
        <v>45194</v>
      </c>
      <c r="G2694" s="4">
        <f t="shared" si="256"/>
        <v>9</v>
      </c>
      <c r="H2694" s="4">
        <f t="shared" si="255"/>
        <v>2023</v>
      </c>
      <c r="I2694" s="2" t="s">
        <v>4</v>
      </c>
      <c r="J2694" s="2" t="s">
        <v>3563</v>
      </c>
      <c r="K2694" s="2" t="s">
        <v>83</v>
      </c>
      <c r="L2694" s="2" t="s">
        <v>518</v>
      </c>
      <c r="M2694" s="2" t="s">
        <v>85</v>
      </c>
      <c r="N2694" s="4" t="str">
        <f t="shared" si="257"/>
        <v>GAL</v>
      </c>
      <c r="O2694" s="5">
        <v>25</v>
      </c>
    </row>
    <row r="2695" spans="2:15" x14ac:dyDescent="0.25">
      <c r="B2695" s="1" t="s">
        <v>88</v>
      </c>
      <c r="C2695" s="2" t="s">
        <v>89</v>
      </c>
      <c r="D2695" s="2" t="s">
        <v>623</v>
      </c>
      <c r="E2695" s="2" t="s">
        <v>1099</v>
      </c>
      <c r="F2695" s="3">
        <f>DATE(2023,9,26)</f>
        <v>45195</v>
      </c>
      <c r="G2695" s="4">
        <f t="shared" si="256"/>
        <v>9</v>
      </c>
      <c r="H2695" s="4">
        <f t="shared" si="255"/>
        <v>2023</v>
      </c>
      <c r="I2695" s="2" t="s">
        <v>4</v>
      </c>
      <c r="J2695" s="2" t="s">
        <v>3564</v>
      </c>
      <c r="K2695" s="2" t="s">
        <v>3565</v>
      </c>
      <c r="L2695" s="2" t="s">
        <v>3566</v>
      </c>
      <c r="M2695" s="2" t="s">
        <v>145</v>
      </c>
      <c r="N2695" s="4" t="str">
        <f t="shared" si="257"/>
        <v>GAL</v>
      </c>
      <c r="O2695" s="5">
        <v>180</v>
      </c>
    </row>
    <row r="2696" spans="2:15" x14ac:dyDescent="0.25">
      <c r="B2696" s="1" t="s">
        <v>88</v>
      </c>
      <c r="C2696" s="2" t="s">
        <v>89</v>
      </c>
      <c r="D2696" s="2" t="s">
        <v>107</v>
      </c>
      <c r="E2696" s="2" t="s">
        <v>108</v>
      </c>
      <c r="F2696" s="3">
        <f>DATE(2023,9,29)</f>
        <v>45198</v>
      </c>
      <c r="G2696" s="4">
        <f t="shared" si="256"/>
        <v>9</v>
      </c>
      <c r="H2696" s="4">
        <f t="shared" si="255"/>
        <v>2023</v>
      </c>
      <c r="I2696" s="2" t="s">
        <v>4</v>
      </c>
      <c r="J2696" s="2" t="s">
        <v>3567</v>
      </c>
      <c r="K2696" s="2" t="s">
        <v>110</v>
      </c>
      <c r="L2696" s="2" t="s">
        <v>111</v>
      </c>
      <c r="M2696" s="2" t="s">
        <v>112</v>
      </c>
      <c r="N2696" s="4" t="str">
        <f t="shared" si="257"/>
        <v>GAL</v>
      </c>
      <c r="O2696" s="5">
        <v>100</v>
      </c>
    </row>
    <row r="2697" spans="2:15" x14ac:dyDescent="0.25">
      <c r="B2697" s="1" t="s">
        <v>88</v>
      </c>
      <c r="C2697" s="2" t="s">
        <v>89</v>
      </c>
      <c r="D2697" s="2" t="s">
        <v>134</v>
      </c>
      <c r="E2697" s="2" t="s">
        <v>135</v>
      </c>
      <c r="F2697" s="3">
        <f>DATE(2023,9,29)</f>
        <v>45198</v>
      </c>
      <c r="G2697" s="4">
        <f t="shared" si="256"/>
        <v>9</v>
      </c>
      <c r="H2697" s="4">
        <f t="shared" si="255"/>
        <v>2023</v>
      </c>
      <c r="I2697" s="2" t="s">
        <v>4</v>
      </c>
      <c r="J2697" s="2" t="s">
        <v>3568</v>
      </c>
      <c r="K2697" s="2" t="s">
        <v>143</v>
      </c>
      <c r="L2697" s="2" t="s">
        <v>3569</v>
      </c>
      <c r="M2697" s="2" t="s">
        <v>145</v>
      </c>
      <c r="N2697" s="4" t="str">
        <f t="shared" si="257"/>
        <v>GAL</v>
      </c>
      <c r="O2697" s="5">
        <v>50</v>
      </c>
    </row>
    <row r="2698" spans="2:15" x14ac:dyDescent="0.25">
      <c r="B2698" s="1" t="s">
        <v>88</v>
      </c>
      <c r="C2698" s="2" t="s">
        <v>89</v>
      </c>
      <c r="D2698" s="2" t="s">
        <v>134</v>
      </c>
      <c r="E2698" s="2" t="s">
        <v>135</v>
      </c>
      <c r="F2698" s="3">
        <f>DATE(2023,9,29)</f>
        <v>45198</v>
      </c>
      <c r="G2698" s="4">
        <f t="shared" si="256"/>
        <v>9</v>
      </c>
      <c r="H2698" s="4">
        <f t="shared" si="255"/>
        <v>2023</v>
      </c>
      <c r="I2698" s="2" t="s">
        <v>4</v>
      </c>
      <c r="J2698" s="2" t="s">
        <v>3568</v>
      </c>
      <c r="K2698" s="2" t="s">
        <v>143</v>
      </c>
      <c r="L2698" s="2" t="s">
        <v>3570</v>
      </c>
      <c r="M2698" s="2" t="s">
        <v>145</v>
      </c>
      <c r="N2698" s="4" t="str">
        <f t="shared" si="257"/>
        <v>GAL</v>
      </c>
      <c r="O2698" s="5">
        <v>220</v>
      </c>
    </row>
    <row r="2699" spans="2:15" x14ac:dyDescent="0.25">
      <c r="B2699" s="1" t="s">
        <v>154</v>
      </c>
      <c r="C2699" s="2" t="s">
        <v>155</v>
      </c>
      <c r="D2699" s="2" t="s">
        <v>173</v>
      </c>
      <c r="E2699" s="2" t="s">
        <v>174</v>
      </c>
      <c r="F2699" s="3">
        <f>DATE(2023,9,1)</f>
        <v>45170</v>
      </c>
      <c r="G2699" s="4">
        <f t="shared" si="256"/>
        <v>9</v>
      </c>
      <c r="H2699" s="4">
        <f t="shared" si="255"/>
        <v>2023</v>
      </c>
      <c r="I2699" s="2" t="s">
        <v>4</v>
      </c>
      <c r="J2699" s="2" t="s">
        <v>3571</v>
      </c>
      <c r="K2699" s="2" t="s">
        <v>3572</v>
      </c>
      <c r="L2699" s="2" t="s">
        <v>172</v>
      </c>
      <c r="M2699" s="2" t="s">
        <v>27</v>
      </c>
      <c r="N2699" s="4" t="str">
        <f t="shared" si="257"/>
        <v>GAL</v>
      </c>
      <c r="O2699" s="5">
        <v>800</v>
      </c>
    </row>
    <row r="2700" spans="2:15" x14ac:dyDescent="0.25">
      <c r="B2700" s="1" t="s">
        <v>154</v>
      </c>
      <c r="C2700" s="2" t="s">
        <v>155</v>
      </c>
      <c r="D2700" s="2" t="s">
        <v>507</v>
      </c>
      <c r="E2700" s="2" t="s">
        <v>2902</v>
      </c>
      <c r="F2700" s="3">
        <f>DATE(2023,9,6)</f>
        <v>45175</v>
      </c>
      <c r="G2700" s="4">
        <f t="shared" si="256"/>
        <v>9</v>
      </c>
      <c r="H2700" s="4">
        <f t="shared" si="255"/>
        <v>2023</v>
      </c>
      <c r="I2700" s="2" t="s">
        <v>4</v>
      </c>
      <c r="J2700" s="2" t="s">
        <v>3573</v>
      </c>
      <c r="K2700" s="2" t="s">
        <v>513</v>
      </c>
      <c r="L2700" s="2" t="s">
        <v>514</v>
      </c>
      <c r="M2700" s="2" t="s">
        <v>119</v>
      </c>
      <c r="N2700" s="4" t="str">
        <f t="shared" si="257"/>
        <v>TON</v>
      </c>
      <c r="O2700" s="5">
        <v>12.484999999999999</v>
      </c>
    </row>
    <row r="2701" spans="2:15" x14ac:dyDescent="0.25">
      <c r="B2701" s="1" t="s">
        <v>154</v>
      </c>
      <c r="C2701" s="2" t="s">
        <v>155</v>
      </c>
      <c r="D2701" s="2" t="s">
        <v>167</v>
      </c>
      <c r="E2701" s="2" t="s">
        <v>168</v>
      </c>
      <c r="F2701" s="3">
        <f>DATE(2023,9,6)</f>
        <v>45175</v>
      </c>
      <c r="G2701" s="4">
        <f t="shared" si="256"/>
        <v>9</v>
      </c>
      <c r="H2701" s="4">
        <f t="shared" si="255"/>
        <v>2023</v>
      </c>
      <c r="I2701" s="2" t="s">
        <v>4</v>
      </c>
      <c r="J2701" s="2" t="s">
        <v>3574</v>
      </c>
      <c r="K2701" s="2" t="s">
        <v>1820</v>
      </c>
      <c r="L2701" s="2" t="s">
        <v>1815</v>
      </c>
      <c r="M2701" s="2" t="s">
        <v>1816</v>
      </c>
      <c r="N2701" s="4" t="str">
        <f t="shared" si="257"/>
        <v>GAL</v>
      </c>
      <c r="O2701" s="5">
        <v>250</v>
      </c>
    </row>
    <row r="2702" spans="2:15" x14ac:dyDescent="0.25">
      <c r="B2702" s="1" t="s">
        <v>154</v>
      </c>
      <c r="C2702" s="2" t="s">
        <v>155</v>
      </c>
      <c r="D2702" s="2" t="s">
        <v>628</v>
      </c>
      <c r="E2702" s="2" t="s">
        <v>629</v>
      </c>
      <c r="F2702" s="3">
        <f>DATE(2023,9,6)</f>
        <v>45175</v>
      </c>
      <c r="G2702" s="4">
        <f t="shared" si="256"/>
        <v>9</v>
      </c>
      <c r="H2702" s="4">
        <f t="shared" si="255"/>
        <v>2023</v>
      </c>
      <c r="I2702" s="2" t="s">
        <v>4</v>
      </c>
      <c r="J2702" s="2" t="s">
        <v>3575</v>
      </c>
      <c r="K2702" s="2" t="s">
        <v>1119</v>
      </c>
      <c r="L2702" s="2" t="s">
        <v>1023</v>
      </c>
      <c r="M2702" s="2" t="s">
        <v>1024</v>
      </c>
      <c r="N2702" s="4" t="str">
        <f t="shared" si="257"/>
        <v>GAL</v>
      </c>
      <c r="O2702" s="5">
        <v>180</v>
      </c>
    </row>
    <row r="2703" spans="2:15" x14ac:dyDescent="0.25">
      <c r="B2703" s="1" t="s">
        <v>154</v>
      </c>
      <c r="C2703" s="2" t="s">
        <v>155</v>
      </c>
      <c r="D2703" s="2" t="s">
        <v>628</v>
      </c>
      <c r="E2703" s="2" t="s">
        <v>629</v>
      </c>
      <c r="F2703" s="3">
        <f>DATE(2023,9,6)</f>
        <v>45175</v>
      </c>
      <c r="G2703" s="4">
        <f t="shared" si="256"/>
        <v>9</v>
      </c>
      <c r="H2703" s="4">
        <f t="shared" si="255"/>
        <v>2023</v>
      </c>
      <c r="I2703" s="2" t="s">
        <v>4</v>
      </c>
      <c r="J2703" s="2" t="s">
        <v>3576</v>
      </c>
      <c r="K2703" s="2" t="s">
        <v>1119</v>
      </c>
      <c r="L2703" s="2" t="s">
        <v>1023</v>
      </c>
      <c r="M2703" s="2" t="s">
        <v>1024</v>
      </c>
      <c r="N2703" s="4" t="str">
        <f t="shared" si="257"/>
        <v>GAL</v>
      </c>
      <c r="O2703" s="5">
        <v>720</v>
      </c>
    </row>
    <row r="2704" spans="2:15" x14ac:dyDescent="0.25">
      <c r="B2704" s="1" t="s">
        <v>154</v>
      </c>
      <c r="C2704" s="2" t="s">
        <v>155</v>
      </c>
      <c r="D2704" s="2" t="s">
        <v>178</v>
      </c>
      <c r="E2704" s="2" t="s">
        <v>179</v>
      </c>
      <c r="F2704" s="3">
        <f>DATE(2023,9,7)</f>
        <v>45176</v>
      </c>
      <c r="G2704" s="4">
        <f t="shared" si="256"/>
        <v>9</v>
      </c>
      <c r="H2704" s="4">
        <f t="shared" si="255"/>
        <v>2023</v>
      </c>
      <c r="I2704" s="2" t="s">
        <v>4</v>
      </c>
      <c r="J2704" s="2" t="s">
        <v>3577</v>
      </c>
      <c r="K2704" s="2" t="s">
        <v>189</v>
      </c>
      <c r="L2704" s="2" t="s">
        <v>190</v>
      </c>
      <c r="M2704" s="2" t="s">
        <v>191</v>
      </c>
      <c r="N2704" s="4" t="str">
        <f t="shared" si="257"/>
        <v>GAL</v>
      </c>
      <c r="O2704" s="5">
        <v>180</v>
      </c>
    </row>
    <row r="2705" spans="2:15" x14ac:dyDescent="0.25">
      <c r="B2705" s="1" t="s">
        <v>154</v>
      </c>
      <c r="C2705" s="2" t="s">
        <v>155</v>
      </c>
      <c r="D2705" s="2" t="s">
        <v>178</v>
      </c>
      <c r="E2705" s="2" t="s">
        <v>179</v>
      </c>
      <c r="F2705" s="3">
        <f>DATE(2023,9,7)</f>
        <v>45176</v>
      </c>
      <c r="G2705" s="4">
        <f t="shared" si="256"/>
        <v>9</v>
      </c>
      <c r="H2705" s="4">
        <f t="shared" si="255"/>
        <v>2023</v>
      </c>
      <c r="I2705" s="2" t="s">
        <v>4</v>
      </c>
      <c r="J2705" s="2" t="s">
        <v>3578</v>
      </c>
      <c r="K2705" s="2" t="s">
        <v>181</v>
      </c>
      <c r="L2705" s="2" t="s">
        <v>182</v>
      </c>
      <c r="M2705" s="2" t="s">
        <v>183</v>
      </c>
      <c r="N2705" s="4" t="str">
        <f t="shared" si="257"/>
        <v>GAL</v>
      </c>
      <c r="O2705" s="5">
        <v>120</v>
      </c>
    </row>
    <row r="2706" spans="2:15" x14ac:dyDescent="0.25">
      <c r="B2706" s="1" t="s">
        <v>154</v>
      </c>
      <c r="C2706" s="2" t="s">
        <v>155</v>
      </c>
      <c r="D2706" s="2" t="s">
        <v>107</v>
      </c>
      <c r="E2706" s="2" t="s">
        <v>108</v>
      </c>
      <c r="F2706" s="3">
        <f>DATE(2023,9,7)</f>
        <v>45176</v>
      </c>
      <c r="G2706" s="4">
        <f t="shared" si="256"/>
        <v>9</v>
      </c>
      <c r="H2706" s="4">
        <f t="shared" si="255"/>
        <v>2023</v>
      </c>
      <c r="I2706" s="2" t="s">
        <v>4</v>
      </c>
      <c r="J2706" s="2" t="s">
        <v>3579</v>
      </c>
      <c r="K2706" s="2" t="s">
        <v>189</v>
      </c>
      <c r="L2706" s="2" t="s">
        <v>190</v>
      </c>
      <c r="M2706" s="2" t="s">
        <v>191</v>
      </c>
      <c r="N2706" s="4" t="str">
        <f t="shared" si="257"/>
        <v>GAL</v>
      </c>
      <c r="O2706" s="5">
        <v>180</v>
      </c>
    </row>
    <row r="2707" spans="2:15" x14ac:dyDescent="0.25">
      <c r="B2707" s="1" t="s">
        <v>154</v>
      </c>
      <c r="C2707" s="2" t="s">
        <v>155</v>
      </c>
      <c r="D2707" s="2" t="s">
        <v>173</v>
      </c>
      <c r="E2707" s="2" t="s">
        <v>174</v>
      </c>
      <c r="F2707" s="3">
        <f>DATE(2023,9,11)</f>
        <v>45180</v>
      </c>
      <c r="G2707" s="4">
        <f t="shared" si="256"/>
        <v>9</v>
      </c>
      <c r="H2707" s="4">
        <f t="shared" si="255"/>
        <v>2023</v>
      </c>
      <c r="I2707" s="2" t="s">
        <v>4</v>
      </c>
      <c r="J2707" s="2" t="s">
        <v>3580</v>
      </c>
      <c r="K2707" s="2" t="s">
        <v>1814</v>
      </c>
      <c r="L2707" s="2" t="s">
        <v>1815</v>
      </c>
      <c r="M2707" s="2" t="s">
        <v>1816</v>
      </c>
      <c r="N2707" s="4" t="str">
        <f t="shared" si="257"/>
        <v>GAL</v>
      </c>
      <c r="O2707" s="5">
        <v>360</v>
      </c>
    </row>
    <row r="2708" spans="2:15" x14ac:dyDescent="0.25">
      <c r="B2708" s="1" t="s">
        <v>154</v>
      </c>
      <c r="C2708" s="2" t="s">
        <v>155</v>
      </c>
      <c r="D2708" s="2" t="s">
        <v>161</v>
      </c>
      <c r="E2708" s="2" t="s">
        <v>162</v>
      </c>
      <c r="F2708" s="3">
        <f>DATE(2023,9,11)</f>
        <v>45180</v>
      </c>
      <c r="G2708" s="4">
        <f t="shared" si="256"/>
        <v>9</v>
      </c>
      <c r="H2708" s="4">
        <f t="shared" si="255"/>
        <v>2023</v>
      </c>
      <c r="I2708" s="2" t="s">
        <v>4</v>
      </c>
      <c r="J2708" s="2" t="s">
        <v>3581</v>
      </c>
      <c r="K2708" s="2" t="s">
        <v>1814</v>
      </c>
      <c r="L2708" s="2" t="s">
        <v>1815</v>
      </c>
      <c r="M2708" s="2" t="s">
        <v>1816</v>
      </c>
      <c r="N2708" s="4" t="str">
        <f t="shared" si="257"/>
        <v>GAL</v>
      </c>
      <c r="O2708" s="5">
        <v>180</v>
      </c>
    </row>
    <row r="2709" spans="2:15" x14ac:dyDescent="0.25">
      <c r="B2709" s="1" t="s">
        <v>154</v>
      </c>
      <c r="C2709" s="2" t="s">
        <v>155</v>
      </c>
      <c r="D2709" s="2" t="s">
        <v>161</v>
      </c>
      <c r="E2709" s="2" t="s">
        <v>162</v>
      </c>
      <c r="F2709" s="3">
        <f>DATE(2023,9,11)</f>
        <v>45180</v>
      </c>
      <c r="G2709" s="4">
        <f t="shared" si="256"/>
        <v>9</v>
      </c>
      <c r="H2709" s="4">
        <f t="shared" si="255"/>
        <v>2023</v>
      </c>
      <c r="I2709" s="2" t="s">
        <v>4</v>
      </c>
      <c r="J2709" s="2" t="s">
        <v>3582</v>
      </c>
      <c r="K2709" s="2" t="s">
        <v>171</v>
      </c>
      <c r="L2709" s="2" t="s">
        <v>172</v>
      </c>
      <c r="M2709" s="2" t="s">
        <v>27</v>
      </c>
      <c r="N2709" s="4" t="str">
        <f t="shared" si="257"/>
        <v>GAL</v>
      </c>
      <c r="O2709" s="5">
        <v>180</v>
      </c>
    </row>
    <row r="2710" spans="2:15" x14ac:dyDescent="0.25">
      <c r="B2710" s="1" t="s">
        <v>154</v>
      </c>
      <c r="C2710" s="2" t="s">
        <v>155</v>
      </c>
      <c r="D2710" s="2" t="s">
        <v>107</v>
      </c>
      <c r="E2710" s="2" t="s">
        <v>108</v>
      </c>
      <c r="F2710" s="3">
        <f>DATE(2023,9,15)</f>
        <v>45184</v>
      </c>
      <c r="G2710" s="4">
        <f t="shared" si="256"/>
        <v>9</v>
      </c>
      <c r="H2710" s="4">
        <f t="shared" si="255"/>
        <v>2023</v>
      </c>
      <c r="I2710" s="2" t="s">
        <v>4</v>
      </c>
      <c r="J2710" s="2" t="s">
        <v>3583</v>
      </c>
      <c r="K2710" s="2" t="s">
        <v>244</v>
      </c>
      <c r="L2710" s="2" t="s">
        <v>182</v>
      </c>
      <c r="M2710" s="2" t="s">
        <v>183</v>
      </c>
      <c r="N2710" s="4" t="str">
        <f t="shared" si="257"/>
        <v>GAL</v>
      </c>
      <c r="O2710" s="5">
        <v>25</v>
      </c>
    </row>
    <row r="2711" spans="2:15" x14ac:dyDescent="0.25">
      <c r="B2711" s="1" t="s">
        <v>154</v>
      </c>
      <c r="C2711" s="2" t="s">
        <v>155</v>
      </c>
      <c r="D2711" s="2" t="s">
        <v>107</v>
      </c>
      <c r="E2711" s="2" t="s">
        <v>108</v>
      </c>
      <c r="F2711" s="3">
        <f>DATE(2023,9,15)</f>
        <v>45184</v>
      </c>
      <c r="G2711" s="4">
        <f t="shared" si="256"/>
        <v>9</v>
      </c>
      <c r="H2711" s="4">
        <f t="shared" si="255"/>
        <v>2023</v>
      </c>
      <c r="I2711" s="2" t="s">
        <v>4</v>
      </c>
      <c r="J2711" s="2" t="s">
        <v>3583</v>
      </c>
      <c r="K2711" s="2" t="s">
        <v>187</v>
      </c>
      <c r="L2711" s="2" t="s">
        <v>188</v>
      </c>
      <c r="M2711" s="2" t="s">
        <v>160</v>
      </c>
      <c r="N2711" s="4" t="str">
        <f t="shared" si="257"/>
        <v>GAL</v>
      </c>
      <c r="O2711" s="5">
        <v>120</v>
      </c>
    </row>
    <row r="2712" spans="2:15" x14ac:dyDescent="0.25">
      <c r="B2712" s="1" t="s">
        <v>154</v>
      </c>
      <c r="C2712" s="2" t="s">
        <v>155</v>
      </c>
      <c r="D2712" s="2" t="s">
        <v>591</v>
      </c>
      <c r="E2712" s="2" t="s">
        <v>592</v>
      </c>
      <c r="F2712" s="3">
        <f>DATE(2023,9,21)</f>
        <v>45190</v>
      </c>
      <c r="G2712" s="4">
        <f t="shared" si="256"/>
        <v>9</v>
      </c>
      <c r="H2712" s="4">
        <f t="shared" si="255"/>
        <v>2023</v>
      </c>
      <c r="I2712" s="2" t="s">
        <v>4</v>
      </c>
      <c r="J2712" s="2" t="s">
        <v>3584</v>
      </c>
      <c r="K2712" s="2" t="s">
        <v>1098</v>
      </c>
      <c r="L2712" s="2" t="s">
        <v>632</v>
      </c>
      <c r="M2712" s="2" t="s">
        <v>633</v>
      </c>
      <c r="N2712" s="4" t="str">
        <f t="shared" si="257"/>
        <v>GAL</v>
      </c>
      <c r="O2712" s="5">
        <v>2504</v>
      </c>
    </row>
    <row r="2713" spans="2:15" x14ac:dyDescent="0.25">
      <c r="B2713" s="1" t="s">
        <v>154</v>
      </c>
      <c r="C2713" s="2" t="s">
        <v>155</v>
      </c>
      <c r="D2713" s="2" t="s">
        <v>167</v>
      </c>
      <c r="E2713" s="2" t="s">
        <v>168</v>
      </c>
      <c r="F2713" s="3">
        <f>DATE(2023,9,22)</f>
        <v>45191</v>
      </c>
      <c r="G2713" s="4">
        <f t="shared" si="256"/>
        <v>9</v>
      </c>
      <c r="H2713" s="4">
        <f t="shared" si="255"/>
        <v>2023</v>
      </c>
      <c r="I2713" s="2" t="s">
        <v>4</v>
      </c>
      <c r="J2713" s="2" t="s">
        <v>3585</v>
      </c>
      <c r="K2713" s="2" t="s">
        <v>1853</v>
      </c>
      <c r="L2713" s="2" t="s">
        <v>1854</v>
      </c>
      <c r="M2713" s="2" t="s">
        <v>1816</v>
      </c>
      <c r="N2713" s="4" t="str">
        <f t="shared" si="257"/>
        <v>GAL</v>
      </c>
      <c r="O2713" s="5">
        <v>180</v>
      </c>
    </row>
    <row r="2714" spans="2:15" x14ac:dyDescent="0.25">
      <c r="B2714" s="1" t="s">
        <v>154</v>
      </c>
      <c r="C2714" s="2" t="s">
        <v>155</v>
      </c>
      <c r="D2714" s="2" t="s">
        <v>616</v>
      </c>
      <c r="E2714" s="2" t="s">
        <v>3586</v>
      </c>
      <c r="F2714" s="3">
        <f>DATE(2023,9,25)</f>
        <v>45194</v>
      </c>
      <c r="G2714" s="4">
        <f t="shared" si="256"/>
        <v>9</v>
      </c>
      <c r="H2714" s="4">
        <f t="shared" si="255"/>
        <v>2023</v>
      </c>
      <c r="I2714" s="2" t="s">
        <v>4</v>
      </c>
      <c r="J2714" s="2" t="s">
        <v>3587</v>
      </c>
      <c r="K2714" s="2" t="s">
        <v>3297</v>
      </c>
      <c r="L2714" s="2" t="s">
        <v>3298</v>
      </c>
      <c r="M2714" s="2" t="s">
        <v>3588</v>
      </c>
      <c r="N2714" s="4" t="str">
        <f t="shared" si="257"/>
        <v>GAL</v>
      </c>
      <c r="O2714" s="5">
        <v>25</v>
      </c>
    </row>
    <row r="2715" spans="2:15" x14ac:dyDescent="0.25">
      <c r="B2715" s="1" t="s">
        <v>154</v>
      </c>
      <c r="C2715" s="2" t="s">
        <v>155</v>
      </c>
      <c r="D2715" s="2" t="s">
        <v>616</v>
      </c>
      <c r="E2715" s="2" t="s">
        <v>3586</v>
      </c>
      <c r="F2715" s="3">
        <f>DATE(2023,9,25)</f>
        <v>45194</v>
      </c>
      <c r="G2715" s="4">
        <f t="shared" si="256"/>
        <v>9</v>
      </c>
      <c r="H2715" s="4">
        <f t="shared" si="255"/>
        <v>2023</v>
      </c>
      <c r="I2715" s="2" t="s">
        <v>4</v>
      </c>
      <c r="J2715" s="2" t="s">
        <v>3589</v>
      </c>
      <c r="K2715" s="2" t="s">
        <v>19</v>
      </c>
      <c r="L2715" s="2" t="s">
        <v>565</v>
      </c>
      <c r="M2715" s="2" t="s">
        <v>21</v>
      </c>
      <c r="N2715" s="4" t="str">
        <f t="shared" si="257"/>
        <v>GAL</v>
      </c>
      <c r="O2715" s="5">
        <v>75</v>
      </c>
    </row>
    <row r="2716" spans="2:15" x14ac:dyDescent="0.25">
      <c r="B2716" s="1" t="s">
        <v>154</v>
      </c>
      <c r="C2716" s="2" t="s">
        <v>155</v>
      </c>
      <c r="D2716" s="2" t="s">
        <v>616</v>
      </c>
      <c r="E2716" s="2" t="s">
        <v>3586</v>
      </c>
      <c r="F2716" s="3">
        <f>DATE(2023,9,25)</f>
        <v>45194</v>
      </c>
      <c r="G2716" s="4">
        <f t="shared" si="256"/>
        <v>9</v>
      </c>
      <c r="H2716" s="4">
        <f t="shared" si="255"/>
        <v>2023</v>
      </c>
      <c r="I2716" s="2" t="s">
        <v>4</v>
      </c>
      <c r="J2716" s="2" t="s">
        <v>3589</v>
      </c>
      <c r="K2716" s="2" t="s">
        <v>1460</v>
      </c>
      <c r="L2716" s="2" t="s">
        <v>1461</v>
      </c>
      <c r="M2716" s="2" t="s">
        <v>553</v>
      </c>
      <c r="N2716" s="4" t="str">
        <f t="shared" si="257"/>
        <v>GAL</v>
      </c>
      <c r="O2716" s="5">
        <v>10</v>
      </c>
    </row>
    <row r="2717" spans="2:15" x14ac:dyDescent="0.25">
      <c r="B2717" s="1" t="s">
        <v>154</v>
      </c>
      <c r="C2717" s="2" t="s">
        <v>155</v>
      </c>
      <c r="D2717" s="2" t="s">
        <v>167</v>
      </c>
      <c r="E2717" s="2" t="s">
        <v>168</v>
      </c>
      <c r="F2717" s="3">
        <f>DATE(2023,9,26)</f>
        <v>45195</v>
      </c>
      <c r="G2717" s="4">
        <f t="shared" si="256"/>
        <v>9</v>
      </c>
      <c r="H2717" s="4">
        <f t="shared" si="255"/>
        <v>2023</v>
      </c>
      <c r="I2717" s="2" t="s">
        <v>4</v>
      </c>
      <c r="J2717" s="2" t="s">
        <v>3590</v>
      </c>
      <c r="K2717" s="2" t="s">
        <v>158</v>
      </c>
      <c r="L2717" s="2" t="s">
        <v>159</v>
      </c>
      <c r="M2717" s="2" t="s">
        <v>160</v>
      </c>
      <c r="N2717" s="4" t="str">
        <f t="shared" si="257"/>
        <v>GAL</v>
      </c>
      <c r="O2717" s="5">
        <v>180</v>
      </c>
    </row>
    <row r="2718" spans="2:15" x14ac:dyDescent="0.25">
      <c r="B2718" s="1" t="s">
        <v>154</v>
      </c>
      <c r="C2718" s="2" t="s">
        <v>155</v>
      </c>
      <c r="D2718" s="2" t="s">
        <v>167</v>
      </c>
      <c r="E2718" s="2" t="s">
        <v>168</v>
      </c>
      <c r="F2718" s="3">
        <f>DATE(2023,9,28)</f>
        <v>45197</v>
      </c>
      <c r="G2718" s="4">
        <f t="shared" si="256"/>
        <v>9</v>
      </c>
      <c r="H2718" s="4">
        <f t="shared" si="255"/>
        <v>2023</v>
      </c>
      <c r="I2718" s="2" t="s">
        <v>4</v>
      </c>
      <c r="J2718" s="2" t="s">
        <v>3591</v>
      </c>
      <c r="K2718" s="2" t="s">
        <v>1853</v>
      </c>
      <c r="L2718" s="2" t="s">
        <v>1854</v>
      </c>
      <c r="M2718" s="2" t="s">
        <v>1816</v>
      </c>
      <c r="N2718" s="4" t="str">
        <f t="shared" si="257"/>
        <v>GAL</v>
      </c>
      <c r="O2718" s="5">
        <v>180</v>
      </c>
    </row>
    <row r="2719" spans="2:15" x14ac:dyDescent="0.25">
      <c r="B2719" s="1" t="s">
        <v>1520</v>
      </c>
      <c r="C2719" s="2" t="s">
        <v>196</v>
      </c>
      <c r="D2719" s="2" t="s">
        <v>227</v>
      </c>
      <c r="E2719" s="2" t="s">
        <v>757</v>
      </c>
      <c r="F2719" s="3">
        <f>DATE(2023,9,1)</f>
        <v>45170</v>
      </c>
      <c r="G2719" s="4">
        <f t="shared" si="256"/>
        <v>9</v>
      </c>
      <c r="H2719" s="4">
        <f t="shared" si="255"/>
        <v>2023</v>
      </c>
      <c r="I2719" s="2" t="s">
        <v>4</v>
      </c>
      <c r="J2719" s="2" t="s">
        <v>3592</v>
      </c>
      <c r="K2719" s="2" t="s">
        <v>3593</v>
      </c>
      <c r="L2719" s="2" t="s">
        <v>416</v>
      </c>
      <c r="M2719" s="2" t="s">
        <v>417</v>
      </c>
      <c r="N2719" s="4" t="str">
        <f t="shared" si="257"/>
        <v>GAL</v>
      </c>
      <c r="O2719" s="5">
        <v>500</v>
      </c>
    </row>
    <row r="2720" spans="2:15" x14ac:dyDescent="0.25">
      <c r="B2720" s="1" t="s">
        <v>1520</v>
      </c>
      <c r="C2720" s="2" t="s">
        <v>196</v>
      </c>
      <c r="D2720" s="2" t="s">
        <v>265</v>
      </c>
      <c r="E2720" s="2" t="s">
        <v>266</v>
      </c>
      <c r="F2720" s="3">
        <f>DATE(2023,9,12)</f>
        <v>45181</v>
      </c>
      <c r="G2720" s="4">
        <f t="shared" si="256"/>
        <v>9</v>
      </c>
      <c r="H2720" s="4">
        <f t="shared" si="255"/>
        <v>2023</v>
      </c>
      <c r="I2720" s="2" t="s">
        <v>4</v>
      </c>
      <c r="J2720" s="2" t="s">
        <v>3594</v>
      </c>
      <c r="K2720" s="2" t="s">
        <v>268</v>
      </c>
      <c r="L2720" s="2" t="s">
        <v>269</v>
      </c>
      <c r="M2720" s="2" t="s">
        <v>119</v>
      </c>
      <c r="N2720" s="4" t="str">
        <f t="shared" si="257"/>
        <v>TON</v>
      </c>
      <c r="O2720" s="5">
        <v>0.15</v>
      </c>
    </row>
    <row r="2721" spans="2:15" x14ac:dyDescent="0.25">
      <c r="B2721" s="1" t="s">
        <v>1520</v>
      </c>
      <c r="C2721" s="2" t="s">
        <v>196</v>
      </c>
      <c r="D2721" s="2" t="s">
        <v>294</v>
      </c>
      <c r="E2721" s="2" t="s">
        <v>295</v>
      </c>
      <c r="F2721" s="3">
        <f>DATE(2023,9,12)</f>
        <v>45181</v>
      </c>
      <c r="G2721" s="4">
        <f t="shared" si="256"/>
        <v>9</v>
      </c>
      <c r="H2721" s="4">
        <f t="shared" si="255"/>
        <v>2023</v>
      </c>
      <c r="I2721" s="2" t="s">
        <v>4</v>
      </c>
      <c r="J2721" s="2" t="s">
        <v>3595</v>
      </c>
      <c r="K2721" s="2" t="s">
        <v>1014</v>
      </c>
      <c r="L2721" s="2" t="s">
        <v>472</v>
      </c>
      <c r="M2721" s="2" t="s">
        <v>473</v>
      </c>
      <c r="N2721" s="4" t="str">
        <f t="shared" si="257"/>
        <v>GAL</v>
      </c>
      <c r="O2721" s="5">
        <v>5</v>
      </c>
    </row>
    <row r="2722" spans="2:15" x14ac:dyDescent="0.25">
      <c r="B2722" s="1" t="s">
        <v>1520</v>
      </c>
      <c r="C2722" s="2" t="s">
        <v>196</v>
      </c>
      <c r="D2722" s="2" t="s">
        <v>294</v>
      </c>
      <c r="E2722" s="2" t="s">
        <v>2940</v>
      </c>
      <c r="F2722" s="3">
        <f>DATE(2023,9,12)</f>
        <v>45181</v>
      </c>
      <c r="G2722" s="4">
        <f t="shared" si="256"/>
        <v>9</v>
      </c>
      <c r="H2722" s="4">
        <f t="shared" si="255"/>
        <v>2023</v>
      </c>
      <c r="I2722" s="2" t="s">
        <v>4</v>
      </c>
      <c r="J2722" s="2" t="s">
        <v>3596</v>
      </c>
      <c r="K2722" s="2" t="s">
        <v>122</v>
      </c>
      <c r="L2722" s="2" t="s">
        <v>123</v>
      </c>
      <c r="M2722" s="2" t="s">
        <v>119</v>
      </c>
      <c r="N2722" s="4" t="str">
        <f t="shared" si="257"/>
        <v>TON</v>
      </c>
      <c r="O2722" s="5">
        <v>7.5</v>
      </c>
    </row>
    <row r="2723" spans="2:15" x14ac:dyDescent="0.25">
      <c r="B2723" s="1" t="s">
        <v>1520</v>
      </c>
      <c r="C2723" s="2" t="s">
        <v>196</v>
      </c>
      <c r="D2723" s="2" t="s">
        <v>374</v>
      </c>
      <c r="E2723" s="2" t="s">
        <v>424</v>
      </c>
      <c r="F2723" s="3">
        <f>DATE(2023,9,13)</f>
        <v>45182</v>
      </c>
      <c r="G2723" s="4">
        <f t="shared" si="256"/>
        <v>9</v>
      </c>
      <c r="H2723" s="4">
        <f t="shared" si="255"/>
        <v>2023</v>
      </c>
      <c r="I2723" s="2" t="s">
        <v>4</v>
      </c>
      <c r="J2723" s="2" t="s">
        <v>3597</v>
      </c>
      <c r="K2723" s="2" t="s">
        <v>329</v>
      </c>
      <c r="L2723" s="2" t="s">
        <v>330</v>
      </c>
      <c r="M2723" s="2" t="s">
        <v>119</v>
      </c>
      <c r="N2723" s="4" t="str">
        <f t="shared" si="257"/>
        <v>TON</v>
      </c>
      <c r="O2723" s="5">
        <v>4</v>
      </c>
    </row>
    <row r="2724" spans="2:15" x14ac:dyDescent="0.25">
      <c r="B2724" s="1" t="s">
        <v>1520</v>
      </c>
      <c r="C2724" s="2" t="s">
        <v>196</v>
      </c>
      <c r="D2724" s="2" t="s">
        <v>273</v>
      </c>
      <c r="E2724" s="2" t="s">
        <v>274</v>
      </c>
      <c r="F2724" s="3">
        <f>DATE(2023,9,14)</f>
        <v>45183</v>
      </c>
      <c r="G2724" s="4">
        <f t="shared" si="256"/>
        <v>9</v>
      </c>
      <c r="H2724" s="4">
        <f t="shared" si="255"/>
        <v>2023</v>
      </c>
      <c r="I2724" s="2" t="s">
        <v>4</v>
      </c>
      <c r="J2724" s="2" t="s">
        <v>3598</v>
      </c>
      <c r="K2724" s="2" t="s">
        <v>384</v>
      </c>
      <c r="L2724" s="2" t="s">
        <v>385</v>
      </c>
      <c r="M2724" s="2" t="s">
        <v>119</v>
      </c>
      <c r="N2724" s="4" t="str">
        <f t="shared" si="257"/>
        <v>TON</v>
      </c>
      <c r="O2724" s="5">
        <v>7</v>
      </c>
    </row>
    <row r="2725" spans="2:15" x14ac:dyDescent="0.25">
      <c r="B2725" s="1" t="s">
        <v>1520</v>
      </c>
      <c r="C2725" s="2" t="s">
        <v>196</v>
      </c>
      <c r="D2725" s="2" t="s">
        <v>241</v>
      </c>
      <c r="E2725" s="2" t="s">
        <v>258</v>
      </c>
      <c r="F2725" s="3">
        <f>DATE(2023,9,15)</f>
        <v>45184</v>
      </c>
      <c r="G2725" s="4">
        <f t="shared" si="256"/>
        <v>9</v>
      </c>
      <c r="H2725" s="4">
        <f t="shared" si="255"/>
        <v>2023</v>
      </c>
      <c r="I2725" s="2" t="s">
        <v>4</v>
      </c>
      <c r="J2725" s="2" t="s">
        <v>3599</v>
      </c>
      <c r="K2725" s="2" t="s">
        <v>3458</v>
      </c>
      <c r="L2725" s="2" t="s">
        <v>3459</v>
      </c>
      <c r="M2725" s="2" t="s">
        <v>119</v>
      </c>
      <c r="N2725" s="4" t="str">
        <f t="shared" si="257"/>
        <v>TON</v>
      </c>
      <c r="O2725" s="5">
        <v>2.0150000000000001</v>
      </c>
    </row>
    <row r="2726" spans="2:15" x14ac:dyDescent="0.25">
      <c r="B2726" s="1" t="s">
        <v>645</v>
      </c>
      <c r="C2726" s="2" t="s">
        <v>196</v>
      </c>
      <c r="D2726" s="2" t="s">
        <v>888</v>
      </c>
      <c r="E2726" s="2" t="s">
        <v>888</v>
      </c>
      <c r="F2726" s="3">
        <f>DATE(2023,9,15)</f>
        <v>45184</v>
      </c>
      <c r="G2726" s="4">
        <f t="shared" si="256"/>
        <v>9</v>
      </c>
      <c r="H2726" s="4">
        <f t="shared" si="255"/>
        <v>2023</v>
      </c>
      <c r="I2726" s="2" t="s">
        <v>4</v>
      </c>
      <c r="J2726" s="2" t="s">
        <v>3600</v>
      </c>
      <c r="K2726" s="2" t="s">
        <v>268</v>
      </c>
      <c r="L2726" s="2" t="s">
        <v>269</v>
      </c>
      <c r="M2726" s="2" t="s">
        <v>119</v>
      </c>
      <c r="N2726" s="4" t="str">
        <f t="shared" si="257"/>
        <v>TON</v>
      </c>
      <c r="O2726" s="5">
        <v>0.3</v>
      </c>
    </row>
    <row r="2727" spans="2:15" x14ac:dyDescent="0.25">
      <c r="B2727" s="1" t="s">
        <v>1520</v>
      </c>
      <c r="C2727" s="2" t="s">
        <v>196</v>
      </c>
      <c r="D2727" s="2" t="s">
        <v>265</v>
      </c>
      <c r="E2727" s="2" t="s">
        <v>266</v>
      </c>
      <c r="F2727" s="3">
        <f>DATE(2023,9,18)</f>
        <v>45187</v>
      </c>
      <c r="G2727" s="4">
        <f t="shared" si="256"/>
        <v>9</v>
      </c>
      <c r="H2727" s="4">
        <f t="shared" si="255"/>
        <v>2023</v>
      </c>
      <c r="I2727" s="2" t="s">
        <v>4</v>
      </c>
      <c r="J2727" s="2" t="s">
        <v>3601</v>
      </c>
      <c r="K2727" s="2" t="s">
        <v>268</v>
      </c>
      <c r="L2727" s="2" t="s">
        <v>269</v>
      </c>
      <c r="M2727" s="2" t="s">
        <v>119</v>
      </c>
      <c r="N2727" s="4" t="str">
        <f t="shared" si="257"/>
        <v>TON</v>
      </c>
      <c r="O2727" s="5">
        <v>0.15</v>
      </c>
    </row>
    <row r="2728" spans="2:15" x14ac:dyDescent="0.25">
      <c r="B2728" s="1" t="s">
        <v>1520</v>
      </c>
      <c r="C2728" s="2" t="s">
        <v>196</v>
      </c>
      <c r="D2728" s="2" t="s">
        <v>449</v>
      </c>
      <c r="E2728" s="2" t="s">
        <v>751</v>
      </c>
      <c r="F2728" s="3">
        <f>DATE(2023,9,18)</f>
        <v>45187</v>
      </c>
      <c r="G2728" s="4">
        <f t="shared" si="256"/>
        <v>9</v>
      </c>
      <c r="H2728" s="4">
        <f t="shared" si="255"/>
        <v>2023</v>
      </c>
      <c r="I2728" s="2" t="s">
        <v>4</v>
      </c>
      <c r="J2728" s="2" t="s">
        <v>3602</v>
      </c>
      <c r="K2728" s="2" t="s">
        <v>205</v>
      </c>
      <c r="L2728" s="2" t="s">
        <v>206</v>
      </c>
      <c r="M2728" s="2" t="s">
        <v>119</v>
      </c>
      <c r="N2728" s="4" t="str">
        <f t="shared" si="257"/>
        <v>TON</v>
      </c>
      <c r="O2728" s="5">
        <v>2.5249999999999999</v>
      </c>
    </row>
    <row r="2729" spans="2:15" x14ac:dyDescent="0.25">
      <c r="B2729" s="1" t="s">
        <v>1520</v>
      </c>
      <c r="C2729" s="2" t="s">
        <v>196</v>
      </c>
      <c r="D2729" s="2" t="s">
        <v>273</v>
      </c>
      <c r="E2729" s="2" t="s">
        <v>274</v>
      </c>
      <c r="F2729" s="3">
        <f>DATE(2023,9,18)</f>
        <v>45187</v>
      </c>
      <c r="G2729" s="4">
        <f t="shared" si="256"/>
        <v>9</v>
      </c>
      <c r="H2729" s="4">
        <f t="shared" si="255"/>
        <v>2023</v>
      </c>
      <c r="I2729" s="2" t="s">
        <v>4</v>
      </c>
      <c r="J2729" s="2" t="s">
        <v>3603</v>
      </c>
      <c r="K2729" s="2" t="s">
        <v>415</v>
      </c>
      <c r="L2729" s="2" t="s">
        <v>416</v>
      </c>
      <c r="M2729" s="2" t="s">
        <v>417</v>
      </c>
      <c r="N2729" s="4" t="str">
        <f t="shared" si="257"/>
        <v>GAL</v>
      </c>
      <c r="O2729" s="5">
        <v>30</v>
      </c>
    </row>
    <row r="2730" spans="2:15" x14ac:dyDescent="0.25">
      <c r="B2730" s="1" t="s">
        <v>1520</v>
      </c>
      <c r="C2730" s="2" t="s">
        <v>196</v>
      </c>
      <c r="D2730" s="2" t="s">
        <v>294</v>
      </c>
      <c r="E2730" s="2" t="s">
        <v>295</v>
      </c>
      <c r="F2730" s="3">
        <f>DATE(2023,9,21)</f>
        <v>45190</v>
      </c>
      <c r="G2730" s="4">
        <f t="shared" si="256"/>
        <v>9</v>
      </c>
      <c r="H2730" s="4">
        <f t="shared" si="255"/>
        <v>2023</v>
      </c>
      <c r="I2730" s="2" t="s">
        <v>4</v>
      </c>
      <c r="J2730" s="2" t="s">
        <v>3604</v>
      </c>
      <c r="K2730" s="2" t="s">
        <v>122</v>
      </c>
      <c r="L2730" s="2" t="s">
        <v>123</v>
      </c>
      <c r="M2730" s="2" t="s">
        <v>119</v>
      </c>
      <c r="N2730" s="4" t="str">
        <f t="shared" si="257"/>
        <v>TON</v>
      </c>
      <c r="O2730" s="5">
        <v>7.5125000000000002</v>
      </c>
    </row>
    <row r="2731" spans="2:15" x14ac:dyDescent="0.25">
      <c r="B2731" s="1" t="s">
        <v>1520</v>
      </c>
      <c r="C2731" s="2" t="s">
        <v>196</v>
      </c>
      <c r="D2731" s="2" t="s">
        <v>248</v>
      </c>
      <c r="E2731" s="2" t="s">
        <v>249</v>
      </c>
      <c r="F2731" s="3">
        <f>DATE(2023,9,21)</f>
        <v>45190</v>
      </c>
      <c r="G2731" s="4">
        <f t="shared" si="256"/>
        <v>9</v>
      </c>
      <c r="H2731" s="4">
        <f t="shared" si="255"/>
        <v>2023</v>
      </c>
      <c r="I2731" s="2" t="s">
        <v>4</v>
      </c>
      <c r="J2731" s="2" t="s">
        <v>3605</v>
      </c>
      <c r="K2731" s="2" t="s">
        <v>3606</v>
      </c>
      <c r="L2731" s="2" t="s">
        <v>3607</v>
      </c>
      <c r="M2731" s="2" t="s">
        <v>119</v>
      </c>
      <c r="N2731" s="4" t="str">
        <f t="shared" si="257"/>
        <v>TON</v>
      </c>
      <c r="O2731" s="5">
        <v>10</v>
      </c>
    </row>
    <row r="2732" spans="2:15" x14ac:dyDescent="0.25">
      <c r="B2732" s="1" t="s">
        <v>1520</v>
      </c>
      <c r="C2732" s="2" t="s">
        <v>196</v>
      </c>
      <c r="D2732" s="2" t="s">
        <v>248</v>
      </c>
      <c r="E2732" s="2" t="s">
        <v>3608</v>
      </c>
      <c r="F2732" s="3">
        <f>DATE(2023,9,21)</f>
        <v>45190</v>
      </c>
      <c r="G2732" s="4">
        <f t="shared" si="256"/>
        <v>9</v>
      </c>
      <c r="H2732" s="4">
        <f t="shared" si="255"/>
        <v>2023</v>
      </c>
      <c r="I2732" s="2" t="s">
        <v>4</v>
      </c>
      <c r="J2732" s="2" t="s">
        <v>3609</v>
      </c>
      <c r="K2732" s="2" t="s">
        <v>3606</v>
      </c>
      <c r="L2732" s="2" t="s">
        <v>3607</v>
      </c>
      <c r="M2732" s="2" t="s">
        <v>119</v>
      </c>
      <c r="N2732" s="4" t="str">
        <f t="shared" si="257"/>
        <v>TON</v>
      </c>
      <c r="O2732" s="5">
        <v>14.987500000000001</v>
      </c>
    </row>
    <row r="2733" spans="2:15" x14ac:dyDescent="0.25">
      <c r="B2733" s="1" t="s">
        <v>1520</v>
      </c>
      <c r="C2733" s="2" t="s">
        <v>196</v>
      </c>
      <c r="D2733" s="2" t="s">
        <v>248</v>
      </c>
      <c r="E2733" s="2" t="s">
        <v>3610</v>
      </c>
      <c r="F2733" s="3">
        <f>DATE(2023,9,21)</f>
        <v>45190</v>
      </c>
      <c r="G2733" s="4">
        <f t="shared" si="256"/>
        <v>9</v>
      </c>
      <c r="H2733" s="4">
        <f t="shared" si="255"/>
        <v>2023</v>
      </c>
      <c r="I2733" s="2" t="s">
        <v>4</v>
      </c>
      <c r="J2733" s="2" t="s">
        <v>3611</v>
      </c>
      <c r="K2733" s="2" t="s">
        <v>3606</v>
      </c>
      <c r="L2733" s="2" t="s">
        <v>3607</v>
      </c>
      <c r="M2733" s="2" t="s">
        <v>119</v>
      </c>
      <c r="N2733" s="4" t="str">
        <f t="shared" si="257"/>
        <v>TON</v>
      </c>
      <c r="O2733" s="5">
        <v>12.5175</v>
      </c>
    </row>
    <row r="2734" spans="2:15" x14ac:dyDescent="0.25">
      <c r="B2734" s="1" t="s">
        <v>1520</v>
      </c>
      <c r="C2734" s="2" t="s">
        <v>196</v>
      </c>
      <c r="D2734" s="2" t="s">
        <v>289</v>
      </c>
      <c r="E2734" s="2" t="s">
        <v>2380</v>
      </c>
      <c r="F2734" s="3">
        <f>DATE(2023,9,22)</f>
        <v>45191</v>
      </c>
      <c r="G2734" s="4">
        <f t="shared" si="256"/>
        <v>9</v>
      </c>
      <c r="H2734" s="4">
        <f t="shared" si="255"/>
        <v>2023</v>
      </c>
      <c r="I2734" s="2" t="s">
        <v>4</v>
      </c>
      <c r="J2734" s="2" t="s">
        <v>3612</v>
      </c>
      <c r="K2734" s="2" t="s">
        <v>268</v>
      </c>
      <c r="L2734" s="2" t="s">
        <v>269</v>
      </c>
      <c r="M2734" s="2" t="s">
        <v>119</v>
      </c>
      <c r="N2734" s="4" t="str">
        <f t="shared" si="257"/>
        <v>TON</v>
      </c>
      <c r="O2734" s="5">
        <v>0.75</v>
      </c>
    </row>
    <row r="2735" spans="2:15" x14ac:dyDescent="0.25">
      <c r="B2735" s="1" t="s">
        <v>1520</v>
      </c>
      <c r="C2735" s="2" t="s">
        <v>196</v>
      </c>
      <c r="D2735" s="2" t="s">
        <v>265</v>
      </c>
      <c r="E2735" s="2" t="s">
        <v>266</v>
      </c>
      <c r="F2735" s="3">
        <f>DATE(2023,9,22)</f>
        <v>45191</v>
      </c>
      <c r="G2735" s="4">
        <f t="shared" si="256"/>
        <v>9</v>
      </c>
      <c r="H2735" s="4">
        <f t="shared" si="255"/>
        <v>2023</v>
      </c>
      <c r="I2735" s="2" t="s">
        <v>4</v>
      </c>
      <c r="J2735" s="2" t="s">
        <v>3613</v>
      </c>
      <c r="K2735" s="2" t="s">
        <v>268</v>
      </c>
      <c r="L2735" s="2" t="s">
        <v>269</v>
      </c>
      <c r="M2735" s="2" t="s">
        <v>119</v>
      </c>
      <c r="N2735" s="4" t="str">
        <f t="shared" si="257"/>
        <v>TON</v>
      </c>
      <c r="O2735" s="5">
        <v>0.15</v>
      </c>
    </row>
    <row r="2736" spans="2:15" x14ac:dyDescent="0.25">
      <c r="B2736" s="6" t="s">
        <v>1520</v>
      </c>
      <c r="C2736" s="7" t="s">
        <v>196</v>
      </c>
      <c r="D2736" s="8" t="s">
        <v>227</v>
      </c>
      <c r="E2736" s="8" t="s">
        <v>228</v>
      </c>
      <c r="F2736" s="9">
        <f>DATE(2023,9,25)</f>
        <v>45194</v>
      </c>
      <c r="G2736" s="10">
        <f t="shared" si="256"/>
        <v>9</v>
      </c>
      <c r="H2736" s="10">
        <f t="shared" si="255"/>
        <v>2023</v>
      </c>
      <c r="I2736" s="8" t="s">
        <v>4</v>
      </c>
      <c r="J2736" s="7" t="s">
        <v>3614</v>
      </c>
      <c r="K2736" s="8" t="s">
        <v>230</v>
      </c>
      <c r="L2736" s="8" t="s">
        <v>231</v>
      </c>
      <c r="M2736" s="8" t="s">
        <v>119</v>
      </c>
      <c r="N2736" s="10" t="str">
        <f t="shared" si="257"/>
        <v>TON</v>
      </c>
      <c r="O2736" s="11">
        <v>7.5025000000000004</v>
      </c>
    </row>
    <row r="2737" spans="2:15" x14ac:dyDescent="0.25">
      <c r="B2737" s="1" t="s">
        <v>1520</v>
      </c>
      <c r="C2737" s="2" t="s">
        <v>196</v>
      </c>
      <c r="D2737" s="2" t="s">
        <v>404</v>
      </c>
      <c r="E2737" s="2" t="s">
        <v>405</v>
      </c>
      <c r="F2737" s="3">
        <f>DATE(2023,9,27)</f>
        <v>45196</v>
      </c>
      <c r="G2737" s="4">
        <f t="shared" si="256"/>
        <v>9</v>
      </c>
      <c r="H2737" s="4">
        <f t="shared" si="255"/>
        <v>2023</v>
      </c>
      <c r="I2737" s="2" t="s">
        <v>4</v>
      </c>
      <c r="J2737" s="2" t="s">
        <v>3615</v>
      </c>
      <c r="K2737" s="2" t="s">
        <v>122</v>
      </c>
      <c r="L2737" s="2" t="s">
        <v>123</v>
      </c>
      <c r="M2737" s="2" t="s">
        <v>119</v>
      </c>
      <c r="N2737" s="4" t="str">
        <f t="shared" si="257"/>
        <v>TON</v>
      </c>
      <c r="O2737" s="5">
        <v>5</v>
      </c>
    </row>
    <row r="2738" spans="2:15" x14ac:dyDescent="0.25">
      <c r="B2738" s="1" t="s">
        <v>1520</v>
      </c>
      <c r="C2738" s="2" t="s">
        <v>196</v>
      </c>
      <c r="D2738" s="2" t="s">
        <v>215</v>
      </c>
      <c r="E2738" s="2" t="s">
        <v>216</v>
      </c>
      <c r="F2738" s="3">
        <f>DATE(2023,9,28)</f>
        <v>45197</v>
      </c>
      <c r="G2738" s="4">
        <f t="shared" si="256"/>
        <v>9</v>
      </c>
      <c r="H2738" s="4">
        <f t="shared" si="255"/>
        <v>2023</v>
      </c>
      <c r="I2738" s="2" t="s">
        <v>4</v>
      </c>
      <c r="J2738" s="2" t="s">
        <v>3616</v>
      </c>
      <c r="K2738" s="2" t="s">
        <v>205</v>
      </c>
      <c r="L2738" s="2" t="s">
        <v>206</v>
      </c>
      <c r="M2738" s="2" t="s">
        <v>119</v>
      </c>
      <c r="N2738" s="4" t="str">
        <f t="shared" si="257"/>
        <v>TON</v>
      </c>
      <c r="O2738" s="5">
        <v>5.2575000000000003</v>
      </c>
    </row>
    <row r="2739" spans="2:15" x14ac:dyDescent="0.25">
      <c r="B2739" s="1" t="s">
        <v>1520</v>
      </c>
      <c r="C2739" s="2" t="s">
        <v>196</v>
      </c>
      <c r="D2739" s="2" t="s">
        <v>224</v>
      </c>
      <c r="E2739" s="2" t="s">
        <v>3617</v>
      </c>
      <c r="F2739" s="3">
        <f>DATE(2023,9,29)</f>
        <v>45198</v>
      </c>
      <c r="G2739" s="4">
        <f t="shared" si="256"/>
        <v>9</v>
      </c>
      <c r="H2739" s="4">
        <f t="shared" si="255"/>
        <v>2023</v>
      </c>
      <c r="I2739" s="2" t="s">
        <v>4</v>
      </c>
      <c r="J2739" s="2" t="s">
        <v>3618</v>
      </c>
      <c r="K2739" s="2" t="s">
        <v>205</v>
      </c>
      <c r="L2739" s="2" t="s">
        <v>206</v>
      </c>
      <c r="M2739" s="2" t="s">
        <v>119</v>
      </c>
      <c r="N2739" s="4" t="str">
        <f t="shared" si="257"/>
        <v>TON</v>
      </c>
      <c r="O2739" s="5">
        <v>11.282500000000001</v>
      </c>
    </row>
    <row r="2740" spans="2:15" x14ac:dyDescent="0.25">
      <c r="B2740" s="1" t="s">
        <v>1520</v>
      </c>
      <c r="C2740" s="2" t="s">
        <v>196</v>
      </c>
      <c r="D2740" s="2" t="s">
        <v>207</v>
      </c>
      <c r="E2740" s="2" t="s">
        <v>208</v>
      </c>
      <c r="F2740" s="3">
        <f>DATE(2023,9,29)</f>
        <v>45198</v>
      </c>
      <c r="G2740" s="4">
        <f t="shared" si="256"/>
        <v>9</v>
      </c>
      <c r="H2740" s="4">
        <f t="shared" si="255"/>
        <v>2023</v>
      </c>
      <c r="I2740" s="2" t="s">
        <v>4</v>
      </c>
      <c r="J2740" s="2" t="s">
        <v>3619</v>
      </c>
      <c r="K2740" s="2" t="s">
        <v>205</v>
      </c>
      <c r="L2740" s="2" t="s">
        <v>206</v>
      </c>
      <c r="M2740" s="2" t="s">
        <v>119</v>
      </c>
      <c r="N2740" s="4" t="str">
        <f t="shared" si="257"/>
        <v>TON</v>
      </c>
      <c r="O2740" s="5">
        <v>5.01</v>
      </c>
    </row>
    <row r="2741" spans="2:15" x14ac:dyDescent="0.25">
      <c r="B2741" s="1" t="s">
        <v>1520</v>
      </c>
      <c r="C2741" s="2" t="s">
        <v>196</v>
      </c>
      <c r="D2741" s="2" t="s">
        <v>387</v>
      </c>
      <c r="E2741" s="2" t="s">
        <v>797</v>
      </c>
      <c r="F2741" s="3">
        <f>DATE(2023,9,29)</f>
        <v>45198</v>
      </c>
      <c r="G2741" s="4">
        <f t="shared" si="256"/>
        <v>9</v>
      </c>
      <c r="H2741" s="4">
        <f t="shared" si="255"/>
        <v>2023</v>
      </c>
      <c r="I2741" s="2" t="s">
        <v>4</v>
      </c>
      <c r="J2741" s="2" t="s">
        <v>3620</v>
      </c>
      <c r="K2741" s="2" t="s">
        <v>422</v>
      </c>
      <c r="L2741" s="2" t="s">
        <v>423</v>
      </c>
      <c r="M2741" s="2" t="s">
        <v>119</v>
      </c>
      <c r="N2741" s="4" t="str">
        <f t="shared" si="257"/>
        <v>TON</v>
      </c>
      <c r="O2741" s="5">
        <v>15.032500000000001</v>
      </c>
    </row>
    <row r="2742" spans="2:15" x14ac:dyDescent="0.25">
      <c r="B2742" s="1" t="s">
        <v>1520</v>
      </c>
      <c r="C2742" s="2" t="s">
        <v>196</v>
      </c>
      <c r="D2742" s="2" t="s">
        <v>265</v>
      </c>
      <c r="E2742" s="2" t="s">
        <v>266</v>
      </c>
      <c r="F2742" s="3">
        <f>DATE(2023,9,29)</f>
        <v>45198</v>
      </c>
      <c r="G2742" s="4">
        <f t="shared" si="256"/>
        <v>9</v>
      </c>
      <c r="H2742" s="4">
        <f t="shared" si="255"/>
        <v>2023</v>
      </c>
      <c r="I2742" s="2" t="s">
        <v>4</v>
      </c>
      <c r="J2742" s="2" t="s">
        <v>3621</v>
      </c>
      <c r="K2742" s="2" t="s">
        <v>268</v>
      </c>
      <c r="L2742" s="2" t="s">
        <v>269</v>
      </c>
      <c r="M2742" s="2" t="s">
        <v>119</v>
      </c>
      <c r="N2742" s="4" t="str">
        <f t="shared" si="257"/>
        <v>TON</v>
      </c>
      <c r="O2742" s="5">
        <v>0.3</v>
      </c>
    </row>
    <row r="2743" spans="2:15" x14ac:dyDescent="0.25">
      <c r="B2743" s="1" t="s">
        <v>382</v>
      </c>
      <c r="C2743" s="2" t="s">
        <v>506</v>
      </c>
      <c r="D2743" s="2" t="s">
        <v>515</v>
      </c>
      <c r="E2743" s="2" t="s">
        <v>516</v>
      </c>
      <c r="F2743" s="3">
        <f>DATE(2023,9,11)</f>
        <v>45180</v>
      </c>
      <c r="G2743" s="4">
        <f t="shared" si="256"/>
        <v>9</v>
      </c>
      <c r="H2743" s="4">
        <f t="shared" si="255"/>
        <v>2023</v>
      </c>
      <c r="I2743" s="2" t="s">
        <v>4</v>
      </c>
      <c r="J2743" s="2" t="s">
        <v>3622</v>
      </c>
      <c r="K2743" s="2" t="s">
        <v>244</v>
      </c>
      <c r="L2743" s="2" t="s">
        <v>182</v>
      </c>
      <c r="M2743" s="2" t="s">
        <v>183</v>
      </c>
      <c r="N2743" s="4" t="str">
        <f t="shared" si="257"/>
        <v>GAL</v>
      </c>
      <c r="O2743" s="5">
        <v>60</v>
      </c>
    </row>
    <row r="2744" spans="2:15" x14ac:dyDescent="0.25">
      <c r="B2744" s="1" t="s">
        <v>382</v>
      </c>
      <c r="C2744" s="2" t="s">
        <v>506</v>
      </c>
      <c r="D2744" s="2" t="s">
        <v>515</v>
      </c>
      <c r="E2744" s="2" t="s">
        <v>516</v>
      </c>
      <c r="F2744" s="3">
        <f>DATE(2023,9,11)</f>
        <v>45180</v>
      </c>
      <c r="G2744" s="4">
        <f t="shared" si="256"/>
        <v>9</v>
      </c>
      <c r="H2744" s="4">
        <f t="shared" si="255"/>
        <v>2023</v>
      </c>
      <c r="I2744" s="2" t="s">
        <v>4</v>
      </c>
      <c r="J2744" s="2" t="s">
        <v>3622</v>
      </c>
      <c r="K2744" s="2" t="s">
        <v>33</v>
      </c>
      <c r="L2744" s="2" t="s">
        <v>2786</v>
      </c>
      <c r="M2744" s="2" t="s">
        <v>35</v>
      </c>
      <c r="N2744" s="4" t="str">
        <f t="shared" si="257"/>
        <v>GAL</v>
      </c>
      <c r="O2744" s="5">
        <v>60</v>
      </c>
    </row>
    <row r="2745" spans="2:15" x14ac:dyDescent="0.25">
      <c r="B2745" s="1" t="s">
        <v>382</v>
      </c>
      <c r="C2745" s="2" t="s">
        <v>506</v>
      </c>
      <c r="D2745" s="2" t="s">
        <v>515</v>
      </c>
      <c r="E2745" s="2" t="s">
        <v>516</v>
      </c>
      <c r="F2745" s="3">
        <f>DATE(2023,9,11)</f>
        <v>45180</v>
      </c>
      <c r="G2745" s="4">
        <f t="shared" si="256"/>
        <v>9</v>
      </c>
      <c r="H2745" s="4">
        <f t="shared" si="255"/>
        <v>2023</v>
      </c>
      <c r="I2745" s="2" t="s">
        <v>4</v>
      </c>
      <c r="J2745" s="2" t="s">
        <v>3622</v>
      </c>
      <c r="K2745" s="2" t="s">
        <v>1014</v>
      </c>
      <c r="L2745" s="2" t="s">
        <v>472</v>
      </c>
      <c r="M2745" s="2" t="s">
        <v>473</v>
      </c>
      <c r="N2745" s="4" t="str">
        <f t="shared" si="257"/>
        <v>GAL</v>
      </c>
      <c r="O2745" s="5">
        <v>30</v>
      </c>
    </row>
    <row r="2746" spans="2:15" x14ac:dyDescent="0.25">
      <c r="B2746" s="1" t="s">
        <v>382</v>
      </c>
      <c r="C2746" s="2" t="s">
        <v>506</v>
      </c>
      <c r="D2746" s="2" t="s">
        <v>507</v>
      </c>
      <c r="E2746" s="2" t="s">
        <v>141</v>
      </c>
      <c r="F2746" s="3">
        <f>DATE(2023,9,12)</f>
        <v>45181</v>
      </c>
      <c r="G2746" s="4">
        <f t="shared" si="256"/>
        <v>9</v>
      </c>
      <c r="H2746" s="4">
        <f t="shared" si="255"/>
        <v>2023</v>
      </c>
      <c r="I2746" s="2" t="s">
        <v>4</v>
      </c>
      <c r="J2746" s="2" t="s">
        <v>3623</v>
      </c>
      <c r="K2746" s="2" t="s">
        <v>329</v>
      </c>
      <c r="L2746" s="2" t="s">
        <v>330</v>
      </c>
      <c r="M2746" s="2" t="s">
        <v>119</v>
      </c>
      <c r="N2746" s="4" t="str">
        <f t="shared" si="257"/>
        <v>TON</v>
      </c>
      <c r="O2746" s="5">
        <v>2.5175000000000001</v>
      </c>
    </row>
    <row r="2747" spans="2:15" x14ac:dyDescent="0.25">
      <c r="B2747" s="1" t="s">
        <v>645</v>
      </c>
      <c r="C2747" s="2" t="s">
        <v>1025</v>
      </c>
      <c r="D2747" s="2" t="s">
        <v>2478</v>
      </c>
      <c r="E2747" s="2" t="s">
        <v>124</v>
      </c>
      <c r="F2747" s="3">
        <f>DATE(2023,9,15)</f>
        <v>45184</v>
      </c>
      <c r="G2747" s="4">
        <f t="shared" si="256"/>
        <v>9</v>
      </c>
      <c r="H2747" s="4">
        <f t="shared" ref="H2747:H2810" si="258">+YEAR(F2747)</f>
        <v>2023</v>
      </c>
      <c r="I2747" s="2" t="s">
        <v>4</v>
      </c>
      <c r="J2747" s="2" t="s">
        <v>3624</v>
      </c>
      <c r="K2747" s="2" t="s">
        <v>3344</v>
      </c>
      <c r="L2747" s="2" t="s">
        <v>3345</v>
      </c>
      <c r="M2747" s="2" t="s">
        <v>119</v>
      </c>
      <c r="N2747" s="4" t="str">
        <f t="shared" si="257"/>
        <v>TON</v>
      </c>
      <c r="O2747" s="5">
        <v>4.0324999999999998</v>
      </c>
    </row>
    <row r="2748" spans="2:15" x14ac:dyDescent="0.25">
      <c r="B2748" s="1" t="s">
        <v>1742</v>
      </c>
      <c r="C2748" s="2" t="s">
        <v>1025</v>
      </c>
      <c r="D2748" s="2" t="s">
        <v>496</v>
      </c>
      <c r="E2748" s="2" t="s">
        <v>497</v>
      </c>
      <c r="F2748" s="3">
        <f>DATE(2023,9,15)</f>
        <v>45184</v>
      </c>
      <c r="G2748" s="4">
        <f t="shared" si="256"/>
        <v>9</v>
      </c>
      <c r="H2748" s="4">
        <f t="shared" si="258"/>
        <v>2023</v>
      </c>
      <c r="I2748" s="2" t="s">
        <v>4</v>
      </c>
      <c r="J2748" s="2" t="s">
        <v>3625</v>
      </c>
      <c r="K2748" s="2" t="s">
        <v>499</v>
      </c>
      <c r="L2748" s="2" t="s">
        <v>500</v>
      </c>
      <c r="M2748" s="2" t="s">
        <v>119</v>
      </c>
      <c r="N2748" s="4" t="str">
        <f t="shared" si="257"/>
        <v>TON</v>
      </c>
      <c r="O2748" s="5">
        <v>3.75</v>
      </c>
    </row>
    <row r="2749" spans="2:15" x14ac:dyDescent="0.25">
      <c r="B2749" s="1" t="s">
        <v>645</v>
      </c>
      <c r="C2749" s="2" t="s">
        <v>1025</v>
      </c>
      <c r="D2749" s="2" t="s">
        <v>1401</v>
      </c>
      <c r="E2749" s="2" t="s">
        <v>1402</v>
      </c>
      <c r="F2749" s="3">
        <f>DATE(2023,9,22)</f>
        <v>45191</v>
      </c>
      <c r="G2749" s="4">
        <f t="shared" si="256"/>
        <v>9</v>
      </c>
      <c r="H2749" s="4">
        <f t="shared" si="258"/>
        <v>2023</v>
      </c>
      <c r="I2749" s="2" t="s">
        <v>4</v>
      </c>
      <c r="J2749" s="2" t="s">
        <v>3626</v>
      </c>
      <c r="K2749" s="2" t="s">
        <v>3627</v>
      </c>
      <c r="L2749" s="2" t="s">
        <v>3628</v>
      </c>
      <c r="M2749" s="2" t="s">
        <v>3629</v>
      </c>
      <c r="N2749" s="4" t="str">
        <f t="shared" si="257"/>
        <v>GAL</v>
      </c>
      <c r="O2749" s="5">
        <v>40</v>
      </c>
    </row>
    <row r="2750" spans="2:15" x14ac:dyDescent="0.25">
      <c r="B2750" s="1" t="s">
        <v>1410</v>
      </c>
      <c r="C2750" s="2" t="s">
        <v>525</v>
      </c>
      <c r="D2750" s="2" t="s">
        <v>124</v>
      </c>
      <c r="E2750" s="2" t="s">
        <v>526</v>
      </c>
      <c r="F2750" s="3">
        <f>DATE(2023,9,1)</f>
        <v>45170</v>
      </c>
      <c r="G2750" s="4">
        <f t="shared" si="256"/>
        <v>9</v>
      </c>
      <c r="H2750" s="4">
        <f t="shared" si="258"/>
        <v>2023</v>
      </c>
      <c r="I2750" s="2" t="s">
        <v>4</v>
      </c>
      <c r="J2750" s="2" t="s">
        <v>3630</v>
      </c>
      <c r="K2750" s="2" t="s">
        <v>1031</v>
      </c>
      <c r="L2750" s="2" t="s">
        <v>1032</v>
      </c>
      <c r="M2750" s="2" t="s">
        <v>119</v>
      </c>
      <c r="N2750" s="4" t="str">
        <f t="shared" si="257"/>
        <v>TON</v>
      </c>
      <c r="O2750" s="5">
        <v>5</v>
      </c>
    </row>
    <row r="2751" spans="2:15" x14ac:dyDescent="0.25">
      <c r="B2751" s="1" t="s">
        <v>1410</v>
      </c>
      <c r="C2751" s="2" t="s">
        <v>525</v>
      </c>
      <c r="D2751" s="2" t="s">
        <v>507</v>
      </c>
      <c r="E2751" s="2" t="s">
        <v>508</v>
      </c>
      <c r="F2751" s="3">
        <f>DATE(2023,9,7)</f>
        <v>45176</v>
      </c>
      <c r="G2751" s="4">
        <f t="shared" si="256"/>
        <v>9</v>
      </c>
      <c r="H2751" s="4">
        <f t="shared" si="258"/>
        <v>2023</v>
      </c>
      <c r="I2751" s="2" t="s">
        <v>4</v>
      </c>
      <c r="J2751" s="2" t="s">
        <v>3631</v>
      </c>
      <c r="K2751" s="2" t="s">
        <v>1505</v>
      </c>
      <c r="L2751" s="2" t="s">
        <v>182</v>
      </c>
      <c r="M2751" s="2" t="s">
        <v>183</v>
      </c>
      <c r="N2751" s="4" t="str">
        <f t="shared" si="257"/>
        <v>GAL</v>
      </c>
      <c r="O2751" s="5">
        <v>500</v>
      </c>
    </row>
    <row r="2752" spans="2:15" x14ac:dyDescent="0.25">
      <c r="B2752" s="1" t="s">
        <v>1410</v>
      </c>
      <c r="C2752" s="2" t="s">
        <v>525</v>
      </c>
      <c r="D2752" s="2" t="s">
        <v>124</v>
      </c>
      <c r="E2752" s="2" t="s">
        <v>526</v>
      </c>
      <c r="F2752" s="3">
        <f>DATE(2023,9,7)</f>
        <v>45176</v>
      </c>
      <c r="G2752" s="4">
        <f t="shared" si="256"/>
        <v>9</v>
      </c>
      <c r="H2752" s="4">
        <f t="shared" si="258"/>
        <v>2023</v>
      </c>
      <c r="I2752" s="2" t="s">
        <v>4</v>
      </c>
      <c r="J2752" s="2" t="s">
        <v>3632</v>
      </c>
      <c r="K2752" s="2" t="s">
        <v>2493</v>
      </c>
      <c r="L2752" s="2" t="s">
        <v>2494</v>
      </c>
      <c r="M2752" s="2" t="s">
        <v>119</v>
      </c>
      <c r="N2752" s="4" t="str">
        <f t="shared" si="257"/>
        <v>TON</v>
      </c>
      <c r="O2752" s="5">
        <v>6.1475</v>
      </c>
    </row>
    <row r="2753" spans="2:15" x14ac:dyDescent="0.25">
      <c r="B2753" s="1" t="s">
        <v>1410</v>
      </c>
      <c r="C2753" s="2" t="s">
        <v>525</v>
      </c>
      <c r="D2753" s="2" t="s">
        <v>124</v>
      </c>
      <c r="E2753" s="2" t="s">
        <v>526</v>
      </c>
      <c r="F2753" s="3">
        <f>DATE(2023,9,14)</f>
        <v>45183</v>
      </c>
      <c r="G2753" s="4">
        <f t="shared" si="256"/>
        <v>9</v>
      </c>
      <c r="H2753" s="4">
        <f t="shared" si="258"/>
        <v>2023</v>
      </c>
      <c r="I2753" s="2" t="s">
        <v>4</v>
      </c>
      <c r="J2753" s="2" t="s">
        <v>3633</v>
      </c>
      <c r="K2753" s="2" t="s">
        <v>2499</v>
      </c>
      <c r="L2753" s="2" t="s">
        <v>2500</v>
      </c>
      <c r="M2753" s="2" t="s">
        <v>119</v>
      </c>
      <c r="N2753" s="4" t="str">
        <f t="shared" si="257"/>
        <v>TON</v>
      </c>
      <c r="O2753" s="5">
        <v>10</v>
      </c>
    </row>
    <row r="2754" spans="2:15" x14ac:dyDescent="0.25">
      <c r="B2754" s="1" t="s">
        <v>1410</v>
      </c>
      <c r="C2754" s="2" t="s">
        <v>525</v>
      </c>
      <c r="D2754" s="2" t="s">
        <v>507</v>
      </c>
      <c r="E2754" s="2" t="s">
        <v>508</v>
      </c>
      <c r="F2754" s="3">
        <f>DATE(2023,9,18)</f>
        <v>45187</v>
      </c>
      <c r="G2754" s="4">
        <f t="shared" si="256"/>
        <v>9</v>
      </c>
      <c r="H2754" s="4">
        <f t="shared" si="258"/>
        <v>2023</v>
      </c>
      <c r="I2754" s="2" t="s">
        <v>4</v>
      </c>
      <c r="J2754" s="2" t="s">
        <v>3634</v>
      </c>
      <c r="K2754" s="2" t="s">
        <v>158</v>
      </c>
      <c r="L2754" s="2" t="s">
        <v>159</v>
      </c>
      <c r="M2754" s="2" t="s">
        <v>160</v>
      </c>
      <c r="N2754" s="4" t="str">
        <f t="shared" si="257"/>
        <v>GAL</v>
      </c>
      <c r="O2754" s="5">
        <v>360</v>
      </c>
    </row>
    <row r="2755" spans="2:15" x14ac:dyDescent="0.25">
      <c r="B2755" s="1" t="s">
        <v>1410</v>
      </c>
      <c r="C2755" s="2" t="s">
        <v>525</v>
      </c>
      <c r="D2755" s="2" t="s">
        <v>507</v>
      </c>
      <c r="E2755" s="2" t="s">
        <v>508</v>
      </c>
      <c r="F2755" s="3">
        <f>DATE(2023,9,22)</f>
        <v>45191</v>
      </c>
      <c r="G2755" s="4">
        <f t="shared" ref="G2755:G2818" si="259">+MONTH(F2755)</f>
        <v>9</v>
      </c>
      <c r="H2755" s="4">
        <f t="shared" si="258"/>
        <v>2023</v>
      </c>
      <c r="I2755" s="2" t="s">
        <v>4</v>
      </c>
      <c r="J2755" s="2" t="s">
        <v>3635</v>
      </c>
      <c r="K2755" s="2" t="s">
        <v>609</v>
      </c>
      <c r="L2755" s="2" t="s">
        <v>610</v>
      </c>
      <c r="M2755" s="2" t="s">
        <v>611</v>
      </c>
      <c r="N2755" s="4" t="str">
        <f t="shared" ref="N2755:N2818" si="260">+LEFT(M2755,3)</f>
        <v>GAL</v>
      </c>
      <c r="O2755" s="5">
        <v>60</v>
      </c>
    </row>
    <row r="2756" spans="2:15" x14ac:dyDescent="0.25">
      <c r="B2756" s="1" t="s">
        <v>1410</v>
      </c>
      <c r="C2756" s="2" t="s">
        <v>525</v>
      </c>
      <c r="D2756" s="2" t="s">
        <v>124</v>
      </c>
      <c r="E2756" s="2" t="s">
        <v>526</v>
      </c>
      <c r="F2756" s="3">
        <f>DATE(2023,9,22)</f>
        <v>45191</v>
      </c>
      <c r="G2756" s="4">
        <f t="shared" si="259"/>
        <v>9</v>
      </c>
      <c r="H2756" s="4">
        <f t="shared" si="258"/>
        <v>2023</v>
      </c>
      <c r="I2756" s="2" t="s">
        <v>4</v>
      </c>
      <c r="J2756" s="2" t="s">
        <v>3636</v>
      </c>
      <c r="K2756" s="2" t="s">
        <v>3637</v>
      </c>
      <c r="L2756" s="2" t="s">
        <v>3638</v>
      </c>
      <c r="M2756" s="2" t="s">
        <v>106</v>
      </c>
      <c r="N2756" s="4" t="str">
        <f t="shared" si="260"/>
        <v>LBS</v>
      </c>
      <c r="O2756" s="5">
        <v>5000</v>
      </c>
    </row>
    <row r="2757" spans="2:15" x14ac:dyDescent="0.25">
      <c r="B2757" s="1" t="s">
        <v>1410</v>
      </c>
      <c r="C2757" s="2" t="s">
        <v>525</v>
      </c>
      <c r="D2757" s="2" t="s">
        <v>646</v>
      </c>
      <c r="E2757" s="2" t="s">
        <v>647</v>
      </c>
      <c r="F2757" s="3">
        <f>DATE(2023,9,22)</f>
        <v>45191</v>
      </c>
      <c r="G2757" s="4">
        <f t="shared" si="259"/>
        <v>9</v>
      </c>
      <c r="H2757" s="4">
        <f t="shared" si="258"/>
        <v>2023</v>
      </c>
      <c r="I2757" s="2" t="s">
        <v>4</v>
      </c>
      <c r="J2757" s="2" t="s">
        <v>3639</v>
      </c>
      <c r="K2757" s="2" t="s">
        <v>649</v>
      </c>
      <c r="L2757" s="2" t="s">
        <v>538</v>
      </c>
      <c r="M2757" s="2" t="s">
        <v>539</v>
      </c>
      <c r="N2757" s="4" t="str">
        <f t="shared" si="260"/>
        <v>GAL</v>
      </c>
      <c r="O2757" s="5">
        <v>3000</v>
      </c>
    </row>
    <row r="2758" spans="2:15" x14ac:dyDescent="0.25">
      <c r="B2758" s="1" t="s">
        <v>1410</v>
      </c>
      <c r="C2758" s="2" t="s">
        <v>525</v>
      </c>
      <c r="D2758" s="2" t="s">
        <v>124</v>
      </c>
      <c r="E2758" s="2" t="s">
        <v>526</v>
      </c>
      <c r="F2758" s="3">
        <f>DATE(2023,9,25)</f>
        <v>45194</v>
      </c>
      <c r="G2758" s="4">
        <f t="shared" si="259"/>
        <v>9</v>
      </c>
      <c r="H2758" s="4">
        <f t="shared" si="258"/>
        <v>2023</v>
      </c>
      <c r="I2758" s="2" t="s">
        <v>4</v>
      </c>
      <c r="J2758" s="2" t="s">
        <v>3640</v>
      </c>
      <c r="K2758" s="2" t="s">
        <v>3641</v>
      </c>
      <c r="L2758" s="2" t="s">
        <v>1471</v>
      </c>
      <c r="M2758" s="2" t="s">
        <v>1472</v>
      </c>
      <c r="N2758" s="4" t="str">
        <f t="shared" si="260"/>
        <v>GAL</v>
      </c>
      <c r="O2758" s="5">
        <v>60</v>
      </c>
    </row>
    <row r="2759" spans="2:15" x14ac:dyDescent="0.25">
      <c r="B2759" s="1" t="s">
        <v>1410</v>
      </c>
      <c r="C2759" s="2" t="s">
        <v>525</v>
      </c>
      <c r="D2759" s="2" t="s">
        <v>124</v>
      </c>
      <c r="E2759" s="2" t="s">
        <v>526</v>
      </c>
      <c r="F2759" s="3">
        <f>DATE(2023,9,28)</f>
        <v>45197</v>
      </c>
      <c r="G2759" s="4">
        <f t="shared" si="259"/>
        <v>9</v>
      </c>
      <c r="H2759" s="4">
        <f t="shared" si="258"/>
        <v>2023</v>
      </c>
      <c r="I2759" s="2" t="s">
        <v>4</v>
      </c>
      <c r="J2759" s="2" t="s">
        <v>3642</v>
      </c>
      <c r="K2759" s="2" t="s">
        <v>2493</v>
      </c>
      <c r="L2759" s="2" t="s">
        <v>2494</v>
      </c>
      <c r="M2759" s="2" t="s">
        <v>119</v>
      </c>
      <c r="N2759" s="4" t="str">
        <f t="shared" si="260"/>
        <v>TON</v>
      </c>
      <c r="O2759" s="5">
        <v>6.125</v>
      </c>
    </row>
    <row r="2760" spans="2:15" x14ac:dyDescent="0.25">
      <c r="B2760" s="1" t="s">
        <v>1050</v>
      </c>
      <c r="C2760" s="2" t="s">
        <v>533</v>
      </c>
      <c r="D2760" s="2" t="s">
        <v>562</v>
      </c>
      <c r="E2760" s="2" t="s">
        <v>1051</v>
      </c>
      <c r="F2760" s="3">
        <f>DATE(2023,9,25)</f>
        <v>45194</v>
      </c>
      <c r="G2760" s="4">
        <f t="shared" si="259"/>
        <v>9</v>
      </c>
      <c r="H2760" s="4">
        <f t="shared" si="258"/>
        <v>2023</v>
      </c>
      <c r="I2760" s="2" t="s">
        <v>4</v>
      </c>
      <c r="J2760" s="2" t="s">
        <v>3643</v>
      </c>
      <c r="K2760" s="2" t="s">
        <v>822</v>
      </c>
      <c r="L2760" s="2" t="s">
        <v>565</v>
      </c>
      <c r="M2760" s="2" t="s">
        <v>21</v>
      </c>
      <c r="N2760" s="4" t="str">
        <f t="shared" si="260"/>
        <v>GAL</v>
      </c>
      <c r="O2760" s="5">
        <v>1375</v>
      </c>
    </row>
    <row r="2761" spans="2:15" x14ac:dyDescent="0.25">
      <c r="B2761" s="1" t="s">
        <v>3238</v>
      </c>
      <c r="C2761" s="2" t="s">
        <v>3239</v>
      </c>
      <c r="D2761" s="2" t="s">
        <v>3240</v>
      </c>
      <c r="E2761" s="2" t="s">
        <v>3379</v>
      </c>
      <c r="F2761" s="3">
        <f>DATE(2023,9,6)</f>
        <v>45175</v>
      </c>
      <c r="G2761" s="4">
        <f t="shared" si="259"/>
        <v>9</v>
      </c>
      <c r="H2761" s="4">
        <f t="shared" si="258"/>
        <v>2023</v>
      </c>
      <c r="I2761" s="2" t="s">
        <v>4</v>
      </c>
      <c r="J2761" s="2" t="s">
        <v>3644</v>
      </c>
      <c r="K2761" s="2" t="s">
        <v>548</v>
      </c>
      <c r="L2761" s="2" t="s">
        <v>518</v>
      </c>
      <c r="M2761" s="2" t="s">
        <v>85</v>
      </c>
      <c r="N2761" s="4" t="str">
        <f t="shared" si="260"/>
        <v>GAL</v>
      </c>
      <c r="O2761" s="5">
        <v>500</v>
      </c>
    </row>
    <row r="2762" spans="2:15" x14ac:dyDescent="0.25">
      <c r="B2762" s="1" t="s">
        <v>3238</v>
      </c>
      <c r="C2762" s="2" t="s">
        <v>3239</v>
      </c>
      <c r="D2762" s="2" t="s">
        <v>3240</v>
      </c>
      <c r="E2762" s="2" t="s">
        <v>3402</v>
      </c>
      <c r="F2762" s="3">
        <f>DATE(2023,9,7)</f>
        <v>45176</v>
      </c>
      <c r="G2762" s="4">
        <f t="shared" si="259"/>
        <v>9</v>
      </c>
      <c r="H2762" s="4">
        <f t="shared" si="258"/>
        <v>2023</v>
      </c>
      <c r="I2762" s="2" t="s">
        <v>4</v>
      </c>
      <c r="J2762" s="2" t="s">
        <v>3645</v>
      </c>
      <c r="K2762" s="2" t="s">
        <v>3404</v>
      </c>
      <c r="L2762" s="2" t="s">
        <v>3405</v>
      </c>
      <c r="M2762" s="2" t="s">
        <v>3406</v>
      </c>
      <c r="N2762" s="4" t="str">
        <f t="shared" si="260"/>
        <v>GAL</v>
      </c>
      <c r="O2762" s="5">
        <v>500</v>
      </c>
    </row>
    <row r="2763" spans="2:15" x14ac:dyDescent="0.25">
      <c r="B2763" s="1" t="s">
        <v>3238</v>
      </c>
      <c r="C2763" s="2" t="s">
        <v>3239</v>
      </c>
      <c r="D2763" s="2" t="s">
        <v>3240</v>
      </c>
      <c r="E2763" s="2" t="s">
        <v>3397</v>
      </c>
      <c r="F2763" s="3">
        <f>DATE(2023,9,8)</f>
        <v>45177</v>
      </c>
      <c r="G2763" s="4">
        <f t="shared" si="259"/>
        <v>9</v>
      </c>
      <c r="H2763" s="4">
        <f t="shared" si="258"/>
        <v>2023</v>
      </c>
      <c r="I2763" s="2" t="s">
        <v>4</v>
      </c>
      <c r="J2763" s="2" t="s">
        <v>3646</v>
      </c>
      <c r="K2763" s="2" t="s">
        <v>3647</v>
      </c>
      <c r="L2763" s="2" t="s">
        <v>3648</v>
      </c>
      <c r="M2763" s="2" t="s">
        <v>3649</v>
      </c>
      <c r="N2763" s="4" t="str">
        <f t="shared" si="260"/>
        <v>GAL</v>
      </c>
      <c r="O2763" s="5">
        <v>250</v>
      </c>
    </row>
    <row r="2764" spans="2:15" x14ac:dyDescent="0.25">
      <c r="B2764" s="1" t="s">
        <v>3238</v>
      </c>
      <c r="C2764" s="2" t="s">
        <v>3239</v>
      </c>
      <c r="D2764" s="2" t="s">
        <v>3240</v>
      </c>
      <c r="E2764" s="2" t="s">
        <v>3397</v>
      </c>
      <c r="F2764" s="3">
        <f>DATE(2023,9,8)</f>
        <v>45177</v>
      </c>
      <c r="G2764" s="4">
        <f t="shared" si="259"/>
        <v>9</v>
      </c>
      <c r="H2764" s="4">
        <f t="shared" si="258"/>
        <v>2023</v>
      </c>
      <c r="I2764" s="2" t="s">
        <v>4</v>
      </c>
      <c r="J2764" s="2" t="s">
        <v>3646</v>
      </c>
      <c r="K2764" s="2" t="s">
        <v>3650</v>
      </c>
      <c r="L2764" s="2" t="s">
        <v>3651</v>
      </c>
      <c r="M2764" s="2" t="s">
        <v>3652</v>
      </c>
      <c r="N2764" s="4" t="str">
        <f t="shared" si="260"/>
        <v>GAL</v>
      </c>
      <c r="O2764" s="5">
        <v>40</v>
      </c>
    </row>
    <row r="2765" spans="2:15" x14ac:dyDescent="0.25">
      <c r="B2765" s="1" t="s">
        <v>3238</v>
      </c>
      <c r="C2765" s="2" t="s">
        <v>3239</v>
      </c>
      <c r="D2765" s="2" t="s">
        <v>3240</v>
      </c>
      <c r="E2765" s="2" t="s">
        <v>3397</v>
      </c>
      <c r="F2765" s="3">
        <f>DATE(2023,9,8)</f>
        <v>45177</v>
      </c>
      <c r="G2765" s="4">
        <f t="shared" si="259"/>
        <v>9</v>
      </c>
      <c r="H2765" s="4">
        <f t="shared" si="258"/>
        <v>2023</v>
      </c>
      <c r="I2765" s="2" t="s">
        <v>4</v>
      </c>
      <c r="J2765" s="2" t="s">
        <v>3646</v>
      </c>
      <c r="K2765" s="2" t="s">
        <v>3653</v>
      </c>
      <c r="L2765" s="2" t="s">
        <v>3654</v>
      </c>
      <c r="M2765" s="2" t="s">
        <v>1071</v>
      </c>
      <c r="N2765" s="4" t="str">
        <f t="shared" si="260"/>
        <v>GAL</v>
      </c>
      <c r="O2765" s="5">
        <v>250</v>
      </c>
    </row>
    <row r="2766" spans="2:15" x14ac:dyDescent="0.25">
      <c r="B2766" s="1" t="s">
        <v>3238</v>
      </c>
      <c r="C2766" s="2" t="s">
        <v>3239</v>
      </c>
      <c r="D2766" s="2" t="s">
        <v>3240</v>
      </c>
      <c r="E2766" s="2" t="s">
        <v>102</v>
      </c>
      <c r="F2766" s="3">
        <f>DATE(2023,9,11)</f>
        <v>45180</v>
      </c>
      <c r="G2766" s="4">
        <f t="shared" si="259"/>
        <v>9</v>
      </c>
      <c r="H2766" s="4">
        <f t="shared" si="258"/>
        <v>2023</v>
      </c>
      <c r="I2766" s="2" t="s">
        <v>4</v>
      </c>
      <c r="J2766" s="2" t="s">
        <v>3655</v>
      </c>
      <c r="K2766" s="2" t="s">
        <v>842</v>
      </c>
      <c r="L2766" s="2" t="s">
        <v>843</v>
      </c>
      <c r="M2766" s="2" t="s">
        <v>844</v>
      </c>
      <c r="N2766" s="4" t="str">
        <f t="shared" si="260"/>
        <v>GAL</v>
      </c>
      <c r="O2766" s="5">
        <v>250</v>
      </c>
    </row>
    <row r="2767" spans="2:15" x14ac:dyDescent="0.25">
      <c r="B2767" s="1" t="s">
        <v>3238</v>
      </c>
      <c r="C2767" s="2" t="s">
        <v>3239</v>
      </c>
      <c r="D2767" s="2" t="s">
        <v>3240</v>
      </c>
      <c r="E2767" s="2" t="s">
        <v>102</v>
      </c>
      <c r="F2767" s="3">
        <f>DATE(2023,9,11)</f>
        <v>45180</v>
      </c>
      <c r="G2767" s="4">
        <f t="shared" si="259"/>
        <v>9</v>
      </c>
      <c r="H2767" s="4">
        <f t="shared" si="258"/>
        <v>2023</v>
      </c>
      <c r="I2767" s="2" t="s">
        <v>4</v>
      </c>
      <c r="J2767" s="2" t="s">
        <v>3655</v>
      </c>
      <c r="K2767" s="2" t="s">
        <v>3243</v>
      </c>
      <c r="L2767" s="2" t="s">
        <v>3244</v>
      </c>
      <c r="M2767" s="2" t="s">
        <v>3245</v>
      </c>
      <c r="N2767" s="4" t="str">
        <f t="shared" si="260"/>
        <v>GAL</v>
      </c>
      <c r="O2767" s="5">
        <v>250</v>
      </c>
    </row>
    <row r="2768" spans="2:15" x14ac:dyDescent="0.25">
      <c r="B2768" s="1" t="s">
        <v>3238</v>
      </c>
      <c r="C2768" s="2" t="s">
        <v>3239</v>
      </c>
      <c r="D2768" s="2" t="s">
        <v>3240</v>
      </c>
      <c r="E2768" s="2" t="s">
        <v>102</v>
      </c>
      <c r="F2768" s="3">
        <f>DATE(2023,9,13)</f>
        <v>45182</v>
      </c>
      <c r="G2768" s="4">
        <f t="shared" si="259"/>
        <v>9</v>
      </c>
      <c r="H2768" s="4">
        <f t="shared" si="258"/>
        <v>2023</v>
      </c>
      <c r="I2768" s="2" t="s">
        <v>4</v>
      </c>
      <c r="J2768" s="2" t="s">
        <v>3656</v>
      </c>
      <c r="K2768" s="2" t="s">
        <v>3535</v>
      </c>
      <c r="L2768" s="2" t="s">
        <v>3536</v>
      </c>
      <c r="M2768" s="2" t="s">
        <v>2532</v>
      </c>
      <c r="N2768" s="4" t="str">
        <f t="shared" si="260"/>
        <v>GAL</v>
      </c>
      <c r="O2768" s="5">
        <v>25</v>
      </c>
    </row>
    <row r="2769" spans="2:15" x14ac:dyDescent="0.25">
      <c r="B2769" s="6" t="s">
        <v>3238</v>
      </c>
      <c r="C2769" s="7" t="s">
        <v>3239</v>
      </c>
      <c r="D2769" s="8" t="s">
        <v>3240</v>
      </c>
      <c r="E2769" s="8" t="s">
        <v>102</v>
      </c>
      <c r="F2769" s="9">
        <f>DATE(2023,9,13)</f>
        <v>45182</v>
      </c>
      <c r="G2769" s="10">
        <f t="shared" si="259"/>
        <v>9</v>
      </c>
      <c r="H2769" s="10">
        <f t="shared" si="258"/>
        <v>2023</v>
      </c>
      <c r="I2769" s="8" t="s">
        <v>4</v>
      </c>
      <c r="J2769" s="7" t="s">
        <v>3656</v>
      </c>
      <c r="K2769" s="8" t="s">
        <v>36</v>
      </c>
      <c r="L2769" s="8" t="s">
        <v>511</v>
      </c>
      <c r="M2769" s="8" t="s">
        <v>38</v>
      </c>
      <c r="N2769" s="10" t="str">
        <f t="shared" si="260"/>
        <v>GAL</v>
      </c>
      <c r="O2769" s="11">
        <v>110</v>
      </c>
    </row>
    <row r="2770" spans="2:15" x14ac:dyDescent="0.25">
      <c r="B2770" s="1" t="s">
        <v>3238</v>
      </c>
      <c r="C2770" s="2" t="s">
        <v>3239</v>
      </c>
      <c r="D2770" s="2" t="s">
        <v>3240</v>
      </c>
      <c r="E2770" s="2" t="s">
        <v>3657</v>
      </c>
      <c r="F2770" s="3">
        <f>DATE(2023,9,14)</f>
        <v>45183</v>
      </c>
      <c r="G2770" s="4">
        <f t="shared" si="259"/>
        <v>9</v>
      </c>
      <c r="H2770" s="4">
        <f t="shared" si="258"/>
        <v>2023</v>
      </c>
      <c r="I2770" s="2" t="s">
        <v>4</v>
      </c>
      <c r="J2770" s="2" t="s">
        <v>3658</v>
      </c>
      <c r="K2770" s="2" t="s">
        <v>998</v>
      </c>
      <c r="L2770" s="2" t="s">
        <v>3526</v>
      </c>
      <c r="M2770" s="2" t="s">
        <v>1000</v>
      </c>
      <c r="N2770" s="4" t="str">
        <f t="shared" si="260"/>
        <v>GAL</v>
      </c>
      <c r="O2770" s="5">
        <v>250</v>
      </c>
    </row>
    <row r="2771" spans="2:15" x14ac:dyDescent="0.25">
      <c r="B2771" s="1" t="s">
        <v>3238</v>
      </c>
      <c r="C2771" s="2" t="s">
        <v>3239</v>
      </c>
      <c r="D2771" s="2" t="s">
        <v>3240</v>
      </c>
      <c r="E2771" s="2" t="s">
        <v>3657</v>
      </c>
      <c r="F2771" s="3">
        <f>DATE(2023,9,14)</f>
        <v>45183</v>
      </c>
      <c r="G2771" s="4">
        <f t="shared" si="259"/>
        <v>9</v>
      </c>
      <c r="H2771" s="4">
        <f t="shared" si="258"/>
        <v>2023</v>
      </c>
      <c r="I2771" s="2" t="s">
        <v>4</v>
      </c>
      <c r="J2771" s="2" t="s">
        <v>3658</v>
      </c>
      <c r="K2771" s="2" t="s">
        <v>3659</v>
      </c>
      <c r="L2771" s="2" t="s">
        <v>3660</v>
      </c>
      <c r="M2771" s="2" t="s">
        <v>3652</v>
      </c>
      <c r="N2771" s="4" t="str">
        <f t="shared" si="260"/>
        <v>GAL</v>
      </c>
      <c r="O2771" s="5">
        <v>250</v>
      </c>
    </row>
    <row r="2772" spans="2:15" x14ac:dyDescent="0.25">
      <c r="B2772" s="1" t="s">
        <v>3238</v>
      </c>
      <c r="C2772" s="2" t="s">
        <v>3239</v>
      </c>
      <c r="D2772" s="2" t="s">
        <v>3240</v>
      </c>
      <c r="E2772" s="2" t="s">
        <v>3657</v>
      </c>
      <c r="F2772" s="3">
        <f>DATE(2023,9,14)</f>
        <v>45183</v>
      </c>
      <c r="G2772" s="4">
        <f t="shared" si="259"/>
        <v>9</v>
      </c>
      <c r="H2772" s="4">
        <f t="shared" si="258"/>
        <v>2023</v>
      </c>
      <c r="I2772" s="2" t="s">
        <v>4</v>
      </c>
      <c r="J2772" s="2" t="s">
        <v>3658</v>
      </c>
      <c r="K2772" s="2" t="s">
        <v>3390</v>
      </c>
      <c r="L2772" s="2" t="s">
        <v>3250</v>
      </c>
      <c r="M2772" s="2" t="s">
        <v>3251</v>
      </c>
      <c r="N2772" s="4" t="str">
        <f t="shared" si="260"/>
        <v>GAL</v>
      </c>
      <c r="O2772" s="5">
        <v>250</v>
      </c>
    </row>
    <row r="2773" spans="2:15" x14ac:dyDescent="0.25">
      <c r="B2773" s="1" t="s">
        <v>3238</v>
      </c>
      <c r="C2773" s="2" t="s">
        <v>3239</v>
      </c>
      <c r="D2773" s="2" t="s">
        <v>3240</v>
      </c>
      <c r="E2773" s="2" t="s">
        <v>102</v>
      </c>
      <c r="F2773" s="3">
        <f>DATE(2023,9,26)</f>
        <v>45195</v>
      </c>
      <c r="G2773" s="4">
        <f t="shared" si="259"/>
        <v>9</v>
      </c>
      <c r="H2773" s="4">
        <f t="shared" si="258"/>
        <v>2023</v>
      </c>
      <c r="I2773" s="2" t="s">
        <v>4</v>
      </c>
      <c r="J2773" s="2" t="s">
        <v>3661</v>
      </c>
      <c r="K2773" s="2" t="s">
        <v>548</v>
      </c>
      <c r="L2773" s="2" t="s">
        <v>518</v>
      </c>
      <c r="M2773" s="2" t="s">
        <v>85</v>
      </c>
      <c r="N2773" s="4" t="str">
        <f t="shared" si="260"/>
        <v>GAL</v>
      </c>
      <c r="O2773" s="5">
        <v>1000</v>
      </c>
    </row>
    <row r="2774" spans="2:15" x14ac:dyDescent="0.25">
      <c r="B2774" s="1" t="s">
        <v>0</v>
      </c>
      <c r="C2774" s="2" t="s">
        <v>1</v>
      </c>
      <c r="D2774" s="2" t="s">
        <v>2</v>
      </c>
      <c r="E2774" s="2" t="s">
        <v>1784</v>
      </c>
      <c r="F2774" s="3">
        <f>DATE(2023,10,2)</f>
        <v>45201</v>
      </c>
      <c r="G2774" s="4">
        <f t="shared" si="259"/>
        <v>10</v>
      </c>
      <c r="H2774" s="4">
        <f t="shared" si="258"/>
        <v>2023</v>
      </c>
      <c r="I2774" s="2" t="s">
        <v>4</v>
      </c>
      <c r="J2774" s="2" t="s">
        <v>3662</v>
      </c>
      <c r="K2774" s="2" t="s">
        <v>1786</v>
      </c>
      <c r="L2774" s="2" t="s">
        <v>84</v>
      </c>
      <c r="M2774" s="2" t="s">
        <v>85</v>
      </c>
      <c r="N2774" s="4" t="str">
        <f t="shared" si="260"/>
        <v>GAL</v>
      </c>
      <c r="O2774" s="5">
        <v>55</v>
      </c>
    </row>
    <row r="2775" spans="2:15" x14ac:dyDescent="0.25">
      <c r="B2775" s="1" t="s">
        <v>0</v>
      </c>
      <c r="C2775" s="2" t="s">
        <v>1</v>
      </c>
      <c r="D2775" s="2" t="s">
        <v>2</v>
      </c>
      <c r="E2775" s="2" t="s">
        <v>1784</v>
      </c>
      <c r="F2775" s="3">
        <f>DATE(2023,10,2)</f>
        <v>45201</v>
      </c>
      <c r="G2775" s="4">
        <f t="shared" si="259"/>
        <v>10</v>
      </c>
      <c r="H2775" s="4">
        <f t="shared" si="258"/>
        <v>2023</v>
      </c>
      <c r="I2775" s="2" t="s">
        <v>4</v>
      </c>
      <c r="J2775" s="2" t="s">
        <v>3662</v>
      </c>
      <c r="K2775" s="2" t="s">
        <v>28</v>
      </c>
      <c r="L2775" s="2" t="s">
        <v>29</v>
      </c>
      <c r="M2775" s="2" t="s">
        <v>30</v>
      </c>
      <c r="N2775" s="4" t="str">
        <f t="shared" si="260"/>
        <v>GAL</v>
      </c>
      <c r="O2775" s="5">
        <v>30</v>
      </c>
    </row>
    <row r="2776" spans="2:15" x14ac:dyDescent="0.25">
      <c r="B2776" s="1" t="s">
        <v>0</v>
      </c>
      <c r="C2776" s="2" t="s">
        <v>1</v>
      </c>
      <c r="D2776" s="2" t="s">
        <v>2</v>
      </c>
      <c r="E2776" s="2" t="s">
        <v>1784</v>
      </c>
      <c r="F2776" s="3">
        <f>DATE(2023,10,2)</f>
        <v>45201</v>
      </c>
      <c r="G2776" s="4">
        <f t="shared" si="259"/>
        <v>10</v>
      </c>
      <c r="H2776" s="4">
        <f t="shared" si="258"/>
        <v>2023</v>
      </c>
      <c r="I2776" s="2" t="s">
        <v>4</v>
      </c>
      <c r="J2776" s="2" t="s">
        <v>3662</v>
      </c>
      <c r="K2776" s="2" t="s">
        <v>16</v>
      </c>
      <c r="L2776" s="2" t="s">
        <v>7</v>
      </c>
      <c r="M2776" s="2" t="s">
        <v>8</v>
      </c>
      <c r="N2776" s="4" t="str">
        <f t="shared" si="260"/>
        <v>GAL</v>
      </c>
      <c r="O2776" s="5">
        <v>55</v>
      </c>
    </row>
    <row r="2777" spans="2:15" x14ac:dyDescent="0.25">
      <c r="B2777" s="1" t="s">
        <v>0</v>
      </c>
      <c r="C2777" s="2" t="s">
        <v>1</v>
      </c>
      <c r="D2777" s="2" t="s">
        <v>2</v>
      </c>
      <c r="E2777" s="2" t="s">
        <v>1432</v>
      </c>
      <c r="F2777" s="3">
        <f>DATE(2023,10,4)</f>
        <v>45203</v>
      </c>
      <c r="G2777" s="4">
        <f t="shared" si="259"/>
        <v>10</v>
      </c>
      <c r="H2777" s="4">
        <f t="shared" si="258"/>
        <v>2023</v>
      </c>
      <c r="I2777" s="2" t="s">
        <v>4</v>
      </c>
      <c r="J2777" s="2" t="s">
        <v>3663</v>
      </c>
      <c r="K2777" s="2" t="s">
        <v>566</v>
      </c>
      <c r="L2777" s="2" t="s">
        <v>20</v>
      </c>
      <c r="M2777" s="2" t="s">
        <v>21</v>
      </c>
      <c r="N2777" s="4" t="str">
        <f t="shared" si="260"/>
        <v>GAL</v>
      </c>
      <c r="O2777" s="5">
        <v>55</v>
      </c>
    </row>
    <row r="2778" spans="2:15" x14ac:dyDescent="0.25">
      <c r="B2778" s="1" t="s">
        <v>0</v>
      </c>
      <c r="C2778" s="2" t="s">
        <v>1</v>
      </c>
      <c r="D2778" s="2" t="s">
        <v>2</v>
      </c>
      <c r="E2778" s="2" t="s">
        <v>1432</v>
      </c>
      <c r="F2778" s="3">
        <f>DATE(2023,10,4)</f>
        <v>45203</v>
      </c>
      <c r="G2778" s="4">
        <f t="shared" si="259"/>
        <v>10</v>
      </c>
      <c r="H2778" s="4">
        <f t="shared" si="258"/>
        <v>2023</v>
      </c>
      <c r="I2778" s="2" t="s">
        <v>4</v>
      </c>
      <c r="J2778" s="2" t="s">
        <v>3663</v>
      </c>
      <c r="K2778" s="2" t="s">
        <v>3664</v>
      </c>
      <c r="L2778" s="2" t="s">
        <v>2167</v>
      </c>
      <c r="M2778" s="2" t="s">
        <v>2168</v>
      </c>
      <c r="N2778" s="4" t="str">
        <f t="shared" si="260"/>
        <v>GAL</v>
      </c>
      <c r="O2778" s="5">
        <v>55</v>
      </c>
    </row>
    <row r="2779" spans="2:15" x14ac:dyDescent="0.25">
      <c r="B2779" s="1" t="s">
        <v>0</v>
      </c>
      <c r="C2779" s="2" t="s">
        <v>1</v>
      </c>
      <c r="D2779" s="2" t="s">
        <v>2</v>
      </c>
      <c r="E2779" s="2" t="s">
        <v>1432</v>
      </c>
      <c r="F2779" s="3">
        <f>DATE(2023,10,4)</f>
        <v>45203</v>
      </c>
      <c r="G2779" s="4">
        <f t="shared" si="259"/>
        <v>10</v>
      </c>
      <c r="H2779" s="4">
        <f t="shared" si="258"/>
        <v>2023</v>
      </c>
      <c r="I2779" s="2" t="s">
        <v>4</v>
      </c>
      <c r="J2779" s="2" t="s">
        <v>3663</v>
      </c>
      <c r="K2779" s="2" t="s">
        <v>549</v>
      </c>
      <c r="L2779" s="2" t="s">
        <v>51</v>
      </c>
      <c r="M2779" s="2" t="s">
        <v>52</v>
      </c>
      <c r="N2779" s="4" t="str">
        <f t="shared" si="260"/>
        <v>GAL</v>
      </c>
      <c r="O2779" s="5">
        <v>55</v>
      </c>
    </row>
    <row r="2780" spans="2:15" x14ac:dyDescent="0.25">
      <c r="B2780" s="1" t="s">
        <v>0</v>
      </c>
      <c r="C2780" s="2" t="s">
        <v>1</v>
      </c>
      <c r="D2780" s="2" t="s">
        <v>2</v>
      </c>
      <c r="E2780" s="2" t="s">
        <v>42</v>
      </c>
      <c r="F2780" s="3">
        <f t="shared" ref="F2780:F2788" si="261">DATE(2023,10,5)</f>
        <v>45204</v>
      </c>
      <c r="G2780" s="4">
        <f t="shared" si="259"/>
        <v>10</v>
      </c>
      <c r="H2780" s="4">
        <f t="shared" si="258"/>
        <v>2023</v>
      </c>
      <c r="I2780" s="2" t="s">
        <v>4</v>
      </c>
      <c r="J2780" s="2" t="s">
        <v>3665</v>
      </c>
      <c r="K2780" s="2" t="s">
        <v>574</v>
      </c>
      <c r="L2780" s="2" t="s">
        <v>66</v>
      </c>
      <c r="M2780" s="2" t="s">
        <v>67</v>
      </c>
      <c r="N2780" s="4" t="str">
        <f t="shared" si="260"/>
        <v>GAL</v>
      </c>
      <c r="O2780" s="5">
        <v>30</v>
      </c>
    </row>
    <row r="2781" spans="2:15" x14ac:dyDescent="0.25">
      <c r="B2781" s="1" t="s">
        <v>0</v>
      </c>
      <c r="C2781" s="2" t="s">
        <v>1</v>
      </c>
      <c r="D2781" s="2" t="s">
        <v>2</v>
      </c>
      <c r="E2781" s="2" t="s">
        <v>42</v>
      </c>
      <c r="F2781" s="3">
        <f t="shared" si="261"/>
        <v>45204</v>
      </c>
      <c r="G2781" s="4">
        <f t="shared" si="259"/>
        <v>10</v>
      </c>
      <c r="H2781" s="4">
        <f t="shared" si="258"/>
        <v>2023</v>
      </c>
      <c r="I2781" s="2" t="s">
        <v>4</v>
      </c>
      <c r="J2781" s="2" t="s">
        <v>3665</v>
      </c>
      <c r="K2781" s="2" t="s">
        <v>33</v>
      </c>
      <c r="L2781" s="2" t="s">
        <v>34</v>
      </c>
      <c r="M2781" s="2" t="s">
        <v>35</v>
      </c>
      <c r="N2781" s="4" t="str">
        <f t="shared" si="260"/>
        <v>GAL</v>
      </c>
      <c r="O2781" s="5">
        <v>60</v>
      </c>
    </row>
    <row r="2782" spans="2:15" x14ac:dyDescent="0.25">
      <c r="B2782" s="1" t="s">
        <v>0</v>
      </c>
      <c r="C2782" s="2" t="s">
        <v>1</v>
      </c>
      <c r="D2782" s="2" t="s">
        <v>2</v>
      </c>
      <c r="E2782" s="2" t="s">
        <v>42</v>
      </c>
      <c r="F2782" s="3">
        <f t="shared" si="261"/>
        <v>45204</v>
      </c>
      <c r="G2782" s="4">
        <f t="shared" si="259"/>
        <v>10</v>
      </c>
      <c r="H2782" s="4">
        <f t="shared" si="258"/>
        <v>2023</v>
      </c>
      <c r="I2782" s="2" t="s">
        <v>4</v>
      </c>
      <c r="J2782" s="2" t="s">
        <v>3665</v>
      </c>
      <c r="K2782" s="2" t="s">
        <v>19</v>
      </c>
      <c r="L2782" s="2" t="s">
        <v>20</v>
      </c>
      <c r="M2782" s="2" t="s">
        <v>21</v>
      </c>
      <c r="N2782" s="4" t="str">
        <f t="shared" si="260"/>
        <v>GAL</v>
      </c>
      <c r="O2782" s="5">
        <v>120</v>
      </c>
    </row>
    <row r="2783" spans="2:15" x14ac:dyDescent="0.25">
      <c r="B2783" s="1" t="s">
        <v>0</v>
      </c>
      <c r="C2783" s="2" t="s">
        <v>1</v>
      </c>
      <c r="D2783" s="2" t="s">
        <v>2</v>
      </c>
      <c r="E2783" s="2" t="s">
        <v>42</v>
      </c>
      <c r="F2783" s="3">
        <f t="shared" si="261"/>
        <v>45204</v>
      </c>
      <c r="G2783" s="4">
        <f t="shared" si="259"/>
        <v>10</v>
      </c>
      <c r="H2783" s="4">
        <f t="shared" si="258"/>
        <v>2023</v>
      </c>
      <c r="I2783" s="2" t="s">
        <v>4</v>
      </c>
      <c r="J2783" s="2" t="s">
        <v>3665</v>
      </c>
      <c r="K2783" s="2" t="s">
        <v>1069</v>
      </c>
      <c r="L2783" s="2" t="s">
        <v>1070</v>
      </c>
      <c r="M2783" s="2" t="s">
        <v>1071</v>
      </c>
      <c r="N2783" s="4" t="str">
        <f t="shared" si="260"/>
        <v>GAL</v>
      </c>
      <c r="O2783" s="5">
        <v>60</v>
      </c>
    </row>
    <row r="2784" spans="2:15" x14ac:dyDescent="0.25">
      <c r="B2784" s="1" t="s">
        <v>0</v>
      </c>
      <c r="C2784" s="2" t="s">
        <v>1</v>
      </c>
      <c r="D2784" s="2" t="s">
        <v>2</v>
      </c>
      <c r="E2784" s="2" t="s">
        <v>42</v>
      </c>
      <c r="F2784" s="3">
        <f t="shared" si="261"/>
        <v>45204</v>
      </c>
      <c r="G2784" s="4">
        <f t="shared" si="259"/>
        <v>10</v>
      </c>
      <c r="H2784" s="4">
        <f t="shared" si="258"/>
        <v>2023</v>
      </c>
      <c r="I2784" s="2" t="s">
        <v>4</v>
      </c>
      <c r="J2784" s="2" t="s">
        <v>3665</v>
      </c>
      <c r="K2784" s="2" t="s">
        <v>36</v>
      </c>
      <c r="L2784" s="2" t="s">
        <v>37</v>
      </c>
      <c r="M2784" s="2" t="s">
        <v>38</v>
      </c>
      <c r="N2784" s="4" t="str">
        <f t="shared" si="260"/>
        <v>GAL</v>
      </c>
      <c r="O2784" s="5">
        <v>60</v>
      </c>
    </row>
    <row r="2785" spans="2:15" x14ac:dyDescent="0.25">
      <c r="B2785" s="1" t="s">
        <v>0</v>
      </c>
      <c r="C2785" s="2" t="s">
        <v>1</v>
      </c>
      <c r="D2785" s="2" t="s">
        <v>2</v>
      </c>
      <c r="E2785" s="2" t="s">
        <v>42</v>
      </c>
      <c r="F2785" s="3">
        <f t="shared" si="261"/>
        <v>45204</v>
      </c>
      <c r="G2785" s="4">
        <f t="shared" si="259"/>
        <v>10</v>
      </c>
      <c r="H2785" s="4">
        <f t="shared" si="258"/>
        <v>2023</v>
      </c>
      <c r="I2785" s="2" t="s">
        <v>4</v>
      </c>
      <c r="J2785" s="2" t="s">
        <v>3665</v>
      </c>
      <c r="K2785" s="2" t="s">
        <v>47</v>
      </c>
      <c r="L2785" s="2" t="s">
        <v>48</v>
      </c>
      <c r="M2785" s="2" t="s">
        <v>49</v>
      </c>
      <c r="N2785" s="4" t="str">
        <f t="shared" si="260"/>
        <v>GAL</v>
      </c>
      <c r="O2785" s="5">
        <v>60</v>
      </c>
    </row>
    <row r="2786" spans="2:15" x14ac:dyDescent="0.25">
      <c r="B2786" s="1" t="s">
        <v>0</v>
      </c>
      <c r="C2786" s="2" t="s">
        <v>1</v>
      </c>
      <c r="D2786" s="2" t="s">
        <v>2</v>
      </c>
      <c r="E2786" s="2" t="s">
        <v>42</v>
      </c>
      <c r="F2786" s="3">
        <f t="shared" si="261"/>
        <v>45204</v>
      </c>
      <c r="G2786" s="4">
        <f t="shared" si="259"/>
        <v>10</v>
      </c>
      <c r="H2786" s="4">
        <f t="shared" si="258"/>
        <v>2023</v>
      </c>
      <c r="I2786" s="2" t="s">
        <v>4</v>
      </c>
      <c r="J2786" s="2" t="s">
        <v>3665</v>
      </c>
      <c r="K2786" s="2" t="s">
        <v>2166</v>
      </c>
      <c r="L2786" s="2" t="s">
        <v>2167</v>
      </c>
      <c r="M2786" s="2" t="s">
        <v>2168</v>
      </c>
      <c r="N2786" s="4" t="str">
        <f t="shared" si="260"/>
        <v>GAL</v>
      </c>
      <c r="O2786" s="5">
        <v>60</v>
      </c>
    </row>
    <row r="2787" spans="2:15" x14ac:dyDescent="0.25">
      <c r="B2787" s="1" t="s">
        <v>0</v>
      </c>
      <c r="C2787" s="2" t="s">
        <v>1</v>
      </c>
      <c r="D2787" s="2" t="s">
        <v>2</v>
      </c>
      <c r="E2787" s="2" t="s">
        <v>42</v>
      </c>
      <c r="F2787" s="3">
        <f t="shared" si="261"/>
        <v>45204</v>
      </c>
      <c r="G2787" s="4">
        <f t="shared" si="259"/>
        <v>10</v>
      </c>
      <c r="H2787" s="4">
        <f t="shared" si="258"/>
        <v>2023</v>
      </c>
      <c r="I2787" s="2" t="s">
        <v>4</v>
      </c>
      <c r="J2787" s="2" t="s">
        <v>3665</v>
      </c>
      <c r="K2787" s="2" t="s">
        <v>83</v>
      </c>
      <c r="L2787" s="2" t="s">
        <v>84</v>
      </c>
      <c r="M2787" s="2" t="s">
        <v>85</v>
      </c>
      <c r="N2787" s="4" t="str">
        <f t="shared" si="260"/>
        <v>GAL</v>
      </c>
      <c r="O2787" s="5">
        <v>120</v>
      </c>
    </row>
    <row r="2788" spans="2:15" x14ac:dyDescent="0.25">
      <c r="B2788" s="1" t="s">
        <v>0</v>
      </c>
      <c r="C2788" s="2" t="s">
        <v>1</v>
      </c>
      <c r="D2788" s="2" t="s">
        <v>2</v>
      </c>
      <c r="E2788" s="2" t="s">
        <v>42</v>
      </c>
      <c r="F2788" s="3">
        <f t="shared" si="261"/>
        <v>45204</v>
      </c>
      <c r="G2788" s="4">
        <f t="shared" si="259"/>
        <v>10</v>
      </c>
      <c r="H2788" s="4">
        <f t="shared" si="258"/>
        <v>2023</v>
      </c>
      <c r="I2788" s="2" t="s">
        <v>4</v>
      </c>
      <c r="J2788" s="2" t="s">
        <v>3665</v>
      </c>
      <c r="K2788" s="2" t="s">
        <v>39</v>
      </c>
      <c r="L2788" s="2" t="s">
        <v>40</v>
      </c>
      <c r="M2788" s="2" t="s">
        <v>41</v>
      </c>
      <c r="N2788" s="4" t="str">
        <f t="shared" si="260"/>
        <v>GAL</v>
      </c>
      <c r="O2788" s="5">
        <v>20</v>
      </c>
    </row>
    <row r="2789" spans="2:15" x14ac:dyDescent="0.25">
      <c r="B2789" s="1" t="s">
        <v>0</v>
      </c>
      <c r="C2789" s="2" t="s">
        <v>1</v>
      </c>
      <c r="D2789" s="2" t="s">
        <v>2</v>
      </c>
      <c r="E2789" s="2" t="s">
        <v>61</v>
      </c>
      <c r="F2789" s="3">
        <f>DATE(2023,10,10)</f>
        <v>45209</v>
      </c>
      <c r="G2789" s="4">
        <f t="shared" si="259"/>
        <v>10</v>
      </c>
      <c r="H2789" s="4">
        <f t="shared" si="258"/>
        <v>2023</v>
      </c>
      <c r="I2789" s="2" t="s">
        <v>4</v>
      </c>
      <c r="J2789" s="2" t="s">
        <v>3666</v>
      </c>
      <c r="K2789" s="2" t="s">
        <v>19</v>
      </c>
      <c r="L2789" s="2" t="s">
        <v>20</v>
      </c>
      <c r="M2789" s="2" t="s">
        <v>21</v>
      </c>
      <c r="N2789" s="4" t="str">
        <f t="shared" si="260"/>
        <v>GAL</v>
      </c>
      <c r="O2789" s="5">
        <v>50</v>
      </c>
    </row>
    <row r="2790" spans="2:15" x14ac:dyDescent="0.25">
      <c r="B2790" s="1" t="s">
        <v>0</v>
      </c>
      <c r="C2790" s="2" t="s">
        <v>1</v>
      </c>
      <c r="D2790" s="2" t="s">
        <v>2</v>
      </c>
      <c r="E2790" s="2" t="s">
        <v>61</v>
      </c>
      <c r="F2790" s="3">
        <f>DATE(2023,10,10)</f>
        <v>45209</v>
      </c>
      <c r="G2790" s="4">
        <f t="shared" si="259"/>
        <v>10</v>
      </c>
      <c r="H2790" s="4">
        <f t="shared" si="258"/>
        <v>2023</v>
      </c>
      <c r="I2790" s="2" t="s">
        <v>4</v>
      </c>
      <c r="J2790" s="2" t="s">
        <v>3666</v>
      </c>
      <c r="K2790" s="2" t="s">
        <v>25</v>
      </c>
      <c r="L2790" s="2" t="s">
        <v>26</v>
      </c>
      <c r="M2790" s="2" t="s">
        <v>27</v>
      </c>
      <c r="N2790" s="4" t="str">
        <f t="shared" si="260"/>
        <v>GAL</v>
      </c>
      <c r="O2790" s="5">
        <v>100</v>
      </c>
    </row>
    <row r="2791" spans="2:15" x14ac:dyDescent="0.25">
      <c r="B2791" s="1" t="s">
        <v>0</v>
      </c>
      <c r="C2791" s="2" t="s">
        <v>1</v>
      </c>
      <c r="D2791" s="2" t="s">
        <v>2</v>
      </c>
      <c r="E2791" s="2" t="s">
        <v>61</v>
      </c>
      <c r="F2791" s="3">
        <f>DATE(2023,10,10)</f>
        <v>45209</v>
      </c>
      <c r="G2791" s="4">
        <f t="shared" si="259"/>
        <v>10</v>
      </c>
      <c r="H2791" s="4">
        <f t="shared" si="258"/>
        <v>2023</v>
      </c>
      <c r="I2791" s="2" t="s">
        <v>4</v>
      </c>
      <c r="J2791" s="2" t="s">
        <v>3666</v>
      </c>
      <c r="K2791" s="2" t="s">
        <v>28</v>
      </c>
      <c r="L2791" s="2" t="s">
        <v>29</v>
      </c>
      <c r="M2791" s="2" t="s">
        <v>30</v>
      </c>
      <c r="N2791" s="4" t="str">
        <f t="shared" si="260"/>
        <v>GAL</v>
      </c>
      <c r="O2791" s="5">
        <v>50</v>
      </c>
    </row>
    <row r="2792" spans="2:15" x14ac:dyDescent="0.25">
      <c r="B2792" s="1" t="s">
        <v>0</v>
      </c>
      <c r="C2792" s="2" t="s">
        <v>1</v>
      </c>
      <c r="D2792" s="2" t="s">
        <v>2</v>
      </c>
      <c r="E2792" s="2" t="s">
        <v>61</v>
      </c>
      <c r="F2792" s="3">
        <f>DATE(2023,10,10)</f>
        <v>45209</v>
      </c>
      <c r="G2792" s="4">
        <f t="shared" si="259"/>
        <v>10</v>
      </c>
      <c r="H2792" s="4">
        <f t="shared" si="258"/>
        <v>2023</v>
      </c>
      <c r="I2792" s="2" t="s">
        <v>4</v>
      </c>
      <c r="J2792" s="2" t="s">
        <v>3666</v>
      </c>
      <c r="K2792" s="2" t="s">
        <v>16</v>
      </c>
      <c r="L2792" s="2" t="s">
        <v>7</v>
      </c>
      <c r="M2792" s="2" t="s">
        <v>8</v>
      </c>
      <c r="N2792" s="4" t="str">
        <f t="shared" si="260"/>
        <v>GAL</v>
      </c>
      <c r="O2792" s="5">
        <v>100</v>
      </c>
    </row>
    <row r="2793" spans="2:15" x14ac:dyDescent="0.25">
      <c r="B2793" s="1" t="s">
        <v>0</v>
      </c>
      <c r="C2793" s="2" t="s">
        <v>1</v>
      </c>
      <c r="D2793" s="2" t="s">
        <v>2</v>
      </c>
      <c r="E2793" s="2" t="s">
        <v>1790</v>
      </c>
      <c r="F2793" s="3">
        <f>DATE(2023,10,11)</f>
        <v>45210</v>
      </c>
      <c r="G2793" s="4">
        <f t="shared" si="259"/>
        <v>10</v>
      </c>
      <c r="H2793" s="4">
        <f t="shared" si="258"/>
        <v>2023</v>
      </c>
      <c r="I2793" s="2" t="s">
        <v>4</v>
      </c>
      <c r="J2793" s="2" t="s">
        <v>3667</v>
      </c>
      <c r="K2793" s="2" t="s">
        <v>19</v>
      </c>
      <c r="L2793" s="2" t="s">
        <v>20</v>
      </c>
      <c r="M2793" s="2" t="s">
        <v>21</v>
      </c>
      <c r="N2793" s="4" t="str">
        <f t="shared" si="260"/>
        <v>GAL</v>
      </c>
      <c r="O2793" s="5">
        <v>40</v>
      </c>
    </row>
    <row r="2794" spans="2:15" x14ac:dyDescent="0.25">
      <c r="B2794" s="1" t="s">
        <v>0</v>
      </c>
      <c r="C2794" s="2" t="s">
        <v>1</v>
      </c>
      <c r="D2794" s="2" t="s">
        <v>2</v>
      </c>
      <c r="E2794" s="2" t="s">
        <v>1790</v>
      </c>
      <c r="F2794" s="3">
        <f>DATE(2023,10,11)</f>
        <v>45210</v>
      </c>
      <c r="G2794" s="4">
        <f t="shared" si="259"/>
        <v>10</v>
      </c>
      <c r="H2794" s="4">
        <f t="shared" si="258"/>
        <v>2023</v>
      </c>
      <c r="I2794" s="2" t="s">
        <v>4</v>
      </c>
      <c r="J2794" s="2" t="s">
        <v>3667</v>
      </c>
      <c r="K2794" s="2" t="s">
        <v>22</v>
      </c>
      <c r="L2794" s="2" t="s">
        <v>23</v>
      </c>
      <c r="M2794" s="2" t="s">
        <v>24</v>
      </c>
      <c r="N2794" s="4" t="str">
        <f t="shared" si="260"/>
        <v>GAL</v>
      </c>
      <c r="O2794" s="5">
        <v>40</v>
      </c>
    </row>
    <row r="2795" spans="2:15" x14ac:dyDescent="0.25">
      <c r="B2795" s="1" t="s">
        <v>0</v>
      </c>
      <c r="C2795" s="2" t="s">
        <v>1</v>
      </c>
      <c r="D2795" s="2" t="s">
        <v>2</v>
      </c>
      <c r="E2795" s="2" t="s">
        <v>1790</v>
      </c>
      <c r="F2795" s="3">
        <f>DATE(2023,10,11)</f>
        <v>45210</v>
      </c>
      <c r="G2795" s="4">
        <f t="shared" si="259"/>
        <v>10</v>
      </c>
      <c r="H2795" s="4">
        <f t="shared" si="258"/>
        <v>2023</v>
      </c>
      <c r="I2795" s="2" t="s">
        <v>4</v>
      </c>
      <c r="J2795" s="2" t="s">
        <v>3667</v>
      </c>
      <c r="K2795" s="2" t="s">
        <v>25</v>
      </c>
      <c r="L2795" s="2" t="s">
        <v>26</v>
      </c>
      <c r="M2795" s="2" t="s">
        <v>27</v>
      </c>
      <c r="N2795" s="4" t="str">
        <f t="shared" si="260"/>
        <v>GAL</v>
      </c>
      <c r="O2795" s="5">
        <v>40</v>
      </c>
    </row>
    <row r="2796" spans="2:15" x14ac:dyDescent="0.25">
      <c r="B2796" s="1" t="s">
        <v>0</v>
      </c>
      <c r="C2796" s="2" t="s">
        <v>1</v>
      </c>
      <c r="D2796" s="2" t="s">
        <v>2</v>
      </c>
      <c r="E2796" s="2" t="s">
        <v>1790</v>
      </c>
      <c r="F2796" s="3">
        <f>DATE(2023,10,11)</f>
        <v>45210</v>
      </c>
      <c r="G2796" s="4">
        <f t="shared" si="259"/>
        <v>10</v>
      </c>
      <c r="H2796" s="4">
        <f t="shared" si="258"/>
        <v>2023</v>
      </c>
      <c r="I2796" s="2" t="s">
        <v>4</v>
      </c>
      <c r="J2796" s="2" t="s">
        <v>3667</v>
      </c>
      <c r="K2796" s="2" t="s">
        <v>28</v>
      </c>
      <c r="L2796" s="2" t="s">
        <v>29</v>
      </c>
      <c r="M2796" s="2" t="s">
        <v>30</v>
      </c>
      <c r="N2796" s="4" t="str">
        <f t="shared" si="260"/>
        <v>GAL</v>
      </c>
      <c r="O2796" s="5">
        <v>40</v>
      </c>
    </row>
    <row r="2797" spans="2:15" x14ac:dyDescent="0.25">
      <c r="B2797" s="1" t="s">
        <v>0</v>
      </c>
      <c r="C2797" s="2" t="s">
        <v>1</v>
      </c>
      <c r="D2797" s="2" t="s">
        <v>2</v>
      </c>
      <c r="E2797" s="2" t="s">
        <v>1790</v>
      </c>
      <c r="F2797" s="3">
        <f>DATE(2023,10,11)</f>
        <v>45210</v>
      </c>
      <c r="G2797" s="4">
        <f t="shared" si="259"/>
        <v>10</v>
      </c>
      <c r="H2797" s="4">
        <f t="shared" si="258"/>
        <v>2023</v>
      </c>
      <c r="I2797" s="2" t="s">
        <v>4</v>
      </c>
      <c r="J2797" s="2" t="s">
        <v>3667</v>
      </c>
      <c r="K2797" s="2" t="s">
        <v>16</v>
      </c>
      <c r="L2797" s="2" t="s">
        <v>7</v>
      </c>
      <c r="M2797" s="2" t="s">
        <v>8</v>
      </c>
      <c r="N2797" s="4" t="str">
        <f t="shared" si="260"/>
        <v>GAL</v>
      </c>
      <c r="O2797" s="5">
        <v>40</v>
      </c>
    </row>
    <row r="2798" spans="2:15" x14ac:dyDescent="0.25">
      <c r="B2798" s="1" t="s">
        <v>0</v>
      </c>
      <c r="C2798" s="2" t="s">
        <v>1</v>
      </c>
      <c r="D2798" s="2" t="s">
        <v>2</v>
      </c>
      <c r="E2798" s="2" t="s">
        <v>1432</v>
      </c>
      <c r="F2798" s="3">
        <f t="shared" ref="F2798:F2803" si="262">DATE(2023,10,13)</f>
        <v>45212</v>
      </c>
      <c r="G2798" s="4">
        <f t="shared" si="259"/>
        <v>10</v>
      </c>
      <c r="H2798" s="4">
        <f t="shared" si="258"/>
        <v>2023</v>
      </c>
      <c r="I2798" s="2" t="s">
        <v>4</v>
      </c>
      <c r="J2798" s="2" t="s">
        <v>3668</v>
      </c>
      <c r="K2798" s="2" t="s">
        <v>566</v>
      </c>
      <c r="L2798" s="2" t="s">
        <v>20</v>
      </c>
      <c r="M2798" s="2" t="s">
        <v>21</v>
      </c>
      <c r="N2798" s="4" t="str">
        <f t="shared" si="260"/>
        <v>GAL</v>
      </c>
      <c r="O2798" s="5">
        <v>55</v>
      </c>
    </row>
    <row r="2799" spans="2:15" x14ac:dyDescent="0.25">
      <c r="B2799" s="1" t="s">
        <v>0</v>
      </c>
      <c r="C2799" s="2" t="s">
        <v>1</v>
      </c>
      <c r="D2799" s="2" t="s">
        <v>2</v>
      </c>
      <c r="E2799" s="2" t="s">
        <v>1432</v>
      </c>
      <c r="F2799" s="3">
        <f t="shared" si="262"/>
        <v>45212</v>
      </c>
      <c r="G2799" s="4">
        <f t="shared" si="259"/>
        <v>10</v>
      </c>
      <c r="H2799" s="4">
        <f t="shared" si="258"/>
        <v>2023</v>
      </c>
      <c r="I2799" s="2" t="s">
        <v>4</v>
      </c>
      <c r="J2799" s="2" t="s">
        <v>3668</v>
      </c>
      <c r="K2799" s="2" t="s">
        <v>3664</v>
      </c>
      <c r="L2799" s="2" t="s">
        <v>2167</v>
      </c>
      <c r="M2799" s="2" t="s">
        <v>2168</v>
      </c>
      <c r="N2799" s="4" t="str">
        <f t="shared" si="260"/>
        <v>GAL</v>
      </c>
      <c r="O2799" s="5">
        <v>55</v>
      </c>
    </row>
    <row r="2800" spans="2:15" x14ac:dyDescent="0.25">
      <c r="B2800" s="1" t="s">
        <v>0</v>
      </c>
      <c r="C2800" s="2" t="s">
        <v>1</v>
      </c>
      <c r="D2800" s="2" t="s">
        <v>2</v>
      </c>
      <c r="E2800" s="2" t="s">
        <v>1432</v>
      </c>
      <c r="F2800" s="3">
        <f t="shared" si="262"/>
        <v>45212</v>
      </c>
      <c r="G2800" s="4">
        <f t="shared" si="259"/>
        <v>10</v>
      </c>
      <c r="H2800" s="4">
        <f t="shared" si="258"/>
        <v>2023</v>
      </c>
      <c r="I2800" s="2" t="s">
        <v>4</v>
      </c>
      <c r="J2800" s="2" t="s">
        <v>3668</v>
      </c>
      <c r="K2800" s="2" t="s">
        <v>549</v>
      </c>
      <c r="L2800" s="2" t="s">
        <v>51</v>
      </c>
      <c r="M2800" s="2" t="s">
        <v>52</v>
      </c>
      <c r="N2800" s="4" t="str">
        <f t="shared" si="260"/>
        <v>GAL</v>
      </c>
      <c r="O2800" s="5">
        <v>55</v>
      </c>
    </row>
    <row r="2801" spans="2:15" x14ac:dyDescent="0.25">
      <c r="B2801" s="1" t="s">
        <v>0</v>
      </c>
      <c r="C2801" s="2" t="s">
        <v>1</v>
      </c>
      <c r="D2801" s="2" t="s">
        <v>55</v>
      </c>
      <c r="E2801" s="2" t="s">
        <v>56</v>
      </c>
      <c r="F2801" s="3">
        <f t="shared" si="262"/>
        <v>45212</v>
      </c>
      <c r="G2801" s="4">
        <f t="shared" si="259"/>
        <v>10</v>
      </c>
      <c r="H2801" s="4">
        <f t="shared" si="258"/>
        <v>2023</v>
      </c>
      <c r="I2801" s="2" t="s">
        <v>4</v>
      </c>
      <c r="J2801" s="2" t="s">
        <v>3669</v>
      </c>
      <c r="K2801" s="2" t="s">
        <v>582</v>
      </c>
      <c r="L2801" s="2" t="s">
        <v>583</v>
      </c>
      <c r="M2801" s="2" t="s">
        <v>553</v>
      </c>
      <c r="N2801" s="4" t="str">
        <f t="shared" si="260"/>
        <v>GAL</v>
      </c>
      <c r="O2801" s="5">
        <v>90</v>
      </c>
    </row>
    <row r="2802" spans="2:15" x14ac:dyDescent="0.25">
      <c r="B2802" s="1" t="s">
        <v>0</v>
      </c>
      <c r="C2802" s="2" t="s">
        <v>1</v>
      </c>
      <c r="D2802" s="2" t="s">
        <v>55</v>
      </c>
      <c r="E2802" s="2" t="s">
        <v>56</v>
      </c>
      <c r="F2802" s="3">
        <f t="shared" si="262"/>
        <v>45212</v>
      </c>
      <c r="G2802" s="4">
        <f t="shared" si="259"/>
        <v>10</v>
      </c>
      <c r="H2802" s="4">
        <f t="shared" si="258"/>
        <v>2023</v>
      </c>
      <c r="I2802" s="2" t="s">
        <v>4</v>
      </c>
      <c r="J2802" s="2" t="s">
        <v>3669</v>
      </c>
      <c r="K2802" s="2" t="s">
        <v>58</v>
      </c>
      <c r="L2802" s="2" t="s">
        <v>59</v>
      </c>
      <c r="M2802" s="2" t="s">
        <v>60</v>
      </c>
      <c r="N2802" s="4" t="str">
        <f t="shared" si="260"/>
        <v>GAL</v>
      </c>
      <c r="O2802" s="5">
        <v>165</v>
      </c>
    </row>
    <row r="2803" spans="2:15" x14ac:dyDescent="0.25">
      <c r="B2803" s="1" t="s">
        <v>0</v>
      </c>
      <c r="C2803" s="2" t="s">
        <v>1</v>
      </c>
      <c r="D2803" s="2" t="s">
        <v>55</v>
      </c>
      <c r="E2803" s="2" t="s">
        <v>56</v>
      </c>
      <c r="F2803" s="3">
        <f t="shared" si="262"/>
        <v>45212</v>
      </c>
      <c r="G2803" s="4">
        <f t="shared" si="259"/>
        <v>10</v>
      </c>
      <c r="H2803" s="4">
        <f t="shared" si="258"/>
        <v>2023</v>
      </c>
      <c r="I2803" s="2" t="s">
        <v>4</v>
      </c>
      <c r="J2803" s="2" t="s">
        <v>3669</v>
      </c>
      <c r="K2803" s="2" t="s">
        <v>83</v>
      </c>
      <c r="L2803" s="2" t="s">
        <v>584</v>
      </c>
      <c r="M2803" s="2" t="s">
        <v>85</v>
      </c>
      <c r="N2803" s="4" t="str">
        <f t="shared" si="260"/>
        <v>GAL</v>
      </c>
      <c r="O2803" s="5">
        <v>90</v>
      </c>
    </row>
    <row r="2804" spans="2:15" x14ac:dyDescent="0.25">
      <c r="B2804" s="1" t="s">
        <v>0</v>
      </c>
      <c r="C2804" s="2" t="s">
        <v>1</v>
      </c>
      <c r="D2804" s="2" t="s">
        <v>2</v>
      </c>
      <c r="E2804" s="2" t="s">
        <v>2174</v>
      </c>
      <c r="F2804" s="3">
        <f>DATE(2023,10,16)</f>
        <v>45215</v>
      </c>
      <c r="G2804" s="4">
        <f t="shared" si="259"/>
        <v>10</v>
      </c>
      <c r="H2804" s="4">
        <f t="shared" si="258"/>
        <v>2023</v>
      </c>
      <c r="I2804" s="2" t="s">
        <v>4</v>
      </c>
      <c r="J2804" s="2" t="s">
        <v>3670</v>
      </c>
      <c r="K2804" s="2" t="s">
        <v>11</v>
      </c>
      <c r="L2804" s="2" t="s">
        <v>12</v>
      </c>
      <c r="M2804" s="2" t="s">
        <v>13</v>
      </c>
      <c r="N2804" s="4" t="str">
        <f t="shared" si="260"/>
        <v>GAL</v>
      </c>
      <c r="O2804" s="5">
        <v>55</v>
      </c>
    </row>
    <row r="2805" spans="2:15" x14ac:dyDescent="0.25">
      <c r="B2805" s="1" t="s">
        <v>0</v>
      </c>
      <c r="C2805" s="2" t="s">
        <v>1</v>
      </c>
      <c r="D2805" s="2" t="s">
        <v>2</v>
      </c>
      <c r="E2805" s="2" t="s">
        <v>42</v>
      </c>
      <c r="F2805" s="3">
        <f t="shared" ref="F2805:F2811" si="263">DATE(2023,10,19)</f>
        <v>45218</v>
      </c>
      <c r="G2805" s="4">
        <f t="shared" si="259"/>
        <v>10</v>
      </c>
      <c r="H2805" s="4">
        <f t="shared" si="258"/>
        <v>2023</v>
      </c>
      <c r="I2805" s="2" t="s">
        <v>4</v>
      </c>
      <c r="J2805" s="2" t="s">
        <v>3671</v>
      </c>
      <c r="K2805" s="2" t="s">
        <v>33</v>
      </c>
      <c r="L2805" s="2" t="s">
        <v>34</v>
      </c>
      <c r="M2805" s="2" t="s">
        <v>35</v>
      </c>
      <c r="N2805" s="4" t="str">
        <f t="shared" si="260"/>
        <v>GAL</v>
      </c>
      <c r="O2805" s="5">
        <v>2.5</v>
      </c>
    </row>
    <row r="2806" spans="2:15" x14ac:dyDescent="0.25">
      <c r="B2806" s="1" t="s">
        <v>0</v>
      </c>
      <c r="C2806" s="2" t="s">
        <v>1</v>
      </c>
      <c r="D2806" s="2" t="s">
        <v>2</v>
      </c>
      <c r="E2806" s="2" t="s">
        <v>42</v>
      </c>
      <c r="F2806" s="3">
        <f t="shared" si="263"/>
        <v>45218</v>
      </c>
      <c r="G2806" s="4">
        <f t="shared" si="259"/>
        <v>10</v>
      </c>
      <c r="H2806" s="4">
        <f t="shared" si="258"/>
        <v>2023</v>
      </c>
      <c r="I2806" s="2" t="s">
        <v>4</v>
      </c>
      <c r="J2806" s="2" t="s">
        <v>3671</v>
      </c>
      <c r="K2806" s="2" t="s">
        <v>19</v>
      </c>
      <c r="L2806" s="2" t="s">
        <v>20</v>
      </c>
      <c r="M2806" s="2" t="s">
        <v>21</v>
      </c>
      <c r="N2806" s="4" t="str">
        <f t="shared" si="260"/>
        <v>GAL</v>
      </c>
      <c r="O2806" s="5">
        <v>120</v>
      </c>
    </row>
    <row r="2807" spans="2:15" x14ac:dyDescent="0.25">
      <c r="B2807" s="1" t="s">
        <v>0</v>
      </c>
      <c r="C2807" s="2" t="s">
        <v>1</v>
      </c>
      <c r="D2807" s="2" t="s">
        <v>2</v>
      </c>
      <c r="E2807" s="2" t="s">
        <v>42</v>
      </c>
      <c r="F2807" s="3">
        <f t="shared" si="263"/>
        <v>45218</v>
      </c>
      <c r="G2807" s="4">
        <f t="shared" si="259"/>
        <v>10</v>
      </c>
      <c r="H2807" s="4">
        <f t="shared" si="258"/>
        <v>2023</v>
      </c>
      <c r="I2807" s="2" t="s">
        <v>4</v>
      </c>
      <c r="J2807" s="2" t="s">
        <v>3671</v>
      </c>
      <c r="K2807" s="2" t="s">
        <v>22</v>
      </c>
      <c r="L2807" s="2" t="s">
        <v>23</v>
      </c>
      <c r="M2807" s="2" t="s">
        <v>24</v>
      </c>
      <c r="N2807" s="4" t="str">
        <f t="shared" si="260"/>
        <v>GAL</v>
      </c>
      <c r="O2807" s="5">
        <v>60</v>
      </c>
    </row>
    <row r="2808" spans="2:15" x14ac:dyDescent="0.25">
      <c r="B2808" s="1" t="s">
        <v>0</v>
      </c>
      <c r="C2808" s="2" t="s">
        <v>1</v>
      </c>
      <c r="D2808" s="2" t="s">
        <v>2</v>
      </c>
      <c r="E2808" s="2" t="s">
        <v>42</v>
      </c>
      <c r="F2808" s="3">
        <f t="shared" si="263"/>
        <v>45218</v>
      </c>
      <c r="G2808" s="4">
        <f t="shared" si="259"/>
        <v>10</v>
      </c>
      <c r="H2808" s="4">
        <f t="shared" si="258"/>
        <v>2023</v>
      </c>
      <c r="I2808" s="2" t="s">
        <v>4</v>
      </c>
      <c r="J2808" s="2" t="s">
        <v>3671</v>
      </c>
      <c r="K2808" s="2" t="s">
        <v>80</v>
      </c>
      <c r="L2808" s="2" t="s">
        <v>81</v>
      </c>
      <c r="M2808" s="2" t="s">
        <v>82</v>
      </c>
      <c r="N2808" s="4" t="str">
        <f t="shared" si="260"/>
        <v>GAL</v>
      </c>
      <c r="O2808" s="5">
        <v>60</v>
      </c>
    </row>
    <row r="2809" spans="2:15" x14ac:dyDescent="0.25">
      <c r="B2809" s="1" t="s">
        <v>0</v>
      </c>
      <c r="C2809" s="2" t="s">
        <v>1</v>
      </c>
      <c r="D2809" s="2" t="s">
        <v>2</v>
      </c>
      <c r="E2809" s="2" t="s">
        <v>42</v>
      </c>
      <c r="F2809" s="3">
        <f t="shared" si="263"/>
        <v>45218</v>
      </c>
      <c r="G2809" s="4">
        <f t="shared" si="259"/>
        <v>10</v>
      </c>
      <c r="H2809" s="4">
        <f t="shared" si="258"/>
        <v>2023</v>
      </c>
      <c r="I2809" s="2" t="s">
        <v>4</v>
      </c>
      <c r="J2809" s="2" t="s">
        <v>3671</v>
      </c>
      <c r="K2809" s="2" t="s">
        <v>25</v>
      </c>
      <c r="L2809" s="2" t="s">
        <v>26</v>
      </c>
      <c r="M2809" s="2" t="s">
        <v>27</v>
      </c>
      <c r="N2809" s="4" t="str">
        <f t="shared" si="260"/>
        <v>GAL</v>
      </c>
      <c r="O2809" s="5">
        <v>120</v>
      </c>
    </row>
    <row r="2810" spans="2:15" x14ac:dyDescent="0.25">
      <c r="B2810" s="1" t="s">
        <v>0</v>
      </c>
      <c r="C2810" s="2" t="s">
        <v>1</v>
      </c>
      <c r="D2810" s="2" t="s">
        <v>2</v>
      </c>
      <c r="E2810" s="2" t="s">
        <v>42</v>
      </c>
      <c r="F2810" s="3">
        <f t="shared" si="263"/>
        <v>45218</v>
      </c>
      <c r="G2810" s="4">
        <f t="shared" si="259"/>
        <v>10</v>
      </c>
      <c r="H2810" s="4">
        <f t="shared" si="258"/>
        <v>2023</v>
      </c>
      <c r="I2810" s="2" t="s">
        <v>4</v>
      </c>
      <c r="J2810" s="2" t="s">
        <v>3671</v>
      </c>
      <c r="K2810" s="2" t="s">
        <v>28</v>
      </c>
      <c r="L2810" s="2" t="s">
        <v>29</v>
      </c>
      <c r="M2810" s="2" t="s">
        <v>30</v>
      </c>
      <c r="N2810" s="4" t="str">
        <f t="shared" si="260"/>
        <v>GAL</v>
      </c>
      <c r="O2810" s="5">
        <v>120</v>
      </c>
    </row>
    <row r="2811" spans="2:15" x14ac:dyDescent="0.25">
      <c r="B2811" s="1" t="s">
        <v>0</v>
      </c>
      <c r="C2811" s="2" t="s">
        <v>1</v>
      </c>
      <c r="D2811" s="2" t="s">
        <v>2</v>
      </c>
      <c r="E2811" s="2" t="s">
        <v>42</v>
      </c>
      <c r="F2811" s="3">
        <f t="shared" si="263"/>
        <v>45218</v>
      </c>
      <c r="G2811" s="4">
        <f t="shared" si="259"/>
        <v>10</v>
      </c>
      <c r="H2811" s="4">
        <f t="shared" ref="H2811:H2874" si="264">+YEAR(F2811)</f>
        <v>2023</v>
      </c>
      <c r="I2811" s="2" t="s">
        <v>4</v>
      </c>
      <c r="J2811" s="2" t="s">
        <v>3671</v>
      </c>
      <c r="K2811" s="2" t="s">
        <v>16</v>
      </c>
      <c r="L2811" s="2" t="s">
        <v>7</v>
      </c>
      <c r="M2811" s="2" t="s">
        <v>8</v>
      </c>
      <c r="N2811" s="4" t="str">
        <f t="shared" si="260"/>
        <v>GAL</v>
      </c>
      <c r="O2811" s="5">
        <v>120</v>
      </c>
    </row>
    <row r="2812" spans="2:15" x14ac:dyDescent="0.25">
      <c r="B2812" s="1" t="s">
        <v>0</v>
      </c>
      <c r="C2812" s="2" t="s">
        <v>1</v>
      </c>
      <c r="D2812" s="2" t="s">
        <v>2</v>
      </c>
      <c r="E2812" s="2" t="s">
        <v>1432</v>
      </c>
      <c r="F2812" s="3">
        <f>DATE(2023,10,26)</f>
        <v>45225</v>
      </c>
      <c r="G2812" s="4">
        <f t="shared" si="259"/>
        <v>10</v>
      </c>
      <c r="H2812" s="4">
        <f t="shared" si="264"/>
        <v>2023</v>
      </c>
      <c r="I2812" s="2" t="s">
        <v>4</v>
      </c>
      <c r="J2812" s="2" t="s">
        <v>3672</v>
      </c>
      <c r="K2812" s="2" t="s">
        <v>33</v>
      </c>
      <c r="L2812" s="2" t="s">
        <v>34</v>
      </c>
      <c r="M2812" s="2" t="s">
        <v>35</v>
      </c>
      <c r="N2812" s="4" t="str">
        <f t="shared" si="260"/>
        <v>GAL</v>
      </c>
      <c r="O2812" s="5">
        <v>20</v>
      </c>
    </row>
    <row r="2813" spans="2:15" x14ac:dyDescent="0.25">
      <c r="B2813" s="1" t="s">
        <v>0</v>
      </c>
      <c r="C2813" s="2" t="s">
        <v>1</v>
      </c>
      <c r="D2813" s="2" t="s">
        <v>2</v>
      </c>
      <c r="E2813" s="2" t="s">
        <v>1432</v>
      </c>
      <c r="F2813" s="3">
        <f>DATE(2023,10,26)</f>
        <v>45225</v>
      </c>
      <c r="G2813" s="4">
        <f t="shared" si="259"/>
        <v>10</v>
      </c>
      <c r="H2813" s="4">
        <f t="shared" si="264"/>
        <v>2023</v>
      </c>
      <c r="I2813" s="2" t="s">
        <v>4</v>
      </c>
      <c r="J2813" s="2" t="s">
        <v>3672</v>
      </c>
      <c r="K2813" s="2" t="s">
        <v>19</v>
      </c>
      <c r="L2813" s="2" t="s">
        <v>20</v>
      </c>
      <c r="M2813" s="2" t="s">
        <v>21</v>
      </c>
      <c r="N2813" s="4" t="str">
        <f t="shared" si="260"/>
        <v>GAL</v>
      </c>
      <c r="O2813" s="5">
        <v>40</v>
      </c>
    </row>
    <row r="2814" spans="2:15" x14ac:dyDescent="0.25">
      <c r="B2814" s="1" t="s">
        <v>0</v>
      </c>
      <c r="C2814" s="2" t="s">
        <v>1</v>
      </c>
      <c r="D2814" s="2" t="s">
        <v>2</v>
      </c>
      <c r="E2814" s="2" t="s">
        <v>1432</v>
      </c>
      <c r="F2814" s="3">
        <f>DATE(2023,10,26)</f>
        <v>45225</v>
      </c>
      <c r="G2814" s="4">
        <f t="shared" si="259"/>
        <v>10</v>
      </c>
      <c r="H2814" s="4">
        <f t="shared" si="264"/>
        <v>2023</v>
      </c>
      <c r="I2814" s="2" t="s">
        <v>4</v>
      </c>
      <c r="J2814" s="2" t="s">
        <v>3672</v>
      </c>
      <c r="K2814" s="2" t="s">
        <v>25</v>
      </c>
      <c r="L2814" s="2" t="s">
        <v>26</v>
      </c>
      <c r="M2814" s="2" t="s">
        <v>27</v>
      </c>
      <c r="N2814" s="4" t="str">
        <f t="shared" si="260"/>
        <v>GAL</v>
      </c>
      <c r="O2814" s="5">
        <v>40</v>
      </c>
    </row>
    <row r="2815" spans="2:15" x14ac:dyDescent="0.25">
      <c r="B2815" s="1" t="s">
        <v>0</v>
      </c>
      <c r="C2815" s="2" t="s">
        <v>1</v>
      </c>
      <c r="D2815" s="2" t="s">
        <v>2</v>
      </c>
      <c r="E2815" s="2" t="s">
        <v>1432</v>
      </c>
      <c r="F2815" s="3">
        <f>DATE(2023,10,26)</f>
        <v>45225</v>
      </c>
      <c r="G2815" s="4">
        <f t="shared" si="259"/>
        <v>10</v>
      </c>
      <c r="H2815" s="4">
        <f t="shared" si="264"/>
        <v>2023</v>
      </c>
      <c r="I2815" s="2" t="s">
        <v>4</v>
      </c>
      <c r="J2815" s="2" t="s">
        <v>3672</v>
      </c>
      <c r="K2815" s="2" t="s">
        <v>28</v>
      </c>
      <c r="L2815" s="2" t="s">
        <v>29</v>
      </c>
      <c r="M2815" s="2" t="s">
        <v>30</v>
      </c>
      <c r="N2815" s="4" t="str">
        <f t="shared" si="260"/>
        <v>GAL</v>
      </c>
      <c r="O2815" s="5">
        <v>20</v>
      </c>
    </row>
    <row r="2816" spans="2:15" x14ac:dyDescent="0.25">
      <c r="B2816" s="1" t="s">
        <v>0</v>
      </c>
      <c r="C2816" s="2" t="s">
        <v>1</v>
      </c>
      <c r="D2816" s="2" t="s">
        <v>2</v>
      </c>
      <c r="E2816" s="2" t="s">
        <v>1432</v>
      </c>
      <c r="F2816" s="3">
        <f>DATE(2023,10,26)</f>
        <v>45225</v>
      </c>
      <c r="G2816" s="4">
        <f t="shared" si="259"/>
        <v>10</v>
      </c>
      <c r="H2816" s="4">
        <f t="shared" si="264"/>
        <v>2023</v>
      </c>
      <c r="I2816" s="2" t="s">
        <v>4</v>
      </c>
      <c r="J2816" s="2" t="s">
        <v>3672</v>
      </c>
      <c r="K2816" s="2" t="s">
        <v>16</v>
      </c>
      <c r="L2816" s="2" t="s">
        <v>7</v>
      </c>
      <c r="M2816" s="2" t="s">
        <v>8</v>
      </c>
      <c r="N2816" s="4" t="str">
        <f t="shared" si="260"/>
        <v>GAL</v>
      </c>
      <c r="O2816" s="5">
        <v>40</v>
      </c>
    </row>
    <row r="2817" spans="2:15" x14ac:dyDescent="0.25">
      <c r="B2817" s="1" t="s">
        <v>0</v>
      </c>
      <c r="C2817" s="2" t="s">
        <v>1</v>
      </c>
      <c r="D2817" s="2" t="s">
        <v>2</v>
      </c>
      <c r="E2817" s="2" t="s">
        <v>86</v>
      </c>
      <c r="F2817" s="3">
        <f>DATE(2023,10,27)</f>
        <v>45226</v>
      </c>
      <c r="G2817" s="4">
        <f t="shared" si="259"/>
        <v>10</v>
      </c>
      <c r="H2817" s="4">
        <f t="shared" si="264"/>
        <v>2023</v>
      </c>
      <c r="I2817" s="2" t="s">
        <v>4</v>
      </c>
      <c r="J2817" s="2" t="s">
        <v>3673</v>
      </c>
      <c r="K2817" s="2" t="s">
        <v>11</v>
      </c>
      <c r="L2817" s="2" t="s">
        <v>12</v>
      </c>
      <c r="M2817" s="2" t="s">
        <v>13</v>
      </c>
      <c r="N2817" s="4" t="str">
        <f t="shared" si="260"/>
        <v>GAL</v>
      </c>
      <c r="O2817" s="5">
        <v>110</v>
      </c>
    </row>
    <row r="2818" spans="2:15" x14ac:dyDescent="0.25">
      <c r="B2818" s="1" t="s">
        <v>88</v>
      </c>
      <c r="C2818" s="2" t="s">
        <v>89</v>
      </c>
      <c r="D2818" s="2" t="s">
        <v>3552</v>
      </c>
      <c r="E2818" s="2" t="s">
        <v>102</v>
      </c>
      <c r="F2818" s="3">
        <f>DATE(2023,10,5)</f>
        <v>45204</v>
      </c>
      <c r="G2818" s="4">
        <f t="shared" si="259"/>
        <v>10</v>
      </c>
      <c r="H2818" s="4">
        <f t="shared" si="264"/>
        <v>2023</v>
      </c>
      <c r="I2818" s="2" t="s">
        <v>4</v>
      </c>
      <c r="J2818" s="2" t="s">
        <v>3674</v>
      </c>
      <c r="K2818" s="2" t="s">
        <v>3554</v>
      </c>
      <c r="L2818" s="2" t="s">
        <v>3555</v>
      </c>
      <c r="M2818" s="2" t="s">
        <v>106</v>
      </c>
      <c r="N2818" s="4" t="str">
        <f t="shared" si="260"/>
        <v>LBS</v>
      </c>
      <c r="O2818" s="5">
        <v>2775</v>
      </c>
    </row>
    <row r="2819" spans="2:15" x14ac:dyDescent="0.25">
      <c r="B2819" s="1" t="s">
        <v>88</v>
      </c>
      <c r="C2819" s="2" t="s">
        <v>89</v>
      </c>
      <c r="D2819" s="2" t="s">
        <v>616</v>
      </c>
      <c r="E2819" s="2" t="s">
        <v>2215</v>
      </c>
      <c r="F2819" s="3">
        <f>DATE(2023,10,12)</f>
        <v>45211</v>
      </c>
      <c r="G2819" s="4">
        <f t="shared" ref="G2819:G2882" si="265">+MONTH(F2819)</f>
        <v>10</v>
      </c>
      <c r="H2819" s="4">
        <f t="shared" si="264"/>
        <v>2023</v>
      </c>
      <c r="I2819" s="2" t="s">
        <v>4</v>
      </c>
      <c r="J2819" s="2" t="s">
        <v>3675</v>
      </c>
      <c r="K2819" s="2" t="s">
        <v>83</v>
      </c>
      <c r="L2819" s="2" t="s">
        <v>518</v>
      </c>
      <c r="M2819" s="2" t="s">
        <v>85</v>
      </c>
      <c r="N2819" s="4" t="str">
        <f t="shared" ref="N2819:N2882" si="266">+LEFT(M2819,3)</f>
        <v>GAL</v>
      </c>
      <c r="O2819" s="5">
        <v>35</v>
      </c>
    </row>
    <row r="2820" spans="2:15" x14ac:dyDescent="0.25">
      <c r="B2820" s="1" t="s">
        <v>88</v>
      </c>
      <c r="C2820" s="2" t="s">
        <v>89</v>
      </c>
      <c r="D2820" s="2" t="s">
        <v>616</v>
      </c>
      <c r="E2820" s="2" t="s">
        <v>2215</v>
      </c>
      <c r="F2820" s="3">
        <f>DATE(2023,10,12)</f>
        <v>45211</v>
      </c>
      <c r="G2820" s="4">
        <f t="shared" si="265"/>
        <v>10</v>
      </c>
      <c r="H2820" s="4">
        <f t="shared" si="264"/>
        <v>2023</v>
      </c>
      <c r="I2820" s="2" t="s">
        <v>4</v>
      </c>
      <c r="J2820" s="2" t="s">
        <v>3675</v>
      </c>
      <c r="K2820" s="2" t="s">
        <v>2098</v>
      </c>
      <c r="L2820" s="2" t="s">
        <v>2099</v>
      </c>
      <c r="M2820" s="2" t="s">
        <v>2100</v>
      </c>
      <c r="N2820" s="4" t="str">
        <f t="shared" si="266"/>
        <v>GAL</v>
      </c>
      <c r="O2820" s="5">
        <v>35</v>
      </c>
    </row>
    <row r="2821" spans="2:15" x14ac:dyDescent="0.25">
      <c r="B2821" s="1" t="s">
        <v>88</v>
      </c>
      <c r="C2821" s="2" t="s">
        <v>89</v>
      </c>
      <c r="D2821" s="2" t="s">
        <v>3552</v>
      </c>
      <c r="E2821" s="2" t="s">
        <v>102</v>
      </c>
      <c r="F2821" s="3">
        <f>DATE(2023,10,20)</f>
        <v>45219</v>
      </c>
      <c r="G2821" s="4">
        <f t="shared" si="265"/>
        <v>10</v>
      </c>
      <c r="H2821" s="4">
        <f t="shared" si="264"/>
        <v>2023</v>
      </c>
      <c r="I2821" s="2" t="s">
        <v>4</v>
      </c>
      <c r="J2821" s="2" t="s">
        <v>3676</v>
      </c>
      <c r="K2821" s="2" t="s">
        <v>3554</v>
      </c>
      <c r="L2821" s="2" t="s">
        <v>3555</v>
      </c>
      <c r="M2821" s="2" t="s">
        <v>106</v>
      </c>
      <c r="N2821" s="4" t="str">
        <f t="shared" si="266"/>
        <v>LBS</v>
      </c>
      <c r="O2821" s="5">
        <v>3052.5</v>
      </c>
    </row>
    <row r="2822" spans="2:15" x14ac:dyDescent="0.25">
      <c r="B2822" s="1" t="s">
        <v>88</v>
      </c>
      <c r="C2822" s="2" t="s">
        <v>89</v>
      </c>
      <c r="D2822" s="2" t="s">
        <v>1444</v>
      </c>
      <c r="E2822" s="2" t="s">
        <v>3677</v>
      </c>
      <c r="F2822" s="3">
        <f>DATE(2023,10,24)</f>
        <v>45223</v>
      </c>
      <c r="G2822" s="4">
        <f t="shared" si="265"/>
        <v>10</v>
      </c>
      <c r="H2822" s="4">
        <f t="shared" si="264"/>
        <v>2023</v>
      </c>
      <c r="I2822" s="2" t="s">
        <v>4</v>
      </c>
      <c r="J2822" s="2" t="s">
        <v>3678</v>
      </c>
      <c r="K2822" s="2" t="s">
        <v>1446</v>
      </c>
      <c r="L2822" s="2" t="s">
        <v>2581</v>
      </c>
      <c r="M2822" s="2" t="s">
        <v>1448</v>
      </c>
      <c r="N2822" s="4" t="str">
        <f t="shared" si="266"/>
        <v>GAL</v>
      </c>
      <c r="O2822" s="5">
        <v>360</v>
      </c>
    </row>
    <row r="2823" spans="2:15" x14ac:dyDescent="0.25">
      <c r="B2823" s="1" t="s">
        <v>88</v>
      </c>
      <c r="C2823" s="2" t="s">
        <v>89</v>
      </c>
      <c r="D2823" s="2" t="s">
        <v>146</v>
      </c>
      <c r="E2823" s="2" t="s">
        <v>147</v>
      </c>
      <c r="F2823" s="3">
        <f>DATE(2023,10,26)</f>
        <v>45225</v>
      </c>
      <c r="G2823" s="4">
        <f t="shared" si="265"/>
        <v>10</v>
      </c>
      <c r="H2823" s="4">
        <f t="shared" si="264"/>
        <v>2023</v>
      </c>
      <c r="I2823" s="2" t="s">
        <v>4</v>
      </c>
      <c r="J2823" s="2" t="s">
        <v>3679</v>
      </c>
      <c r="K2823" s="2" t="s">
        <v>149</v>
      </c>
      <c r="L2823" s="2" t="s">
        <v>150</v>
      </c>
      <c r="M2823" s="2" t="s">
        <v>21</v>
      </c>
      <c r="N2823" s="4" t="str">
        <f t="shared" si="266"/>
        <v>GAL</v>
      </c>
      <c r="O2823" s="5">
        <v>20</v>
      </c>
    </row>
    <row r="2824" spans="2:15" x14ac:dyDescent="0.25">
      <c r="B2824" s="1" t="s">
        <v>88</v>
      </c>
      <c r="C2824" s="2" t="s">
        <v>89</v>
      </c>
      <c r="D2824" s="2" t="s">
        <v>1026</v>
      </c>
      <c r="E2824" s="2" t="s">
        <v>102</v>
      </c>
      <c r="F2824" s="3">
        <f>DATE(2023,10,27)</f>
        <v>45226</v>
      </c>
      <c r="G2824" s="4">
        <f t="shared" si="265"/>
        <v>10</v>
      </c>
      <c r="H2824" s="4">
        <f t="shared" si="264"/>
        <v>2023</v>
      </c>
      <c r="I2824" s="2" t="s">
        <v>4</v>
      </c>
      <c r="J2824" s="2" t="s">
        <v>3680</v>
      </c>
      <c r="K2824" s="2" t="s">
        <v>1028</v>
      </c>
      <c r="L2824" s="2" t="s">
        <v>2198</v>
      </c>
      <c r="M2824" s="2" t="s">
        <v>106</v>
      </c>
      <c r="N2824" s="4" t="str">
        <f t="shared" si="266"/>
        <v>LBS</v>
      </c>
      <c r="O2824" s="5">
        <v>21720</v>
      </c>
    </row>
    <row r="2825" spans="2:15" x14ac:dyDescent="0.25">
      <c r="B2825" s="1" t="s">
        <v>88</v>
      </c>
      <c r="C2825" s="2" t="s">
        <v>89</v>
      </c>
      <c r="D2825" s="2" t="s">
        <v>1444</v>
      </c>
      <c r="E2825" s="2" t="s">
        <v>2864</v>
      </c>
      <c r="F2825" s="3">
        <f>DATE(2023,10,27)</f>
        <v>45226</v>
      </c>
      <c r="G2825" s="4">
        <f t="shared" si="265"/>
        <v>10</v>
      </c>
      <c r="H2825" s="4">
        <f t="shared" si="264"/>
        <v>2023</v>
      </c>
      <c r="I2825" s="2" t="s">
        <v>4</v>
      </c>
      <c r="J2825" s="2" t="s">
        <v>3681</v>
      </c>
      <c r="K2825" s="2" t="s">
        <v>1446</v>
      </c>
      <c r="L2825" s="2" t="s">
        <v>2581</v>
      </c>
      <c r="M2825" s="2" t="s">
        <v>1448</v>
      </c>
      <c r="N2825" s="4" t="str">
        <f t="shared" si="266"/>
        <v>GAL</v>
      </c>
      <c r="O2825" s="5">
        <v>360</v>
      </c>
    </row>
    <row r="2826" spans="2:15" x14ac:dyDescent="0.25">
      <c r="B2826" s="1" t="s">
        <v>88</v>
      </c>
      <c r="C2826" s="2" t="s">
        <v>89</v>
      </c>
      <c r="D2826" s="2" t="s">
        <v>1444</v>
      </c>
      <c r="E2826" s="2" t="s">
        <v>102</v>
      </c>
      <c r="F2826" s="3">
        <f>DATE(2023,10,27)</f>
        <v>45226</v>
      </c>
      <c r="G2826" s="4">
        <f t="shared" si="265"/>
        <v>10</v>
      </c>
      <c r="H2826" s="4">
        <f t="shared" si="264"/>
        <v>2023</v>
      </c>
      <c r="I2826" s="2" t="s">
        <v>4</v>
      </c>
      <c r="J2826" s="2" t="s">
        <v>3682</v>
      </c>
      <c r="K2826" s="2" t="s">
        <v>1446</v>
      </c>
      <c r="L2826" s="2" t="s">
        <v>2581</v>
      </c>
      <c r="M2826" s="2" t="s">
        <v>1448</v>
      </c>
      <c r="N2826" s="4" t="str">
        <f t="shared" si="266"/>
        <v>GAL</v>
      </c>
      <c r="O2826" s="5">
        <v>360</v>
      </c>
    </row>
    <row r="2827" spans="2:15" x14ac:dyDescent="0.25">
      <c r="B2827" s="1" t="s">
        <v>88</v>
      </c>
      <c r="C2827" s="2" t="s">
        <v>89</v>
      </c>
      <c r="D2827" s="2" t="s">
        <v>107</v>
      </c>
      <c r="E2827" s="2" t="s">
        <v>108</v>
      </c>
      <c r="F2827" s="3">
        <f>DATE(2023,10,31)</f>
        <v>45230</v>
      </c>
      <c r="G2827" s="4">
        <f t="shared" si="265"/>
        <v>10</v>
      </c>
      <c r="H2827" s="4">
        <f t="shared" si="264"/>
        <v>2023</v>
      </c>
      <c r="I2827" s="2" t="s">
        <v>4</v>
      </c>
      <c r="J2827" s="2" t="s">
        <v>3683</v>
      </c>
      <c r="K2827" s="2" t="s">
        <v>110</v>
      </c>
      <c r="L2827" s="2" t="s">
        <v>111</v>
      </c>
      <c r="M2827" s="2" t="s">
        <v>112</v>
      </c>
      <c r="N2827" s="4" t="str">
        <f t="shared" si="266"/>
        <v>GAL</v>
      </c>
      <c r="O2827" s="5">
        <v>500</v>
      </c>
    </row>
    <row r="2828" spans="2:15" x14ac:dyDescent="0.25">
      <c r="B2828" s="1" t="s">
        <v>154</v>
      </c>
      <c r="C2828" s="2" t="s">
        <v>155</v>
      </c>
      <c r="D2828" s="2" t="s">
        <v>623</v>
      </c>
      <c r="E2828" s="2" t="s">
        <v>624</v>
      </c>
      <c r="F2828" s="3">
        <f>DATE(2023,10,3)</f>
        <v>45202</v>
      </c>
      <c r="G2828" s="4">
        <f t="shared" si="265"/>
        <v>10</v>
      </c>
      <c r="H2828" s="4">
        <f t="shared" si="264"/>
        <v>2023</v>
      </c>
      <c r="I2828" s="2" t="s">
        <v>4</v>
      </c>
      <c r="J2828" s="2" t="s">
        <v>3684</v>
      </c>
      <c r="K2828" s="2" t="s">
        <v>626</v>
      </c>
      <c r="L2828" s="2" t="s">
        <v>627</v>
      </c>
      <c r="M2828" s="2" t="s">
        <v>119</v>
      </c>
      <c r="N2828" s="4" t="str">
        <f t="shared" si="266"/>
        <v>TON</v>
      </c>
      <c r="O2828" s="5">
        <v>14.994999999999999</v>
      </c>
    </row>
    <row r="2829" spans="2:15" x14ac:dyDescent="0.25">
      <c r="B2829" s="1" t="s">
        <v>154</v>
      </c>
      <c r="C2829" s="2" t="s">
        <v>155</v>
      </c>
      <c r="D2829" s="2" t="s">
        <v>646</v>
      </c>
      <c r="E2829" s="2" t="s">
        <v>647</v>
      </c>
      <c r="F2829" s="3">
        <f>DATE(2023,10,4)</f>
        <v>45203</v>
      </c>
      <c r="G2829" s="4">
        <f t="shared" si="265"/>
        <v>10</v>
      </c>
      <c r="H2829" s="4">
        <f t="shared" si="264"/>
        <v>2023</v>
      </c>
      <c r="I2829" s="2" t="s">
        <v>4</v>
      </c>
      <c r="J2829" s="2" t="s">
        <v>3685</v>
      </c>
      <c r="K2829" s="2" t="s">
        <v>158</v>
      </c>
      <c r="L2829" s="2" t="s">
        <v>159</v>
      </c>
      <c r="M2829" s="2" t="s">
        <v>160</v>
      </c>
      <c r="N2829" s="4" t="str">
        <f t="shared" si="266"/>
        <v>GAL</v>
      </c>
      <c r="O2829" s="5">
        <v>360</v>
      </c>
    </row>
    <row r="2830" spans="2:15" x14ac:dyDescent="0.25">
      <c r="B2830" s="1" t="s">
        <v>154</v>
      </c>
      <c r="C2830" s="2" t="s">
        <v>155</v>
      </c>
      <c r="D2830" s="2" t="s">
        <v>3552</v>
      </c>
      <c r="E2830" s="2" t="s">
        <v>102</v>
      </c>
      <c r="F2830" s="3">
        <f>DATE(2023,10,5)</f>
        <v>45204</v>
      </c>
      <c r="G2830" s="4">
        <f t="shared" si="265"/>
        <v>10</v>
      </c>
      <c r="H2830" s="4">
        <f t="shared" si="264"/>
        <v>2023</v>
      </c>
      <c r="I2830" s="2" t="s">
        <v>4</v>
      </c>
      <c r="J2830" s="2" t="s">
        <v>3686</v>
      </c>
      <c r="K2830" s="2" t="s">
        <v>3554</v>
      </c>
      <c r="L2830" s="2" t="s">
        <v>3555</v>
      </c>
      <c r="M2830" s="2" t="s">
        <v>106</v>
      </c>
      <c r="N2830" s="4" t="str">
        <f t="shared" si="266"/>
        <v>LBS</v>
      </c>
      <c r="O2830" s="5">
        <v>2775</v>
      </c>
    </row>
    <row r="2831" spans="2:15" x14ac:dyDescent="0.25">
      <c r="B2831" s="1" t="s">
        <v>154</v>
      </c>
      <c r="C2831" s="2" t="s">
        <v>155</v>
      </c>
      <c r="D2831" s="2" t="s">
        <v>107</v>
      </c>
      <c r="E2831" s="2" t="s">
        <v>108</v>
      </c>
      <c r="F2831" s="3">
        <f>DATE(2023,10,9)</f>
        <v>45208</v>
      </c>
      <c r="G2831" s="4">
        <f t="shared" si="265"/>
        <v>10</v>
      </c>
      <c r="H2831" s="4">
        <f t="shared" si="264"/>
        <v>2023</v>
      </c>
      <c r="I2831" s="2" t="s">
        <v>4</v>
      </c>
      <c r="J2831" s="2" t="s">
        <v>3687</v>
      </c>
      <c r="K2831" s="2" t="s">
        <v>189</v>
      </c>
      <c r="L2831" s="2" t="s">
        <v>3688</v>
      </c>
      <c r="M2831" s="2" t="s">
        <v>191</v>
      </c>
      <c r="N2831" s="4" t="str">
        <f t="shared" si="266"/>
        <v>GAL</v>
      </c>
      <c r="O2831" s="5">
        <v>180</v>
      </c>
    </row>
    <row r="2832" spans="2:15" x14ac:dyDescent="0.25">
      <c r="B2832" s="1" t="s">
        <v>154</v>
      </c>
      <c r="C2832" s="2" t="s">
        <v>155</v>
      </c>
      <c r="D2832" s="2" t="s">
        <v>167</v>
      </c>
      <c r="E2832" s="2" t="s">
        <v>168</v>
      </c>
      <c r="F2832" s="3">
        <f>DATE(2023,10,12)</f>
        <v>45211</v>
      </c>
      <c r="G2832" s="4">
        <f t="shared" si="265"/>
        <v>10</v>
      </c>
      <c r="H2832" s="4">
        <f t="shared" si="264"/>
        <v>2023</v>
      </c>
      <c r="I2832" s="2" t="s">
        <v>4</v>
      </c>
      <c r="J2832" s="2" t="s">
        <v>3689</v>
      </c>
      <c r="K2832" s="2" t="s">
        <v>1814</v>
      </c>
      <c r="L2832" s="2" t="s">
        <v>1815</v>
      </c>
      <c r="M2832" s="2" t="s">
        <v>1816</v>
      </c>
      <c r="N2832" s="4" t="str">
        <f t="shared" si="266"/>
        <v>GAL</v>
      </c>
      <c r="O2832" s="5">
        <v>180</v>
      </c>
    </row>
    <row r="2833" spans="2:15" x14ac:dyDescent="0.25">
      <c r="B2833" s="1" t="s">
        <v>154</v>
      </c>
      <c r="C2833" s="2" t="s">
        <v>155</v>
      </c>
      <c r="D2833" s="2" t="s">
        <v>167</v>
      </c>
      <c r="E2833" s="2" t="s">
        <v>168</v>
      </c>
      <c r="F2833" s="3">
        <f>DATE(2023,10,16)</f>
        <v>45215</v>
      </c>
      <c r="G2833" s="4">
        <f t="shared" si="265"/>
        <v>10</v>
      </c>
      <c r="H2833" s="4">
        <f t="shared" si="264"/>
        <v>2023</v>
      </c>
      <c r="I2833" s="2" t="s">
        <v>4</v>
      </c>
      <c r="J2833" s="2" t="s">
        <v>3690</v>
      </c>
      <c r="K2833" s="2" t="s">
        <v>3436</v>
      </c>
      <c r="L2833" s="2" t="s">
        <v>3437</v>
      </c>
      <c r="M2833" s="2" t="s">
        <v>67</v>
      </c>
      <c r="N2833" s="4" t="str">
        <f t="shared" si="266"/>
        <v>GAL</v>
      </c>
      <c r="O2833" s="5">
        <v>500</v>
      </c>
    </row>
    <row r="2834" spans="2:15" x14ac:dyDescent="0.25">
      <c r="B2834" s="1" t="s">
        <v>154</v>
      </c>
      <c r="C2834" s="2" t="s">
        <v>155</v>
      </c>
      <c r="D2834" s="2" t="s">
        <v>623</v>
      </c>
      <c r="E2834" s="2" t="s">
        <v>624</v>
      </c>
      <c r="F2834" s="3">
        <f>DATE(2023,10,16)</f>
        <v>45215</v>
      </c>
      <c r="G2834" s="4">
        <f t="shared" si="265"/>
        <v>10</v>
      </c>
      <c r="H2834" s="4">
        <f t="shared" si="264"/>
        <v>2023</v>
      </c>
      <c r="I2834" s="2" t="s">
        <v>4</v>
      </c>
      <c r="J2834" s="2" t="s">
        <v>3691</v>
      </c>
      <c r="K2834" s="2" t="s">
        <v>626</v>
      </c>
      <c r="L2834" s="2" t="s">
        <v>627</v>
      </c>
      <c r="M2834" s="2" t="s">
        <v>119</v>
      </c>
      <c r="N2834" s="4" t="str">
        <f t="shared" si="266"/>
        <v>TON</v>
      </c>
      <c r="O2834" s="5">
        <v>15.02</v>
      </c>
    </row>
    <row r="2835" spans="2:15" x14ac:dyDescent="0.25">
      <c r="B2835" s="1" t="s">
        <v>154</v>
      </c>
      <c r="C2835" s="2" t="s">
        <v>155</v>
      </c>
      <c r="D2835" s="2" t="s">
        <v>628</v>
      </c>
      <c r="E2835" s="2" t="s">
        <v>629</v>
      </c>
      <c r="F2835" s="3">
        <f>DATE(2023,10,19)</f>
        <v>45218</v>
      </c>
      <c r="G2835" s="4">
        <f t="shared" si="265"/>
        <v>10</v>
      </c>
      <c r="H2835" s="4">
        <f t="shared" si="264"/>
        <v>2023</v>
      </c>
      <c r="I2835" s="2" t="s">
        <v>4</v>
      </c>
      <c r="J2835" s="2" t="s">
        <v>3692</v>
      </c>
      <c r="K2835" s="2" t="s">
        <v>1119</v>
      </c>
      <c r="L2835" s="2" t="s">
        <v>1023</v>
      </c>
      <c r="M2835" s="2" t="s">
        <v>1024</v>
      </c>
      <c r="N2835" s="4" t="str">
        <f t="shared" si="266"/>
        <v>GAL</v>
      </c>
      <c r="O2835" s="5">
        <v>540</v>
      </c>
    </row>
    <row r="2836" spans="2:15" x14ac:dyDescent="0.25">
      <c r="B2836" s="1" t="s">
        <v>154</v>
      </c>
      <c r="C2836" s="2" t="s">
        <v>155</v>
      </c>
      <c r="D2836" s="2" t="s">
        <v>628</v>
      </c>
      <c r="E2836" s="2" t="s">
        <v>629</v>
      </c>
      <c r="F2836" s="3">
        <f>DATE(2023,10,19)</f>
        <v>45218</v>
      </c>
      <c r="G2836" s="4">
        <f t="shared" si="265"/>
        <v>10</v>
      </c>
      <c r="H2836" s="4">
        <f t="shared" si="264"/>
        <v>2023</v>
      </c>
      <c r="I2836" s="2" t="s">
        <v>4</v>
      </c>
      <c r="J2836" s="2" t="s">
        <v>3693</v>
      </c>
      <c r="K2836" s="2" t="s">
        <v>631</v>
      </c>
      <c r="L2836" s="2" t="s">
        <v>632</v>
      </c>
      <c r="M2836" s="2" t="s">
        <v>633</v>
      </c>
      <c r="N2836" s="4" t="str">
        <f t="shared" si="266"/>
        <v>GAL</v>
      </c>
      <c r="O2836" s="5">
        <v>250</v>
      </c>
    </row>
    <row r="2837" spans="2:15" x14ac:dyDescent="0.25">
      <c r="B2837" s="1" t="s">
        <v>154</v>
      </c>
      <c r="C2837" s="2" t="s">
        <v>155</v>
      </c>
      <c r="D2837" s="2" t="s">
        <v>107</v>
      </c>
      <c r="E2837" s="2" t="s">
        <v>108</v>
      </c>
      <c r="F2837" s="3">
        <f>DATE(2023,10,20)</f>
        <v>45219</v>
      </c>
      <c r="G2837" s="4">
        <f t="shared" si="265"/>
        <v>10</v>
      </c>
      <c r="H2837" s="4">
        <f t="shared" si="264"/>
        <v>2023</v>
      </c>
      <c r="I2837" s="2" t="s">
        <v>4</v>
      </c>
      <c r="J2837" s="2" t="s">
        <v>3694</v>
      </c>
      <c r="K2837" s="2" t="s">
        <v>158</v>
      </c>
      <c r="L2837" s="2" t="s">
        <v>159</v>
      </c>
      <c r="M2837" s="2" t="s">
        <v>160</v>
      </c>
      <c r="N2837" s="4" t="str">
        <f t="shared" si="266"/>
        <v>GAL</v>
      </c>
      <c r="O2837" s="5">
        <v>180</v>
      </c>
    </row>
    <row r="2838" spans="2:15" x14ac:dyDescent="0.25">
      <c r="B2838" s="1" t="s">
        <v>154</v>
      </c>
      <c r="C2838" s="2" t="s">
        <v>155</v>
      </c>
      <c r="D2838" s="2" t="s">
        <v>623</v>
      </c>
      <c r="E2838" s="2" t="s">
        <v>624</v>
      </c>
      <c r="F2838" s="3">
        <f>DATE(2023,10,24)</f>
        <v>45223</v>
      </c>
      <c r="G2838" s="4">
        <f t="shared" si="265"/>
        <v>10</v>
      </c>
      <c r="H2838" s="4">
        <f t="shared" si="264"/>
        <v>2023</v>
      </c>
      <c r="I2838" s="2" t="s">
        <v>4</v>
      </c>
      <c r="J2838" s="2" t="s">
        <v>3695</v>
      </c>
      <c r="K2838" s="2" t="s">
        <v>626</v>
      </c>
      <c r="L2838" s="2" t="s">
        <v>627</v>
      </c>
      <c r="M2838" s="2" t="s">
        <v>119</v>
      </c>
      <c r="N2838" s="4" t="str">
        <f t="shared" si="266"/>
        <v>TON</v>
      </c>
      <c r="O2838" s="5">
        <v>15.02</v>
      </c>
    </row>
    <row r="2839" spans="2:15" x14ac:dyDescent="0.25">
      <c r="B2839" s="1" t="s">
        <v>154</v>
      </c>
      <c r="C2839" s="2" t="s">
        <v>155</v>
      </c>
      <c r="D2839" s="2" t="s">
        <v>178</v>
      </c>
      <c r="E2839" s="2" t="s">
        <v>179</v>
      </c>
      <c r="F2839" s="3">
        <f>DATE(2023,10,24)</f>
        <v>45223</v>
      </c>
      <c r="G2839" s="4">
        <f t="shared" si="265"/>
        <v>10</v>
      </c>
      <c r="H2839" s="4">
        <f t="shared" si="264"/>
        <v>2023</v>
      </c>
      <c r="I2839" s="2" t="s">
        <v>4</v>
      </c>
      <c r="J2839" s="2" t="s">
        <v>3696</v>
      </c>
      <c r="K2839" s="2" t="s">
        <v>189</v>
      </c>
      <c r="L2839" s="2" t="s">
        <v>190</v>
      </c>
      <c r="M2839" s="2" t="s">
        <v>191</v>
      </c>
      <c r="N2839" s="4" t="str">
        <f t="shared" si="266"/>
        <v>GAL</v>
      </c>
      <c r="O2839" s="5">
        <v>180</v>
      </c>
    </row>
    <row r="2840" spans="2:15" x14ac:dyDescent="0.25">
      <c r="B2840" s="1" t="s">
        <v>154</v>
      </c>
      <c r="C2840" s="2" t="s">
        <v>155</v>
      </c>
      <c r="D2840" s="2" t="s">
        <v>591</v>
      </c>
      <c r="E2840" s="2" t="s">
        <v>592</v>
      </c>
      <c r="F2840" s="3">
        <f>DATE(2023,10,25)</f>
        <v>45224</v>
      </c>
      <c r="G2840" s="4">
        <f t="shared" si="265"/>
        <v>10</v>
      </c>
      <c r="H2840" s="4">
        <f t="shared" si="264"/>
        <v>2023</v>
      </c>
      <c r="I2840" s="2" t="s">
        <v>4</v>
      </c>
      <c r="J2840" s="2" t="s">
        <v>3697</v>
      </c>
      <c r="K2840" s="2" t="s">
        <v>1098</v>
      </c>
      <c r="L2840" s="2" t="s">
        <v>632</v>
      </c>
      <c r="M2840" s="2" t="s">
        <v>633</v>
      </c>
      <c r="N2840" s="4" t="str">
        <f t="shared" si="266"/>
        <v>GAL</v>
      </c>
      <c r="O2840" s="5">
        <v>2004.73</v>
      </c>
    </row>
    <row r="2841" spans="2:15" x14ac:dyDescent="0.25">
      <c r="B2841" s="1" t="s">
        <v>154</v>
      </c>
      <c r="C2841" s="2" t="s">
        <v>155</v>
      </c>
      <c r="D2841" s="2" t="s">
        <v>1838</v>
      </c>
      <c r="E2841" s="2" t="s">
        <v>1839</v>
      </c>
      <c r="F2841" s="3">
        <f>DATE(2023,10,30)</f>
        <v>45229</v>
      </c>
      <c r="G2841" s="4">
        <f t="shared" si="265"/>
        <v>10</v>
      </c>
      <c r="H2841" s="4">
        <f t="shared" si="264"/>
        <v>2023</v>
      </c>
      <c r="I2841" s="2" t="s">
        <v>4</v>
      </c>
      <c r="J2841" s="2" t="s">
        <v>3698</v>
      </c>
      <c r="K2841" s="2" t="s">
        <v>1119</v>
      </c>
      <c r="L2841" s="2" t="s">
        <v>1023</v>
      </c>
      <c r="M2841" s="2" t="s">
        <v>1024</v>
      </c>
      <c r="N2841" s="4" t="str">
        <f t="shared" si="266"/>
        <v>GAL</v>
      </c>
      <c r="O2841" s="5">
        <v>180</v>
      </c>
    </row>
    <row r="2842" spans="2:15" x14ac:dyDescent="0.25">
      <c r="B2842" s="1" t="s">
        <v>154</v>
      </c>
      <c r="C2842" s="2" t="s">
        <v>155</v>
      </c>
      <c r="D2842" s="2" t="s">
        <v>1838</v>
      </c>
      <c r="E2842" s="2" t="s">
        <v>1839</v>
      </c>
      <c r="F2842" s="3">
        <f>DATE(2023,10,30)</f>
        <v>45229</v>
      </c>
      <c r="G2842" s="4">
        <f t="shared" si="265"/>
        <v>10</v>
      </c>
      <c r="H2842" s="4">
        <f t="shared" si="264"/>
        <v>2023</v>
      </c>
      <c r="I2842" s="2" t="s">
        <v>4</v>
      </c>
      <c r="J2842" s="2" t="s">
        <v>3698</v>
      </c>
      <c r="K2842" s="2" t="s">
        <v>171</v>
      </c>
      <c r="L2842" s="2" t="s">
        <v>172</v>
      </c>
      <c r="M2842" s="2" t="s">
        <v>27</v>
      </c>
      <c r="N2842" s="4" t="str">
        <f t="shared" si="266"/>
        <v>GAL</v>
      </c>
      <c r="O2842" s="5">
        <v>180</v>
      </c>
    </row>
    <row r="2843" spans="2:15" x14ac:dyDescent="0.25">
      <c r="B2843" s="1" t="s">
        <v>154</v>
      </c>
      <c r="C2843" s="2" t="s">
        <v>155</v>
      </c>
      <c r="D2843" s="2" t="s">
        <v>178</v>
      </c>
      <c r="E2843" s="2" t="s">
        <v>179</v>
      </c>
      <c r="F2843" s="3">
        <f>DATE(2023,10,31)</f>
        <v>45230</v>
      </c>
      <c r="G2843" s="4">
        <f t="shared" si="265"/>
        <v>10</v>
      </c>
      <c r="H2843" s="4">
        <f t="shared" si="264"/>
        <v>2023</v>
      </c>
      <c r="I2843" s="2" t="s">
        <v>4</v>
      </c>
      <c r="J2843" s="2" t="s">
        <v>3699</v>
      </c>
      <c r="K2843" s="2" t="s">
        <v>1022</v>
      </c>
      <c r="L2843" s="2" t="s">
        <v>1023</v>
      </c>
      <c r="M2843" s="2" t="s">
        <v>1024</v>
      </c>
      <c r="N2843" s="4" t="str">
        <f t="shared" si="266"/>
        <v>GAL</v>
      </c>
      <c r="O2843" s="5">
        <v>250</v>
      </c>
    </row>
    <row r="2844" spans="2:15" x14ac:dyDescent="0.25">
      <c r="B2844" s="1" t="s">
        <v>154</v>
      </c>
      <c r="C2844" s="2" t="s">
        <v>155</v>
      </c>
      <c r="D2844" s="2" t="s">
        <v>178</v>
      </c>
      <c r="E2844" s="2" t="s">
        <v>179</v>
      </c>
      <c r="F2844" s="3">
        <f>DATE(2023,10,31)</f>
        <v>45230</v>
      </c>
      <c r="G2844" s="4">
        <f t="shared" si="265"/>
        <v>10</v>
      </c>
      <c r="H2844" s="4">
        <f t="shared" si="264"/>
        <v>2023</v>
      </c>
      <c r="I2844" s="2" t="s">
        <v>4</v>
      </c>
      <c r="J2844" s="2" t="s">
        <v>3699</v>
      </c>
      <c r="K2844" s="2" t="s">
        <v>2544</v>
      </c>
      <c r="L2844" s="2" t="s">
        <v>547</v>
      </c>
      <c r="M2844" s="2" t="s">
        <v>160</v>
      </c>
      <c r="N2844" s="4" t="str">
        <f t="shared" si="266"/>
        <v>GAL</v>
      </c>
      <c r="O2844" s="5">
        <v>250</v>
      </c>
    </row>
    <row r="2845" spans="2:15" x14ac:dyDescent="0.25">
      <c r="B2845" s="1" t="s">
        <v>154</v>
      </c>
      <c r="C2845" s="2" t="s">
        <v>155</v>
      </c>
      <c r="D2845" s="2" t="s">
        <v>623</v>
      </c>
      <c r="E2845" s="2" t="s">
        <v>624</v>
      </c>
      <c r="F2845" s="3">
        <f>DATE(2023,10,31)</f>
        <v>45230</v>
      </c>
      <c r="G2845" s="4">
        <f t="shared" si="265"/>
        <v>10</v>
      </c>
      <c r="H2845" s="4">
        <f t="shared" si="264"/>
        <v>2023</v>
      </c>
      <c r="I2845" s="2" t="s">
        <v>4</v>
      </c>
      <c r="J2845" s="2" t="s">
        <v>3700</v>
      </c>
      <c r="K2845" s="2" t="s">
        <v>626</v>
      </c>
      <c r="L2845" s="2" t="s">
        <v>627</v>
      </c>
      <c r="M2845" s="2" t="s">
        <v>119</v>
      </c>
      <c r="N2845" s="4" t="str">
        <f t="shared" si="266"/>
        <v>TON</v>
      </c>
      <c r="O2845" s="5">
        <v>14.9975</v>
      </c>
    </row>
    <row r="2846" spans="2:15" x14ac:dyDescent="0.25">
      <c r="B2846" s="1" t="s">
        <v>1520</v>
      </c>
      <c r="C2846" s="2" t="s">
        <v>196</v>
      </c>
      <c r="D2846" s="2" t="s">
        <v>215</v>
      </c>
      <c r="E2846" s="2" t="s">
        <v>313</v>
      </c>
      <c r="F2846" s="3">
        <f>DATE(2023,10,2)</f>
        <v>45201</v>
      </c>
      <c r="G2846" s="4">
        <f t="shared" si="265"/>
        <v>10</v>
      </c>
      <c r="H2846" s="4">
        <f t="shared" si="264"/>
        <v>2023</v>
      </c>
      <c r="I2846" s="2" t="s">
        <v>4</v>
      </c>
      <c r="J2846" s="2" t="s">
        <v>3701</v>
      </c>
      <c r="K2846" s="2" t="s">
        <v>205</v>
      </c>
      <c r="L2846" s="2" t="s">
        <v>206</v>
      </c>
      <c r="M2846" s="2" t="s">
        <v>119</v>
      </c>
      <c r="N2846" s="4" t="str">
        <f t="shared" si="266"/>
        <v>TON</v>
      </c>
      <c r="O2846" s="5">
        <v>3.75</v>
      </c>
    </row>
    <row r="2847" spans="2:15" x14ac:dyDescent="0.25">
      <c r="B2847" s="1" t="s">
        <v>1520</v>
      </c>
      <c r="C2847" s="2" t="s">
        <v>196</v>
      </c>
      <c r="D2847" s="2" t="s">
        <v>475</v>
      </c>
      <c r="E2847" s="2" t="s">
        <v>476</v>
      </c>
      <c r="F2847" s="3">
        <f>DATE(2023,10,2)</f>
        <v>45201</v>
      </c>
      <c r="G2847" s="4">
        <f t="shared" si="265"/>
        <v>10</v>
      </c>
      <c r="H2847" s="4">
        <f t="shared" si="264"/>
        <v>2023</v>
      </c>
      <c r="I2847" s="2" t="s">
        <v>4</v>
      </c>
      <c r="J2847" s="2" t="s">
        <v>3702</v>
      </c>
      <c r="K2847" s="2" t="s">
        <v>478</v>
      </c>
      <c r="L2847" s="2" t="s">
        <v>479</v>
      </c>
      <c r="M2847" s="2" t="s">
        <v>119</v>
      </c>
      <c r="N2847" s="4" t="str">
        <f t="shared" si="266"/>
        <v>TON</v>
      </c>
      <c r="O2847" s="5">
        <v>15.0075</v>
      </c>
    </row>
    <row r="2848" spans="2:15" x14ac:dyDescent="0.25">
      <c r="B2848" s="1" t="s">
        <v>1520</v>
      </c>
      <c r="C2848" s="2" t="s">
        <v>196</v>
      </c>
      <c r="D2848" s="2" t="s">
        <v>210</v>
      </c>
      <c r="E2848" s="2" t="s">
        <v>962</v>
      </c>
      <c r="F2848" s="3">
        <f>DATE(2023,10,3)</f>
        <v>45202</v>
      </c>
      <c r="G2848" s="4">
        <f t="shared" si="265"/>
        <v>10</v>
      </c>
      <c r="H2848" s="4">
        <f t="shared" si="264"/>
        <v>2023</v>
      </c>
      <c r="I2848" s="2" t="s">
        <v>4</v>
      </c>
      <c r="J2848" s="2" t="s">
        <v>3703</v>
      </c>
      <c r="K2848" s="2" t="s">
        <v>489</v>
      </c>
      <c r="L2848" s="2" t="s">
        <v>490</v>
      </c>
      <c r="M2848" s="2" t="s">
        <v>119</v>
      </c>
      <c r="N2848" s="4" t="str">
        <f t="shared" si="266"/>
        <v>TON</v>
      </c>
      <c r="O2848" s="5">
        <v>10</v>
      </c>
    </row>
    <row r="2849" spans="2:15" x14ac:dyDescent="0.25">
      <c r="B2849" s="1" t="s">
        <v>1520</v>
      </c>
      <c r="C2849" s="2" t="s">
        <v>196</v>
      </c>
      <c r="D2849" s="2" t="s">
        <v>241</v>
      </c>
      <c r="E2849" s="2" t="s">
        <v>258</v>
      </c>
      <c r="F2849" s="3">
        <f>DATE(2023,10,3)</f>
        <v>45202</v>
      </c>
      <c r="G2849" s="4">
        <f t="shared" si="265"/>
        <v>10</v>
      </c>
      <c r="H2849" s="4">
        <f t="shared" si="264"/>
        <v>2023</v>
      </c>
      <c r="I2849" s="2" t="s">
        <v>4</v>
      </c>
      <c r="J2849" s="2" t="s">
        <v>3704</v>
      </c>
      <c r="K2849" s="2" t="s">
        <v>3458</v>
      </c>
      <c r="L2849" s="2" t="s">
        <v>3459</v>
      </c>
      <c r="M2849" s="2" t="s">
        <v>119</v>
      </c>
      <c r="N2849" s="4" t="str">
        <f t="shared" si="266"/>
        <v>TON</v>
      </c>
      <c r="O2849" s="5">
        <v>2.25</v>
      </c>
    </row>
    <row r="2850" spans="2:15" x14ac:dyDescent="0.25">
      <c r="B2850" s="1" t="s">
        <v>1520</v>
      </c>
      <c r="C2850" s="2" t="s">
        <v>196</v>
      </c>
      <c r="D2850" s="2" t="s">
        <v>289</v>
      </c>
      <c r="E2850" s="2" t="s">
        <v>290</v>
      </c>
      <c r="F2850" s="3">
        <f>DATE(2023,10,3)</f>
        <v>45202</v>
      </c>
      <c r="G2850" s="4">
        <f t="shared" si="265"/>
        <v>10</v>
      </c>
      <c r="H2850" s="4">
        <f t="shared" si="264"/>
        <v>2023</v>
      </c>
      <c r="I2850" s="2" t="s">
        <v>4</v>
      </c>
      <c r="J2850" s="2" t="s">
        <v>3705</v>
      </c>
      <c r="K2850" s="2" t="s">
        <v>268</v>
      </c>
      <c r="L2850" s="2" t="s">
        <v>269</v>
      </c>
      <c r="M2850" s="2" t="s">
        <v>119</v>
      </c>
      <c r="N2850" s="4" t="str">
        <f t="shared" si="266"/>
        <v>TON</v>
      </c>
      <c r="O2850" s="5">
        <v>1</v>
      </c>
    </row>
    <row r="2851" spans="2:15" x14ac:dyDescent="0.25">
      <c r="B2851" s="1" t="s">
        <v>1520</v>
      </c>
      <c r="C2851" s="2" t="s">
        <v>196</v>
      </c>
      <c r="D2851" s="2" t="s">
        <v>294</v>
      </c>
      <c r="E2851" s="2" t="s">
        <v>2868</v>
      </c>
      <c r="F2851" s="3">
        <f>DATE(2023,10,4)</f>
        <v>45203</v>
      </c>
      <c r="G2851" s="4">
        <f t="shared" si="265"/>
        <v>10</v>
      </c>
      <c r="H2851" s="4">
        <f t="shared" si="264"/>
        <v>2023</v>
      </c>
      <c r="I2851" s="2" t="s">
        <v>4</v>
      </c>
      <c r="J2851" s="2" t="s">
        <v>3706</v>
      </c>
      <c r="K2851" s="2" t="s">
        <v>1232</v>
      </c>
      <c r="L2851" s="2" t="s">
        <v>1233</v>
      </c>
      <c r="M2851" s="2" t="s">
        <v>119</v>
      </c>
      <c r="N2851" s="4" t="str">
        <f t="shared" si="266"/>
        <v>TON</v>
      </c>
      <c r="O2851" s="5">
        <v>1.2475000000000001</v>
      </c>
    </row>
    <row r="2852" spans="2:15" x14ac:dyDescent="0.25">
      <c r="B2852" s="1" t="s">
        <v>1520</v>
      </c>
      <c r="C2852" s="2" t="s">
        <v>196</v>
      </c>
      <c r="D2852" s="2" t="s">
        <v>294</v>
      </c>
      <c r="E2852" s="2" t="s">
        <v>2868</v>
      </c>
      <c r="F2852" s="3">
        <f>DATE(2023,10,4)</f>
        <v>45203</v>
      </c>
      <c r="G2852" s="4">
        <f t="shared" si="265"/>
        <v>10</v>
      </c>
      <c r="H2852" s="4">
        <f t="shared" si="264"/>
        <v>2023</v>
      </c>
      <c r="I2852" s="2" t="s">
        <v>4</v>
      </c>
      <c r="J2852" s="2" t="s">
        <v>3707</v>
      </c>
      <c r="K2852" s="2" t="s">
        <v>3708</v>
      </c>
      <c r="L2852" s="2" t="s">
        <v>3709</v>
      </c>
      <c r="M2852" s="2" t="s">
        <v>119</v>
      </c>
      <c r="N2852" s="4" t="str">
        <f t="shared" si="266"/>
        <v>TON</v>
      </c>
      <c r="O2852" s="5">
        <v>1.25</v>
      </c>
    </row>
    <row r="2853" spans="2:15" x14ac:dyDescent="0.25">
      <c r="B2853" s="1" t="s">
        <v>1520</v>
      </c>
      <c r="C2853" s="2" t="s">
        <v>196</v>
      </c>
      <c r="D2853" s="2" t="s">
        <v>207</v>
      </c>
      <c r="E2853" s="2" t="s">
        <v>208</v>
      </c>
      <c r="F2853" s="3">
        <f>DATE(2023,10,4)</f>
        <v>45203</v>
      </c>
      <c r="G2853" s="4">
        <f t="shared" si="265"/>
        <v>10</v>
      </c>
      <c r="H2853" s="4">
        <f t="shared" si="264"/>
        <v>2023</v>
      </c>
      <c r="I2853" s="2" t="s">
        <v>4</v>
      </c>
      <c r="J2853" s="2" t="s">
        <v>3710</v>
      </c>
      <c r="K2853" s="2" t="s">
        <v>489</v>
      </c>
      <c r="L2853" s="2" t="s">
        <v>490</v>
      </c>
      <c r="M2853" s="2" t="s">
        <v>119</v>
      </c>
      <c r="N2853" s="4" t="str">
        <f t="shared" si="266"/>
        <v>TON</v>
      </c>
      <c r="O2853" s="5">
        <v>2.375</v>
      </c>
    </row>
    <row r="2854" spans="2:15" x14ac:dyDescent="0.25">
      <c r="B2854" s="1" t="s">
        <v>645</v>
      </c>
      <c r="C2854" s="2" t="s">
        <v>196</v>
      </c>
      <c r="D2854" s="2" t="s">
        <v>1375</v>
      </c>
      <c r="E2854" s="2" t="s">
        <v>102</v>
      </c>
      <c r="F2854" s="3">
        <f>DATE(2023,10,4)</f>
        <v>45203</v>
      </c>
      <c r="G2854" s="4">
        <f t="shared" si="265"/>
        <v>10</v>
      </c>
      <c r="H2854" s="4">
        <f t="shared" si="264"/>
        <v>2023</v>
      </c>
      <c r="I2854" s="2" t="s">
        <v>4</v>
      </c>
      <c r="J2854" s="2" t="s">
        <v>3711</v>
      </c>
      <c r="K2854" s="2" t="s">
        <v>205</v>
      </c>
      <c r="L2854" s="2" t="s">
        <v>206</v>
      </c>
      <c r="M2854" s="2" t="s">
        <v>119</v>
      </c>
      <c r="N2854" s="4" t="str">
        <f t="shared" si="266"/>
        <v>TON</v>
      </c>
      <c r="O2854" s="5">
        <v>5.01</v>
      </c>
    </row>
    <row r="2855" spans="2:15" x14ac:dyDescent="0.25">
      <c r="B2855" s="1" t="s">
        <v>1520</v>
      </c>
      <c r="C2855" s="2" t="s">
        <v>196</v>
      </c>
      <c r="D2855" s="2" t="s">
        <v>248</v>
      </c>
      <c r="E2855" s="2" t="s">
        <v>409</v>
      </c>
      <c r="F2855" s="3">
        <f>DATE(2023,10,5)</f>
        <v>45204</v>
      </c>
      <c r="G2855" s="4">
        <f t="shared" si="265"/>
        <v>10</v>
      </c>
      <c r="H2855" s="4">
        <f t="shared" si="264"/>
        <v>2023</v>
      </c>
      <c r="I2855" s="2" t="s">
        <v>4</v>
      </c>
      <c r="J2855" s="2" t="s">
        <v>3712</v>
      </c>
      <c r="K2855" s="2" t="s">
        <v>3606</v>
      </c>
      <c r="L2855" s="2" t="s">
        <v>3607</v>
      </c>
      <c r="M2855" s="2" t="s">
        <v>119</v>
      </c>
      <c r="N2855" s="4" t="str">
        <f t="shared" si="266"/>
        <v>TON</v>
      </c>
      <c r="O2855" s="5">
        <v>15.01</v>
      </c>
    </row>
    <row r="2856" spans="2:15" x14ac:dyDescent="0.25">
      <c r="B2856" s="1" t="s">
        <v>1520</v>
      </c>
      <c r="C2856" s="2" t="s">
        <v>196</v>
      </c>
      <c r="D2856" s="2" t="s">
        <v>265</v>
      </c>
      <c r="E2856" s="2" t="s">
        <v>266</v>
      </c>
      <c r="F2856" s="3">
        <f>DATE(2023,10,5)</f>
        <v>45204</v>
      </c>
      <c r="G2856" s="4">
        <f t="shared" si="265"/>
        <v>10</v>
      </c>
      <c r="H2856" s="4">
        <f t="shared" si="264"/>
        <v>2023</v>
      </c>
      <c r="I2856" s="2" t="s">
        <v>4</v>
      </c>
      <c r="J2856" s="2" t="s">
        <v>3713</v>
      </c>
      <c r="K2856" s="2" t="s">
        <v>268</v>
      </c>
      <c r="L2856" s="2" t="s">
        <v>269</v>
      </c>
      <c r="M2856" s="2" t="s">
        <v>119</v>
      </c>
      <c r="N2856" s="4" t="str">
        <f t="shared" si="266"/>
        <v>TON</v>
      </c>
      <c r="O2856" s="5">
        <v>0.15</v>
      </c>
    </row>
    <row r="2857" spans="2:15" x14ac:dyDescent="0.25">
      <c r="B2857" s="1" t="s">
        <v>1520</v>
      </c>
      <c r="C2857" s="2" t="s">
        <v>196</v>
      </c>
      <c r="D2857" s="2" t="s">
        <v>440</v>
      </c>
      <c r="E2857" s="2" t="s">
        <v>1274</v>
      </c>
      <c r="F2857" s="3">
        <f>DATE(2023,10,5)</f>
        <v>45204</v>
      </c>
      <c r="G2857" s="4">
        <f t="shared" si="265"/>
        <v>10</v>
      </c>
      <c r="H2857" s="4">
        <f t="shared" si="264"/>
        <v>2023</v>
      </c>
      <c r="I2857" s="2" t="s">
        <v>4</v>
      </c>
      <c r="J2857" s="2" t="s">
        <v>3714</v>
      </c>
      <c r="K2857" s="2" t="s">
        <v>422</v>
      </c>
      <c r="L2857" s="2" t="s">
        <v>423</v>
      </c>
      <c r="M2857" s="2" t="s">
        <v>119</v>
      </c>
      <c r="N2857" s="4" t="str">
        <f t="shared" si="266"/>
        <v>TON</v>
      </c>
      <c r="O2857" s="5">
        <v>15.012499999999999</v>
      </c>
    </row>
    <row r="2858" spans="2:15" x14ac:dyDescent="0.25">
      <c r="B2858" s="1" t="s">
        <v>1520</v>
      </c>
      <c r="C2858" s="2" t="s">
        <v>196</v>
      </c>
      <c r="D2858" s="2" t="s">
        <v>294</v>
      </c>
      <c r="E2858" s="2" t="s">
        <v>295</v>
      </c>
      <c r="F2858" s="3">
        <f t="shared" ref="F2858:F2869" si="267">DATE(2023,10,6)</f>
        <v>45205</v>
      </c>
      <c r="G2858" s="4">
        <f t="shared" si="265"/>
        <v>10</v>
      </c>
      <c r="H2858" s="4">
        <f t="shared" si="264"/>
        <v>2023</v>
      </c>
      <c r="I2858" s="2" t="s">
        <v>4</v>
      </c>
      <c r="J2858" s="2" t="s">
        <v>3715</v>
      </c>
      <c r="K2858" s="2" t="s">
        <v>122</v>
      </c>
      <c r="L2858" s="2" t="s">
        <v>123</v>
      </c>
      <c r="M2858" s="2" t="s">
        <v>119</v>
      </c>
      <c r="N2858" s="4" t="str">
        <f t="shared" si="266"/>
        <v>TON</v>
      </c>
      <c r="O2858" s="5">
        <v>7.5025000000000004</v>
      </c>
    </row>
    <row r="2859" spans="2:15" x14ac:dyDescent="0.25">
      <c r="B2859" s="1" t="s">
        <v>1520</v>
      </c>
      <c r="C2859" s="2" t="s">
        <v>196</v>
      </c>
      <c r="D2859" s="2" t="s">
        <v>280</v>
      </c>
      <c r="E2859" s="2" t="s">
        <v>462</v>
      </c>
      <c r="F2859" s="3">
        <f t="shared" si="267"/>
        <v>45205</v>
      </c>
      <c r="G2859" s="4">
        <f t="shared" si="265"/>
        <v>10</v>
      </c>
      <c r="H2859" s="4">
        <f t="shared" si="264"/>
        <v>2023</v>
      </c>
      <c r="I2859" s="2" t="s">
        <v>4</v>
      </c>
      <c r="J2859" s="2" t="s">
        <v>3716</v>
      </c>
      <c r="K2859" s="2" t="s">
        <v>117</v>
      </c>
      <c r="L2859" s="2" t="s">
        <v>118</v>
      </c>
      <c r="M2859" s="2" t="s">
        <v>119</v>
      </c>
      <c r="N2859" s="4" t="str">
        <f t="shared" si="266"/>
        <v>TON</v>
      </c>
      <c r="O2859" s="5">
        <v>15.0275</v>
      </c>
    </row>
    <row r="2860" spans="2:15" x14ac:dyDescent="0.25">
      <c r="B2860" s="1" t="s">
        <v>1520</v>
      </c>
      <c r="C2860" s="2" t="s">
        <v>196</v>
      </c>
      <c r="D2860" s="2" t="s">
        <v>114</v>
      </c>
      <c r="E2860" s="2" t="s">
        <v>369</v>
      </c>
      <c r="F2860" s="3">
        <f t="shared" si="267"/>
        <v>45205</v>
      </c>
      <c r="G2860" s="4">
        <f t="shared" si="265"/>
        <v>10</v>
      </c>
      <c r="H2860" s="4">
        <f t="shared" si="264"/>
        <v>2023</v>
      </c>
      <c r="I2860" s="2" t="s">
        <v>4</v>
      </c>
      <c r="J2860" s="2" t="s">
        <v>3717</v>
      </c>
      <c r="K2860" s="2" t="s">
        <v>117</v>
      </c>
      <c r="L2860" s="2" t="s">
        <v>118</v>
      </c>
      <c r="M2860" s="2" t="s">
        <v>119</v>
      </c>
      <c r="N2860" s="4" t="str">
        <f t="shared" si="266"/>
        <v>TON</v>
      </c>
      <c r="O2860" s="5">
        <v>2.5125000000000002</v>
      </c>
    </row>
    <row r="2861" spans="2:15" x14ac:dyDescent="0.25">
      <c r="B2861" s="1" t="s">
        <v>1520</v>
      </c>
      <c r="C2861" s="2" t="s">
        <v>196</v>
      </c>
      <c r="D2861" s="2" t="s">
        <v>114</v>
      </c>
      <c r="E2861" s="2" t="s">
        <v>1585</v>
      </c>
      <c r="F2861" s="3">
        <f t="shared" si="267"/>
        <v>45205</v>
      </c>
      <c r="G2861" s="4">
        <f t="shared" si="265"/>
        <v>10</v>
      </c>
      <c r="H2861" s="4">
        <f t="shared" si="264"/>
        <v>2023</v>
      </c>
      <c r="I2861" s="2" t="s">
        <v>4</v>
      </c>
      <c r="J2861" s="2" t="s">
        <v>3718</v>
      </c>
      <c r="K2861" s="2" t="s">
        <v>117</v>
      </c>
      <c r="L2861" s="2" t="s">
        <v>118</v>
      </c>
      <c r="M2861" s="2" t="s">
        <v>119</v>
      </c>
      <c r="N2861" s="4" t="str">
        <f t="shared" si="266"/>
        <v>TON</v>
      </c>
      <c r="O2861" s="5">
        <v>2.5099999999999998</v>
      </c>
    </row>
    <row r="2862" spans="2:15" x14ac:dyDescent="0.25">
      <c r="B2862" s="1" t="s">
        <v>1520</v>
      </c>
      <c r="C2862" s="2" t="s">
        <v>196</v>
      </c>
      <c r="D2862" s="2" t="s">
        <v>253</v>
      </c>
      <c r="E2862" s="2" t="s">
        <v>254</v>
      </c>
      <c r="F2862" s="3">
        <f t="shared" si="267"/>
        <v>45205</v>
      </c>
      <c r="G2862" s="4">
        <f t="shared" si="265"/>
        <v>10</v>
      </c>
      <c r="H2862" s="4">
        <f t="shared" si="264"/>
        <v>2023</v>
      </c>
      <c r="I2862" s="2" t="s">
        <v>4</v>
      </c>
      <c r="J2862" s="2" t="s">
        <v>3719</v>
      </c>
      <c r="K2862" s="2" t="s">
        <v>256</v>
      </c>
      <c r="L2862" s="2" t="s">
        <v>257</v>
      </c>
      <c r="M2862" s="2" t="s">
        <v>119</v>
      </c>
      <c r="N2862" s="4" t="str">
        <f t="shared" si="266"/>
        <v>TON</v>
      </c>
      <c r="O2862" s="5">
        <v>2.5</v>
      </c>
    </row>
    <row r="2863" spans="2:15" x14ac:dyDescent="0.25">
      <c r="B2863" s="1" t="s">
        <v>1520</v>
      </c>
      <c r="C2863" s="2" t="s">
        <v>196</v>
      </c>
      <c r="D2863" s="2" t="s">
        <v>280</v>
      </c>
      <c r="E2863" s="2" t="s">
        <v>371</v>
      </c>
      <c r="F2863" s="3">
        <f t="shared" si="267"/>
        <v>45205</v>
      </c>
      <c r="G2863" s="4">
        <f t="shared" si="265"/>
        <v>10</v>
      </c>
      <c r="H2863" s="4">
        <f t="shared" si="264"/>
        <v>2023</v>
      </c>
      <c r="I2863" s="2" t="s">
        <v>4</v>
      </c>
      <c r="J2863" s="2" t="s">
        <v>3720</v>
      </c>
      <c r="K2863" s="2" t="s">
        <v>117</v>
      </c>
      <c r="L2863" s="2" t="s">
        <v>118</v>
      </c>
      <c r="M2863" s="2" t="s">
        <v>119</v>
      </c>
      <c r="N2863" s="4" t="str">
        <f t="shared" si="266"/>
        <v>TON</v>
      </c>
      <c r="O2863" s="5">
        <v>10</v>
      </c>
    </row>
    <row r="2864" spans="2:15" x14ac:dyDescent="0.25">
      <c r="B2864" s="1" t="s">
        <v>1520</v>
      </c>
      <c r="C2864" s="2" t="s">
        <v>196</v>
      </c>
      <c r="D2864" s="2" t="s">
        <v>273</v>
      </c>
      <c r="E2864" s="2" t="s">
        <v>274</v>
      </c>
      <c r="F2864" s="3">
        <f t="shared" si="267"/>
        <v>45205</v>
      </c>
      <c r="G2864" s="4">
        <f t="shared" si="265"/>
        <v>10</v>
      </c>
      <c r="H2864" s="4">
        <f t="shared" si="264"/>
        <v>2023</v>
      </c>
      <c r="I2864" s="2" t="s">
        <v>4</v>
      </c>
      <c r="J2864" s="2" t="s">
        <v>3721</v>
      </c>
      <c r="K2864" s="2" t="s">
        <v>384</v>
      </c>
      <c r="L2864" s="2" t="s">
        <v>385</v>
      </c>
      <c r="M2864" s="2" t="s">
        <v>119</v>
      </c>
      <c r="N2864" s="4" t="str">
        <f t="shared" si="266"/>
        <v>TON</v>
      </c>
      <c r="O2864" s="5">
        <v>5.0049999999999999</v>
      </c>
    </row>
    <row r="2865" spans="2:15" x14ac:dyDescent="0.25">
      <c r="B2865" s="1" t="s">
        <v>1520</v>
      </c>
      <c r="C2865" s="2" t="s">
        <v>196</v>
      </c>
      <c r="D2865" s="2" t="s">
        <v>317</v>
      </c>
      <c r="E2865" s="2" t="s">
        <v>319</v>
      </c>
      <c r="F2865" s="3">
        <f t="shared" si="267"/>
        <v>45205</v>
      </c>
      <c r="G2865" s="4">
        <f t="shared" si="265"/>
        <v>10</v>
      </c>
      <c r="H2865" s="4">
        <f t="shared" si="264"/>
        <v>2023</v>
      </c>
      <c r="I2865" s="2" t="s">
        <v>4</v>
      </c>
      <c r="J2865" s="2" t="s">
        <v>3722</v>
      </c>
      <c r="K2865" s="2" t="s">
        <v>117</v>
      </c>
      <c r="L2865" s="2" t="s">
        <v>118</v>
      </c>
      <c r="M2865" s="2" t="s">
        <v>119</v>
      </c>
      <c r="N2865" s="4" t="str">
        <f t="shared" si="266"/>
        <v>TON</v>
      </c>
      <c r="O2865" s="5">
        <v>2.25</v>
      </c>
    </row>
    <row r="2866" spans="2:15" x14ac:dyDescent="0.25">
      <c r="B2866" s="1" t="s">
        <v>1520</v>
      </c>
      <c r="C2866" s="2" t="s">
        <v>196</v>
      </c>
      <c r="D2866" s="2" t="s">
        <v>270</v>
      </c>
      <c r="E2866" s="2" t="s">
        <v>271</v>
      </c>
      <c r="F2866" s="3">
        <f t="shared" si="267"/>
        <v>45205</v>
      </c>
      <c r="G2866" s="4">
        <f t="shared" si="265"/>
        <v>10</v>
      </c>
      <c r="H2866" s="4">
        <f t="shared" si="264"/>
        <v>2023</v>
      </c>
      <c r="I2866" s="2" t="s">
        <v>4</v>
      </c>
      <c r="J2866" s="2" t="s">
        <v>3723</v>
      </c>
      <c r="K2866" s="2" t="s">
        <v>268</v>
      </c>
      <c r="L2866" s="2" t="s">
        <v>269</v>
      </c>
      <c r="M2866" s="2" t="s">
        <v>119</v>
      </c>
      <c r="N2866" s="4" t="str">
        <f t="shared" si="266"/>
        <v>TON</v>
      </c>
      <c r="O2866" s="5">
        <v>1.25</v>
      </c>
    </row>
    <row r="2867" spans="2:15" x14ac:dyDescent="0.25">
      <c r="B2867" s="1" t="s">
        <v>1520</v>
      </c>
      <c r="C2867" s="2" t="s">
        <v>196</v>
      </c>
      <c r="D2867" s="2" t="s">
        <v>1343</v>
      </c>
      <c r="E2867" s="2" t="s">
        <v>3724</v>
      </c>
      <c r="F2867" s="3">
        <f t="shared" si="267"/>
        <v>45205</v>
      </c>
      <c r="G2867" s="4">
        <f t="shared" si="265"/>
        <v>10</v>
      </c>
      <c r="H2867" s="4">
        <f t="shared" si="264"/>
        <v>2023</v>
      </c>
      <c r="I2867" s="2" t="s">
        <v>4</v>
      </c>
      <c r="J2867" s="2" t="s">
        <v>3725</v>
      </c>
      <c r="K2867" s="2" t="s">
        <v>422</v>
      </c>
      <c r="L2867" s="2" t="s">
        <v>423</v>
      </c>
      <c r="M2867" s="2" t="s">
        <v>119</v>
      </c>
      <c r="N2867" s="4" t="str">
        <f t="shared" si="266"/>
        <v>TON</v>
      </c>
      <c r="O2867" s="5">
        <v>15.025</v>
      </c>
    </row>
    <row r="2868" spans="2:15" x14ac:dyDescent="0.25">
      <c r="B2868" s="1" t="s">
        <v>1520</v>
      </c>
      <c r="C2868" s="2" t="s">
        <v>196</v>
      </c>
      <c r="D2868" s="2" t="s">
        <v>1343</v>
      </c>
      <c r="E2868" s="2" t="s">
        <v>3724</v>
      </c>
      <c r="F2868" s="3">
        <f t="shared" si="267"/>
        <v>45205</v>
      </c>
      <c r="G2868" s="4">
        <f t="shared" si="265"/>
        <v>10</v>
      </c>
      <c r="H2868" s="4">
        <f t="shared" si="264"/>
        <v>2023</v>
      </c>
      <c r="I2868" s="2" t="s">
        <v>4</v>
      </c>
      <c r="J2868" s="2" t="s">
        <v>3725</v>
      </c>
      <c r="K2868" s="2" t="s">
        <v>3726</v>
      </c>
      <c r="L2868" s="2" t="s">
        <v>3727</v>
      </c>
      <c r="M2868" s="2" t="s">
        <v>145</v>
      </c>
      <c r="N2868" s="4" t="str">
        <f t="shared" si="266"/>
        <v>GAL</v>
      </c>
      <c r="O2868" s="5">
        <v>5.625</v>
      </c>
    </row>
    <row r="2869" spans="2:15" x14ac:dyDescent="0.25">
      <c r="B2869" s="1" t="s">
        <v>1520</v>
      </c>
      <c r="C2869" s="2" t="s">
        <v>196</v>
      </c>
      <c r="D2869" s="2" t="s">
        <v>197</v>
      </c>
      <c r="E2869" s="2" t="s">
        <v>198</v>
      </c>
      <c r="F2869" s="3">
        <f t="shared" si="267"/>
        <v>45205</v>
      </c>
      <c r="G2869" s="4">
        <f t="shared" si="265"/>
        <v>10</v>
      </c>
      <c r="H2869" s="4">
        <f t="shared" si="264"/>
        <v>2023</v>
      </c>
      <c r="I2869" s="2" t="s">
        <v>4</v>
      </c>
      <c r="J2869" s="2" t="s">
        <v>3728</v>
      </c>
      <c r="K2869" s="2" t="s">
        <v>307</v>
      </c>
      <c r="L2869" s="2" t="s">
        <v>308</v>
      </c>
      <c r="M2869" s="2" t="s">
        <v>119</v>
      </c>
      <c r="N2869" s="4" t="str">
        <f t="shared" si="266"/>
        <v>TON</v>
      </c>
      <c r="O2869" s="5">
        <v>4.0199999999999996</v>
      </c>
    </row>
    <row r="2870" spans="2:15" x14ac:dyDescent="0.25">
      <c r="B2870" s="1" t="s">
        <v>1520</v>
      </c>
      <c r="C2870" s="2" t="s">
        <v>196</v>
      </c>
      <c r="D2870" s="2" t="s">
        <v>1343</v>
      </c>
      <c r="E2870" s="2" t="s">
        <v>3729</v>
      </c>
      <c r="F2870" s="3">
        <f>DATE(2023,10,9)</f>
        <v>45208</v>
      </c>
      <c r="G2870" s="4">
        <f t="shared" si="265"/>
        <v>10</v>
      </c>
      <c r="H2870" s="4">
        <f t="shared" si="264"/>
        <v>2023</v>
      </c>
      <c r="I2870" s="2" t="s">
        <v>4</v>
      </c>
      <c r="J2870" s="2" t="s">
        <v>3730</v>
      </c>
      <c r="K2870" s="2" t="s">
        <v>422</v>
      </c>
      <c r="L2870" s="2" t="s">
        <v>423</v>
      </c>
      <c r="M2870" s="2" t="s">
        <v>119</v>
      </c>
      <c r="N2870" s="4" t="str">
        <f t="shared" si="266"/>
        <v>TON</v>
      </c>
      <c r="O2870" s="5">
        <v>15.04</v>
      </c>
    </row>
    <row r="2871" spans="2:15" x14ac:dyDescent="0.25">
      <c r="B2871" s="1" t="s">
        <v>1520</v>
      </c>
      <c r="C2871" s="2" t="s">
        <v>196</v>
      </c>
      <c r="D2871" s="2" t="s">
        <v>1343</v>
      </c>
      <c r="E2871" s="2" t="s">
        <v>3729</v>
      </c>
      <c r="F2871" s="3">
        <f>DATE(2023,10,9)</f>
        <v>45208</v>
      </c>
      <c r="G2871" s="4">
        <f t="shared" si="265"/>
        <v>10</v>
      </c>
      <c r="H2871" s="4">
        <f t="shared" si="264"/>
        <v>2023</v>
      </c>
      <c r="I2871" s="2" t="s">
        <v>4</v>
      </c>
      <c r="J2871" s="2" t="s">
        <v>3730</v>
      </c>
      <c r="K2871" s="2" t="s">
        <v>3726</v>
      </c>
      <c r="L2871" s="2" t="s">
        <v>3727</v>
      </c>
      <c r="M2871" s="2" t="s">
        <v>145</v>
      </c>
      <c r="N2871" s="4" t="str">
        <f t="shared" si="266"/>
        <v>GAL</v>
      </c>
      <c r="O2871" s="5">
        <v>5.625</v>
      </c>
    </row>
    <row r="2872" spans="2:15" x14ac:dyDescent="0.25">
      <c r="B2872" s="1" t="s">
        <v>1520</v>
      </c>
      <c r="C2872" s="2" t="s">
        <v>196</v>
      </c>
      <c r="D2872" s="2" t="s">
        <v>276</v>
      </c>
      <c r="E2872" s="2" t="s">
        <v>277</v>
      </c>
      <c r="F2872" s="3">
        <f>DATE(2023,10,9)</f>
        <v>45208</v>
      </c>
      <c r="G2872" s="4">
        <f t="shared" si="265"/>
        <v>10</v>
      </c>
      <c r="H2872" s="4">
        <f t="shared" si="264"/>
        <v>2023</v>
      </c>
      <c r="I2872" s="2" t="s">
        <v>4</v>
      </c>
      <c r="J2872" s="2" t="s">
        <v>3731</v>
      </c>
      <c r="K2872" s="2" t="s">
        <v>205</v>
      </c>
      <c r="L2872" s="2" t="s">
        <v>206</v>
      </c>
      <c r="M2872" s="2" t="s">
        <v>119</v>
      </c>
      <c r="N2872" s="4" t="str">
        <f t="shared" si="266"/>
        <v>TON</v>
      </c>
      <c r="O2872" s="5">
        <v>2.0049999999999999</v>
      </c>
    </row>
    <row r="2873" spans="2:15" x14ac:dyDescent="0.25">
      <c r="B2873" s="1" t="s">
        <v>1520</v>
      </c>
      <c r="C2873" s="2" t="s">
        <v>196</v>
      </c>
      <c r="D2873" s="2" t="s">
        <v>276</v>
      </c>
      <c r="E2873" s="2" t="s">
        <v>396</v>
      </c>
      <c r="F2873" s="3">
        <f>DATE(2023,10,9)</f>
        <v>45208</v>
      </c>
      <c r="G2873" s="4">
        <f t="shared" si="265"/>
        <v>10</v>
      </c>
      <c r="H2873" s="4">
        <f t="shared" si="264"/>
        <v>2023</v>
      </c>
      <c r="I2873" s="2" t="s">
        <v>4</v>
      </c>
      <c r="J2873" s="2" t="s">
        <v>3732</v>
      </c>
      <c r="K2873" s="2" t="s">
        <v>205</v>
      </c>
      <c r="L2873" s="2" t="s">
        <v>206</v>
      </c>
      <c r="M2873" s="2" t="s">
        <v>119</v>
      </c>
      <c r="N2873" s="4" t="str">
        <f t="shared" si="266"/>
        <v>TON</v>
      </c>
      <c r="O2873" s="5">
        <v>12.045</v>
      </c>
    </row>
    <row r="2874" spans="2:15" x14ac:dyDescent="0.25">
      <c r="B2874" s="1" t="s">
        <v>1520</v>
      </c>
      <c r="C2874" s="2" t="s">
        <v>196</v>
      </c>
      <c r="D2874" s="2" t="s">
        <v>280</v>
      </c>
      <c r="E2874" s="2" t="s">
        <v>254</v>
      </c>
      <c r="F2874" s="3">
        <f>DATE(2023,10,9)</f>
        <v>45208</v>
      </c>
      <c r="G2874" s="4">
        <f t="shared" si="265"/>
        <v>10</v>
      </c>
      <c r="H2874" s="4">
        <f t="shared" si="264"/>
        <v>2023</v>
      </c>
      <c r="I2874" s="2" t="s">
        <v>4</v>
      </c>
      <c r="J2874" s="2" t="s">
        <v>3733</v>
      </c>
      <c r="K2874" s="2" t="s">
        <v>117</v>
      </c>
      <c r="L2874" s="2" t="s">
        <v>118</v>
      </c>
      <c r="M2874" s="2" t="s">
        <v>119</v>
      </c>
      <c r="N2874" s="4" t="str">
        <f t="shared" si="266"/>
        <v>TON</v>
      </c>
      <c r="O2874" s="5">
        <v>12.5175</v>
      </c>
    </row>
    <row r="2875" spans="2:15" x14ac:dyDescent="0.25">
      <c r="B2875" s="1" t="s">
        <v>1520</v>
      </c>
      <c r="C2875" s="2" t="s">
        <v>196</v>
      </c>
      <c r="D2875" s="2" t="s">
        <v>299</v>
      </c>
      <c r="E2875" s="2" t="s">
        <v>300</v>
      </c>
      <c r="F2875" s="3">
        <f>DATE(2023,10,10)</f>
        <v>45209</v>
      </c>
      <c r="G2875" s="4">
        <f t="shared" si="265"/>
        <v>10</v>
      </c>
      <c r="H2875" s="4">
        <f t="shared" ref="H2875:H2938" si="268">+YEAR(F2875)</f>
        <v>2023</v>
      </c>
      <c r="I2875" s="2" t="s">
        <v>4</v>
      </c>
      <c r="J2875" s="2" t="s">
        <v>3734</v>
      </c>
      <c r="K2875" s="2" t="s">
        <v>117</v>
      </c>
      <c r="L2875" s="2" t="s">
        <v>118</v>
      </c>
      <c r="M2875" s="2" t="s">
        <v>119</v>
      </c>
      <c r="N2875" s="4" t="str">
        <f t="shared" si="266"/>
        <v>TON</v>
      </c>
      <c r="O2875" s="5">
        <v>5.0075000000000003</v>
      </c>
    </row>
    <row r="2876" spans="2:15" x14ac:dyDescent="0.25">
      <c r="B2876" s="1" t="s">
        <v>1520</v>
      </c>
      <c r="C2876" s="2" t="s">
        <v>196</v>
      </c>
      <c r="D2876" s="2" t="s">
        <v>3735</v>
      </c>
      <c r="E2876" s="2" t="s">
        <v>3736</v>
      </c>
      <c r="F2876" s="3">
        <f>DATE(2023,10,10)</f>
        <v>45209</v>
      </c>
      <c r="G2876" s="4">
        <f t="shared" si="265"/>
        <v>10</v>
      </c>
      <c r="H2876" s="4">
        <f t="shared" si="268"/>
        <v>2023</v>
      </c>
      <c r="I2876" s="2" t="s">
        <v>4</v>
      </c>
      <c r="J2876" s="2" t="s">
        <v>3737</v>
      </c>
      <c r="K2876" s="2" t="s">
        <v>329</v>
      </c>
      <c r="L2876" s="2" t="s">
        <v>330</v>
      </c>
      <c r="M2876" s="2" t="s">
        <v>119</v>
      </c>
      <c r="N2876" s="4" t="str">
        <f t="shared" si="266"/>
        <v>TON</v>
      </c>
      <c r="O2876" s="5">
        <v>1.26</v>
      </c>
    </row>
    <row r="2877" spans="2:15" x14ac:dyDescent="0.25">
      <c r="B2877" s="1" t="s">
        <v>1520</v>
      </c>
      <c r="C2877" s="2" t="s">
        <v>196</v>
      </c>
      <c r="D2877" s="2" t="s">
        <v>210</v>
      </c>
      <c r="E2877" s="2" t="s">
        <v>962</v>
      </c>
      <c r="F2877" s="3">
        <f>DATE(2023,10,10)</f>
        <v>45209</v>
      </c>
      <c r="G2877" s="4">
        <f t="shared" si="265"/>
        <v>10</v>
      </c>
      <c r="H2877" s="4">
        <f t="shared" si="268"/>
        <v>2023</v>
      </c>
      <c r="I2877" s="2" t="s">
        <v>4</v>
      </c>
      <c r="J2877" s="2" t="s">
        <v>3738</v>
      </c>
      <c r="K2877" s="2" t="s">
        <v>489</v>
      </c>
      <c r="L2877" s="2" t="s">
        <v>490</v>
      </c>
      <c r="M2877" s="2" t="s">
        <v>119</v>
      </c>
      <c r="N2877" s="4" t="str">
        <f t="shared" si="266"/>
        <v>TON</v>
      </c>
      <c r="O2877" s="5">
        <v>15</v>
      </c>
    </row>
    <row r="2878" spans="2:15" x14ac:dyDescent="0.25">
      <c r="B2878" s="1" t="s">
        <v>1520</v>
      </c>
      <c r="C2878" s="2" t="s">
        <v>196</v>
      </c>
      <c r="D2878" s="2" t="s">
        <v>114</v>
      </c>
      <c r="E2878" s="2" t="s">
        <v>377</v>
      </c>
      <c r="F2878" s="3">
        <f>DATE(2023,10,11)</f>
        <v>45210</v>
      </c>
      <c r="G2878" s="4">
        <f t="shared" si="265"/>
        <v>10</v>
      </c>
      <c r="H2878" s="4">
        <f t="shared" si="268"/>
        <v>2023</v>
      </c>
      <c r="I2878" s="2" t="s">
        <v>4</v>
      </c>
      <c r="J2878" s="2" t="s">
        <v>3739</v>
      </c>
      <c r="K2878" s="2" t="s">
        <v>117</v>
      </c>
      <c r="L2878" s="2" t="s">
        <v>118</v>
      </c>
      <c r="M2878" s="2" t="s">
        <v>119</v>
      </c>
      <c r="N2878" s="4" t="str">
        <f t="shared" si="266"/>
        <v>TON</v>
      </c>
      <c r="O2878" s="5">
        <v>5</v>
      </c>
    </row>
    <row r="2879" spans="2:15" x14ac:dyDescent="0.25">
      <c r="B2879" s="1" t="s">
        <v>1520</v>
      </c>
      <c r="C2879" s="2" t="s">
        <v>196</v>
      </c>
      <c r="D2879" s="2" t="s">
        <v>1257</v>
      </c>
      <c r="E2879" s="2" t="s">
        <v>102</v>
      </c>
      <c r="F2879" s="3">
        <f t="shared" ref="F2879:F2884" si="269">DATE(2023,10,12)</f>
        <v>45211</v>
      </c>
      <c r="G2879" s="4">
        <f t="shared" si="265"/>
        <v>10</v>
      </c>
      <c r="H2879" s="4">
        <f t="shared" si="268"/>
        <v>2023</v>
      </c>
      <c r="I2879" s="2" t="s">
        <v>4</v>
      </c>
      <c r="J2879" s="2" t="s">
        <v>3740</v>
      </c>
      <c r="K2879" s="2" t="s">
        <v>834</v>
      </c>
      <c r="L2879" s="2" t="s">
        <v>835</v>
      </c>
      <c r="M2879" s="2" t="s">
        <v>119</v>
      </c>
      <c r="N2879" s="4" t="str">
        <f t="shared" si="266"/>
        <v>TON</v>
      </c>
      <c r="O2879" s="5">
        <v>1.25</v>
      </c>
    </row>
    <row r="2880" spans="2:15" x14ac:dyDescent="0.25">
      <c r="B2880" s="1" t="s">
        <v>1520</v>
      </c>
      <c r="C2880" s="2" t="s">
        <v>196</v>
      </c>
      <c r="D2880" s="2" t="s">
        <v>265</v>
      </c>
      <c r="E2880" s="2" t="s">
        <v>266</v>
      </c>
      <c r="F2880" s="3">
        <f t="shared" si="269"/>
        <v>45211</v>
      </c>
      <c r="G2880" s="4">
        <f t="shared" si="265"/>
        <v>10</v>
      </c>
      <c r="H2880" s="4">
        <f t="shared" si="268"/>
        <v>2023</v>
      </c>
      <c r="I2880" s="2" t="s">
        <v>4</v>
      </c>
      <c r="J2880" s="2" t="s">
        <v>3741</v>
      </c>
      <c r="K2880" s="2" t="s">
        <v>268</v>
      </c>
      <c r="L2880" s="2" t="s">
        <v>269</v>
      </c>
      <c r="M2880" s="2" t="s">
        <v>119</v>
      </c>
      <c r="N2880" s="4" t="str">
        <f t="shared" si="266"/>
        <v>TON</v>
      </c>
      <c r="O2880" s="5">
        <v>0.3</v>
      </c>
    </row>
    <row r="2881" spans="2:15" x14ac:dyDescent="0.25">
      <c r="B2881" s="1" t="s">
        <v>1520</v>
      </c>
      <c r="C2881" s="2" t="s">
        <v>196</v>
      </c>
      <c r="D2881" s="2" t="s">
        <v>289</v>
      </c>
      <c r="E2881" s="2" t="s">
        <v>2380</v>
      </c>
      <c r="F2881" s="3">
        <f t="shared" si="269"/>
        <v>45211</v>
      </c>
      <c r="G2881" s="4">
        <f t="shared" si="265"/>
        <v>10</v>
      </c>
      <c r="H2881" s="4">
        <f t="shared" si="268"/>
        <v>2023</v>
      </c>
      <c r="I2881" s="2" t="s">
        <v>4</v>
      </c>
      <c r="J2881" s="2" t="s">
        <v>3742</v>
      </c>
      <c r="K2881" s="2" t="s">
        <v>268</v>
      </c>
      <c r="L2881" s="2" t="s">
        <v>269</v>
      </c>
      <c r="M2881" s="2" t="s">
        <v>119</v>
      </c>
      <c r="N2881" s="4" t="str">
        <f t="shared" si="266"/>
        <v>TON</v>
      </c>
      <c r="O2881" s="5">
        <v>0.75</v>
      </c>
    </row>
    <row r="2882" spans="2:15" x14ac:dyDescent="0.25">
      <c r="B2882" s="1" t="s">
        <v>1520</v>
      </c>
      <c r="C2882" s="2" t="s">
        <v>196</v>
      </c>
      <c r="D2882" s="2" t="s">
        <v>317</v>
      </c>
      <c r="E2882" s="2" t="s">
        <v>677</v>
      </c>
      <c r="F2882" s="3">
        <f t="shared" si="269"/>
        <v>45211</v>
      </c>
      <c r="G2882" s="4">
        <f t="shared" si="265"/>
        <v>10</v>
      </c>
      <c r="H2882" s="4">
        <f t="shared" si="268"/>
        <v>2023</v>
      </c>
      <c r="I2882" s="2" t="s">
        <v>4</v>
      </c>
      <c r="J2882" s="2" t="s">
        <v>3743</v>
      </c>
      <c r="K2882" s="2" t="s">
        <v>117</v>
      </c>
      <c r="L2882" s="2" t="s">
        <v>118</v>
      </c>
      <c r="M2882" s="2" t="s">
        <v>119</v>
      </c>
      <c r="N2882" s="4" t="str">
        <f t="shared" si="266"/>
        <v>TON</v>
      </c>
      <c r="O2882" s="5">
        <v>5.01</v>
      </c>
    </row>
    <row r="2883" spans="2:15" x14ac:dyDescent="0.25">
      <c r="B2883" s="1" t="s">
        <v>1520</v>
      </c>
      <c r="C2883" s="2" t="s">
        <v>196</v>
      </c>
      <c r="D2883" s="2" t="s">
        <v>303</v>
      </c>
      <c r="E2883" s="2" t="s">
        <v>3744</v>
      </c>
      <c r="F2883" s="3">
        <f t="shared" si="269"/>
        <v>45211</v>
      </c>
      <c r="G2883" s="4">
        <f t="shared" ref="G2883:G2946" si="270">+MONTH(F2883)</f>
        <v>10</v>
      </c>
      <c r="H2883" s="4">
        <f t="shared" si="268"/>
        <v>2023</v>
      </c>
      <c r="I2883" s="2" t="s">
        <v>4</v>
      </c>
      <c r="J2883" s="2" t="s">
        <v>3745</v>
      </c>
      <c r="K2883" s="2" t="s">
        <v>2635</v>
      </c>
      <c r="L2883" s="2" t="s">
        <v>2636</v>
      </c>
      <c r="M2883" s="2" t="s">
        <v>119</v>
      </c>
      <c r="N2883" s="4" t="str">
        <f t="shared" ref="N2883:N2946" si="271">+LEFT(M2883,3)</f>
        <v>TON</v>
      </c>
      <c r="O2883" s="5">
        <v>12.5</v>
      </c>
    </row>
    <row r="2884" spans="2:15" x14ac:dyDescent="0.25">
      <c r="B2884" s="1" t="s">
        <v>1520</v>
      </c>
      <c r="C2884" s="2" t="s">
        <v>196</v>
      </c>
      <c r="D2884" s="2" t="s">
        <v>114</v>
      </c>
      <c r="E2884" s="2" t="s">
        <v>369</v>
      </c>
      <c r="F2884" s="3">
        <f t="shared" si="269"/>
        <v>45211</v>
      </c>
      <c r="G2884" s="4">
        <f t="shared" si="270"/>
        <v>10</v>
      </c>
      <c r="H2884" s="4">
        <f t="shared" si="268"/>
        <v>2023</v>
      </c>
      <c r="I2884" s="2" t="s">
        <v>4</v>
      </c>
      <c r="J2884" s="2" t="s">
        <v>3746</v>
      </c>
      <c r="K2884" s="2" t="s">
        <v>117</v>
      </c>
      <c r="L2884" s="2" t="s">
        <v>118</v>
      </c>
      <c r="M2884" s="2" t="s">
        <v>119</v>
      </c>
      <c r="N2884" s="4" t="str">
        <f t="shared" si="271"/>
        <v>TON</v>
      </c>
      <c r="O2884" s="5">
        <v>5.0025000000000004</v>
      </c>
    </row>
    <row r="2885" spans="2:15" x14ac:dyDescent="0.25">
      <c r="B2885" s="1" t="s">
        <v>1520</v>
      </c>
      <c r="C2885" s="2" t="s">
        <v>196</v>
      </c>
      <c r="D2885" s="2" t="s">
        <v>331</v>
      </c>
      <c r="E2885" s="2" t="s">
        <v>432</v>
      </c>
      <c r="F2885" s="3">
        <f>DATE(2023,10,13)</f>
        <v>45212</v>
      </c>
      <c r="G2885" s="4">
        <f t="shared" si="270"/>
        <v>10</v>
      </c>
      <c r="H2885" s="4">
        <f t="shared" si="268"/>
        <v>2023</v>
      </c>
      <c r="I2885" s="2" t="s">
        <v>4</v>
      </c>
      <c r="J2885" s="2" t="s">
        <v>3747</v>
      </c>
      <c r="K2885" s="2" t="s">
        <v>205</v>
      </c>
      <c r="L2885" s="2" t="s">
        <v>206</v>
      </c>
      <c r="M2885" s="2" t="s">
        <v>119</v>
      </c>
      <c r="N2885" s="4" t="str">
        <f t="shared" si="271"/>
        <v>TON</v>
      </c>
      <c r="O2885" s="5">
        <v>5.0075000000000003</v>
      </c>
    </row>
    <row r="2886" spans="2:15" x14ac:dyDescent="0.25">
      <c r="B2886" s="1" t="s">
        <v>1520</v>
      </c>
      <c r="C2886" s="2" t="s">
        <v>196</v>
      </c>
      <c r="D2886" s="2" t="s">
        <v>374</v>
      </c>
      <c r="E2886" s="2" t="s">
        <v>710</v>
      </c>
      <c r="F2886" s="3">
        <f>DATE(2023,10,13)</f>
        <v>45212</v>
      </c>
      <c r="G2886" s="4">
        <f t="shared" si="270"/>
        <v>10</v>
      </c>
      <c r="H2886" s="4">
        <f t="shared" si="268"/>
        <v>2023</v>
      </c>
      <c r="I2886" s="2" t="s">
        <v>4</v>
      </c>
      <c r="J2886" s="2" t="s">
        <v>3748</v>
      </c>
      <c r="K2886" s="2" t="s">
        <v>329</v>
      </c>
      <c r="L2886" s="2" t="s">
        <v>330</v>
      </c>
      <c r="M2886" s="2" t="s">
        <v>119</v>
      </c>
      <c r="N2886" s="4" t="str">
        <f t="shared" si="271"/>
        <v>TON</v>
      </c>
      <c r="O2886" s="5">
        <v>10</v>
      </c>
    </row>
    <row r="2887" spans="2:15" x14ac:dyDescent="0.25">
      <c r="B2887" s="1" t="s">
        <v>1520</v>
      </c>
      <c r="C2887" s="2" t="s">
        <v>196</v>
      </c>
      <c r="D2887" s="2" t="s">
        <v>299</v>
      </c>
      <c r="E2887" s="2" t="s">
        <v>398</v>
      </c>
      <c r="F2887" s="3">
        <f>DATE(2023,10,13)</f>
        <v>45212</v>
      </c>
      <c r="G2887" s="4">
        <f t="shared" si="270"/>
        <v>10</v>
      </c>
      <c r="H2887" s="4">
        <f t="shared" si="268"/>
        <v>2023</v>
      </c>
      <c r="I2887" s="2" t="s">
        <v>4</v>
      </c>
      <c r="J2887" s="2" t="s">
        <v>3749</v>
      </c>
      <c r="K2887" s="2" t="s">
        <v>117</v>
      </c>
      <c r="L2887" s="2" t="s">
        <v>118</v>
      </c>
      <c r="M2887" s="2" t="s">
        <v>119</v>
      </c>
      <c r="N2887" s="4" t="str">
        <f t="shared" si="271"/>
        <v>TON</v>
      </c>
      <c r="O2887" s="5">
        <v>5.0049999999999999</v>
      </c>
    </row>
    <row r="2888" spans="2:15" x14ac:dyDescent="0.25">
      <c r="B2888" s="1" t="s">
        <v>1520</v>
      </c>
      <c r="C2888" s="2" t="s">
        <v>196</v>
      </c>
      <c r="D2888" s="2" t="s">
        <v>289</v>
      </c>
      <c r="E2888" s="2" t="s">
        <v>290</v>
      </c>
      <c r="F2888" s="3">
        <f>DATE(2023,10,13)</f>
        <v>45212</v>
      </c>
      <c r="G2888" s="4">
        <f t="shared" si="270"/>
        <v>10</v>
      </c>
      <c r="H2888" s="4">
        <f t="shared" si="268"/>
        <v>2023</v>
      </c>
      <c r="I2888" s="2" t="s">
        <v>4</v>
      </c>
      <c r="J2888" s="2" t="s">
        <v>3750</v>
      </c>
      <c r="K2888" s="2" t="s">
        <v>268</v>
      </c>
      <c r="L2888" s="2" t="s">
        <v>269</v>
      </c>
      <c r="M2888" s="2" t="s">
        <v>119</v>
      </c>
      <c r="N2888" s="4" t="str">
        <f t="shared" si="271"/>
        <v>TON</v>
      </c>
      <c r="O2888" s="5">
        <v>1</v>
      </c>
    </row>
    <row r="2889" spans="2:15" x14ac:dyDescent="0.25">
      <c r="B2889" s="1" t="s">
        <v>1520</v>
      </c>
      <c r="C2889" s="2" t="s">
        <v>196</v>
      </c>
      <c r="D2889" s="2" t="s">
        <v>114</v>
      </c>
      <c r="E2889" s="2" t="s">
        <v>3751</v>
      </c>
      <c r="F2889" s="3">
        <f t="shared" ref="F2889:F2894" si="272">DATE(2023,10,16)</f>
        <v>45215</v>
      </c>
      <c r="G2889" s="4">
        <f t="shared" si="270"/>
        <v>10</v>
      </c>
      <c r="H2889" s="4">
        <f t="shared" si="268"/>
        <v>2023</v>
      </c>
      <c r="I2889" s="2" t="s">
        <v>4</v>
      </c>
      <c r="J2889" s="2" t="s">
        <v>3752</v>
      </c>
      <c r="K2889" s="2" t="s">
        <v>117</v>
      </c>
      <c r="L2889" s="2" t="s">
        <v>118</v>
      </c>
      <c r="M2889" s="2" t="s">
        <v>119</v>
      </c>
      <c r="N2889" s="4" t="str">
        <f t="shared" si="271"/>
        <v>TON</v>
      </c>
      <c r="O2889" s="5">
        <v>5</v>
      </c>
    </row>
    <row r="2890" spans="2:15" x14ac:dyDescent="0.25">
      <c r="B2890" s="1" t="s">
        <v>1520</v>
      </c>
      <c r="C2890" s="2" t="s">
        <v>196</v>
      </c>
      <c r="D2890" s="2" t="s">
        <v>331</v>
      </c>
      <c r="E2890" s="2" t="s">
        <v>332</v>
      </c>
      <c r="F2890" s="3">
        <f t="shared" si="272"/>
        <v>45215</v>
      </c>
      <c r="G2890" s="4">
        <f t="shared" si="270"/>
        <v>10</v>
      </c>
      <c r="H2890" s="4">
        <f t="shared" si="268"/>
        <v>2023</v>
      </c>
      <c r="I2890" s="2" t="s">
        <v>4</v>
      </c>
      <c r="J2890" s="2" t="s">
        <v>3753</v>
      </c>
      <c r="K2890" s="2" t="s">
        <v>205</v>
      </c>
      <c r="L2890" s="2" t="s">
        <v>206</v>
      </c>
      <c r="M2890" s="2" t="s">
        <v>119</v>
      </c>
      <c r="N2890" s="4" t="str">
        <f t="shared" si="271"/>
        <v>TON</v>
      </c>
      <c r="O2890" s="5">
        <v>5</v>
      </c>
    </row>
    <row r="2891" spans="2:15" x14ac:dyDescent="0.25">
      <c r="B2891" s="1" t="s">
        <v>1520</v>
      </c>
      <c r="C2891" s="2" t="s">
        <v>196</v>
      </c>
      <c r="D2891" s="2" t="s">
        <v>241</v>
      </c>
      <c r="E2891" s="2" t="s">
        <v>258</v>
      </c>
      <c r="F2891" s="3">
        <f t="shared" si="272"/>
        <v>45215</v>
      </c>
      <c r="G2891" s="4">
        <f t="shared" si="270"/>
        <v>10</v>
      </c>
      <c r="H2891" s="4">
        <f t="shared" si="268"/>
        <v>2023</v>
      </c>
      <c r="I2891" s="2" t="s">
        <v>4</v>
      </c>
      <c r="J2891" s="2" t="s">
        <v>3754</v>
      </c>
      <c r="K2891" s="2" t="s">
        <v>3458</v>
      </c>
      <c r="L2891" s="2" t="s">
        <v>3459</v>
      </c>
      <c r="M2891" s="2" t="s">
        <v>119</v>
      </c>
      <c r="N2891" s="4" t="str">
        <f t="shared" si="271"/>
        <v>TON</v>
      </c>
      <c r="O2891" s="5">
        <v>2.25</v>
      </c>
    </row>
    <row r="2892" spans="2:15" x14ac:dyDescent="0.25">
      <c r="B2892" s="1" t="s">
        <v>1520</v>
      </c>
      <c r="C2892" s="2" t="s">
        <v>196</v>
      </c>
      <c r="D2892" s="2" t="s">
        <v>303</v>
      </c>
      <c r="E2892" s="2" t="s">
        <v>1998</v>
      </c>
      <c r="F2892" s="3">
        <f t="shared" si="272"/>
        <v>45215</v>
      </c>
      <c r="G2892" s="4">
        <f t="shared" si="270"/>
        <v>10</v>
      </c>
      <c r="H2892" s="4">
        <f t="shared" si="268"/>
        <v>2023</v>
      </c>
      <c r="I2892" s="2" t="s">
        <v>4</v>
      </c>
      <c r="J2892" s="2" t="s">
        <v>3755</v>
      </c>
      <c r="K2892" s="2" t="s">
        <v>2635</v>
      </c>
      <c r="L2892" s="2" t="s">
        <v>2636</v>
      </c>
      <c r="M2892" s="2" t="s">
        <v>119</v>
      </c>
      <c r="N2892" s="4" t="str">
        <f t="shared" si="271"/>
        <v>TON</v>
      </c>
      <c r="O2892" s="5">
        <v>5</v>
      </c>
    </row>
    <row r="2893" spans="2:15" x14ac:dyDescent="0.25">
      <c r="B2893" s="1" t="s">
        <v>1520</v>
      </c>
      <c r="C2893" s="2" t="s">
        <v>196</v>
      </c>
      <c r="D2893" s="2" t="s">
        <v>303</v>
      </c>
      <c r="E2893" s="2" t="s">
        <v>1998</v>
      </c>
      <c r="F2893" s="3">
        <f t="shared" si="272"/>
        <v>45215</v>
      </c>
      <c r="G2893" s="4">
        <f t="shared" si="270"/>
        <v>10</v>
      </c>
      <c r="H2893" s="4">
        <f t="shared" si="268"/>
        <v>2023</v>
      </c>
      <c r="I2893" s="2" t="s">
        <v>4</v>
      </c>
      <c r="J2893" s="2" t="s">
        <v>3755</v>
      </c>
      <c r="K2893" s="2" t="s">
        <v>3726</v>
      </c>
      <c r="L2893" s="2" t="s">
        <v>3727</v>
      </c>
      <c r="M2893" s="2" t="s">
        <v>145</v>
      </c>
      <c r="N2893" s="4" t="str">
        <f t="shared" si="271"/>
        <v>GAL</v>
      </c>
      <c r="O2893" s="5">
        <v>1.875</v>
      </c>
    </row>
    <row r="2894" spans="2:15" x14ac:dyDescent="0.25">
      <c r="B2894" s="1" t="s">
        <v>1520</v>
      </c>
      <c r="C2894" s="2" t="s">
        <v>196</v>
      </c>
      <c r="D2894" s="2" t="s">
        <v>321</v>
      </c>
      <c r="E2894" s="2" t="s">
        <v>697</v>
      </c>
      <c r="F2894" s="3">
        <f t="shared" si="272"/>
        <v>45215</v>
      </c>
      <c r="G2894" s="4">
        <f t="shared" si="270"/>
        <v>10</v>
      </c>
      <c r="H2894" s="4">
        <f t="shared" si="268"/>
        <v>2023</v>
      </c>
      <c r="I2894" s="2" t="s">
        <v>4</v>
      </c>
      <c r="J2894" s="2" t="s">
        <v>3756</v>
      </c>
      <c r="K2894" s="2" t="s">
        <v>324</v>
      </c>
      <c r="L2894" s="2" t="s">
        <v>325</v>
      </c>
      <c r="M2894" s="2" t="s">
        <v>119</v>
      </c>
      <c r="N2894" s="4" t="str">
        <f t="shared" si="271"/>
        <v>TON</v>
      </c>
      <c r="O2894" s="5">
        <v>10</v>
      </c>
    </row>
    <row r="2895" spans="2:15" x14ac:dyDescent="0.25">
      <c r="B2895" s="1" t="s">
        <v>1520</v>
      </c>
      <c r="C2895" s="2" t="s">
        <v>196</v>
      </c>
      <c r="D2895" s="2" t="s">
        <v>215</v>
      </c>
      <c r="E2895" s="2" t="s">
        <v>216</v>
      </c>
      <c r="F2895" s="3">
        <f t="shared" ref="F2895:F2906" si="273">DATE(2023,10,17)</f>
        <v>45216</v>
      </c>
      <c r="G2895" s="4">
        <f t="shared" si="270"/>
        <v>10</v>
      </c>
      <c r="H2895" s="4">
        <f t="shared" si="268"/>
        <v>2023</v>
      </c>
      <c r="I2895" s="2" t="s">
        <v>4</v>
      </c>
      <c r="J2895" s="2" t="s">
        <v>3757</v>
      </c>
      <c r="K2895" s="2" t="s">
        <v>205</v>
      </c>
      <c r="L2895" s="2" t="s">
        <v>206</v>
      </c>
      <c r="M2895" s="2" t="s">
        <v>119</v>
      </c>
      <c r="N2895" s="4" t="str">
        <f t="shared" si="271"/>
        <v>TON</v>
      </c>
      <c r="O2895" s="5">
        <v>8.7550000000000008</v>
      </c>
    </row>
    <row r="2896" spans="2:15" x14ac:dyDescent="0.25">
      <c r="B2896" s="1" t="s">
        <v>1520</v>
      </c>
      <c r="C2896" s="2" t="s">
        <v>196</v>
      </c>
      <c r="D2896" s="2" t="s">
        <v>317</v>
      </c>
      <c r="E2896" s="2" t="s">
        <v>829</v>
      </c>
      <c r="F2896" s="3">
        <f t="shared" si="273"/>
        <v>45216</v>
      </c>
      <c r="G2896" s="4">
        <f t="shared" si="270"/>
        <v>10</v>
      </c>
      <c r="H2896" s="4">
        <f t="shared" si="268"/>
        <v>2023</v>
      </c>
      <c r="I2896" s="2" t="s">
        <v>4</v>
      </c>
      <c r="J2896" s="2" t="s">
        <v>3758</v>
      </c>
      <c r="K2896" s="2" t="s">
        <v>117</v>
      </c>
      <c r="L2896" s="2" t="s">
        <v>118</v>
      </c>
      <c r="M2896" s="2" t="s">
        <v>119</v>
      </c>
      <c r="N2896" s="4" t="str">
        <f t="shared" si="271"/>
        <v>TON</v>
      </c>
      <c r="O2896" s="5">
        <v>2.4950000000000001</v>
      </c>
    </row>
    <row r="2897" spans="2:15" x14ac:dyDescent="0.25">
      <c r="B2897" s="1" t="s">
        <v>1520</v>
      </c>
      <c r="C2897" s="2" t="s">
        <v>196</v>
      </c>
      <c r="D2897" s="2" t="s">
        <v>114</v>
      </c>
      <c r="E2897" s="2" t="s">
        <v>369</v>
      </c>
      <c r="F2897" s="3">
        <f t="shared" si="273"/>
        <v>45216</v>
      </c>
      <c r="G2897" s="4">
        <f t="shared" si="270"/>
        <v>10</v>
      </c>
      <c r="H2897" s="4">
        <f t="shared" si="268"/>
        <v>2023</v>
      </c>
      <c r="I2897" s="2" t="s">
        <v>4</v>
      </c>
      <c r="J2897" s="2" t="s">
        <v>3759</v>
      </c>
      <c r="K2897" s="2" t="s">
        <v>117</v>
      </c>
      <c r="L2897" s="2" t="s">
        <v>118</v>
      </c>
      <c r="M2897" s="2" t="s">
        <v>119</v>
      </c>
      <c r="N2897" s="4" t="str">
        <f t="shared" si="271"/>
        <v>TON</v>
      </c>
      <c r="O2897" s="5">
        <v>2.25</v>
      </c>
    </row>
    <row r="2898" spans="2:15" x14ac:dyDescent="0.25">
      <c r="B2898" s="1" t="s">
        <v>1520</v>
      </c>
      <c r="C2898" s="2" t="s">
        <v>196</v>
      </c>
      <c r="D2898" s="2" t="s">
        <v>227</v>
      </c>
      <c r="E2898" s="2" t="s">
        <v>357</v>
      </c>
      <c r="F2898" s="3">
        <f t="shared" si="273"/>
        <v>45216</v>
      </c>
      <c r="G2898" s="4">
        <f t="shared" si="270"/>
        <v>10</v>
      </c>
      <c r="H2898" s="4">
        <f t="shared" si="268"/>
        <v>2023</v>
      </c>
      <c r="I2898" s="2" t="s">
        <v>4</v>
      </c>
      <c r="J2898" s="2" t="s">
        <v>3760</v>
      </c>
      <c r="K2898" s="2" t="s">
        <v>122</v>
      </c>
      <c r="L2898" s="2" t="s">
        <v>123</v>
      </c>
      <c r="M2898" s="2" t="s">
        <v>119</v>
      </c>
      <c r="N2898" s="4" t="str">
        <f t="shared" si="271"/>
        <v>TON</v>
      </c>
      <c r="O2898" s="5">
        <v>4.9924999999999997</v>
      </c>
    </row>
    <row r="2899" spans="2:15" x14ac:dyDescent="0.25">
      <c r="B2899" s="1" t="s">
        <v>1520</v>
      </c>
      <c r="C2899" s="2" t="s">
        <v>196</v>
      </c>
      <c r="D2899" s="2" t="s">
        <v>3761</v>
      </c>
      <c r="E2899" s="2" t="s">
        <v>3762</v>
      </c>
      <c r="F2899" s="3">
        <f t="shared" si="273"/>
        <v>45216</v>
      </c>
      <c r="G2899" s="4">
        <f t="shared" si="270"/>
        <v>10</v>
      </c>
      <c r="H2899" s="4">
        <f t="shared" si="268"/>
        <v>2023</v>
      </c>
      <c r="I2899" s="2" t="s">
        <v>4</v>
      </c>
      <c r="J2899" s="2" t="s">
        <v>3763</v>
      </c>
      <c r="K2899" s="2" t="s">
        <v>205</v>
      </c>
      <c r="L2899" s="2" t="s">
        <v>206</v>
      </c>
      <c r="M2899" s="2" t="s">
        <v>119</v>
      </c>
      <c r="N2899" s="4" t="str">
        <f t="shared" si="271"/>
        <v>TON</v>
      </c>
      <c r="O2899" s="5">
        <v>7.5</v>
      </c>
    </row>
    <row r="2900" spans="2:15" x14ac:dyDescent="0.25">
      <c r="B2900" s="1" t="s">
        <v>1520</v>
      </c>
      <c r="C2900" s="2" t="s">
        <v>196</v>
      </c>
      <c r="D2900" s="2" t="s">
        <v>3764</v>
      </c>
      <c r="E2900" s="2" t="s">
        <v>3765</v>
      </c>
      <c r="F2900" s="3">
        <f t="shared" si="273"/>
        <v>45216</v>
      </c>
      <c r="G2900" s="4">
        <f t="shared" si="270"/>
        <v>10</v>
      </c>
      <c r="H2900" s="4">
        <f t="shared" si="268"/>
        <v>2023</v>
      </c>
      <c r="I2900" s="2" t="s">
        <v>4</v>
      </c>
      <c r="J2900" s="2" t="s">
        <v>3766</v>
      </c>
      <c r="K2900" s="2" t="s">
        <v>205</v>
      </c>
      <c r="L2900" s="2" t="s">
        <v>206</v>
      </c>
      <c r="M2900" s="2" t="s">
        <v>119</v>
      </c>
      <c r="N2900" s="4" t="str">
        <f t="shared" si="271"/>
        <v>TON</v>
      </c>
      <c r="O2900" s="5">
        <v>1.25</v>
      </c>
    </row>
    <row r="2901" spans="2:15" x14ac:dyDescent="0.25">
      <c r="B2901" s="1" t="s">
        <v>1520</v>
      </c>
      <c r="C2901" s="2" t="s">
        <v>196</v>
      </c>
      <c r="D2901" s="2" t="s">
        <v>3767</v>
      </c>
      <c r="E2901" s="2" t="s">
        <v>3768</v>
      </c>
      <c r="F2901" s="3">
        <f t="shared" si="273"/>
        <v>45216</v>
      </c>
      <c r="G2901" s="4">
        <f t="shared" si="270"/>
        <v>10</v>
      </c>
      <c r="H2901" s="4">
        <f t="shared" si="268"/>
        <v>2023</v>
      </c>
      <c r="I2901" s="2" t="s">
        <v>4</v>
      </c>
      <c r="J2901" s="2" t="s">
        <v>3769</v>
      </c>
      <c r="K2901" s="2" t="s">
        <v>205</v>
      </c>
      <c r="L2901" s="2" t="s">
        <v>206</v>
      </c>
      <c r="M2901" s="2" t="s">
        <v>119</v>
      </c>
      <c r="N2901" s="4" t="str">
        <f t="shared" si="271"/>
        <v>TON</v>
      </c>
      <c r="O2901" s="5">
        <v>1.25</v>
      </c>
    </row>
    <row r="2902" spans="2:15" x14ac:dyDescent="0.25">
      <c r="B2902" s="1" t="s">
        <v>1520</v>
      </c>
      <c r="C2902" s="2" t="s">
        <v>196</v>
      </c>
      <c r="D2902" s="2" t="s">
        <v>303</v>
      </c>
      <c r="E2902" s="2" t="s">
        <v>501</v>
      </c>
      <c r="F2902" s="3">
        <f t="shared" si="273"/>
        <v>45216</v>
      </c>
      <c r="G2902" s="4">
        <f t="shared" si="270"/>
        <v>10</v>
      </c>
      <c r="H2902" s="4">
        <f t="shared" si="268"/>
        <v>2023</v>
      </c>
      <c r="I2902" s="2" t="s">
        <v>4</v>
      </c>
      <c r="J2902" s="2" t="s">
        <v>3770</v>
      </c>
      <c r="K2902" s="2" t="s">
        <v>2635</v>
      </c>
      <c r="L2902" s="2" t="s">
        <v>2636</v>
      </c>
      <c r="M2902" s="2" t="s">
        <v>119</v>
      </c>
      <c r="N2902" s="4" t="str">
        <f t="shared" si="271"/>
        <v>TON</v>
      </c>
      <c r="O2902" s="5">
        <v>5</v>
      </c>
    </row>
    <row r="2903" spans="2:15" x14ac:dyDescent="0.25">
      <c r="B2903" s="1" t="s">
        <v>1520</v>
      </c>
      <c r="C2903" s="2" t="s">
        <v>196</v>
      </c>
      <c r="D2903" s="2" t="s">
        <v>303</v>
      </c>
      <c r="E2903" s="2" t="s">
        <v>501</v>
      </c>
      <c r="F2903" s="3">
        <f t="shared" si="273"/>
        <v>45216</v>
      </c>
      <c r="G2903" s="4">
        <f t="shared" si="270"/>
        <v>10</v>
      </c>
      <c r="H2903" s="4">
        <f t="shared" si="268"/>
        <v>2023</v>
      </c>
      <c r="I2903" s="2" t="s">
        <v>4</v>
      </c>
      <c r="J2903" s="2" t="s">
        <v>3770</v>
      </c>
      <c r="K2903" s="2" t="s">
        <v>3726</v>
      </c>
      <c r="L2903" s="2" t="s">
        <v>3727</v>
      </c>
      <c r="M2903" s="2" t="s">
        <v>145</v>
      </c>
      <c r="N2903" s="4" t="str">
        <f t="shared" si="271"/>
        <v>GAL</v>
      </c>
      <c r="O2903" s="5">
        <v>1.55</v>
      </c>
    </row>
    <row r="2904" spans="2:15" x14ac:dyDescent="0.25">
      <c r="B2904" s="1" t="s">
        <v>1520</v>
      </c>
      <c r="C2904" s="2" t="s">
        <v>196</v>
      </c>
      <c r="D2904" s="2" t="s">
        <v>207</v>
      </c>
      <c r="E2904" s="2" t="s">
        <v>208</v>
      </c>
      <c r="F2904" s="3">
        <f t="shared" si="273"/>
        <v>45216</v>
      </c>
      <c r="G2904" s="4">
        <f t="shared" si="270"/>
        <v>10</v>
      </c>
      <c r="H2904" s="4">
        <f t="shared" si="268"/>
        <v>2023</v>
      </c>
      <c r="I2904" s="2" t="s">
        <v>4</v>
      </c>
      <c r="J2904" s="2" t="s">
        <v>3771</v>
      </c>
      <c r="K2904" s="2" t="s">
        <v>489</v>
      </c>
      <c r="L2904" s="2" t="s">
        <v>490</v>
      </c>
      <c r="M2904" s="2" t="s">
        <v>119</v>
      </c>
      <c r="N2904" s="4" t="str">
        <f t="shared" si="271"/>
        <v>TON</v>
      </c>
      <c r="O2904" s="5">
        <v>7.5</v>
      </c>
    </row>
    <row r="2905" spans="2:15" x14ac:dyDescent="0.25">
      <c r="B2905" s="1" t="s">
        <v>1520</v>
      </c>
      <c r="C2905" s="2" t="s">
        <v>196</v>
      </c>
      <c r="D2905" s="2" t="s">
        <v>114</v>
      </c>
      <c r="E2905" s="2" t="s">
        <v>3751</v>
      </c>
      <c r="F2905" s="3">
        <f t="shared" si="273"/>
        <v>45216</v>
      </c>
      <c r="G2905" s="4">
        <f t="shared" si="270"/>
        <v>10</v>
      </c>
      <c r="H2905" s="4">
        <f t="shared" si="268"/>
        <v>2023</v>
      </c>
      <c r="I2905" s="2" t="s">
        <v>4</v>
      </c>
      <c r="J2905" s="2" t="s">
        <v>3772</v>
      </c>
      <c r="K2905" s="2" t="s">
        <v>117</v>
      </c>
      <c r="L2905" s="2" t="s">
        <v>118</v>
      </c>
      <c r="M2905" s="2" t="s">
        <v>119</v>
      </c>
      <c r="N2905" s="4" t="str">
        <f t="shared" si="271"/>
        <v>TON</v>
      </c>
      <c r="O2905" s="5">
        <v>8.5</v>
      </c>
    </row>
    <row r="2906" spans="2:15" x14ac:dyDescent="0.25">
      <c r="B2906" s="1" t="s">
        <v>1520</v>
      </c>
      <c r="C2906" s="2" t="s">
        <v>196</v>
      </c>
      <c r="D2906" s="2" t="s">
        <v>273</v>
      </c>
      <c r="E2906" s="2" t="s">
        <v>274</v>
      </c>
      <c r="F2906" s="3">
        <f t="shared" si="273"/>
        <v>45216</v>
      </c>
      <c r="G2906" s="4">
        <f t="shared" si="270"/>
        <v>10</v>
      </c>
      <c r="H2906" s="4">
        <f t="shared" si="268"/>
        <v>2023</v>
      </c>
      <c r="I2906" s="2" t="s">
        <v>4</v>
      </c>
      <c r="J2906" s="2" t="s">
        <v>3773</v>
      </c>
      <c r="K2906" s="2" t="s">
        <v>384</v>
      </c>
      <c r="L2906" s="2" t="s">
        <v>385</v>
      </c>
      <c r="M2906" s="2" t="s">
        <v>119</v>
      </c>
      <c r="N2906" s="4" t="str">
        <f t="shared" si="271"/>
        <v>TON</v>
      </c>
      <c r="O2906" s="5">
        <v>3.7475000000000001</v>
      </c>
    </row>
    <row r="2907" spans="2:15" x14ac:dyDescent="0.25">
      <c r="B2907" s="1" t="s">
        <v>645</v>
      </c>
      <c r="C2907" s="2" t="s">
        <v>196</v>
      </c>
      <c r="D2907" s="2" t="s">
        <v>790</v>
      </c>
      <c r="E2907" s="2" t="s">
        <v>1205</v>
      </c>
      <c r="F2907" s="3">
        <f t="shared" ref="F2907:F2913" si="274">DATE(2023,10,18)</f>
        <v>45217</v>
      </c>
      <c r="G2907" s="4">
        <f t="shared" si="270"/>
        <v>10</v>
      </c>
      <c r="H2907" s="4">
        <f t="shared" si="268"/>
        <v>2023</v>
      </c>
      <c r="I2907" s="2" t="s">
        <v>4</v>
      </c>
      <c r="J2907" s="2" t="s">
        <v>3774</v>
      </c>
      <c r="K2907" s="2" t="s">
        <v>334</v>
      </c>
      <c r="L2907" s="2" t="s">
        <v>335</v>
      </c>
      <c r="M2907" s="2" t="s">
        <v>119</v>
      </c>
      <c r="N2907" s="4" t="str">
        <f t="shared" si="271"/>
        <v>TON</v>
      </c>
      <c r="O2907" s="5">
        <v>9.0124999999999993</v>
      </c>
    </row>
    <row r="2908" spans="2:15" x14ac:dyDescent="0.25">
      <c r="B2908" s="1" t="s">
        <v>645</v>
      </c>
      <c r="C2908" s="2" t="s">
        <v>196</v>
      </c>
      <c r="D2908" s="2" t="s">
        <v>888</v>
      </c>
      <c r="E2908" s="2" t="s">
        <v>888</v>
      </c>
      <c r="F2908" s="3">
        <f t="shared" si="274"/>
        <v>45217</v>
      </c>
      <c r="G2908" s="4">
        <f t="shared" si="270"/>
        <v>10</v>
      </c>
      <c r="H2908" s="4">
        <f t="shared" si="268"/>
        <v>2023</v>
      </c>
      <c r="I2908" s="2" t="s">
        <v>4</v>
      </c>
      <c r="J2908" s="2" t="s">
        <v>3775</v>
      </c>
      <c r="K2908" s="2" t="s">
        <v>268</v>
      </c>
      <c r="L2908" s="2" t="s">
        <v>269</v>
      </c>
      <c r="M2908" s="2" t="s">
        <v>119</v>
      </c>
      <c r="N2908" s="4" t="str">
        <f t="shared" si="271"/>
        <v>TON</v>
      </c>
      <c r="O2908" s="5">
        <v>0.75</v>
      </c>
    </row>
    <row r="2909" spans="2:15" x14ac:dyDescent="0.25">
      <c r="B2909" s="1" t="s">
        <v>1520</v>
      </c>
      <c r="C2909" s="2" t="s">
        <v>196</v>
      </c>
      <c r="D2909" s="2" t="s">
        <v>299</v>
      </c>
      <c r="E2909" s="2" t="s">
        <v>1140</v>
      </c>
      <c r="F2909" s="3">
        <f t="shared" si="274"/>
        <v>45217</v>
      </c>
      <c r="G2909" s="4">
        <f t="shared" si="270"/>
        <v>10</v>
      </c>
      <c r="H2909" s="4">
        <f t="shared" si="268"/>
        <v>2023</v>
      </c>
      <c r="I2909" s="2" t="s">
        <v>4</v>
      </c>
      <c r="J2909" s="2" t="s">
        <v>3776</v>
      </c>
      <c r="K2909" s="2" t="s">
        <v>117</v>
      </c>
      <c r="L2909" s="2" t="s">
        <v>118</v>
      </c>
      <c r="M2909" s="2" t="s">
        <v>119</v>
      </c>
      <c r="N2909" s="4" t="str">
        <f t="shared" si="271"/>
        <v>TON</v>
      </c>
      <c r="O2909" s="5">
        <v>15</v>
      </c>
    </row>
    <row r="2910" spans="2:15" x14ac:dyDescent="0.25">
      <c r="B2910" s="1" t="s">
        <v>1520</v>
      </c>
      <c r="C2910" s="2" t="s">
        <v>196</v>
      </c>
      <c r="D2910" s="2" t="s">
        <v>280</v>
      </c>
      <c r="E2910" s="2" t="s">
        <v>1308</v>
      </c>
      <c r="F2910" s="3">
        <f t="shared" si="274"/>
        <v>45217</v>
      </c>
      <c r="G2910" s="4">
        <f t="shared" si="270"/>
        <v>10</v>
      </c>
      <c r="H2910" s="4">
        <f t="shared" si="268"/>
        <v>2023</v>
      </c>
      <c r="I2910" s="2" t="s">
        <v>4</v>
      </c>
      <c r="J2910" s="2" t="s">
        <v>3777</v>
      </c>
      <c r="K2910" s="2" t="s">
        <v>117</v>
      </c>
      <c r="L2910" s="2" t="s">
        <v>118</v>
      </c>
      <c r="M2910" s="2" t="s">
        <v>119</v>
      </c>
      <c r="N2910" s="4" t="str">
        <f t="shared" si="271"/>
        <v>TON</v>
      </c>
      <c r="O2910" s="5">
        <v>9.5175000000000001</v>
      </c>
    </row>
    <row r="2911" spans="2:15" x14ac:dyDescent="0.25">
      <c r="B2911" s="1" t="s">
        <v>1520</v>
      </c>
      <c r="C2911" s="2" t="s">
        <v>196</v>
      </c>
      <c r="D2911" s="2" t="s">
        <v>221</v>
      </c>
      <c r="E2911" s="2" t="s">
        <v>3778</v>
      </c>
      <c r="F2911" s="3">
        <f t="shared" si="274"/>
        <v>45217</v>
      </c>
      <c r="G2911" s="4">
        <f t="shared" si="270"/>
        <v>10</v>
      </c>
      <c r="H2911" s="4">
        <f t="shared" si="268"/>
        <v>2023</v>
      </c>
      <c r="I2911" s="2" t="s">
        <v>4</v>
      </c>
      <c r="J2911" s="2" t="s">
        <v>3779</v>
      </c>
      <c r="K2911" s="2" t="s">
        <v>205</v>
      </c>
      <c r="L2911" s="2" t="s">
        <v>206</v>
      </c>
      <c r="M2911" s="2" t="s">
        <v>119</v>
      </c>
      <c r="N2911" s="4" t="str">
        <f t="shared" si="271"/>
        <v>TON</v>
      </c>
      <c r="O2911" s="5">
        <v>5.0125000000000002</v>
      </c>
    </row>
    <row r="2912" spans="2:15" x14ac:dyDescent="0.25">
      <c r="B2912" s="1" t="s">
        <v>1520</v>
      </c>
      <c r="C2912" s="2" t="s">
        <v>196</v>
      </c>
      <c r="D2912" s="2" t="s">
        <v>317</v>
      </c>
      <c r="E2912" s="2" t="s">
        <v>319</v>
      </c>
      <c r="F2912" s="3">
        <f t="shared" si="274"/>
        <v>45217</v>
      </c>
      <c r="G2912" s="4">
        <f t="shared" si="270"/>
        <v>10</v>
      </c>
      <c r="H2912" s="4">
        <f t="shared" si="268"/>
        <v>2023</v>
      </c>
      <c r="I2912" s="2" t="s">
        <v>4</v>
      </c>
      <c r="J2912" s="2" t="s">
        <v>3780</v>
      </c>
      <c r="K2912" s="2" t="s">
        <v>117</v>
      </c>
      <c r="L2912" s="2" t="s">
        <v>118</v>
      </c>
      <c r="M2912" s="2" t="s">
        <v>119</v>
      </c>
      <c r="N2912" s="4" t="str">
        <f t="shared" si="271"/>
        <v>TON</v>
      </c>
      <c r="O2912" s="5">
        <v>2.5099999999999998</v>
      </c>
    </row>
    <row r="2913" spans="2:15" x14ac:dyDescent="0.25">
      <c r="B2913" s="1" t="s">
        <v>1520</v>
      </c>
      <c r="C2913" s="2" t="s">
        <v>196</v>
      </c>
      <c r="D2913" s="2" t="s">
        <v>348</v>
      </c>
      <c r="E2913" s="2" t="s">
        <v>3781</v>
      </c>
      <c r="F2913" s="3">
        <f t="shared" si="274"/>
        <v>45217</v>
      </c>
      <c r="G2913" s="4">
        <f t="shared" si="270"/>
        <v>10</v>
      </c>
      <c r="H2913" s="4">
        <f t="shared" si="268"/>
        <v>2023</v>
      </c>
      <c r="I2913" s="2" t="s">
        <v>4</v>
      </c>
      <c r="J2913" s="2" t="s">
        <v>3782</v>
      </c>
      <c r="K2913" s="2" t="s">
        <v>3593</v>
      </c>
      <c r="L2913" s="2" t="s">
        <v>416</v>
      </c>
      <c r="M2913" s="2" t="s">
        <v>417</v>
      </c>
      <c r="N2913" s="4" t="str">
        <f t="shared" si="271"/>
        <v>GAL</v>
      </c>
      <c r="O2913" s="5">
        <v>250</v>
      </c>
    </row>
    <row r="2914" spans="2:15" x14ac:dyDescent="0.25">
      <c r="B2914" s="1" t="s">
        <v>1520</v>
      </c>
      <c r="C2914" s="2" t="s">
        <v>196</v>
      </c>
      <c r="D2914" s="2" t="s">
        <v>210</v>
      </c>
      <c r="E2914" s="2" t="s">
        <v>962</v>
      </c>
      <c r="F2914" s="3">
        <f>DATE(2023,10,19)</f>
        <v>45218</v>
      </c>
      <c r="G2914" s="4">
        <f t="shared" si="270"/>
        <v>10</v>
      </c>
      <c r="H2914" s="4">
        <f t="shared" si="268"/>
        <v>2023</v>
      </c>
      <c r="I2914" s="2" t="s">
        <v>4</v>
      </c>
      <c r="J2914" s="2" t="s">
        <v>3783</v>
      </c>
      <c r="K2914" s="2" t="s">
        <v>489</v>
      </c>
      <c r="L2914" s="2" t="s">
        <v>490</v>
      </c>
      <c r="M2914" s="2" t="s">
        <v>119</v>
      </c>
      <c r="N2914" s="4" t="str">
        <f t="shared" si="271"/>
        <v>TON</v>
      </c>
      <c r="O2914" s="5">
        <v>10.0075</v>
      </c>
    </row>
    <row r="2915" spans="2:15" x14ac:dyDescent="0.25">
      <c r="B2915" s="1" t="s">
        <v>1520</v>
      </c>
      <c r="C2915" s="2" t="s">
        <v>196</v>
      </c>
      <c r="D2915" s="2" t="s">
        <v>210</v>
      </c>
      <c r="E2915" s="2" t="s">
        <v>827</v>
      </c>
      <c r="F2915" s="3">
        <f>DATE(2023,10,19)</f>
        <v>45218</v>
      </c>
      <c r="G2915" s="4">
        <f t="shared" si="270"/>
        <v>10</v>
      </c>
      <c r="H2915" s="4">
        <f t="shared" si="268"/>
        <v>2023</v>
      </c>
      <c r="I2915" s="2" t="s">
        <v>4</v>
      </c>
      <c r="J2915" s="2" t="s">
        <v>3784</v>
      </c>
      <c r="K2915" s="2" t="s">
        <v>351</v>
      </c>
      <c r="L2915" s="2" t="s">
        <v>352</v>
      </c>
      <c r="M2915" s="2" t="s">
        <v>119</v>
      </c>
      <c r="N2915" s="4" t="str">
        <f t="shared" si="271"/>
        <v>TON</v>
      </c>
      <c r="O2915" s="5">
        <v>5.0025000000000004</v>
      </c>
    </row>
    <row r="2916" spans="2:15" x14ac:dyDescent="0.25">
      <c r="B2916" s="1" t="s">
        <v>1520</v>
      </c>
      <c r="C2916" s="2" t="s">
        <v>196</v>
      </c>
      <c r="D2916" s="2" t="s">
        <v>663</v>
      </c>
      <c r="E2916" s="2" t="s">
        <v>222</v>
      </c>
      <c r="F2916" s="3">
        <f>DATE(2023,10,19)</f>
        <v>45218</v>
      </c>
      <c r="G2916" s="4">
        <f t="shared" si="270"/>
        <v>10</v>
      </c>
      <c r="H2916" s="4">
        <f t="shared" si="268"/>
        <v>2023</v>
      </c>
      <c r="I2916" s="2" t="s">
        <v>4</v>
      </c>
      <c r="J2916" s="2" t="s">
        <v>3785</v>
      </c>
      <c r="K2916" s="2" t="s">
        <v>384</v>
      </c>
      <c r="L2916" s="2" t="s">
        <v>385</v>
      </c>
      <c r="M2916" s="2" t="s">
        <v>119</v>
      </c>
      <c r="N2916" s="4" t="str">
        <f t="shared" si="271"/>
        <v>TON</v>
      </c>
      <c r="O2916" s="5">
        <v>1.25</v>
      </c>
    </row>
    <row r="2917" spans="2:15" x14ac:dyDescent="0.25">
      <c r="B2917" s="1" t="s">
        <v>1520</v>
      </c>
      <c r="C2917" s="2" t="s">
        <v>196</v>
      </c>
      <c r="D2917" s="2" t="s">
        <v>663</v>
      </c>
      <c r="E2917" s="2" t="s">
        <v>102</v>
      </c>
      <c r="F2917" s="3">
        <f>DATE(2023,10,19)</f>
        <v>45218</v>
      </c>
      <c r="G2917" s="4">
        <f t="shared" si="270"/>
        <v>10</v>
      </c>
      <c r="H2917" s="4">
        <f t="shared" si="268"/>
        <v>2023</v>
      </c>
      <c r="I2917" s="2" t="s">
        <v>4</v>
      </c>
      <c r="J2917" s="2" t="s">
        <v>3786</v>
      </c>
      <c r="K2917" s="2" t="s">
        <v>384</v>
      </c>
      <c r="L2917" s="2" t="s">
        <v>385</v>
      </c>
      <c r="M2917" s="2" t="s">
        <v>119</v>
      </c>
      <c r="N2917" s="4" t="str">
        <f t="shared" si="271"/>
        <v>TON</v>
      </c>
      <c r="O2917" s="5">
        <v>1.25</v>
      </c>
    </row>
    <row r="2918" spans="2:15" x14ac:dyDescent="0.25">
      <c r="B2918" s="1" t="s">
        <v>1520</v>
      </c>
      <c r="C2918" s="2" t="s">
        <v>196</v>
      </c>
      <c r="D2918" s="2" t="s">
        <v>276</v>
      </c>
      <c r="E2918" s="2" t="s">
        <v>878</v>
      </c>
      <c r="F2918" s="3">
        <f>DATE(2023,10,19)</f>
        <v>45218</v>
      </c>
      <c r="G2918" s="4">
        <f t="shared" si="270"/>
        <v>10</v>
      </c>
      <c r="H2918" s="4">
        <f t="shared" si="268"/>
        <v>2023</v>
      </c>
      <c r="I2918" s="2" t="s">
        <v>4</v>
      </c>
      <c r="J2918" s="2" t="s">
        <v>3787</v>
      </c>
      <c r="K2918" s="2" t="s">
        <v>205</v>
      </c>
      <c r="L2918" s="2" t="s">
        <v>206</v>
      </c>
      <c r="M2918" s="2" t="s">
        <v>119</v>
      </c>
      <c r="N2918" s="4" t="str">
        <f t="shared" si="271"/>
        <v>TON</v>
      </c>
      <c r="O2918" s="5">
        <v>10.02</v>
      </c>
    </row>
    <row r="2919" spans="2:15" x14ac:dyDescent="0.25">
      <c r="B2919" s="1" t="s">
        <v>1520</v>
      </c>
      <c r="C2919" s="2" t="s">
        <v>196</v>
      </c>
      <c r="D2919" s="2" t="s">
        <v>280</v>
      </c>
      <c r="E2919" s="2" t="s">
        <v>254</v>
      </c>
      <c r="F2919" s="3">
        <f t="shared" ref="F2919:F2927" si="275">DATE(2023,10,20)</f>
        <v>45219</v>
      </c>
      <c r="G2919" s="4">
        <f t="shared" si="270"/>
        <v>10</v>
      </c>
      <c r="H2919" s="4">
        <f t="shared" si="268"/>
        <v>2023</v>
      </c>
      <c r="I2919" s="2" t="s">
        <v>4</v>
      </c>
      <c r="J2919" s="2" t="s">
        <v>3788</v>
      </c>
      <c r="K2919" s="2" t="s">
        <v>117</v>
      </c>
      <c r="L2919" s="2" t="s">
        <v>118</v>
      </c>
      <c r="M2919" s="2" t="s">
        <v>119</v>
      </c>
      <c r="N2919" s="4" t="str">
        <f t="shared" si="271"/>
        <v>TON</v>
      </c>
      <c r="O2919" s="5">
        <v>5.0075000000000003</v>
      </c>
    </row>
    <row r="2920" spans="2:15" x14ac:dyDescent="0.25">
      <c r="B2920" s="1" t="s">
        <v>1520</v>
      </c>
      <c r="C2920" s="2" t="s">
        <v>196</v>
      </c>
      <c r="D2920" s="2" t="s">
        <v>280</v>
      </c>
      <c r="E2920" s="2" t="s">
        <v>254</v>
      </c>
      <c r="F2920" s="3">
        <f t="shared" si="275"/>
        <v>45219</v>
      </c>
      <c r="G2920" s="4">
        <f t="shared" si="270"/>
        <v>10</v>
      </c>
      <c r="H2920" s="4">
        <f t="shared" si="268"/>
        <v>2023</v>
      </c>
      <c r="I2920" s="2" t="s">
        <v>4</v>
      </c>
      <c r="J2920" s="2" t="s">
        <v>3789</v>
      </c>
      <c r="K2920" s="2" t="s">
        <v>117</v>
      </c>
      <c r="L2920" s="2" t="s">
        <v>118</v>
      </c>
      <c r="M2920" s="2" t="s">
        <v>119</v>
      </c>
      <c r="N2920" s="4" t="str">
        <f t="shared" si="271"/>
        <v>TON</v>
      </c>
      <c r="O2920" s="5">
        <v>15.022500000000001</v>
      </c>
    </row>
    <row r="2921" spans="2:15" x14ac:dyDescent="0.25">
      <c r="B2921" s="1" t="s">
        <v>1520</v>
      </c>
      <c r="C2921" s="2" t="s">
        <v>196</v>
      </c>
      <c r="D2921" s="2" t="s">
        <v>663</v>
      </c>
      <c r="E2921" s="2" t="s">
        <v>222</v>
      </c>
      <c r="F2921" s="3">
        <f t="shared" si="275"/>
        <v>45219</v>
      </c>
      <c r="G2921" s="4">
        <f t="shared" si="270"/>
        <v>10</v>
      </c>
      <c r="H2921" s="4">
        <f t="shared" si="268"/>
        <v>2023</v>
      </c>
      <c r="I2921" s="2" t="s">
        <v>4</v>
      </c>
      <c r="J2921" s="2" t="s">
        <v>3790</v>
      </c>
      <c r="K2921" s="2" t="s">
        <v>531</v>
      </c>
      <c r="L2921" s="2" t="s">
        <v>201</v>
      </c>
      <c r="M2921" s="2" t="s">
        <v>202</v>
      </c>
      <c r="N2921" s="4" t="str">
        <f t="shared" si="271"/>
        <v>GAL</v>
      </c>
      <c r="O2921" s="5">
        <v>60</v>
      </c>
    </row>
    <row r="2922" spans="2:15" x14ac:dyDescent="0.25">
      <c r="B2922" s="1" t="s">
        <v>1520</v>
      </c>
      <c r="C2922" s="2" t="s">
        <v>196</v>
      </c>
      <c r="D2922" s="2" t="s">
        <v>114</v>
      </c>
      <c r="E2922" s="2" t="s">
        <v>1304</v>
      </c>
      <c r="F2922" s="3">
        <f t="shared" si="275"/>
        <v>45219</v>
      </c>
      <c r="G2922" s="4">
        <f t="shared" si="270"/>
        <v>10</v>
      </c>
      <c r="H2922" s="4">
        <f t="shared" si="268"/>
        <v>2023</v>
      </c>
      <c r="I2922" s="2" t="s">
        <v>4</v>
      </c>
      <c r="J2922" s="2" t="s">
        <v>3791</v>
      </c>
      <c r="K2922" s="2" t="s">
        <v>117</v>
      </c>
      <c r="L2922" s="2" t="s">
        <v>118</v>
      </c>
      <c r="M2922" s="2" t="s">
        <v>119</v>
      </c>
      <c r="N2922" s="4" t="str">
        <f t="shared" si="271"/>
        <v>TON</v>
      </c>
      <c r="O2922" s="5">
        <v>7.5225</v>
      </c>
    </row>
    <row r="2923" spans="2:15" x14ac:dyDescent="0.25">
      <c r="B2923" s="1" t="s">
        <v>1520</v>
      </c>
      <c r="C2923" s="2" t="s">
        <v>196</v>
      </c>
      <c r="D2923" s="2" t="s">
        <v>317</v>
      </c>
      <c r="E2923" s="2" t="s">
        <v>677</v>
      </c>
      <c r="F2923" s="3">
        <f t="shared" si="275"/>
        <v>45219</v>
      </c>
      <c r="G2923" s="4">
        <f t="shared" si="270"/>
        <v>10</v>
      </c>
      <c r="H2923" s="4">
        <f t="shared" si="268"/>
        <v>2023</v>
      </c>
      <c r="I2923" s="2" t="s">
        <v>4</v>
      </c>
      <c r="J2923" s="2" t="s">
        <v>3792</v>
      </c>
      <c r="K2923" s="2" t="s">
        <v>117</v>
      </c>
      <c r="L2923" s="2" t="s">
        <v>118</v>
      </c>
      <c r="M2923" s="2" t="s">
        <v>119</v>
      </c>
      <c r="N2923" s="4" t="str">
        <f t="shared" si="271"/>
        <v>TON</v>
      </c>
      <c r="O2923" s="5">
        <v>5.0075000000000003</v>
      </c>
    </row>
    <row r="2924" spans="2:15" x14ac:dyDescent="0.25">
      <c r="B2924" s="1" t="s">
        <v>1520</v>
      </c>
      <c r="C2924" s="2" t="s">
        <v>196</v>
      </c>
      <c r="D2924" s="2" t="s">
        <v>280</v>
      </c>
      <c r="E2924" s="2" t="s">
        <v>281</v>
      </c>
      <c r="F2924" s="3">
        <f t="shared" si="275"/>
        <v>45219</v>
      </c>
      <c r="G2924" s="4">
        <f t="shared" si="270"/>
        <v>10</v>
      </c>
      <c r="H2924" s="4">
        <f t="shared" si="268"/>
        <v>2023</v>
      </c>
      <c r="I2924" s="2" t="s">
        <v>4</v>
      </c>
      <c r="J2924" s="2" t="s">
        <v>3793</v>
      </c>
      <c r="K2924" s="2" t="s">
        <v>117</v>
      </c>
      <c r="L2924" s="2" t="s">
        <v>118</v>
      </c>
      <c r="M2924" s="2" t="s">
        <v>119</v>
      </c>
      <c r="N2924" s="4" t="str">
        <f t="shared" si="271"/>
        <v>TON</v>
      </c>
      <c r="O2924" s="5">
        <v>10.005000000000001</v>
      </c>
    </row>
    <row r="2925" spans="2:15" x14ac:dyDescent="0.25">
      <c r="B2925" s="1" t="s">
        <v>1520</v>
      </c>
      <c r="C2925" s="2" t="s">
        <v>196</v>
      </c>
      <c r="D2925" s="2" t="s">
        <v>458</v>
      </c>
      <c r="E2925" s="2" t="s">
        <v>1177</v>
      </c>
      <c r="F2925" s="3">
        <f t="shared" si="275"/>
        <v>45219</v>
      </c>
      <c r="G2925" s="4">
        <f t="shared" si="270"/>
        <v>10</v>
      </c>
      <c r="H2925" s="4">
        <f t="shared" si="268"/>
        <v>2023</v>
      </c>
      <c r="I2925" s="2" t="s">
        <v>4</v>
      </c>
      <c r="J2925" s="2" t="s">
        <v>3794</v>
      </c>
      <c r="K2925" s="2" t="s">
        <v>205</v>
      </c>
      <c r="L2925" s="2" t="s">
        <v>206</v>
      </c>
      <c r="M2925" s="2" t="s">
        <v>119</v>
      </c>
      <c r="N2925" s="4" t="str">
        <f t="shared" si="271"/>
        <v>TON</v>
      </c>
      <c r="O2925" s="5">
        <v>2.0449999999999999</v>
      </c>
    </row>
    <row r="2926" spans="2:15" x14ac:dyDescent="0.25">
      <c r="B2926" s="1" t="s">
        <v>1520</v>
      </c>
      <c r="C2926" s="2" t="s">
        <v>196</v>
      </c>
      <c r="D2926" s="2" t="s">
        <v>114</v>
      </c>
      <c r="E2926" s="2" t="s">
        <v>115</v>
      </c>
      <c r="F2926" s="3">
        <f t="shared" si="275"/>
        <v>45219</v>
      </c>
      <c r="G2926" s="4">
        <f t="shared" si="270"/>
        <v>10</v>
      </c>
      <c r="H2926" s="4">
        <f t="shared" si="268"/>
        <v>2023</v>
      </c>
      <c r="I2926" s="2" t="s">
        <v>4</v>
      </c>
      <c r="J2926" s="2" t="s">
        <v>3795</v>
      </c>
      <c r="K2926" s="2" t="s">
        <v>117</v>
      </c>
      <c r="L2926" s="2" t="s">
        <v>118</v>
      </c>
      <c r="M2926" s="2" t="s">
        <v>119</v>
      </c>
      <c r="N2926" s="4" t="str">
        <f t="shared" si="271"/>
        <v>TON</v>
      </c>
      <c r="O2926" s="5">
        <v>2.5074999999999998</v>
      </c>
    </row>
    <row r="2927" spans="2:15" x14ac:dyDescent="0.25">
      <c r="B2927" s="1" t="s">
        <v>1520</v>
      </c>
      <c r="C2927" s="2" t="s">
        <v>196</v>
      </c>
      <c r="D2927" s="2" t="s">
        <v>317</v>
      </c>
      <c r="E2927" s="2" t="s">
        <v>319</v>
      </c>
      <c r="F2927" s="3">
        <f t="shared" si="275"/>
        <v>45219</v>
      </c>
      <c r="G2927" s="4">
        <f t="shared" si="270"/>
        <v>10</v>
      </c>
      <c r="H2927" s="4">
        <f t="shared" si="268"/>
        <v>2023</v>
      </c>
      <c r="I2927" s="2" t="s">
        <v>4</v>
      </c>
      <c r="J2927" s="2" t="s">
        <v>3796</v>
      </c>
      <c r="K2927" s="2" t="s">
        <v>117</v>
      </c>
      <c r="L2927" s="2" t="s">
        <v>118</v>
      </c>
      <c r="M2927" s="2" t="s">
        <v>119</v>
      </c>
      <c r="N2927" s="4" t="str">
        <f t="shared" si="271"/>
        <v>TON</v>
      </c>
      <c r="O2927" s="5">
        <v>5.0225</v>
      </c>
    </row>
    <row r="2928" spans="2:15" x14ac:dyDescent="0.25">
      <c r="B2928" s="1" t="s">
        <v>1520</v>
      </c>
      <c r="C2928" s="2" t="s">
        <v>196</v>
      </c>
      <c r="D2928" s="2" t="s">
        <v>3764</v>
      </c>
      <c r="E2928" s="2" t="s">
        <v>3797</v>
      </c>
      <c r="F2928" s="3">
        <f>DATE(2023,10,23)</f>
        <v>45222</v>
      </c>
      <c r="G2928" s="4">
        <f t="shared" si="270"/>
        <v>10</v>
      </c>
      <c r="H2928" s="4">
        <f t="shared" si="268"/>
        <v>2023</v>
      </c>
      <c r="I2928" s="2" t="s">
        <v>4</v>
      </c>
      <c r="J2928" s="2" t="s">
        <v>3798</v>
      </c>
      <c r="K2928" s="2" t="s">
        <v>205</v>
      </c>
      <c r="L2928" s="2" t="s">
        <v>206</v>
      </c>
      <c r="M2928" s="2" t="s">
        <v>119</v>
      </c>
      <c r="N2928" s="4" t="str">
        <f t="shared" si="271"/>
        <v>TON</v>
      </c>
      <c r="O2928" s="5">
        <v>5.0175000000000001</v>
      </c>
    </row>
    <row r="2929" spans="2:15" x14ac:dyDescent="0.25">
      <c r="B2929" s="1" t="s">
        <v>1520</v>
      </c>
      <c r="C2929" s="2" t="s">
        <v>196</v>
      </c>
      <c r="D2929" s="2" t="s">
        <v>280</v>
      </c>
      <c r="E2929" s="2" t="s">
        <v>699</v>
      </c>
      <c r="F2929" s="3">
        <f>DATE(2023,10,23)</f>
        <v>45222</v>
      </c>
      <c r="G2929" s="4">
        <f t="shared" si="270"/>
        <v>10</v>
      </c>
      <c r="H2929" s="4">
        <f t="shared" si="268"/>
        <v>2023</v>
      </c>
      <c r="I2929" s="2" t="s">
        <v>4</v>
      </c>
      <c r="J2929" s="2" t="s">
        <v>3799</v>
      </c>
      <c r="K2929" s="2" t="s">
        <v>117</v>
      </c>
      <c r="L2929" s="2" t="s">
        <v>118</v>
      </c>
      <c r="M2929" s="2" t="s">
        <v>119</v>
      </c>
      <c r="N2929" s="4" t="str">
        <f t="shared" si="271"/>
        <v>TON</v>
      </c>
      <c r="O2929" s="5">
        <v>10.0075</v>
      </c>
    </row>
    <row r="2930" spans="2:15" x14ac:dyDescent="0.25">
      <c r="B2930" s="1" t="s">
        <v>1520</v>
      </c>
      <c r="C2930" s="2" t="s">
        <v>196</v>
      </c>
      <c r="D2930" s="2" t="s">
        <v>303</v>
      </c>
      <c r="E2930" s="2" t="s">
        <v>942</v>
      </c>
      <c r="F2930" s="3">
        <f>DATE(2023,10,20)</f>
        <v>45219</v>
      </c>
      <c r="G2930" s="4">
        <f t="shared" si="270"/>
        <v>10</v>
      </c>
      <c r="H2930" s="4">
        <f t="shared" si="268"/>
        <v>2023</v>
      </c>
      <c r="I2930" s="2" t="s">
        <v>4</v>
      </c>
      <c r="J2930" s="2" t="s">
        <v>3800</v>
      </c>
      <c r="K2930" s="2" t="s">
        <v>2635</v>
      </c>
      <c r="L2930" s="2" t="s">
        <v>2636</v>
      </c>
      <c r="M2930" s="2" t="s">
        <v>119</v>
      </c>
      <c r="N2930" s="4" t="str">
        <f t="shared" si="271"/>
        <v>TON</v>
      </c>
      <c r="O2930" s="5">
        <v>5.0025000000000004</v>
      </c>
    </row>
    <row r="2931" spans="2:15" x14ac:dyDescent="0.25">
      <c r="B2931" s="1" t="s">
        <v>1520</v>
      </c>
      <c r="C2931" s="2" t="s">
        <v>196</v>
      </c>
      <c r="D2931" s="2" t="s">
        <v>303</v>
      </c>
      <c r="E2931" s="2" t="s">
        <v>942</v>
      </c>
      <c r="F2931" s="3">
        <f>DATE(2023,10,20)</f>
        <v>45219</v>
      </c>
      <c r="G2931" s="4">
        <f t="shared" si="270"/>
        <v>10</v>
      </c>
      <c r="H2931" s="4">
        <f t="shared" si="268"/>
        <v>2023</v>
      </c>
      <c r="I2931" s="2" t="s">
        <v>4</v>
      </c>
      <c r="J2931" s="2" t="s">
        <v>3800</v>
      </c>
      <c r="K2931" s="2" t="s">
        <v>3726</v>
      </c>
      <c r="L2931" s="2" t="s">
        <v>3727</v>
      </c>
      <c r="M2931" s="2" t="s">
        <v>145</v>
      </c>
      <c r="N2931" s="4" t="str">
        <f t="shared" si="271"/>
        <v>GAL</v>
      </c>
      <c r="O2931" s="5">
        <v>1.875</v>
      </c>
    </row>
    <row r="2932" spans="2:15" x14ac:dyDescent="0.25">
      <c r="B2932" s="1" t="s">
        <v>1520</v>
      </c>
      <c r="C2932" s="2" t="s">
        <v>196</v>
      </c>
      <c r="D2932" s="2" t="s">
        <v>704</v>
      </c>
      <c r="E2932" s="2" t="s">
        <v>705</v>
      </c>
      <c r="F2932" s="3">
        <f t="shared" ref="F2932:F2942" si="276">DATE(2023,10,23)</f>
        <v>45222</v>
      </c>
      <c r="G2932" s="4">
        <f t="shared" si="270"/>
        <v>10</v>
      </c>
      <c r="H2932" s="4">
        <f t="shared" si="268"/>
        <v>2023</v>
      </c>
      <c r="I2932" s="2" t="s">
        <v>4</v>
      </c>
      <c r="J2932" s="2" t="s">
        <v>3801</v>
      </c>
      <c r="K2932" s="2" t="s">
        <v>205</v>
      </c>
      <c r="L2932" s="2" t="s">
        <v>206</v>
      </c>
      <c r="M2932" s="2" t="s">
        <v>119</v>
      </c>
      <c r="N2932" s="4" t="str">
        <f t="shared" si="271"/>
        <v>TON</v>
      </c>
      <c r="O2932" s="5">
        <v>10</v>
      </c>
    </row>
    <row r="2933" spans="2:15" x14ac:dyDescent="0.25">
      <c r="B2933" s="1" t="s">
        <v>1520</v>
      </c>
      <c r="C2933" s="2" t="s">
        <v>196</v>
      </c>
      <c r="D2933" s="2" t="s">
        <v>299</v>
      </c>
      <c r="E2933" s="2" t="s">
        <v>300</v>
      </c>
      <c r="F2933" s="3">
        <f t="shared" si="276"/>
        <v>45222</v>
      </c>
      <c r="G2933" s="4">
        <f t="shared" si="270"/>
        <v>10</v>
      </c>
      <c r="H2933" s="4">
        <f t="shared" si="268"/>
        <v>2023</v>
      </c>
      <c r="I2933" s="2" t="s">
        <v>4</v>
      </c>
      <c r="J2933" s="2" t="s">
        <v>3802</v>
      </c>
      <c r="K2933" s="2" t="s">
        <v>117</v>
      </c>
      <c r="L2933" s="2" t="s">
        <v>118</v>
      </c>
      <c r="M2933" s="2" t="s">
        <v>119</v>
      </c>
      <c r="N2933" s="4" t="str">
        <f t="shared" si="271"/>
        <v>TON</v>
      </c>
      <c r="O2933" s="5">
        <v>15</v>
      </c>
    </row>
    <row r="2934" spans="2:15" x14ac:dyDescent="0.25">
      <c r="B2934" s="1" t="s">
        <v>1520</v>
      </c>
      <c r="C2934" s="2" t="s">
        <v>196</v>
      </c>
      <c r="D2934" s="2" t="s">
        <v>299</v>
      </c>
      <c r="E2934" s="2" t="s">
        <v>713</v>
      </c>
      <c r="F2934" s="3">
        <f t="shared" si="276"/>
        <v>45222</v>
      </c>
      <c r="G2934" s="4">
        <f t="shared" si="270"/>
        <v>10</v>
      </c>
      <c r="H2934" s="4">
        <f t="shared" si="268"/>
        <v>2023</v>
      </c>
      <c r="I2934" s="2" t="s">
        <v>4</v>
      </c>
      <c r="J2934" s="2" t="s">
        <v>3803</v>
      </c>
      <c r="K2934" s="2" t="s">
        <v>117</v>
      </c>
      <c r="L2934" s="2" t="s">
        <v>118</v>
      </c>
      <c r="M2934" s="2" t="s">
        <v>119</v>
      </c>
      <c r="N2934" s="4" t="str">
        <f t="shared" si="271"/>
        <v>TON</v>
      </c>
      <c r="O2934" s="5">
        <v>15.01</v>
      </c>
    </row>
    <row r="2935" spans="2:15" x14ac:dyDescent="0.25">
      <c r="B2935" s="1" t="s">
        <v>1520</v>
      </c>
      <c r="C2935" s="2" t="s">
        <v>196</v>
      </c>
      <c r="D2935" s="2" t="s">
        <v>221</v>
      </c>
      <c r="E2935" s="2" t="s">
        <v>2660</v>
      </c>
      <c r="F2935" s="3">
        <f t="shared" si="276"/>
        <v>45222</v>
      </c>
      <c r="G2935" s="4">
        <f t="shared" si="270"/>
        <v>10</v>
      </c>
      <c r="H2935" s="4">
        <f t="shared" si="268"/>
        <v>2023</v>
      </c>
      <c r="I2935" s="2" t="s">
        <v>4</v>
      </c>
      <c r="J2935" s="2" t="s">
        <v>3804</v>
      </c>
      <c r="K2935" s="2" t="s">
        <v>205</v>
      </c>
      <c r="L2935" s="2" t="s">
        <v>206</v>
      </c>
      <c r="M2935" s="2" t="s">
        <v>119</v>
      </c>
      <c r="N2935" s="4" t="str">
        <f t="shared" si="271"/>
        <v>TON</v>
      </c>
      <c r="O2935" s="5">
        <v>1.2649999999999999</v>
      </c>
    </row>
    <row r="2936" spans="2:15" x14ac:dyDescent="0.25">
      <c r="B2936" s="1" t="s">
        <v>1520</v>
      </c>
      <c r="C2936" s="2" t="s">
        <v>196</v>
      </c>
      <c r="D2936" s="2" t="s">
        <v>303</v>
      </c>
      <c r="E2936" s="2" t="s">
        <v>501</v>
      </c>
      <c r="F2936" s="3">
        <f t="shared" si="276"/>
        <v>45222</v>
      </c>
      <c r="G2936" s="4">
        <f t="shared" si="270"/>
        <v>10</v>
      </c>
      <c r="H2936" s="4">
        <f t="shared" si="268"/>
        <v>2023</v>
      </c>
      <c r="I2936" s="2" t="s">
        <v>4</v>
      </c>
      <c r="J2936" s="2" t="s">
        <v>3805</v>
      </c>
      <c r="K2936" s="2" t="s">
        <v>2635</v>
      </c>
      <c r="L2936" s="2" t="s">
        <v>2636</v>
      </c>
      <c r="M2936" s="2" t="s">
        <v>119</v>
      </c>
      <c r="N2936" s="4" t="str">
        <f t="shared" si="271"/>
        <v>TON</v>
      </c>
      <c r="O2936" s="5">
        <v>4.9924999999999997</v>
      </c>
    </row>
    <row r="2937" spans="2:15" x14ac:dyDescent="0.25">
      <c r="B2937" s="1" t="s">
        <v>1520</v>
      </c>
      <c r="C2937" s="2" t="s">
        <v>196</v>
      </c>
      <c r="D2937" s="2" t="s">
        <v>303</v>
      </c>
      <c r="E2937" s="2" t="s">
        <v>501</v>
      </c>
      <c r="F2937" s="3">
        <f t="shared" si="276"/>
        <v>45222</v>
      </c>
      <c r="G2937" s="4">
        <f t="shared" si="270"/>
        <v>10</v>
      </c>
      <c r="H2937" s="4">
        <f t="shared" si="268"/>
        <v>2023</v>
      </c>
      <c r="I2937" s="2" t="s">
        <v>4</v>
      </c>
      <c r="J2937" s="2" t="s">
        <v>3805</v>
      </c>
      <c r="K2937" s="2" t="s">
        <v>3726</v>
      </c>
      <c r="L2937" s="2" t="s">
        <v>3727</v>
      </c>
      <c r="M2937" s="2" t="s">
        <v>145</v>
      </c>
      <c r="N2937" s="4" t="str">
        <f t="shared" si="271"/>
        <v>GAL</v>
      </c>
      <c r="O2937" s="5">
        <v>1.875</v>
      </c>
    </row>
    <row r="2938" spans="2:15" x14ac:dyDescent="0.25">
      <c r="B2938" s="1" t="s">
        <v>1520</v>
      </c>
      <c r="C2938" s="2" t="s">
        <v>196</v>
      </c>
      <c r="D2938" s="2" t="s">
        <v>294</v>
      </c>
      <c r="E2938" s="2" t="s">
        <v>295</v>
      </c>
      <c r="F2938" s="3">
        <f t="shared" si="276"/>
        <v>45222</v>
      </c>
      <c r="G2938" s="4">
        <f t="shared" si="270"/>
        <v>10</v>
      </c>
      <c r="H2938" s="4">
        <f t="shared" si="268"/>
        <v>2023</v>
      </c>
      <c r="I2938" s="2" t="s">
        <v>4</v>
      </c>
      <c r="J2938" s="2" t="s">
        <v>3806</v>
      </c>
      <c r="K2938" s="2" t="s">
        <v>122</v>
      </c>
      <c r="L2938" s="2" t="s">
        <v>123</v>
      </c>
      <c r="M2938" s="2" t="s">
        <v>119</v>
      </c>
      <c r="N2938" s="4" t="str">
        <f t="shared" si="271"/>
        <v>TON</v>
      </c>
      <c r="O2938" s="5">
        <v>7.5</v>
      </c>
    </row>
    <row r="2939" spans="2:15" x14ac:dyDescent="0.25">
      <c r="B2939" s="1" t="s">
        <v>1520</v>
      </c>
      <c r="C2939" s="2" t="s">
        <v>196</v>
      </c>
      <c r="D2939" s="2" t="s">
        <v>265</v>
      </c>
      <c r="E2939" s="2" t="s">
        <v>266</v>
      </c>
      <c r="F2939" s="3">
        <f t="shared" si="276"/>
        <v>45222</v>
      </c>
      <c r="G2939" s="4">
        <f t="shared" si="270"/>
        <v>10</v>
      </c>
      <c r="H2939" s="4">
        <f t="shared" ref="H2939:H3002" si="277">+YEAR(F2939)</f>
        <v>2023</v>
      </c>
      <c r="I2939" s="2" t="s">
        <v>4</v>
      </c>
      <c r="J2939" s="2" t="s">
        <v>3807</v>
      </c>
      <c r="K2939" s="2" t="s">
        <v>268</v>
      </c>
      <c r="L2939" s="2" t="s">
        <v>269</v>
      </c>
      <c r="M2939" s="2" t="s">
        <v>119</v>
      </c>
      <c r="N2939" s="4" t="str">
        <f t="shared" si="271"/>
        <v>TON</v>
      </c>
      <c r="O2939" s="5">
        <v>0.3</v>
      </c>
    </row>
    <row r="2940" spans="2:15" x14ac:dyDescent="0.25">
      <c r="B2940" s="1" t="s">
        <v>1520</v>
      </c>
      <c r="C2940" s="2" t="s">
        <v>196</v>
      </c>
      <c r="D2940" s="2" t="s">
        <v>800</v>
      </c>
      <c r="E2940" s="2" t="s">
        <v>907</v>
      </c>
      <c r="F2940" s="3">
        <f t="shared" si="276"/>
        <v>45222</v>
      </c>
      <c r="G2940" s="4">
        <f t="shared" si="270"/>
        <v>10</v>
      </c>
      <c r="H2940" s="4">
        <f t="shared" si="277"/>
        <v>2023</v>
      </c>
      <c r="I2940" s="2" t="s">
        <v>4</v>
      </c>
      <c r="J2940" s="2" t="s">
        <v>3808</v>
      </c>
      <c r="K2940" s="2" t="s">
        <v>329</v>
      </c>
      <c r="L2940" s="2" t="s">
        <v>330</v>
      </c>
      <c r="M2940" s="2" t="s">
        <v>119</v>
      </c>
      <c r="N2940" s="4" t="str">
        <f t="shared" si="271"/>
        <v>TON</v>
      </c>
      <c r="O2940" s="5">
        <v>3.0049999999999999</v>
      </c>
    </row>
    <row r="2941" spans="2:15" x14ac:dyDescent="0.25">
      <c r="B2941" s="1" t="s">
        <v>1520</v>
      </c>
      <c r="C2941" s="2" t="s">
        <v>196</v>
      </c>
      <c r="D2941" s="2" t="s">
        <v>317</v>
      </c>
      <c r="E2941" s="2" t="s">
        <v>366</v>
      </c>
      <c r="F2941" s="3">
        <f t="shared" si="276"/>
        <v>45222</v>
      </c>
      <c r="G2941" s="4">
        <f t="shared" si="270"/>
        <v>10</v>
      </c>
      <c r="H2941" s="4">
        <f t="shared" si="277"/>
        <v>2023</v>
      </c>
      <c r="I2941" s="2" t="s">
        <v>4</v>
      </c>
      <c r="J2941" s="2" t="s">
        <v>3809</v>
      </c>
      <c r="K2941" s="2" t="s">
        <v>117</v>
      </c>
      <c r="L2941" s="2" t="s">
        <v>118</v>
      </c>
      <c r="M2941" s="2" t="s">
        <v>119</v>
      </c>
      <c r="N2941" s="4" t="str">
        <f t="shared" si="271"/>
        <v>TON</v>
      </c>
      <c r="O2941" s="5">
        <v>5.01</v>
      </c>
    </row>
    <row r="2942" spans="2:15" x14ac:dyDescent="0.25">
      <c r="B2942" s="1" t="s">
        <v>1520</v>
      </c>
      <c r="C2942" s="2" t="s">
        <v>196</v>
      </c>
      <c r="D2942" s="2" t="s">
        <v>241</v>
      </c>
      <c r="E2942" s="2" t="s">
        <v>242</v>
      </c>
      <c r="F2942" s="3">
        <f t="shared" si="276"/>
        <v>45222</v>
      </c>
      <c r="G2942" s="4">
        <f t="shared" si="270"/>
        <v>10</v>
      </c>
      <c r="H2942" s="4">
        <f t="shared" si="277"/>
        <v>2023</v>
      </c>
      <c r="I2942" s="2" t="s">
        <v>4</v>
      </c>
      <c r="J2942" s="2" t="s">
        <v>3810</v>
      </c>
      <c r="K2942" s="2" t="s">
        <v>260</v>
      </c>
      <c r="L2942" s="2" t="s">
        <v>261</v>
      </c>
      <c r="M2942" s="2" t="s">
        <v>119</v>
      </c>
      <c r="N2942" s="4" t="str">
        <f t="shared" si="271"/>
        <v>TON</v>
      </c>
      <c r="O2942" s="5">
        <v>2.25</v>
      </c>
    </row>
    <row r="2943" spans="2:15" x14ac:dyDescent="0.25">
      <c r="B2943" s="1" t="s">
        <v>1520</v>
      </c>
      <c r="C2943" s="2" t="s">
        <v>196</v>
      </c>
      <c r="D2943" s="2" t="s">
        <v>227</v>
      </c>
      <c r="E2943" s="2" t="s">
        <v>56</v>
      </c>
      <c r="F2943" s="3">
        <f t="shared" ref="F2943:F2953" si="278">DATE(2023,10,24)</f>
        <v>45223</v>
      </c>
      <c r="G2943" s="4">
        <f t="shared" si="270"/>
        <v>10</v>
      </c>
      <c r="H2943" s="4">
        <f t="shared" si="277"/>
        <v>2023</v>
      </c>
      <c r="I2943" s="2" t="s">
        <v>4</v>
      </c>
      <c r="J2943" s="2" t="s">
        <v>3811</v>
      </c>
      <c r="K2943" s="2" t="s">
        <v>205</v>
      </c>
      <c r="L2943" s="2" t="s">
        <v>206</v>
      </c>
      <c r="M2943" s="2" t="s">
        <v>119</v>
      </c>
      <c r="N2943" s="4" t="str">
        <f t="shared" si="271"/>
        <v>TON</v>
      </c>
      <c r="O2943" s="5">
        <v>9</v>
      </c>
    </row>
    <row r="2944" spans="2:15" x14ac:dyDescent="0.25">
      <c r="B2944" s="1" t="s">
        <v>1520</v>
      </c>
      <c r="C2944" s="2" t="s">
        <v>196</v>
      </c>
      <c r="D2944" s="2" t="s">
        <v>280</v>
      </c>
      <c r="E2944" s="2" t="s">
        <v>371</v>
      </c>
      <c r="F2944" s="3">
        <f t="shared" si="278"/>
        <v>45223</v>
      </c>
      <c r="G2944" s="4">
        <f t="shared" si="270"/>
        <v>10</v>
      </c>
      <c r="H2944" s="4">
        <f t="shared" si="277"/>
        <v>2023</v>
      </c>
      <c r="I2944" s="2" t="s">
        <v>4</v>
      </c>
      <c r="J2944" s="2" t="s">
        <v>3812</v>
      </c>
      <c r="K2944" s="2" t="s">
        <v>117</v>
      </c>
      <c r="L2944" s="2" t="s">
        <v>118</v>
      </c>
      <c r="M2944" s="2" t="s">
        <v>119</v>
      </c>
      <c r="N2944" s="4" t="str">
        <f t="shared" si="271"/>
        <v>TON</v>
      </c>
      <c r="O2944" s="5">
        <v>12</v>
      </c>
    </row>
    <row r="2945" spans="2:15" x14ac:dyDescent="0.25">
      <c r="B2945" s="1" t="s">
        <v>1520</v>
      </c>
      <c r="C2945" s="2" t="s">
        <v>196</v>
      </c>
      <c r="D2945" s="2" t="s">
        <v>114</v>
      </c>
      <c r="E2945" s="2" t="s">
        <v>3751</v>
      </c>
      <c r="F2945" s="3">
        <f t="shared" si="278"/>
        <v>45223</v>
      </c>
      <c r="G2945" s="4">
        <f t="shared" si="270"/>
        <v>10</v>
      </c>
      <c r="H2945" s="4">
        <f t="shared" si="277"/>
        <v>2023</v>
      </c>
      <c r="I2945" s="2" t="s">
        <v>4</v>
      </c>
      <c r="J2945" s="2" t="s">
        <v>3813</v>
      </c>
      <c r="K2945" s="2" t="s">
        <v>117</v>
      </c>
      <c r="L2945" s="2" t="s">
        <v>118</v>
      </c>
      <c r="M2945" s="2" t="s">
        <v>119</v>
      </c>
      <c r="N2945" s="4" t="str">
        <f t="shared" si="271"/>
        <v>TON</v>
      </c>
      <c r="O2945" s="5">
        <v>12.75</v>
      </c>
    </row>
    <row r="2946" spans="2:15" x14ac:dyDescent="0.25">
      <c r="B2946" s="1" t="s">
        <v>1520</v>
      </c>
      <c r="C2946" s="2" t="s">
        <v>196</v>
      </c>
      <c r="D2946" s="2" t="s">
        <v>973</v>
      </c>
      <c r="E2946" s="2" t="s">
        <v>974</v>
      </c>
      <c r="F2946" s="3">
        <f t="shared" si="278"/>
        <v>45223</v>
      </c>
      <c r="G2946" s="4">
        <f t="shared" si="270"/>
        <v>10</v>
      </c>
      <c r="H2946" s="4">
        <f t="shared" si="277"/>
        <v>2023</v>
      </c>
      <c r="I2946" s="2" t="s">
        <v>4</v>
      </c>
      <c r="J2946" s="2" t="s">
        <v>3814</v>
      </c>
      <c r="K2946" s="2" t="s">
        <v>820</v>
      </c>
      <c r="L2946" s="2" t="s">
        <v>416</v>
      </c>
      <c r="M2946" s="2" t="s">
        <v>417</v>
      </c>
      <c r="N2946" s="4" t="str">
        <f t="shared" si="271"/>
        <v>GAL</v>
      </c>
      <c r="O2946" s="5">
        <v>5</v>
      </c>
    </row>
    <row r="2947" spans="2:15" x14ac:dyDescent="0.25">
      <c r="B2947" s="1" t="s">
        <v>1520</v>
      </c>
      <c r="C2947" s="2" t="s">
        <v>196</v>
      </c>
      <c r="D2947" s="2" t="s">
        <v>973</v>
      </c>
      <c r="E2947" s="2" t="s">
        <v>974</v>
      </c>
      <c r="F2947" s="3">
        <f t="shared" si="278"/>
        <v>45223</v>
      </c>
      <c r="G2947" s="4">
        <f t="shared" ref="G2947:G3010" si="279">+MONTH(F2947)</f>
        <v>10</v>
      </c>
      <c r="H2947" s="4">
        <f t="shared" si="277"/>
        <v>2023</v>
      </c>
      <c r="I2947" s="2" t="s">
        <v>4</v>
      </c>
      <c r="J2947" s="2" t="s">
        <v>3815</v>
      </c>
      <c r="K2947" s="2" t="s">
        <v>122</v>
      </c>
      <c r="L2947" s="2" t="s">
        <v>123</v>
      </c>
      <c r="M2947" s="2" t="s">
        <v>119</v>
      </c>
      <c r="N2947" s="4" t="str">
        <f t="shared" ref="N2947:N3010" si="280">+LEFT(M2947,3)</f>
        <v>TON</v>
      </c>
      <c r="O2947" s="5">
        <v>1.01</v>
      </c>
    </row>
    <row r="2948" spans="2:15" x14ac:dyDescent="0.25">
      <c r="B2948" s="1" t="s">
        <v>1520</v>
      </c>
      <c r="C2948" s="2" t="s">
        <v>196</v>
      </c>
      <c r="D2948" s="2" t="s">
        <v>444</v>
      </c>
      <c r="E2948" s="2" t="s">
        <v>686</v>
      </c>
      <c r="F2948" s="3">
        <f t="shared" si="278"/>
        <v>45223</v>
      </c>
      <c r="G2948" s="4">
        <f t="shared" si="279"/>
        <v>10</v>
      </c>
      <c r="H2948" s="4">
        <f t="shared" si="277"/>
        <v>2023</v>
      </c>
      <c r="I2948" s="2" t="s">
        <v>4</v>
      </c>
      <c r="J2948" s="2" t="s">
        <v>3816</v>
      </c>
      <c r="K2948" s="2" t="s">
        <v>324</v>
      </c>
      <c r="L2948" s="2" t="s">
        <v>325</v>
      </c>
      <c r="M2948" s="2" t="s">
        <v>119</v>
      </c>
      <c r="N2948" s="4" t="str">
        <f t="shared" si="280"/>
        <v>TON</v>
      </c>
      <c r="O2948" s="5">
        <v>1.2575000000000001</v>
      </c>
    </row>
    <row r="2949" spans="2:15" x14ac:dyDescent="0.25">
      <c r="B2949" s="1" t="s">
        <v>1520</v>
      </c>
      <c r="C2949" s="2" t="s">
        <v>196</v>
      </c>
      <c r="D2949" s="2" t="s">
        <v>452</v>
      </c>
      <c r="E2949" s="2" t="s">
        <v>222</v>
      </c>
      <c r="F2949" s="3">
        <f t="shared" si="278"/>
        <v>45223</v>
      </c>
      <c r="G2949" s="4">
        <f t="shared" si="279"/>
        <v>10</v>
      </c>
      <c r="H2949" s="4">
        <f t="shared" si="277"/>
        <v>2023</v>
      </c>
      <c r="I2949" s="2" t="s">
        <v>4</v>
      </c>
      <c r="J2949" s="2" t="s">
        <v>3817</v>
      </c>
      <c r="K2949" s="2" t="s">
        <v>205</v>
      </c>
      <c r="L2949" s="2" t="s">
        <v>206</v>
      </c>
      <c r="M2949" s="2" t="s">
        <v>119</v>
      </c>
      <c r="N2949" s="4" t="str">
        <f t="shared" si="280"/>
        <v>TON</v>
      </c>
      <c r="O2949" s="5">
        <v>2.5049999999999999</v>
      </c>
    </row>
    <row r="2950" spans="2:15" x14ac:dyDescent="0.25">
      <c r="B2950" s="1" t="s">
        <v>1520</v>
      </c>
      <c r="C2950" s="2" t="s">
        <v>196</v>
      </c>
      <c r="D2950" s="2" t="s">
        <v>303</v>
      </c>
      <c r="E2950" s="2" t="s">
        <v>3818</v>
      </c>
      <c r="F2950" s="3">
        <f t="shared" si="278"/>
        <v>45223</v>
      </c>
      <c r="G2950" s="4">
        <f t="shared" si="279"/>
        <v>10</v>
      </c>
      <c r="H2950" s="4">
        <f t="shared" si="277"/>
        <v>2023</v>
      </c>
      <c r="I2950" s="2" t="s">
        <v>4</v>
      </c>
      <c r="J2950" s="2" t="s">
        <v>3819</v>
      </c>
      <c r="K2950" s="2" t="s">
        <v>2635</v>
      </c>
      <c r="L2950" s="2" t="s">
        <v>2636</v>
      </c>
      <c r="M2950" s="2" t="s">
        <v>119</v>
      </c>
      <c r="N2950" s="4" t="str">
        <f t="shared" si="280"/>
        <v>TON</v>
      </c>
      <c r="O2950" s="5">
        <v>5.01</v>
      </c>
    </row>
    <row r="2951" spans="2:15" x14ac:dyDescent="0.25">
      <c r="B2951" s="1" t="s">
        <v>1520</v>
      </c>
      <c r="C2951" s="2" t="s">
        <v>196</v>
      </c>
      <c r="D2951" s="2" t="s">
        <v>303</v>
      </c>
      <c r="E2951" s="2" t="s">
        <v>3818</v>
      </c>
      <c r="F2951" s="3">
        <f t="shared" si="278"/>
        <v>45223</v>
      </c>
      <c r="G2951" s="4">
        <f t="shared" si="279"/>
        <v>10</v>
      </c>
      <c r="H2951" s="4">
        <f t="shared" si="277"/>
        <v>2023</v>
      </c>
      <c r="I2951" s="2" t="s">
        <v>4</v>
      </c>
      <c r="J2951" s="2" t="s">
        <v>3819</v>
      </c>
      <c r="K2951" s="2" t="s">
        <v>3726</v>
      </c>
      <c r="L2951" s="2" t="s">
        <v>3727</v>
      </c>
      <c r="M2951" s="2" t="s">
        <v>145</v>
      </c>
      <c r="N2951" s="4" t="str">
        <f t="shared" si="280"/>
        <v>GAL</v>
      </c>
      <c r="O2951" s="5">
        <v>1.875</v>
      </c>
    </row>
    <row r="2952" spans="2:15" x14ac:dyDescent="0.25">
      <c r="B2952" s="1" t="s">
        <v>1520</v>
      </c>
      <c r="C2952" s="2" t="s">
        <v>196</v>
      </c>
      <c r="D2952" s="2" t="s">
        <v>437</v>
      </c>
      <c r="E2952" s="2" t="s">
        <v>3820</v>
      </c>
      <c r="F2952" s="3">
        <f t="shared" si="278"/>
        <v>45223</v>
      </c>
      <c r="G2952" s="4">
        <f t="shared" si="279"/>
        <v>10</v>
      </c>
      <c r="H2952" s="4">
        <f t="shared" si="277"/>
        <v>2023</v>
      </c>
      <c r="I2952" s="2" t="s">
        <v>4</v>
      </c>
      <c r="J2952" s="2" t="s">
        <v>3821</v>
      </c>
      <c r="K2952" s="2" t="s">
        <v>447</v>
      </c>
      <c r="L2952" s="2" t="s">
        <v>448</v>
      </c>
      <c r="M2952" s="2" t="s">
        <v>119</v>
      </c>
      <c r="N2952" s="4" t="str">
        <f t="shared" si="280"/>
        <v>TON</v>
      </c>
      <c r="O2952" s="5">
        <v>2.5150000000000001</v>
      </c>
    </row>
    <row r="2953" spans="2:15" x14ac:dyDescent="0.25">
      <c r="B2953" s="1" t="s">
        <v>1520</v>
      </c>
      <c r="C2953" s="2" t="s">
        <v>196</v>
      </c>
      <c r="D2953" s="2" t="s">
        <v>3767</v>
      </c>
      <c r="E2953" s="2" t="s">
        <v>271</v>
      </c>
      <c r="F2953" s="3">
        <f t="shared" si="278"/>
        <v>45223</v>
      </c>
      <c r="G2953" s="4">
        <f t="shared" si="279"/>
        <v>10</v>
      </c>
      <c r="H2953" s="4">
        <f t="shared" si="277"/>
        <v>2023</v>
      </c>
      <c r="I2953" s="2" t="s">
        <v>4</v>
      </c>
      <c r="J2953" s="2" t="s">
        <v>3822</v>
      </c>
      <c r="K2953" s="2" t="s">
        <v>205</v>
      </c>
      <c r="L2953" s="2" t="s">
        <v>206</v>
      </c>
      <c r="M2953" s="2" t="s">
        <v>119</v>
      </c>
      <c r="N2953" s="4" t="str">
        <f t="shared" si="280"/>
        <v>TON</v>
      </c>
      <c r="O2953" s="5">
        <v>5.0175000000000001</v>
      </c>
    </row>
    <row r="2954" spans="2:15" x14ac:dyDescent="0.25">
      <c r="B2954" s="1" t="s">
        <v>1520</v>
      </c>
      <c r="C2954" s="2" t="s">
        <v>196</v>
      </c>
      <c r="D2954" s="2" t="s">
        <v>207</v>
      </c>
      <c r="E2954" s="2" t="s">
        <v>208</v>
      </c>
      <c r="F2954" s="3">
        <f>DATE(2023,10,25)</f>
        <v>45224</v>
      </c>
      <c r="G2954" s="4">
        <f t="shared" si="279"/>
        <v>10</v>
      </c>
      <c r="H2954" s="4">
        <f t="shared" si="277"/>
        <v>2023</v>
      </c>
      <c r="I2954" s="2" t="s">
        <v>4</v>
      </c>
      <c r="J2954" s="2" t="s">
        <v>3823</v>
      </c>
      <c r="K2954" s="2" t="s">
        <v>205</v>
      </c>
      <c r="L2954" s="2" t="s">
        <v>206</v>
      </c>
      <c r="M2954" s="2" t="s">
        <v>119</v>
      </c>
      <c r="N2954" s="4" t="str">
        <f t="shared" si="280"/>
        <v>TON</v>
      </c>
      <c r="O2954" s="5">
        <v>5.0175000000000001</v>
      </c>
    </row>
    <row r="2955" spans="2:15" x14ac:dyDescent="0.25">
      <c r="B2955" s="1" t="s">
        <v>1520</v>
      </c>
      <c r="C2955" s="2" t="s">
        <v>196</v>
      </c>
      <c r="D2955" s="2" t="s">
        <v>262</v>
      </c>
      <c r="E2955" s="2" t="s">
        <v>1170</v>
      </c>
      <c r="F2955" s="3">
        <f t="shared" ref="F2955:F2961" si="281">DATE(2023,10,26)</f>
        <v>45225</v>
      </c>
      <c r="G2955" s="4">
        <f t="shared" si="279"/>
        <v>10</v>
      </c>
      <c r="H2955" s="4">
        <f t="shared" si="277"/>
        <v>2023</v>
      </c>
      <c r="I2955" s="2" t="s">
        <v>4</v>
      </c>
      <c r="J2955" s="2" t="s">
        <v>3824</v>
      </c>
      <c r="K2955" s="2" t="s">
        <v>205</v>
      </c>
      <c r="L2955" s="2" t="s">
        <v>206</v>
      </c>
      <c r="M2955" s="2" t="s">
        <v>119</v>
      </c>
      <c r="N2955" s="4" t="str">
        <f t="shared" si="280"/>
        <v>TON</v>
      </c>
      <c r="O2955" s="5">
        <v>13.5</v>
      </c>
    </row>
    <row r="2956" spans="2:15" x14ac:dyDescent="0.25">
      <c r="B2956" s="1" t="s">
        <v>1520</v>
      </c>
      <c r="C2956" s="2" t="s">
        <v>196</v>
      </c>
      <c r="D2956" s="2" t="s">
        <v>321</v>
      </c>
      <c r="E2956" s="2" t="s">
        <v>353</v>
      </c>
      <c r="F2956" s="3">
        <f t="shared" si="281"/>
        <v>45225</v>
      </c>
      <c r="G2956" s="4">
        <f t="shared" si="279"/>
        <v>10</v>
      </c>
      <c r="H2956" s="4">
        <f t="shared" si="277"/>
        <v>2023</v>
      </c>
      <c r="I2956" s="2" t="s">
        <v>4</v>
      </c>
      <c r="J2956" s="2" t="s">
        <v>3825</v>
      </c>
      <c r="K2956" s="2" t="s">
        <v>324</v>
      </c>
      <c r="L2956" s="2" t="s">
        <v>325</v>
      </c>
      <c r="M2956" s="2" t="s">
        <v>119</v>
      </c>
      <c r="N2956" s="4" t="str">
        <f t="shared" si="280"/>
        <v>TON</v>
      </c>
      <c r="O2956" s="5">
        <v>10</v>
      </c>
    </row>
    <row r="2957" spans="2:15" x14ac:dyDescent="0.25">
      <c r="B2957" s="1" t="s">
        <v>1520</v>
      </c>
      <c r="C2957" s="2" t="s">
        <v>196</v>
      </c>
      <c r="D2957" s="2" t="s">
        <v>262</v>
      </c>
      <c r="E2957" s="2" t="s">
        <v>290</v>
      </c>
      <c r="F2957" s="3">
        <f t="shared" si="281"/>
        <v>45225</v>
      </c>
      <c r="G2957" s="4">
        <f t="shared" si="279"/>
        <v>10</v>
      </c>
      <c r="H2957" s="4">
        <f t="shared" si="277"/>
        <v>2023</v>
      </c>
      <c r="I2957" s="2" t="s">
        <v>4</v>
      </c>
      <c r="J2957" s="2" t="s">
        <v>3826</v>
      </c>
      <c r="K2957" s="2" t="s">
        <v>205</v>
      </c>
      <c r="L2957" s="2" t="s">
        <v>206</v>
      </c>
      <c r="M2957" s="2" t="s">
        <v>119</v>
      </c>
      <c r="N2957" s="4" t="str">
        <f t="shared" si="280"/>
        <v>TON</v>
      </c>
      <c r="O2957" s="5">
        <v>9.75</v>
      </c>
    </row>
    <row r="2958" spans="2:15" x14ac:dyDescent="0.25">
      <c r="B2958" s="1" t="s">
        <v>1520</v>
      </c>
      <c r="C2958" s="2" t="s">
        <v>196</v>
      </c>
      <c r="D2958" s="2" t="s">
        <v>248</v>
      </c>
      <c r="E2958" s="2" t="s">
        <v>249</v>
      </c>
      <c r="F2958" s="3">
        <f t="shared" si="281"/>
        <v>45225</v>
      </c>
      <c r="G2958" s="4">
        <f t="shared" si="279"/>
        <v>10</v>
      </c>
      <c r="H2958" s="4">
        <f t="shared" si="277"/>
        <v>2023</v>
      </c>
      <c r="I2958" s="2" t="s">
        <v>4</v>
      </c>
      <c r="J2958" s="2" t="s">
        <v>3827</v>
      </c>
      <c r="K2958" s="2" t="s">
        <v>3606</v>
      </c>
      <c r="L2958" s="2" t="s">
        <v>3607</v>
      </c>
      <c r="M2958" s="2" t="s">
        <v>119</v>
      </c>
      <c r="N2958" s="4" t="str">
        <f t="shared" si="280"/>
        <v>TON</v>
      </c>
      <c r="O2958" s="5">
        <v>15.025</v>
      </c>
    </row>
    <row r="2959" spans="2:15" x14ac:dyDescent="0.25">
      <c r="B2959" s="1" t="s">
        <v>1520</v>
      </c>
      <c r="C2959" s="2" t="s">
        <v>196</v>
      </c>
      <c r="D2959" s="2" t="s">
        <v>215</v>
      </c>
      <c r="E2959" s="2" t="s">
        <v>701</v>
      </c>
      <c r="F2959" s="3">
        <f t="shared" si="281"/>
        <v>45225</v>
      </c>
      <c r="G2959" s="4">
        <f t="shared" si="279"/>
        <v>10</v>
      </c>
      <c r="H2959" s="4">
        <f t="shared" si="277"/>
        <v>2023</v>
      </c>
      <c r="I2959" s="2" t="s">
        <v>4</v>
      </c>
      <c r="J2959" s="2" t="s">
        <v>3828</v>
      </c>
      <c r="K2959" s="2" t="s">
        <v>447</v>
      </c>
      <c r="L2959" s="2" t="s">
        <v>448</v>
      </c>
      <c r="M2959" s="2" t="s">
        <v>119</v>
      </c>
      <c r="N2959" s="4" t="str">
        <f t="shared" si="280"/>
        <v>TON</v>
      </c>
      <c r="O2959" s="5">
        <v>6</v>
      </c>
    </row>
    <row r="2960" spans="2:15" x14ac:dyDescent="0.25">
      <c r="B2960" s="1" t="s">
        <v>1520</v>
      </c>
      <c r="C2960" s="2" t="s">
        <v>196</v>
      </c>
      <c r="D2960" s="2" t="s">
        <v>317</v>
      </c>
      <c r="E2960" s="2" t="s">
        <v>829</v>
      </c>
      <c r="F2960" s="3">
        <f t="shared" si="281"/>
        <v>45225</v>
      </c>
      <c r="G2960" s="4">
        <f t="shared" si="279"/>
        <v>10</v>
      </c>
      <c r="H2960" s="4">
        <f t="shared" si="277"/>
        <v>2023</v>
      </c>
      <c r="I2960" s="2" t="s">
        <v>4</v>
      </c>
      <c r="J2960" s="2" t="s">
        <v>3829</v>
      </c>
      <c r="K2960" s="2" t="s">
        <v>117</v>
      </c>
      <c r="L2960" s="2" t="s">
        <v>118</v>
      </c>
      <c r="M2960" s="2" t="s">
        <v>119</v>
      </c>
      <c r="N2960" s="4" t="str">
        <f t="shared" si="280"/>
        <v>TON</v>
      </c>
      <c r="O2960" s="5">
        <v>5</v>
      </c>
    </row>
    <row r="2961" spans="2:15" x14ac:dyDescent="0.25">
      <c r="B2961" s="1" t="s">
        <v>1520</v>
      </c>
      <c r="C2961" s="2" t="s">
        <v>196</v>
      </c>
      <c r="D2961" s="2" t="s">
        <v>317</v>
      </c>
      <c r="E2961" s="2" t="s">
        <v>319</v>
      </c>
      <c r="F2961" s="3">
        <f t="shared" si="281"/>
        <v>45225</v>
      </c>
      <c r="G2961" s="4">
        <f t="shared" si="279"/>
        <v>10</v>
      </c>
      <c r="H2961" s="4">
        <f t="shared" si="277"/>
        <v>2023</v>
      </c>
      <c r="I2961" s="2" t="s">
        <v>4</v>
      </c>
      <c r="J2961" s="2" t="s">
        <v>3830</v>
      </c>
      <c r="K2961" s="2" t="s">
        <v>117</v>
      </c>
      <c r="L2961" s="2" t="s">
        <v>118</v>
      </c>
      <c r="M2961" s="2" t="s">
        <v>119</v>
      </c>
      <c r="N2961" s="4" t="str">
        <f t="shared" si="280"/>
        <v>TON</v>
      </c>
      <c r="O2961" s="5">
        <v>15.02</v>
      </c>
    </row>
    <row r="2962" spans="2:15" x14ac:dyDescent="0.25">
      <c r="B2962" s="1" t="s">
        <v>1520</v>
      </c>
      <c r="C2962" s="2" t="s">
        <v>196</v>
      </c>
      <c r="D2962" s="2" t="s">
        <v>317</v>
      </c>
      <c r="E2962" s="2" t="s">
        <v>677</v>
      </c>
      <c r="F2962" s="3">
        <f t="shared" ref="F2962:F2972" si="282">DATE(2023,10,27)</f>
        <v>45226</v>
      </c>
      <c r="G2962" s="4">
        <f t="shared" si="279"/>
        <v>10</v>
      </c>
      <c r="H2962" s="4">
        <f t="shared" si="277"/>
        <v>2023</v>
      </c>
      <c r="I2962" s="2" t="s">
        <v>4</v>
      </c>
      <c r="J2962" s="2" t="s">
        <v>3831</v>
      </c>
      <c r="K2962" s="2" t="s">
        <v>117</v>
      </c>
      <c r="L2962" s="2" t="s">
        <v>118</v>
      </c>
      <c r="M2962" s="2" t="s">
        <v>119</v>
      </c>
      <c r="N2962" s="4" t="str">
        <f t="shared" si="280"/>
        <v>TON</v>
      </c>
      <c r="O2962" s="5">
        <v>10.029999999999999</v>
      </c>
    </row>
    <row r="2963" spans="2:15" x14ac:dyDescent="0.25">
      <c r="B2963" s="1" t="s">
        <v>1520</v>
      </c>
      <c r="C2963" s="2" t="s">
        <v>196</v>
      </c>
      <c r="D2963" s="2" t="s">
        <v>669</v>
      </c>
      <c r="E2963" s="2" t="s">
        <v>670</v>
      </c>
      <c r="F2963" s="3">
        <f t="shared" si="282"/>
        <v>45226</v>
      </c>
      <c r="G2963" s="4">
        <f t="shared" si="279"/>
        <v>10</v>
      </c>
      <c r="H2963" s="4">
        <f t="shared" si="277"/>
        <v>2023</v>
      </c>
      <c r="I2963" s="2" t="s">
        <v>4</v>
      </c>
      <c r="J2963" s="2" t="s">
        <v>3832</v>
      </c>
      <c r="K2963" s="2" t="s">
        <v>384</v>
      </c>
      <c r="L2963" s="2" t="s">
        <v>385</v>
      </c>
      <c r="M2963" s="2" t="s">
        <v>119</v>
      </c>
      <c r="N2963" s="4" t="str">
        <f t="shared" si="280"/>
        <v>TON</v>
      </c>
      <c r="O2963" s="5">
        <v>2.4900000000000002</v>
      </c>
    </row>
    <row r="2964" spans="2:15" x14ac:dyDescent="0.25">
      <c r="B2964" s="1" t="s">
        <v>1520</v>
      </c>
      <c r="C2964" s="2" t="s">
        <v>196</v>
      </c>
      <c r="D2964" s="2" t="s">
        <v>280</v>
      </c>
      <c r="E2964" s="2" t="s">
        <v>254</v>
      </c>
      <c r="F2964" s="3">
        <f t="shared" si="282"/>
        <v>45226</v>
      </c>
      <c r="G2964" s="4">
        <f t="shared" si="279"/>
        <v>10</v>
      </c>
      <c r="H2964" s="4">
        <f t="shared" si="277"/>
        <v>2023</v>
      </c>
      <c r="I2964" s="2" t="s">
        <v>4</v>
      </c>
      <c r="J2964" s="2" t="s">
        <v>3833</v>
      </c>
      <c r="K2964" s="2" t="s">
        <v>117</v>
      </c>
      <c r="L2964" s="2" t="s">
        <v>118</v>
      </c>
      <c r="M2964" s="2" t="s">
        <v>119</v>
      </c>
      <c r="N2964" s="4" t="str">
        <f t="shared" si="280"/>
        <v>TON</v>
      </c>
      <c r="O2964" s="5">
        <v>15.02</v>
      </c>
    </row>
    <row r="2965" spans="2:15" x14ac:dyDescent="0.25">
      <c r="B2965" s="1" t="s">
        <v>1520</v>
      </c>
      <c r="C2965" s="2" t="s">
        <v>196</v>
      </c>
      <c r="D2965" s="2" t="s">
        <v>215</v>
      </c>
      <c r="E2965" s="2" t="s">
        <v>315</v>
      </c>
      <c r="F2965" s="3">
        <f t="shared" si="282"/>
        <v>45226</v>
      </c>
      <c r="G2965" s="4">
        <f t="shared" si="279"/>
        <v>10</v>
      </c>
      <c r="H2965" s="4">
        <f t="shared" si="277"/>
        <v>2023</v>
      </c>
      <c r="I2965" s="2" t="s">
        <v>4</v>
      </c>
      <c r="J2965" s="2" t="s">
        <v>3834</v>
      </c>
      <c r="K2965" s="2" t="s">
        <v>205</v>
      </c>
      <c r="L2965" s="2" t="s">
        <v>206</v>
      </c>
      <c r="M2965" s="2" t="s">
        <v>119</v>
      </c>
      <c r="N2965" s="4" t="str">
        <f t="shared" si="280"/>
        <v>TON</v>
      </c>
      <c r="O2965" s="5">
        <v>4.01</v>
      </c>
    </row>
    <row r="2966" spans="2:15" x14ac:dyDescent="0.25">
      <c r="B2966" s="1" t="s">
        <v>1520</v>
      </c>
      <c r="C2966" s="2" t="s">
        <v>196</v>
      </c>
      <c r="D2966" s="2" t="s">
        <v>280</v>
      </c>
      <c r="E2966" s="2" t="s">
        <v>699</v>
      </c>
      <c r="F2966" s="3">
        <f t="shared" si="282"/>
        <v>45226</v>
      </c>
      <c r="G2966" s="4">
        <f t="shared" si="279"/>
        <v>10</v>
      </c>
      <c r="H2966" s="4">
        <f t="shared" si="277"/>
        <v>2023</v>
      </c>
      <c r="I2966" s="2" t="s">
        <v>4</v>
      </c>
      <c r="J2966" s="2" t="s">
        <v>3835</v>
      </c>
      <c r="K2966" s="2" t="s">
        <v>117</v>
      </c>
      <c r="L2966" s="2" t="s">
        <v>118</v>
      </c>
      <c r="M2966" s="2" t="s">
        <v>119</v>
      </c>
      <c r="N2966" s="4" t="str">
        <f t="shared" si="280"/>
        <v>TON</v>
      </c>
      <c r="O2966" s="5">
        <v>10.02</v>
      </c>
    </row>
    <row r="2967" spans="2:15" x14ac:dyDescent="0.25">
      <c r="B2967" s="1" t="s">
        <v>1520</v>
      </c>
      <c r="C2967" s="2" t="s">
        <v>196</v>
      </c>
      <c r="D2967" s="2" t="s">
        <v>241</v>
      </c>
      <c r="E2967" s="2" t="s">
        <v>258</v>
      </c>
      <c r="F2967" s="3">
        <f t="shared" si="282"/>
        <v>45226</v>
      </c>
      <c r="G2967" s="4">
        <f t="shared" si="279"/>
        <v>10</v>
      </c>
      <c r="H2967" s="4">
        <f t="shared" si="277"/>
        <v>2023</v>
      </c>
      <c r="I2967" s="2" t="s">
        <v>4</v>
      </c>
      <c r="J2967" s="2" t="s">
        <v>3836</v>
      </c>
      <c r="K2967" s="2" t="s">
        <v>3458</v>
      </c>
      <c r="L2967" s="2" t="s">
        <v>3459</v>
      </c>
      <c r="M2967" s="2" t="s">
        <v>119</v>
      </c>
      <c r="N2967" s="4" t="str">
        <f t="shared" si="280"/>
        <v>TON</v>
      </c>
      <c r="O2967" s="5">
        <v>2.25</v>
      </c>
    </row>
    <row r="2968" spans="2:15" x14ac:dyDescent="0.25">
      <c r="B2968" s="1" t="s">
        <v>1520</v>
      </c>
      <c r="C2968" s="2" t="s">
        <v>196</v>
      </c>
      <c r="D2968" s="2" t="s">
        <v>2002</v>
      </c>
      <c r="E2968" s="2" t="s">
        <v>102</v>
      </c>
      <c r="F2968" s="3">
        <f t="shared" si="282"/>
        <v>45226</v>
      </c>
      <c r="G2968" s="4">
        <f t="shared" si="279"/>
        <v>10</v>
      </c>
      <c r="H2968" s="4">
        <f t="shared" si="277"/>
        <v>2023</v>
      </c>
      <c r="I2968" s="2" t="s">
        <v>4</v>
      </c>
      <c r="J2968" s="2" t="s">
        <v>3837</v>
      </c>
      <c r="K2968" s="2" t="s">
        <v>158</v>
      </c>
      <c r="L2968" s="2" t="s">
        <v>159</v>
      </c>
      <c r="M2968" s="2" t="s">
        <v>160</v>
      </c>
      <c r="N2968" s="4" t="str">
        <f t="shared" si="280"/>
        <v>GAL</v>
      </c>
      <c r="O2968" s="5">
        <v>5</v>
      </c>
    </row>
    <row r="2969" spans="2:15" x14ac:dyDescent="0.25">
      <c r="B2969" s="1" t="s">
        <v>1520</v>
      </c>
      <c r="C2969" s="2" t="s">
        <v>196</v>
      </c>
      <c r="D2969" s="2" t="s">
        <v>2002</v>
      </c>
      <c r="E2969" s="2" t="s">
        <v>102</v>
      </c>
      <c r="F2969" s="3">
        <f t="shared" si="282"/>
        <v>45226</v>
      </c>
      <c r="G2969" s="4">
        <f t="shared" si="279"/>
        <v>10</v>
      </c>
      <c r="H2969" s="4">
        <f t="shared" si="277"/>
        <v>2023</v>
      </c>
      <c r="I2969" s="2" t="s">
        <v>4</v>
      </c>
      <c r="J2969" s="2" t="s">
        <v>3837</v>
      </c>
      <c r="K2969" s="2" t="s">
        <v>189</v>
      </c>
      <c r="L2969" s="2" t="s">
        <v>190</v>
      </c>
      <c r="M2969" s="2" t="s">
        <v>191</v>
      </c>
      <c r="N2969" s="4" t="str">
        <f t="shared" si="280"/>
        <v>GAL</v>
      </c>
      <c r="O2969" s="5">
        <v>10</v>
      </c>
    </row>
    <row r="2970" spans="2:15" x14ac:dyDescent="0.25">
      <c r="B2970" s="1" t="s">
        <v>1520</v>
      </c>
      <c r="C2970" s="2" t="s">
        <v>196</v>
      </c>
      <c r="D2970" s="2" t="s">
        <v>1276</v>
      </c>
      <c r="E2970" s="2" t="s">
        <v>1277</v>
      </c>
      <c r="F2970" s="3">
        <f t="shared" si="282"/>
        <v>45226</v>
      </c>
      <c r="G2970" s="4">
        <f t="shared" si="279"/>
        <v>10</v>
      </c>
      <c r="H2970" s="4">
        <f t="shared" si="277"/>
        <v>2023</v>
      </c>
      <c r="I2970" s="2" t="s">
        <v>4</v>
      </c>
      <c r="J2970" s="2" t="s">
        <v>3838</v>
      </c>
      <c r="K2970" s="2" t="s">
        <v>334</v>
      </c>
      <c r="L2970" s="2" t="s">
        <v>335</v>
      </c>
      <c r="M2970" s="2" t="s">
        <v>119</v>
      </c>
      <c r="N2970" s="4" t="str">
        <f t="shared" si="280"/>
        <v>TON</v>
      </c>
      <c r="O2970" s="5">
        <v>2.5</v>
      </c>
    </row>
    <row r="2971" spans="2:15" x14ac:dyDescent="0.25">
      <c r="B2971" s="1" t="s">
        <v>1520</v>
      </c>
      <c r="C2971" s="2" t="s">
        <v>196</v>
      </c>
      <c r="D2971" s="2" t="s">
        <v>114</v>
      </c>
      <c r="E2971" s="2" t="s">
        <v>402</v>
      </c>
      <c r="F2971" s="3">
        <f t="shared" si="282"/>
        <v>45226</v>
      </c>
      <c r="G2971" s="4">
        <f t="shared" si="279"/>
        <v>10</v>
      </c>
      <c r="H2971" s="4">
        <f t="shared" si="277"/>
        <v>2023</v>
      </c>
      <c r="I2971" s="2" t="s">
        <v>4</v>
      </c>
      <c r="J2971" s="2" t="s">
        <v>3839</v>
      </c>
      <c r="K2971" s="2" t="s">
        <v>117</v>
      </c>
      <c r="L2971" s="2" t="s">
        <v>118</v>
      </c>
      <c r="M2971" s="2" t="s">
        <v>119</v>
      </c>
      <c r="N2971" s="4" t="str">
        <f t="shared" si="280"/>
        <v>TON</v>
      </c>
      <c r="O2971" s="5">
        <v>11.02</v>
      </c>
    </row>
    <row r="2972" spans="2:15" x14ac:dyDescent="0.25">
      <c r="B2972" s="1" t="s">
        <v>1520</v>
      </c>
      <c r="C2972" s="2" t="s">
        <v>196</v>
      </c>
      <c r="D2972" s="2" t="s">
        <v>276</v>
      </c>
      <c r="E2972" s="2" t="s">
        <v>396</v>
      </c>
      <c r="F2972" s="3">
        <f t="shared" si="282"/>
        <v>45226</v>
      </c>
      <c r="G2972" s="4">
        <f t="shared" si="279"/>
        <v>10</v>
      </c>
      <c r="H2972" s="4">
        <f t="shared" si="277"/>
        <v>2023</v>
      </c>
      <c r="I2972" s="2" t="s">
        <v>4</v>
      </c>
      <c r="J2972" s="2" t="s">
        <v>3840</v>
      </c>
      <c r="K2972" s="2" t="s">
        <v>205</v>
      </c>
      <c r="L2972" s="2" t="s">
        <v>206</v>
      </c>
      <c r="M2972" s="2" t="s">
        <v>119</v>
      </c>
      <c r="N2972" s="4" t="str">
        <f t="shared" si="280"/>
        <v>TON</v>
      </c>
      <c r="O2972" s="5">
        <v>2.0099999999999998</v>
      </c>
    </row>
    <row r="2973" spans="2:15" x14ac:dyDescent="0.25">
      <c r="B2973" s="1" t="s">
        <v>1520</v>
      </c>
      <c r="C2973" s="2" t="s">
        <v>196</v>
      </c>
      <c r="D2973" s="2" t="s">
        <v>280</v>
      </c>
      <c r="E2973" s="2" t="s">
        <v>434</v>
      </c>
      <c r="F2973" s="3">
        <f t="shared" ref="F2973:F2981" si="283">DATE(2023,10,28)</f>
        <v>45227</v>
      </c>
      <c r="G2973" s="4">
        <f t="shared" si="279"/>
        <v>10</v>
      </c>
      <c r="H2973" s="4">
        <f t="shared" si="277"/>
        <v>2023</v>
      </c>
      <c r="I2973" s="2" t="s">
        <v>4</v>
      </c>
      <c r="J2973" s="2" t="s">
        <v>3841</v>
      </c>
      <c r="K2973" s="2" t="s">
        <v>117</v>
      </c>
      <c r="L2973" s="2" t="s">
        <v>118</v>
      </c>
      <c r="M2973" s="2" t="s">
        <v>119</v>
      </c>
      <c r="N2973" s="4" t="str">
        <f t="shared" si="280"/>
        <v>TON</v>
      </c>
      <c r="O2973" s="5">
        <v>7.52</v>
      </c>
    </row>
    <row r="2974" spans="2:15" x14ac:dyDescent="0.25">
      <c r="B2974" s="1" t="s">
        <v>1520</v>
      </c>
      <c r="C2974" s="2" t="s">
        <v>196</v>
      </c>
      <c r="D2974" s="2" t="s">
        <v>475</v>
      </c>
      <c r="E2974" s="2" t="s">
        <v>476</v>
      </c>
      <c r="F2974" s="3">
        <f t="shared" si="283"/>
        <v>45227</v>
      </c>
      <c r="G2974" s="4">
        <f t="shared" si="279"/>
        <v>10</v>
      </c>
      <c r="H2974" s="4">
        <f t="shared" si="277"/>
        <v>2023</v>
      </c>
      <c r="I2974" s="2" t="s">
        <v>4</v>
      </c>
      <c r="J2974" s="2" t="s">
        <v>3842</v>
      </c>
      <c r="K2974" s="2" t="s">
        <v>478</v>
      </c>
      <c r="L2974" s="2" t="s">
        <v>479</v>
      </c>
      <c r="M2974" s="2" t="s">
        <v>119</v>
      </c>
      <c r="N2974" s="4" t="str">
        <f t="shared" si="280"/>
        <v>TON</v>
      </c>
      <c r="O2974" s="5">
        <v>10.02</v>
      </c>
    </row>
    <row r="2975" spans="2:15" x14ac:dyDescent="0.25">
      <c r="B2975" s="1" t="s">
        <v>1520</v>
      </c>
      <c r="C2975" s="2" t="s">
        <v>196</v>
      </c>
      <c r="D2975" s="2" t="s">
        <v>374</v>
      </c>
      <c r="E2975" s="2" t="s">
        <v>710</v>
      </c>
      <c r="F2975" s="3">
        <f t="shared" si="283"/>
        <v>45227</v>
      </c>
      <c r="G2975" s="4">
        <f t="shared" si="279"/>
        <v>10</v>
      </c>
      <c r="H2975" s="4">
        <f t="shared" si="277"/>
        <v>2023</v>
      </c>
      <c r="I2975" s="2" t="s">
        <v>4</v>
      </c>
      <c r="J2975" s="2" t="s">
        <v>3843</v>
      </c>
      <c r="K2975" s="2" t="s">
        <v>329</v>
      </c>
      <c r="L2975" s="2" t="s">
        <v>330</v>
      </c>
      <c r="M2975" s="2" t="s">
        <v>119</v>
      </c>
      <c r="N2975" s="4" t="str">
        <f t="shared" si="280"/>
        <v>TON</v>
      </c>
      <c r="O2975" s="5">
        <v>5.0125000000000002</v>
      </c>
    </row>
    <row r="2976" spans="2:15" x14ac:dyDescent="0.25">
      <c r="B2976" s="1" t="s">
        <v>1520</v>
      </c>
      <c r="C2976" s="2" t="s">
        <v>196</v>
      </c>
      <c r="D2976" s="2" t="s">
        <v>227</v>
      </c>
      <c r="E2976" s="2" t="s">
        <v>357</v>
      </c>
      <c r="F2976" s="3">
        <f t="shared" si="283"/>
        <v>45227</v>
      </c>
      <c r="G2976" s="4">
        <f t="shared" si="279"/>
        <v>10</v>
      </c>
      <c r="H2976" s="4">
        <f t="shared" si="277"/>
        <v>2023</v>
      </c>
      <c r="I2976" s="2" t="s">
        <v>4</v>
      </c>
      <c r="J2976" s="2" t="s">
        <v>3844</v>
      </c>
      <c r="K2976" s="2" t="s">
        <v>122</v>
      </c>
      <c r="L2976" s="2" t="s">
        <v>123</v>
      </c>
      <c r="M2976" s="2" t="s">
        <v>119</v>
      </c>
      <c r="N2976" s="4" t="str">
        <f t="shared" si="280"/>
        <v>TON</v>
      </c>
      <c r="O2976" s="5">
        <v>7.5</v>
      </c>
    </row>
    <row r="2977" spans="2:15" x14ac:dyDescent="0.25">
      <c r="B2977" s="1" t="s">
        <v>1520</v>
      </c>
      <c r="C2977" s="2" t="s">
        <v>196</v>
      </c>
      <c r="D2977" s="2" t="s">
        <v>273</v>
      </c>
      <c r="E2977" s="2" t="s">
        <v>274</v>
      </c>
      <c r="F2977" s="3">
        <f t="shared" si="283"/>
        <v>45227</v>
      </c>
      <c r="G2977" s="4">
        <f t="shared" si="279"/>
        <v>10</v>
      </c>
      <c r="H2977" s="4">
        <f t="shared" si="277"/>
        <v>2023</v>
      </c>
      <c r="I2977" s="2" t="s">
        <v>4</v>
      </c>
      <c r="J2977" s="2" t="s">
        <v>3845</v>
      </c>
      <c r="K2977" s="2" t="s">
        <v>205</v>
      </c>
      <c r="L2977" s="2" t="s">
        <v>206</v>
      </c>
      <c r="M2977" s="2" t="s">
        <v>119</v>
      </c>
      <c r="N2977" s="4" t="str">
        <f t="shared" si="280"/>
        <v>TON</v>
      </c>
      <c r="O2977" s="5">
        <v>2.52</v>
      </c>
    </row>
    <row r="2978" spans="2:15" x14ac:dyDescent="0.25">
      <c r="B2978" s="1" t="s">
        <v>1520</v>
      </c>
      <c r="C2978" s="2" t="s">
        <v>196</v>
      </c>
      <c r="D2978" s="2" t="s">
        <v>270</v>
      </c>
      <c r="E2978" s="2" t="s">
        <v>699</v>
      </c>
      <c r="F2978" s="3">
        <f t="shared" si="283"/>
        <v>45227</v>
      </c>
      <c r="G2978" s="4">
        <f t="shared" si="279"/>
        <v>10</v>
      </c>
      <c r="H2978" s="4">
        <f t="shared" si="277"/>
        <v>2023</v>
      </c>
      <c r="I2978" s="2" t="s">
        <v>4</v>
      </c>
      <c r="J2978" s="2" t="s">
        <v>3846</v>
      </c>
      <c r="K2978" s="2" t="s">
        <v>205</v>
      </c>
      <c r="L2978" s="2" t="s">
        <v>206</v>
      </c>
      <c r="M2978" s="2" t="s">
        <v>119</v>
      </c>
      <c r="N2978" s="4" t="str">
        <f t="shared" si="280"/>
        <v>TON</v>
      </c>
      <c r="O2978" s="5">
        <v>8.25</v>
      </c>
    </row>
    <row r="2979" spans="2:15" x14ac:dyDescent="0.25">
      <c r="B2979" s="1" t="s">
        <v>1520</v>
      </c>
      <c r="C2979" s="2" t="s">
        <v>196</v>
      </c>
      <c r="D2979" s="2" t="s">
        <v>224</v>
      </c>
      <c r="E2979" s="2" t="s">
        <v>361</v>
      </c>
      <c r="F2979" s="3">
        <f t="shared" si="283"/>
        <v>45227</v>
      </c>
      <c r="G2979" s="4">
        <f t="shared" si="279"/>
        <v>10</v>
      </c>
      <c r="H2979" s="4">
        <f t="shared" si="277"/>
        <v>2023</v>
      </c>
      <c r="I2979" s="2" t="s">
        <v>4</v>
      </c>
      <c r="J2979" s="2" t="s">
        <v>3847</v>
      </c>
      <c r="K2979" s="2" t="s">
        <v>205</v>
      </c>
      <c r="L2979" s="2" t="s">
        <v>206</v>
      </c>
      <c r="M2979" s="2" t="s">
        <v>119</v>
      </c>
      <c r="N2979" s="4" t="str">
        <f t="shared" si="280"/>
        <v>TON</v>
      </c>
      <c r="O2979" s="5">
        <v>5</v>
      </c>
    </row>
    <row r="2980" spans="2:15" x14ac:dyDescent="0.25">
      <c r="B2980" s="1" t="s">
        <v>1520</v>
      </c>
      <c r="C2980" s="2" t="s">
        <v>196</v>
      </c>
      <c r="D2980" s="2" t="s">
        <v>276</v>
      </c>
      <c r="E2980" s="2" t="s">
        <v>878</v>
      </c>
      <c r="F2980" s="3">
        <f t="shared" si="283"/>
        <v>45227</v>
      </c>
      <c r="G2980" s="4">
        <f t="shared" si="279"/>
        <v>10</v>
      </c>
      <c r="H2980" s="4">
        <f t="shared" si="277"/>
        <v>2023</v>
      </c>
      <c r="I2980" s="2" t="s">
        <v>4</v>
      </c>
      <c r="J2980" s="2" t="s">
        <v>3848</v>
      </c>
      <c r="K2980" s="2" t="s">
        <v>205</v>
      </c>
      <c r="L2980" s="2" t="s">
        <v>206</v>
      </c>
      <c r="M2980" s="2" t="s">
        <v>119</v>
      </c>
      <c r="N2980" s="4" t="str">
        <f t="shared" si="280"/>
        <v>TON</v>
      </c>
      <c r="O2980" s="5">
        <v>10.01</v>
      </c>
    </row>
    <row r="2981" spans="2:15" x14ac:dyDescent="0.25">
      <c r="B2981" s="1" t="s">
        <v>1520</v>
      </c>
      <c r="C2981" s="2" t="s">
        <v>196</v>
      </c>
      <c r="D2981" s="2" t="s">
        <v>289</v>
      </c>
      <c r="E2981" s="2" t="s">
        <v>2380</v>
      </c>
      <c r="F2981" s="3">
        <f t="shared" si="283"/>
        <v>45227</v>
      </c>
      <c r="G2981" s="4">
        <f t="shared" si="279"/>
        <v>10</v>
      </c>
      <c r="H2981" s="4">
        <f t="shared" si="277"/>
        <v>2023</v>
      </c>
      <c r="I2981" s="2" t="s">
        <v>4</v>
      </c>
      <c r="J2981" s="2" t="s">
        <v>3849</v>
      </c>
      <c r="K2981" s="2" t="s">
        <v>292</v>
      </c>
      <c r="L2981" s="2" t="s">
        <v>293</v>
      </c>
      <c r="M2981" s="2" t="s">
        <v>119</v>
      </c>
      <c r="N2981" s="4" t="str">
        <f t="shared" si="280"/>
        <v>TON</v>
      </c>
      <c r="O2981" s="5">
        <v>1</v>
      </c>
    </row>
    <row r="2982" spans="2:15" x14ac:dyDescent="0.25">
      <c r="B2982" s="1" t="s">
        <v>1520</v>
      </c>
      <c r="C2982" s="2" t="s">
        <v>196</v>
      </c>
      <c r="D2982" s="2" t="s">
        <v>232</v>
      </c>
      <c r="E2982" s="2" t="s">
        <v>778</v>
      </c>
      <c r="F2982" s="3">
        <f t="shared" ref="F2982:F2992" si="284">DATE(2023,10,30)</f>
        <v>45229</v>
      </c>
      <c r="G2982" s="4">
        <f t="shared" si="279"/>
        <v>10</v>
      </c>
      <c r="H2982" s="4">
        <f t="shared" si="277"/>
        <v>2023</v>
      </c>
      <c r="I2982" s="2" t="s">
        <v>4</v>
      </c>
      <c r="J2982" s="2" t="s">
        <v>3850</v>
      </c>
      <c r="K2982" s="2" t="s">
        <v>205</v>
      </c>
      <c r="L2982" s="2" t="s">
        <v>206</v>
      </c>
      <c r="M2982" s="2" t="s">
        <v>119</v>
      </c>
      <c r="N2982" s="4" t="str">
        <f t="shared" si="280"/>
        <v>TON</v>
      </c>
      <c r="O2982" s="5">
        <v>6</v>
      </c>
    </row>
    <row r="2983" spans="2:15" x14ac:dyDescent="0.25">
      <c r="B2983" s="1" t="s">
        <v>645</v>
      </c>
      <c r="C2983" s="2" t="s">
        <v>196</v>
      </c>
      <c r="D2983" s="2" t="s">
        <v>1375</v>
      </c>
      <c r="E2983" s="2" t="s">
        <v>102</v>
      </c>
      <c r="F2983" s="3">
        <f t="shared" si="284"/>
        <v>45229</v>
      </c>
      <c r="G2983" s="4">
        <f t="shared" si="279"/>
        <v>10</v>
      </c>
      <c r="H2983" s="4">
        <f t="shared" si="277"/>
        <v>2023</v>
      </c>
      <c r="I2983" s="2" t="s">
        <v>4</v>
      </c>
      <c r="J2983" s="2" t="s">
        <v>3851</v>
      </c>
      <c r="K2983" s="2" t="s">
        <v>205</v>
      </c>
      <c r="L2983" s="2" t="s">
        <v>206</v>
      </c>
      <c r="M2983" s="2" t="s">
        <v>119</v>
      </c>
      <c r="N2983" s="4" t="str">
        <f t="shared" si="280"/>
        <v>TON</v>
      </c>
      <c r="O2983" s="5">
        <v>5</v>
      </c>
    </row>
    <row r="2984" spans="2:15" x14ac:dyDescent="0.25">
      <c r="B2984" s="1" t="s">
        <v>1520</v>
      </c>
      <c r="C2984" s="2" t="s">
        <v>196</v>
      </c>
      <c r="D2984" s="2" t="s">
        <v>114</v>
      </c>
      <c r="E2984" s="2" t="s">
        <v>336</v>
      </c>
      <c r="F2984" s="3">
        <f t="shared" si="284"/>
        <v>45229</v>
      </c>
      <c r="G2984" s="4">
        <f t="shared" si="279"/>
        <v>10</v>
      </c>
      <c r="H2984" s="4">
        <f t="shared" si="277"/>
        <v>2023</v>
      </c>
      <c r="I2984" s="2" t="s">
        <v>4</v>
      </c>
      <c r="J2984" s="2" t="s">
        <v>3852</v>
      </c>
      <c r="K2984" s="2" t="s">
        <v>117</v>
      </c>
      <c r="L2984" s="2" t="s">
        <v>118</v>
      </c>
      <c r="M2984" s="2" t="s">
        <v>119</v>
      </c>
      <c r="N2984" s="4" t="str">
        <f t="shared" si="280"/>
        <v>TON</v>
      </c>
      <c r="O2984" s="5">
        <v>7.5</v>
      </c>
    </row>
    <row r="2985" spans="2:15" x14ac:dyDescent="0.25">
      <c r="B2985" s="1" t="s">
        <v>1520</v>
      </c>
      <c r="C2985" s="2" t="s">
        <v>196</v>
      </c>
      <c r="D2985" s="2" t="s">
        <v>114</v>
      </c>
      <c r="E2985" s="2" t="s">
        <v>336</v>
      </c>
      <c r="F2985" s="3">
        <f t="shared" si="284"/>
        <v>45229</v>
      </c>
      <c r="G2985" s="4">
        <f t="shared" si="279"/>
        <v>10</v>
      </c>
      <c r="H2985" s="4">
        <f t="shared" si="277"/>
        <v>2023</v>
      </c>
      <c r="I2985" s="2" t="s">
        <v>4</v>
      </c>
      <c r="J2985" s="2" t="s">
        <v>3853</v>
      </c>
      <c r="K2985" s="2" t="s">
        <v>117</v>
      </c>
      <c r="L2985" s="2" t="s">
        <v>118</v>
      </c>
      <c r="M2985" s="2" t="s">
        <v>119</v>
      </c>
      <c r="N2985" s="4" t="str">
        <f t="shared" si="280"/>
        <v>TON</v>
      </c>
      <c r="O2985" s="5">
        <v>7.5</v>
      </c>
    </row>
    <row r="2986" spans="2:15" x14ac:dyDescent="0.25">
      <c r="B2986" s="1" t="s">
        <v>1520</v>
      </c>
      <c r="C2986" s="2" t="s">
        <v>196</v>
      </c>
      <c r="D2986" s="2" t="s">
        <v>114</v>
      </c>
      <c r="E2986" s="2" t="s">
        <v>3751</v>
      </c>
      <c r="F2986" s="3">
        <f t="shared" si="284"/>
        <v>45229</v>
      </c>
      <c r="G2986" s="4">
        <f t="shared" si="279"/>
        <v>10</v>
      </c>
      <c r="H2986" s="4">
        <f t="shared" si="277"/>
        <v>2023</v>
      </c>
      <c r="I2986" s="2" t="s">
        <v>4</v>
      </c>
      <c r="J2986" s="2" t="s">
        <v>3854</v>
      </c>
      <c r="K2986" s="2" t="s">
        <v>117</v>
      </c>
      <c r="L2986" s="2" t="s">
        <v>118</v>
      </c>
      <c r="M2986" s="2" t="s">
        <v>119</v>
      </c>
      <c r="N2986" s="4" t="str">
        <f t="shared" si="280"/>
        <v>TON</v>
      </c>
      <c r="O2986" s="5">
        <v>4</v>
      </c>
    </row>
    <row r="2987" spans="2:15" x14ac:dyDescent="0.25">
      <c r="B2987" s="6" t="s">
        <v>645</v>
      </c>
      <c r="C2987" s="7" t="s">
        <v>196</v>
      </c>
      <c r="D2987" s="8" t="s">
        <v>1375</v>
      </c>
      <c r="E2987" s="8" t="s">
        <v>102</v>
      </c>
      <c r="F2987" s="9">
        <f t="shared" si="284"/>
        <v>45229</v>
      </c>
      <c r="G2987" s="10">
        <f t="shared" si="279"/>
        <v>10</v>
      </c>
      <c r="H2987" s="10">
        <f t="shared" si="277"/>
        <v>2023</v>
      </c>
      <c r="I2987" s="8" t="s">
        <v>4</v>
      </c>
      <c r="J2987" s="7" t="s">
        <v>3855</v>
      </c>
      <c r="K2987" s="8" t="s">
        <v>2170</v>
      </c>
      <c r="L2987" s="8" t="s">
        <v>99</v>
      </c>
      <c r="M2987" s="8" t="s">
        <v>100</v>
      </c>
      <c r="N2987" s="10" t="str">
        <f t="shared" si="280"/>
        <v>GAL</v>
      </c>
      <c r="O2987" s="11">
        <v>10</v>
      </c>
    </row>
    <row r="2988" spans="2:15" x14ac:dyDescent="0.25">
      <c r="B2988" s="1" t="s">
        <v>1520</v>
      </c>
      <c r="C2988" s="2" t="s">
        <v>196</v>
      </c>
      <c r="D2988" s="2" t="s">
        <v>294</v>
      </c>
      <c r="E2988" s="2" t="s">
        <v>295</v>
      </c>
      <c r="F2988" s="3">
        <f t="shared" si="284"/>
        <v>45229</v>
      </c>
      <c r="G2988" s="4">
        <f t="shared" si="279"/>
        <v>10</v>
      </c>
      <c r="H2988" s="4">
        <f t="shared" si="277"/>
        <v>2023</v>
      </c>
      <c r="I2988" s="2" t="s">
        <v>4</v>
      </c>
      <c r="J2988" s="2" t="s">
        <v>3856</v>
      </c>
      <c r="K2988" s="2" t="s">
        <v>122</v>
      </c>
      <c r="L2988" s="2" t="s">
        <v>123</v>
      </c>
      <c r="M2988" s="2" t="s">
        <v>119</v>
      </c>
      <c r="N2988" s="4" t="str">
        <f t="shared" si="280"/>
        <v>TON</v>
      </c>
      <c r="O2988" s="5">
        <v>7.4874999999999998</v>
      </c>
    </row>
    <row r="2989" spans="2:15" x14ac:dyDescent="0.25">
      <c r="B2989" s="1" t="s">
        <v>1520</v>
      </c>
      <c r="C2989" s="2" t="s">
        <v>196</v>
      </c>
      <c r="D2989" s="2" t="s">
        <v>197</v>
      </c>
      <c r="E2989" s="2" t="s">
        <v>198</v>
      </c>
      <c r="F2989" s="3">
        <f t="shared" si="284"/>
        <v>45229</v>
      </c>
      <c r="G2989" s="4">
        <f t="shared" si="279"/>
        <v>10</v>
      </c>
      <c r="H2989" s="4">
        <f t="shared" si="277"/>
        <v>2023</v>
      </c>
      <c r="I2989" s="2" t="s">
        <v>4</v>
      </c>
      <c r="J2989" s="2" t="s">
        <v>3857</v>
      </c>
      <c r="K2989" s="2" t="s">
        <v>307</v>
      </c>
      <c r="L2989" s="2" t="s">
        <v>308</v>
      </c>
      <c r="M2989" s="2" t="s">
        <v>119</v>
      </c>
      <c r="N2989" s="4" t="str">
        <f t="shared" si="280"/>
        <v>TON</v>
      </c>
      <c r="O2989" s="5">
        <v>3.5074999999999998</v>
      </c>
    </row>
    <row r="2990" spans="2:15" x14ac:dyDescent="0.25">
      <c r="B2990" s="1" t="s">
        <v>1520</v>
      </c>
      <c r="C2990" s="2" t="s">
        <v>196</v>
      </c>
      <c r="D2990" s="2" t="s">
        <v>232</v>
      </c>
      <c r="E2990" s="2" t="s">
        <v>233</v>
      </c>
      <c r="F2990" s="3">
        <f t="shared" si="284"/>
        <v>45229</v>
      </c>
      <c r="G2990" s="4">
        <f t="shared" si="279"/>
        <v>10</v>
      </c>
      <c r="H2990" s="4">
        <f t="shared" si="277"/>
        <v>2023</v>
      </c>
      <c r="I2990" s="2" t="s">
        <v>4</v>
      </c>
      <c r="J2990" s="2" t="s">
        <v>3858</v>
      </c>
      <c r="K2990" s="2" t="s">
        <v>205</v>
      </c>
      <c r="L2990" s="2" t="s">
        <v>206</v>
      </c>
      <c r="M2990" s="2" t="s">
        <v>119</v>
      </c>
      <c r="N2990" s="4" t="str">
        <f t="shared" si="280"/>
        <v>TON</v>
      </c>
      <c r="O2990" s="5">
        <v>5</v>
      </c>
    </row>
    <row r="2991" spans="2:15" x14ac:dyDescent="0.25">
      <c r="B2991" s="1" t="s">
        <v>1520</v>
      </c>
      <c r="C2991" s="2" t="s">
        <v>196</v>
      </c>
      <c r="D2991" s="2" t="s">
        <v>331</v>
      </c>
      <c r="E2991" s="2" t="s">
        <v>432</v>
      </c>
      <c r="F2991" s="3">
        <f t="shared" si="284"/>
        <v>45229</v>
      </c>
      <c r="G2991" s="4">
        <f t="shared" si="279"/>
        <v>10</v>
      </c>
      <c r="H2991" s="4">
        <f t="shared" si="277"/>
        <v>2023</v>
      </c>
      <c r="I2991" s="2" t="s">
        <v>4</v>
      </c>
      <c r="J2991" s="2" t="s">
        <v>3859</v>
      </c>
      <c r="K2991" s="2" t="s">
        <v>205</v>
      </c>
      <c r="L2991" s="2" t="s">
        <v>206</v>
      </c>
      <c r="M2991" s="2" t="s">
        <v>119</v>
      </c>
      <c r="N2991" s="4" t="str">
        <f t="shared" si="280"/>
        <v>TON</v>
      </c>
      <c r="O2991" s="5">
        <v>5</v>
      </c>
    </row>
    <row r="2992" spans="2:15" x14ac:dyDescent="0.25">
      <c r="B2992" s="1" t="s">
        <v>1520</v>
      </c>
      <c r="C2992" s="2" t="s">
        <v>196</v>
      </c>
      <c r="D2992" s="2" t="s">
        <v>321</v>
      </c>
      <c r="E2992" s="2" t="s">
        <v>697</v>
      </c>
      <c r="F2992" s="3">
        <f t="shared" si="284"/>
        <v>45229</v>
      </c>
      <c r="G2992" s="4">
        <f t="shared" si="279"/>
        <v>10</v>
      </c>
      <c r="H2992" s="4">
        <f t="shared" si="277"/>
        <v>2023</v>
      </c>
      <c r="I2992" s="2" t="s">
        <v>4</v>
      </c>
      <c r="J2992" s="2" t="s">
        <v>3860</v>
      </c>
      <c r="K2992" s="2" t="s">
        <v>324</v>
      </c>
      <c r="L2992" s="2" t="s">
        <v>325</v>
      </c>
      <c r="M2992" s="2" t="s">
        <v>119</v>
      </c>
      <c r="N2992" s="4" t="str">
        <f t="shared" si="280"/>
        <v>TON</v>
      </c>
      <c r="O2992" s="5">
        <v>10</v>
      </c>
    </row>
    <row r="2993" spans="2:15" x14ac:dyDescent="0.25">
      <c r="B2993" s="1" t="s">
        <v>1520</v>
      </c>
      <c r="C2993" s="2" t="s">
        <v>196</v>
      </c>
      <c r="D2993" s="2" t="s">
        <v>1276</v>
      </c>
      <c r="E2993" s="2" t="s">
        <v>1277</v>
      </c>
      <c r="F2993" s="3">
        <f t="shared" ref="F2993:F3002" si="285">DATE(2023,10,31)</f>
        <v>45230</v>
      </c>
      <c r="G2993" s="4">
        <f t="shared" si="279"/>
        <v>10</v>
      </c>
      <c r="H2993" s="4">
        <f t="shared" si="277"/>
        <v>2023</v>
      </c>
      <c r="I2993" s="2" t="s">
        <v>4</v>
      </c>
      <c r="J2993" s="2" t="s">
        <v>3861</v>
      </c>
      <c r="K2993" s="2" t="s">
        <v>334</v>
      </c>
      <c r="L2993" s="2" t="s">
        <v>335</v>
      </c>
      <c r="M2993" s="2" t="s">
        <v>119</v>
      </c>
      <c r="N2993" s="4" t="str">
        <f t="shared" si="280"/>
        <v>TON</v>
      </c>
      <c r="O2993" s="5">
        <v>3.75</v>
      </c>
    </row>
    <row r="2994" spans="2:15" x14ac:dyDescent="0.25">
      <c r="B2994" s="1" t="s">
        <v>1520</v>
      </c>
      <c r="C2994" s="2" t="s">
        <v>196</v>
      </c>
      <c r="D2994" s="2" t="s">
        <v>452</v>
      </c>
      <c r="E2994" s="2" t="s">
        <v>453</v>
      </c>
      <c r="F2994" s="3">
        <f t="shared" si="285"/>
        <v>45230</v>
      </c>
      <c r="G2994" s="4">
        <f t="shared" si="279"/>
        <v>10</v>
      </c>
      <c r="H2994" s="4">
        <f t="shared" si="277"/>
        <v>2023</v>
      </c>
      <c r="I2994" s="2" t="s">
        <v>4</v>
      </c>
      <c r="J2994" s="2" t="s">
        <v>3862</v>
      </c>
      <c r="K2994" s="2" t="s">
        <v>205</v>
      </c>
      <c r="L2994" s="2" t="s">
        <v>206</v>
      </c>
      <c r="M2994" s="2" t="s">
        <v>119</v>
      </c>
      <c r="N2994" s="4" t="str">
        <f t="shared" si="280"/>
        <v>TON</v>
      </c>
      <c r="O2994" s="5">
        <v>2.5</v>
      </c>
    </row>
    <row r="2995" spans="2:15" x14ac:dyDescent="0.25">
      <c r="B2995" s="1" t="s">
        <v>1520</v>
      </c>
      <c r="C2995" s="2" t="s">
        <v>196</v>
      </c>
      <c r="D2995" s="2" t="s">
        <v>280</v>
      </c>
      <c r="E2995" s="2" t="s">
        <v>1308</v>
      </c>
      <c r="F2995" s="3">
        <f t="shared" si="285"/>
        <v>45230</v>
      </c>
      <c r="G2995" s="4">
        <f t="shared" si="279"/>
        <v>10</v>
      </c>
      <c r="H2995" s="4">
        <f t="shared" si="277"/>
        <v>2023</v>
      </c>
      <c r="I2995" s="2" t="s">
        <v>4</v>
      </c>
      <c r="J2995" s="2" t="s">
        <v>3863</v>
      </c>
      <c r="K2995" s="2" t="s">
        <v>117</v>
      </c>
      <c r="L2995" s="2" t="s">
        <v>118</v>
      </c>
      <c r="M2995" s="2" t="s">
        <v>119</v>
      </c>
      <c r="N2995" s="4" t="str">
        <f t="shared" si="280"/>
        <v>TON</v>
      </c>
      <c r="O2995" s="5">
        <v>10.01</v>
      </c>
    </row>
    <row r="2996" spans="2:15" x14ac:dyDescent="0.25">
      <c r="B2996" s="1" t="s">
        <v>1520</v>
      </c>
      <c r="C2996" s="2" t="s">
        <v>196</v>
      </c>
      <c r="D2996" s="2" t="s">
        <v>114</v>
      </c>
      <c r="E2996" s="2" t="s">
        <v>402</v>
      </c>
      <c r="F2996" s="3">
        <f t="shared" si="285"/>
        <v>45230</v>
      </c>
      <c r="G2996" s="4">
        <f t="shared" si="279"/>
        <v>10</v>
      </c>
      <c r="H2996" s="4">
        <f t="shared" si="277"/>
        <v>2023</v>
      </c>
      <c r="I2996" s="2" t="s">
        <v>4</v>
      </c>
      <c r="J2996" s="2" t="s">
        <v>3864</v>
      </c>
      <c r="K2996" s="2" t="s">
        <v>117</v>
      </c>
      <c r="L2996" s="2" t="s">
        <v>118</v>
      </c>
      <c r="M2996" s="2" t="s">
        <v>119</v>
      </c>
      <c r="N2996" s="4" t="str">
        <f t="shared" si="280"/>
        <v>TON</v>
      </c>
      <c r="O2996" s="5">
        <v>3.5</v>
      </c>
    </row>
    <row r="2997" spans="2:15" x14ac:dyDescent="0.25">
      <c r="B2997" s="1" t="s">
        <v>1520</v>
      </c>
      <c r="C2997" s="2" t="s">
        <v>196</v>
      </c>
      <c r="D2997" s="2" t="s">
        <v>449</v>
      </c>
      <c r="E2997" s="2" t="s">
        <v>780</v>
      </c>
      <c r="F2997" s="3">
        <f t="shared" si="285"/>
        <v>45230</v>
      </c>
      <c r="G2997" s="4">
        <f t="shared" si="279"/>
        <v>10</v>
      </c>
      <c r="H2997" s="4">
        <f t="shared" si="277"/>
        <v>2023</v>
      </c>
      <c r="I2997" s="2" t="s">
        <v>4</v>
      </c>
      <c r="J2997" s="2" t="s">
        <v>3865</v>
      </c>
      <c r="K2997" s="2" t="s">
        <v>329</v>
      </c>
      <c r="L2997" s="2" t="s">
        <v>330</v>
      </c>
      <c r="M2997" s="2" t="s">
        <v>119</v>
      </c>
      <c r="N2997" s="4" t="str">
        <f t="shared" si="280"/>
        <v>TON</v>
      </c>
      <c r="O2997" s="5">
        <v>11.01</v>
      </c>
    </row>
    <row r="2998" spans="2:15" x14ac:dyDescent="0.25">
      <c r="B2998" s="1" t="s">
        <v>1520</v>
      </c>
      <c r="C2998" s="2" t="s">
        <v>196</v>
      </c>
      <c r="D2998" s="2" t="s">
        <v>303</v>
      </c>
      <c r="E2998" s="2" t="s">
        <v>501</v>
      </c>
      <c r="F2998" s="3">
        <f t="shared" si="285"/>
        <v>45230</v>
      </c>
      <c r="G2998" s="4">
        <f t="shared" si="279"/>
        <v>10</v>
      </c>
      <c r="H2998" s="4">
        <f t="shared" si="277"/>
        <v>2023</v>
      </c>
      <c r="I2998" s="2" t="s">
        <v>4</v>
      </c>
      <c r="J2998" s="2" t="s">
        <v>3866</v>
      </c>
      <c r="K2998" s="2" t="s">
        <v>2635</v>
      </c>
      <c r="L2998" s="2" t="s">
        <v>2636</v>
      </c>
      <c r="M2998" s="2" t="s">
        <v>119</v>
      </c>
      <c r="N2998" s="4" t="str">
        <f t="shared" si="280"/>
        <v>TON</v>
      </c>
      <c r="O2998" s="5">
        <v>5</v>
      </c>
    </row>
    <row r="2999" spans="2:15" x14ac:dyDescent="0.25">
      <c r="B2999" s="1" t="s">
        <v>1520</v>
      </c>
      <c r="C2999" s="2" t="s">
        <v>196</v>
      </c>
      <c r="D2999" s="2" t="s">
        <v>303</v>
      </c>
      <c r="E2999" s="2" t="s">
        <v>501</v>
      </c>
      <c r="F2999" s="3">
        <f t="shared" si="285"/>
        <v>45230</v>
      </c>
      <c r="G2999" s="4">
        <f t="shared" si="279"/>
        <v>10</v>
      </c>
      <c r="H2999" s="4">
        <f t="shared" si="277"/>
        <v>2023</v>
      </c>
      <c r="I2999" s="2" t="s">
        <v>4</v>
      </c>
      <c r="J2999" s="2" t="s">
        <v>3866</v>
      </c>
      <c r="K2999" s="2" t="s">
        <v>3726</v>
      </c>
      <c r="L2999" s="2" t="s">
        <v>3727</v>
      </c>
      <c r="M2999" s="2" t="s">
        <v>145</v>
      </c>
      <c r="N2999" s="4" t="str">
        <f t="shared" si="280"/>
        <v>GAL</v>
      </c>
      <c r="O2999" s="5">
        <v>1.875</v>
      </c>
    </row>
    <row r="3000" spans="2:15" x14ac:dyDescent="0.25">
      <c r="B3000" s="1" t="s">
        <v>1520</v>
      </c>
      <c r="C3000" s="2" t="s">
        <v>196</v>
      </c>
      <c r="D3000" s="2" t="s">
        <v>283</v>
      </c>
      <c r="E3000" s="2" t="s">
        <v>382</v>
      </c>
      <c r="F3000" s="3">
        <f t="shared" si="285"/>
        <v>45230</v>
      </c>
      <c r="G3000" s="4">
        <f t="shared" si="279"/>
        <v>10</v>
      </c>
      <c r="H3000" s="4">
        <f t="shared" si="277"/>
        <v>2023</v>
      </c>
      <c r="I3000" s="2" t="s">
        <v>4</v>
      </c>
      <c r="J3000" s="2" t="s">
        <v>3867</v>
      </c>
      <c r="K3000" s="2" t="s">
        <v>307</v>
      </c>
      <c r="L3000" s="2" t="s">
        <v>308</v>
      </c>
      <c r="M3000" s="2" t="s">
        <v>119</v>
      </c>
      <c r="N3000" s="4" t="str">
        <f t="shared" si="280"/>
        <v>TON</v>
      </c>
      <c r="O3000" s="5">
        <v>2</v>
      </c>
    </row>
    <row r="3001" spans="2:15" x14ac:dyDescent="0.25">
      <c r="B3001" s="1" t="s">
        <v>1520</v>
      </c>
      <c r="C3001" s="2" t="s">
        <v>196</v>
      </c>
      <c r="D3001" s="2" t="s">
        <v>280</v>
      </c>
      <c r="E3001" s="2" t="s">
        <v>364</v>
      </c>
      <c r="F3001" s="3">
        <f t="shared" si="285"/>
        <v>45230</v>
      </c>
      <c r="G3001" s="4">
        <f t="shared" si="279"/>
        <v>10</v>
      </c>
      <c r="H3001" s="4">
        <f t="shared" si="277"/>
        <v>2023</v>
      </c>
      <c r="I3001" s="2" t="s">
        <v>4</v>
      </c>
      <c r="J3001" s="2" t="s">
        <v>3868</v>
      </c>
      <c r="K3001" s="2" t="s">
        <v>117</v>
      </c>
      <c r="L3001" s="2" t="s">
        <v>118</v>
      </c>
      <c r="M3001" s="2" t="s">
        <v>119</v>
      </c>
      <c r="N3001" s="4" t="str">
        <f t="shared" si="280"/>
        <v>TON</v>
      </c>
      <c r="O3001" s="5">
        <v>12.4975</v>
      </c>
    </row>
    <row r="3002" spans="2:15" x14ac:dyDescent="0.25">
      <c r="B3002" s="1" t="s">
        <v>1520</v>
      </c>
      <c r="C3002" s="2" t="s">
        <v>196</v>
      </c>
      <c r="D3002" s="2" t="s">
        <v>800</v>
      </c>
      <c r="E3002" s="2" t="s">
        <v>801</v>
      </c>
      <c r="F3002" s="3">
        <f t="shared" si="285"/>
        <v>45230</v>
      </c>
      <c r="G3002" s="4">
        <f t="shared" si="279"/>
        <v>10</v>
      </c>
      <c r="H3002" s="4">
        <f t="shared" si="277"/>
        <v>2023</v>
      </c>
      <c r="I3002" s="2" t="s">
        <v>4</v>
      </c>
      <c r="J3002" s="2" t="s">
        <v>3869</v>
      </c>
      <c r="K3002" s="2" t="s">
        <v>329</v>
      </c>
      <c r="L3002" s="2" t="s">
        <v>330</v>
      </c>
      <c r="M3002" s="2" t="s">
        <v>119</v>
      </c>
      <c r="N3002" s="4" t="str">
        <f t="shared" si="280"/>
        <v>TON</v>
      </c>
      <c r="O3002" s="5">
        <v>1.25</v>
      </c>
    </row>
    <row r="3003" spans="2:15" x14ac:dyDescent="0.25">
      <c r="B3003" s="6" t="s">
        <v>382</v>
      </c>
      <c r="C3003" s="7" t="s">
        <v>506</v>
      </c>
      <c r="D3003" s="8" t="s">
        <v>1001</v>
      </c>
      <c r="E3003" s="8" t="s">
        <v>1002</v>
      </c>
      <c r="F3003" s="9">
        <f>DATE(2023,10,6)</f>
        <v>45205</v>
      </c>
      <c r="G3003" s="10">
        <f t="shared" si="279"/>
        <v>10</v>
      </c>
      <c r="H3003" s="10">
        <f t="shared" ref="H3003:H3066" si="286">+YEAR(F3003)</f>
        <v>2023</v>
      </c>
      <c r="I3003" s="8" t="s">
        <v>4</v>
      </c>
      <c r="J3003" s="7" t="s">
        <v>3870</v>
      </c>
      <c r="K3003" s="8" t="s">
        <v>36</v>
      </c>
      <c r="L3003" s="8" t="s">
        <v>511</v>
      </c>
      <c r="M3003" s="8" t="s">
        <v>38</v>
      </c>
      <c r="N3003" s="10" t="str">
        <f t="shared" si="280"/>
        <v>GAL</v>
      </c>
      <c r="O3003" s="11">
        <v>60</v>
      </c>
    </row>
    <row r="3004" spans="2:15" x14ac:dyDescent="0.25">
      <c r="B3004" s="1" t="s">
        <v>382</v>
      </c>
      <c r="C3004" s="2" t="s">
        <v>506</v>
      </c>
      <c r="D3004" s="2" t="s">
        <v>1006</v>
      </c>
      <c r="E3004" s="2" t="s">
        <v>1007</v>
      </c>
      <c r="F3004" s="3">
        <f>DATE(2023,10,12)</f>
        <v>45211</v>
      </c>
      <c r="G3004" s="4">
        <f t="shared" si="279"/>
        <v>10</v>
      </c>
      <c r="H3004" s="4">
        <f t="shared" si="286"/>
        <v>2023</v>
      </c>
      <c r="I3004" s="2" t="s">
        <v>4</v>
      </c>
      <c r="J3004" s="2" t="s">
        <v>3871</v>
      </c>
      <c r="K3004" s="2" t="s">
        <v>642</v>
      </c>
      <c r="L3004" s="2" t="s">
        <v>111</v>
      </c>
      <c r="M3004" s="2" t="s">
        <v>112</v>
      </c>
      <c r="N3004" s="4" t="str">
        <f t="shared" si="280"/>
        <v>GAL</v>
      </c>
      <c r="O3004" s="5">
        <v>180</v>
      </c>
    </row>
    <row r="3005" spans="2:15" x14ac:dyDescent="0.25">
      <c r="B3005" s="1" t="s">
        <v>382</v>
      </c>
      <c r="C3005" s="2" t="s">
        <v>506</v>
      </c>
      <c r="D3005" s="2" t="s">
        <v>515</v>
      </c>
      <c r="E3005" s="2" t="s">
        <v>516</v>
      </c>
      <c r="F3005" s="3">
        <f>DATE(2023,10,16)</f>
        <v>45215</v>
      </c>
      <c r="G3005" s="4">
        <f t="shared" si="279"/>
        <v>10</v>
      </c>
      <c r="H3005" s="4">
        <f t="shared" si="286"/>
        <v>2023</v>
      </c>
      <c r="I3005" s="2" t="s">
        <v>4</v>
      </c>
      <c r="J3005" s="2" t="s">
        <v>3872</v>
      </c>
      <c r="K3005" s="2" t="s">
        <v>1085</v>
      </c>
      <c r="L3005" s="2" t="s">
        <v>999</v>
      </c>
      <c r="M3005" s="2" t="s">
        <v>1000</v>
      </c>
      <c r="N3005" s="4" t="str">
        <f t="shared" si="280"/>
        <v>GAL</v>
      </c>
      <c r="O3005" s="5">
        <v>30</v>
      </c>
    </row>
    <row r="3006" spans="2:15" x14ac:dyDescent="0.25">
      <c r="B3006" s="1" t="s">
        <v>382</v>
      </c>
      <c r="C3006" s="2" t="s">
        <v>506</v>
      </c>
      <c r="D3006" s="2" t="s">
        <v>515</v>
      </c>
      <c r="E3006" s="2" t="s">
        <v>516</v>
      </c>
      <c r="F3006" s="3">
        <f>DATE(2023,10,16)</f>
        <v>45215</v>
      </c>
      <c r="G3006" s="4">
        <f t="shared" si="279"/>
        <v>10</v>
      </c>
      <c r="H3006" s="4">
        <f t="shared" si="286"/>
        <v>2023</v>
      </c>
      <c r="I3006" s="2" t="s">
        <v>4</v>
      </c>
      <c r="J3006" s="2" t="s">
        <v>3872</v>
      </c>
      <c r="K3006" s="2" t="s">
        <v>25</v>
      </c>
      <c r="L3006" s="2" t="s">
        <v>541</v>
      </c>
      <c r="M3006" s="2" t="s">
        <v>27</v>
      </c>
      <c r="N3006" s="4" t="str">
        <f t="shared" si="280"/>
        <v>GAL</v>
      </c>
      <c r="O3006" s="5">
        <v>60</v>
      </c>
    </row>
    <row r="3007" spans="2:15" x14ac:dyDescent="0.25">
      <c r="B3007" s="1" t="s">
        <v>382</v>
      </c>
      <c r="C3007" s="2" t="s">
        <v>506</v>
      </c>
      <c r="D3007" s="2" t="s">
        <v>515</v>
      </c>
      <c r="E3007" s="2" t="s">
        <v>516</v>
      </c>
      <c r="F3007" s="3">
        <f>DATE(2023,10,16)</f>
        <v>45215</v>
      </c>
      <c r="G3007" s="4">
        <f t="shared" si="279"/>
        <v>10</v>
      </c>
      <c r="H3007" s="4">
        <f t="shared" si="286"/>
        <v>2023</v>
      </c>
      <c r="I3007" s="2" t="s">
        <v>4</v>
      </c>
      <c r="J3007" s="2" t="s">
        <v>3872</v>
      </c>
      <c r="K3007" s="2" t="s">
        <v>1014</v>
      </c>
      <c r="L3007" s="2" t="s">
        <v>472</v>
      </c>
      <c r="M3007" s="2" t="s">
        <v>473</v>
      </c>
      <c r="N3007" s="4" t="str">
        <f t="shared" si="280"/>
        <v>GAL</v>
      </c>
      <c r="O3007" s="5">
        <v>60</v>
      </c>
    </row>
    <row r="3008" spans="2:15" x14ac:dyDescent="0.25">
      <c r="B3008" s="1" t="s">
        <v>382</v>
      </c>
      <c r="C3008" s="2" t="s">
        <v>506</v>
      </c>
      <c r="D3008" s="2" t="s">
        <v>521</v>
      </c>
      <c r="E3008" s="2" t="s">
        <v>522</v>
      </c>
      <c r="F3008" s="3">
        <f>DATE(2023,10,19)</f>
        <v>45218</v>
      </c>
      <c r="G3008" s="4">
        <f t="shared" si="279"/>
        <v>10</v>
      </c>
      <c r="H3008" s="4">
        <f t="shared" si="286"/>
        <v>2023</v>
      </c>
      <c r="I3008" s="2" t="s">
        <v>4</v>
      </c>
      <c r="J3008" s="2" t="s">
        <v>3873</v>
      </c>
      <c r="K3008" s="2" t="s">
        <v>244</v>
      </c>
      <c r="L3008" s="2" t="s">
        <v>182</v>
      </c>
      <c r="M3008" s="2" t="s">
        <v>183</v>
      </c>
      <c r="N3008" s="4" t="str">
        <f t="shared" si="280"/>
        <v>GAL</v>
      </c>
      <c r="O3008" s="5">
        <v>180</v>
      </c>
    </row>
    <row r="3009" spans="2:15" x14ac:dyDescent="0.25">
      <c r="B3009" s="1" t="s">
        <v>382</v>
      </c>
      <c r="C3009" s="2" t="s">
        <v>506</v>
      </c>
      <c r="D3009" s="2" t="s">
        <v>1006</v>
      </c>
      <c r="E3009" s="2" t="s">
        <v>1007</v>
      </c>
      <c r="F3009" s="3">
        <f>DATE(2023,10,19)</f>
        <v>45218</v>
      </c>
      <c r="G3009" s="4">
        <f t="shared" si="279"/>
        <v>10</v>
      </c>
      <c r="H3009" s="4">
        <f t="shared" si="286"/>
        <v>2023</v>
      </c>
      <c r="I3009" s="2" t="s">
        <v>4</v>
      </c>
      <c r="J3009" s="2" t="s">
        <v>3874</v>
      </c>
      <c r="K3009" s="2" t="s">
        <v>642</v>
      </c>
      <c r="L3009" s="2" t="s">
        <v>111</v>
      </c>
      <c r="M3009" s="2" t="s">
        <v>112</v>
      </c>
      <c r="N3009" s="4" t="str">
        <f t="shared" si="280"/>
        <v>GAL</v>
      </c>
      <c r="O3009" s="5">
        <v>180</v>
      </c>
    </row>
    <row r="3010" spans="2:15" x14ac:dyDescent="0.25">
      <c r="B3010" s="1" t="s">
        <v>382</v>
      </c>
      <c r="C3010" s="2" t="s">
        <v>506</v>
      </c>
      <c r="D3010" s="2" t="s">
        <v>521</v>
      </c>
      <c r="E3010" s="2" t="s">
        <v>522</v>
      </c>
      <c r="F3010" s="3">
        <f>DATE(2023,10,20)</f>
        <v>45219</v>
      </c>
      <c r="G3010" s="4">
        <f t="shared" si="279"/>
        <v>10</v>
      </c>
      <c r="H3010" s="4">
        <f t="shared" si="286"/>
        <v>2023</v>
      </c>
      <c r="I3010" s="2" t="s">
        <v>4</v>
      </c>
      <c r="J3010" s="2" t="s">
        <v>3875</v>
      </c>
      <c r="K3010" s="2" t="s">
        <v>1266</v>
      </c>
      <c r="L3010" s="2" t="s">
        <v>1267</v>
      </c>
      <c r="M3010" s="2" t="s">
        <v>191</v>
      </c>
      <c r="N3010" s="4" t="str">
        <f t="shared" si="280"/>
        <v>GAL</v>
      </c>
      <c r="O3010" s="5">
        <v>180</v>
      </c>
    </row>
    <row r="3011" spans="2:15" x14ac:dyDescent="0.25">
      <c r="B3011" s="1" t="s">
        <v>382</v>
      </c>
      <c r="C3011" s="2" t="s">
        <v>506</v>
      </c>
      <c r="D3011" s="2" t="s">
        <v>515</v>
      </c>
      <c r="E3011" s="2" t="s">
        <v>516</v>
      </c>
      <c r="F3011" s="3">
        <f>DATE(2023,10,27)</f>
        <v>45226</v>
      </c>
      <c r="G3011" s="4">
        <f t="shared" ref="G3011:G3074" si="287">+MONTH(F3011)</f>
        <v>10</v>
      </c>
      <c r="H3011" s="4">
        <f t="shared" si="286"/>
        <v>2023</v>
      </c>
      <c r="I3011" s="2" t="s">
        <v>4</v>
      </c>
      <c r="J3011" s="2" t="s">
        <v>3876</v>
      </c>
      <c r="K3011" s="2" t="s">
        <v>44</v>
      </c>
      <c r="L3011" s="2" t="s">
        <v>3023</v>
      </c>
      <c r="M3011" s="2" t="s">
        <v>46</v>
      </c>
      <c r="N3011" s="4" t="str">
        <f t="shared" ref="N3011:N3074" si="288">+LEFT(M3011,3)</f>
        <v>GAL</v>
      </c>
      <c r="O3011" s="5">
        <v>120</v>
      </c>
    </row>
    <row r="3012" spans="2:15" x14ac:dyDescent="0.25">
      <c r="B3012" s="1" t="s">
        <v>382</v>
      </c>
      <c r="C3012" s="2" t="s">
        <v>506</v>
      </c>
      <c r="D3012" s="2" t="s">
        <v>515</v>
      </c>
      <c r="E3012" s="2" t="s">
        <v>516</v>
      </c>
      <c r="F3012" s="3">
        <f>DATE(2023,10,27)</f>
        <v>45226</v>
      </c>
      <c r="G3012" s="4">
        <f t="shared" si="287"/>
        <v>10</v>
      </c>
      <c r="H3012" s="4">
        <f t="shared" si="286"/>
        <v>2023</v>
      </c>
      <c r="I3012" s="2" t="s">
        <v>4</v>
      </c>
      <c r="J3012" s="2" t="s">
        <v>3876</v>
      </c>
      <c r="K3012" s="2" t="s">
        <v>1266</v>
      </c>
      <c r="L3012" s="2" t="s">
        <v>1267</v>
      </c>
      <c r="M3012" s="2" t="s">
        <v>191</v>
      </c>
      <c r="N3012" s="4" t="str">
        <f t="shared" si="288"/>
        <v>GAL</v>
      </c>
      <c r="O3012" s="5">
        <v>10</v>
      </c>
    </row>
    <row r="3013" spans="2:15" x14ac:dyDescent="0.25">
      <c r="B3013" s="1" t="s">
        <v>382</v>
      </c>
      <c r="C3013" s="2" t="s">
        <v>506</v>
      </c>
      <c r="D3013" s="2" t="s">
        <v>515</v>
      </c>
      <c r="E3013" s="2" t="s">
        <v>516</v>
      </c>
      <c r="F3013" s="3">
        <f>DATE(2023,10,27)</f>
        <v>45226</v>
      </c>
      <c r="G3013" s="4">
        <f t="shared" si="287"/>
        <v>10</v>
      </c>
      <c r="H3013" s="4">
        <f t="shared" si="286"/>
        <v>2023</v>
      </c>
      <c r="I3013" s="2" t="s">
        <v>4</v>
      </c>
      <c r="J3013" s="2" t="s">
        <v>3876</v>
      </c>
      <c r="K3013" s="2" t="s">
        <v>3877</v>
      </c>
      <c r="L3013" s="2" t="s">
        <v>94</v>
      </c>
      <c r="M3013" s="2" t="s">
        <v>95</v>
      </c>
      <c r="N3013" s="4" t="str">
        <f t="shared" si="288"/>
        <v>GAL</v>
      </c>
      <c r="O3013" s="5">
        <v>60</v>
      </c>
    </row>
    <row r="3014" spans="2:15" x14ac:dyDescent="0.25">
      <c r="B3014" s="1" t="s">
        <v>1742</v>
      </c>
      <c r="C3014" s="2" t="s">
        <v>1025</v>
      </c>
      <c r="D3014" s="2" t="s">
        <v>124</v>
      </c>
      <c r="E3014" s="2" t="s">
        <v>2475</v>
      </c>
      <c r="F3014" s="3">
        <f>DATE(2023,10,17)</f>
        <v>45216</v>
      </c>
      <c r="G3014" s="4">
        <f t="shared" si="287"/>
        <v>10</v>
      </c>
      <c r="H3014" s="4">
        <f t="shared" si="286"/>
        <v>2023</v>
      </c>
      <c r="I3014" s="2" t="s">
        <v>4</v>
      </c>
      <c r="J3014" s="2" t="s">
        <v>3878</v>
      </c>
      <c r="K3014" s="2" t="s">
        <v>2113</v>
      </c>
      <c r="L3014" s="2" t="s">
        <v>2114</v>
      </c>
      <c r="M3014" s="2" t="s">
        <v>119</v>
      </c>
      <c r="N3014" s="4" t="str">
        <f t="shared" si="288"/>
        <v>TON</v>
      </c>
      <c r="O3014" s="5">
        <v>1.2849999999999999</v>
      </c>
    </row>
    <row r="3015" spans="2:15" x14ac:dyDescent="0.25">
      <c r="B3015" s="1" t="s">
        <v>645</v>
      </c>
      <c r="C3015" s="2" t="s">
        <v>1025</v>
      </c>
      <c r="D3015" s="2" t="s">
        <v>1401</v>
      </c>
      <c r="E3015" s="2" t="s">
        <v>1402</v>
      </c>
      <c r="F3015" s="3">
        <f>DATE(2023,10,26)</f>
        <v>45225</v>
      </c>
      <c r="G3015" s="4">
        <f t="shared" si="287"/>
        <v>10</v>
      </c>
      <c r="H3015" s="4">
        <f t="shared" si="286"/>
        <v>2023</v>
      </c>
      <c r="I3015" s="2" t="s">
        <v>4</v>
      </c>
      <c r="J3015" s="2" t="s">
        <v>3879</v>
      </c>
      <c r="K3015" s="2" t="s">
        <v>3880</v>
      </c>
      <c r="L3015" s="2" t="s">
        <v>3881</v>
      </c>
      <c r="M3015" s="2" t="s">
        <v>106</v>
      </c>
      <c r="N3015" s="4" t="str">
        <f t="shared" si="288"/>
        <v>LBS</v>
      </c>
      <c r="O3015" s="5">
        <v>19500</v>
      </c>
    </row>
    <row r="3016" spans="2:15" x14ac:dyDescent="0.25">
      <c r="B3016" s="1" t="s">
        <v>1742</v>
      </c>
      <c r="C3016" s="2" t="s">
        <v>1025</v>
      </c>
      <c r="D3016" s="2" t="s">
        <v>1401</v>
      </c>
      <c r="E3016" s="2" t="s">
        <v>1402</v>
      </c>
      <c r="F3016" s="3">
        <f>DATE(2023,10,31)</f>
        <v>45230</v>
      </c>
      <c r="G3016" s="4">
        <f t="shared" si="287"/>
        <v>10</v>
      </c>
      <c r="H3016" s="4">
        <f t="shared" si="286"/>
        <v>2023</v>
      </c>
      <c r="I3016" s="2" t="s">
        <v>4</v>
      </c>
      <c r="J3016" s="2" t="s">
        <v>3882</v>
      </c>
      <c r="K3016" s="2" t="s">
        <v>3883</v>
      </c>
      <c r="L3016" s="2" t="s">
        <v>3884</v>
      </c>
      <c r="M3016" s="2" t="s">
        <v>119</v>
      </c>
      <c r="N3016" s="4" t="str">
        <f t="shared" si="288"/>
        <v>TON</v>
      </c>
      <c r="O3016" s="5">
        <v>1.25</v>
      </c>
    </row>
    <row r="3017" spans="2:15" x14ac:dyDescent="0.25">
      <c r="B3017" s="1" t="s">
        <v>1410</v>
      </c>
      <c r="C3017" s="2" t="s">
        <v>525</v>
      </c>
      <c r="D3017" s="2" t="s">
        <v>507</v>
      </c>
      <c r="E3017" s="2" t="s">
        <v>508</v>
      </c>
      <c r="F3017" s="3">
        <f>DATE(2023,10,6)</f>
        <v>45205</v>
      </c>
      <c r="G3017" s="4">
        <f t="shared" si="287"/>
        <v>10</v>
      </c>
      <c r="H3017" s="4">
        <f t="shared" si="286"/>
        <v>2023</v>
      </c>
      <c r="I3017" s="2" t="s">
        <v>4</v>
      </c>
      <c r="J3017" s="2" t="s">
        <v>3885</v>
      </c>
      <c r="K3017" s="2" t="s">
        <v>513</v>
      </c>
      <c r="L3017" s="2" t="s">
        <v>514</v>
      </c>
      <c r="M3017" s="2" t="s">
        <v>119</v>
      </c>
      <c r="N3017" s="4" t="str">
        <f t="shared" si="288"/>
        <v>TON</v>
      </c>
      <c r="O3017" s="5">
        <v>1.25</v>
      </c>
    </row>
    <row r="3018" spans="2:15" x14ac:dyDescent="0.25">
      <c r="B3018" s="1" t="s">
        <v>1410</v>
      </c>
      <c r="C3018" s="2" t="s">
        <v>525</v>
      </c>
      <c r="D3018" s="2" t="s">
        <v>628</v>
      </c>
      <c r="E3018" s="2" t="s">
        <v>1036</v>
      </c>
      <c r="F3018" s="3">
        <f>DATE(2023,10,6)</f>
        <v>45205</v>
      </c>
      <c r="G3018" s="4">
        <f t="shared" si="287"/>
        <v>10</v>
      </c>
      <c r="H3018" s="4">
        <f t="shared" si="286"/>
        <v>2023</v>
      </c>
      <c r="I3018" s="2" t="s">
        <v>4</v>
      </c>
      <c r="J3018" s="2" t="s">
        <v>3886</v>
      </c>
      <c r="K3018" s="2" t="s">
        <v>3593</v>
      </c>
      <c r="L3018" s="2" t="s">
        <v>416</v>
      </c>
      <c r="M3018" s="2" t="s">
        <v>417</v>
      </c>
      <c r="N3018" s="4" t="str">
        <f t="shared" si="288"/>
        <v>GAL</v>
      </c>
      <c r="O3018" s="5">
        <v>1000</v>
      </c>
    </row>
    <row r="3019" spans="2:15" x14ac:dyDescent="0.25">
      <c r="B3019" s="1" t="s">
        <v>1410</v>
      </c>
      <c r="C3019" s="2" t="s">
        <v>525</v>
      </c>
      <c r="D3019" s="2" t="s">
        <v>628</v>
      </c>
      <c r="E3019" s="2" t="s">
        <v>1036</v>
      </c>
      <c r="F3019" s="3">
        <f>DATE(2023,10,6)</f>
        <v>45205</v>
      </c>
      <c r="G3019" s="4">
        <f t="shared" si="287"/>
        <v>10</v>
      </c>
      <c r="H3019" s="4">
        <f t="shared" si="286"/>
        <v>2023</v>
      </c>
      <c r="I3019" s="2" t="s">
        <v>4</v>
      </c>
      <c r="J3019" s="2" t="s">
        <v>3887</v>
      </c>
      <c r="K3019" s="2" t="s">
        <v>25</v>
      </c>
      <c r="L3019" s="2" t="s">
        <v>541</v>
      </c>
      <c r="M3019" s="2" t="s">
        <v>27</v>
      </c>
      <c r="N3019" s="4" t="str">
        <f t="shared" si="288"/>
        <v>GAL</v>
      </c>
      <c r="O3019" s="5">
        <v>180</v>
      </c>
    </row>
    <row r="3020" spans="2:15" x14ac:dyDescent="0.25">
      <c r="B3020" s="1" t="s">
        <v>1410</v>
      </c>
      <c r="C3020" s="2" t="s">
        <v>525</v>
      </c>
      <c r="D3020" s="2" t="s">
        <v>628</v>
      </c>
      <c r="E3020" s="2" t="s">
        <v>1036</v>
      </c>
      <c r="F3020" s="3">
        <f>DATE(2023,10,6)</f>
        <v>45205</v>
      </c>
      <c r="G3020" s="4">
        <f t="shared" si="287"/>
        <v>10</v>
      </c>
      <c r="H3020" s="4">
        <f t="shared" si="286"/>
        <v>2023</v>
      </c>
      <c r="I3020" s="2" t="s">
        <v>4</v>
      </c>
      <c r="J3020" s="2" t="s">
        <v>3887</v>
      </c>
      <c r="K3020" s="2" t="s">
        <v>158</v>
      </c>
      <c r="L3020" s="2" t="s">
        <v>159</v>
      </c>
      <c r="M3020" s="2" t="s">
        <v>160</v>
      </c>
      <c r="N3020" s="4" t="str">
        <f t="shared" si="288"/>
        <v>GAL</v>
      </c>
      <c r="O3020" s="5">
        <v>180</v>
      </c>
    </row>
    <row r="3021" spans="2:15" x14ac:dyDescent="0.25">
      <c r="B3021" s="1" t="s">
        <v>1410</v>
      </c>
      <c r="C3021" s="2" t="s">
        <v>525</v>
      </c>
      <c r="D3021" s="2" t="s">
        <v>628</v>
      </c>
      <c r="E3021" s="2" t="s">
        <v>1036</v>
      </c>
      <c r="F3021" s="3">
        <f>DATE(2023,10,6)</f>
        <v>45205</v>
      </c>
      <c r="G3021" s="4">
        <f t="shared" si="287"/>
        <v>10</v>
      </c>
      <c r="H3021" s="4">
        <f t="shared" si="286"/>
        <v>2023</v>
      </c>
      <c r="I3021" s="2" t="s">
        <v>4</v>
      </c>
      <c r="J3021" s="2" t="s">
        <v>3888</v>
      </c>
      <c r="K3021" s="2" t="s">
        <v>3889</v>
      </c>
      <c r="L3021" s="2" t="s">
        <v>3422</v>
      </c>
      <c r="M3021" s="2" t="s">
        <v>3423</v>
      </c>
      <c r="N3021" s="4" t="str">
        <f t="shared" si="288"/>
        <v>GAL</v>
      </c>
      <c r="O3021" s="5">
        <v>750</v>
      </c>
    </row>
    <row r="3022" spans="2:15" x14ac:dyDescent="0.25">
      <c r="B3022" s="1" t="s">
        <v>1410</v>
      </c>
      <c r="C3022" s="2" t="s">
        <v>525</v>
      </c>
      <c r="D3022" s="2" t="s">
        <v>646</v>
      </c>
      <c r="E3022" s="2" t="s">
        <v>647</v>
      </c>
      <c r="F3022" s="3">
        <f>DATE(2023,10,12)</f>
        <v>45211</v>
      </c>
      <c r="G3022" s="4">
        <f t="shared" si="287"/>
        <v>10</v>
      </c>
      <c r="H3022" s="4">
        <f t="shared" si="286"/>
        <v>2023</v>
      </c>
      <c r="I3022" s="2" t="s">
        <v>4</v>
      </c>
      <c r="J3022" s="2" t="s">
        <v>3890</v>
      </c>
      <c r="K3022" s="2" t="s">
        <v>25</v>
      </c>
      <c r="L3022" s="2" t="s">
        <v>541</v>
      </c>
      <c r="M3022" s="2" t="s">
        <v>27</v>
      </c>
      <c r="N3022" s="4" t="str">
        <f t="shared" si="288"/>
        <v>GAL</v>
      </c>
      <c r="O3022" s="5">
        <v>360</v>
      </c>
    </row>
    <row r="3023" spans="2:15" x14ac:dyDescent="0.25">
      <c r="B3023" s="1" t="s">
        <v>1410</v>
      </c>
      <c r="C3023" s="2" t="s">
        <v>525</v>
      </c>
      <c r="D3023" s="2" t="s">
        <v>124</v>
      </c>
      <c r="E3023" s="2" t="s">
        <v>526</v>
      </c>
      <c r="F3023" s="3">
        <f>DATE(2023,10,13)</f>
        <v>45212</v>
      </c>
      <c r="G3023" s="4">
        <f t="shared" si="287"/>
        <v>10</v>
      </c>
      <c r="H3023" s="4">
        <f t="shared" si="286"/>
        <v>2023</v>
      </c>
      <c r="I3023" s="2" t="s">
        <v>4</v>
      </c>
      <c r="J3023" s="2" t="s">
        <v>3891</v>
      </c>
      <c r="K3023" s="2" t="s">
        <v>2493</v>
      </c>
      <c r="L3023" s="2" t="s">
        <v>2494</v>
      </c>
      <c r="M3023" s="2" t="s">
        <v>119</v>
      </c>
      <c r="N3023" s="4" t="str">
        <f t="shared" si="288"/>
        <v>TON</v>
      </c>
      <c r="O3023" s="5">
        <v>6.125</v>
      </c>
    </row>
    <row r="3024" spans="2:15" x14ac:dyDescent="0.25">
      <c r="B3024" s="1" t="s">
        <v>1410</v>
      </c>
      <c r="C3024" s="2" t="s">
        <v>525</v>
      </c>
      <c r="D3024" s="2" t="s">
        <v>507</v>
      </c>
      <c r="E3024" s="2" t="s">
        <v>508</v>
      </c>
      <c r="F3024" s="3">
        <f>DATE(2023,10,18)</f>
        <v>45217</v>
      </c>
      <c r="G3024" s="4">
        <f t="shared" si="287"/>
        <v>10</v>
      </c>
      <c r="H3024" s="4">
        <f t="shared" si="286"/>
        <v>2023</v>
      </c>
      <c r="I3024" s="2" t="s">
        <v>4</v>
      </c>
      <c r="J3024" s="2" t="s">
        <v>3892</v>
      </c>
      <c r="K3024" s="2" t="s">
        <v>609</v>
      </c>
      <c r="L3024" s="2" t="s">
        <v>610</v>
      </c>
      <c r="M3024" s="2" t="s">
        <v>611</v>
      </c>
      <c r="N3024" s="4" t="str">
        <f t="shared" si="288"/>
        <v>GAL</v>
      </c>
      <c r="O3024" s="5">
        <v>120</v>
      </c>
    </row>
    <row r="3025" spans="2:15" x14ac:dyDescent="0.25">
      <c r="B3025" s="1" t="s">
        <v>1410</v>
      </c>
      <c r="C3025" s="2" t="s">
        <v>525</v>
      </c>
      <c r="D3025" s="2" t="s">
        <v>507</v>
      </c>
      <c r="E3025" s="2" t="s">
        <v>141</v>
      </c>
      <c r="F3025" s="3">
        <f>DATE(2023,10,20)</f>
        <v>45219</v>
      </c>
      <c r="G3025" s="4">
        <f t="shared" si="287"/>
        <v>10</v>
      </c>
      <c r="H3025" s="4">
        <f t="shared" si="286"/>
        <v>2023</v>
      </c>
      <c r="I3025" s="2" t="s">
        <v>4</v>
      </c>
      <c r="J3025" s="2" t="s">
        <v>3893</v>
      </c>
      <c r="K3025" s="2" t="s">
        <v>158</v>
      </c>
      <c r="L3025" s="2" t="s">
        <v>159</v>
      </c>
      <c r="M3025" s="2" t="s">
        <v>160</v>
      </c>
      <c r="N3025" s="4" t="str">
        <f t="shared" si="288"/>
        <v>GAL</v>
      </c>
      <c r="O3025" s="5">
        <v>360</v>
      </c>
    </row>
    <row r="3026" spans="2:15" x14ac:dyDescent="0.25">
      <c r="B3026" s="1" t="s">
        <v>1410</v>
      </c>
      <c r="C3026" s="2" t="s">
        <v>525</v>
      </c>
      <c r="D3026" s="2" t="s">
        <v>507</v>
      </c>
      <c r="E3026" s="2" t="s">
        <v>508</v>
      </c>
      <c r="F3026" s="3">
        <f>DATE(2023,10,25)</f>
        <v>45224</v>
      </c>
      <c r="G3026" s="4">
        <f t="shared" si="287"/>
        <v>10</v>
      </c>
      <c r="H3026" s="4">
        <f t="shared" si="286"/>
        <v>2023</v>
      </c>
      <c r="I3026" s="2" t="s">
        <v>4</v>
      </c>
      <c r="J3026" s="2" t="s">
        <v>3894</v>
      </c>
      <c r="K3026" s="2" t="s">
        <v>329</v>
      </c>
      <c r="L3026" s="2" t="s">
        <v>330</v>
      </c>
      <c r="M3026" s="2" t="s">
        <v>119</v>
      </c>
      <c r="N3026" s="4" t="str">
        <f t="shared" si="288"/>
        <v>TON</v>
      </c>
      <c r="O3026" s="5">
        <v>2.5024999999999999</v>
      </c>
    </row>
    <row r="3027" spans="2:15" x14ac:dyDescent="0.25">
      <c r="B3027" s="1" t="s">
        <v>1410</v>
      </c>
      <c r="C3027" s="2" t="s">
        <v>525</v>
      </c>
      <c r="D3027" s="2" t="s">
        <v>507</v>
      </c>
      <c r="E3027" s="2" t="s">
        <v>508</v>
      </c>
      <c r="F3027" s="3">
        <f>DATE(2023,10,30)</f>
        <v>45229</v>
      </c>
      <c r="G3027" s="4">
        <f t="shared" si="287"/>
        <v>10</v>
      </c>
      <c r="H3027" s="4">
        <f t="shared" si="286"/>
        <v>2023</v>
      </c>
      <c r="I3027" s="2" t="s">
        <v>4</v>
      </c>
      <c r="J3027" s="2" t="s">
        <v>3895</v>
      </c>
      <c r="K3027" s="2" t="s">
        <v>25</v>
      </c>
      <c r="L3027" s="2" t="s">
        <v>541</v>
      </c>
      <c r="M3027" s="2" t="s">
        <v>27</v>
      </c>
      <c r="N3027" s="4" t="str">
        <f t="shared" si="288"/>
        <v>GAL</v>
      </c>
      <c r="O3027" s="5">
        <v>50</v>
      </c>
    </row>
    <row r="3028" spans="2:15" x14ac:dyDescent="0.25">
      <c r="B3028" s="1" t="s">
        <v>1050</v>
      </c>
      <c r="C3028" s="2" t="s">
        <v>533</v>
      </c>
      <c r="D3028" s="2" t="s">
        <v>562</v>
      </c>
      <c r="E3028" s="2" t="s">
        <v>3896</v>
      </c>
      <c r="F3028" s="3">
        <f>DATE(2023,10,3)</f>
        <v>45202</v>
      </c>
      <c r="G3028" s="4">
        <f t="shared" si="287"/>
        <v>10</v>
      </c>
      <c r="H3028" s="4">
        <f t="shared" si="286"/>
        <v>2023</v>
      </c>
      <c r="I3028" s="2" t="s">
        <v>4</v>
      </c>
      <c r="J3028" s="2" t="s">
        <v>3897</v>
      </c>
      <c r="K3028" s="2" t="s">
        <v>822</v>
      </c>
      <c r="L3028" s="2" t="s">
        <v>565</v>
      </c>
      <c r="M3028" s="2" t="s">
        <v>21</v>
      </c>
      <c r="N3028" s="4" t="str">
        <f t="shared" si="288"/>
        <v>GAL</v>
      </c>
      <c r="O3028" s="5">
        <v>275</v>
      </c>
    </row>
    <row r="3029" spans="2:15" x14ac:dyDescent="0.25">
      <c r="B3029" s="1" t="s">
        <v>645</v>
      </c>
      <c r="C3029" s="2" t="s">
        <v>533</v>
      </c>
      <c r="D3029" s="2" t="s">
        <v>562</v>
      </c>
      <c r="E3029" s="2" t="s">
        <v>563</v>
      </c>
      <c r="F3029" s="3">
        <f>DATE(2023,10,5)</f>
        <v>45204</v>
      </c>
      <c r="G3029" s="4">
        <f t="shared" si="287"/>
        <v>10</v>
      </c>
      <c r="H3029" s="4">
        <f t="shared" si="286"/>
        <v>2023</v>
      </c>
      <c r="I3029" s="2" t="s">
        <v>4</v>
      </c>
      <c r="J3029" s="2" t="s">
        <v>3898</v>
      </c>
      <c r="K3029" s="2" t="s">
        <v>822</v>
      </c>
      <c r="L3029" s="2" t="s">
        <v>565</v>
      </c>
      <c r="M3029" s="2" t="s">
        <v>21</v>
      </c>
      <c r="N3029" s="4" t="str">
        <f t="shared" si="288"/>
        <v>GAL</v>
      </c>
      <c r="O3029" s="5">
        <v>1000</v>
      </c>
    </row>
    <row r="3030" spans="2:15" x14ac:dyDescent="0.25">
      <c r="B3030" s="1" t="s">
        <v>645</v>
      </c>
      <c r="C3030" s="2" t="s">
        <v>533</v>
      </c>
      <c r="D3030" s="2" t="s">
        <v>562</v>
      </c>
      <c r="E3030" s="2" t="s">
        <v>563</v>
      </c>
      <c r="F3030" s="3">
        <f>DATE(2023,10,5)</f>
        <v>45204</v>
      </c>
      <c r="G3030" s="4">
        <f t="shared" si="287"/>
        <v>10</v>
      </c>
      <c r="H3030" s="4">
        <f t="shared" si="286"/>
        <v>2023</v>
      </c>
      <c r="I3030" s="2" t="s">
        <v>4</v>
      </c>
      <c r="J3030" s="2" t="s">
        <v>3898</v>
      </c>
      <c r="K3030" s="2" t="s">
        <v>566</v>
      </c>
      <c r="L3030" s="2" t="s">
        <v>565</v>
      </c>
      <c r="M3030" s="2" t="s">
        <v>21</v>
      </c>
      <c r="N3030" s="4" t="str">
        <f t="shared" si="288"/>
        <v>GAL</v>
      </c>
      <c r="O3030" s="5">
        <v>55</v>
      </c>
    </row>
    <row r="3031" spans="2:15" x14ac:dyDescent="0.25">
      <c r="B3031" s="1" t="s">
        <v>645</v>
      </c>
      <c r="C3031" s="2" t="s">
        <v>533</v>
      </c>
      <c r="D3031" s="2" t="s">
        <v>534</v>
      </c>
      <c r="E3031" s="2" t="s">
        <v>535</v>
      </c>
      <c r="F3031" s="3">
        <f t="shared" ref="F3031:F3037" si="289">DATE(2023,10,24)</f>
        <v>45223</v>
      </c>
      <c r="G3031" s="4">
        <f t="shared" si="287"/>
        <v>10</v>
      </c>
      <c r="H3031" s="4">
        <f t="shared" si="286"/>
        <v>2023</v>
      </c>
      <c r="I3031" s="2" t="s">
        <v>4</v>
      </c>
      <c r="J3031" s="2" t="s">
        <v>3899</v>
      </c>
      <c r="K3031" s="2" t="s">
        <v>1501</v>
      </c>
      <c r="L3031" s="2" t="s">
        <v>602</v>
      </c>
      <c r="M3031" s="2" t="s">
        <v>41</v>
      </c>
      <c r="N3031" s="4" t="str">
        <f t="shared" si="288"/>
        <v>GAL</v>
      </c>
      <c r="O3031" s="5">
        <v>15</v>
      </c>
    </row>
    <row r="3032" spans="2:15" x14ac:dyDescent="0.25">
      <c r="B3032" s="1" t="s">
        <v>645</v>
      </c>
      <c r="C3032" s="2" t="s">
        <v>533</v>
      </c>
      <c r="D3032" s="2" t="s">
        <v>534</v>
      </c>
      <c r="E3032" s="2" t="s">
        <v>535</v>
      </c>
      <c r="F3032" s="3">
        <f t="shared" si="289"/>
        <v>45223</v>
      </c>
      <c r="G3032" s="4">
        <f t="shared" si="287"/>
        <v>10</v>
      </c>
      <c r="H3032" s="4">
        <f t="shared" si="286"/>
        <v>2023</v>
      </c>
      <c r="I3032" s="2" t="s">
        <v>4</v>
      </c>
      <c r="J3032" s="2" t="s">
        <v>3899</v>
      </c>
      <c r="K3032" s="2" t="s">
        <v>540</v>
      </c>
      <c r="L3032" s="2" t="s">
        <v>541</v>
      </c>
      <c r="M3032" s="2" t="s">
        <v>27</v>
      </c>
      <c r="N3032" s="4" t="str">
        <f t="shared" si="288"/>
        <v>GAL</v>
      </c>
      <c r="O3032" s="5">
        <v>55</v>
      </c>
    </row>
    <row r="3033" spans="2:15" x14ac:dyDescent="0.25">
      <c r="B3033" s="1" t="s">
        <v>645</v>
      </c>
      <c r="C3033" s="2" t="s">
        <v>533</v>
      </c>
      <c r="D3033" s="2" t="s">
        <v>534</v>
      </c>
      <c r="E3033" s="2" t="s">
        <v>535</v>
      </c>
      <c r="F3033" s="3">
        <f t="shared" si="289"/>
        <v>45223</v>
      </c>
      <c r="G3033" s="4">
        <f t="shared" si="287"/>
        <v>10</v>
      </c>
      <c r="H3033" s="4">
        <f t="shared" si="286"/>
        <v>2023</v>
      </c>
      <c r="I3033" s="2" t="s">
        <v>4</v>
      </c>
      <c r="J3033" s="2" t="s">
        <v>3899</v>
      </c>
      <c r="K3033" s="2" t="s">
        <v>544</v>
      </c>
      <c r="L3033" s="2" t="s">
        <v>545</v>
      </c>
      <c r="M3033" s="2" t="s">
        <v>67</v>
      </c>
      <c r="N3033" s="4" t="str">
        <f t="shared" si="288"/>
        <v>GAL</v>
      </c>
      <c r="O3033" s="5">
        <v>55</v>
      </c>
    </row>
    <row r="3034" spans="2:15" x14ac:dyDescent="0.25">
      <c r="B3034" s="1" t="s">
        <v>645</v>
      </c>
      <c r="C3034" s="2" t="s">
        <v>533</v>
      </c>
      <c r="D3034" s="2" t="s">
        <v>534</v>
      </c>
      <c r="E3034" s="2" t="s">
        <v>535</v>
      </c>
      <c r="F3034" s="3">
        <f t="shared" si="289"/>
        <v>45223</v>
      </c>
      <c r="G3034" s="4">
        <f t="shared" si="287"/>
        <v>10</v>
      </c>
      <c r="H3034" s="4">
        <f t="shared" si="286"/>
        <v>2023</v>
      </c>
      <c r="I3034" s="2" t="s">
        <v>4</v>
      </c>
      <c r="J3034" s="2" t="s">
        <v>3899</v>
      </c>
      <c r="K3034" s="2" t="s">
        <v>546</v>
      </c>
      <c r="L3034" s="2" t="s">
        <v>547</v>
      </c>
      <c r="M3034" s="2" t="s">
        <v>160</v>
      </c>
      <c r="N3034" s="4" t="str">
        <f t="shared" si="288"/>
        <v>GAL</v>
      </c>
      <c r="O3034" s="5">
        <v>55</v>
      </c>
    </row>
    <row r="3035" spans="2:15" x14ac:dyDescent="0.25">
      <c r="B3035" s="1" t="s">
        <v>645</v>
      </c>
      <c r="C3035" s="2" t="s">
        <v>533</v>
      </c>
      <c r="D3035" s="2" t="s">
        <v>534</v>
      </c>
      <c r="E3035" s="2" t="s">
        <v>535</v>
      </c>
      <c r="F3035" s="3">
        <f t="shared" si="289"/>
        <v>45223</v>
      </c>
      <c r="G3035" s="4">
        <f t="shared" si="287"/>
        <v>10</v>
      </c>
      <c r="H3035" s="4">
        <f t="shared" si="286"/>
        <v>2023</v>
      </c>
      <c r="I3035" s="2" t="s">
        <v>4</v>
      </c>
      <c r="J3035" s="2" t="s">
        <v>3899</v>
      </c>
      <c r="K3035" s="2" t="s">
        <v>2548</v>
      </c>
      <c r="L3035" s="2" t="s">
        <v>176</v>
      </c>
      <c r="M3035" s="2" t="s">
        <v>24</v>
      </c>
      <c r="N3035" s="4" t="str">
        <f t="shared" si="288"/>
        <v>GAL</v>
      </c>
      <c r="O3035" s="5">
        <v>250</v>
      </c>
    </row>
    <row r="3036" spans="2:15" x14ac:dyDescent="0.25">
      <c r="B3036" s="1" t="s">
        <v>645</v>
      </c>
      <c r="C3036" s="2" t="s">
        <v>533</v>
      </c>
      <c r="D3036" s="2" t="s">
        <v>534</v>
      </c>
      <c r="E3036" s="2" t="s">
        <v>535</v>
      </c>
      <c r="F3036" s="3">
        <f t="shared" si="289"/>
        <v>45223</v>
      </c>
      <c r="G3036" s="4">
        <f t="shared" si="287"/>
        <v>10</v>
      </c>
      <c r="H3036" s="4">
        <f t="shared" si="286"/>
        <v>2023</v>
      </c>
      <c r="I3036" s="2" t="s">
        <v>4</v>
      </c>
      <c r="J3036" s="2" t="s">
        <v>3899</v>
      </c>
      <c r="K3036" s="2" t="s">
        <v>3900</v>
      </c>
      <c r="L3036" s="2" t="s">
        <v>555</v>
      </c>
      <c r="M3036" s="2" t="s">
        <v>556</v>
      </c>
      <c r="N3036" s="4" t="str">
        <f t="shared" si="288"/>
        <v>GAL</v>
      </c>
      <c r="O3036" s="5">
        <v>110</v>
      </c>
    </row>
    <row r="3037" spans="2:15" x14ac:dyDescent="0.25">
      <c r="B3037" s="1" t="s">
        <v>645</v>
      </c>
      <c r="C3037" s="2" t="s">
        <v>533</v>
      </c>
      <c r="D3037" s="2" t="s">
        <v>534</v>
      </c>
      <c r="E3037" s="2" t="s">
        <v>535</v>
      </c>
      <c r="F3037" s="3">
        <f t="shared" si="289"/>
        <v>45223</v>
      </c>
      <c r="G3037" s="4">
        <f t="shared" si="287"/>
        <v>10</v>
      </c>
      <c r="H3037" s="4">
        <f t="shared" si="286"/>
        <v>2023</v>
      </c>
      <c r="I3037" s="2" t="s">
        <v>4</v>
      </c>
      <c r="J3037" s="2" t="s">
        <v>3901</v>
      </c>
      <c r="K3037" s="2" t="s">
        <v>537</v>
      </c>
      <c r="L3037" s="2" t="s">
        <v>538</v>
      </c>
      <c r="M3037" s="2" t="s">
        <v>539</v>
      </c>
      <c r="N3037" s="4" t="str">
        <f t="shared" si="288"/>
        <v>GAL</v>
      </c>
      <c r="O3037" s="5">
        <v>55</v>
      </c>
    </row>
    <row r="3038" spans="2:15" x14ac:dyDescent="0.25">
      <c r="B3038" s="1" t="s">
        <v>3238</v>
      </c>
      <c r="C3038" s="2" t="s">
        <v>3239</v>
      </c>
      <c r="D3038" s="2" t="s">
        <v>3240</v>
      </c>
      <c r="E3038" s="2" t="s">
        <v>3902</v>
      </c>
      <c r="F3038" s="3">
        <f>DATE(2023,10,9)</f>
        <v>45208</v>
      </c>
      <c r="G3038" s="4">
        <f t="shared" si="287"/>
        <v>10</v>
      </c>
      <c r="H3038" s="4">
        <f t="shared" si="286"/>
        <v>2023</v>
      </c>
      <c r="I3038" s="2" t="s">
        <v>4</v>
      </c>
      <c r="J3038" s="2" t="s">
        <v>3903</v>
      </c>
      <c r="K3038" s="2" t="s">
        <v>3395</v>
      </c>
      <c r="L3038" s="2" t="s">
        <v>3396</v>
      </c>
      <c r="M3038" s="2" t="s">
        <v>844</v>
      </c>
      <c r="N3038" s="4" t="str">
        <f t="shared" si="288"/>
        <v>GAL</v>
      </c>
      <c r="O3038" s="5">
        <v>275</v>
      </c>
    </row>
    <row r="3039" spans="2:15" x14ac:dyDescent="0.25">
      <c r="B3039" s="1" t="s">
        <v>3238</v>
      </c>
      <c r="C3039" s="2" t="s">
        <v>3239</v>
      </c>
      <c r="D3039" s="2" t="s">
        <v>3240</v>
      </c>
      <c r="E3039" s="2" t="s">
        <v>3904</v>
      </c>
      <c r="F3039" s="3">
        <f>DATE(2023,10,9)</f>
        <v>45208</v>
      </c>
      <c r="G3039" s="4">
        <f t="shared" si="287"/>
        <v>10</v>
      </c>
      <c r="H3039" s="4">
        <f t="shared" si="286"/>
        <v>2023</v>
      </c>
      <c r="I3039" s="2" t="s">
        <v>4</v>
      </c>
      <c r="J3039" s="2" t="s">
        <v>3905</v>
      </c>
      <c r="K3039" s="2" t="s">
        <v>3395</v>
      </c>
      <c r="L3039" s="2" t="s">
        <v>3396</v>
      </c>
      <c r="M3039" s="2" t="s">
        <v>844</v>
      </c>
      <c r="N3039" s="4" t="str">
        <f t="shared" si="288"/>
        <v>GAL</v>
      </c>
      <c r="O3039" s="5">
        <v>250</v>
      </c>
    </row>
    <row r="3040" spans="2:15" x14ac:dyDescent="0.25">
      <c r="B3040" s="1" t="s">
        <v>3238</v>
      </c>
      <c r="C3040" s="2" t="s">
        <v>3239</v>
      </c>
      <c r="D3040" s="2" t="s">
        <v>3240</v>
      </c>
      <c r="E3040" s="2" t="s">
        <v>3241</v>
      </c>
      <c r="F3040" s="3">
        <f>DATE(2023,10,9)</f>
        <v>45208</v>
      </c>
      <c r="G3040" s="4">
        <f t="shared" si="287"/>
        <v>10</v>
      </c>
      <c r="H3040" s="4">
        <f t="shared" si="286"/>
        <v>2023</v>
      </c>
      <c r="I3040" s="2" t="s">
        <v>4</v>
      </c>
      <c r="J3040" s="2" t="s">
        <v>3906</v>
      </c>
      <c r="K3040" s="2" t="s">
        <v>548</v>
      </c>
      <c r="L3040" s="2" t="s">
        <v>518</v>
      </c>
      <c r="M3040" s="2" t="s">
        <v>85</v>
      </c>
      <c r="N3040" s="4" t="str">
        <f t="shared" si="288"/>
        <v>GAL</v>
      </c>
      <c r="O3040" s="5">
        <v>800</v>
      </c>
    </row>
    <row r="3041" spans="2:15" x14ac:dyDescent="0.25">
      <c r="B3041" s="1" t="s">
        <v>3238</v>
      </c>
      <c r="C3041" s="2" t="s">
        <v>3239</v>
      </c>
      <c r="D3041" s="2" t="s">
        <v>3240</v>
      </c>
      <c r="E3041" s="2" t="s">
        <v>3379</v>
      </c>
      <c r="F3041" s="3">
        <f>DATE(2023,10,10)</f>
        <v>45209</v>
      </c>
      <c r="G3041" s="4">
        <f t="shared" si="287"/>
        <v>10</v>
      </c>
      <c r="H3041" s="4">
        <f t="shared" si="286"/>
        <v>2023</v>
      </c>
      <c r="I3041" s="2" t="s">
        <v>4</v>
      </c>
      <c r="J3041" s="2" t="s">
        <v>3907</v>
      </c>
      <c r="K3041" s="2" t="s">
        <v>548</v>
      </c>
      <c r="L3041" s="2" t="s">
        <v>518</v>
      </c>
      <c r="M3041" s="2" t="s">
        <v>85</v>
      </c>
      <c r="N3041" s="4" t="str">
        <f t="shared" si="288"/>
        <v>GAL</v>
      </c>
      <c r="O3041" s="5">
        <v>250</v>
      </c>
    </row>
    <row r="3042" spans="2:15" x14ac:dyDescent="0.25">
      <c r="B3042" s="1" t="s">
        <v>3238</v>
      </c>
      <c r="C3042" s="2" t="s">
        <v>3239</v>
      </c>
      <c r="D3042" s="2" t="s">
        <v>3240</v>
      </c>
      <c r="E3042" s="2" t="s">
        <v>3908</v>
      </c>
      <c r="F3042" s="3">
        <f>DATE(2023,10,12)</f>
        <v>45211</v>
      </c>
      <c r="G3042" s="4">
        <f t="shared" si="287"/>
        <v>10</v>
      </c>
      <c r="H3042" s="4">
        <f t="shared" si="286"/>
        <v>2023</v>
      </c>
      <c r="I3042" s="2" t="s">
        <v>4</v>
      </c>
      <c r="J3042" s="2" t="s">
        <v>3909</v>
      </c>
      <c r="K3042" s="2" t="s">
        <v>3910</v>
      </c>
      <c r="L3042" s="2" t="s">
        <v>3911</v>
      </c>
      <c r="M3042" s="2" t="s">
        <v>2100</v>
      </c>
      <c r="N3042" s="4" t="str">
        <f t="shared" si="288"/>
        <v>GAL</v>
      </c>
      <c r="O3042" s="5">
        <v>250</v>
      </c>
    </row>
    <row r="3043" spans="2:15" x14ac:dyDescent="0.25">
      <c r="B3043" s="6" t="s">
        <v>3238</v>
      </c>
      <c r="C3043" s="7" t="s">
        <v>3239</v>
      </c>
      <c r="D3043" s="8" t="s">
        <v>3240</v>
      </c>
      <c r="E3043" s="8" t="s">
        <v>3908</v>
      </c>
      <c r="F3043" s="9">
        <f>DATE(2023,10,12)</f>
        <v>45211</v>
      </c>
      <c r="G3043" s="10">
        <f t="shared" si="287"/>
        <v>10</v>
      </c>
      <c r="H3043" s="10">
        <f t="shared" si="286"/>
        <v>2023</v>
      </c>
      <c r="I3043" s="8" t="s">
        <v>4</v>
      </c>
      <c r="J3043" s="7" t="s">
        <v>3909</v>
      </c>
      <c r="K3043" s="8" t="s">
        <v>3399</v>
      </c>
      <c r="L3043" s="8" t="s">
        <v>3400</v>
      </c>
      <c r="M3043" s="8" t="s">
        <v>3401</v>
      </c>
      <c r="N3043" s="10" t="str">
        <f t="shared" si="288"/>
        <v>GAL</v>
      </c>
      <c r="O3043" s="11">
        <v>250</v>
      </c>
    </row>
    <row r="3044" spans="2:15" x14ac:dyDescent="0.25">
      <c r="B3044" s="1" t="s">
        <v>3238</v>
      </c>
      <c r="C3044" s="2" t="s">
        <v>3239</v>
      </c>
      <c r="D3044" s="2" t="s">
        <v>3240</v>
      </c>
      <c r="E3044" s="2" t="s">
        <v>102</v>
      </c>
      <c r="F3044" s="3">
        <f>DATE(2023,10,16)</f>
        <v>45215</v>
      </c>
      <c r="G3044" s="4">
        <f t="shared" si="287"/>
        <v>10</v>
      </c>
      <c r="H3044" s="4">
        <f t="shared" si="286"/>
        <v>2023</v>
      </c>
      <c r="I3044" s="2" t="s">
        <v>4</v>
      </c>
      <c r="J3044" s="2" t="s">
        <v>3912</v>
      </c>
      <c r="K3044" s="2" t="s">
        <v>548</v>
      </c>
      <c r="L3044" s="2" t="s">
        <v>518</v>
      </c>
      <c r="M3044" s="2" t="s">
        <v>85</v>
      </c>
      <c r="N3044" s="4" t="str">
        <f t="shared" si="288"/>
        <v>GAL</v>
      </c>
      <c r="O3044" s="5">
        <v>275</v>
      </c>
    </row>
    <row r="3045" spans="2:15" x14ac:dyDescent="0.25">
      <c r="B3045" s="1" t="s">
        <v>3238</v>
      </c>
      <c r="C3045" s="2" t="s">
        <v>3239</v>
      </c>
      <c r="D3045" s="2" t="s">
        <v>3240</v>
      </c>
      <c r="E3045" s="2" t="s">
        <v>102</v>
      </c>
      <c r="F3045" s="3">
        <f>DATE(2023,10,17)</f>
        <v>45216</v>
      </c>
      <c r="G3045" s="4">
        <f t="shared" si="287"/>
        <v>10</v>
      </c>
      <c r="H3045" s="4">
        <f t="shared" si="286"/>
        <v>2023</v>
      </c>
      <c r="I3045" s="2" t="s">
        <v>4</v>
      </c>
      <c r="J3045" s="2" t="s">
        <v>3913</v>
      </c>
      <c r="K3045" s="2" t="s">
        <v>3914</v>
      </c>
      <c r="L3045" s="2" t="s">
        <v>3915</v>
      </c>
      <c r="M3045" s="2" t="s">
        <v>3916</v>
      </c>
      <c r="N3045" s="4" t="str">
        <f t="shared" si="288"/>
        <v>GAL</v>
      </c>
      <c r="O3045" s="5">
        <v>120</v>
      </c>
    </row>
    <row r="3046" spans="2:15" x14ac:dyDescent="0.25">
      <c r="B3046" s="1" t="s">
        <v>3238</v>
      </c>
      <c r="C3046" s="2" t="s">
        <v>3239</v>
      </c>
      <c r="D3046" s="2" t="s">
        <v>3240</v>
      </c>
      <c r="E3046" s="2" t="s">
        <v>102</v>
      </c>
      <c r="F3046" s="3">
        <f>DATE(2023,10,17)</f>
        <v>45216</v>
      </c>
      <c r="G3046" s="4">
        <f t="shared" si="287"/>
        <v>10</v>
      </c>
      <c r="H3046" s="4">
        <f t="shared" si="286"/>
        <v>2023</v>
      </c>
      <c r="I3046" s="2" t="s">
        <v>4</v>
      </c>
      <c r="J3046" s="2" t="s">
        <v>3913</v>
      </c>
      <c r="K3046" s="2" t="s">
        <v>3917</v>
      </c>
      <c r="L3046" s="2" t="s">
        <v>3525</v>
      </c>
      <c r="M3046" s="2" t="s">
        <v>1397</v>
      </c>
      <c r="N3046" s="4" t="str">
        <f t="shared" si="288"/>
        <v>GAL</v>
      </c>
      <c r="O3046" s="5">
        <v>60</v>
      </c>
    </row>
    <row r="3047" spans="2:15" x14ac:dyDescent="0.25">
      <c r="B3047" s="1" t="s">
        <v>3238</v>
      </c>
      <c r="C3047" s="2" t="s">
        <v>3239</v>
      </c>
      <c r="D3047" s="2" t="s">
        <v>3240</v>
      </c>
      <c r="E3047" s="2" t="s">
        <v>3918</v>
      </c>
      <c r="F3047" s="3">
        <f t="shared" ref="F3047:F3052" si="290">DATE(2023,10,19)</f>
        <v>45218</v>
      </c>
      <c r="G3047" s="4">
        <f t="shared" si="287"/>
        <v>10</v>
      </c>
      <c r="H3047" s="4">
        <f t="shared" si="286"/>
        <v>2023</v>
      </c>
      <c r="I3047" s="2" t="s">
        <v>4</v>
      </c>
      <c r="J3047" s="2" t="s">
        <v>3919</v>
      </c>
      <c r="K3047" s="2" t="s">
        <v>3395</v>
      </c>
      <c r="L3047" s="2" t="s">
        <v>3396</v>
      </c>
      <c r="M3047" s="2" t="s">
        <v>844</v>
      </c>
      <c r="N3047" s="4" t="str">
        <f t="shared" si="288"/>
        <v>GAL</v>
      </c>
      <c r="O3047" s="5">
        <v>250</v>
      </c>
    </row>
    <row r="3048" spans="2:15" x14ac:dyDescent="0.25">
      <c r="B3048" s="1" t="s">
        <v>3238</v>
      </c>
      <c r="C3048" s="2" t="s">
        <v>3239</v>
      </c>
      <c r="D3048" s="2" t="s">
        <v>3240</v>
      </c>
      <c r="E3048" s="2" t="s">
        <v>3920</v>
      </c>
      <c r="F3048" s="3">
        <f t="shared" si="290"/>
        <v>45218</v>
      </c>
      <c r="G3048" s="4">
        <f t="shared" si="287"/>
        <v>10</v>
      </c>
      <c r="H3048" s="4">
        <f t="shared" si="286"/>
        <v>2023</v>
      </c>
      <c r="I3048" s="2" t="s">
        <v>4</v>
      </c>
      <c r="J3048" s="2" t="s">
        <v>3921</v>
      </c>
      <c r="K3048" s="2" t="s">
        <v>3329</v>
      </c>
      <c r="L3048" s="2" t="s">
        <v>3922</v>
      </c>
      <c r="M3048" s="2" t="s">
        <v>1472</v>
      </c>
      <c r="N3048" s="4" t="str">
        <f t="shared" si="288"/>
        <v>GAL</v>
      </c>
      <c r="O3048" s="5">
        <v>250</v>
      </c>
    </row>
    <row r="3049" spans="2:15" x14ac:dyDescent="0.25">
      <c r="B3049" s="1" t="s">
        <v>3238</v>
      </c>
      <c r="C3049" s="2" t="s">
        <v>3239</v>
      </c>
      <c r="D3049" s="2" t="s">
        <v>3240</v>
      </c>
      <c r="E3049" s="2" t="s">
        <v>3923</v>
      </c>
      <c r="F3049" s="3">
        <f t="shared" si="290"/>
        <v>45218</v>
      </c>
      <c r="G3049" s="4">
        <f t="shared" si="287"/>
        <v>10</v>
      </c>
      <c r="H3049" s="4">
        <f t="shared" si="286"/>
        <v>2023</v>
      </c>
      <c r="I3049" s="2" t="s">
        <v>4</v>
      </c>
      <c r="J3049" s="2" t="s">
        <v>3924</v>
      </c>
      <c r="K3049" s="2" t="s">
        <v>3925</v>
      </c>
      <c r="L3049" s="2" t="s">
        <v>3926</v>
      </c>
      <c r="M3049" s="2" t="s">
        <v>119</v>
      </c>
      <c r="N3049" s="4" t="str">
        <f t="shared" si="288"/>
        <v>TON</v>
      </c>
      <c r="O3049" s="5">
        <v>1.23</v>
      </c>
    </row>
    <row r="3050" spans="2:15" x14ac:dyDescent="0.25">
      <c r="B3050" s="1" t="s">
        <v>3238</v>
      </c>
      <c r="C3050" s="2" t="s">
        <v>3239</v>
      </c>
      <c r="D3050" s="2" t="s">
        <v>3240</v>
      </c>
      <c r="E3050" s="2" t="s">
        <v>3902</v>
      </c>
      <c r="F3050" s="3">
        <f t="shared" si="290"/>
        <v>45218</v>
      </c>
      <c r="G3050" s="4">
        <f t="shared" si="287"/>
        <v>10</v>
      </c>
      <c r="H3050" s="4">
        <f t="shared" si="286"/>
        <v>2023</v>
      </c>
      <c r="I3050" s="2" t="s">
        <v>4</v>
      </c>
      <c r="J3050" s="2" t="s">
        <v>3927</v>
      </c>
      <c r="K3050" s="2" t="s">
        <v>3395</v>
      </c>
      <c r="L3050" s="2" t="s">
        <v>3396</v>
      </c>
      <c r="M3050" s="2" t="s">
        <v>844</v>
      </c>
      <c r="N3050" s="4" t="str">
        <f t="shared" si="288"/>
        <v>GAL</v>
      </c>
      <c r="O3050" s="5">
        <v>275</v>
      </c>
    </row>
    <row r="3051" spans="2:15" x14ac:dyDescent="0.25">
      <c r="B3051" s="1" t="s">
        <v>3238</v>
      </c>
      <c r="C3051" s="2" t="s">
        <v>3239</v>
      </c>
      <c r="D3051" s="2" t="s">
        <v>3240</v>
      </c>
      <c r="E3051" s="2" t="s">
        <v>102</v>
      </c>
      <c r="F3051" s="3">
        <f t="shared" si="290"/>
        <v>45218</v>
      </c>
      <c r="G3051" s="4">
        <f t="shared" si="287"/>
        <v>10</v>
      </c>
      <c r="H3051" s="4">
        <f t="shared" si="286"/>
        <v>2023</v>
      </c>
      <c r="I3051" s="2" t="s">
        <v>4</v>
      </c>
      <c r="J3051" s="2" t="s">
        <v>3928</v>
      </c>
      <c r="K3051" s="2" t="s">
        <v>3914</v>
      </c>
      <c r="L3051" s="2" t="s">
        <v>3915</v>
      </c>
      <c r="M3051" s="2" t="s">
        <v>3916</v>
      </c>
      <c r="N3051" s="4" t="str">
        <f t="shared" si="288"/>
        <v>GAL</v>
      </c>
      <c r="O3051" s="5">
        <v>120</v>
      </c>
    </row>
    <row r="3052" spans="2:15" x14ac:dyDescent="0.25">
      <c r="B3052" s="1" t="s">
        <v>3238</v>
      </c>
      <c r="C3052" s="2" t="s">
        <v>3239</v>
      </c>
      <c r="D3052" s="2" t="s">
        <v>3240</v>
      </c>
      <c r="E3052" s="2" t="s">
        <v>102</v>
      </c>
      <c r="F3052" s="3">
        <f t="shared" si="290"/>
        <v>45218</v>
      </c>
      <c r="G3052" s="4">
        <f t="shared" si="287"/>
        <v>10</v>
      </c>
      <c r="H3052" s="4">
        <f t="shared" si="286"/>
        <v>2023</v>
      </c>
      <c r="I3052" s="2" t="s">
        <v>4</v>
      </c>
      <c r="J3052" s="2" t="s">
        <v>3928</v>
      </c>
      <c r="K3052" s="2" t="s">
        <v>3917</v>
      </c>
      <c r="L3052" s="2" t="s">
        <v>3525</v>
      </c>
      <c r="M3052" s="2" t="s">
        <v>1397</v>
      </c>
      <c r="N3052" s="4" t="str">
        <f t="shared" si="288"/>
        <v>GAL</v>
      </c>
      <c r="O3052" s="5">
        <v>60</v>
      </c>
    </row>
    <row r="3053" spans="2:15" x14ac:dyDescent="0.25">
      <c r="B3053" s="6" t="s">
        <v>3238</v>
      </c>
      <c r="C3053" s="7" t="s">
        <v>3239</v>
      </c>
      <c r="D3053" s="8" t="s">
        <v>3240</v>
      </c>
      <c r="E3053" s="8" t="s">
        <v>102</v>
      </c>
      <c r="F3053" s="9">
        <f>DATE(2023,10,24)</f>
        <v>45223</v>
      </c>
      <c r="G3053" s="10">
        <f t="shared" si="287"/>
        <v>10</v>
      </c>
      <c r="H3053" s="10">
        <f t="shared" si="286"/>
        <v>2023</v>
      </c>
      <c r="I3053" s="8" t="s">
        <v>4</v>
      </c>
      <c r="J3053" s="8" t="s">
        <v>3929</v>
      </c>
      <c r="K3053" s="8" t="s">
        <v>3930</v>
      </c>
      <c r="L3053" s="8" t="s">
        <v>3931</v>
      </c>
      <c r="M3053" s="8" t="s">
        <v>119</v>
      </c>
      <c r="N3053" s="10" t="str">
        <f t="shared" si="288"/>
        <v>TON</v>
      </c>
      <c r="O3053" s="11">
        <v>0.55000000000000004</v>
      </c>
    </row>
    <row r="3054" spans="2:15" x14ac:dyDescent="0.25">
      <c r="B3054" s="1" t="s">
        <v>3238</v>
      </c>
      <c r="C3054" s="2" t="s">
        <v>3239</v>
      </c>
      <c r="D3054" s="2" t="s">
        <v>3240</v>
      </c>
      <c r="E3054" s="2" t="s">
        <v>102</v>
      </c>
      <c r="F3054" s="3">
        <f>DATE(2023,10,24)</f>
        <v>45223</v>
      </c>
      <c r="G3054" s="4">
        <f t="shared" si="287"/>
        <v>10</v>
      </c>
      <c r="H3054" s="4">
        <f t="shared" si="286"/>
        <v>2023</v>
      </c>
      <c r="I3054" s="2" t="s">
        <v>4</v>
      </c>
      <c r="J3054" s="2" t="s">
        <v>3932</v>
      </c>
      <c r="K3054" s="2" t="s">
        <v>3933</v>
      </c>
      <c r="L3054" s="2" t="s">
        <v>3934</v>
      </c>
      <c r="M3054" s="2" t="s">
        <v>556</v>
      </c>
      <c r="N3054" s="4" t="str">
        <f t="shared" si="288"/>
        <v>GAL</v>
      </c>
      <c r="O3054" s="5">
        <v>110</v>
      </c>
    </row>
    <row r="3055" spans="2:15" x14ac:dyDescent="0.25">
      <c r="B3055" s="1" t="s">
        <v>3238</v>
      </c>
      <c r="C3055" s="2" t="s">
        <v>3239</v>
      </c>
      <c r="D3055" s="2" t="s">
        <v>3240</v>
      </c>
      <c r="E3055" s="2" t="s">
        <v>102</v>
      </c>
      <c r="F3055" s="3">
        <f>DATE(2023,10,24)</f>
        <v>45223</v>
      </c>
      <c r="G3055" s="4">
        <f t="shared" si="287"/>
        <v>10</v>
      </c>
      <c r="H3055" s="4">
        <f t="shared" si="286"/>
        <v>2023</v>
      </c>
      <c r="I3055" s="2" t="s">
        <v>4</v>
      </c>
      <c r="J3055" s="2" t="s">
        <v>3935</v>
      </c>
      <c r="K3055" s="2" t="s">
        <v>3917</v>
      </c>
      <c r="L3055" s="2" t="s">
        <v>3525</v>
      </c>
      <c r="M3055" s="2" t="s">
        <v>1397</v>
      </c>
      <c r="N3055" s="4" t="str">
        <f t="shared" si="288"/>
        <v>GAL</v>
      </c>
      <c r="O3055" s="5">
        <v>180</v>
      </c>
    </row>
    <row r="3056" spans="2:15" x14ac:dyDescent="0.25">
      <c r="B3056" s="1" t="s">
        <v>3238</v>
      </c>
      <c r="C3056" s="2" t="s">
        <v>3239</v>
      </c>
      <c r="D3056" s="2" t="s">
        <v>3240</v>
      </c>
      <c r="E3056" s="2" t="s">
        <v>102</v>
      </c>
      <c r="F3056" s="3">
        <f>DATE(2023,10,25)</f>
        <v>45224</v>
      </c>
      <c r="G3056" s="4">
        <f t="shared" si="287"/>
        <v>10</v>
      </c>
      <c r="H3056" s="4">
        <f t="shared" si="286"/>
        <v>2023</v>
      </c>
      <c r="I3056" s="2" t="s">
        <v>4</v>
      </c>
      <c r="J3056" s="2" t="s">
        <v>3936</v>
      </c>
      <c r="K3056" s="2" t="s">
        <v>3937</v>
      </c>
      <c r="L3056" s="2" t="s">
        <v>3938</v>
      </c>
      <c r="M3056" s="2" t="s">
        <v>3939</v>
      </c>
      <c r="N3056" s="4" t="str">
        <f t="shared" si="288"/>
        <v>GAL</v>
      </c>
      <c r="O3056" s="5">
        <v>1000</v>
      </c>
    </row>
    <row r="3057" spans="2:15" x14ac:dyDescent="0.25">
      <c r="B3057" s="1" t="s">
        <v>3238</v>
      </c>
      <c r="C3057" s="2" t="s">
        <v>3239</v>
      </c>
      <c r="D3057" s="2" t="s">
        <v>3240</v>
      </c>
      <c r="E3057" s="2" t="s">
        <v>102</v>
      </c>
      <c r="F3057" s="3">
        <f>DATE(2023,10,26)</f>
        <v>45225</v>
      </c>
      <c r="G3057" s="4">
        <f t="shared" si="287"/>
        <v>10</v>
      </c>
      <c r="H3057" s="4">
        <f t="shared" si="286"/>
        <v>2023</v>
      </c>
      <c r="I3057" s="2" t="s">
        <v>4</v>
      </c>
      <c r="J3057" s="2" t="s">
        <v>3940</v>
      </c>
      <c r="K3057" s="2" t="s">
        <v>3941</v>
      </c>
      <c r="L3057" s="2" t="s">
        <v>3911</v>
      </c>
      <c r="M3057" s="2" t="s">
        <v>2100</v>
      </c>
      <c r="N3057" s="4" t="str">
        <f t="shared" si="288"/>
        <v>GAL</v>
      </c>
      <c r="O3057" s="5">
        <v>10</v>
      </c>
    </row>
    <row r="3058" spans="2:15" x14ac:dyDescent="0.25">
      <c r="B3058" s="1" t="s">
        <v>3238</v>
      </c>
      <c r="C3058" s="2" t="s">
        <v>3239</v>
      </c>
      <c r="D3058" s="2" t="s">
        <v>594</v>
      </c>
      <c r="E3058" s="2" t="s">
        <v>102</v>
      </c>
      <c r="F3058" s="3">
        <f>DATE(2023,10,25)</f>
        <v>45224</v>
      </c>
      <c r="G3058" s="4">
        <f t="shared" si="287"/>
        <v>10</v>
      </c>
      <c r="H3058" s="4">
        <f t="shared" si="286"/>
        <v>2023</v>
      </c>
      <c r="I3058" s="2" t="s">
        <v>4</v>
      </c>
      <c r="J3058" s="2" t="s">
        <v>3942</v>
      </c>
      <c r="K3058" s="2" t="s">
        <v>3943</v>
      </c>
      <c r="L3058" s="2" t="s">
        <v>3405</v>
      </c>
      <c r="M3058" s="2" t="s">
        <v>3406</v>
      </c>
      <c r="N3058" s="4" t="str">
        <f t="shared" si="288"/>
        <v>GAL</v>
      </c>
      <c r="O3058" s="5">
        <v>10</v>
      </c>
    </row>
    <row r="3059" spans="2:15" x14ac:dyDescent="0.25">
      <c r="B3059" s="1" t="s">
        <v>3238</v>
      </c>
      <c r="C3059" s="2" t="s">
        <v>3239</v>
      </c>
      <c r="D3059" s="2" t="s">
        <v>3240</v>
      </c>
      <c r="E3059" s="2" t="s">
        <v>3944</v>
      </c>
      <c r="F3059" s="3">
        <f>DATE(2023,10,30)</f>
        <v>45229</v>
      </c>
      <c r="G3059" s="4">
        <f t="shared" si="287"/>
        <v>10</v>
      </c>
      <c r="H3059" s="4">
        <f t="shared" si="286"/>
        <v>2023</v>
      </c>
      <c r="I3059" s="2" t="s">
        <v>4</v>
      </c>
      <c r="J3059" s="2" t="s">
        <v>3945</v>
      </c>
      <c r="K3059" s="2" t="s">
        <v>3524</v>
      </c>
      <c r="L3059" s="2" t="s">
        <v>3525</v>
      </c>
      <c r="M3059" s="2" t="s">
        <v>1397</v>
      </c>
      <c r="N3059" s="4" t="str">
        <f t="shared" si="288"/>
        <v>GAL</v>
      </c>
      <c r="O3059" s="5">
        <v>250</v>
      </c>
    </row>
    <row r="3060" spans="2:15" x14ac:dyDescent="0.25">
      <c r="B3060" s="1" t="s">
        <v>3238</v>
      </c>
      <c r="C3060" s="2" t="s">
        <v>3239</v>
      </c>
      <c r="D3060" s="2" t="s">
        <v>3240</v>
      </c>
      <c r="E3060" s="2" t="s">
        <v>3944</v>
      </c>
      <c r="F3060" s="3">
        <f>DATE(2023,10,30)</f>
        <v>45229</v>
      </c>
      <c r="G3060" s="4">
        <f t="shared" si="287"/>
        <v>10</v>
      </c>
      <c r="H3060" s="4">
        <f t="shared" si="286"/>
        <v>2023</v>
      </c>
      <c r="I3060" s="2" t="s">
        <v>4</v>
      </c>
      <c r="J3060" s="2" t="s">
        <v>3945</v>
      </c>
      <c r="K3060" s="2" t="s">
        <v>3946</v>
      </c>
      <c r="L3060" s="2" t="s">
        <v>3506</v>
      </c>
      <c r="M3060" s="2" t="s">
        <v>917</v>
      </c>
      <c r="N3060" s="4" t="str">
        <f t="shared" si="288"/>
        <v>GAL</v>
      </c>
      <c r="O3060" s="5">
        <v>250</v>
      </c>
    </row>
    <row r="3061" spans="2:15" x14ac:dyDescent="0.25">
      <c r="B3061" s="1" t="s">
        <v>3238</v>
      </c>
      <c r="C3061" s="2" t="s">
        <v>3239</v>
      </c>
      <c r="D3061" s="2" t="s">
        <v>3240</v>
      </c>
      <c r="E3061" s="2" t="s">
        <v>3944</v>
      </c>
      <c r="F3061" s="3">
        <f>DATE(2023,10,30)</f>
        <v>45229</v>
      </c>
      <c r="G3061" s="4">
        <f t="shared" si="287"/>
        <v>10</v>
      </c>
      <c r="H3061" s="4">
        <f t="shared" si="286"/>
        <v>2023</v>
      </c>
      <c r="I3061" s="2" t="s">
        <v>4</v>
      </c>
      <c r="J3061" s="2" t="s">
        <v>3945</v>
      </c>
      <c r="K3061" s="2" t="s">
        <v>3947</v>
      </c>
      <c r="L3061" s="2" t="s">
        <v>3948</v>
      </c>
      <c r="M3061" s="2" t="s">
        <v>3299</v>
      </c>
      <c r="N3061" s="4" t="str">
        <f t="shared" si="288"/>
        <v>GAL</v>
      </c>
      <c r="O3061" s="5">
        <v>250</v>
      </c>
    </row>
    <row r="3062" spans="2:15" x14ac:dyDescent="0.25">
      <c r="B3062" s="6" t="s">
        <v>3238</v>
      </c>
      <c r="C3062" s="7" t="s">
        <v>3239</v>
      </c>
      <c r="D3062" s="8" t="s">
        <v>3240</v>
      </c>
      <c r="E3062" s="8" t="s">
        <v>3944</v>
      </c>
      <c r="F3062" s="9">
        <f>DATE(2023,10,30)</f>
        <v>45229</v>
      </c>
      <c r="G3062" s="10">
        <f t="shared" si="287"/>
        <v>10</v>
      </c>
      <c r="H3062" s="10">
        <f t="shared" si="286"/>
        <v>2023</v>
      </c>
      <c r="I3062" s="8" t="s">
        <v>4</v>
      </c>
      <c r="J3062" s="7" t="s">
        <v>3945</v>
      </c>
      <c r="K3062" s="8" t="s">
        <v>3399</v>
      </c>
      <c r="L3062" s="8" t="s">
        <v>3400</v>
      </c>
      <c r="M3062" s="8" t="s">
        <v>3401</v>
      </c>
      <c r="N3062" s="10" t="str">
        <f t="shared" si="288"/>
        <v>GAL</v>
      </c>
      <c r="O3062" s="11">
        <v>250</v>
      </c>
    </row>
    <row r="3063" spans="2:15" x14ac:dyDescent="0.25">
      <c r="B3063" s="1" t="s">
        <v>3238</v>
      </c>
      <c r="C3063" s="2" t="s">
        <v>3239</v>
      </c>
      <c r="D3063" s="2" t="s">
        <v>3240</v>
      </c>
      <c r="E3063" s="2" t="s">
        <v>3388</v>
      </c>
      <c r="F3063" s="3">
        <f>DATE(2023,10,31)</f>
        <v>45230</v>
      </c>
      <c r="G3063" s="4">
        <f t="shared" si="287"/>
        <v>10</v>
      </c>
      <c r="H3063" s="4">
        <f t="shared" si="286"/>
        <v>2023</v>
      </c>
      <c r="I3063" s="2" t="s">
        <v>4</v>
      </c>
      <c r="J3063" s="2" t="s">
        <v>3949</v>
      </c>
      <c r="K3063" s="2" t="s">
        <v>548</v>
      </c>
      <c r="L3063" s="2" t="s">
        <v>518</v>
      </c>
      <c r="M3063" s="2" t="s">
        <v>85</v>
      </c>
      <c r="N3063" s="4" t="str">
        <f t="shared" si="288"/>
        <v>GAL</v>
      </c>
      <c r="O3063" s="5">
        <v>400</v>
      </c>
    </row>
    <row r="3064" spans="2:15" x14ac:dyDescent="0.25">
      <c r="B3064" s="1" t="s">
        <v>3238</v>
      </c>
      <c r="C3064" s="2" t="s">
        <v>3239</v>
      </c>
      <c r="D3064" s="2" t="s">
        <v>3240</v>
      </c>
      <c r="E3064" s="2" t="s">
        <v>3397</v>
      </c>
      <c r="F3064" s="3">
        <f>DATE(2023,10,31)</f>
        <v>45230</v>
      </c>
      <c r="G3064" s="4">
        <f t="shared" si="287"/>
        <v>10</v>
      </c>
      <c r="H3064" s="4">
        <f t="shared" si="286"/>
        <v>2023</v>
      </c>
      <c r="I3064" s="2" t="s">
        <v>4</v>
      </c>
      <c r="J3064" s="2" t="s">
        <v>3950</v>
      </c>
      <c r="K3064" s="2" t="s">
        <v>3404</v>
      </c>
      <c r="L3064" s="2" t="s">
        <v>3405</v>
      </c>
      <c r="M3064" s="2" t="s">
        <v>3406</v>
      </c>
      <c r="N3064" s="4" t="str">
        <f t="shared" si="288"/>
        <v>GAL</v>
      </c>
      <c r="O3064" s="5">
        <v>250</v>
      </c>
    </row>
    <row r="3065" spans="2:15" x14ac:dyDescent="0.25">
      <c r="B3065" s="1" t="s">
        <v>0</v>
      </c>
      <c r="C3065" s="2" t="s">
        <v>1</v>
      </c>
      <c r="D3065" s="2" t="s">
        <v>2</v>
      </c>
      <c r="E3065" s="2" t="s">
        <v>14</v>
      </c>
      <c r="F3065" s="3">
        <f>DATE(2023,11,7)</f>
        <v>45237</v>
      </c>
      <c r="G3065" s="4">
        <f t="shared" si="287"/>
        <v>11</v>
      </c>
      <c r="H3065" s="4">
        <f t="shared" si="286"/>
        <v>2023</v>
      </c>
      <c r="I3065" s="2" t="s">
        <v>4</v>
      </c>
      <c r="J3065" s="2" t="s">
        <v>3951</v>
      </c>
      <c r="K3065" s="2" t="s">
        <v>16</v>
      </c>
      <c r="L3065" s="2" t="s">
        <v>7</v>
      </c>
      <c r="M3065" s="2" t="s">
        <v>8</v>
      </c>
      <c r="N3065" s="4" t="str">
        <f t="shared" si="288"/>
        <v>GAL</v>
      </c>
      <c r="O3065" s="5">
        <v>35</v>
      </c>
    </row>
    <row r="3066" spans="2:15" x14ac:dyDescent="0.25">
      <c r="B3066" s="1" t="s">
        <v>0</v>
      </c>
      <c r="C3066" s="2" t="s">
        <v>1</v>
      </c>
      <c r="D3066" s="2" t="s">
        <v>2</v>
      </c>
      <c r="E3066" s="2" t="s">
        <v>3952</v>
      </c>
      <c r="F3066" s="3">
        <f>DATE(2023,11,8)</f>
        <v>45238</v>
      </c>
      <c r="G3066" s="4">
        <f t="shared" si="287"/>
        <v>11</v>
      </c>
      <c r="H3066" s="4">
        <f t="shared" si="286"/>
        <v>2023</v>
      </c>
      <c r="I3066" s="2" t="s">
        <v>4</v>
      </c>
      <c r="J3066" s="2" t="s">
        <v>3953</v>
      </c>
      <c r="K3066" s="2" t="s">
        <v>19</v>
      </c>
      <c r="L3066" s="2" t="s">
        <v>20</v>
      </c>
      <c r="M3066" s="2" t="s">
        <v>21</v>
      </c>
      <c r="N3066" s="4" t="str">
        <f t="shared" si="288"/>
        <v>GAL</v>
      </c>
      <c r="O3066" s="5">
        <v>25</v>
      </c>
    </row>
    <row r="3067" spans="2:15" x14ac:dyDescent="0.25">
      <c r="B3067" s="1" t="s">
        <v>0</v>
      </c>
      <c r="C3067" s="2" t="s">
        <v>1</v>
      </c>
      <c r="D3067" s="2" t="s">
        <v>2</v>
      </c>
      <c r="E3067" s="2" t="s">
        <v>3952</v>
      </c>
      <c r="F3067" s="3">
        <f>DATE(2023,11,8)</f>
        <v>45238</v>
      </c>
      <c r="G3067" s="4">
        <f t="shared" si="287"/>
        <v>11</v>
      </c>
      <c r="H3067" s="4">
        <f t="shared" ref="H3067:H3130" si="291">+YEAR(F3067)</f>
        <v>2023</v>
      </c>
      <c r="I3067" s="2" t="s">
        <v>4</v>
      </c>
      <c r="J3067" s="2" t="s">
        <v>3953</v>
      </c>
      <c r="K3067" s="2" t="s">
        <v>25</v>
      </c>
      <c r="L3067" s="2" t="s">
        <v>26</v>
      </c>
      <c r="M3067" s="2" t="s">
        <v>27</v>
      </c>
      <c r="N3067" s="4" t="str">
        <f t="shared" si="288"/>
        <v>GAL</v>
      </c>
      <c r="O3067" s="5">
        <v>50</v>
      </c>
    </row>
    <row r="3068" spans="2:15" x14ac:dyDescent="0.25">
      <c r="B3068" s="1" t="s">
        <v>0</v>
      </c>
      <c r="C3068" s="2" t="s">
        <v>1</v>
      </c>
      <c r="D3068" s="2" t="s">
        <v>2</v>
      </c>
      <c r="E3068" s="2" t="s">
        <v>3952</v>
      </c>
      <c r="F3068" s="3">
        <f>DATE(2023,11,8)</f>
        <v>45238</v>
      </c>
      <c r="G3068" s="4">
        <f t="shared" si="287"/>
        <v>11</v>
      </c>
      <c r="H3068" s="4">
        <f t="shared" si="291"/>
        <v>2023</v>
      </c>
      <c r="I3068" s="2" t="s">
        <v>4</v>
      </c>
      <c r="J3068" s="2" t="s">
        <v>3953</v>
      </c>
      <c r="K3068" s="2" t="s">
        <v>28</v>
      </c>
      <c r="L3068" s="2" t="s">
        <v>29</v>
      </c>
      <c r="M3068" s="2" t="s">
        <v>30</v>
      </c>
      <c r="N3068" s="4" t="str">
        <f t="shared" si="288"/>
        <v>GAL</v>
      </c>
      <c r="O3068" s="5">
        <v>25</v>
      </c>
    </row>
    <row r="3069" spans="2:15" x14ac:dyDescent="0.25">
      <c r="B3069" s="1" t="s">
        <v>0</v>
      </c>
      <c r="C3069" s="2" t="s">
        <v>1</v>
      </c>
      <c r="D3069" s="2" t="s">
        <v>2</v>
      </c>
      <c r="E3069" s="2" t="s">
        <v>3952</v>
      </c>
      <c r="F3069" s="3">
        <f>DATE(2023,11,8)</f>
        <v>45238</v>
      </c>
      <c r="G3069" s="4">
        <f t="shared" si="287"/>
        <v>11</v>
      </c>
      <c r="H3069" s="4">
        <f t="shared" si="291"/>
        <v>2023</v>
      </c>
      <c r="I3069" s="2" t="s">
        <v>4</v>
      </c>
      <c r="J3069" s="2" t="s">
        <v>3953</v>
      </c>
      <c r="K3069" s="2" t="s">
        <v>16</v>
      </c>
      <c r="L3069" s="2" t="s">
        <v>7</v>
      </c>
      <c r="M3069" s="2" t="s">
        <v>8</v>
      </c>
      <c r="N3069" s="4" t="str">
        <f t="shared" si="288"/>
        <v>GAL</v>
      </c>
      <c r="O3069" s="5">
        <v>50</v>
      </c>
    </row>
    <row r="3070" spans="2:15" x14ac:dyDescent="0.25">
      <c r="B3070" s="1" t="s">
        <v>0</v>
      </c>
      <c r="C3070" s="2" t="s">
        <v>1</v>
      </c>
      <c r="D3070" s="2" t="s">
        <v>2</v>
      </c>
      <c r="E3070" s="2" t="s">
        <v>3541</v>
      </c>
      <c r="F3070" s="3">
        <f>DATE(2023,11,10)</f>
        <v>45240</v>
      </c>
      <c r="G3070" s="4">
        <f t="shared" si="287"/>
        <v>11</v>
      </c>
      <c r="H3070" s="4">
        <f t="shared" si="291"/>
        <v>2023</v>
      </c>
      <c r="I3070" s="2" t="s">
        <v>4</v>
      </c>
      <c r="J3070" s="2" t="s">
        <v>3954</v>
      </c>
      <c r="K3070" s="2" t="s">
        <v>11</v>
      </c>
      <c r="L3070" s="2" t="s">
        <v>12</v>
      </c>
      <c r="M3070" s="2" t="s">
        <v>13</v>
      </c>
      <c r="N3070" s="4" t="str">
        <f t="shared" si="288"/>
        <v>GAL</v>
      </c>
      <c r="O3070" s="5">
        <v>110</v>
      </c>
    </row>
    <row r="3071" spans="2:15" x14ac:dyDescent="0.25">
      <c r="B3071" s="1" t="s">
        <v>0</v>
      </c>
      <c r="C3071" s="2" t="s">
        <v>1</v>
      </c>
      <c r="D3071" s="2" t="s">
        <v>2</v>
      </c>
      <c r="E3071" s="2" t="s">
        <v>42</v>
      </c>
      <c r="F3071" s="3">
        <f>DATE(2023,11,15)</f>
        <v>45245</v>
      </c>
      <c r="G3071" s="4">
        <f t="shared" si="287"/>
        <v>11</v>
      </c>
      <c r="H3071" s="4">
        <f t="shared" si="291"/>
        <v>2023</v>
      </c>
      <c r="I3071" s="2" t="s">
        <v>4</v>
      </c>
      <c r="J3071" s="2" t="s">
        <v>3955</v>
      </c>
      <c r="K3071" s="2" t="s">
        <v>36</v>
      </c>
      <c r="L3071" s="2" t="s">
        <v>37</v>
      </c>
      <c r="M3071" s="2" t="s">
        <v>38</v>
      </c>
      <c r="N3071" s="4" t="str">
        <f t="shared" si="288"/>
        <v>GAL</v>
      </c>
      <c r="O3071" s="5">
        <v>60</v>
      </c>
    </row>
    <row r="3072" spans="2:15" x14ac:dyDescent="0.25">
      <c r="B3072" s="1" t="s">
        <v>0</v>
      </c>
      <c r="C3072" s="2" t="s">
        <v>1</v>
      </c>
      <c r="D3072" s="2" t="s">
        <v>2</v>
      </c>
      <c r="E3072" s="2" t="s">
        <v>42</v>
      </c>
      <c r="F3072" s="3">
        <f>DATE(2023,11,15)</f>
        <v>45245</v>
      </c>
      <c r="G3072" s="4">
        <f t="shared" si="287"/>
        <v>11</v>
      </c>
      <c r="H3072" s="4">
        <f t="shared" si="291"/>
        <v>2023</v>
      </c>
      <c r="I3072" s="2" t="s">
        <v>4</v>
      </c>
      <c r="J3072" s="2" t="s">
        <v>3955</v>
      </c>
      <c r="K3072" s="2" t="s">
        <v>80</v>
      </c>
      <c r="L3072" s="2" t="s">
        <v>81</v>
      </c>
      <c r="M3072" s="2" t="s">
        <v>82</v>
      </c>
      <c r="N3072" s="4" t="str">
        <f t="shared" si="288"/>
        <v>GAL</v>
      </c>
      <c r="O3072" s="5">
        <v>60</v>
      </c>
    </row>
    <row r="3073" spans="2:15" x14ac:dyDescent="0.25">
      <c r="B3073" s="1" t="s">
        <v>0</v>
      </c>
      <c r="C3073" s="2" t="s">
        <v>1</v>
      </c>
      <c r="D3073" s="2" t="s">
        <v>2</v>
      </c>
      <c r="E3073" s="2" t="s">
        <v>42</v>
      </c>
      <c r="F3073" s="3">
        <f>DATE(2023,11,15)</f>
        <v>45245</v>
      </c>
      <c r="G3073" s="4">
        <f t="shared" si="287"/>
        <v>11</v>
      </c>
      <c r="H3073" s="4">
        <f t="shared" si="291"/>
        <v>2023</v>
      </c>
      <c r="I3073" s="2" t="s">
        <v>4</v>
      </c>
      <c r="J3073" s="2" t="s">
        <v>3955</v>
      </c>
      <c r="K3073" s="2" t="s">
        <v>50</v>
      </c>
      <c r="L3073" s="2" t="s">
        <v>51</v>
      </c>
      <c r="M3073" s="2" t="s">
        <v>52</v>
      </c>
      <c r="N3073" s="4" t="str">
        <f t="shared" si="288"/>
        <v>GAL</v>
      </c>
      <c r="O3073" s="5">
        <v>120</v>
      </c>
    </row>
    <row r="3074" spans="2:15" x14ac:dyDescent="0.25">
      <c r="B3074" s="1" t="s">
        <v>0</v>
      </c>
      <c r="C3074" s="2" t="s">
        <v>1</v>
      </c>
      <c r="D3074" s="2" t="s">
        <v>2</v>
      </c>
      <c r="E3074" s="2" t="s">
        <v>42</v>
      </c>
      <c r="F3074" s="3">
        <f>DATE(2023,11,15)</f>
        <v>45245</v>
      </c>
      <c r="G3074" s="4">
        <f t="shared" si="287"/>
        <v>11</v>
      </c>
      <c r="H3074" s="4">
        <f t="shared" si="291"/>
        <v>2023</v>
      </c>
      <c r="I3074" s="2" t="s">
        <v>4</v>
      </c>
      <c r="J3074" s="2" t="s">
        <v>3955</v>
      </c>
      <c r="K3074" s="2" t="s">
        <v>28</v>
      </c>
      <c r="L3074" s="2" t="s">
        <v>29</v>
      </c>
      <c r="M3074" s="2" t="s">
        <v>30</v>
      </c>
      <c r="N3074" s="4" t="str">
        <f t="shared" si="288"/>
        <v>GAL</v>
      </c>
      <c r="O3074" s="5">
        <v>120</v>
      </c>
    </row>
    <row r="3075" spans="2:15" x14ac:dyDescent="0.25">
      <c r="B3075" s="1" t="s">
        <v>0</v>
      </c>
      <c r="C3075" s="2" t="s">
        <v>1</v>
      </c>
      <c r="D3075" s="2" t="s">
        <v>2</v>
      </c>
      <c r="E3075" s="2" t="s">
        <v>42</v>
      </c>
      <c r="F3075" s="3">
        <f>DATE(2023,11,15)</f>
        <v>45245</v>
      </c>
      <c r="G3075" s="4">
        <f t="shared" ref="G3075:G3138" si="292">+MONTH(F3075)</f>
        <v>11</v>
      </c>
      <c r="H3075" s="4">
        <f t="shared" si="291"/>
        <v>2023</v>
      </c>
      <c r="I3075" s="2" t="s">
        <v>4</v>
      </c>
      <c r="J3075" s="2" t="s">
        <v>3955</v>
      </c>
      <c r="K3075" s="2" t="s">
        <v>16</v>
      </c>
      <c r="L3075" s="2" t="s">
        <v>7</v>
      </c>
      <c r="M3075" s="2" t="s">
        <v>8</v>
      </c>
      <c r="N3075" s="4" t="str">
        <f t="shared" ref="N3075:N3138" si="293">+LEFT(M3075,3)</f>
        <v>GAL</v>
      </c>
      <c r="O3075" s="5">
        <v>120</v>
      </c>
    </row>
    <row r="3076" spans="2:15" x14ac:dyDescent="0.25">
      <c r="B3076" s="1" t="s">
        <v>0</v>
      </c>
      <c r="C3076" s="2" t="s">
        <v>1</v>
      </c>
      <c r="D3076" s="2" t="s">
        <v>2</v>
      </c>
      <c r="E3076" s="2" t="s">
        <v>1784</v>
      </c>
      <c r="F3076" s="3">
        <f>DATE(2023,11,17)</f>
        <v>45247</v>
      </c>
      <c r="G3076" s="4">
        <f t="shared" si="292"/>
        <v>11</v>
      </c>
      <c r="H3076" s="4">
        <f t="shared" si="291"/>
        <v>2023</v>
      </c>
      <c r="I3076" s="2" t="s">
        <v>4</v>
      </c>
      <c r="J3076" s="2" t="s">
        <v>3956</v>
      </c>
      <c r="K3076" s="2" t="s">
        <v>1786</v>
      </c>
      <c r="L3076" s="2" t="s">
        <v>84</v>
      </c>
      <c r="M3076" s="2" t="s">
        <v>85</v>
      </c>
      <c r="N3076" s="4" t="str">
        <f t="shared" si="293"/>
        <v>GAL</v>
      </c>
      <c r="O3076" s="5">
        <v>55</v>
      </c>
    </row>
    <row r="3077" spans="2:15" x14ac:dyDescent="0.25">
      <c r="B3077" s="1" t="s">
        <v>0</v>
      </c>
      <c r="C3077" s="2" t="s">
        <v>1</v>
      </c>
      <c r="D3077" s="2" t="s">
        <v>2</v>
      </c>
      <c r="E3077" s="2" t="s">
        <v>1784</v>
      </c>
      <c r="F3077" s="3">
        <f>DATE(2023,11,17)</f>
        <v>45247</v>
      </c>
      <c r="G3077" s="4">
        <f t="shared" si="292"/>
        <v>11</v>
      </c>
      <c r="H3077" s="4">
        <f t="shared" si="291"/>
        <v>2023</v>
      </c>
      <c r="I3077" s="2" t="s">
        <v>4</v>
      </c>
      <c r="J3077" s="2" t="s">
        <v>3956</v>
      </c>
      <c r="K3077" s="2" t="s">
        <v>16</v>
      </c>
      <c r="L3077" s="2" t="s">
        <v>7</v>
      </c>
      <c r="M3077" s="2" t="s">
        <v>8</v>
      </c>
      <c r="N3077" s="4" t="str">
        <f t="shared" si="293"/>
        <v>GAL</v>
      </c>
      <c r="O3077" s="5">
        <v>55</v>
      </c>
    </row>
    <row r="3078" spans="2:15" x14ac:dyDescent="0.25">
      <c r="B3078" s="1" t="s">
        <v>0</v>
      </c>
      <c r="C3078" s="2" t="s">
        <v>1</v>
      </c>
      <c r="D3078" s="2" t="s">
        <v>2</v>
      </c>
      <c r="E3078" s="2" t="s">
        <v>1432</v>
      </c>
      <c r="F3078" s="3">
        <f>DATE(2023,11,21)</f>
        <v>45251</v>
      </c>
      <c r="G3078" s="4">
        <f t="shared" si="292"/>
        <v>11</v>
      </c>
      <c r="H3078" s="4">
        <f t="shared" si="291"/>
        <v>2023</v>
      </c>
      <c r="I3078" s="2" t="s">
        <v>4</v>
      </c>
      <c r="J3078" s="2" t="s">
        <v>3957</v>
      </c>
      <c r="K3078" s="2" t="s">
        <v>28</v>
      </c>
      <c r="L3078" s="2" t="s">
        <v>29</v>
      </c>
      <c r="M3078" s="2" t="s">
        <v>30</v>
      </c>
      <c r="N3078" s="4" t="str">
        <f t="shared" si="293"/>
        <v>GAL</v>
      </c>
      <c r="O3078" s="5">
        <v>20</v>
      </c>
    </row>
    <row r="3079" spans="2:15" x14ac:dyDescent="0.25">
      <c r="B3079" s="1" t="s">
        <v>0</v>
      </c>
      <c r="C3079" s="2" t="s">
        <v>1</v>
      </c>
      <c r="D3079" s="2" t="s">
        <v>2</v>
      </c>
      <c r="E3079" s="2" t="s">
        <v>61</v>
      </c>
      <c r="F3079" s="3">
        <f>DATE(2023,11,21)</f>
        <v>45251</v>
      </c>
      <c r="G3079" s="4">
        <f t="shared" si="292"/>
        <v>11</v>
      </c>
      <c r="H3079" s="4">
        <f t="shared" si="291"/>
        <v>2023</v>
      </c>
      <c r="I3079" s="2" t="s">
        <v>4</v>
      </c>
      <c r="J3079" s="2" t="s">
        <v>3958</v>
      </c>
      <c r="K3079" s="2" t="s">
        <v>19</v>
      </c>
      <c r="L3079" s="2" t="s">
        <v>20</v>
      </c>
      <c r="M3079" s="2" t="s">
        <v>21</v>
      </c>
      <c r="N3079" s="4" t="str">
        <f t="shared" si="293"/>
        <v>GAL</v>
      </c>
      <c r="O3079" s="5">
        <v>30</v>
      </c>
    </row>
    <row r="3080" spans="2:15" x14ac:dyDescent="0.25">
      <c r="B3080" s="1" t="s">
        <v>0</v>
      </c>
      <c r="C3080" s="2" t="s">
        <v>1</v>
      </c>
      <c r="D3080" s="2" t="s">
        <v>2</v>
      </c>
      <c r="E3080" s="2" t="s">
        <v>61</v>
      </c>
      <c r="F3080" s="3">
        <f>DATE(2023,11,21)</f>
        <v>45251</v>
      </c>
      <c r="G3080" s="4">
        <f t="shared" si="292"/>
        <v>11</v>
      </c>
      <c r="H3080" s="4">
        <f t="shared" si="291"/>
        <v>2023</v>
      </c>
      <c r="I3080" s="2" t="s">
        <v>4</v>
      </c>
      <c r="J3080" s="2" t="s">
        <v>3958</v>
      </c>
      <c r="K3080" s="2" t="s">
        <v>25</v>
      </c>
      <c r="L3080" s="2" t="s">
        <v>26</v>
      </c>
      <c r="M3080" s="2" t="s">
        <v>27</v>
      </c>
      <c r="N3080" s="4" t="str">
        <f t="shared" si="293"/>
        <v>GAL</v>
      </c>
      <c r="O3080" s="5">
        <v>60</v>
      </c>
    </row>
    <row r="3081" spans="2:15" x14ac:dyDescent="0.25">
      <c r="B3081" s="1" t="s">
        <v>0</v>
      </c>
      <c r="C3081" s="2" t="s">
        <v>1</v>
      </c>
      <c r="D3081" s="2" t="s">
        <v>2</v>
      </c>
      <c r="E3081" s="2" t="s">
        <v>61</v>
      </c>
      <c r="F3081" s="3">
        <f>DATE(2023,11,21)</f>
        <v>45251</v>
      </c>
      <c r="G3081" s="4">
        <f t="shared" si="292"/>
        <v>11</v>
      </c>
      <c r="H3081" s="4">
        <f t="shared" si="291"/>
        <v>2023</v>
      </c>
      <c r="I3081" s="2" t="s">
        <v>4</v>
      </c>
      <c r="J3081" s="2" t="s">
        <v>3958</v>
      </c>
      <c r="K3081" s="2" t="s">
        <v>28</v>
      </c>
      <c r="L3081" s="2" t="s">
        <v>29</v>
      </c>
      <c r="M3081" s="2" t="s">
        <v>30</v>
      </c>
      <c r="N3081" s="4" t="str">
        <f t="shared" si="293"/>
        <v>GAL</v>
      </c>
      <c r="O3081" s="5">
        <v>30</v>
      </c>
    </row>
    <row r="3082" spans="2:15" x14ac:dyDescent="0.25">
      <c r="B3082" s="1" t="s">
        <v>0</v>
      </c>
      <c r="C3082" s="2" t="s">
        <v>1</v>
      </c>
      <c r="D3082" s="2" t="s">
        <v>2</v>
      </c>
      <c r="E3082" s="2" t="s">
        <v>61</v>
      </c>
      <c r="F3082" s="3">
        <f>DATE(2023,11,21)</f>
        <v>45251</v>
      </c>
      <c r="G3082" s="4">
        <f t="shared" si="292"/>
        <v>11</v>
      </c>
      <c r="H3082" s="4">
        <f t="shared" si="291"/>
        <v>2023</v>
      </c>
      <c r="I3082" s="2" t="s">
        <v>4</v>
      </c>
      <c r="J3082" s="2" t="s">
        <v>3958</v>
      </c>
      <c r="K3082" s="2" t="s">
        <v>16</v>
      </c>
      <c r="L3082" s="2" t="s">
        <v>7</v>
      </c>
      <c r="M3082" s="2" t="s">
        <v>8</v>
      </c>
      <c r="N3082" s="4" t="str">
        <f t="shared" si="293"/>
        <v>GAL</v>
      </c>
      <c r="O3082" s="5">
        <v>60</v>
      </c>
    </row>
    <row r="3083" spans="2:15" x14ac:dyDescent="0.25">
      <c r="B3083" s="1" t="s">
        <v>0</v>
      </c>
      <c r="C3083" s="2" t="s">
        <v>1</v>
      </c>
      <c r="D3083" s="2" t="s">
        <v>2</v>
      </c>
      <c r="E3083" s="2" t="s">
        <v>1790</v>
      </c>
      <c r="F3083" s="3">
        <f>DATE(2023,11,29)</f>
        <v>45259</v>
      </c>
      <c r="G3083" s="4">
        <f t="shared" si="292"/>
        <v>11</v>
      </c>
      <c r="H3083" s="4">
        <f t="shared" si="291"/>
        <v>2023</v>
      </c>
      <c r="I3083" s="2" t="s">
        <v>4</v>
      </c>
      <c r="J3083" s="2" t="s">
        <v>3959</v>
      </c>
      <c r="K3083" s="2" t="s">
        <v>19</v>
      </c>
      <c r="L3083" s="2" t="s">
        <v>20</v>
      </c>
      <c r="M3083" s="2" t="s">
        <v>21</v>
      </c>
      <c r="N3083" s="4" t="str">
        <f t="shared" si="293"/>
        <v>GAL</v>
      </c>
      <c r="O3083" s="5">
        <v>40</v>
      </c>
    </row>
    <row r="3084" spans="2:15" x14ac:dyDescent="0.25">
      <c r="B3084" s="1" t="s">
        <v>0</v>
      </c>
      <c r="C3084" s="2" t="s">
        <v>1</v>
      </c>
      <c r="D3084" s="2" t="s">
        <v>2</v>
      </c>
      <c r="E3084" s="2" t="s">
        <v>1790</v>
      </c>
      <c r="F3084" s="3">
        <f>DATE(2023,11,29)</f>
        <v>45259</v>
      </c>
      <c r="G3084" s="4">
        <f t="shared" si="292"/>
        <v>11</v>
      </c>
      <c r="H3084" s="4">
        <f t="shared" si="291"/>
        <v>2023</v>
      </c>
      <c r="I3084" s="2" t="s">
        <v>4</v>
      </c>
      <c r="J3084" s="2" t="s">
        <v>3959</v>
      </c>
      <c r="K3084" s="2" t="s">
        <v>22</v>
      </c>
      <c r="L3084" s="2" t="s">
        <v>23</v>
      </c>
      <c r="M3084" s="2" t="s">
        <v>24</v>
      </c>
      <c r="N3084" s="4" t="str">
        <f t="shared" si="293"/>
        <v>GAL</v>
      </c>
      <c r="O3084" s="5">
        <v>40</v>
      </c>
    </row>
    <row r="3085" spans="2:15" x14ac:dyDescent="0.25">
      <c r="B3085" s="1" t="s">
        <v>0</v>
      </c>
      <c r="C3085" s="2" t="s">
        <v>1</v>
      </c>
      <c r="D3085" s="2" t="s">
        <v>2</v>
      </c>
      <c r="E3085" s="2" t="s">
        <v>1790</v>
      </c>
      <c r="F3085" s="3">
        <f>DATE(2023,11,29)</f>
        <v>45259</v>
      </c>
      <c r="G3085" s="4">
        <f t="shared" si="292"/>
        <v>11</v>
      </c>
      <c r="H3085" s="4">
        <f t="shared" si="291"/>
        <v>2023</v>
      </c>
      <c r="I3085" s="2" t="s">
        <v>4</v>
      </c>
      <c r="J3085" s="2" t="s">
        <v>3959</v>
      </c>
      <c r="K3085" s="2" t="s">
        <v>25</v>
      </c>
      <c r="L3085" s="2" t="s">
        <v>26</v>
      </c>
      <c r="M3085" s="2" t="s">
        <v>27</v>
      </c>
      <c r="N3085" s="4" t="str">
        <f t="shared" si="293"/>
        <v>GAL</v>
      </c>
      <c r="O3085" s="5">
        <v>40</v>
      </c>
    </row>
    <row r="3086" spans="2:15" x14ac:dyDescent="0.25">
      <c r="B3086" s="1" t="s">
        <v>0</v>
      </c>
      <c r="C3086" s="2" t="s">
        <v>1</v>
      </c>
      <c r="D3086" s="2" t="s">
        <v>2</v>
      </c>
      <c r="E3086" s="2" t="s">
        <v>1790</v>
      </c>
      <c r="F3086" s="3">
        <f>DATE(2023,11,29)</f>
        <v>45259</v>
      </c>
      <c r="G3086" s="4">
        <f t="shared" si="292"/>
        <v>11</v>
      </c>
      <c r="H3086" s="4">
        <f t="shared" si="291"/>
        <v>2023</v>
      </c>
      <c r="I3086" s="2" t="s">
        <v>4</v>
      </c>
      <c r="J3086" s="2" t="s">
        <v>3959</v>
      </c>
      <c r="K3086" s="2" t="s">
        <v>28</v>
      </c>
      <c r="L3086" s="2" t="s">
        <v>29</v>
      </c>
      <c r="M3086" s="2" t="s">
        <v>30</v>
      </c>
      <c r="N3086" s="4" t="str">
        <f t="shared" si="293"/>
        <v>GAL</v>
      </c>
      <c r="O3086" s="5">
        <v>40</v>
      </c>
    </row>
    <row r="3087" spans="2:15" x14ac:dyDescent="0.25">
      <c r="B3087" s="1" t="s">
        <v>0</v>
      </c>
      <c r="C3087" s="2" t="s">
        <v>1</v>
      </c>
      <c r="D3087" s="2" t="s">
        <v>2</v>
      </c>
      <c r="E3087" s="2" t="s">
        <v>1790</v>
      </c>
      <c r="F3087" s="3">
        <f>DATE(2023,11,29)</f>
        <v>45259</v>
      </c>
      <c r="G3087" s="4">
        <f t="shared" si="292"/>
        <v>11</v>
      </c>
      <c r="H3087" s="4">
        <f t="shared" si="291"/>
        <v>2023</v>
      </c>
      <c r="I3087" s="2" t="s">
        <v>4</v>
      </c>
      <c r="J3087" s="2" t="s">
        <v>3959</v>
      </c>
      <c r="K3087" s="2" t="s">
        <v>16</v>
      </c>
      <c r="L3087" s="2" t="s">
        <v>7</v>
      </c>
      <c r="M3087" s="2" t="s">
        <v>8</v>
      </c>
      <c r="N3087" s="4" t="str">
        <f t="shared" si="293"/>
        <v>GAL</v>
      </c>
      <c r="O3087" s="5">
        <v>40</v>
      </c>
    </row>
    <row r="3088" spans="2:15" x14ac:dyDescent="0.25">
      <c r="B3088" s="1" t="s">
        <v>0</v>
      </c>
      <c r="C3088" s="2" t="s">
        <v>1</v>
      </c>
      <c r="D3088" s="2" t="s">
        <v>2</v>
      </c>
      <c r="E3088" s="2" t="s">
        <v>3</v>
      </c>
      <c r="F3088" s="3">
        <f>DATE(2023,11,30)</f>
        <v>45260</v>
      </c>
      <c r="G3088" s="4">
        <f t="shared" si="292"/>
        <v>11</v>
      </c>
      <c r="H3088" s="4">
        <f t="shared" si="291"/>
        <v>2023</v>
      </c>
      <c r="I3088" s="2" t="s">
        <v>4</v>
      </c>
      <c r="J3088" s="2" t="s">
        <v>3960</v>
      </c>
      <c r="K3088" s="2" t="s">
        <v>566</v>
      </c>
      <c r="L3088" s="2" t="s">
        <v>20</v>
      </c>
      <c r="M3088" s="2" t="s">
        <v>21</v>
      </c>
      <c r="N3088" s="4" t="str">
        <f t="shared" si="293"/>
        <v>GAL</v>
      </c>
      <c r="O3088" s="5">
        <v>55</v>
      </c>
    </row>
    <row r="3089" spans="2:15" x14ac:dyDescent="0.25">
      <c r="B3089" s="1" t="s">
        <v>0</v>
      </c>
      <c r="C3089" s="2" t="s">
        <v>1</v>
      </c>
      <c r="D3089" s="2" t="s">
        <v>2</v>
      </c>
      <c r="E3089" s="2" t="s">
        <v>3</v>
      </c>
      <c r="F3089" s="3">
        <f>DATE(2023,11,30)</f>
        <v>45260</v>
      </c>
      <c r="G3089" s="4">
        <f t="shared" si="292"/>
        <v>11</v>
      </c>
      <c r="H3089" s="4">
        <f t="shared" si="291"/>
        <v>2023</v>
      </c>
      <c r="I3089" s="2" t="s">
        <v>4</v>
      </c>
      <c r="J3089" s="2" t="s">
        <v>3960</v>
      </c>
      <c r="K3089" s="2" t="s">
        <v>6</v>
      </c>
      <c r="L3089" s="2" t="s">
        <v>7</v>
      </c>
      <c r="M3089" s="2" t="s">
        <v>8</v>
      </c>
      <c r="N3089" s="4" t="str">
        <f t="shared" si="293"/>
        <v>GAL</v>
      </c>
      <c r="O3089" s="5">
        <v>55</v>
      </c>
    </row>
    <row r="3090" spans="2:15" x14ac:dyDescent="0.25">
      <c r="B3090" s="1" t="s">
        <v>88</v>
      </c>
      <c r="C3090" s="2" t="s">
        <v>89</v>
      </c>
      <c r="D3090" s="2" t="s">
        <v>616</v>
      </c>
      <c r="E3090" s="2" t="s">
        <v>617</v>
      </c>
      <c r="F3090" s="3">
        <f>DATE(2023,11,3)</f>
        <v>45233</v>
      </c>
      <c r="G3090" s="4">
        <f t="shared" si="292"/>
        <v>11</v>
      </c>
      <c r="H3090" s="4">
        <f t="shared" si="291"/>
        <v>2023</v>
      </c>
      <c r="I3090" s="2" t="s">
        <v>4</v>
      </c>
      <c r="J3090" s="2" t="s">
        <v>3961</v>
      </c>
      <c r="K3090" s="2" t="s">
        <v>3297</v>
      </c>
      <c r="L3090" s="2" t="s">
        <v>3298</v>
      </c>
      <c r="M3090" s="2" t="s">
        <v>3588</v>
      </c>
      <c r="N3090" s="4" t="str">
        <f t="shared" si="293"/>
        <v>GAL</v>
      </c>
      <c r="O3090" s="5">
        <v>50</v>
      </c>
    </row>
    <row r="3091" spans="2:15" x14ac:dyDescent="0.25">
      <c r="B3091" s="1" t="s">
        <v>88</v>
      </c>
      <c r="C3091" s="2" t="s">
        <v>89</v>
      </c>
      <c r="D3091" s="2" t="s">
        <v>3962</v>
      </c>
      <c r="E3091" s="2" t="s">
        <v>102</v>
      </c>
      <c r="F3091" s="3">
        <f>DATE(2023,11,8)</f>
        <v>45238</v>
      </c>
      <c r="G3091" s="4">
        <f t="shared" si="292"/>
        <v>11</v>
      </c>
      <c r="H3091" s="4">
        <f t="shared" si="291"/>
        <v>2023</v>
      </c>
      <c r="I3091" s="2" t="s">
        <v>4</v>
      </c>
      <c r="J3091" s="2" t="s">
        <v>3963</v>
      </c>
      <c r="K3091" s="2" t="s">
        <v>1853</v>
      </c>
      <c r="L3091" s="2" t="s">
        <v>1854</v>
      </c>
      <c r="M3091" s="2" t="s">
        <v>1816</v>
      </c>
      <c r="N3091" s="4" t="str">
        <f t="shared" si="293"/>
        <v>GAL</v>
      </c>
      <c r="O3091" s="5">
        <v>2.5</v>
      </c>
    </row>
    <row r="3092" spans="2:15" x14ac:dyDescent="0.25">
      <c r="B3092" s="1" t="s">
        <v>88</v>
      </c>
      <c r="C3092" s="2" t="s">
        <v>89</v>
      </c>
      <c r="D3092" s="2" t="s">
        <v>2887</v>
      </c>
      <c r="E3092" s="2" t="s">
        <v>617</v>
      </c>
      <c r="F3092" s="3">
        <f>DATE(2023,11,9)</f>
        <v>45239</v>
      </c>
      <c r="G3092" s="4">
        <f t="shared" si="292"/>
        <v>11</v>
      </c>
      <c r="H3092" s="4">
        <f t="shared" si="291"/>
        <v>2023</v>
      </c>
      <c r="I3092" s="2" t="s">
        <v>4</v>
      </c>
      <c r="J3092" s="2" t="s">
        <v>3964</v>
      </c>
      <c r="K3092" s="2" t="s">
        <v>3421</v>
      </c>
      <c r="L3092" s="2" t="s">
        <v>3422</v>
      </c>
      <c r="M3092" s="2" t="s">
        <v>3423</v>
      </c>
      <c r="N3092" s="4" t="str">
        <f t="shared" si="293"/>
        <v>GAL</v>
      </c>
      <c r="O3092" s="5">
        <v>900</v>
      </c>
    </row>
    <row r="3093" spans="2:15" x14ac:dyDescent="0.25">
      <c r="B3093" s="1" t="s">
        <v>88</v>
      </c>
      <c r="C3093" s="2" t="s">
        <v>89</v>
      </c>
      <c r="D3093" s="2" t="s">
        <v>1444</v>
      </c>
      <c r="E3093" s="2" t="s">
        <v>3965</v>
      </c>
      <c r="F3093" s="3">
        <f>DATE(2023,11,9)</f>
        <v>45239</v>
      </c>
      <c r="G3093" s="4">
        <f t="shared" si="292"/>
        <v>11</v>
      </c>
      <c r="H3093" s="4">
        <f t="shared" si="291"/>
        <v>2023</v>
      </c>
      <c r="I3093" s="2" t="s">
        <v>4</v>
      </c>
      <c r="J3093" s="2" t="s">
        <v>3966</v>
      </c>
      <c r="K3093" s="2" t="s">
        <v>3136</v>
      </c>
      <c r="L3093" s="2" t="s">
        <v>2581</v>
      </c>
      <c r="M3093" s="2" t="s">
        <v>1448</v>
      </c>
      <c r="N3093" s="4" t="str">
        <f t="shared" si="293"/>
        <v>GAL</v>
      </c>
      <c r="O3093" s="5">
        <v>150</v>
      </c>
    </row>
    <row r="3094" spans="2:15" x14ac:dyDescent="0.25">
      <c r="B3094" s="1" t="s">
        <v>88</v>
      </c>
      <c r="C3094" s="2" t="s">
        <v>89</v>
      </c>
      <c r="D3094" s="2" t="s">
        <v>124</v>
      </c>
      <c r="E3094" s="2" t="s">
        <v>124</v>
      </c>
      <c r="F3094" s="3">
        <f>DATE(2023,11,14)</f>
        <v>45244</v>
      </c>
      <c r="G3094" s="4">
        <f t="shared" si="292"/>
        <v>11</v>
      </c>
      <c r="H3094" s="4">
        <f t="shared" si="291"/>
        <v>2023</v>
      </c>
      <c r="I3094" s="2" t="s">
        <v>4</v>
      </c>
      <c r="J3094" s="2" t="s">
        <v>3967</v>
      </c>
      <c r="K3094" s="2" t="s">
        <v>126</v>
      </c>
      <c r="L3094" s="2" t="s">
        <v>127</v>
      </c>
      <c r="M3094" s="2" t="s">
        <v>106</v>
      </c>
      <c r="N3094" s="4" t="str">
        <f t="shared" si="293"/>
        <v>LBS</v>
      </c>
      <c r="O3094" s="5">
        <v>45220</v>
      </c>
    </row>
    <row r="3095" spans="2:15" x14ac:dyDescent="0.25">
      <c r="B3095" s="1" t="s">
        <v>88</v>
      </c>
      <c r="C3095" s="2" t="s">
        <v>89</v>
      </c>
      <c r="D3095" s="2" t="s">
        <v>1103</v>
      </c>
      <c r="E3095" s="2" t="s">
        <v>1104</v>
      </c>
      <c r="F3095" s="3">
        <f>DATE(2023,11,17)</f>
        <v>45247</v>
      </c>
      <c r="G3095" s="4">
        <f t="shared" si="292"/>
        <v>11</v>
      </c>
      <c r="H3095" s="4">
        <f t="shared" si="291"/>
        <v>2023</v>
      </c>
      <c r="I3095" s="2" t="s">
        <v>4</v>
      </c>
      <c r="J3095" s="2" t="s">
        <v>3968</v>
      </c>
      <c r="K3095" s="2" t="s">
        <v>3969</v>
      </c>
      <c r="L3095" s="2" t="s">
        <v>3970</v>
      </c>
      <c r="M3095" s="2" t="s">
        <v>3971</v>
      </c>
      <c r="N3095" s="4" t="str">
        <f t="shared" si="293"/>
        <v>GAL</v>
      </c>
      <c r="O3095" s="5">
        <v>250</v>
      </c>
    </row>
    <row r="3096" spans="2:15" x14ac:dyDescent="0.25">
      <c r="B3096" s="1" t="s">
        <v>88</v>
      </c>
      <c r="C3096" s="2" t="s">
        <v>89</v>
      </c>
      <c r="D3096" s="2" t="s">
        <v>515</v>
      </c>
      <c r="E3096" s="2" t="s">
        <v>516</v>
      </c>
      <c r="F3096" s="3">
        <f>DATE(2023,11,17)</f>
        <v>45247</v>
      </c>
      <c r="G3096" s="4">
        <f t="shared" si="292"/>
        <v>11</v>
      </c>
      <c r="H3096" s="4">
        <f t="shared" si="291"/>
        <v>2023</v>
      </c>
      <c r="I3096" s="2" t="s">
        <v>4</v>
      </c>
      <c r="J3096" s="2" t="s">
        <v>3972</v>
      </c>
      <c r="K3096" s="2" t="s">
        <v>110</v>
      </c>
      <c r="L3096" s="2" t="s">
        <v>111</v>
      </c>
      <c r="M3096" s="2" t="s">
        <v>112</v>
      </c>
      <c r="N3096" s="4" t="str">
        <f t="shared" si="293"/>
        <v>GAL</v>
      </c>
      <c r="O3096" s="5">
        <v>2200</v>
      </c>
    </row>
    <row r="3097" spans="2:15" x14ac:dyDescent="0.25">
      <c r="B3097" s="1" t="s">
        <v>88</v>
      </c>
      <c r="C3097" s="2" t="s">
        <v>89</v>
      </c>
      <c r="D3097" s="2" t="s">
        <v>616</v>
      </c>
      <c r="E3097" s="2" t="s">
        <v>3586</v>
      </c>
      <c r="F3097" s="3">
        <f>DATE(2023,11,28)</f>
        <v>45258</v>
      </c>
      <c r="G3097" s="4">
        <f t="shared" si="292"/>
        <v>11</v>
      </c>
      <c r="H3097" s="4">
        <f t="shared" si="291"/>
        <v>2023</v>
      </c>
      <c r="I3097" s="2" t="s">
        <v>4</v>
      </c>
      <c r="J3097" s="2" t="s">
        <v>3973</v>
      </c>
      <c r="K3097" s="2" t="s">
        <v>83</v>
      </c>
      <c r="L3097" s="2" t="s">
        <v>518</v>
      </c>
      <c r="M3097" s="2" t="s">
        <v>85</v>
      </c>
      <c r="N3097" s="4" t="str">
        <f t="shared" si="293"/>
        <v>GAL</v>
      </c>
      <c r="O3097" s="5">
        <v>50</v>
      </c>
    </row>
    <row r="3098" spans="2:15" x14ac:dyDescent="0.25">
      <c r="B3098" s="1" t="s">
        <v>154</v>
      </c>
      <c r="C3098" s="2" t="s">
        <v>155</v>
      </c>
      <c r="D3098" s="2" t="s">
        <v>107</v>
      </c>
      <c r="E3098" s="2" t="s">
        <v>108</v>
      </c>
      <c r="F3098" s="3">
        <f>DATE(2023,11,3)</f>
        <v>45233</v>
      </c>
      <c r="G3098" s="4">
        <f t="shared" si="292"/>
        <v>11</v>
      </c>
      <c r="H3098" s="4">
        <f t="shared" si="291"/>
        <v>2023</v>
      </c>
      <c r="I3098" s="2" t="s">
        <v>4</v>
      </c>
      <c r="J3098" s="2" t="s">
        <v>3974</v>
      </c>
      <c r="K3098" s="2" t="s">
        <v>1119</v>
      </c>
      <c r="L3098" s="2" t="s">
        <v>1023</v>
      </c>
      <c r="M3098" s="2" t="s">
        <v>1024</v>
      </c>
      <c r="N3098" s="4" t="str">
        <f t="shared" si="293"/>
        <v>GAL</v>
      </c>
      <c r="O3098" s="5">
        <v>260</v>
      </c>
    </row>
    <row r="3099" spans="2:15" x14ac:dyDescent="0.25">
      <c r="B3099" s="1" t="s">
        <v>154</v>
      </c>
      <c r="C3099" s="2" t="s">
        <v>155</v>
      </c>
      <c r="D3099" s="2" t="s">
        <v>107</v>
      </c>
      <c r="E3099" s="2" t="s">
        <v>108</v>
      </c>
      <c r="F3099" s="3">
        <f>DATE(2023,11,3)</f>
        <v>45233</v>
      </c>
      <c r="G3099" s="4">
        <f t="shared" si="292"/>
        <v>11</v>
      </c>
      <c r="H3099" s="4">
        <f t="shared" si="291"/>
        <v>2023</v>
      </c>
      <c r="I3099" s="2" t="s">
        <v>4</v>
      </c>
      <c r="J3099" s="2" t="s">
        <v>3974</v>
      </c>
      <c r="K3099" s="2" t="s">
        <v>189</v>
      </c>
      <c r="L3099" s="2" t="s">
        <v>190</v>
      </c>
      <c r="M3099" s="2" t="s">
        <v>191</v>
      </c>
      <c r="N3099" s="4" t="str">
        <f t="shared" si="293"/>
        <v>GAL</v>
      </c>
      <c r="O3099" s="5">
        <v>180</v>
      </c>
    </row>
    <row r="3100" spans="2:15" x14ac:dyDescent="0.25">
      <c r="B3100" s="1" t="s">
        <v>154</v>
      </c>
      <c r="C3100" s="2" t="s">
        <v>155</v>
      </c>
      <c r="D3100" s="2" t="s">
        <v>623</v>
      </c>
      <c r="E3100" s="2" t="s">
        <v>624</v>
      </c>
      <c r="F3100" s="3">
        <f>DATE(2023,11,3)</f>
        <v>45233</v>
      </c>
      <c r="G3100" s="4">
        <f t="shared" si="292"/>
        <v>11</v>
      </c>
      <c r="H3100" s="4">
        <f t="shared" si="291"/>
        <v>2023</v>
      </c>
      <c r="I3100" s="2" t="s">
        <v>4</v>
      </c>
      <c r="J3100" s="2" t="s">
        <v>3975</v>
      </c>
      <c r="K3100" s="2" t="s">
        <v>626</v>
      </c>
      <c r="L3100" s="2" t="s">
        <v>627</v>
      </c>
      <c r="M3100" s="2" t="s">
        <v>119</v>
      </c>
      <c r="N3100" s="4" t="str">
        <f t="shared" si="293"/>
        <v>TON</v>
      </c>
      <c r="O3100" s="5">
        <v>15.025</v>
      </c>
    </row>
    <row r="3101" spans="2:15" x14ac:dyDescent="0.25">
      <c r="B3101" s="1" t="s">
        <v>154</v>
      </c>
      <c r="C3101" s="2" t="s">
        <v>155</v>
      </c>
      <c r="D3101" s="2" t="s">
        <v>646</v>
      </c>
      <c r="E3101" s="2" t="s">
        <v>647</v>
      </c>
      <c r="F3101" s="3">
        <f>DATE(2023,11,7)</f>
        <v>45237</v>
      </c>
      <c r="G3101" s="4">
        <f t="shared" si="292"/>
        <v>11</v>
      </c>
      <c r="H3101" s="4">
        <f t="shared" si="291"/>
        <v>2023</v>
      </c>
      <c r="I3101" s="2" t="s">
        <v>4</v>
      </c>
      <c r="J3101" s="2" t="s">
        <v>3976</v>
      </c>
      <c r="K3101" s="2" t="s">
        <v>189</v>
      </c>
      <c r="L3101" s="2" t="s">
        <v>190</v>
      </c>
      <c r="M3101" s="2" t="s">
        <v>191</v>
      </c>
      <c r="N3101" s="4" t="str">
        <f t="shared" si="293"/>
        <v>GAL</v>
      </c>
      <c r="O3101" s="5">
        <v>540</v>
      </c>
    </row>
    <row r="3102" spans="2:15" x14ac:dyDescent="0.25">
      <c r="B3102" s="1" t="s">
        <v>154</v>
      </c>
      <c r="C3102" s="2" t="s">
        <v>155</v>
      </c>
      <c r="D3102" s="2" t="s">
        <v>623</v>
      </c>
      <c r="E3102" s="2" t="s">
        <v>624</v>
      </c>
      <c r="F3102" s="3">
        <f>DATE(2023,11,7)</f>
        <v>45237</v>
      </c>
      <c r="G3102" s="4">
        <f t="shared" si="292"/>
        <v>11</v>
      </c>
      <c r="H3102" s="4">
        <f t="shared" si="291"/>
        <v>2023</v>
      </c>
      <c r="I3102" s="2" t="s">
        <v>4</v>
      </c>
      <c r="J3102" s="2" t="s">
        <v>3977</v>
      </c>
      <c r="K3102" s="2" t="s">
        <v>626</v>
      </c>
      <c r="L3102" s="2" t="s">
        <v>627</v>
      </c>
      <c r="M3102" s="2" t="s">
        <v>119</v>
      </c>
      <c r="N3102" s="4" t="str">
        <f t="shared" si="293"/>
        <v>TON</v>
      </c>
      <c r="O3102" s="5">
        <v>15.025</v>
      </c>
    </row>
    <row r="3103" spans="2:15" x14ac:dyDescent="0.25">
      <c r="B3103" s="1" t="s">
        <v>154</v>
      </c>
      <c r="C3103" s="2" t="s">
        <v>155</v>
      </c>
      <c r="D3103" s="2" t="s">
        <v>107</v>
      </c>
      <c r="E3103" s="2" t="s">
        <v>108</v>
      </c>
      <c r="F3103" s="3">
        <f>DATE(2023,11,8)</f>
        <v>45238</v>
      </c>
      <c r="G3103" s="4">
        <f t="shared" si="292"/>
        <v>11</v>
      </c>
      <c r="H3103" s="4">
        <f t="shared" si="291"/>
        <v>2023</v>
      </c>
      <c r="I3103" s="2" t="s">
        <v>4</v>
      </c>
      <c r="J3103" s="2" t="s">
        <v>3978</v>
      </c>
      <c r="K3103" s="2" t="s">
        <v>158</v>
      </c>
      <c r="L3103" s="2" t="s">
        <v>159</v>
      </c>
      <c r="M3103" s="2" t="s">
        <v>160</v>
      </c>
      <c r="N3103" s="4" t="str">
        <f t="shared" si="293"/>
        <v>GAL</v>
      </c>
      <c r="O3103" s="5">
        <v>180</v>
      </c>
    </row>
    <row r="3104" spans="2:15" x14ac:dyDescent="0.25">
      <c r="B3104" s="1" t="s">
        <v>154</v>
      </c>
      <c r="C3104" s="2" t="s">
        <v>155</v>
      </c>
      <c r="D3104" s="2" t="s">
        <v>107</v>
      </c>
      <c r="E3104" s="2" t="s">
        <v>108</v>
      </c>
      <c r="F3104" s="3">
        <f>DATE(2023,11,8)</f>
        <v>45238</v>
      </c>
      <c r="G3104" s="4">
        <f t="shared" si="292"/>
        <v>11</v>
      </c>
      <c r="H3104" s="4">
        <f t="shared" si="291"/>
        <v>2023</v>
      </c>
      <c r="I3104" s="2" t="s">
        <v>4</v>
      </c>
      <c r="J3104" s="2" t="s">
        <v>3978</v>
      </c>
      <c r="K3104" s="2" t="s">
        <v>192</v>
      </c>
      <c r="L3104" s="2" t="s">
        <v>193</v>
      </c>
      <c r="M3104" s="2" t="s">
        <v>160</v>
      </c>
      <c r="N3104" s="4" t="str">
        <f t="shared" si="293"/>
        <v>GAL</v>
      </c>
      <c r="O3104" s="5">
        <v>500</v>
      </c>
    </row>
    <row r="3105" spans="2:15" x14ac:dyDescent="0.25">
      <c r="B3105" s="1" t="s">
        <v>154</v>
      </c>
      <c r="C3105" s="2" t="s">
        <v>155</v>
      </c>
      <c r="D3105" s="2" t="s">
        <v>167</v>
      </c>
      <c r="E3105" s="2" t="s">
        <v>168</v>
      </c>
      <c r="F3105" s="3">
        <f>DATE(2023,11,10)</f>
        <v>45240</v>
      </c>
      <c r="G3105" s="4">
        <f t="shared" si="292"/>
        <v>11</v>
      </c>
      <c r="H3105" s="4">
        <f t="shared" si="291"/>
        <v>2023</v>
      </c>
      <c r="I3105" s="2" t="s">
        <v>4</v>
      </c>
      <c r="J3105" s="2" t="s">
        <v>3979</v>
      </c>
      <c r="K3105" s="2" t="s">
        <v>3436</v>
      </c>
      <c r="L3105" s="2" t="s">
        <v>3437</v>
      </c>
      <c r="M3105" s="2" t="s">
        <v>67</v>
      </c>
      <c r="N3105" s="4" t="str">
        <f t="shared" si="293"/>
        <v>GAL</v>
      </c>
      <c r="O3105" s="5">
        <v>750</v>
      </c>
    </row>
    <row r="3106" spans="2:15" x14ac:dyDescent="0.25">
      <c r="B3106" s="1" t="s">
        <v>154</v>
      </c>
      <c r="C3106" s="2" t="s">
        <v>155</v>
      </c>
      <c r="D3106" s="2" t="s">
        <v>623</v>
      </c>
      <c r="E3106" s="2" t="s">
        <v>624</v>
      </c>
      <c r="F3106" s="3">
        <f>DATE(2023,11,14)</f>
        <v>45244</v>
      </c>
      <c r="G3106" s="4">
        <f t="shared" si="292"/>
        <v>11</v>
      </c>
      <c r="H3106" s="4">
        <f t="shared" si="291"/>
        <v>2023</v>
      </c>
      <c r="I3106" s="2" t="s">
        <v>4</v>
      </c>
      <c r="J3106" s="2" t="s">
        <v>3980</v>
      </c>
      <c r="K3106" s="2" t="s">
        <v>626</v>
      </c>
      <c r="L3106" s="2" t="s">
        <v>627</v>
      </c>
      <c r="M3106" s="2" t="s">
        <v>119</v>
      </c>
      <c r="N3106" s="4" t="str">
        <f t="shared" si="293"/>
        <v>TON</v>
      </c>
      <c r="O3106" s="5">
        <v>15.025</v>
      </c>
    </row>
    <row r="3107" spans="2:15" x14ac:dyDescent="0.25">
      <c r="B3107" s="1" t="s">
        <v>154</v>
      </c>
      <c r="C3107" s="2" t="s">
        <v>155</v>
      </c>
      <c r="D3107" s="2" t="s">
        <v>178</v>
      </c>
      <c r="E3107" s="2" t="s">
        <v>179</v>
      </c>
      <c r="F3107" s="3">
        <f>DATE(2023,11,20)</f>
        <v>45250</v>
      </c>
      <c r="G3107" s="4">
        <f t="shared" si="292"/>
        <v>11</v>
      </c>
      <c r="H3107" s="4">
        <f t="shared" si="291"/>
        <v>2023</v>
      </c>
      <c r="I3107" s="2" t="s">
        <v>4</v>
      </c>
      <c r="J3107" s="2" t="s">
        <v>3981</v>
      </c>
      <c r="K3107" s="2" t="s">
        <v>25</v>
      </c>
      <c r="L3107" s="2" t="s">
        <v>541</v>
      </c>
      <c r="M3107" s="2" t="s">
        <v>27</v>
      </c>
      <c r="N3107" s="4" t="str">
        <f t="shared" si="293"/>
        <v>GAL</v>
      </c>
      <c r="O3107" s="5">
        <v>180</v>
      </c>
    </row>
    <row r="3108" spans="2:15" x14ac:dyDescent="0.25">
      <c r="B3108" s="1" t="s">
        <v>154</v>
      </c>
      <c r="C3108" s="2" t="s">
        <v>155</v>
      </c>
      <c r="D3108" s="2" t="s">
        <v>623</v>
      </c>
      <c r="E3108" s="2" t="s">
        <v>624</v>
      </c>
      <c r="F3108" s="3">
        <f>DATE(2023,11,21)</f>
        <v>45251</v>
      </c>
      <c r="G3108" s="4">
        <f t="shared" si="292"/>
        <v>11</v>
      </c>
      <c r="H3108" s="4">
        <f t="shared" si="291"/>
        <v>2023</v>
      </c>
      <c r="I3108" s="2" t="s">
        <v>4</v>
      </c>
      <c r="J3108" s="2" t="s">
        <v>3982</v>
      </c>
      <c r="K3108" s="2" t="s">
        <v>626</v>
      </c>
      <c r="L3108" s="2" t="s">
        <v>627</v>
      </c>
      <c r="M3108" s="2" t="s">
        <v>119</v>
      </c>
      <c r="N3108" s="4" t="str">
        <f t="shared" si="293"/>
        <v>TON</v>
      </c>
      <c r="O3108" s="5">
        <v>15.0175</v>
      </c>
    </row>
    <row r="3109" spans="2:15" x14ac:dyDescent="0.25">
      <c r="B3109" s="1" t="s">
        <v>154</v>
      </c>
      <c r="C3109" s="2" t="s">
        <v>155</v>
      </c>
      <c r="D3109" s="2" t="s">
        <v>178</v>
      </c>
      <c r="E3109" s="2" t="s">
        <v>179</v>
      </c>
      <c r="F3109" s="3">
        <f>DATE(2023,11,22)</f>
        <v>45252</v>
      </c>
      <c r="G3109" s="4">
        <f t="shared" si="292"/>
        <v>11</v>
      </c>
      <c r="H3109" s="4">
        <f t="shared" si="291"/>
        <v>2023</v>
      </c>
      <c r="I3109" s="2" t="s">
        <v>4</v>
      </c>
      <c r="J3109" s="2" t="s">
        <v>3983</v>
      </c>
      <c r="K3109" s="2" t="s">
        <v>189</v>
      </c>
      <c r="L3109" s="2" t="s">
        <v>190</v>
      </c>
      <c r="M3109" s="2" t="s">
        <v>191</v>
      </c>
      <c r="N3109" s="4" t="str">
        <f t="shared" si="293"/>
        <v>GAL</v>
      </c>
      <c r="O3109" s="5">
        <v>180</v>
      </c>
    </row>
    <row r="3110" spans="2:15" x14ac:dyDescent="0.25">
      <c r="B3110" s="1" t="s">
        <v>154</v>
      </c>
      <c r="C3110" s="2" t="s">
        <v>155</v>
      </c>
      <c r="D3110" s="2" t="s">
        <v>623</v>
      </c>
      <c r="E3110" s="2" t="s">
        <v>624</v>
      </c>
      <c r="F3110" s="3">
        <f>DATE(2023,11,28)</f>
        <v>45258</v>
      </c>
      <c r="G3110" s="4">
        <f t="shared" si="292"/>
        <v>11</v>
      </c>
      <c r="H3110" s="4">
        <f t="shared" si="291"/>
        <v>2023</v>
      </c>
      <c r="I3110" s="2" t="s">
        <v>4</v>
      </c>
      <c r="J3110" s="2" t="s">
        <v>3984</v>
      </c>
      <c r="K3110" s="2" t="s">
        <v>626</v>
      </c>
      <c r="L3110" s="2" t="s">
        <v>627</v>
      </c>
      <c r="M3110" s="2" t="s">
        <v>119</v>
      </c>
      <c r="N3110" s="4" t="str">
        <f t="shared" si="293"/>
        <v>TON</v>
      </c>
      <c r="O3110" s="5">
        <v>15.02</v>
      </c>
    </row>
    <row r="3111" spans="2:15" x14ac:dyDescent="0.25">
      <c r="B3111" s="1" t="s">
        <v>154</v>
      </c>
      <c r="C3111" s="2" t="s">
        <v>155</v>
      </c>
      <c r="D3111" s="2" t="s">
        <v>1103</v>
      </c>
      <c r="E3111" s="2" t="s">
        <v>1104</v>
      </c>
      <c r="F3111" s="3">
        <f t="shared" ref="F3111:F3116" si="294">DATE(2023,11,29)</f>
        <v>45259</v>
      </c>
      <c r="G3111" s="4">
        <f t="shared" si="292"/>
        <v>11</v>
      </c>
      <c r="H3111" s="4">
        <f t="shared" si="291"/>
        <v>2023</v>
      </c>
      <c r="I3111" s="2" t="s">
        <v>4</v>
      </c>
      <c r="J3111" s="2" t="s">
        <v>3985</v>
      </c>
      <c r="K3111" s="2" t="s">
        <v>126</v>
      </c>
      <c r="L3111" s="2" t="s">
        <v>127</v>
      </c>
      <c r="M3111" s="2" t="s">
        <v>106</v>
      </c>
      <c r="N3111" s="4" t="str">
        <f t="shared" si="293"/>
        <v>LBS</v>
      </c>
      <c r="O3111" s="5">
        <v>6575</v>
      </c>
    </row>
    <row r="3112" spans="2:15" x14ac:dyDescent="0.25">
      <c r="B3112" s="1" t="s">
        <v>645</v>
      </c>
      <c r="C3112" s="2" t="s">
        <v>155</v>
      </c>
      <c r="D3112" s="2" t="s">
        <v>646</v>
      </c>
      <c r="E3112" s="2" t="s">
        <v>647</v>
      </c>
      <c r="F3112" s="3">
        <f t="shared" si="294"/>
        <v>45259</v>
      </c>
      <c r="G3112" s="4">
        <f t="shared" si="292"/>
        <v>11</v>
      </c>
      <c r="H3112" s="4">
        <f t="shared" si="291"/>
        <v>2023</v>
      </c>
      <c r="I3112" s="2" t="s">
        <v>4</v>
      </c>
      <c r="J3112" s="2" t="s">
        <v>3986</v>
      </c>
      <c r="K3112" s="2" t="s">
        <v>25</v>
      </c>
      <c r="L3112" s="2" t="s">
        <v>541</v>
      </c>
      <c r="M3112" s="2" t="s">
        <v>27</v>
      </c>
      <c r="N3112" s="4" t="str">
        <f t="shared" si="293"/>
        <v>GAL</v>
      </c>
      <c r="O3112" s="5">
        <v>540</v>
      </c>
    </row>
    <row r="3113" spans="2:15" x14ac:dyDescent="0.25">
      <c r="B3113" s="1" t="s">
        <v>154</v>
      </c>
      <c r="C3113" s="2" t="s">
        <v>155</v>
      </c>
      <c r="D3113" s="2" t="s">
        <v>107</v>
      </c>
      <c r="E3113" s="2" t="s">
        <v>108</v>
      </c>
      <c r="F3113" s="3">
        <f t="shared" si="294"/>
        <v>45259</v>
      </c>
      <c r="G3113" s="4">
        <f t="shared" si="292"/>
        <v>11</v>
      </c>
      <c r="H3113" s="4">
        <f t="shared" si="291"/>
        <v>2023</v>
      </c>
      <c r="I3113" s="2" t="s">
        <v>4</v>
      </c>
      <c r="J3113" s="2" t="s">
        <v>3987</v>
      </c>
      <c r="K3113" s="2" t="s">
        <v>1119</v>
      </c>
      <c r="L3113" s="2" t="s">
        <v>1023</v>
      </c>
      <c r="M3113" s="2" t="s">
        <v>1024</v>
      </c>
      <c r="N3113" s="4" t="str">
        <f t="shared" si="293"/>
        <v>GAL</v>
      </c>
      <c r="O3113" s="5">
        <v>120</v>
      </c>
    </row>
    <row r="3114" spans="2:15" x14ac:dyDescent="0.25">
      <c r="B3114" s="1" t="s">
        <v>154</v>
      </c>
      <c r="C3114" s="2" t="s">
        <v>155</v>
      </c>
      <c r="D3114" s="2" t="s">
        <v>107</v>
      </c>
      <c r="E3114" s="2" t="s">
        <v>108</v>
      </c>
      <c r="F3114" s="3">
        <f t="shared" si="294"/>
        <v>45259</v>
      </c>
      <c r="G3114" s="4">
        <f t="shared" si="292"/>
        <v>11</v>
      </c>
      <c r="H3114" s="4">
        <f t="shared" si="291"/>
        <v>2023</v>
      </c>
      <c r="I3114" s="2" t="s">
        <v>4</v>
      </c>
      <c r="J3114" s="2" t="s">
        <v>3987</v>
      </c>
      <c r="K3114" s="2" t="s">
        <v>158</v>
      </c>
      <c r="L3114" s="2" t="s">
        <v>159</v>
      </c>
      <c r="M3114" s="2" t="s">
        <v>160</v>
      </c>
      <c r="N3114" s="4" t="str">
        <f t="shared" si="293"/>
        <v>GAL</v>
      </c>
      <c r="O3114" s="5">
        <v>180</v>
      </c>
    </row>
    <row r="3115" spans="2:15" x14ac:dyDescent="0.25">
      <c r="B3115" s="1" t="s">
        <v>154</v>
      </c>
      <c r="C3115" s="2" t="s">
        <v>155</v>
      </c>
      <c r="D3115" s="2" t="s">
        <v>107</v>
      </c>
      <c r="E3115" s="2" t="s">
        <v>108</v>
      </c>
      <c r="F3115" s="3">
        <f t="shared" si="294"/>
        <v>45259</v>
      </c>
      <c r="G3115" s="4">
        <f t="shared" si="292"/>
        <v>11</v>
      </c>
      <c r="H3115" s="4">
        <f t="shared" si="291"/>
        <v>2023</v>
      </c>
      <c r="I3115" s="2" t="s">
        <v>4</v>
      </c>
      <c r="J3115" s="2" t="s">
        <v>3987</v>
      </c>
      <c r="K3115" s="2" t="s">
        <v>192</v>
      </c>
      <c r="L3115" s="2" t="s">
        <v>193</v>
      </c>
      <c r="M3115" s="2" t="s">
        <v>160</v>
      </c>
      <c r="N3115" s="4" t="str">
        <f t="shared" si="293"/>
        <v>GAL</v>
      </c>
      <c r="O3115" s="5">
        <v>500</v>
      </c>
    </row>
    <row r="3116" spans="2:15" x14ac:dyDescent="0.25">
      <c r="B3116" s="1" t="s">
        <v>154</v>
      </c>
      <c r="C3116" s="2" t="s">
        <v>155</v>
      </c>
      <c r="D3116" s="2" t="s">
        <v>628</v>
      </c>
      <c r="E3116" s="2" t="s">
        <v>629</v>
      </c>
      <c r="F3116" s="3">
        <f t="shared" si="294"/>
        <v>45259</v>
      </c>
      <c r="G3116" s="4">
        <f t="shared" si="292"/>
        <v>11</v>
      </c>
      <c r="H3116" s="4">
        <f t="shared" si="291"/>
        <v>2023</v>
      </c>
      <c r="I3116" s="2" t="s">
        <v>4</v>
      </c>
      <c r="J3116" s="2" t="s">
        <v>3988</v>
      </c>
      <c r="K3116" s="2" t="s">
        <v>631</v>
      </c>
      <c r="L3116" s="2" t="s">
        <v>632</v>
      </c>
      <c r="M3116" s="2" t="s">
        <v>633</v>
      </c>
      <c r="N3116" s="4" t="str">
        <f t="shared" si="293"/>
        <v>GAL</v>
      </c>
      <c r="O3116" s="5">
        <v>500</v>
      </c>
    </row>
    <row r="3117" spans="2:15" x14ac:dyDescent="0.25">
      <c r="B3117" s="1" t="s">
        <v>154</v>
      </c>
      <c r="C3117" s="2" t="s">
        <v>155</v>
      </c>
      <c r="D3117" s="2" t="s">
        <v>591</v>
      </c>
      <c r="E3117" s="2" t="s">
        <v>592</v>
      </c>
      <c r="F3117" s="3">
        <f>DATE(2023,11,30)</f>
        <v>45260</v>
      </c>
      <c r="G3117" s="4">
        <f t="shared" si="292"/>
        <v>11</v>
      </c>
      <c r="H3117" s="4">
        <f t="shared" si="291"/>
        <v>2023</v>
      </c>
      <c r="I3117" s="2" t="s">
        <v>4</v>
      </c>
      <c r="J3117" s="2" t="s">
        <v>3989</v>
      </c>
      <c r="K3117" s="2" t="s">
        <v>1098</v>
      </c>
      <c r="L3117" s="2" t="s">
        <v>632</v>
      </c>
      <c r="M3117" s="2" t="s">
        <v>633</v>
      </c>
      <c r="N3117" s="4" t="str">
        <f t="shared" si="293"/>
        <v>GAL</v>
      </c>
      <c r="O3117" s="5">
        <v>3974.72</v>
      </c>
    </row>
    <row r="3118" spans="2:15" x14ac:dyDescent="0.25">
      <c r="B3118" s="1" t="s">
        <v>154</v>
      </c>
      <c r="C3118" s="2" t="s">
        <v>155</v>
      </c>
      <c r="D3118" s="2" t="s">
        <v>3552</v>
      </c>
      <c r="E3118" s="2" t="s">
        <v>102</v>
      </c>
      <c r="F3118" s="3">
        <f>DATE(2023,11,30)</f>
        <v>45260</v>
      </c>
      <c r="G3118" s="4">
        <f t="shared" si="292"/>
        <v>11</v>
      </c>
      <c r="H3118" s="4">
        <f t="shared" si="291"/>
        <v>2023</v>
      </c>
      <c r="I3118" s="2" t="s">
        <v>4</v>
      </c>
      <c r="J3118" s="2" t="s">
        <v>3990</v>
      </c>
      <c r="K3118" s="2" t="s">
        <v>2447</v>
      </c>
      <c r="L3118" s="2" t="s">
        <v>547</v>
      </c>
      <c r="M3118" s="2" t="s">
        <v>160</v>
      </c>
      <c r="N3118" s="4" t="str">
        <f t="shared" si="293"/>
        <v>GAL</v>
      </c>
      <c r="O3118" s="5">
        <v>30</v>
      </c>
    </row>
    <row r="3119" spans="2:15" x14ac:dyDescent="0.25">
      <c r="B3119" s="1" t="s">
        <v>1520</v>
      </c>
      <c r="C3119" s="2" t="s">
        <v>196</v>
      </c>
      <c r="D3119" s="2" t="s">
        <v>3761</v>
      </c>
      <c r="E3119" s="2" t="s">
        <v>3762</v>
      </c>
      <c r="F3119" s="3">
        <f>DATE(2023,11,1)</f>
        <v>45231</v>
      </c>
      <c r="G3119" s="4">
        <f t="shared" si="292"/>
        <v>11</v>
      </c>
      <c r="H3119" s="4">
        <f t="shared" si="291"/>
        <v>2023</v>
      </c>
      <c r="I3119" s="2" t="s">
        <v>4</v>
      </c>
      <c r="J3119" s="2" t="s">
        <v>3991</v>
      </c>
      <c r="K3119" s="2" t="s">
        <v>205</v>
      </c>
      <c r="L3119" s="2" t="s">
        <v>206</v>
      </c>
      <c r="M3119" s="2" t="s">
        <v>119</v>
      </c>
      <c r="N3119" s="4" t="str">
        <f t="shared" si="293"/>
        <v>TON</v>
      </c>
      <c r="O3119" s="5">
        <v>7.5</v>
      </c>
    </row>
    <row r="3120" spans="2:15" x14ac:dyDescent="0.25">
      <c r="B3120" s="1" t="s">
        <v>1520</v>
      </c>
      <c r="C3120" s="2" t="s">
        <v>196</v>
      </c>
      <c r="D3120" s="2" t="s">
        <v>418</v>
      </c>
      <c r="E3120" s="2" t="s">
        <v>3992</v>
      </c>
      <c r="F3120" s="3">
        <f>DATE(2023,11,1)</f>
        <v>45231</v>
      </c>
      <c r="G3120" s="4">
        <f t="shared" si="292"/>
        <v>11</v>
      </c>
      <c r="H3120" s="4">
        <f t="shared" si="291"/>
        <v>2023</v>
      </c>
      <c r="I3120" s="2" t="s">
        <v>4</v>
      </c>
      <c r="J3120" s="2" t="s">
        <v>3993</v>
      </c>
      <c r="K3120" s="2" t="s">
        <v>334</v>
      </c>
      <c r="L3120" s="2" t="s">
        <v>335</v>
      </c>
      <c r="M3120" s="2" t="s">
        <v>119</v>
      </c>
      <c r="N3120" s="4" t="str">
        <f t="shared" si="293"/>
        <v>TON</v>
      </c>
      <c r="O3120" s="5">
        <v>5</v>
      </c>
    </row>
    <row r="3121" spans="2:15" x14ac:dyDescent="0.25">
      <c r="B3121" s="1" t="s">
        <v>1520</v>
      </c>
      <c r="C3121" s="2" t="s">
        <v>196</v>
      </c>
      <c r="D3121" s="2" t="s">
        <v>418</v>
      </c>
      <c r="E3121" s="2" t="s">
        <v>3992</v>
      </c>
      <c r="F3121" s="3">
        <f>DATE(2023,11,1)</f>
        <v>45231</v>
      </c>
      <c r="G3121" s="4">
        <f t="shared" si="292"/>
        <v>11</v>
      </c>
      <c r="H3121" s="4">
        <f t="shared" si="291"/>
        <v>2023</v>
      </c>
      <c r="I3121" s="2" t="s">
        <v>4</v>
      </c>
      <c r="J3121" s="2" t="s">
        <v>3994</v>
      </c>
      <c r="K3121" s="2" t="s">
        <v>205</v>
      </c>
      <c r="L3121" s="2" t="s">
        <v>206</v>
      </c>
      <c r="M3121" s="2" t="s">
        <v>119</v>
      </c>
      <c r="N3121" s="4" t="str">
        <f t="shared" si="293"/>
        <v>TON</v>
      </c>
      <c r="O3121" s="5">
        <v>6.5</v>
      </c>
    </row>
    <row r="3122" spans="2:15" x14ac:dyDescent="0.25">
      <c r="B3122" s="1" t="s">
        <v>1520</v>
      </c>
      <c r="C3122" s="2" t="s">
        <v>196</v>
      </c>
      <c r="D3122" s="2" t="s">
        <v>672</v>
      </c>
      <c r="E3122" s="2" t="s">
        <v>699</v>
      </c>
      <c r="F3122" s="3">
        <f t="shared" ref="F3122:F3133" si="295">DATE(2023,11,2)</f>
        <v>45232</v>
      </c>
      <c r="G3122" s="4">
        <f t="shared" si="292"/>
        <v>11</v>
      </c>
      <c r="H3122" s="4">
        <f t="shared" si="291"/>
        <v>2023</v>
      </c>
      <c r="I3122" s="2" t="s">
        <v>4</v>
      </c>
      <c r="J3122" s="2" t="s">
        <v>3995</v>
      </c>
      <c r="K3122" s="2" t="s">
        <v>251</v>
      </c>
      <c r="L3122" s="2" t="s">
        <v>252</v>
      </c>
      <c r="M3122" s="2" t="s">
        <v>119</v>
      </c>
      <c r="N3122" s="4" t="str">
        <f t="shared" si="293"/>
        <v>TON</v>
      </c>
      <c r="O3122" s="5">
        <v>10.535</v>
      </c>
    </row>
    <row r="3123" spans="2:15" x14ac:dyDescent="0.25">
      <c r="B3123" s="1" t="s">
        <v>1520</v>
      </c>
      <c r="C3123" s="2" t="s">
        <v>196</v>
      </c>
      <c r="D3123" s="2" t="s">
        <v>248</v>
      </c>
      <c r="E3123" s="2" t="s">
        <v>249</v>
      </c>
      <c r="F3123" s="3">
        <f t="shared" si="295"/>
        <v>45232</v>
      </c>
      <c r="G3123" s="4">
        <f t="shared" si="292"/>
        <v>11</v>
      </c>
      <c r="H3123" s="4">
        <f t="shared" si="291"/>
        <v>2023</v>
      </c>
      <c r="I3123" s="2" t="s">
        <v>4</v>
      </c>
      <c r="J3123" s="2" t="s">
        <v>3996</v>
      </c>
      <c r="K3123" s="2" t="s">
        <v>3606</v>
      </c>
      <c r="L3123" s="2" t="s">
        <v>3607</v>
      </c>
      <c r="M3123" s="2" t="s">
        <v>119</v>
      </c>
      <c r="N3123" s="4" t="str">
        <f t="shared" si="293"/>
        <v>TON</v>
      </c>
      <c r="O3123" s="5">
        <v>15</v>
      </c>
    </row>
    <row r="3124" spans="2:15" x14ac:dyDescent="0.25">
      <c r="B3124" s="1" t="s">
        <v>1520</v>
      </c>
      <c r="C3124" s="2" t="s">
        <v>196</v>
      </c>
      <c r="D3124" s="2" t="s">
        <v>374</v>
      </c>
      <c r="E3124" s="2" t="s">
        <v>424</v>
      </c>
      <c r="F3124" s="3">
        <f t="shared" si="295"/>
        <v>45232</v>
      </c>
      <c r="G3124" s="4">
        <f t="shared" si="292"/>
        <v>11</v>
      </c>
      <c r="H3124" s="4">
        <f t="shared" si="291"/>
        <v>2023</v>
      </c>
      <c r="I3124" s="2" t="s">
        <v>4</v>
      </c>
      <c r="J3124" s="2" t="s">
        <v>3997</v>
      </c>
      <c r="K3124" s="2" t="s">
        <v>329</v>
      </c>
      <c r="L3124" s="2" t="s">
        <v>330</v>
      </c>
      <c r="M3124" s="2" t="s">
        <v>119</v>
      </c>
      <c r="N3124" s="4" t="str">
        <f t="shared" si="293"/>
        <v>TON</v>
      </c>
      <c r="O3124" s="5">
        <v>12</v>
      </c>
    </row>
    <row r="3125" spans="2:15" x14ac:dyDescent="0.25">
      <c r="B3125" s="1" t="s">
        <v>1520</v>
      </c>
      <c r="C3125" s="2" t="s">
        <v>196</v>
      </c>
      <c r="D3125" s="2" t="s">
        <v>265</v>
      </c>
      <c r="E3125" s="2" t="s">
        <v>266</v>
      </c>
      <c r="F3125" s="3">
        <f t="shared" si="295"/>
        <v>45232</v>
      </c>
      <c r="G3125" s="4">
        <f t="shared" si="292"/>
        <v>11</v>
      </c>
      <c r="H3125" s="4">
        <f t="shared" si="291"/>
        <v>2023</v>
      </c>
      <c r="I3125" s="2" t="s">
        <v>4</v>
      </c>
      <c r="J3125" s="2" t="s">
        <v>3998</v>
      </c>
      <c r="K3125" s="2" t="s">
        <v>268</v>
      </c>
      <c r="L3125" s="2" t="s">
        <v>269</v>
      </c>
      <c r="M3125" s="2" t="s">
        <v>119</v>
      </c>
      <c r="N3125" s="4" t="str">
        <f t="shared" si="293"/>
        <v>TON</v>
      </c>
      <c r="O3125" s="5">
        <v>0.3</v>
      </c>
    </row>
    <row r="3126" spans="2:15" x14ac:dyDescent="0.25">
      <c r="B3126" s="1" t="s">
        <v>1520</v>
      </c>
      <c r="C3126" s="2" t="s">
        <v>196</v>
      </c>
      <c r="D3126" s="2" t="s">
        <v>294</v>
      </c>
      <c r="E3126" s="2" t="s">
        <v>295</v>
      </c>
      <c r="F3126" s="3">
        <f t="shared" si="295"/>
        <v>45232</v>
      </c>
      <c r="G3126" s="4">
        <f t="shared" si="292"/>
        <v>11</v>
      </c>
      <c r="H3126" s="4">
        <f t="shared" si="291"/>
        <v>2023</v>
      </c>
      <c r="I3126" s="2" t="s">
        <v>4</v>
      </c>
      <c r="J3126" s="2" t="s">
        <v>3999</v>
      </c>
      <c r="K3126" s="2" t="s">
        <v>122</v>
      </c>
      <c r="L3126" s="2" t="s">
        <v>123</v>
      </c>
      <c r="M3126" s="2" t="s">
        <v>119</v>
      </c>
      <c r="N3126" s="4" t="str">
        <f t="shared" si="293"/>
        <v>TON</v>
      </c>
      <c r="O3126" s="5">
        <v>7.5125000000000002</v>
      </c>
    </row>
    <row r="3127" spans="2:15" x14ac:dyDescent="0.25">
      <c r="B3127" s="1" t="s">
        <v>1520</v>
      </c>
      <c r="C3127" s="2" t="s">
        <v>196</v>
      </c>
      <c r="D3127" s="2" t="s">
        <v>221</v>
      </c>
      <c r="E3127" s="2" t="s">
        <v>332</v>
      </c>
      <c r="F3127" s="3">
        <f t="shared" si="295"/>
        <v>45232</v>
      </c>
      <c r="G3127" s="4">
        <f t="shared" si="292"/>
        <v>11</v>
      </c>
      <c r="H3127" s="4">
        <f t="shared" si="291"/>
        <v>2023</v>
      </c>
      <c r="I3127" s="2" t="s">
        <v>4</v>
      </c>
      <c r="J3127" s="2" t="s">
        <v>4000</v>
      </c>
      <c r="K3127" s="2" t="s">
        <v>205</v>
      </c>
      <c r="L3127" s="2" t="s">
        <v>206</v>
      </c>
      <c r="M3127" s="2" t="s">
        <v>119</v>
      </c>
      <c r="N3127" s="4" t="str">
        <f t="shared" si="293"/>
        <v>TON</v>
      </c>
      <c r="O3127" s="5">
        <v>4.4974999999999996</v>
      </c>
    </row>
    <row r="3128" spans="2:15" x14ac:dyDescent="0.25">
      <c r="B3128" s="1" t="s">
        <v>1520</v>
      </c>
      <c r="C3128" s="2" t="s">
        <v>196</v>
      </c>
      <c r="D3128" s="2" t="s">
        <v>276</v>
      </c>
      <c r="E3128" s="2" t="s">
        <v>692</v>
      </c>
      <c r="F3128" s="3">
        <f t="shared" si="295"/>
        <v>45232</v>
      </c>
      <c r="G3128" s="4">
        <f t="shared" si="292"/>
        <v>11</v>
      </c>
      <c r="H3128" s="4">
        <f t="shared" si="291"/>
        <v>2023</v>
      </c>
      <c r="I3128" s="2" t="s">
        <v>4</v>
      </c>
      <c r="J3128" s="2" t="s">
        <v>4001</v>
      </c>
      <c r="K3128" s="2" t="s">
        <v>329</v>
      </c>
      <c r="L3128" s="2" t="s">
        <v>330</v>
      </c>
      <c r="M3128" s="2" t="s">
        <v>119</v>
      </c>
      <c r="N3128" s="4" t="str">
        <f t="shared" si="293"/>
        <v>TON</v>
      </c>
      <c r="O3128" s="5">
        <v>15.03</v>
      </c>
    </row>
    <row r="3129" spans="2:15" x14ac:dyDescent="0.25">
      <c r="B3129" s="1" t="s">
        <v>1520</v>
      </c>
      <c r="C3129" s="2" t="s">
        <v>196</v>
      </c>
      <c r="D3129" s="2" t="s">
        <v>276</v>
      </c>
      <c r="E3129" s="2" t="s">
        <v>692</v>
      </c>
      <c r="F3129" s="3">
        <f t="shared" si="295"/>
        <v>45232</v>
      </c>
      <c r="G3129" s="4">
        <f t="shared" si="292"/>
        <v>11</v>
      </c>
      <c r="H3129" s="4">
        <f t="shared" si="291"/>
        <v>2023</v>
      </c>
      <c r="I3129" s="2" t="s">
        <v>4</v>
      </c>
      <c r="J3129" s="2" t="s">
        <v>4001</v>
      </c>
      <c r="K3129" s="2" t="s">
        <v>3726</v>
      </c>
      <c r="L3129" s="2" t="s">
        <v>3727</v>
      </c>
      <c r="M3129" s="2" t="s">
        <v>145</v>
      </c>
      <c r="N3129" s="4" t="str">
        <f t="shared" si="293"/>
        <v>GAL</v>
      </c>
      <c r="O3129" s="5">
        <v>5.625</v>
      </c>
    </row>
    <row r="3130" spans="2:15" x14ac:dyDescent="0.25">
      <c r="B3130" s="1" t="s">
        <v>1520</v>
      </c>
      <c r="C3130" s="2" t="s">
        <v>196</v>
      </c>
      <c r="D3130" s="2" t="s">
        <v>387</v>
      </c>
      <c r="E3130" s="2" t="s">
        <v>797</v>
      </c>
      <c r="F3130" s="3">
        <f t="shared" si="295"/>
        <v>45232</v>
      </c>
      <c r="G3130" s="4">
        <f t="shared" si="292"/>
        <v>11</v>
      </c>
      <c r="H3130" s="4">
        <f t="shared" si="291"/>
        <v>2023</v>
      </c>
      <c r="I3130" s="2" t="s">
        <v>4</v>
      </c>
      <c r="J3130" s="2" t="s">
        <v>4002</v>
      </c>
      <c r="K3130" s="2" t="s">
        <v>422</v>
      </c>
      <c r="L3130" s="2" t="s">
        <v>423</v>
      </c>
      <c r="M3130" s="2" t="s">
        <v>119</v>
      </c>
      <c r="N3130" s="4" t="str">
        <f t="shared" si="293"/>
        <v>TON</v>
      </c>
      <c r="O3130" s="5">
        <v>15.03</v>
      </c>
    </row>
    <row r="3131" spans="2:15" x14ac:dyDescent="0.25">
      <c r="B3131" s="1" t="s">
        <v>1520</v>
      </c>
      <c r="C3131" s="2" t="s">
        <v>196</v>
      </c>
      <c r="D3131" s="2" t="s">
        <v>280</v>
      </c>
      <c r="E3131" s="2" t="s">
        <v>371</v>
      </c>
      <c r="F3131" s="3">
        <f t="shared" si="295"/>
        <v>45232</v>
      </c>
      <c r="G3131" s="4">
        <f t="shared" si="292"/>
        <v>11</v>
      </c>
      <c r="H3131" s="4">
        <f t="shared" ref="H3131:H3194" si="296">+YEAR(F3131)</f>
        <v>2023</v>
      </c>
      <c r="I3131" s="2" t="s">
        <v>4</v>
      </c>
      <c r="J3131" s="2" t="s">
        <v>4003</v>
      </c>
      <c r="K3131" s="2" t="s">
        <v>117</v>
      </c>
      <c r="L3131" s="2" t="s">
        <v>118</v>
      </c>
      <c r="M3131" s="2" t="s">
        <v>119</v>
      </c>
      <c r="N3131" s="4" t="str">
        <f t="shared" si="293"/>
        <v>TON</v>
      </c>
      <c r="O3131" s="5">
        <v>4.5049999999999999</v>
      </c>
    </row>
    <row r="3132" spans="2:15" x14ac:dyDescent="0.25">
      <c r="B3132" s="1" t="s">
        <v>1520</v>
      </c>
      <c r="C3132" s="2" t="s">
        <v>196</v>
      </c>
      <c r="D3132" s="2" t="s">
        <v>114</v>
      </c>
      <c r="E3132" s="2" t="s">
        <v>274</v>
      </c>
      <c r="F3132" s="3">
        <f t="shared" si="295"/>
        <v>45232</v>
      </c>
      <c r="G3132" s="4">
        <f t="shared" si="292"/>
        <v>11</v>
      </c>
      <c r="H3132" s="4">
        <f t="shared" si="296"/>
        <v>2023</v>
      </c>
      <c r="I3132" s="2" t="s">
        <v>4</v>
      </c>
      <c r="J3132" s="2" t="s">
        <v>4004</v>
      </c>
      <c r="K3132" s="2" t="s">
        <v>117</v>
      </c>
      <c r="L3132" s="2" t="s">
        <v>118</v>
      </c>
      <c r="M3132" s="2" t="s">
        <v>119</v>
      </c>
      <c r="N3132" s="4" t="str">
        <f t="shared" si="293"/>
        <v>TON</v>
      </c>
      <c r="O3132" s="5">
        <v>4.76</v>
      </c>
    </row>
    <row r="3133" spans="2:15" x14ac:dyDescent="0.25">
      <c r="B3133" s="1" t="s">
        <v>1520</v>
      </c>
      <c r="C3133" s="2" t="s">
        <v>196</v>
      </c>
      <c r="D3133" s="2" t="s">
        <v>280</v>
      </c>
      <c r="E3133" s="2" t="s">
        <v>464</v>
      </c>
      <c r="F3133" s="3">
        <f t="shared" si="295"/>
        <v>45232</v>
      </c>
      <c r="G3133" s="4">
        <f t="shared" si="292"/>
        <v>11</v>
      </c>
      <c r="H3133" s="4">
        <f t="shared" si="296"/>
        <v>2023</v>
      </c>
      <c r="I3133" s="2" t="s">
        <v>4</v>
      </c>
      <c r="J3133" s="2" t="s">
        <v>4005</v>
      </c>
      <c r="K3133" s="2" t="s">
        <v>117</v>
      </c>
      <c r="L3133" s="2" t="s">
        <v>118</v>
      </c>
      <c r="M3133" s="2" t="s">
        <v>119</v>
      </c>
      <c r="N3133" s="4" t="str">
        <f t="shared" si="293"/>
        <v>TON</v>
      </c>
      <c r="O3133" s="5">
        <v>13.512499999999999</v>
      </c>
    </row>
    <row r="3134" spans="2:15" x14ac:dyDescent="0.25">
      <c r="B3134" s="1" t="s">
        <v>1520</v>
      </c>
      <c r="C3134" s="2" t="s">
        <v>196</v>
      </c>
      <c r="D3134" s="2" t="s">
        <v>475</v>
      </c>
      <c r="E3134" s="2" t="s">
        <v>476</v>
      </c>
      <c r="F3134" s="3">
        <f t="shared" ref="F3134:F3140" si="297">DATE(2023,11,3)</f>
        <v>45233</v>
      </c>
      <c r="G3134" s="4">
        <f t="shared" si="292"/>
        <v>11</v>
      </c>
      <c r="H3134" s="4">
        <f t="shared" si="296"/>
        <v>2023</v>
      </c>
      <c r="I3134" s="2" t="s">
        <v>4</v>
      </c>
      <c r="J3134" s="2" t="s">
        <v>4006</v>
      </c>
      <c r="K3134" s="2" t="s">
        <v>478</v>
      </c>
      <c r="L3134" s="2" t="s">
        <v>479</v>
      </c>
      <c r="M3134" s="2" t="s">
        <v>119</v>
      </c>
      <c r="N3134" s="4" t="str">
        <f t="shared" si="293"/>
        <v>TON</v>
      </c>
      <c r="O3134" s="5">
        <v>15.06</v>
      </c>
    </row>
    <row r="3135" spans="2:15" x14ac:dyDescent="0.25">
      <c r="B3135" s="1" t="s">
        <v>1520</v>
      </c>
      <c r="C3135" s="2" t="s">
        <v>196</v>
      </c>
      <c r="D3135" s="2" t="s">
        <v>299</v>
      </c>
      <c r="E3135" s="2" t="s">
        <v>713</v>
      </c>
      <c r="F3135" s="3">
        <f t="shared" si="297"/>
        <v>45233</v>
      </c>
      <c r="G3135" s="4">
        <f t="shared" si="292"/>
        <v>11</v>
      </c>
      <c r="H3135" s="4">
        <f t="shared" si="296"/>
        <v>2023</v>
      </c>
      <c r="I3135" s="2" t="s">
        <v>4</v>
      </c>
      <c r="J3135" s="2" t="s">
        <v>4007</v>
      </c>
      <c r="K3135" s="2" t="s">
        <v>117</v>
      </c>
      <c r="L3135" s="2" t="s">
        <v>118</v>
      </c>
      <c r="M3135" s="2" t="s">
        <v>119</v>
      </c>
      <c r="N3135" s="4" t="str">
        <f t="shared" si="293"/>
        <v>TON</v>
      </c>
      <c r="O3135" s="5">
        <v>14.994999999999999</v>
      </c>
    </row>
    <row r="3136" spans="2:15" x14ac:dyDescent="0.25">
      <c r="B3136" s="1" t="s">
        <v>1520</v>
      </c>
      <c r="C3136" s="2" t="s">
        <v>196</v>
      </c>
      <c r="D3136" s="2" t="s">
        <v>227</v>
      </c>
      <c r="E3136" s="2" t="s">
        <v>757</v>
      </c>
      <c r="F3136" s="3">
        <f t="shared" si="297"/>
        <v>45233</v>
      </c>
      <c r="G3136" s="4">
        <f t="shared" si="292"/>
        <v>11</v>
      </c>
      <c r="H3136" s="4">
        <f t="shared" si="296"/>
        <v>2023</v>
      </c>
      <c r="I3136" s="2" t="s">
        <v>4</v>
      </c>
      <c r="J3136" s="2" t="s">
        <v>4008</v>
      </c>
      <c r="K3136" s="2" t="s">
        <v>122</v>
      </c>
      <c r="L3136" s="2" t="s">
        <v>123</v>
      </c>
      <c r="M3136" s="2" t="s">
        <v>119</v>
      </c>
      <c r="N3136" s="4" t="str">
        <f t="shared" si="293"/>
        <v>TON</v>
      </c>
      <c r="O3136" s="5">
        <v>7.5049999999999999</v>
      </c>
    </row>
    <row r="3137" spans="2:15" x14ac:dyDescent="0.25">
      <c r="B3137" s="1" t="s">
        <v>1520</v>
      </c>
      <c r="C3137" s="2" t="s">
        <v>196</v>
      </c>
      <c r="D3137" s="2" t="s">
        <v>669</v>
      </c>
      <c r="E3137" s="2" t="s">
        <v>56</v>
      </c>
      <c r="F3137" s="3">
        <f t="shared" si="297"/>
        <v>45233</v>
      </c>
      <c r="G3137" s="4">
        <f t="shared" si="292"/>
        <v>11</v>
      </c>
      <c r="H3137" s="4">
        <f t="shared" si="296"/>
        <v>2023</v>
      </c>
      <c r="I3137" s="2" t="s">
        <v>4</v>
      </c>
      <c r="J3137" s="2" t="s">
        <v>4009</v>
      </c>
      <c r="K3137" s="2" t="s">
        <v>384</v>
      </c>
      <c r="L3137" s="2" t="s">
        <v>385</v>
      </c>
      <c r="M3137" s="2" t="s">
        <v>119</v>
      </c>
      <c r="N3137" s="4" t="str">
        <f t="shared" si="293"/>
        <v>TON</v>
      </c>
      <c r="O3137" s="5">
        <v>2.99</v>
      </c>
    </row>
    <row r="3138" spans="2:15" x14ac:dyDescent="0.25">
      <c r="B3138" s="1" t="s">
        <v>1520</v>
      </c>
      <c r="C3138" s="2" t="s">
        <v>196</v>
      </c>
      <c r="D3138" s="2" t="s">
        <v>299</v>
      </c>
      <c r="E3138" s="2" t="s">
        <v>300</v>
      </c>
      <c r="F3138" s="3">
        <f t="shared" si="297"/>
        <v>45233</v>
      </c>
      <c r="G3138" s="4">
        <f t="shared" si="292"/>
        <v>11</v>
      </c>
      <c r="H3138" s="4">
        <f t="shared" si="296"/>
        <v>2023</v>
      </c>
      <c r="I3138" s="2" t="s">
        <v>4</v>
      </c>
      <c r="J3138" s="2" t="s">
        <v>4010</v>
      </c>
      <c r="K3138" s="2" t="s">
        <v>117</v>
      </c>
      <c r="L3138" s="2" t="s">
        <v>118</v>
      </c>
      <c r="M3138" s="2" t="s">
        <v>119</v>
      </c>
      <c r="N3138" s="4" t="str">
        <f t="shared" si="293"/>
        <v>TON</v>
      </c>
      <c r="O3138" s="5">
        <v>7.51</v>
      </c>
    </row>
    <row r="3139" spans="2:15" x14ac:dyDescent="0.25">
      <c r="B3139" s="1" t="s">
        <v>1520</v>
      </c>
      <c r="C3139" s="2" t="s">
        <v>196</v>
      </c>
      <c r="D3139" s="2" t="s">
        <v>800</v>
      </c>
      <c r="E3139" s="2" t="s">
        <v>911</v>
      </c>
      <c r="F3139" s="3">
        <f t="shared" si="297"/>
        <v>45233</v>
      </c>
      <c r="G3139" s="4">
        <f t="shared" ref="G3139:G3202" si="298">+MONTH(F3139)</f>
        <v>11</v>
      </c>
      <c r="H3139" s="4">
        <f t="shared" si="296"/>
        <v>2023</v>
      </c>
      <c r="I3139" s="2" t="s">
        <v>4</v>
      </c>
      <c r="J3139" s="2" t="s">
        <v>4011</v>
      </c>
      <c r="K3139" s="2" t="s">
        <v>329</v>
      </c>
      <c r="L3139" s="2" t="s">
        <v>330</v>
      </c>
      <c r="M3139" s="2" t="s">
        <v>119</v>
      </c>
      <c r="N3139" s="4" t="str">
        <f t="shared" ref="N3139:N3202" si="299">+LEFT(M3139,3)</f>
        <v>TON</v>
      </c>
      <c r="O3139" s="5">
        <v>1.2575000000000001</v>
      </c>
    </row>
    <row r="3140" spans="2:15" x14ac:dyDescent="0.25">
      <c r="B3140" s="1" t="s">
        <v>1520</v>
      </c>
      <c r="C3140" s="2" t="s">
        <v>196</v>
      </c>
      <c r="D3140" s="2" t="s">
        <v>120</v>
      </c>
      <c r="E3140" s="2" t="s">
        <v>102</v>
      </c>
      <c r="F3140" s="3">
        <f t="shared" si="297"/>
        <v>45233</v>
      </c>
      <c r="G3140" s="4">
        <f t="shared" si="298"/>
        <v>11</v>
      </c>
      <c r="H3140" s="4">
        <f t="shared" si="296"/>
        <v>2023</v>
      </c>
      <c r="I3140" s="2" t="s">
        <v>4</v>
      </c>
      <c r="J3140" s="2" t="s">
        <v>4012</v>
      </c>
      <c r="K3140" s="2" t="s">
        <v>329</v>
      </c>
      <c r="L3140" s="2" t="s">
        <v>330</v>
      </c>
      <c r="M3140" s="2" t="s">
        <v>119</v>
      </c>
      <c r="N3140" s="4" t="str">
        <f t="shared" si="299"/>
        <v>TON</v>
      </c>
      <c r="O3140" s="5">
        <v>0.49249999999999999</v>
      </c>
    </row>
    <row r="3141" spans="2:15" x14ac:dyDescent="0.25">
      <c r="B3141" s="1" t="s">
        <v>1520</v>
      </c>
      <c r="C3141" s="2" t="s">
        <v>196</v>
      </c>
      <c r="D3141" s="2" t="s">
        <v>4013</v>
      </c>
      <c r="E3141" s="2" t="s">
        <v>102</v>
      </c>
      <c r="F3141" s="3">
        <f>DATE(2023,11,6)</f>
        <v>45236</v>
      </c>
      <c r="G3141" s="4">
        <f t="shared" si="298"/>
        <v>11</v>
      </c>
      <c r="H3141" s="4">
        <f t="shared" si="296"/>
        <v>2023</v>
      </c>
      <c r="I3141" s="2" t="s">
        <v>4</v>
      </c>
      <c r="J3141" s="2" t="s">
        <v>4014</v>
      </c>
      <c r="K3141" s="2" t="s">
        <v>268</v>
      </c>
      <c r="L3141" s="2" t="s">
        <v>269</v>
      </c>
      <c r="M3141" s="2" t="s">
        <v>119</v>
      </c>
      <c r="N3141" s="4" t="str">
        <f t="shared" si="299"/>
        <v>TON</v>
      </c>
      <c r="O3141" s="5">
        <v>0.15</v>
      </c>
    </row>
    <row r="3142" spans="2:15" x14ac:dyDescent="0.25">
      <c r="B3142" s="1" t="s">
        <v>1520</v>
      </c>
      <c r="C3142" s="2" t="s">
        <v>196</v>
      </c>
      <c r="D3142" s="2" t="s">
        <v>114</v>
      </c>
      <c r="E3142" s="2" t="s">
        <v>369</v>
      </c>
      <c r="F3142" s="3">
        <f>DATE(2023,11,5)</f>
        <v>45235</v>
      </c>
      <c r="G3142" s="4">
        <f t="shared" si="298"/>
        <v>11</v>
      </c>
      <c r="H3142" s="4">
        <f t="shared" si="296"/>
        <v>2023</v>
      </c>
      <c r="I3142" s="2" t="s">
        <v>4</v>
      </c>
      <c r="J3142" s="2" t="s">
        <v>4015</v>
      </c>
      <c r="K3142" s="2" t="s">
        <v>117</v>
      </c>
      <c r="L3142" s="2" t="s">
        <v>118</v>
      </c>
      <c r="M3142" s="2" t="s">
        <v>119</v>
      </c>
      <c r="N3142" s="4" t="str">
        <f t="shared" si="299"/>
        <v>TON</v>
      </c>
      <c r="O3142" s="5">
        <v>12.5</v>
      </c>
    </row>
    <row r="3143" spans="2:15" x14ac:dyDescent="0.25">
      <c r="B3143" s="1" t="s">
        <v>1520</v>
      </c>
      <c r="C3143" s="2" t="s">
        <v>196</v>
      </c>
      <c r="D3143" s="2" t="s">
        <v>114</v>
      </c>
      <c r="E3143" s="2" t="s">
        <v>115</v>
      </c>
      <c r="F3143" s="3">
        <f>DATE(2023,11,5)</f>
        <v>45235</v>
      </c>
      <c r="G3143" s="4">
        <f t="shared" si="298"/>
        <v>11</v>
      </c>
      <c r="H3143" s="4">
        <f t="shared" si="296"/>
        <v>2023</v>
      </c>
      <c r="I3143" s="2" t="s">
        <v>4</v>
      </c>
      <c r="J3143" s="2" t="s">
        <v>4016</v>
      </c>
      <c r="K3143" s="2" t="s">
        <v>117</v>
      </c>
      <c r="L3143" s="2" t="s">
        <v>118</v>
      </c>
      <c r="M3143" s="2" t="s">
        <v>119</v>
      </c>
      <c r="N3143" s="4" t="str">
        <f t="shared" si="299"/>
        <v>TON</v>
      </c>
      <c r="O3143" s="5">
        <v>2.5</v>
      </c>
    </row>
    <row r="3144" spans="2:15" x14ac:dyDescent="0.25">
      <c r="B3144" s="1" t="s">
        <v>1520</v>
      </c>
      <c r="C3144" s="2" t="s">
        <v>196</v>
      </c>
      <c r="D3144" s="2" t="s">
        <v>679</v>
      </c>
      <c r="E3144" s="2" t="s">
        <v>359</v>
      </c>
      <c r="F3144" s="3">
        <f>DATE(2023,11,5)</f>
        <v>45235</v>
      </c>
      <c r="G3144" s="4">
        <f t="shared" si="298"/>
        <v>11</v>
      </c>
      <c r="H3144" s="4">
        <f t="shared" si="296"/>
        <v>2023</v>
      </c>
      <c r="I3144" s="2" t="s">
        <v>4</v>
      </c>
      <c r="J3144" s="2" t="s">
        <v>4017</v>
      </c>
      <c r="K3144" s="2" t="s">
        <v>122</v>
      </c>
      <c r="L3144" s="2" t="s">
        <v>123</v>
      </c>
      <c r="M3144" s="2" t="s">
        <v>119</v>
      </c>
      <c r="N3144" s="4" t="str">
        <f t="shared" si="299"/>
        <v>TON</v>
      </c>
      <c r="O3144" s="5">
        <v>2</v>
      </c>
    </row>
    <row r="3145" spans="2:15" x14ac:dyDescent="0.25">
      <c r="B3145" s="1" t="s">
        <v>1520</v>
      </c>
      <c r="C3145" s="2" t="s">
        <v>196</v>
      </c>
      <c r="D3145" s="2" t="s">
        <v>215</v>
      </c>
      <c r="E3145" s="2" t="s">
        <v>313</v>
      </c>
      <c r="F3145" s="3">
        <f>DATE(2023,11,5)</f>
        <v>45235</v>
      </c>
      <c r="G3145" s="4">
        <f t="shared" si="298"/>
        <v>11</v>
      </c>
      <c r="H3145" s="4">
        <f t="shared" si="296"/>
        <v>2023</v>
      </c>
      <c r="I3145" s="2" t="s">
        <v>4</v>
      </c>
      <c r="J3145" s="2" t="s">
        <v>4018</v>
      </c>
      <c r="K3145" s="2" t="s">
        <v>205</v>
      </c>
      <c r="L3145" s="2" t="s">
        <v>206</v>
      </c>
      <c r="M3145" s="2" t="s">
        <v>119</v>
      </c>
      <c r="N3145" s="4" t="str">
        <f t="shared" si="299"/>
        <v>TON</v>
      </c>
      <c r="O3145" s="5">
        <v>3.75</v>
      </c>
    </row>
    <row r="3146" spans="2:15" x14ac:dyDescent="0.25">
      <c r="B3146" s="1" t="s">
        <v>1520</v>
      </c>
      <c r="C3146" s="2" t="s">
        <v>196</v>
      </c>
      <c r="D3146" s="2" t="s">
        <v>276</v>
      </c>
      <c r="E3146" s="2" t="s">
        <v>682</v>
      </c>
      <c r="F3146" s="3">
        <f>DATE(2023,11,5)</f>
        <v>45235</v>
      </c>
      <c r="G3146" s="4">
        <f t="shared" si="298"/>
        <v>11</v>
      </c>
      <c r="H3146" s="4">
        <f t="shared" si="296"/>
        <v>2023</v>
      </c>
      <c r="I3146" s="2" t="s">
        <v>4</v>
      </c>
      <c r="J3146" s="2" t="s">
        <v>4019</v>
      </c>
      <c r="K3146" s="2" t="s">
        <v>329</v>
      </c>
      <c r="L3146" s="2" t="s">
        <v>330</v>
      </c>
      <c r="M3146" s="2" t="s">
        <v>119</v>
      </c>
      <c r="N3146" s="4" t="str">
        <f t="shared" si="299"/>
        <v>TON</v>
      </c>
      <c r="O3146" s="5">
        <v>10.01</v>
      </c>
    </row>
    <row r="3147" spans="2:15" x14ac:dyDescent="0.25">
      <c r="B3147" s="1" t="s">
        <v>1520</v>
      </c>
      <c r="C3147" s="2" t="s">
        <v>196</v>
      </c>
      <c r="D3147" s="2" t="s">
        <v>299</v>
      </c>
      <c r="E3147" s="2" t="s">
        <v>1140</v>
      </c>
      <c r="F3147" s="3">
        <f t="shared" ref="F3147:F3156" si="300">DATE(2023,11,6)</f>
        <v>45236</v>
      </c>
      <c r="G3147" s="4">
        <f t="shared" si="298"/>
        <v>11</v>
      </c>
      <c r="H3147" s="4">
        <f t="shared" si="296"/>
        <v>2023</v>
      </c>
      <c r="I3147" s="2" t="s">
        <v>4</v>
      </c>
      <c r="J3147" s="2" t="s">
        <v>4020</v>
      </c>
      <c r="K3147" s="2" t="s">
        <v>117</v>
      </c>
      <c r="L3147" s="2" t="s">
        <v>118</v>
      </c>
      <c r="M3147" s="2" t="s">
        <v>119</v>
      </c>
      <c r="N3147" s="4" t="str">
        <f t="shared" si="299"/>
        <v>TON</v>
      </c>
      <c r="O3147" s="5">
        <v>15.03</v>
      </c>
    </row>
    <row r="3148" spans="2:15" x14ac:dyDescent="0.25">
      <c r="B3148" s="1" t="s">
        <v>1520</v>
      </c>
      <c r="C3148" s="2" t="s">
        <v>196</v>
      </c>
      <c r="D3148" s="2" t="s">
        <v>660</v>
      </c>
      <c r="E3148" s="2" t="s">
        <v>661</v>
      </c>
      <c r="F3148" s="3">
        <f t="shared" si="300"/>
        <v>45236</v>
      </c>
      <c r="G3148" s="4">
        <f t="shared" si="298"/>
        <v>11</v>
      </c>
      <c r="H3148" s="4">
        <f t="shared" si="296"/>
        <v>2023</v>
      </c>
      <c r="I3148" s="2" t="s">
        <v>4</v>
      </c>
      <c r="J3148" s="2" t="s">
        <v>4021</v>
      </c>
      <c r="K3148" s="2" t="s">
        <v>329</v>
      </c>
      <c r="L3148" s="2" t="s">
        <v>330</v>
      </c>
      <c r="M3148" s="2" t="s">
        <v>119</v>
      </c>
      <c r="N3148" s="4" t="str">
        <f t="shared" si="299"/>
        <v>TON</v>
      </c>
      <c r="O3148" s="5">
        <v>2</v>
      </c>
    </row>
    <row r="3149" spans="2:15" x14ac:dyDescent="0.25">
      <c r="B3149" s="1" t="s">
        <v>1520</v>
      </c>
      <c r="C3149" s="2" t="s">
        <v>196</v>
      </c>
      <c r="D3149" s="2" t="s">
        <v>299</v>
      </c>
      <c r="E3149" s="2" t="s">
        <v>398</v>
      </c>
      <c r="F3149" s="3">
        <f t="shared" si="300"/>
        <v>45236</v>
      </c>
      <c r="G3149" s="4">
        <f t="shared" si="298"/>
        <v>11</v>
      </c>
      <c r="H3149" s="4">
        <f t="shared" si="296"/>
        <v>2023</v>
      </c>
      <c r="I3149" s="2" t="s">
        <v>4</v>
      </c>
      <c r="J3149" s="2" t="s">
        <v>4022</v>
      </c>
      <c r="K3149" s="2" t="s">
        <v>117</v>
      </c>
      <c r="L3149" s="2" t="s">
        <v>118</v>
      </c>
      <c r="M3149" s="2" t="s">
        <v>119</v>
      </c>
      <c r="N3149" s="4" t="str">
        <f t="shared" si="299"/>
        <v>TON</v>
      </c>
      <c r="O3149" s="5">
        <v>6</v>
      </c>
    </row>
    <row r="3150" spans="2:15" x14ac:dyDescent="0.25">
      <c r="B3150" s="1" t="s">
        <v>1520</v>
      </c>
      <c r="C3150" s="2" t="s">
        <v>196</v>
      </c>
      <c r="D3150" s="2" t="s">
        <v>660</v>
      </c>
      <c r="E3150" s="2" t="s">
        <v>4023</v>
      </c>
      <c r="F3150" s="3">
        <f t="shared" si="300"/>
        <v>45236</v>
      </c>
      <c r="G3150" s="4">
        <f t="shared" si="298"/>
        <v>11</v>
      </c>
      <c r="H3150" s="4">
        <f t="shared" si="296"/>
        <v>2023</v>
      </c>
      <c r="I3150" s="2" t="s">
        <v>4</v>
      </c>
      <c r="J3150" s="2" t="s">
        <v>4024</v>
      </c>
      <c r="K3150" s="2" t="s">
        <v>122</v>
      </c>
      <c r="L3150" s="2" t="s">
        <v>123</v>
      </c>
      <c r="M3150" s="2" t="s">
        <v>119</v>
      </c>
      <c r="N3150" s="4" t="str">
        <f t="shared" si="299"/>
        <v>TON</v>
      </c>
      <c r="O3150" s="5">
        <v>2</v>
      </c>
    </row>
    <row r="3151" spans="2:15" x14ac:dyDescent="0.25">
      <c r="B3151" s="1" t="s">
        <v>1520</v>
      </c>
      <c r="C3151" s="2" t="s">
        <v>196</v>
      </c>
      <c r="D3151" s="2" t="s">
        <v>276</v>
      </c>
      <c r="E3151" s="2" t="s">
        <v>878</v>
      </c>
      <c r="F3151" s="3">
        <f t="shared" si="300"/>
        <v>45236</v>
      </c>
      <c r="G3151" s="4">
        <f t="shared" si="298"/>
        <v>11</v>
      </c>
      <c r="H3151" s="4">
        <f t="shared" si="296"/>
        <v>2023</v>
      </c>
      <c r="I3151" s="2" t="s">
        <v>4</v>
      </c>
      <c r="J3151" s="2" t="s">
        <v>4025</v>
      </c>
      <c r="K3151" s="2" t="s">
        <v>329</v>
      </c>
      <c r="L3151" s="2" t="s">
        <v>330</v>
      </c>
      <c r="M3151" s="2" t="s">
        <v>119</v>
      </c>
      <c r="N3151" s="4" t="str">
        <f t="shared" si="299"/>
        <v>TON</v>
      </c>
      <c r="O3151" s="5">
        <v>14.0025</v>
      </c>
    </row>
    <row r="3152" spans="2:15" x14ac:dyDescent="0.25">
      <c r="B3152" s="1" t="s">
        <v>645</v>
      </c>
      <c r="C3152" s="2" t="s">
        <v>196</v>
      </c>
      <c r="D3152" s="2" t="s">
        <v>888</v>
      </c>
      <c r="E3152" s="2" t="s">
        <v>888</v>
      </c>
      <c r="F3152" s="3">
        <f t="shared" si="300"/>
        <v>45236</v>
      </c>
      <c r="G3152" s="4">
        <f t="shared" si="298"/>
        <v>11</v>
      </c>
      <c r="H3152" s="4">
        <f t="shared" si="296"/>
        <v>2023</v>
      </c>
      <c r="I3152" s="2" t="s">
        <v>4</v>
      </c>
      <c r="J3152" s="2" t="s">
        <v>4026</v>
      </c>
      <c r="K3152" s="2" t="s">
        <v>1239</v>
      </c>
      <c r="L3152" s="2" t="s">
        <v>916</v>
      </c>
      <c r="M3152" s="2" t="s">
        <v>917</v>
      </c>
      <c r="N3152" s="4" t="str">
        <f t="shared" si="299"/>
        <v>GAL</v>
      </c>
      <c r="O3152" s="5">
        <v>5</v>
      </c>
    </row>
    <row r="3153" spans="2:15" x14ac:dyDescent="0.25">
      <c r="B3153" s="1" t="s">
        <v>1520</v>
      </c>
      <c r="C3153" s="2" t="s">
        <v>196</v>
      </c>
      <c r="D3153" s="2" t="s">
        <v>114</v>
      </c>
      <c r="E3153" s="2" t="s">
        <v>927</v>
      </c>
      <c r="F3153" s="3">
        <f t="shared" si="300"/>
        <v>45236</v>
      </c>
      <c r="G3153" s="4">
        <f t="shared" si="298"/>
        <v>11</v>
      </c>
      <c r="H3153" s="4">
        <f t="shared" si="296"/>
        <v>2023</v>
      </c>
      <c r="I3153" s="2" t="s">
        <v>4</v>
      </c>
      <c r="J3153" s="2" t="s">
        <v>4027</v>
      </c>
      <c r="K3153" s="2" t="s">
        <v>117</v>
      </c>
      <c r="L3153" s="2" t="s">
        <v>118</v>
      </c>
      <c r="M3153" s="2" t="s">
        <v>119</v>
      </c>
      <c r="N3153" s="4" t="str">
        <f t="shared" si="299"/>
        <v>TON</v>
      </c>
      <c r="O3153" s="5">
        <v>4.5</v>
      </c>
    </row>
    <row r="3154" spans="2:15" x14ac:dyDescent="0.25">
      <c r="B3154" s="1" t="s">
        <v>1520</v>
      </c>
      <c r="C3154" s="2" t="s">
        <v>196</v>
      </c>
      <c r="D3154" s="2" t="s">
        <v>270</v>
      </c>
      <c r="E3154" s="2" t="s">
        <v>699</v>
      </c>
      <c r="F3154" s="3">
        <f t="shared" si="300"/>
        <v>45236</v>
      </c>
      <c r="G3154" s="4">
        <f t="shared" si="298"/>
        <v>11</v>
      </c>
      <c r="H3154" s="4">
        <f t="shared" si="296"/>
        <v>2023</v>
      </c>
      <c r="I3154" s="2" t="s">
        <v>4</v>
      </c>
      <c r="J3154" s="2" t="s">
        <v>4028</v>
      </c>
      <c r="K3154" s="2" t="s">
        <v>205</v>
      </c>
      <c r="L3154" s="2" t="s">
        <v>206</v>
      </c>
      <c r="M3154" s="2" t="s">
        <v>119</v>
      </c>
      <c r="N3154" s="4" t="str">
        <f t="shared" si="299"/>
        <v>TON</v>
      </c>
      <c r="O3154" s="5">
        <v>1.25</v>
      </c>
    </row>
    <row r="3155" spans="2:15" x14ac:dyDescent="0.25">
      <c r="B3155" s="1" t="s">
        <v>1520</v>
      </c>
      <c r="C3155" s="2" t="s">
        <v>196</v>
      </c>
      <c r="D3155" s="2" t="s">
        <v>452</v>
      </c>
      <c r="E3155" s="2" t="s">
        <v>1167</v>
      </c>
      <c r="F3155" s="3">
        <f t="shared" si="300"/>
        <v>45236</v>
      </c>
      <c r="G3155" s="4">
        <f t="shared" si="298"/>
        <v>11</v>
      </c>
      <c r="H3155" s="4">
        <f t="shared" si="296"/>
        <v>2023</v>
      </c>
      <c r="I3155" s="2" t="s">
        <v>4</v>
      </c>
      <c r="J3155" s="2" t="s">
        <v>4029</v>
      </c>
      <c r="K3155" s="2" t="s">
        <v>205</v>
      </c>
      <c r="L3155" s="2" t="s">
        <v>206</v>
      </c>
      <c r="M3155" s="2" t="s">
        <v>119</v>
      </c>
      <c r="N3155" s="4" t="str">
        <f t="shared" si="299"/>
        <v>TON</v>
      </c>
      <c r="O3155" s="5">
        <v>9.75</v>
      </c>
    </row>
    <row r="3156" spans="2:15" x14ac:dyDescent="0.25">
      <c r="B3156" s="1" t="s">
        <v>1520</v>
      </c>
      <c r="C3156" s="2" t="s">
        <v>196</v>
      </c>
      <c r="D3156" s="2" t="s">
        <v>280</v>
      </c>
      <c r="E3156" s="2" t="s">
        <v>254</v>
      </c>
      <c r="F3156" s="3">
        <f t="shared" si="300"/>
        <v>45236</v>
      </c>
      <c r="G3156" s="4">
        <f t="shared" si="298"/>
        <v>11</v>
      </c>
      <c r="H3156" s="4">
        <f t="shared" si="296"/>
        <v>2023</v>
      </c>
      <c r="I3156" s="2" t="s">
        <v>4</v>
      </c>
      <c r="J3156" s="2" t="s">
        <v>4030</v>
      </c>
      <c r="K3156" s="2" t="s">
        <v>117</v>
      </c>
      <c r="L3156" s="2" t="s">
        <v>118</v>
      </c>
      <c r="M3156" s="2" t="s">
        <v>119</v>
      </c>
      <c r="N3156" s="4" t="str">
        <f t="shared" si="299"/>
        <v>TON</v>
      </c>
      <c r="O3156" s="5">
        <v>20</v>
      </c>
    </row>
    <row r="3157" spans="2:15" x14ac:dyDescent="0.25">
      <c r="B3157" s="1" t="s">
        <v>1520</v>
      </c>
      <c r="C3157" s="2" t="s">
        <v>196</v>
      </c>
      <c r="D3157" s="2" t="s">
        <v>1343</v>
      </c>
      <c r="E3157" s="2" t="s">
        <v>3724</v>
      </c>
      <c r="F3157" s="3">
        <f t="shared" ref="F3157:F3164" si="301">DATE(2023,11,7)</f>
        <v>45237</v>
      </c>
      <c r="G3157" s="4">
        <f t="shared" si="298"/>
        <v>11</v>
      </c>
      <c r="H3157" s="4">
        <f t="shared" si="296"/>
        <v>2023</v>
      </c>
      <c r="I3157" s="2" t="s">
        <v>4</v>
      </c>
      <c r="J3157" s="2" t="s">
        <v>4031</v>
      </c>
      <c r="K3157" s="2" t="s">
        <v>422</v>
      </c>
      <c r="L3157" s="2" t="s">
        <v>423</v>
      </c>
      <c r="M3157" s="2" t="s">
        <v>119</v>
      </c>
      <c r="N3157" s="4" t="str">
        <f t="shared" si="299"/>
        <v>TON</v>
      </c>
      <c r="O3157" s="5">
        <v>15.0275</v>
      </c>
    </row>
    <row r="3158" spans="2:15" x14ac:dyDescent="0.25">
      <c r="B3158" s="1" t="s">
        <v>1520</v>
      </c>
      <c r="C3158" s="2" t="s">
        <v>196</v>
      </c>
      <c r="D3158" s="2" t="s">
        <v>1343</v>
      </c>
      <c r="E3158" s="2" t="s">
        <v>3724</v>
      </c>
      <c r="F3158" s="3">
        <f t="shared" si="301"/>
        <v>45237</v>
      </c>
      <c r="G3158" s="4">
        <f t="shared" si="298"/>
        <v>11</v>
      </c>
      <c r="H3158" s="4">
        <f t="shared" si="296"/>
        <v>2023</v>
      </c>
      <c r="I3158" s="2" t="s">
        <v>4</v>
      </c>
      <c r="J3158" s="2" t="s">
        <v>4031</v>
      </c>
      <c r="K3158" s="2" t="s">
        <v>3726</v>
      </c>
      <c r="L3158" s="2" t="s">
        <v>3727</v>
      </c>
      <c r="M3158" s="2" t="s">
        <v>145</v>
      </c>
      <c r="N3158" s="4" t="str">
        <f t="shared" si="299"/>
        <v>GAL</v>
      </c>
      <c r="O3158" s="5">
        <v>5.625</v>
      </c>
    </row>
    <row r="3159" spans="2:15" x14ac:dyDescent="0.25">
      <c r="B3159" s="1" t="s">
        <v>1520</v>
      </c>
      <c r="C3159" s="2" t="s">
        <v>196</v>
      </c>
      <c r="D3159" s="2" t="s">
        <v>4013</v>
      </c>
      <c r="E3159" s="2" t="s">
        <v>102</v>
      </c>
      <c r="F3159" s="3">
        <f t="shared" si="301"/>
        <v>45237</v>
      </c>
      <c r="G3159" s="4">
        <f t="shared" si="298"/>
        <v>11</v>
      </c>
      <c r="H3159" s="4">
        <f t="shared" si="296"/>
        <v>2023</v>
      </c>
      <c r="I3159" s="2" t="s">
        <v>4</v>
      </c>
      <c r="J3159" s="2" t="s">
        <v>4032</v>
      </c>
      <c r="K3159" s="2" t="s">
        <v>531</v>
      </c>
      <c r="L3159" s="2" t="s">
        <v>201</v>
      </c>
      <c r="M3159" s="2" t="s">
        <v>202</v>
      </c>
      <c r="N3159" s="4" t="str">
        <f t="shared" si="299"/>
        <v>GAL</v>
      </c>
      <c r="O3159" s="5">
        <v>30</v>
      </c>
    </row>
    <row r="3160" spans="2:15" x14ac:dyDescent="0.25">
      <c r="B3160" s="1" t="s">
        <v>1520</v>
      </c>
      <c r="C3160" s="2" t="s">
        <v>196</v>
      </c>
      <c r="D3160" s="2" t="s">
        <v>444</v>
      </c>
      <c r="E3160" s="2" t="s">
        <v>445</v>
      </c>
      <c r="F3160" s="3">
        <f t="shared" si="301"/>
        <v>45237</v>
      </c>
      <c r="G3160" s="4">
        <f t="shared" si="298"/>
        <v>11</v>
      </c>
      <c r="H3160" s="4">
        <f t="shared" si="296"/>
        <v>2023</v>
      </c>
      <c r="I3160" s="2" t="s">
        <v>4</v>
      </c>
      <c r="J3160" s="2" t="s">
        <v>4033</v>
      </c>
      <c r="K3160" s="2" t="s">
        <v>324</v>
      </c>
      <c r="L3160" s="2" t="s">
        <v>325</v>
      </c>
      <c r="M3160" s="2" t="s">
        <v>119</v>
      </c>
      <c r="N3160" s="4" t="str">
        <f t="shared" si="299"/>
        <v>TON</v>
      </c>
      <c r="O3160" s="5">
        <v>5</v>
      </c>
    </row>
    <row r="3161" spans="2:15" x14ac:dyDescent="0.25">
      <c r="B3161" s="1" t="s">
        <v>1520</v>
      </c>
      <c r="C3161" s="2" t="s">
        <v>196</v>
      </c>
      <c r="D3161" s="2" t="s">
        <v>4034</v>
      </c>
      <c r="E3161" s="2" t="s">
        <v>102</v>
      </c>
      <c r="F3161" s="3">
        <f t="shared" si="301"/>
        <v>45237</v>
      </c>
      <c r="G3161" s="4">
        <f t="shared" si="298"/>
        <v>11</v>
      </c>
      <c r="H3161" s="4">
        <f t="shared" si="296"/>
        <v>2023</v>
      </c>
      <c r="I3161" s="2" t="s">
        <v>4</v>
      </c>
      <c r="J3161" s="2" t="s">
        <v>4035</v>
      </c>
      <c r="K3161" s="2" t="s">
        <v>329</v>
      </c>
      <c r="L3161" s="2" t="s">
        <v>330</v>
      </c>
      <c r="M3161" s="2" t="s">
        <v>119</v>
      </c>
      <c r="N3161" s="4" t="str">
        <f t="shared" si="299"/>
        <v>TON</v>
      </c>
      <c r="O3161" s="5">
        <v>5.01</v>
      </c>
    </row>
    <row r="3162" spans="2:15" x14ac:dyDescent="0.25">
      <c r="B3162" s="1" t="s">
        <v>1520</v>
      </c>
      <c r="C3162" s="2" t="s">
        <v>196</v>
      </c>
      <c r="D3162" s="2" t="s">
        <v>440</v>
      </c>
      <c r="E3162" s="2" t="s">
        <v>1274</v>
      </c>
      <c r="F3162" s="3">
        <f t="shared" si="301"/>
        <v>45237</v>
      </c>
      <c r="G3162" s="4">
        <f t="shared" si="298"/>
        <v>11</v>
      </c>
      <c r="H3162" s="4">
        <f t="shared" si="296"/>
        <v>2023</v>
      </c>
      <c r="I3162" s="2" t="s">
        <v>4</v>
      </c>
      <c r="J3162" s="2" t="s">
        <v>4036</v>
      </c>
      <c r="K3162" s="2" t="s">
        <v>422</v>
      </c>
      <c r="L3162" s="2" t="s">
        <v>423</v>
      </c>
      <c r="M3162" s="2" t="s">
        <v>119</v>
      </c>
      <c r="N3162" s="4" t="str">
        <f t="shared" si="299"/>
        <v>TON</v>
      </c>
      <c r="O3162" s="5">
        <v>5.0125000000000002</v>
      </c>
    </row>
    <row r="3163" spans="2:15" x14ac:dyDescent="0.25">
      <c r="B3163" s="1" t="s">
        <v>1520</v>
      </c>
      <c r="C3163" s="2" t="s">
        <v>196</v>
      </c>
      <c r="D3163" s="2" t="s">
        <v>4037</v>
      </c>
      <c r="E3163" s="2" t="s">
        <v>4038</v>
      </c>
      <c r="F3163" s="3">
        <f t="shared" si="301"/>
        <v>45237</v>
      </c>
      <c r="G3163" s="4">
        <f t="shared" si="298"/>
        <v>11</v>
      </c>
      <c r="H3163" s="4">
        <f t="shared" si="296"/>
        <v>2023</v>
      </c>
      <c r="I3163" s="2" t="s">
        <v>4</v>
      </c>
      <c r="J3163" s="2" t="s">
        <v>4039</v>
      </c>
      <c r="K3163" s="2" t="s">
        <v>447</v>
      </c>
      <c r="L3163" s="2" t="s">
        <v>448</v>
      </c>
      <c r="M3163" s="2" t="s">
        <v>119</v>
      </c>
      <c r="N3163" s="4" t="str">
        <f t="shared" si="299"/>
        <v>TON</v>
      </c>
      <c r="O3163" s="5">
        <v>2</v>
      </c>
    </row>
    <row r="3164" spans="2:15" x14ac:dyDescent="0.25">
      <c r="B3164" s="1" t="s">
        <v>1520</v>
      </c>
      <c r="C3164" s="2" t="s">
        <v>196</v>
      </c>
      <c r="D3164" s="2" t="s">
        <v>224</v>
      </c>
      <c r="E3164" s="2" t="s">
        <v>361</v>
      </c>
      <c r="F3164" s="3">
        <f t="shared" si="301"/>
        <v>45237</v>
      </c>
      <c r="G3164" s="4">
        <f t="shared" si="298"/>
        <v>11</v>
      </c>
      <c r="H3164" s="4">
        <f t="shared" si="296"/>
        <v>2023</v>
      </c>
      <c r="I3164" s="2" t="s">
        <v>4</v>
      </c>
      <c r="J3164" s="2" t="s">
        <v>4040</v>
      </c>
      <c r="K3164" s="2" t="s">
        <v>205</v>
      </c>
      <c r="L3164" s="2" t="s">
        <v>206</v>
      </c>
      <c r="M3164" s="2" t="s">
        <v>119</v>
      </c>
      <c r="N3164" s="4" t="str">
        <f t="shared" si="299"/>
        <v>TON</v>
      </c>
      <c r="O3164" s="5">
        <v>6.25</v>
      </c>
    </row>
    <row r="3165" spans="2:15" x14ac:dyDescent="0.25">
      <c r="B3165" s="1" t="s">
        <v>1520</v>
      </c>
      <c r="C3165" s="2" t="s">
        <v>196</v>
      </c>
      <c r="D3165" s="2" t="s">
        <v>4037</v>
      </c>
      <c r="E3165" s="2" t="s">
        <v>4038</v>
      </c>
      <c r="F3165" s="3">
        <f t="shared" ref="F3165:F3177" si="302">DATE(2023,11,8)</f>
        <v>45238</v>
      </c>
      <c r="G3165" s="4">
        <f t="shared" si="298"/>
        <v>11</v>
      </c>
      <c r="H3165" s="4">
        <f t="shared" si="296"/>
        <v>2023</v>
      </c>
      <c r="I3165" s="2" t="s">
        <v>4</v>
      </c>
      <c r="J3165" s="2" t="s">
        <v>4041</v>
      </c>
      <c r="K3165" s="2" t="s">
        <v>25</v>
      </c>
      <c r="L3165" s="2" t="s">
        <v>541</v>
      </c>
      <c r="M3165" s="2" t="s">
        <v>27</v>
      </c>
      <c r="N3165" s="4" t="str">
        <f t="shared" si="299"/>
        <v>GAL</v>
      </c>
      <c r="O3165" s="5">
        <v>50</v>
      </c>
    </row>
    <row r="3166" spans="2:15" x14ac:dyDescent="0.25">
      <c r="B3166" s="1" t="s">
        <v>1520</v>
      </c>
      <c r="C3166" s="2" t="s">
        <v>196</v>
      </c>
      <c r="D3166" s="2" t="s">
        <v>4037</v>
      </c>
      <c r="E3166" s="2" t="s">
        <v>4038</v>
      </c>
      <c r="F3166" s="3">
        <f t="shared" si="302"/>
        <v>45238</v>
      </c>
      <c r="G3166" s="4">
        <f t="shared" si="298"/>
        <v>11</v>
      </c>
      <c r="H3166" s="4">
        <f t="shared" si="296"/>
        <v>2023</v>
      </c>
      <c r="I3166" s="2" t="s">
        <v>4</v>
      </c>
      <c r="J3166" s="2" t="s">
        <v>4041</v>
      </c>
      <c r="K3166" s="2" t="s">
        <v>158</v>
      </c>
      <c r="L3166" s="2" t="s">
        <v>159</v>
      </c>
      <c r="M3166" s="2" t="s">
        <v>160</v>
      </c>
      <c r="N3166" s="4" t="str">
        <f t="shared" si="299"/>
        <v>GAL</v>
      </c>
      <c r="O3166" s="5">
        <v>50</v>
      </c>
    </row>
    <row r="3167" spans="2:15" x14ac:dyDescent="0.25">
      <c r="B3167" s="1" t="s">
        <v>1520</v>
      </c>
      <c r="C3167" s="2" t="s">
        <v>196</v>
      </c>
      <c r="D3167" s="2" t="s">
        <v>210</v>
      </c>
      <c r="E3167" s="2" t="s">
        <v>962</v>
      </c>
      <c r="F3167" s="3">
        <f t="shared" si="302"/>
        <v>45238</v>
      </c>
      <c r="G3167" s="4">
        <f t="shared" si="298"/>
        <v>11</v>
      </c>
      <c r="H3167" s="4">
        <f t="shared" si="296"/>
        <v>2023</v>
      </c>
      <c r="I3167" s="2" t="s">
        <v>4</v>
      </c>
      <c r="J3167" s="2" t="s">
        <v>4042</v>
      </c>
      <c r="K3167" s="2" t="s">
        <v>489</v>
      </c>
      <c r="L3167" s="2" t="s">
        <v>490</v>
      </c>
      <c r="M3167" s="2" t="s">
        <v>119</v>
      </c>
      <c r="N3167" s="4" t="str">
        <f t="shared" si="299"/>
        <v>TON</v>
      </c>
      <c r="O3167" s="5">
        <v>15.0175</v>
      </c>
    </row>
    <row r="3168" spans="2:15" x14ac:dyDescent="0.25">
      <c r="B3168" s="1" t="s">
        <v>1520</v>
      </c>
      <c r="C3168" s="2" t="s">
        <v>196</v>
      </c>
      <c r="D3168" s="2" t="s">
        <v>679</v>
      </c>
      <c r="E3168" s="2" t="s">
        <v>680</v>
      </c>
      <c r="F3168" s="3">
        <f t="shared" si="302"/>
        <v>45238</v>
      </c>
      <c r="G3168" s="4">
        <f t="shared" si="298"/>
        <v>11</v>
      </c>
      <c r="H3168" s="4">
        <f t="shared" si="296"/>
        <v>2023</v>
      </c>
      <c r="I3168" s="2" t="s">
        <v>4</v>
      </c>
      <c r="J3168" s="2" t="s">
        <v>4043</v>
      </c>
      <c r="K3168" s="2" t="s">
        <v>122</v>
      </c>
      <c r="L3168" s="2" t="s">
        <v>123</v>
      </c>
      <c r="M3168" s="2" t="s">
        <v>119</v>
      </c>
      <c r="N3168" s="4" t="str">
        <f t="shared" si="299"/>
        <v>TON</v>
      </c>
      <c r="O3168" s="5">
        <v>3</v>
      </c>
    </row>
    <row r="3169" spans="2:15" x14ac:dyDescent="0.25">
      <c r="B3169" s="1" t="s">
        <v>1520</v>
      </c>
      <c r="C3169" s="2" t="s">
        <v>196</v>
      </c>
      <c r="D3169" s="2" t="s">
        <v>898</v>
      </c>
      <c r="E3169" s="2" t="s">
        <v>102</v>
      </c>
      <c r="F3169" s="3">
        <f t="shared" si="302"/>
        <v>45238</v>
      </c>
      <c r="G3169" s="4">
        <f t="shared" si="298"/>
        <v>11</v>
      </c>
      <c r="H3169" s="4">
        <f t="shared" si="296"/>
        <v>2023</v>
      </c>
      <c r="I3169" s="2" t="s">
        <v>4</v>
      </c>
      <c r="J3169" s="2" t="s">
        <v>4044</v>
      </c>
      <c r="K3169" s="2" t="s">
        <v>329</v>
      </c>
      <c r="L3169" s="2" t="s">
        <v>330</v>
      </c>
      <c r="M3169" s="2" t="s">
        <v>119</v>
      </c>
      <c r="N3169" s="4" t="str">
        <f t="shared" si="299"/>
        <v>TON</v>
      </c>
      <c r="O3169" s="5">
        <v>10.0075</v>
      </c>
    </row>
    <row r="3170" spans="2:15" x14ac:dyDescent="0.25">
      <c r="B3170" s="1" t="s">
        <v>1520</v>
      </c>
      <c r="C3170" s="2" t="s">
        <v>196</v>
      </c>
      <c r="D3170" s="2" t="s">
        <v>227</v>
      </c>
      <c r="E3170" s="2" t="s">
        <v>757</v>
      </c>
      <c r="F3170" s="3">
        <f t="shared" si="302"/>
        <v>45238</v>
      </c>
      <c r="G3170" s="4">
        <f t="shared" si="298"/>
        <v>11</v>
      </c>
      <c r="H3170" s="4">
        <f t="shared" si="296"/>
        <v>2023</v>
      </c>
      <c r="I3170" s="2" t="s">
        <v>4</v>
      </c>
      <c r="J3170" s="2" t="s">
        <v>4045</v>
      </c>
      <c r="K3170" s="2" t="s">
        <v>915</v>
      </c>
      <c r="L3170" s="2" t="s">
        <v>916</v>
      </c>
      <c r="M3170" s="2" t="s">
        <v>917</v>
      </c>
      <c r="N3170" s="4" t="str">
        <f t="shared" si="299"/>
        <v>GAL</v>
      </c>
      <c r="O3170" s="5">
        <v>60</v>
      </c>
    </row>
    <row r="3171" spans="2:15" x14ac:dyDescent="0.25">
      <c r="B3171" s="1" t="s">
        <v>1520</v>
      </c>
      <c r="C3171" s="2" t="s">
        <v>196</v>
      </c>
      <c r="D3171" s="2" t="s">
        <v>4046</v>
      </c>
      <c r="E3171" s="2" t="s">
        <v>102</v>
      </c>
      <c r="F3171" s="3">
        <f t="shared" si="302"/>
        <v>45238</v>
      </c>
      <c r="G3171" s="4">
        <f t="shared" si="298"/>
        <v>11</v>
      </c>
      <c r="H3171" s="4">
        <f t="shared" si="296"/>
        <v>2023</v>
      </c>
      <c r="I3171" s="2" t="s">
        <v>4</v>
      </c>
      <c r="J3171" s="2" t="s">
        <v>4047</v>
      </c>
      <c r="K3171" s="2" t="s">
        <v>268</v>
      </c>
      <c r="L3171" s="2" t="s">
        <v>269</v>
      </c>
      <c r="M3171" s="2" t="s">
        <v>119</v>
      </c>
      <c r="N3171" s="4" t="str">
        <f t="shared" si="299"/>
        <v>TON</v>
      </c>
      <c r="O3171" s="5">
        <v>0.3</v>
      </c>
    </row>
    <row r="3172" spans="2:15" x14ac:dyDescent="0.25">
      <c r="B3172" s="1" t="s">
        <v>1520</v>
      </c>
      <c r="C3172" s="2" t="s">
        <v>196</v>
      </c>
      <c r="D3172" s="2" t="s">
        <v>317</v>
      </c>
      <c r="E3172" s="2" t="s">
        <v>677</v>
      </c>
      <c r="F3172" s="3">
        <f t="shared" si="302"/>
        <v>45238</v>
      </c>
      <c r="G3172" s="4">
        <f t="shared" si="298"/>
        <v>11</v>
      </c>
      <c r="H3172" s="4">
        <f t="shared" si="296"/>
        <v>2023</v>
      </c>
      <c r="I3172" s="2" t="s">
        <v>4</v>
      </c>
      <c r="J3172" s="2" t="s">
        <v>4048</v>
      </c>
      <c r="K3172" s="2" t="s">
        <v>117</v>
      </c>
      <c r="L3172" s="2" t="s">
        <v>118</v>
      </c>
      <c r="M3172" s="2" t="s">
        <v>119</v>
      </c>
      <c r="N3172" s="4" t="str">
        <f t="shared" si="299"/>
        <v>TON</v>
      </c>
      <c r="O3172" s="5">
        <v>15.0175</v>
      </c>
    </row>
    <row r="3173" spans="2:15" x14ac:dyDescent="0.25">
      <c r="B3173" s="1" t="s">
        <v>1520</v>
      </c>
      <c r="C3173" s="2" t="s">
        <v>196</v>
      </c>
      <c r="D3173" s="2" t="s">
        <v>114</v>
      </c>
      <c r="E3173" s="2" t="s">
        <v>3751</v>
      </c>
      <c r="F3173" s="3">
        <f t="shared" si="302"/>
        <v>45238</v>
      </c>
      <c r="G3173" s="4">
        <f t="shared" si="298"/>
        <v>11</v>
      </c>
      <c r="H3173" s="4">
        <f t="shared" si="296"/>
        <v>2023</v>
      </c>
      <c r="I3173" s="2" t="s">
        <v>4</v>
      </c>
      <c r="J3173" s="2" t="s">
        <v>4049</v>
      </c>
      <c r="K3173" s="2" t="s">
        <v>117</v>
      </c>
      <c r="L3173" s="2" t="s">
        <v>118</v>
      </c>
      <c r="M3173" s="2" t="s">
        <v>119</v>
      </c>
      <c r="N3173" s="4" t="str">
        <f t="shared" si="299"/>
        <v>TON</v>
      </c>
      <c r="O3173" s="5">
        <v>9.5225000000000009</v>
      </c>
    </row>
    <row r="3174" spans="2:15" x14ac:dyDescent="0.25">
      <c r="B3174" s="1" t="s">
        <v>1520</v>
      </c>
      <c r="C3174" s="2" t="s">
        <v>196</v>
      </c>
      <c r="D3174" s="2" t="s">
        <v>114</v>
      </c>
      <c r="E3174" s="2" t="s">
        <v>491</v>
      </c>
      <c r="F3174" s="3">
        <f t="shared" si="302"/>
        <v>45238</v>
      </c>
      <c r="G3174" s="4">
        <f t="shared" si="298"/>
        <v>11</v>
      </c>
      <c r="H3174" s="4">
        <f t="shared" si="296"/>
        <v>2023</v>
      </c>
      <c r="I3174" s="2" t="s">
        <v>4</v>
      </c>
      <c r="J3174" s="2" t="s">
        <v>4050</v>
      </c>
      <c r="K3174" s="2" t="s">
        <v>117</v>
      </c>
      <c r="L3174" s="2" t="s">
        <v>118</v>
      </c>
      <c r="M3174" s="2" t="s">
        <v>119</v>
      </c>
      <c r="N3174" s="4" t="str">
        <f t="shared" si="299"/>
        <v>TON</v>
      </c>
      <c r="O3174" s="5">
        <v>3.5074999999999998</v>
      </c>
    </row>
    <row r="3175" spans="2:15" x14ac:dyDescent="0.25">
      <c r="B3175" s="1" t="s">
        <v>1520</v>
      </c>
      <c r="C3175" s="2" t="s">
        <v>196</v>
      </c>
      <c r="D3175" s="2" t="s">
        <v>114</v>
      </c>
      <c r="E3175" s="2" t="s">
        <v>402</v>
      </c>
      <c r="F3175" s="3">
        <f t="shared" si="302"/>
        <v>45238</v>
      </c>
      <c r="G3175" s="4">
        <f t="shared" si="298"/>
        <v>11</v>
      </c>
      <c r="H3175" s="4">
        <f t="shared" si="296"/>
        <v>2023</v>
      </c>
      <c r="I3175" s="2" t="s">
        <v>4</v>
      </c>
      <c r="J3175" s="2" t="s">
        <v>4051</v>
      </c>
      <c r="K3175" s="2" t="s">
        <v>117</v>
      </c>
      <c r="L3175" s="2" t="s">
        <v>118</v>
      </c>
      <c r="M3175" s="2" t="s">
        <v>119</v>
      </c>
      <c r="N3175" s="4" t="str">
        <f t="shared" si="299"/>
        <v>TON</v>
      </c>
      <c r="O3175" s="5">
        <v>5.0025000000000004</v>
      </c>
    </row>
    <row r="3176" spans="2:15" x14ac:dyDescent="0.25">
      <c r="B3176" s="1" t="s">
        <v>1520</v>
      </c>
      <c r="C3176" s="2" t="s">
        <v>196</v>
      </c>
      <c r="D3176" s="2" t="s">
        <v>452</v>
      </c>
      <c r="E3176" s="2" t="s">
        <v>453</v>
      </c>
      <c r="F3176" s="3">
        <f t="shared" si="302"/>
        <v>45238</v>
      </c>
      <c r="G3176" s="4">
        <f t="shared" si="298"/>
        <v>11</v>
      </c>
      <c r="H3176" s="4">
        <f t="shared" si="296"/>
        <v>2023</v>
      </c>
      <c r="I3176" s="2" t="s">
        <v>4</v>
      </c>
      <c r="J3176" s="2" t="s">
        <v>4052</v>
      </c>
      <c r="K3176" s="2" t="s">
        <v>205</v>
      </c>
      <c r="L3176" s="2" t="s">
        <v>206</v>
      </c>
      <c r="M3176" s="2" t="s">
        <v>119</v>
      </c>
      <c r="N3176" s="4" t="str">
        <f t="shared" si="299"/>
        <v>TON</v>
      </c>
      <c r="O3176" s="5">
        <v>3.5</v>
      </c>
    </row>
    <row r="3177" spans="2:15" x14ac:dyDescent="0.25">
      <c r="B3177" s="1" t="s">
        <v>645</v>
      </c>
      <c r="C3177" s="2" t="s">
        <v>196</v>
      </c>
      <c r="D3177" s="2" t="s">
        <v>374</v>
      </c>
      <c r="E3177" s="2" t="s">
        <v>717</v>
      </c>
      <c r="F3177" s="3">
        <f t="shared" si="302"/>
        <v>45238</v>
      </c>
      <c r="G3177" s="4">
        <f t="shared" si="298"/>
        <v>11</v>
      </c>
      <c r="H3177" s="4">
        <f t="shared" si="296"/>
        <v>2023</v>
      </c>
      <c r="I3177" s="2" t="s">
        <v>4</v>
      </c>
      <c r="J3177" s="2" t="s">
        <v>4053</v>
      </c>
      <c r="K3177" s="2" t="s">
        <v>329</v>
      </c>
      <c r="L3177" s="2" t="s">
        <v>330</v>
      </c>
      <c r="M3177" s="2" t="s">
        <v>119</v>
      </c>
      <c r="N3177" s="4" t="str">
        <f t="shared" si="299"/>
        <v>TON</v>
      </c>
      <c r="O3177" s="5">
        <v>9.01</v>
      </c>
    </row>
    <row r="3178" spans="2:15" x14ac:dyDescent="0.25">
      <c r="B3178" s="1" t="s">
        <v>1520</v>
      </c>
      <c r="C3178" s="2" t="s">
        <v>196</v>
      </c>
      <c r="D3178" s="2" t="s">
        <v>215</v>
      </c>
      <c r="E3178" s="2" t="s">
        <v>2033</v>
      </c>
      <c r="F3178" s="3">
        <f t="shared" ref="F3178:F3188" si="303">DATE(2023,11,9)</f>
        <v>45239</v>
      </c>
      <c r="G3178" s="4">
        <f t="shared" si="298"/>
        <v>11</v>
      </c>
      <c r="H3178" s="4">
        <f t="shared" si="296"/>
        <v>2023</v>
      </c>
      <c r="I3178" s="2" t="s">
        <v>4</v>
      </c>
      <c r="J3178" s="2" t="s">
        <v>4054</v>
      </c>
      <c r="K3178" s="2" t="s">
        <v>329</v>
      </c>
      <c r="L3178" s="2" t="s">
        <v>330</v>
      </c>
      <c r="M3178" s="2" t="s">
        <v>119</v>
      </c>
      <c r="N3178" s="4" t="str">
        <f t="shared" si="299"/>
        <v>TON</v>
      </c>
      <c r="O3178" s="5">
        <v>4.0250000000000004</v>
      </c>
    </row>
    <row r="3179" spans="2:15" x14ac:dyDescent="0.25">
      <c r="B3179" s="1" t="s">
        <v>1520</v>
      </c>
      <c r="C3179" s="2" t="s">
        <v>196</v>
      </c>
      <c r="D3179" s="2" t="s">
        <v>331</v>
      </c>
      <c r="E3179" s="2" t="s">
        <v>332</v>
      </c>
      <c r="F3179" s="3">
        <f t="shared" si="303"/>
        <v>45239</v>
      </c>
      <c r="G3179" s="4">
        <f t="shared" si="298"/>
        <v>11</v>
      </c>
      <c r="H3179" s="4">
        <f t="shared" si="296"/>
        <v>2023</v>
      </c>
      <c r="I3179" s="2" t="s">
        <v>4</v>
      </c>
      <c r="J3179" s="2" t="s">
        <v>4055</v>
      </c>
      <c r="K3179" s="2" t="s">
        <v>205</v>
      </c>
      <c r="L3179" s="2" t="s">
        <v>206</v>
      </c>
      <c r="M3179" s="2" t="s">
        <v>119</v>
      </c>
      <c r="N3179" s="4" t="str">
        <f t="shared" si="299"/>
        <v>TON</v>
      </c>
      <c r="O3179" s="5">
        <v>10.01</v>
      </c>
    </row>
    <row r="3180" spans="2:15" x14ac:dyDescent="0.25">
      <c r="B3180" s="1" t="s">
        <v>1520</v>
      </c>
      <c r="C3180" s="2" t="s">
        <v>196</v>
      </c>
      <c r="D3180" s="2" t="s">
        <v>3764</v>
      </c>
      <c r="E3180" s="2" t="s">
        <v>3765</v>
      </c>
      <c r="F3180" s="3">
        <f t="shared" si="303"/>
        <v>45239</v>
      </c>
      <c r="G3180" s="4">
        <f t="shared" si="298"/>
        <v>11</v>
      </c>
      <c r="H3180" s="4">
        <f t="shared" si="296"/>
        <v>2023</v>
      </c>
      <c r="I3180" s="2" t="s">
        <v>4</v>
      </c>
      <c r="J3180" s="2" t="s">
        <v>4056</v>
      </c>
      <c r="K3180" s="2" t="s">
        <v>205</v>
      </c>
      <c r="L3180" s="2" t="s">
        <v>206</v>
      </c>
      <c r="M3180" s="2" t="s">
        <v>119</v>
      </c>
      <c r="N3180" s="4" t="str">
        <f t="shared" si="299"/>
        <v>TON</v>
      </c>
      <c r="O3180" s="5">
        <v>1.2549999999999999</v>
      </c>
    </row>
    <row r="3181" spans="2:15" x14ac:dyDescent="0.25">
      <c r="B3181" s="1" t="s">
        <v>1520</v>
      </c>
      <c r="C3181" s="2" t="s">
        <v>196</v>
      </c>
      <c r="D3181" s="2" t="s">
        <v>310</v>
      </c>
      <c r="E3181" s="2" t="s">
        <v>355</v>
      </c>
      <c r="F3181" s="3">
        <f t="shared" si="303"/>
        <v>45239</v>
      </c>
      <c r="G3181" s="4">
        <f t="shared" si="298"/>
        <v>11</v>
      </c>
      <c r="H3181" s="4">
        <f t="shared" si="296"/>
        <v>2023</v>
      </c>
      <c r="I3181" s="2" t="s">
        <v>4</v>
      </c>
      <c r="J3181" s="2" t="s">
        <v>4057</v>
      </c>
      <c r="K3181" s="2" t="s">
        <v>329</v>
      </c>
      <c r="L3181" s="2" t="s">
        <v>330</v>
      </c>
      <c r="M3181" s="2" t="s">
        <v>119</v>
      </c>
      <c r="N3181" s="4" t="str">
        <f t="shared" si="299"/>
        <v>TON</v>
      </c>
      <c r="O3181" s="5">
        <v>2.0125000000000002</v>
      </c>
    </row>
    <row r="3182" spans="2:15" x14ac:dyDescent="0.25">
      <c r="B3182" s="1" t="s">
        <v>1520</v>
      </c>
      <c r="C3182" s="2" t="s">
        <v>196</v>
      </c>
      <c r="D3182" s="2" t="s">
        <v>310</v>
      </c>
      <c r="E3182" s="2" t="s">
        <v>426</v>
      </c>
      <c r="F3182" s="3">
        <f t="shared" si="303"/>
        <v>45239</v>
      </c>
      <c r="G3182" s="4">
        <f t="shared" si="298"/>
        <v>11</v>
      </c>
      <c r="H3182" s="4">
        <f t="shared" si="296"/>
        <v>2023</v>
      </c>
      <c r="I3182" s="2" t="s">
        <v>4</v>
      </c>
      <c r="J3182" s="2" t="s">
        <v>4058</v>
      </c>
      <c r="K3182" s="2" t="s">
        <v>205</v>
      </c>
      <c r="L3182" s="2" t="s">
        <v>206</v>
      </c>
      <c r="M3182" s="2" t="s">
        <v>119</v>
      </c>
      <c r="N3182" s="4" t="str">
        <f t="shared" si="299"/>
        <v>TON</v>
      </c>
      <c r="O3182" s="5">
        <v>1.0125</v>
      </c>
    </row>
    <row r="3183" spans="2:15" x14ac:dyDescent="0.25">
      <c r="B3183" s="1" t="s">
        <v>1520</v>
      </c>
      <c r="C3183" s="2" t="s">
        <v>196</v>
      </c>
      <c r="D3183" s="2" t="s">
        <v>248</v>
      </c>
      <c r="E3183" s="2" t="s">
        <v>249</v>
      </c>
      <c r="F3183" s="3">
        <f t="shared" si="303"/>
        <v>45239</v>
      </c>
      <c r="G3183" s="4">
        <f t="shared" si="298"/>
        <v>11</v>
      </c>
      <c r="H3183" s="4">
        <f t="shared" si="296"/>
        <v>2023</v>
      </c>
      <c r="I3183" s="2" t="s">
        <v>4</v>
      </c>
      <c r="J3183" s="2" t="s">
        <v>4059</v>
      </c>
      <c r="K3183" s="2" t="s">
        <v>3606</v>
      </c>
      <c r="L3183" s="2" t="s">
        <v>3607</v>
      </c>
      <c r="M3183" s="2" t="s">
        <v>119</v>
      </c>
      <c r="N3183" s="4" t="str">
        <f t="shared" si="299"/>
        <v>TON</v>
      </c>
      <c r="O3183" s="5">
        <v>15.005000000000001</v>
      </c>
    </row>
    <row r="3184" spans="2:15" x14ac:dyDescent="0.25">
      <c r="B3184" s="1" t="s">
        <v>1520</v>
      </c>
      <c r="C3184" s="2" t="s">
        <v>196</v>
      </c>
      <c r="D3184" s="2" t="s">
        <v>207</v>
      </c>
      <c r="E3184" s="2" t="s">
        <v>208</v>
      </c>
      <c r="F3184" s="3">
        <f t="shared" si="303"/>
        <v>45239</v>
      </c>
      <c r="G3184" s="4">
        <f t="shared" si="298"/>
        <v>11</v>
      </c>
      <c r="H3184" s="4">
        <f t="shared" si="296"/>
        <v>2023</v>
      </c>
      <c r="I3184" s="2" t="s">
        <v>4</v>
      </c>
      <c r="J3184" s="2" t="s">
        <v>4060</v>
      </c>
      <c r="K3184" s="2" t="s">
        <v>489</v>
      </c>
      <c r="L3184" s="2" t="s">
        <v>490</v>
      </c>
      <c r="M3184" s="2" t="s">
        <v>119</v>
      </c>
      <c r="N3184" s="4" t="str">
        <f t="shared" si="299"/>
        <v>TON</v>
      </c>
      <c r="O3184" s="5">
        <v>5.0025000000000004</v>
      </c>
    </row>
    <row r="3185" spans="2:15" x14ac:dyDescent="0.25">
      <c r="B3185" s="1" t="s">
        <v>1520</v>
      </c>
      <c r="C3185" s="2" t="s">
        <v>196</v>
      </c>
      <c r="D3185" s="2" t="s">
        <v>1343</v>
      </c>
      <c r="E3185" s="2" t="s">
        <v>3729</v>
      </c>
      <c r="F3185" s="3">
        <f t="shared" si="303"/>
        <v>45239</v>
      </c>
      <c r="G3185" s="4">
        <f t="shared" si="298"/>
        <v>11</v>
      </c>
      <c r="H3185" s="4">
        <f t="shared" si="296"/>
        <v>2023</v>
      </c>
      <c r="I3185" s="2" t="s">
        <v>4</v>
      </c>
      <c r="J3185" s="2" t="s">
        <v>4061</v>
      </c>
      <c r="K3185" s="2" t="s">
        <v>422</v>
      </c>
      <c r="L3185" s="2" t="s">
        <v>423</v>
      </c>
      <c r="M3185" s="2" t="s">
        <v>119</v>
      </c>
      <c r="N3185" s="4" t="str">
        <f t="shared" si="299"/>
        <v>TON</v>
      </c>
      <c r="O3185" s="5">
        <v>15.045</v>
      </c>
    </row>
    <row r="3186" spans="2:15" x14ac:dyDescent="0.25">
      <c r="B3186" s="1" t="s">
        <v>1520</v>
      </c>
      <c r="C3186" s="2" t="s">
        <v>196</v>
      </c>
      <c r="D3186" s="2" t="s">
        <v>1343</v>
      </c>
      <c r="E3186" s="2" t="s">
        <v>3729</v>
      </c>
      <c r="F3186" s="3">
        <f t="shared" si="303"/>
        <v>45239</v>
      </c>
      <c r="G3186" s="4">
        <f t="shared" si="298"/>
        <v>11</v>
      </c>
      <c r="H3186" s="4">
        <f t="shared" si="296"/>
        <v>2023</v>
      </c>
      <c r="I3186" s="2" t="s">
        <v>4</v>
      </c>
      <c r="J3186" s="2" t="s">
        <v>4061</v>
      </c>
      <c r="K3186" s="2" t="s">
        <v>3726</v>
      </c>
      <c r="L3186" s="2" t="s">
        <v>3727</v>
      </c>
      <c r="M3186" s="2" t="s">
        <v>145</v>
      </c>
      <c r="N3186" s="4" t="str">
        <f t="shared" si="299"/>
        <v>GAL</v>
      </c>
      <c r="O3186" s="5">
        <v>5.625</v>
      </c>
    </row>
    <row r="3187" spans="2:15" x14ac:dyDescent="0.25">
      <c r="B3187" s="1" t="s">
        <v>645</v>
      </c>
      <c r="C3187" s="2" t="s">
        <v>196</v>
      </c>
      <c r="D3187" s="2" t="s">
        <v>790</v>
      </c>
      <c r="E3187" s="2" t="s">
        <v>791</v>
      </c>
      <c r="F3187" s="3">
        <f t="shared" si="303"/>
        <v>45239</v>
      </c>
      <c r="G3187" s="4">
        <f t="shared" si="298"/>
        <v>11</v>
      </c>
      <c r="H3187" s="4">
        <f t="shared" si="296"/>
        <v>2023</v>
      </c>
      <c r="I3187" s="2" t="s">
        <v>4</v>
      </c>
      <c r="J3187" s="2" t="s">
        <v>4062</v>
      </c>
      <c r="K3187" s="2" t="s">
        <v>334</v>
      </c>
      <c r="L3187" s="2" t="s">
        <v>335</v>
      </c>
      <c r="M3187" s="2" t="s">
        <v>119</v>
      </c>
      <c r="N3187" s="4" t="str">
        <f t="shared" si="299"/>
        <v>TON</v>
      </c>
      <c r="O3187" s="5">
        <v>8.52</v>
      </c>
    </row>
    <row r="3188" spans="2:15" x14ac:dyDescent="0.25">
      <c r="B3188" s="1" t="s">
        <v>1520</v>
      </c>
      <c r="C3188" s="2" t="s">
        <v>196</v>
      </c>
      <c r="D3188" s="2" t="s">
        <v>215</v>
      </c>
      <c r="E3188" s="2" t="s">
        <v>216</v>
      </c>
      <c r="F3188" s="3">
        <f t="shared" si="303"/>
        <v>45239</v>
      </c>
      <c r="G3188" s="4">
        <f t="shared" si="298"/>
        <v>11</v>
      </c>
      <c r="H3188" s="4">
        <f t="shared" si="296"/>
        <v>2023</v>
      </c>
      <c r="I3188" s="2" t="s">
        <v>4</v>
      </c>
      <c r="J3188" s="2" t="s">
        <v>4063</v>
      </c>
      <c r="K3188" s="2" t="s">
        <v>329</v>
      </c>
      <c r="L3188" s="2" t="s">
        <v>330</v>
      </c>
      <c r="M3188" s="2" t="s">
        <v>119</v>
      </c>
      <c r="N3188" s="4" t="str">
        <f t="shared" si="299"/>
        <v>TON</v>
      </c>
      <c r="O3188" s="5">
        <v>1.2549999999999999</v>
      </c>
    </row>
    <row r="3189" spans="2:15" x14ac:dyDescent="0.25">
      <c r="B3189" s="1" t="s">
        <v>1520</v>
      </c>
      <c r="C3189" s="2" t="s">
        <v>196</v>
      </c>
      <c r="D3189" s="2" t="s">
        <v>374</v>
      </c>
      <c r="E3189" s="2" t="s">
        <v>455</v>
      </c>
      <c r="F3189" s="3">
        <f>DATE(2023,11,10)</f>
        <v>45240</v>
      </c>
      <c r="G3189" s="4">
        <f t="shared" si="298"/>
        <v>11</v>
      </c>
      <c r="H3189" s="4">
        <f t="shared" si="296"/>
        <v>2023</v>
      </c>
      <c r="I3189" s="2" t="s">
        <v>4</v>
      </c>
      <c r="J3189" s="2" t="s">
        <v>4064</v>
      </c>
      <c r="K3189" s="2" t="s">
        <v>649</v>
      </c>
      <c r="L3189" s="2" t="s">
        <v>538</v>
      </c>
      <c r="M3189" s="2" t="s">
        <v>539</v>
      </c>
      <c r="N3189" s="4" t="str">
        <f t="shared" si="299"/>
        <v>GAL</v>
      </c>
      <c r="O3189" s="5">
        <v>500</v>
      </c>
    </row>
    <row r="3190" spans="2:15" x14ac:dyDescent="0.25">
      <c r="B3190" s="1" t="s">
        <v>1520</v>
      </c>
      <c r="C3190" s="2" t="s">
        <v>196</v>
      </c>
      <c r="D3190" s="2" t="s">
        <v>294</v>
      </c>
      <c r="E3190" s="2" t="s">
        <v>295</v>
      </c>
      <c r="F3190" s="3">
        <f>DATE(2023,11,10)</f>
        <v>45240</v>
      </c>
      <c r="G3190" s="4">
        <f t="shared" si="298"/>
        <v>11</v>
      </c>
      <c r="H3190" s="4">
        <f t="shared" si="296"/>
        <v>2023</v>
      </c>
      <c r="I3190" s="2" t="s">
        <v>4</v>
      </c>
      <c r="J3190" s="2" t="s">
        <v>4065</v>
      </c>
      <c r="K3190" s="2" t="s">
        <v>834</v>
      </c>
      <c r="L3190" s="2" t="s">
        <v>835</v>
      </c>
      <c r="M3190" s="2" t="s">
        <v>119</v>
      </c>
      <c r="N3190" s="4" t="str">
        <f t="shared" si="299"/>
        <v>TON</v>
      </c>
      <c r="O3190" s="5">
        <v>3.75</v>
      </c>
    </row>
    <row r="3191" spans="2:15" x14ac:dyDescent="0.25">
      <c r="B3191" s="1" t="s">
        <v>1520</v>
      </c>
      <c r="C3191" s="2" t="s">
        <v>196</v>
      </c>
      <c r="D3191" s="2" t="s">
        <v>280</v>
      </c>
      <c r="E3191" s="2" t="s">
        <v>699</v>
      </c>
      <c r="F3191" s="3">
        <f>DATE(2023,11,9)</f>
        <v>45239</v>
      </c>
      <c r="G3191" s="4">
        <f t="shared" si="298"/>
        <v>11</v>
      </c>
      <c r="H3191" s="4">
        <f t="shared" si="296"/>
        <v>2023</v>
      </c>
      <c r="I3191" s="2" t="s">
        <v>4</v>
      </c>
      <c r="J3191" s="2" t="s">
        <v>4066</v>
      </c>
      <c r="K3191" s="2" t="s">
        <v>117</v>
      </c>
      <c r="L3191" s="2" t="s">
        <v>118</v>
      </c>
      <c r="M3191" s="2" t="s">
        <v>119</v>
      </c>
      <c r="N3191" s="4" t="str">
        <f t="shared" si="299"/>
        <v>TON</v>
      </c>
      <c r="O3191" s="5">
        <v>10.0075</v>
      </c>
    </row>
    <row r="3192" spans="2:15" x14ac:dyDescent="0.25">
      <c r="B3192" s="1" t="s">
        <v>1520</v>
      </c>
      <c r="C3192" s="2" t="s">
        <v>196</v>
      </c>
      <c r="D3192" s="2" t="s">
        <v>800</v>
      </c>
      <c r="E3192" s="2" t="s">
        <v>907</v>
      </c>
      <c r="F3192" s="3">
        <f>DATE(2023,11,9)</f>
        <v>45239</v>
      </c>
      <c r="G3192" s="4">
        <f t="shared" si="298"/>
        <v>11</v>
      </c>
      <c r="H3192" s="4">
        <f t="shared" si="296"/>
        <v>2023</v>
      </c>
      <c r="I3192" s="2" t="s">
        <v>4</v>
      </c>
      <c r="J3192" s="2" t="s">
        <v>4067</v>
      </c>
      <c r="K3192" s="2" t="s">
        <v>329</v>
      </c>
      <c r="L3192" s="2" t="s">
        <v>330</v>
      </c>
      <c r="M3192" s="2" t="s">
        <v>119</v>
      </c>
      <c r="N3192" s="4" t="str">
        <f t="shared" si="299"/>
        <v>TON</v>
      </c>
      <c r="O3192" s="5">
        <v>4.2549999999999999</v>
      </c>
    </row>
    <row r="3193" spans="2:15" x14ac:dyDescent="0.25">
      <c r="B3193" s="1" t="s">
        <v>1520</v>
      </c>
      <c r="C3193" s="2" t="s">
        <v>196</v>
      </c>
      <c r="D3193" s="2" t="s">
        <v>232</v>
      </c>
      <c r="E3193" s="2" t="s">
        <v>778</v>
      </c>
      <c r="F3193" s="3">
        <f>DATE(2023,11,10)</f>
        <v>45240</v>
      </c>
      <c r="G3193" s="4">
        <f t="shared" si="298"/>
        <v>11</v>
      </c>
      <c r="H3193" s="4">
        <f t="shared" si="296"/>
        <v>2023</v>
      </c>
      <c r="I3193" s="2" t="s">
        <v>4</v>
      </c>
      <c r="J3193" s="2" t="s">
        <v>4068</v>
      </c>
      <c r="K3193" s="2" t="s">
        <v>205</v>
      </c>
      <c r="L3193" s="2" t="s">
        <v>206</v>
      </c>
      <c r="M3193" s="2" t="s">
        <v>119</v>
      </c>
      <c r="N3193" s="4" t="str">
        <f t="shared" si="299"/>
        <v>TON</v>
      </c>
      <c r="O3193" s="5">
        <v>5</v>
      </c>
    </row>
    <row r="3194" spans="2:15" x14ac:dyDescent="0.25">
      <c r="B3194" s="1" t="s">
        <v>1520</v>
      </c>
      <c r="C3194" s="2" t="s">
        <v>196</v>
      </c>
      <c r="D3194" s="2" t="s">
        <v>215</v>
      </c>
      <c r="E3194" s="2" t="s">
        <v>313</v>
      </c>
      <c r="F3194" s="3">
        <f>DATE(2023,11,10)</f>
        <v>45240</v>
      </c>
      <c r="G3194" s="4">
        <f t="shared" si="298"/>
        <v>11</v>
      </c>
      <c r="H3194" s="4">
        <f t="shared" si="296"/>
        <v>2023</v>
      </c>
      <c r="I3194" s="2" t="s">
        <v>4</v>
      </c>
      <c r="J3194" s="2" t="s">
        <v>4069</v>
      </c>
      <c r="K3194" s="2" t="s">
        <v>205</v>
      </c>
      <c r="L3194" s="2" t="s">
        <v>206</v>
      </c>
      <c r="M3194" s="2" t="s">
        <v>119</v>
      </c>
      <c r="N3194" s="4" t="str">
        <f t="shared" si="299"/>
        <v>TON</v>
      </c>
      <c r="O3194" s="5">
        <v>3.2675000000000001</v>
      </c>
    </row>
    <row r="3195" spans="2:15" x14ac:dyDescent="0.25">
      <c r="B3195" s="1" t="s">
        <v>1520</v>
      </c>
      <c r="C3195" s="2" t="s">
        <v>196</v>
      </c>
      <c r="D3195" s="2" t="s">
        <v>317</v>
      </c>
      <c r="E3195" s="2" t="s">
        <v>807</v>
      </c>
      <c r="F3195" s="3">
        <f>DATE(2023,11,10)</f>
        <v>45240</v>
      </c>
      <c r="G3195" s="4">
        <f t="shared" si="298"/>
        <v>11</v>
      </c>
      <c r="H3195" s="4">
        <f t="shared" ref="H3195:H3258" si="304">+YEAR(F3195)</f>
        <v>2023</v>
      </c>
      <c r="I3195" s="2" t="s">
        <v>4</v>
      </c>
      <c r="J3195" s="2" t="s">
        <v>4070</v>
      </c>
      <c r="K3195" s="2" t="s">
        <v>117</v>
      </c>
      <c r="L3195" s="2" t="s">
        <v>118</v>
      </c>
      <c r="M3195" s="2" t="s">
        <v>119</v>
      </c>
      <c r="N3195" s="4" t="str">
        <f t="shared" si="299"/>
        <v>TON</v>
      </c>
      <c r="O3195" s="5">
        <v>8.7650000000000006</v>
      </c>
    </row>
    <row r="3196" spans="2:15" x14ac:dyDescent="0.25">
      <c r="B3196" s="1" t="s">
        <v>1520</v>
      </c>
      <c r="C3196" s="2" t="s">
        <v>196</v>
      </c>
      <c r="D3196" s="2" t="s">
        <v>289</v>
      </c>
      <c r="E3196" s="2" t="s">
        <v>290</v>
      </c>
      <c r="F3196" s="3">
        <f>DATE(2023,11,10)</f>
        <v>45240</v>
      </c>
      <c r="G3196" s="4">
        <f t="shared" si="298"/>
        <v>11</v>
      </c>
      <c r="H3196" s="4">
        <f t="shared" si="304"/>
        <v>2023</v>
      </c>
      <c r="I3196" s="2" t="s">
        <v>4</v>
      </c>
      <c r="J3196" s="2" t="s">
        <v>4071</v>
      </c>
      <c r="K3196" s="2" t="s">
        <v>865</v>
      </c>
      <c r="L3196" s="2" t="s">
        <v>866</v>
      </c>
      <c r="M3196" s="2" t="s">
        <v>119</v>
      </c>
      <c r="N3196" s="4" t="str">
        <f t="shared" si="299"/>
        <v>TON</v>
      </c>
      <c r="O3196" s="5">
        <v>0.75</v>
      </c>
    </row>
    <row r="3197" spans="2:15" x14ac:dyDescent="0.25">
      <c r="B3197" s="1" t="s">
        <v>1520</v>
      </c>
      <c r="C3197" s="2" t="s">
        <v>196</v>
      </c>
      <c r="D3197" s="2" t="s">
        <v>114</v>
      </c>
      <c r="E3197" s="2" t="s">
        <v>377</v>
      </c>
      <c r="F3197" s="3">
        <f>DATE(2023,11,10)</f>
        <v>45240</v>
      </c>
      <c r="G3197" s="4">
        <f t="shared" si="298"/>
        <v>11</v>
      </c>
      <c r="H3197" s="4">
        <f t="shared" si="304"/>
        <v>2023</v>
      </c>
      <c r="I3197" s="2" t="s">
        <v>4</v>
      </c>
      <c r="J3197" s="2" t="s">
        <v>4072</v>
      </c>
      <c r="K3197" s="2" t="s">
        <v>117</v>
      </c>
      <c r="L3197" s="2" t="s">
        <v>118</v>
      </c>
      <c r="M3197" s="2" t="s">
        <v>119</v>
      </c>
      <c r="N3197" s="4" t="str">
        <f t="shared" si="299"/>
        <v>TON</v>
      </c>
      <c r="O3197" s="5">
        <v>5.5149999999999997</v>
      </c>
    </row>
    <row r="3198" spans="2:15" x14ac:dyDescent="0.25">
      <c r="B3198" s="1" t="s">
        <v>1520</v>
      </c>
      <c r="C3198" s="2" t="s">
        <v>196</v>
      </c>
      <c r="D3198" s="2" t="s">
        <v>232</v>
      </c>
      <c r="E3198" s="2" t="s">
        <v>778</v>
      </c>
      <c r="F3198" s="3">
        <f>DATE(2023,11,13)</f>
        <v>45243</v>
      </c>
      <c r="G3198" s="4">
        <f t="shared" si="298"/>
        <v>11</v>
      </c>
      <c r="H3198" s="4">
        <f t="shared" si="304"/>
        <v>2023</v>
      </c>
      <c r="I3198" s="2" t="s">
        <v>4</v>
      </c>
      <c r="J3198" s="2" t="s">
        <v>4073</v>
      </c>
      <c r="K3198" s="2" t="s">
        <v>823</v>
      </c>
      <c r="L3198" s="2" t="s">
        <v>776</v>
      </c>
      <c r="M3198" s="2" t="s">
        <v>82</v>
      </c>
      <c r="N3198" s="4" t="str">
        <f t="shared" si="299"/>
        <v>GAL</v>
      </c>
      <c r="O3198" s="5">
        <v>250</v>
      </c>
    </row>
    <row r="3199" spans="2:15" x14ac:dyDescent="0.25">
      <c r="B3199" s="1" t="s">
        <v>1520</v>
      </c>
      <c r="C3199" s="2" t="s">
        <v>196</v>
      </c>
      <c r="D3199" s="2" t="s">
        <v>276</v>
      </c>
      <c r="E3199" s="2" t="s">
        <v>277</v>
      </c>
      <c r="F3199" s="3">
        <f>DATE(2023,11,10)</f>
        <v>45240</v>
      </c>
      <c r="G3199" s="4">
        <f t="shared" si="298"/>
        <v>11</v>
      </c>
      <c r="H3199" s="4">
        <f t="shared" si="304"/>
        <v>2023</v>
      </c>
      <c r="I3199" s="2" t="s">
        <v>4</v>
      </c>
      <c r="J3199" s="2" t="s">
        <v>4074</v>
      </c>
      <c r="K3199" s="2" t="s">
        <v>329</v>
      </c>
      <c r="L3199" s="2" t="s">
        <v>330</v>
      </c>
      <c r="M3199" s="2" t="s">
        <v>119</v>
      </c>
      <c r="N3199" s="4" t="str">
        <f t="shared" si="299"/>
        <v>TON</v>
      </c>
      <c r="O3199" s="5">
        <v>2.0074999999999998</v>
      </c>
    </row>
    <row r="3200" spans="2:15" x14ac:dyDescent="0.25">
      <c r="B3200" s="1" t="s">
        <v>1520</v>
      </c>
      <c r="C3200" s="2" t="s">
        <v>196</v>
      </c>
      <c r="D3200" s="2" t="s">
        <v>276</v>
      </c>
      <c r="E3200" s="2" t="s">
        <v>396</v>
      </c>
      <c r="F3200" s="3">
        <f>DATE(2023,11,10)</f>
        <v>45240</v>
      </c>
      <c r="G3200" s="4">
        <f t="shared" si="298"/>
        <v>11</v>
      </c>
      <c r="H3200" s="4">
        <f t="shared" si="304"/>
        <v>2023</v>
      </c>
      <c r="I3200" s="2" t="s">
        <v>4</v>
      </c>
      <c r="J3200" s="2" t="s">
        <v>4075</v>
      </c>
      <c r="K3200" s="2" t="s">
        <v>205</v>
      </c>
      <c r="L3200" s="2" t="s">
        <v>206</v>
      </c>
      <c r="M3200" s="2" t="s">
        <v>119</v>
      </c>
      <c r="N3200" s="4" t="str">
        <f t="shared" si="299"/>
        <v>TON</v>
      </c>
      <c r="O3200" s="5">
        <v>2.0024999999999999</v>
      </c>
    </row>
    <row r="3201" spans="2:15" x14ac:dyDescent="0.25">
      <c r="B3201" s="1" t="s">
        <v>1520</v>
      </c>
      <c r="C3201" s="2" t="s">
        <v>196</v>
      </c>
      <c r="D3201" s="2" t="s">
        <v>1706</v>
      </c>
      <c r="E3201" s="2" t="s">
        <v>102</v>
      </c>
      <c r="F3201" s="3">
        <f>DATE(2023,11,13)</f>
        <v>45243</v>
      </c>
      <c r="G3201" s="4">
        <f t="shared" si="298"/>
        <v>11</v>
      </c>
      <c r="H3201" s="4">
        <f t="shared" si="304"/>
        <v>2023</v>
      </c>
      <c r="I3201" s="2" t="s">
        <v>4</v>
      </c>
      <c r="J3201" s="2" t="s">
        <v>4076</v>
      </c>
      <c r="K3201" s="2" t="s">
        <v>205</v>
      </c>
      <c r="L3201" s="2" t="s">
        <v>206</v>
      </c>
      <c r="M3201" s="2" t="s">
        <v>119</v>
      </c>
      <c r="N3201" s="4" t="str">
        <f t="shared" si="299"/>
        <v>TON</v>
      </c>
      <c r="O3201" s="5">
        <v>2.5</v>
      </c>
    </row>
    <row r="3202" spans="2:15" x14ac:dyDescent="0.25">
      <c r="B3202" s="1" t="s">
        <v>1520</v>
      </c>
      <c r="C3202" s="2" t="s">
        <v>196</v>
      </c>
      <c r="D3202" s="2" t="s">
        <v>262</v>
      </c>
      <c r="E3202" s="2" t="s">
        <v>1226</v>
      </c>
      <c r="F3202" s="3">
        <f>DATE(2023,11,10)</f>
        <v>45240</v>
      </c>
      <c r="G3202" s="4">
        <f t="shared" si="298"/>
        <v>11</v>
      </c>
      <c r="H3202" s="4">
        <f t="shared" si="304"/>
        <v>2023</v>
      </c>
      <c r="I3202" s="2" t="s">
        <v>4</v>
      </c>
      <c r="J3202" s="2" t="s">
        <v>4077</v>
      </c>
      <c r="K3202" s="2" t="s">
        <v>329</v>
      </c>
      <c r="L3202" s="2" t="s">
        <v>330</v>
      </c>
      <c r="M3202" s="2" t="s">
        <v>119</v>
      </c>
      <c r="N3202" s="4" t="str">
        <f t="shared" si="299"/>
        <v>TON</v>
      </c>
      <c r="O3202" s="5">
        <v>3</v>
      </c>
    </row>
    <row r="3203" spans="2:15" x14ac:dyDescent="0.25">
      <c r="B3203" s="1" t="s">
        <v>1520</v>
      </c>
      <c r="C3203" s="2" t="s">
        <v>196</v>
      </c>
      <c r="D3203" s="2" t="s">
        <v>317</v>
      </c>
      <c r="E3203" s="2" t="s">
        <v>677</v>
      </c>
      <c r="F3203" s="3">
        <f t="shared" ref="F3203:F3209" si="305">DATE(2023,11,13)</f>
        <v>45243</v>
      </c>
      <c r="G3203" s="4">
        <f t="shared" ref="G3203:G3266" si="306">+MONTH(F3203)</f>
        <v>11</v>
      </c>
      <c r="H3203" s="4">
        <f t="shared" si="304"/>
        <v>2023</v>
      </c>
      <c r="I3203" s="2" t="s">
        <v>4</v>
      </c>
      <c r="J3203" s="2" t="s">
        <v>4078</v>
      </c>
      <c r="K3203" s="2" t="s">
        <v>117</v>
      </c>
      <c r="L3203" s="2" t="s">
        <v>118</v>
      </c>
      <c r="M3203" s="2" t="s">
        <v>119</v>
      </c>
      <c r="N3203" s="4" t="str">
        <f t="shared" ref="N3203:N3266" si="307">+LEFT(M3203,3)</f>
        <v>TON</v>
      </c>
      <c r="O3203" s="5">
        <v>7.52</v>
      </c>
    </row>
    <row r="3204" spans="2:15" x14ac:dyDescent="0.25">
      <c r="B3204" s="1" t="s">
        <v>1520</v>
      </c>
      <c r="C3204" s="2" t="s">
        <v>196</v>
      </c>
      <c r="D3204" s="2" t="s">
        <v>440</v>
      </c>
      <c r="E3204" s="2" t="s">
        <v>441</v>
      </c>
      <c r="F3204" s="3">
        <f t="shared" si="305"/>
        <v>45243</v>
      </c>
      <c r="G3204" s="4">
        <f t="shared" si="306"/>
        <v>11</v>
      </c>
      <c r="H3204" s="4">
        <f t="shared" si="304"/>
        <v>2023</v>
      </c>
      <c r="I3204" s="2" t="s">
        <v>4</v>
      </c>
      <c r="J3204" s="2" t="s">
        <v>4079</v>
      </c>
      <c r="K3204" s="2" t="s">
        <v>422</v>
      </c>
      <c r="L3204" s="2" t="s">
        <v>423</v>
      </c>
      <c r="M3204" s="2" t="s">
        <v>119</v>
      </c>
      <c r="N3204" s="4" t="str">
        <f t="shared" si="307"/>
        <v>TON</v>
      </c>
      <c r="O3204" s="5">
        <v>10.012499999999999</v>
      </c>
    </row>
    <row r="3205" spans="2:15" x14ac:dyDescent="0.25">
      <c r="B3205" s="1" t="s">
        <v>1520</v>
      </c>
      <c r="C3205" s="2" t="s">
        <v>196</v>
      </c>
      <c r="D3205" s="2" t="s">
        <v>475</v>
      </c>
      <c r="E3205" s="2" t="s">
        <v>476</v>
      </c>
      <c r="F3205" s="3">
        <f t="shared" si="305"/>
        <v>45243</v>
      </c>
      <c r="G3205" s="4">
        <f t="shared" si="306"/>
        <v>11</v>
      </c>
      <c r="H3205" s="4">
        <f t="shared" si="304"/>
        <v>2023</v>
      </c>
      <c r="I3205" s="2" t="s">
        <v>4</v>
      </c>
      <c r="J3205" s="2" t="s">
        <v>4080</v>
      </c>
      <c r="K3205" s="2" t="s">
        <v>478</v>
      </c>
      <c r="L3205" s="2" t="s">
        <v>479</v>
      </c>
      <c r="M3205" s="2" t="s">
        <v>119</v>
      </c>
      <c r="N3205" s="4" t="str">
        <f t="shared" si="307"/>
        <v>TON</v>
      </c>
      <c r="O3205" s="5">
        <v>15.035</v>
      </c>
    </row>
    <row r="3206" spans="2:15" x14ac:dyDescent="0.25">
      <c r="B3206" s="1" t="s">
        <v>1520</v>
      </c>
      <c r="C3206" s="2" t="s">
        <v>196</v>
      </c>
      <c r="D3206" s="2" t="s">
        <v>303</v>
      </c>
      <c r="E3206" s="2" t="s">
        <v>501</v>
      </c>
      <c r="F3206" s="3">
        <f t="shared" si="305"/>
        <v>45243</v>
      </c>
      <c r="G3206" s="4">
        <f t="shared" si="306"/>
        <v>11</v>
      </c>
      <c r="H3206" s="4">
        <f t="shared" si="304"/>
        <v>2023</v>
      </c>
      <c r="I3206" s="2" t="s">
        <v>4</v>
      </c>
      <c r="J3206" s="2" t="s">
        <v>4081</v>
      </c>
      <c r="K3206" s="2" t="s">
        <v>2635</v>
      </c>
      <c r="L3206" s="2" t="s">
        <v>2636</v>
      </c>
      <c r="M3206" s="2" t="s">
        <v>119</v>
      </c>
      <c r="N3206" s="4" t="str">
        <f t="shared" si="307"/>
        <v>TON</v>
      </c>
      <c r="O3206" s="5">
        <v>10.029999999999999</v>
      </c>
    </row>
    <row r="3207" spans="2:15" x14ac:dyDescent="0.25">
      <c r="B3207" s="1" t="s">
        <v>1520</v>
      </c>
      <c r="C3207" s="2" t="s">
        <v>196</v>
      </c>
      <c r="D3207" s="2" t="s">
        <v>303</v>
      </c>
      <c r="E3207" s="2" t="s">
        <v>501</v>
      </c>
      <c r="F3207" s="3">
        <f t="shared" si="305"/>
        <v>45243</v>
      </c>
      <c r="G3207" s="4">
        <f t="shared" si="306"/>
        <v>11</v>
      </c>
      <c r="H3207" s="4">
        <f t="shared" si="304"/>
        <v>2023</v>
      </c>
      <c r="I3207" s="2" t="s">
        <v>4</v>
      </c>
      <c r="J3207" s="2" t="s">
        <v>4081</v>
      </c>
      <c r="K3207" s="2" t="s">
        <v>3726</v>
      </c>
      <c r="L3207" s="2" t="s">
        <v>3727</v>
      </c>
      <c r="M3207" s="2" t="s">
        <v>145</v>
      </c>
      <c r="N3207" s="4" t="str">
        <f t="shared" si="307"/>
        <v>GAL</v>
      </c>
      <c r="O3207" s="5">
        <v>3.75</v>
      </c>
    </row>
    <row r="3208" spans="2:15" x14ac:dyDescent="0.25">
      <c r="B3208" s="1" t="s">
        <v>1520</v>
      </c>
      <c r="C3208" s="2" t="s">
        <v>196</v>
      </c>
      <c r="D3208" s="2" t="s">
        <v>241</v>
      </c>
      <c r="E3208" s="2" t="s">
        <v>258</v>
      </c>
      <c r="F3208" s="3">
        <f t="shared" si="305"/>
        <v>45243</v>
      </c>
      <c r="G3208" s="4">
        <f t="shared" si="306"/>
        <v>11</v>
      </c>
      <c r="H3208" s="4">
        <f t="shared" si="304"/>
        <v>2023</v>
      </c>
      <c r="I3208" s="2" t="s">
        <v>4</v>
      </c>
      <c r="J3208" s="2" t="s">
        <v>4082</v>
      </c>
      <c r="K3208" s="2" t="s">
        <v>3458</v>
      </c>
      <c r="L3208" s="2" t="s">
        <v>3459</v>
      </c>
      <c r="M3208" s="2" t="s">
        <v>119</v>
      </c>
      <c r="N3208" s="4" t="str">
        <f t="shared" si="307"/>
        <v>TON</v>
      </c>
      <c r="O3208" s="5">
        <v>2.2475000000000001</v>
      </c>
    </row>
    <row r="3209" spans="2:15" x14ac:dyDescent="0.25">
      <c r="B3209" s="1" t="s">
        <v>1520</v>
      </c>
      <c r="C3209" s="2" t="s">
        <v>196</v>
      </c>
      <c r="D3209" s="2" t="s">
        <v>262</v>
      </c>
      <c r="E3209" s="2" t="s">
        <v>728</v>
      </c>
      <c r="F3209" s="3">
        <f t="shared" si="305"/>
        <v>45243</v>
      </c>
      <c r="G3209" s="4">
        <f t="shared" si="306"/>
        <v>11</v>
      </c>
      <c r="H3209" s="4">
        <f t="shared" si="304"/>
        <v>2023</v>
      </c>
      <c r="I3209" s="2" t="s">
        <v>4</v>
      </c>
      <c r="J3209" s="2" t="s">
        <v>4083</v>
      </c>
      <c r="K3209" s="2" t="s">
        <v>329</v>
      </c>
      <c r="L3209" s="2" t="s">
        <v>330</v>
      </c>
      <c r="M3209" s="2" t="s">
        <v>119</v>
      </c>
      <c r="N3209" s="4" t="str">
        <f t="shared" si="307"/>
        <v>TON</v>
      </c>
      <c r="O3209" s="5">
        <v>14.01</v>
      </c>
    </row>
    <row r="3210" spans="2:15" x14ac:dyDescent="0.25">
      <c r="B3210" s="1" t="s">
        <v>1520</v>
      </c>
      <c r="C3210" s="2" t="s">
        <v>196</v>
      </c>
      <c r="D3210" s="2" t="s">
        <v>224</v>
      </c>
      <c r="E3210" s="2" t="s">
        <v>141</v>
      </c>
      <c r="F3210" s="3">
        <f t="shared" ref="F3210:F3218" si="308">DATE(2023,11,14)</f>
        <v>45244</v>
      </c>
      <c r="G3210" s="4">
        <f t="shared" si="306"/>
        <v>11</v>
      </c>
      <c r="H3210" s="4">
        <f t="shared" si="304"/>
        <v>2023</v>
      </c>
      <c r="I3210" s="2" t="s">
        <v>4</v>
      </c>
      <c r="J3210" s="2" t="s">
        <v>4084</v>
      </c>
      <c r="K3210" s="2" t="s">
        <v>220</v>
      </c>
      <c r="L3210" s="2" t="s">
        <v>201</v>
      </c>
      <c r="M3210" s="2" t="s">
        <v>202</v>
      </c>
      <c r="N3210" s="4" t="str">
        <f t="shared" si="307"/>
        <v>GAL</v>
      </c>
      <c r="O3210" s="5">
        <v>250</v>
      </c>
    </row>
    <row r="3211" spans="2:15" x14ac:dyDescent="0.25">
      <c r="B3211" s="1" t="s">
        <v>1520</v>
      </c>
      <c r="C3211" s="2" t="s">
        <v>196</v>
      </c>
      <c r="D3211" s="2" t="s">
        <v>374</v>
      </c>
      <c r="E3211" s="2" t="s">
        <v>424</v>
      </c>
      <c r="F3211" s="3">
        <f t="shared" si="308"/>
        <v>45244</v>
      </c>
      <c r="G3211" s="4">
        <f t="shared" si="306"/>
        <v>11</v>
      </c>
      <c r="H3211" s="4">
        <f t="shared" si="304"/>
        <v>2023</v>
      </c>
      <c r="I3211" s="2" t="s">
        <v>4</v>
      </c>
      <c r="J3211" s="2" t="s">
        <v>4085</v>
      </c>
      <c r="K3211" s="2" t="s">
        <v>329</v>
      </c>
      <c r="L3211" s="2" t="s">
        <v>330</v>
      </c>
      <c r="M3211" s="2" t="s">
        <v>119</v>
      </c>
      <c r="N3211" s="4" t="str">
        <f t="shared" si="307"/>
        <v>TON</v>
      </c>
      <c r="O3211" s="5">
        <v>4.0175000000000001</v>
      </c>
    </row>
    <row r="3212" spans="2:15" x14ac:dyDescent="0.25">
      <c r="B3212" s="1" t="s">
        <v>1520</v>
      </c>
      <c r="C3212" s="2" t="s">
        <v>196</v>
      </c>
      <c r="D3212" s="2" t="s">
        <v>3764</v>
      </c>
      <c r="E3212" s="2" t="s">
        <v>3765</v>
      </c>
      <c r="F3212" s="3">
        <f t="shared" si="308"/>
        <v>45244</v>
      </c>
      <c r="G3212" s="4">
        <f t="shared" si="306"/>
        <v>11</v>
      </c>
      <c r="H3212" s="4">
        <f t="shared" si="304"/>
        <v>2023</v>
      </c>
      <c r="I3212" s="2" t="s">
        <v>4</v>
      </c>
      <c r="J3212" s="2" t="s">
        <v>4086</v>
      </c>
      <c r="K3212" s="2" t="s">
        <v>205</v>
      </c>
      <c r="L3212" s="2" t="s">
        <v>206</v>
      </c>
      <c r="M3212" s="2" t="s">
        <v>119</v>
      </c>
      <c r="N3212" s="4" t="str">
        <f t="shared" si="307"/>
        <v>TON</v>
      </c>
      <c r="O3212" s="5">
        <v>1.2649999999999999</v>
      </c>
    </row>
    <row r="3213" spans="2:15" x14ac:dyDescent="0.25">
      <c r="B3213" s="1" t="s">
        <v>1520</v>
      </c>
      <c r="C3213" s="2" t="s">
        <v>196</v>
      </c>
      <c r="D3213" s="2" t="s">
        <v>387</v>
      </c>
      <c r="E3213" s="2" t="s">
        <v>797</v>
      </c>
      <c r="F3213" s="3">
        <f t="shared" si="308"/>
        <v>45244</v>
      </c>
      <c r="G3213" s="4">
        <f t="shared" si="306"/>
        <v>11</v>
      </c>
      <c r="H3213" s="4">
        <f t="shared" si="304"/>
        <v>2023</v>
      </c>
      <c r="I3213" s="2" t="s">
        <v>4</v>
      </c>
      <c r="J3213" s="2" t="s">
        <v>4087</v>
      </c>
      <c r="K3213" s="2" t="s">
        <v>422</v>
      </c>
      <c r="L3213" s="2" t="s">
        <v>423</v>
      </c>
      <c r="M3213" s="2" t="s">
        <v>119</v>
      </c>
      <c r="N3213" s="4" t="str">
        <f t="shared" si="307"/>
        <v>TON</v>
      </c>
      <c r="O3213" s="5">
        <v>10</v>
      </c>
    </row>
    <row r="3214" spans="2:15" x14ac:dyDescent="0.25">
      <c r="B3214" s="1" t="s">
        <v>1520</v>
      </c>
      <c r="C3214" s="2" t="s">
        <v>196</v>
      </c>
      <c r="D3214" s="2" t="s">
        <v>387</v>
      </c>
      <c r="E3214" s="2" t="s">
        <v>797</v>
      </c>
      <c r="F3214" s="3">
        <f t="shared" si="308"/>
        <v>45244</v>
      </c>
      <c r="G3214" s="4">
        <f t="shared" si="306"/>
        <v>11</v>
      </c>
      <c r="H3214" s="4">
        <f t="shared" si="304"/>
        <v>2023</v>
      </c>
      <c r="I3214" s="2" t="s">
        <v>4</v>
      </c>
      <c r="J3214" s="2" t="s">
        <v>4087</v>
      </c>
      <c r="K3214" s="2" t="s">
        <v>3726</v>
      </c>
      <c r="L3214" s="2" t="s">
        <v>3727</v>
      </c>
      <c r="M3214" s="2" t="s">
        <v>145</v>
      </c>
      <c r="N3214" s="4" t="str">
        <f t="shared" si="307"/>
        <v>GAL</v>
      </c>
      <c r="O3214" s="5">
        <v>3.65</v>
      </c>
    </row>
    <row r="3215" spans="2:15" x14ac:dyDescent="0.25">
      <c r="B3215" s="1" t="s">
        <v>1520</v>
      </c>
      <c r="C3215" s="2" t="s">
        <v>196</v>
      </c>
      <c r="D3215" s="2" t="s">
        <v>669</v>
      </c>
      <c r="E3215" s="2" t="s">
        <v>861</v>
      </c>
      <c r="F3215" s="3">
        <f t="shared" si="308"/>
        <v>45244</v>
      </c>
      <c r="G3215" s="4">
        <f t="shared" si="306"/>
        <v>11</v>
      </c>
      <c r="H3215" s="4">
        <f t="shared" si="304"/>
        <v>2023</v>
      </c>
      <c r="I3215" s="2" t="s">
        <v>4</v>
      </c>
      <c r="J3215" s="2" t="s">
        <v>4088</v>
      </c>
      <c r="K3215" s="2" t="s">
        <v>384</v>
      </c>
      <c r="L3215" s="2" t="s">
        <v>385</v>
      </c>
      <c r="M3215" s="2" t="s">
        <v>119</v>
      </c>
      <c r="N3215" s="4" t="str">
        <f t="shared" si="307"/>
        <v>TON</v>
      </c>
      <c r="O3215" s="5">
        <v>4.0199999999999996</v>
      </c>
    </row>
    <row r="3216" spans="2:15" x14ac:dyDescent="0.25">
      <c r="B3216" s="1" t="s">
        <v>1520</v>
      </c>
      <c r="C3216" s="2" t="s">
        <v>196</v>
      </c>
      <c r="D3216" s="2" t="s">
        <v>197</v>
      </c>
      <c r="E3216" s="2" t="s">
        <v>198</v>
      </c>
      <c r="F3216" s="3">
        <f t="shared" si="308"/>
        <v>45244</v>
      </c>
      <c r="G3216" s="4">
        <f t="shared" si="306"/>
        <v>11</v>
      </c>
      <c r="H3216" s="4">
        <f t="shared" si="304"/>
        <v>2023</v>
      </c>
      <c r="I3216" s="2" t="s">
        <v>4</v>
      </c>
      <c r="J3216" s="2" t="s">
        <v>4089</v>
      </c>
      <c r="K3216" s="2" t="s">
        <v>307</v>
      </c>
      <c r="L3216" s="2" t="s">
        <v>308</v>
      </c>
      <c r="M3216" s="2" t="s">
        <v>119</v>
      </c>
      <c r="N3216" s="4" t="str">
        <f t="shared" si="307"/>
        <v>TON</v>
      </c>
      <c r="O3216" s="5">
        <v>4</v>
      </c>
    </row>
    <row r="3217" spans="2:15" x14ac:dyDescent="0.25">
      <c r="B3217" s="1" t="s">
        <v>1520</v>
      </c>
      <c r="C3217" s="2" t="s">
        <v>196</v>
      </c>
      <c r="D3217" s="2" t="s">
        <v>458</v>
      </c>
      <c r="E3217" s="2" t="s">
        <v>1177</v>
      </c>
      <c r="F3217" s="3">
        <f t="shared" si="308"/>
        <v>45244</v>
      </c>
      <c r="G3217" s="4">
        <f t="shared" si="306"/>
        <v>11</v>
      </c>
      <c r="H3217" s="4">
        <f t="shared" si="304"/>
        <v>2023</v>
      </c>
      <c r="I3217" s="2" t="s">
        <v>4</v>
      </c>
      <c r="J3217" s="2" t="s">
        <v>4090</v>
      </c>
      <c r="K3217" s="2" t="s">
        <v>205</v>
      </c>
      <c r="L3217" s="2" t="s">
        <v>206</v>
      </c>
      <c r="M3217" s="2" t="s">
        <v>119</v>
      </c>
      <c r="N3217" s="4" t="str">
        <f t="shared" si="307"/>
        <v>TON</v>
      </c>
      <c r="O3217" s="5">
        <v>3</v>
      </c>
    </row>
    <row r="3218" spans="2:15" x14ac:dyDescent="0.25">
      <c r="B3218" s="1" t="s">
        <v>1520</v>
      </c>
      <c r="C3218" s="2" t="s">
        <v>196</v>
      </c>
      <c r="D3218" s="2" t="s">
        <v>280</v>
      </c>
      <c r="E3218" s="2" t="s">
        <v>254</v>
      </c>
      <c r="F3218" s="3">
        <f t="shared" si="308"/>
        <v>45244</v>
      </c>
      <c r="G3218" s="4">
        <f t="shared" si="306"/>
        <v>11</v>
      </c>
      <c r="H3218" s="4">
        <f t="shared" si="304"/>
        <v>2023</v>
      </c>
      <c r="I3218" s="2" t="s">
        <v>4</v>
      </c>
      <c r="J3218" s="2" t="s">
        <v>4091</v>
      </c>
      <c r="K3218" s="2" t="s">
        <v>117</v>
      </c>
      <c r="L3218" s="2" t="s">
        <v>118</v>
      </c>
      <c r="M3218" s="2" t="s">
        <v>119</v>
      </c>
      <c r="N3218" s="4" t="str">
        <f t="shared" si="307"/>
        <v>TON</v>
      </c>
      <c r="O3218" s="5">
        <v>14.994999999999999</v>
      </c>
    </row>
    <row r="3219" spans="2:15" x14ac:dyDescent="0.25">
      <c r="B3219" s="1" t="s">
        <v>1520</v>
      </c>
      <c r="C3219" s="2" t="s">
        <v>196</v>
      </c>
      <c r="D3219" s="2" t="s">
        <v>299</v>
      </c>
      <c r="E3219" s="2" t="s">
        <v>4092</v>
      </c>
      <c r="F3219" s="3">
        <f t="shared" ref="F3219:F3229" si="309">DATE(2023,11,15)</f>
        <v>45245</v>
      </c>
      <c r="G3219" s="4">
        <f t="shared" si="306"/>
        <v>11</v>
      </c>
      <c r="H3219" s="4">
        <f t="shared" si="304"/>
        <v>2023</v>
      </c>
      <c r="I3219" s="2" t="s">
        <v>4</v>
      </c>
      <c r="J3219" s="2" t="s">
        <v>4093</v>
      </c>
      <c r="K3219" s="2" t="s">
        <v>117</v>
      </c>
      <c r="L3219" s="2" t="s">
        <v>118</v>
      </c>
      <c r="M3219" s="2" t="s">
        <v>119</v>
      </c>
      <c r="N3219" s="4" t="str">
        <f t="shared" si="307"/>
        <v>TON</v>
      </c>
      <c r="O3219" s="5">
        <v>7.5</v>
      </c>
    </row>
    <row r="3220" spans="2:15" x14ac:dyDescent="0.25">
      <c r="B3220" s="1" t="s">
        <v>1520</v>
      </c>
      <c r="C3220" s="2" t="s">
        <v>196</v>
      </c>
      <c r="D3220" s="2" t="s">
        <v>114</v>
      </c>
      <c r="E3220" s="2" t="s">
        <v>1304</v>
      </c>
      <c r="F3220" s="3">
        <f t="shared" si="309"/>
        <v>45245</v>
      </c>
      <c r="G3220" s="4">
        <f t="shared" si="306"/>
        <v>11</v>
      </c>
      <c r="H3220" s="4">
        <f t="shared" si="304"/>
        <v>2023</v>
      </c>
      <c r="I3220" s="2" t="s">
        <v>4</v>
      </c>
      <c r="J3220" s="2" t="s">
        <v>4094</v>
      </c>
      <c r="K3220" s="2" t="s">
        <v>117</v>
      </c>
      <c r="L3220" s="2" t="s">
        <v>118</v>
      </c>
      <c r="M3220" s="2" t="s">
        <v>119</v>
      </c>
      <c r="N3220" s="4" t="str">
        <f t="shared" si="307"/>
        <v>TON</v>
      </c>
      <c r="O3220" s="5">
        <v>2.2675000000000001</v>
      </c>
    </row>
    <row r="3221" spans="2:15" x14ac:dyDescent="0.25">
      <c r="B3221" s="1" t="s">
        <v>1520</v>
      </c>
      <c r="C3221" s="2" t="s">
        <v>196</v>
      </c>
      <c r="D3221" s="2" t="s">
        <v>232</v>
      </c>
      <c r="E3221" s="2" t="s">
        <v>233</v>
      </c>
      <c r="F3221" s="3">
        <f t="shared" si="309"/>
        <v>45245</v>
      </c>
      <c r="G3221" s="4">
        <f t="shared" si="306"/>
        <v>11</v>
      </c>
      <c r="H3221" s="4">
        <f t="shared" si="304"/>
        <v>2023</v>
      </c>
      <c r="I3221" s="2" t="s">
        <v>4</v>
      </c>
      <c r="J3221" s="2" t="s">
        <v>4095</v>
      </c>
      <c r="K3221" s="2" t="s">
        <v>205</v>
      </c>
      <c r="L3221" s="2" t="s">
        <v>206</v>
      </c>
      <c r="M3221" s="2" t="s">
        <v>119</v>
      </c>
      <c r="N3221" s="4" t="str">
        <f t="shared" si="307"/>
        <v>TON</v>
      </c>
      <c r="O3221" s="5">
        <v>5</v>
      </c>
    </row>
    <row r="3222" spans="2:15" x14ac:dyDescent="0.25">
      <c r="B3222" s="1" t="s">
        <v>1520</v>
      </c>
      <c r="C3222" s="2" t="s">
        <v>196</v>
      </c>
      <c r="D3222" s="2" t="s">
        <v>672</v>
      </c>
      <c r="E3222" s="2" t="s">
        <v>699</v>
      </c>
      <c r="F3222" s="3">
        <f t="shared" si="309"/>
        <v>45245</v>
      </c>
      <c r="G3222" s="4">
        <f t="shared" si="306"/>
        <v>11</v>
      </c>
      <c r="H3222" s="4">
        <f t="shared" si="304"/>
        <v>2023</v>
      </c>
      <c r="I3222" s="2" t="s">
        <v>4</v>
      </c>
      <c r="J3222" s="2" t="s">
        <v>4096</v>
      </c>
      <c r="K3222" s="2" t="s">
        <v>251</v>
      </c>
      <c r="L3222" s="2" t="s">
        <v>252</v>
      </c>
      <c r="M3222" s="2" t="s">
        <v>119</v>
      </c>
      <c r="N3222" s="4" t="str">
        <f t="shared" si="307"/>
        <v>TON</v>
      </c>
      <c r="O3222" s="5">
        <v>9.0075000000000003</v>
      </c>
    </row>
    <row r="3223" spans="2:15" x14ac:dyDescent="0.25">
      <c r="B3223" s="1" t="s">
        <v>1520</v>
      </c>
      <c r="C3223" s="2" t="s">
        <v>196</v>
      </c>
      <c r="D3223" s="2" t="s">
        <v>1276</v>
      </c>
      <c r="E3223" s="2" t="s">
        <v>1277</v>
      </c>
      <c r="F3223" s="3">
        <f t="shared" si="309"/>
        <v>45245</v>
      </c>
      <c r="G3223" s="4">
        <f t="shared" si="306"/>
        <v>11</v>
      </c>
      <c r="H3223" s="4">
        <f t="shared" si="304"/>
        <v>2023</v>
      </c>
      <c r="I3223" s="2" t="s">
        <v>4</v>
      </c>
      <c r="J3223" s="2" t="s">
        <v>4097</v>
      </c>
      <c r="K3223" s="2" t="s">
        <v>334</v>
      </c>
      <c r="L3223" s="2" t="s">
        <v>335</v>
      </c>
      <c r="M3223" s="2" t="s">
        <v>119</v>
      </c>
      <c r="N3223" s="4" t="str">
        <f t="shared" si="307"/>
        <v>TON</v>
      </c>
      <c r="O3223" s="5">
        <v>7.7675000000000001</v>
      </c>
    </row>
    <row r="3224" spans="2:15" x14ac:dyDescent="0.25">
      <c r="B3224" s="1" t="s">
        <v>1520</v>
      </c>
      <c r="C3224" s="2" t="s">
        <v>196</v>
      </c>
      <c r="D3224" s="2" t="s">
        <v>4098</v>
      </c>
      <c r="E3224" s="2" t="s">
        <v>695</v>
      </c>
      <c r="F3224" s="3">
        <f t="shared" si="309"/>
        <v>45245</v>
      </c>
      <c r="G3224" s="4">
        <f t="shared" si="306"/>
        <v>11</v>
      </c>
      <c r="H3224" s="4">
        <f t="shared" si="304"/>
        <v>2023</v>
      </c>
      <c r="I3224" s="2" t="s">
        <v>4</v>
      </c>
      <c r="J3224" s="2" t="s">
        <v>4099</v>
      </c>
      <c r="K3224" s="2" t="s">
        <v>329</v>
      </c>
      <c r="L3224" s="2" t="s">
        <v>330</v>
      </c>
      <c r="M3224" s="2" t="s">
        <v>119</v>
      </c>
      <c r="N3224" s="4" t="str">
        <f t="shared" si="307"/>
        <v>TON</v>
      </c>
      <c r="O3224" s="5">
        <v>2.5</v>
      </c>
    </row>
    <row r="3225" spans="2:15" x14ac:dyDescent="0.25">
      <c r="B3225" s="1" t="s">
        <v>1520</v>
      </c>
      <c r="C3225" s="2" t="s">
        <v>196</v>
      </c>
      <c r="D3225" s="2" t="s">
        <v>227</v>
      </c>
      <c r="E3225" s="2" t="s">
        <v>56</v>
      </c>
      <c r="F3225" s="3">
        <f t="shared" si="309"/>
        <v>45245</v>
      </c>
      <c r="G3225" s="4">
        <f t="shared" si="306"/>
        <v>11</v>
      </c>
      <c r="H3225" s="4">
        <f t="shared" si="304"/>
        <v>2023</v>
      </c>
      <c r="I3225" s="2" t="s">
        <v>4</v>
      </c>
      <c r="J3225" s="2" t="s">
        <v>4100</v>
      </c>
      <c r="K3225" s="2" t="s">
        <v>823</v>
      </c>
      <c r="L3225" s="2" t="s">
        <v>776</v>
      </c>
      <c r="M3225" s="2" t="s">
        <v>82</v>
      </c>
      <c r="N3225" s="4" t="str">
        <f t="shared" si="307"/>
        <v>GAL</v>
      </c>
      <c r="O3225" s="5">
        <v>250</v>
      </c>
    </row>
    <row r="3226" spans="2:15" x14ac:dyDescent="0.25">
      <c r="B3226" s="1" t="s">
        <v>1520</v>
      </c>
      <c r="C3226" s="2" t="s">
        <v>196</v>
      </c>
      <c r="D3226" s="2" t="s">
        <v>452</v>
      </c>
      <c r="E3226" s="2" t="s">
        <v>1611</v>
      </c>
      <c r="F3226" s="3">
        <f t="shared" si="309"/>
        <v>45245</v>
      </c>
      <c r="G3226" s="4">
        <f t="shared" si="306"/>
        <v>11</v>
      </c>
      <c r="H3226" s="4">
        <f t="shared" si="304"/>
        <v>2023</v>
      </c>
      <c r="I3226" s="2" t="s">
        <v>4</v>
      </c>
      <c r="J3226" s="2" t="s">
        <v>4101</v>
      </c>
      <c r="K3226" s="2" t="s">
        <v>220</v>
      </c>
      <c r="L3226" s="2" t="s">
        <v>201</v>
      </c>
      <c r="M3226" s="2" t="s">
        <v>202</v>
      </c>
      <c r="N3226" s="4" t="str">
        <f t="shared" si="307"/>
        <v>GAL</v>
      </c>
      <c r="O3226" s="5">
        <v>250</v>
      </c>
    </row>
    <row r="3227" spans="2:15" x14ac:dyDescent="0.25">
      <c r="B3227" s="1" t="s">
        <v>1520</v>
      </c>
      <c r="C3227" s="2" t="s">
        <v>196</v>
      </c>
      <c r="D3227" s="2" t="s">
        <v>321</v>
      </c>
      <c r="E3227" s="2" t="s">
        <v>697</v>
      </c>
      <c r="F3227" s="3">
        <f t="shared" si="309"/>
        <v>45245</v>
      </c>
      <c r="G3227" s="4">
        <f t="shared" si="306"/>
        <v>11</v>
      </c>
      <c r="H3227" s="4">
        <f t="shared" si="304"/>
        <v>2023</v>
      </c>
      <c r="I3227" s="2" t="s">
        <v>4</v>
      </c>
      <c r="J3227" s="2" t="s">
        <v>4102</v>
      </c>
      <c r="K3227" s="2" t="s">
        <v>324</v>
      </c>
      <c r="L3227" s="2" t="s">
        <v>325</v>
      </c>
      <c r="M3227" s="2" t="s">
        <v>119</v>
      </c>
      <c r="N3227" s="4" t="str">
        <f t="shared" si="307"/>
        <v>TON</v>
      </c>
      <c r="O3227" s="5">
        <v>10</v>
      </c>
    </row>
    <row r="3228" spans="2:15" x14ac:dyDescent="0.25">
      <c r="B3228" s="1" t="s">
        <v>1520</v>
      </c>
      <c r="C3228" s="2" t="s">
        <v>196</v>
      </c>
      <c r="D3228" s="2" t="s">
        <v>321</v>
      </c>
      <c r="E3228" s="2" t="s">
        <v>353</v>
      </c>
      <c r="F3228" s="3">
        <f t="shared" si="309"/>
        <v>45245</v>
      </c>
      <c r="G3228" s="4">
        <f t="shared" si="306"/>
        <v>11</v>
      </c>
      <c r="H3228" s="4">
        <f t="shared" si="304"/>
        <v>2023</v>
      </c>
      <c r="I3228" s="2" t="s">
        <v>4</v>
      </c>
      <c r="J3228" s="2" t="s">
        <v>4103</v>
      </c>
      <c r="K3228" s="2" t="s">
        <v>324</v>
      </c>
      <c r="L3228" s="2" t="s">
        <v>325</v>
      </c>
      <c r="M3228" s="2" t="s">
        <v>119</v>
      </c>
      <c r="N3228" s="4" t="str">
        <f t="shared" si="307"/>
        <v>TON</v>
      </c>
      <c r="O3228" s="5">
        <v>7.5</v>
      </c>
    </row>
    <row r="3229" spans="2:15" x14ac:dyDescent="0.25">
      <c r="B3229" s="1" t="s">
        <v>1520</v>
      </c>
      <c r="C3229" s="2" t="s">
        <v>196</v>
      </c>
      <c r="D3229" s="2" t="s">
        <v>120</v>
      </c>
      <c r="E3229" s="2" t="s">
        <v>850</v>
      </c>
      <c r="F3229" s="3">
        <f t="shared" si="309"/>
        <v>45245</v>
      </c>
      <c r="G3229" s="4">
        <f t="shared" si="306"/>
        <v>11</v>
      </c>
      <c r="H3229" s="4">
        <f t="shared" si="304"/>
        <v>2023</v>
      </c>
      <c r="I3229" s="2" t="s">
        <v>4</v>
      </c>
      <c r="J3229" s="2" t="s">
        <v>4104</v>
      </c>
      <c r="K3229" s="2" t="s">
        <v>329</v>
      </c>
      <c r="L3229" s="2" t="s">
        <v>330</v>
      </c>
      <c r="M3229" s="2" t="s">
        <v>119</v>
      </c>
      <c r="N3229" s="4" t="str">
        <f t="shared" si="307"/>
        <v>TON</v>
      </c>
      <c r="O3229" s="5">
        <v>1.2575000000000001</v>
      </c>
    </row>
    <row r="3230" spans="2:15" x14ac:dyDescent="0.25">
      <c r="B3230" s="1" t="s">
        <v>1520</v>
      </c>
      <c r="C3230" s="2" t="s">
        <v>196</v>
      </c>
      <c r="D3230" s="2" t="s">
        <v>4013</v>
      </c>
      <c r="E3230" s="2" t="s">
        <v>102</v>
      </c>
      <c r="F3230" s="3">
        <f t="shared" ref="F3230:F3243" si="310">DATE(2023,11,16)</f>
        <v>45246</v>
      </c>
      <c r="G3230" s="4">
        <f t="shared" si="306"/>
        <v>11</v>
      </c>
      <c r="H3230" s="4">
        <f t="shared" si="304"/>
        <v>2023</v>
      </c>
      <c r="I3230" s="2" t="s">
        <v>4</v>
      </c>
      <c r="J3230" s="2" t="s">
        <v>4105</v>
      </c>
      <c r="K3230" s="2" t="s">
        <v>268</v>
      </c>
      <c r="L3230" s="2" t="s">
        <v>269</v>
      </c>
      <c r="M3230" s="2" t="s">
        <v>119</v>
      </c>
      <c r="N3230" s="4" t="str">
        <f t="shared" si="307"/>
        <v>TON</v>
      </c>
      <c r="O3230" s="5">
        <v>0.3</v>
      </c>
    </row>
    <row r="3231" spans="2:15" x14ac:dyDescent="0.25">
      <c r="B3231" s="1" t="s">
        <v>1520</v>
      </c>
      <c r="C3231" s="2" t="s">
        <v>196</v>
      </c>
      <c r="D3231" s="2" t="s">
        <v>458</v>
      </c>
      <c r="E3231" s="2" t="s">
        <v>2868</v>
      </c>
      <c r="F3231" s="3">
        <f t="shared" si="310"/>
        <v>45246</v>
      </c>
      <c r="G3231" s="4">
        <f t="shared" si="306"/>
        <v>11</v>
      </c>
      <c r="H3231" s="4">
        <f t="shared" si="304"/>
        <v>2023</v>
      </c>
      <c r="I3231" s="2" t="s">
        <v>4</v>
      </c>
      <c r="J3231" s="2" t="s">
        <v>4106</v>
      </c>
      <c r="K3231" s="2" t="s">
        <v>329</v>
      </c>
      <c r="L3231" s="2" t="s">
        <v>330</v>
      </c>
      <c r="M3231" s="2" t="s">
        <v>119</v>
      </c>
      <c r="N3231" s="4" t="str">
        <f t="shared" si="307"/>
        <v>TON</v>
      </c>
      <c r="O3231" s="5">
        <v>5</v>
      </c>
    </row>
    <row r="3232" spans="2:15" x14ac:dyDescent="0.25">
      <c r="B3232" s="1" t="s">
        <v>1520</v>
      </c>
      <c r="C3232" s="2" t="s">
        <v>196</v>
      </c>
      <c r="D3232" s="2" t="s">
        <v>294</v>
      </c>
      <c r="E3232" s="2" t="s">
        <v>295</v>
      </c>
      <c r="F3232" s="3">
        <f t="shared" si="310"/>
        <v>45246</v>
      </c>
      <c r="G3232" s="4">
        <f t="shared" si="306"/>
        <v>11</v>
      </c>
      <c r="H3232" s="4">
        <f t="shared" si="304"/>
        <v>2023</v>
      </c>
      <c r="I3232" s="2" t="s">
        <v>4</v>
      </c>
      <c r="J3232" s="2" t="s">
        <v>4107</v>
      </c>
      <c r="K3232" s="2" t="s">
        <v>122</v>
      </c>
      <c r="L3232" s="2" t="s">
        <v>123</v>
      </c>
      <c r="M3232" s="2" t="s">
        <v>119</v>
      </c>
      <c r="N3232" s="4" t="str">
        <f t="shared" si="307"/>
        <v>TON</v>
      </c>
      <c r="O3232" s="5">
        <v>7.5149999999999997</v>
      </c>
    </row>
    <row r="3233" spans="2:15" x14ac:dyDescent="0.25">
      <c r="B3233" s="1" t="s">
        <v>1520</v>
      </c>
      <c r="C3233" s="2" t="s">
        <v>196</v>
      </c>
      <c r="D3233" s="2" t="s">
        <v>114</v>
      </c>
      <c r="E3233" s="2" t="s">
        <v>274</v>
      </c>
      <c r="F3233" s="3">
        <f t="shared" si="310"/>
        <v>45246</v>
      </c>
      <c r="G3233" s="4">
        <f t="shared" si="306"/>
        <v>11</v>
      </c>
      <c r="H3233" s="4">
        <f t="shared" si="304"/>
        <v>2023</v>
      </c>
      <c r="I3233" s="2" t="s">
        <v>4</v>
      </c>
      <c r="J3233" s="2" t="s">
        <v>4108</v>
      </c>
      <c r="K3233" s="2" t="s">
        <v>117</v>
      </c>
      <c r="L3233" s="2" t="s">
        <v>118</v>
      </c>
      <c r="M3233" s="2" t="s">
        <v>119</v>
      </c>
      <c r="N3233" s="4" t="str">
        <f t="shared" si="307"/>
        <v>TON</v>
      </c>
      <c r="O3233" s="5">
        <v>8.7624999999999993</v>
      </c>
    </row>
    <row r="3234" spans="2:15" x14ac:dyDescent="0.25">
      <c r="B3234" s="1" t="s">
        <v>1520</v>
      </c>
      <c r="C3234" s="2" t="s">
        <v>196</v>
      </c>
      <c r="D3234" s="2" t="s">
        <v>280</v>
      </c>
      <c r="E3234" s="2" t="s">
        <v>434</v>
      </c>
      <c r="F3234" s="3">
        <f t="shared" si="310"/>
        <v>45246</v>
      </c>
      <c r="G3234" s="4">
        <f t="shared" si="306"/>
        <v>11</v>
      </c>
      <c r="H3234" s="4">
        <f t="shared" si="304"/>
        <v>2023</v>
      </c>
      <c r="I3234" s="2" t="s">
        <v>4</v>
      </c>
      <c r="J3234" s="2" t="s">
        <v>4109</v>
      </c>
      <c r="K3234" s="2" t="s">
        <v>117</v>
      </c>
      <c r="L3234" s="2" t="s">
        <v>118</v>
      </c>
      <c r="M3234" s="2" t="s">
        <v>119</v>
      </c>
      <c r="N3234" s="4" t="str">
        <f t="shared" si="307"/>
        <v>TON</v>
      </c>
      <c r="O3234" s="5">
        <v>8.5325000000000006</v>
      </c>
    </row>
    <row r="3235" spans="2:15" x14ac:dyDescent="0.25">
      <c r="B3235" s="1" t="s">
        <v>1520</v>
      </c>
      <c r="C3235" s="2" t="s">
        <v>196</v>
      </c>
      <c r="D3235" s="2" t="s">
        <v>265</v>
      </c>
      <c r="E3235" s="2" t="s">
        <v>266</v>
      </c>
      <c r="F3235" s="3">
        <f t="shared" si="310"/>
        <v>45246</v>
      </c>
      <c r="G3235" s="4">
        <f t="shared" si="306"/>
        <v>11</v>
      </c>
      <c r="H3235" s="4">
        <f t="shared" si="304"/>
        <v>2023</v>
      </c>
      <c r="I3235" s="2" t="s">
        <v>4</v>
      </c>
      <c r="J3235" s="2" t="s">
        <v>4110</v>
      </c>
      <c r="K3235" s="2" t="s">
        <v>268</v>
      </c>
      <c r="L3235" s="2" t="s">
        <v>269</v>
      </c>
      <c r="M3235" s="2" t="s">
        <v>119</v>
      </c>
      <c r="N3235" s="4" t="str">
        <f t="shared" si="307"/>
        <v>TON</v>
      </c>
      <c r="O3235" s="5">
        <v>0.3</v>
      </c>
    </row>
    <row r="3236" spans="2:15" x14ac:dyDescent="0.25">
      <c r="B3236" s="1" t="s">
        <v>1520</v>
      </c>
      <c r="C3236" s="2" t="s">
        <v>196</v>
      </c>
      <c r="D3236" s="2" t="s">
        <v>276</v>
      </c>
      <c r="E3236" s="2" t="s">
        <v>682</v>
      </c>
      <c r="F3236" s="3">
        <f t="shared" si="310"/>
        <v>45246</v>
      </c>
      <c r="G3236" s="4">
        <f t="shared" si="306"/>
        <v>11</v>
      </c>
      <c r="H3236" s="4">
        <f t="shared" si="304"/>
        <v>2023</v>
      </c>
      <c r="I3236" s="2" t="s">
        <v>4</v>
      </c>
      <c r="J3236" s="2" t="s">
        <v>4111</v>
      </c>
      <c r="K3236" s="2" t="s">
        <v>329</v>
      </c>
      <c r="L3236" s="2" t="s">
        <v>330</v>
      </c>
      <c r="M3236" s="2" t="s">
        <v>119</v>
      </c>
      <c r="N3236" s="4" t="str">
        <f t="shared" si="307"/>
        <v>TON</v>
      </c>
      <c r="O3236" s="5">
        <v>10.0075</v>
      </c>
    </row>
    <row r="3237" spans="2:15" x14ac:dyDescent="0.25">
      <c r="B3237" s="1" t="s">
        <v>1520</v>
      </c>
      <c r="C3237" s="2" t="s">
        <v>196</v>
      </c>
      <c r="D3237" s="2" t="s">
        <v>276</v>
      </c>
      <c r="E3237" s="2" t="s">
        <v>682</v>
      </c>
      <c r="F3237" s="3">
        <f t="shared" si="310"/>
        <v>45246</v>
      </c>
      <c r="G3237" s="4">
        <f t="shared" si="306"/>
        <v>11</v>
      </c>
      <c r="H3237" s="4">
        <f t="shared" si="304"/>
        <v>2023</v>
      </c>
      <c r="I3237" s="2" t="s">
        <v>4</v>
      </c>
      <c r="J3237" s="2" t="s">
        <v>4112</v>
      </c>
      <c r="K3237" s="2" t="s">
        <v>329</v>
      </c>
      <c r="L3237" s="2" t="s">
        <v>330</v>
      </c>
      <c r="M3237" s="2" t="s">
        <v>119</v>
      </c>
      <c r="N3237" s="4" t="str">
        <f t="shared" si="307"/>
        <v>TON</v>
      </c>
      <c r="O3237" s="5">
        <v>10.012499999999999</v>
      </c>
    </row>
    <row r="3238" spans="2:15" x14ac:dyDescent="0.25">
      <c r="B3238" s="1" t="s">
        <v>1520</v>
      </c>
      <c r="C3238" s="2" t="s">
        <v>196</v>
      </c>
      <c r="D3238" s="2" t="s">
        <v>215</v>
      </c>
      <c r="E3238" s="2" t="s">
        <v>4113</v>
      </c>
      <c r="F3238" s="3">
        <f t="shared" si="310"/>
        <v>45246</v>
      </c>
      <c r="G3238" s="4">
        <f t="shared" si="306"/>
        <v>11</v>
      </c>
      <c r="H3238" s="4">
        <f t="shared" si="304"/>
        <v>2023</v>
      </c>
      <c r="I3238" s="2" t="s">
        <v>4</v>
      </c>
      <c r="J3238" s="2" t="s">
        <v>4114</v>
      </c>
      <c r="K3238" s="2" t="s">
        <v>205</v>
      </c>
      <c r="L3238" s="2" t="s">
        <v>206</v>
      </c>
      <c r="M3238" s="2" t="s">
        <v>119</v>
      </c>
      <c r="N3238" s="4" t="str">
        <f t="shared" si="307"/>
        <v>TON</v>
      </c>
      <c r="O3238" s="5">
        <v>10.0075</v>
      </c>
    </row>
    <row r="3239" spans="2:15" x14ac:dyDescent="0.25">
      <c r="B3239" s="1" t="s">
        <v>1520</v>
      </c>
      <c r="C3239" s="2" t="s">
        <v>196</v>
      </c>
      <c r="D3239" s="2" t="s">
        <v>3761</v>
      </c>
      <c r="E3239" s="2" t="s">
        <v>102</v>
      </c>
      <c r="F3239" s="3">
        <f t="shared" si="310"/>
        <v>45246</v>
      </c>
      <c r="G3239" s="4">
        <f t="shared" si="306"/>
        <v>11</v>
      </c>
      <c r="H3239" s="4">
        <f t="shared" si="304"/>
        <v>2023</v>
      </c>
      <c r="I3239" s="2" t="s">
        <v>4</v>
      </c>
      <c r="J3239" s="2" t="s">
        <v>4115</v>
      </c>
      <c r="K3239" s="2" t="s">
        <v>158</v>
      </c>
      <c r="L3239" s="2" t="s">
        <v>159</v>
      </c>
      <c r="M3239" s="2" t="s">
        <v>160</v>
      </c>
      <c r="N3239" s="4" t="str">
        <f t="shared" si="307"/>
        <v>GAL</v>
      </c>
      <c r="O3239" s="5">
        <v>40</v>
      </c>
    </row>
    <row r="3240" spans="2:15" x14ac:dyDescent="0.25">
      <c r="B3240" s="1" t="s">
        <v>1520</v>
      </c>
      <c r="C3240" s="2" t="s">
        <v>196</v>
      </c>
      <c r="D3240" s="2" t="s">
        <v>215</v>
      </c>
      <c r="E3240" s="2" t="s">
        <v>4113</v>
      </c>
      <c r="F3240" s="3">
        <f t="shared" si="310"/>
        <v>45246</v>
      </c>
      <c r="G3240" s="4">
        <f t="shared" si="306"/>
        <v>11</v>
      </c>
      <c r="H3240" s="4">
        <f t="shared" si="304"/>
        <v>2023</v>
      </c>
      <c r="I3240" s="2" t="s">
        <v>4</v>
      </c>
      <c r="J3240" s="2" t="s">
        <v>4116</v>
      </c>
      <c r="K3240" s="2" t="s">
        <v>205</v>
      </c>
      <c r="L3240" s="2" t="s">
        <v>206</v>
      </c>
      <c r="M3240" s="2" t="s">
        <v>119</v>
      </c>
      <c r="N3240" s="4" t="str">
        <f t="shared" si="307"/>
        <v>TON</v>
      </c>
      <c r="O3240" s="5">
        <v>5.0149999999999997</v>
      </c>
    </row>
    <row r="3241" spans="2:15" x14ac:dyDescent="0.25">
      <c r="B3241" s="1" t="s">
        <v>1520</v>
      </c>
      <c r="C3241" s="2" t="s">
        <v>196</v>
      </c>
      <c r="D3241" s="2" t="s">
        <v>276</v>
      </c>
      <c r="E3241" s="2" t="s">
        <v>878</v>
      </c>
      <c r="F3241" s="3">
        <f t="shared" si="310"/>
        <v>45246</v>
      </c>
      <c r="G3241" s="4">
        <f t="shared" si="306"/>
        <v>11</v>
      </c>
      <c r="H3241" s="4">
        <f t="shared" si="304"/>
        <v>2023</v>
      </c>
      <c r="I3241" s="2" t="s">
        <v>4</v>
      </c>
      <c r="J3241" s="2" t="s">
        <v>4117</v>
      </c>
      <c r="K3241" s="2" t="s">
        <v>329</v>
      </c>
      <c r="L3241" s="2" t="s">
        <v>330</v>
      </c>
      <c r="M3241" s="2" t="s">
        <v>119</v>
      </c>
      <c r="N3241" s="4" t="str">
        <f t="shared" si="307"/>
        <v>TON</v>
      </c>
      <c r="O3241" s="5">
        <v>10.0025</v>
      </c>
    </row>
    <row r="3242" spans="2:15" x14ac:dyDescent="0.25">
      <c r="B3242" s="1" t="s">
        <v>1520</v>
      </c>
      <c r="C3242" s="2" t="s">
        <v>196</v>
      </c>
      <c r="D3242" s="2" t="s">
        <v>800</v>
      </c>
      <c r="E3242" s="2" t="s">
        <v>1134</v>
      </c>
      <c r="F3242" s="3">
        <f t="shared" si="310"/>
        <v>45246</v>
      </c>
      <c r="G3242" s="4">
        <f t="shared" si="306"/>
        <v>11</v>
      </c>
      <c r="H3242" s="4">
        <f t="shared" si="304"/>
        <v>2023</v>
      </c>
      <c r="I3242" s="2" t="s">
        <v>4</v>
      </c>
      <c r="J3242" s="2" t="s">
        <v>4118</v>
      </c>
      <c r="K3242" s="2" t="s">
        <v>329</v>
      </c>
      <c r="L3242" s="2" t="s">
        <v>330</v>
      </c>
      <c r="M3242" s="2" t="s">
        <v>119</v>
      </c>
      <c r="N3242" s="4" t="str">
        <f t="shared" si="307"/>
        <v>TON</v>
      </c>
      <c r="O3242" s="5">
        <v>2.7574999999999998</v>
      </c>
    </row>
    <row r="3243" spans="2:15" x14ac:dyDescent="0.25">
      <c r="B3243" s="1" t="s">
        <v>1520</v>
      </c>
      <c r="C3243" s="2" t="s">
        <v>196</v>
      </c>
      <c r="D3243" s="2" t="s">
        <v>114</v>
      </c>
      <c r="E3243" s="2" t="s">
        <v>927</v>
      </c>
      <c r="F3243" s="3">
        <f t="shared" si="310"/>
        <v>45246</v>
      </c>
      <c r="G3243" s="4">
        <f t="shared" si="306"/>
        <v>11</v>
      </c>
      <c r="H3243" s="4">
        <f t="shared" si="304"/>
        <v>2023</v>
      </c>
      <c r="I3243" s="2" t="s">
        <v>4</v>
      </c>
      <c r="J3243" s="2" t="s">
        <v>4119</v>
      </c>
      <c r="K3243" s="2" t="s">
        <v>117</v>
      </c>
      <c r="L3243" s="2" t="s">
        <v>118</v>
      </c>
      <c r="M3243" s="2" t="s">
        <v>119</v>
      </c>
      <c r="N3243" s="4" t="str">
        <f t="shared" si="307"/>
        <v>TON</v>
      </c>
      <c r="O3243" s="5">
        <v>10.01</v>
      </c>
    </row>
    <row r="3244" spans="2:15" x14ac:dyDescent="0.25">
      <c r="B3244" s="1" t="s">
        <v>1520</v>
      </c>
      <c r="C3244" s="2" t="s">
        <v>196</v>
      </c>
      <c r="D3244" s="2" t="s">
        <v>3761</v>
      </c>
      <c r="E3244" s="2" t="s">
        <v>102</v>
      </c>
      <c r="F3244" s="3">
        <f t="shared" ref="F3244:F3265" si="311">DATE(2023,11,17)</f>
        <v>45247</v>
      </c>
      <c r="G3244" s="4">
        <f t="shared" si="306"/>
        <v>11</v>
      </c>
      <c r="H3244" s="4">
        <f t="shared" si="304"/>
        <v>2023</v>
      </c>
      <c r="I3244" s="2" t="s">
        <v>4</v>
      </c>
      <c r="J3244" s="2" t="s">
        <v>4120</v>
      </c>
      <c r="K3244" s="2" t="s">
        <v>329</v>
      </c>
      <c r="L3244" s="2" t="s">
        <v>330</v>
      </c>
      <c r="M3244" s="2" t="s">
        <v>119</v>
      </c>
      <c r="N3244" s="4" t="str">
        <f t="shared" si="307"/>
        <v>TON</v>
      </c>
      <c r="O3244" s="5">
        <v>7.5</v>
      </c>
    </row>
    <row r="3245" spans="2:15" x14ac:dyDescent="0.25">
      <c r="B3245" s="1" t="s">
        <v>1520</v>
      </c>
      <c r="C3245" s="2" t="s">
        <v>196</v>
      </c>
      <c r="D3245" s="2" t="s">
        <v>3761</v>
      </c>
      <c r="E3245" s="2" t="s">
        <v>3762</v>
      </c>
      <c r="F3245" s="3">
        <f t="shared" si="311"/>
        <v>45247</v>
      </c>
      <c r="G3245" s="4">
        <f t="shared" si="306"/>
        <v>11</v>
      </c>
      <c r="H3245" s="4">
        <f t="shared" si="304"/>
        <v>2023</v>
      </c>
      <c r="I3245" s="2" t="s">
        <v>4</v>
      </c>
      <c r="J3245" s="2" t="s">
        <v>4121</v>
      </c>
      <c r="K3245" s="2" t="s">
        <v>205</v>
      </c>
      <c r="L3245" s="2" t="s">
        <v>206</v>
      </c>
      <c r="M3245" s="2" t="s">
        <v>119</v>
      </c>
      <c r="N3245" s="4" t="str">
        <f t="shared" si="307"/>
        <v>TON</v>
      </c>
      <c r="O3245" s="5">
        <v>2.5</v>
      </c>
    </row>
    <row r="3246" spans="2:15" x14ac:dyDescent="0.25">
      <c r="B3246" s="1" t="s">
        <v>1520</v>
      </c>
      <c r="C3246" s="2" t="s">
        <v>196</v>
      </c>
      <c r="D3246" s="2" t="s">
        <v>4034</v>
      </c>
      <c r="E3246" s="2" t="s">
        <v>102</v>
      </c>
      <c r="F3246" s="3">
        <f t="shared" si="311"/>
        <v>45247</v>
      </c>
      <c r="G3246" s="4">
        <f t="shared" si="306"/>
        <v>11</v>
      </c>
      <c r="H3246" s="4">
        <f t="shared" si="304"/>
        <v>2023</v>
      </c>
      <c r="I3246" s="2" t="s">
        <v>4</v>
      </c>
      <c r="J3246" s="2" t="s">
        <v>4122</v>
      </c>
      <c r="K3246" s="2" t="s">
        <v>329</v>
      </c>
      <c r="L3246" s="2" t="s">
        <v>330</v>
      </c>
      <c r="M3246" s="2" t="s">
        <v>119</v>
      </c>
      <c r="N3246" s="4" t="str">
        <f t="shared" si="307"/>
        <v>TON</v>
      </c>
      <c r="O3246" s="5">
        <v>5</v>
      </c>
    </row>
    <row r="3247" spans="2:15" x14ac:dyDescent="0.25">
      <c r="B3247" s="1" t="s">
        <v>1520</v>
      </c>
      <c r="C3247" s="2" t="s">
        <v>196</v>
      </c>
      <c r="D3247" s="2" t="s">
        <v>452</v>
      </c>
      <c r="E3247" s="2" t="s">
        <v>453</v>
      </c>
      <c r="F3247" s="3">
        <f t="shared" si="311"/>
        <v>45247</v>
      </c>
      <c r="G3247" s="4">
        <f t="shared" si="306"/>
        <v>11</v>
      </c>
      <c r="H3247" s="4">
        <f t="shared" si="304"/>
        <v>2023</v>
      </c>
      <c r="I3247" s="2" t="s">
        <v>4</v>
      </c>
      <c r="J3247" s="2" t="s">
        <v>4123</v>
      </c>
      <c r="K3247" s="2" t="s">
        <v>117</v>
      </c>
      <c r="L3247" s="2" t="s">
        <v>118</v>
      </c>
      <c r="M3247" s="2" t="s">
        <v>119</v>
      </c>
      <c r="N3247" s="4" t="str">
        <f t="shared" si="307"/>
        <v>TON</v>
      </c>
      <c r="O3247" s="5">
        <v>3.51</v>
      </c>
    </row>
    <row r="3248" spans="2:15" x14ac:dyDescent="0.25">
      <c r="B3248" s="1" t="s">
        <v>1520</v>
      </c>
      <c r="C3248" s="2" t="s">
        <v>196</v>
      </c>
      <c r="D3248" s="2" t="s">
        <v>215</v>
      </c>
      <c r="E3248" s="2" t="s">
        <v>315</v>
      </c>
      <c r="F3248" s="3">
        <f t="shared" si="311"/>
        <v>45247</v>
      </c>
      <c r="G3248" s="4">
        <f t="shared" si="306"/>
        <v>11</v>
      </c>
      <c r="H3248" s="4">
        <f t="shared" si="304"/>
        <v>2023</v>
      </c>
      <c r="I3248" s="2" t="s">
        <v>4</v>
      </c>
      <c r="J3248" s="2" t="s">
        <v>4124</v>
      </c>
      <c r="K3248" s="2" t="s">
        <v>447</v>
      </c>
      <c r="L3248" s="2" t="s">
        <v>448</v>
      </c>
      <c r="M3248" s="2" t="s">
        <v>119</v>
      </c>
      <c r="N3248" s="4" t="str">
        <f t="shared" si="307"/>
        <v>TON</v>
      </c>
      <c r="O3248" s="5">
        <v>4</v>
      </c>
    </row>
    <row r="3249" spans="2:15" x14ac:dyDescent="0.25">
      <c r="B3249" s="1" t="s">
        <v>1520</v>
      </c>
      <c r="C3249" s="2" t="s">
        <v>196</v>
      </c>
      <c r="D3249" s="2" t="s">
        <v>210</v>
      </c>
      <c r="E3249" s="2" t="s">
        <v>962</v>
      </c>
      <c r="F3249" s="3">
        <f t="shared" si="311"/>
        <v>45247</v>
      </c>
      <c r="G3249" s="4">
        <f t="shared" si="306"/>
        <v>11</v>
      </c>
      <c r="H3249" s="4">
        <f t="shared" si="304"/>
        <v>2023</v>
      </c>
      <c r="I3249" s="2" t="s">
        <v>4</v>
      </c>
      <c r="J3249" s="2" t="s">
        <v>4125</v>
      </c>
      <c r="K3249" s="2" t="s">
        <v>489</v>
      </c>
      <c r="L3249" s="2" t="s">
        <v>490</v>
      </c>
      <c r="M3249" s="2" t="s">
        <v>119</v>
      </c>
      <c r="N3249" s="4" t="str">
        <f t="shared" si="307"/>
        <v>TON</v>
      </c>
      <c r="O3249" s="5">
        <v>10.012499999999999</v>
      </c>
    </row>
    <row r="3250" spans="2:15" x14ac:dyDescent="0.25">
      <c r="B3250" s="1" t="s">
        <v>1520</v>
      </c>
      <c r="C3250" s="2" t="s">
        <v>196</v>
      </c>
      <c r="D3250" s="2" t="s">
        <v>210</v>
      </c>
      <c r="E3250" s="2" t="s">
        <v>827</v>
      </c>
      <c r="F3250" s="3">
        <f t="shared" si="311"/>
        <v>45247</v>
      </c>
      <c r="G3250" s="4">
        <f t="shared" si="306"/>
        <v>11</v>
      </c>
      <c r="H3250" s="4">
        <f t="shared" si="304"/>
        <v>2023</v>
      </c>
      <c r="I3250" s="2" t="s">
        <v>4</v>
      </c>
      <c r="J3250" s="2" t="s">
        <v>4126</v>
      </c>
      <c r="K3250" s="2" t="s">
        <v>351</v>
      </c>
      <c r="L3250" s="2" t="s">
        <v>352</v>
      </c>
      <c r="M3250" s="2" t="s">
        <v>119</v>
      </c>
      <c r="N3250" s="4" t="str">
        <f t="shared" si="307"/>
        <v>TON</v>
      </c>
      <c r="O3250" s="5">
        <v>5</v>
      </c>
    </row>
    <row r="3251" spans="2:15" x14ac:dyDescent="0.25">
      <c r="B3251" s="1" t="s">
        <v>1520</v>
      </c>
      <c r="C3251" s="2" t="s">
        <v>196</v>
      </c>
      <c r="D3251" s="2" t="s">
        <v>248</v>
      </c>
      <c r="E3251" s="2" t="s">
        <v>1620</v>
      </c>
      <c r="F3251" s="3">
        <f t="shared" si="311"/>
        <v>45247</v>
      </c>
      <c r="G3251" s="4">
        <f t="shared" si="306"/>
        <v>11</v>
      </c>
      <c r="H3251" s="4">
        <f t="shared" si="304"/>
        <v>2023</v>
      </c>
      <c r="I3251" s="2" t="s">
        <v>4</v>
      </c>
      <c r="J3251" s="2" t="s">
        <v>4127</v>
      </c>
      <c r="K3251" s="2" t="s">
        <v>3606</v>
      </c>
      <c r="L3251" s="2" t="s">
        <v>3607</v>
      </c>
      <c r="M3251" s="2" t="s">
        <v>119</v>
      </c>
      <c r="N3251" s="4" t="str">
        <f t="shared" si="307"/>
        <v>TON</v>
      </c>
      <c r="O3251" s="5">
        <v>15.0075</v>
      </c>
    </row>
    <row r="3252" spans="2:15" x14ac:dyDescent="0.25">
      <c r="B3252" s="1" t="s">
        <v>1520</v>
      </c>
      <c r="C3252" s="2" t="s">
        <v>196</v>
      </c>
      <c r="D3252" s="2" t="s">
        <v>120</v>
      </c>
      <c r="E3252" s="2" t="s">
        <v>468</v>
      </c>
      <c r="F3252" s="3">
        <f t="shared" si="311"/>
        <v>45247</v>
      </c>
      <c r="G3252" s="4">
        <f t="shared" si="306"/>
        <v>11</v>
      </c>
      <c r="H3252" s="4">
        <f t="shared" si="304"/>
        <v>2023</v>
      </c>
      <c r="I3252" s="2" t="s">
        <v>4</v>
      </c>
      <c r="J3252" s="2" t="s">
        <v>4128</v>
      </c>
      <c r="K3252" s="2" t="s">
        <v>122</v>
      </c>
      <c r="L3252" s="2" t="s">
        <v>123</v>
      </c>
      <c r="M3252" s="2" t="s">
        <v>119</v>
      </c>
      <c r="N3252" s="4" t="str">
        <f t="shared" si="307"/>
        <v>TON</v>
      </c>
      <c r="O3252" s="5">
        <v>0.15</v>
      </c>
    </row>
    <row r="3253" spans="2:15" x14ac:dyDescent="0.25">
      <c r="B3253" s="1" t="s">
        <v>1520</v>
      </c>
      <c r="C3253" s="2" t="s">
        <v>196</v>
      </c>
      <c r="D3253" s="2" t="s">
        <v>310</v>
      </c>
      <c r="E3253" s="2" t="s">
        <v>426</v>
      </c>
      <c r="F3253" s="3">
        <f t="shared" si="311"/>
        <v>45247</v>
      </c>
      <c r="G3253" s="4">
        <f t="shared" si="306"/>
        <v>11</v>
      </c>
      <c r="H3253" s="4">
        <f t="shared" si="304"/>
        <v>2023</v>
      </c>
      <c r="I3253" s="2" t="s">
        <v>4</v>
      </c>
      <c r="J3253" s="2" t="s">
        <v>4129</v>
      </c>
      <c r="K3253" s="2" t="s">
        <v>428</v>
      </c>
      <c r="L3253" s="2" t="s">
        <v>429</v>
      </c>
      <c r="M3253" s="2" t="s">
        <v>119</v>
      </c>
      <c r="N3253" s="4" t="str">
        <f t="shared" si="307"/>
        <v>TON</v>
      </c>
      <c r="O3253" s="5">
        <v>2.9950000000000001</v>
      </c>
    </row>
    <row r="3254" spans="2:15" x14ac:dyDescent="0.25">
      <c r="B3254" s="1" t="s">
        <v>1520</v>
      </c>
      <c r="C3254" s="2" t="s">
        <v>196</v>
      </c>
      <c r="D3254" s="2" t="s">
        <v>452</v>
      </c>
      <c r="E3254" s="2" t="s">
        <v>222</v>
      </c>
      <c r="F3254" s="3">
        <f t="shared" si="311"/>
        <v>45247</v>
      </c>
      <c r="G3254" s="4">
        <f t="shared" si="306"/>
        <v>11</v>
      </c>
      <c r="H3254" s="4">
        <f t="shared" si="304"/>
        <v>2023</v>
      </c>
      <c r="I3254" s="2" t="s">
        <v>4</v>
      </c>
      <c r="J3254" s="2" t="s">
        <v>4130</v>
      </c>
      <c r="K3254" s="2" t="s">
        <v>447</v>
      </c>
      <c r="L3254" s="2" t="s">
        <v>448</v>
      </c>
      <c r="M3254" s="2" t="s">
        <v>119</v>
      </c>
      <c r="N3254" s="4" t="str">
        <f t="shared" si="307"/>
        <v>TON</v>
      </c>
      <c r="O3254" s="5">
        <v>2.4975000000000001</v>
      </c>
    </row>
    <row r="3255" spans="2:15" x14ac:dyDescent="0.25">
      <c r="B3255" s="1" t="s">
        <v>1520</v>
      </c>
      <c r="C3255" s="2" t="s">
        <v>196</v>
      </c>
      <c r="D3255" s="2" t="s">
        <v>3767</v>
      </c>
      <c r="E3255" s="2" t="s">
        <v>3768</v>
      </c>
      <c r="F3255" s="3">
        <f t="shared" si="311"/>
        <v>45247</v>
      </c>
      <c r="G3255" s="4">
        <f t="shared" si="306"/>
        <v>11</v>
      </c>
      <c r="H3255" s="4">
        <f t="shared" si="304"/>
        <v>2023</v>
      </c>
      <c r="I3255" s="2" t="s">
        <v>4</v>
      </c>
      <c r="J3255" s="2" t="s">
        <v>4131</v>
      </c>
      <c r="K3255" s="2" t="s">
        <v>205</v>
      </c>
      <c r="L3255" s="2" t="s">
        <v>206</v>
      </c>
      <c r="M3255" s="2" t="s">
        <v>119</v>
      </c>
      <c r="N3255" s="4" t="str">
        <f t="shared" si="307"/>
        <v>TON</v>
      </c>
      <c r="O3255" s="5">
        <v>1.27</v>
      </c>
    </row>
    <row r="3256" spans="2:15" x14ac:dyDescent="0.25">
      <c r="B3256" s="1" t="s">
        <v>1520</v>
      </c>
      <c r="C3256" s="2" t="s">
        <v>196</v>
      </c>
      <c r="D3256" s="2" t="s">
        <v>2764</v>
      </c>
      <c r="E3256" s="2" t="s">
        <v>102</v>
      </c>
      <c r="F3256" s="3">
        <f t="shared" si="311"/>
        <v>45247</v>
      </c>
      <c r="G3256" s="4">
        <f t="shared" si="306"/>
        <v>11</v>
      </c>
      <c r="H3256" s="4">
        <f t="shared" si="304"/>
        <v>2023</v>
      </c>
      <c r="I3256" s="2" t="s">
        <v>4</v>
      </c>
      <c r="J3256" s="2" t="s">
        <v>4132</v>
      </c>
      <c r="K3256" s="2" t="s">
        <v>865</v>
      </c>
      <c r="L3256" s="2" t="s">
        <v>866</v>
      </c>
      <c r="M3256" s="2" t="s">
        <v>119</v>
      </c>
      <c r="N3256" s="4" t="str">
        <f t="shared" si="307"/>
        <v>TON</v>
      </c>
      <c r="O3256" s="5">
        <v>2.5</v>
      </c>
    </row>
    <row r="3257" spans="2:15" x14ac:dyDescent="0.25">
      <c r="B3257" s="1" t="s">
        <v>1520</v>
      </c>
      <c r="C3257" s="2" t="s">
        <v>196</v>
      </c>
      <c r="D3257" s="2" t="s">
        <v>120</v>
      </c>
      <c r="E3257" s="2" t="s">
        <v>878</v>
      </c>
      <c r="F3257" s="3">
        <f t="shared" si="311"/>
        <v>45247</v>
      </c>
      <c r="G3257" s="4">
        <f t="shared" si="306"/>
        <v>11</v>
      </c>
      <c r="H3257" s="4">
        <f t="shared" si="304"/>
        <v>2023</v>
      </c>
      <c r="I3257" s="2" t="s">
        <v>4</v>
      </c>
      <c r="J3257" s="2" t="s">
        <v>4133</v>
      </c>
      <c r="K3257" s="2" t="s">
        <v>122</v>
      </c>
      <c r="L3257" s="2" t="s">
        <v>123</v>
      </c>
      <c r="M3257" s="2" t="s">
        <v>119</v>
      </c>
      <c r="N3257" s="4" t="str">
        <f t="shared" si="307"/>
        <v>TON</v>
      </c>
      <c r="O3257" s="5">
        <v>1</v>
      </c>
    </row>
    <row r="3258" spans="2:15" x14ac:dyDescent="0.25">
      <c r="B3258" s="1" t="s">
        <v>1520</v>
      </c>
      <c r="C3258" s="2" t="s">
        <v>196</v>
      </c>
      <c r="D3258" s="2" t="s">
        <v>303</v>
      </c>
      <c r="E3258" s="2" t="s">
        <v>1998</v>
      </c>
      <c r="F3258" s="3">
        <f t="shared" si="311"/>
        <v>45247</v>
      </c>
      <c r="G3258" s="4">
        <f t="shared" si="306"/>
        <v>11</v>
      </c>
      <c r="H3258" s="4">
        <f t="shared" si="304"/>
        <v>2023</v>
      </c>
      <c r="I3258" s="2" t="s">
        <v>4</v>
      </c>
      <c r="J3258" s="2" t="s">
        <v>4134</v>
      </c>
      <c r="K3258" s="2" t="s">
        <v>2635</v>
      </c>
      <c r="L3258" s="2" t="s">
        <v>2636</v>
      </c>
      <c r="M3258" s="2" t="s">
        <v>119</v>
      </c>
      <c r="N3258" s="4" t="str">
        <f t="shared" si="307"/>
        <v>TON</v>
      </c>
      <c r="O3258" s="5">
        <v>7.51</v>
      </c>
    </row>
    <row r="3259" spans="2:15" x14ac:dyDescent="0.25">
      <c r="B3259" s="1" t="s">
        <v>1520</v>
      </c>
      <c r="C3259" s="2" t="s">
        <v>196</v>
      </c>
      <c r="D3259" s="2" t="s">
        <v>303</v>
      </c>
      <c r="E3259" s="2" t="s">
        <v>1998</v>
      </c>
      <c r="F3259" s="3">
        <f t="shared" si="311"/>
        <v>45247</v>
      </c>
      <c r="G3259" s="4">
        <f t="shared" si="306"/>
        <v>11</v>
      </c>
      <c r="H3259" s="4">
        <f t="shared" ref="H3259:H3322" si="312">+YEAR(F3259)</f>
        <v>2023</v>
      </c>
      <c r="I3259" s="2" t="s">
        <v>4</v>
      </c>
      <c r="J3259" s="2" t="s">
        <v>4134</v>
      </c>
      <c r="K3259" s="2" t="s">
        <v>3726</v>
      </c>
      <c r="L3259" s="2" t="s">
        <v>3727</v>
      </c>
      <c r="M3259" s="2" t="s">
        <v>145</v>
      </c>
      <c r="N3259" s="4" t="str">
        <f t="shared" si="307"/>
        <v>GAL</v>
      </c>
      <c r="O3259" s="5">
        <v>2.8125</v>
      </c>
    </row>
    <row r="3260" spans="2:15" x14ac:dyDescent="0.25">
      <c r="B3260" s="1" t="s">
        <v>1520</v>
      </c>
      <c r="C3260" s="2" t="s">
        <v>196</v>
      </c>
      <c r="D3260" s="2" t="s">
        <v>890</v>
      </c>
      <c r="E3260" s="2" t="s">
        <v>891</v>
      </c>
      <c r="F3260" s="3">
        <f t="shared" si="311"/>
        <v>45247</v>
      </c>
      <c r="G3260" s="4">
        <f t="shared" si="306"/>
        <v>11</v>
      </c>
      <c r="H3260" s="4">
        <f t="shared" si="312"/>
        <v>2023</v>
      </c>
      <c r="I3260" s="2" t="s">
        <v>4</v>
      </c>
      <c r="J3260" s="2" t="s">
        <v>4135</v>
      </c>
      <c r="K3260" s="2" t="s">
        <v>205</v>
      </c>
      <c r="L3260" s="2" t="s">
        <v>206</v>
      </c>
      <c r="M3260" s="2" t="s">
        <v>119</v>
      </c>
      <c r="N3260" s="4" t="str">
        <f t="shared" si="307"/>
        <v>TON</v>
      </c>
      <c r="O3260" s="5">
        <v>7.02</v>
      </c>
    </row>
    <row r="3261" spans="2:15" x14ac:dyDescent="0.25">
      <c r="B3261" s="1" t="s">
        <v>1520</v>
      </c>
      <c r="C3261" s="2" t="s">
        <v>196</v>
      </c>
      <c r="D3261" s="2" t="s">
        <v>232</v>
      </c>
      <c r="E3261" s="2" t="s">
        <v>778</v>
      </c>
      <c r="F3261" s="3">
        <f t="shared" si="311"/>
        <v>45247</v>
      </c>
      <c r="G3261" s="4">
        <f t="shared" si="306"/>
        <v>11</v>
      </c>
      <c r="H3261" s="4">
        <f t="shared" si="312"/>
        <v>2023</v>
      </c>
      <c r="I3261" s="2" t="s">
        <v>4</v>
      </c>
      <c r="J3261" s="2" t="s">
        <v>4136</v>
      </c>
      <c r="K3261" s="2" t="s">
        <v>205</v>
      </c>
      <c r="L3261" s="2" t="s">
        <v>206</v>
      </c>
      <c r="M3261" s="2" t="s">
        <v>119</v>
      </c>
      <c r="N3261" s="4" t="str">
        <f t="shared" si="307"/>
        <v>TON</v>
      </c>
      <c r="O3261" s="5">
        <v>6</v>
      </c>
    </row>
    <row r="3262" spans="2:15" x14ac:dyDescent="0.25">
      <c r="B3262" s="1" t="s">
        <v>1520</v>
      </c>
      <c r="C3262" s="2" t="s">
        <v>196</v>
      </c>
      <c r="D3262" s="2" t="s">
        <v>4013</v>
      </c>
      <c r="E3262" s="2" t="s">
        <v>102</v>
      </c>
      <c r="F3262" s="3">
        <f t="shared" si="311"/>
        <v>45247</v>
      </c>
      <c r="G3262" s="4">
        <f t="shared" si="306"/>
        <v>11</v>
      </c>
      <c r="H3262" s="4">
        <f t="shared" si="312"/>
        <v>2023</v>
      </c>
      <c r="I3262" s="2" t="s">
        <v>4</v>
      </c>
      <c r="J3262" s="2" t="s">
        <v>4137</v>
      </c>
      <c r="K3262" s="2" t="s">
        <v>158</v>
      </c>
      <c r="L3262" s="2" t="s">
        <v>159</v>
      </c>
      <c r="M3262" s="2" t="s">
        <v>160</v>
      </c>
      <c r="N3262" s="4" t="str">
        <f t="shared" si="307"/>
        <v>GAL</v>
      </c>
      <c r="O3262" s="5">
        <v>5</v>
      </c>
    </row>
    <row r="3263" spans="2:15" x14ac:dyDescent="0.25">
      <c r="B3263" s="1" t="s">
        <v>1520</v>
      </c>
      <c r="C3263" s="2" t="s">
        <v>196</v>
      </c>
      <c r="D3263" s="2" t="s">
        <v>4013</v>
      </c>
      <c r="E3263" s="2" t="s">
        <v>102</v>
      </c>
      <c r="F3263" s="3">
        <f t="shared" si="311"/>
        <v>45247</v>
      </c>
      <c r="G3263" s="4">
        <f t="shared" si="306"/>
        <v>11</v>
      </c>
      <c r="H3263" s="4">
        <f t="shared" si="312"/>
        <v>2023</v>
      </c>
      <c r="I3263" s="2" t="s">
        <v>4</v>
      </c>
      <c r="J3263" s="2" t="s">
        <v>4138</v>
      </c>
      <c r="K3263" s="2" t="s">
        <v>268</v>
      </c>
      <c r="L3263" s="2" t="s">
        <v>269</v>
      </c>
      <c r="M3263" s="2" t="s">
        <v>119</v>
      </c>
      <c r="N3263" s="4" t="str">
        <f t="shared" si="307"/>
        <v>TON</v>
      </c>
      <c r="O3263" s="5">
        <v>0.15</v>
      </c>
    </row>
    <row r="3264" spans="2:15" x14ac:dyDescent="0.25">
      <c r="B3264" s="1" t="s">
        <v>1520</v>
      </c>
      <c r="C3264" s="2" t="s">
        <v>196</v>
      </c>
      <c r="D3264" s="2" t="s">
        <v>374</v>
      </c>
      <c r="E3264" s="2" t="s">
        <v>710</v>
      </c>
      <c r="F3264" s="3">
        <f t="shared" si="311"/>
        <v>45247</v>
      </c>
      <c r="G3264" s="4">
        <f t="shared" si="306"/>
        <v>11</v>
      </c>
      <c r="H3264" s="4">
        <f t="shared" si="312"/>
        <v>2023</v>
      </c>
      <c r="I3264" s="2" t="s">
        <v>4</v>
      </c>
      <c r="J3264" s="2" t="s">
        <v>4139</v>
      </c>
      <c r="K3264" s="2" t="s">
        <v>329</v>
      </c>
      <c r="L3264" s="2" t="s">
        <v>330</v>
      </c>
      <c r="M3264" s="2" t="s">
        <v>119</v>
      </c>
      <c r="N3264" s="4" t="str">
        <f t="shared" si="307"/>
        <v>TON</v>
      </c>
      <c r="O3264" s="5">
        <v>5</v>
      </c>
    </row>
    <row r="3265" spans="2:15" x14ac:dyDescent="0.25">
      <c r="B3265" s="1" t="s">
        <v>1520</v>
      </c>
      <c r="C3265" s="2" t="s">
        <v>196</v>
      </c>
      <c r="D3265" s="2" t="s">
        <v>884</v>
      </c>
      <c r="E3265" s="2" t="s">
        <v>141</v>
      </c>
      <c r="F3265" s="3">
        <f t="shared" si="311"/>
        <v>45247</v>
      </c>
      <c r="G3265" s="4">
        <f t="shared" si="306"/>
        <v>11</v>
      </c>
      <c r="H3265" s="4">
        <f t="shared" si="312"/>
        <v>2023</v>
      </c>
      <c r="I3265" s="2" t="s">
        <v>4</v>
      </c>
      <c r="J3265" s="2" t="s">
        <v>4140</v>
      </c>
      <c r="K3265" s="2" t="s">
        <v>531</v>
      </c>
      <c r="L3265" s="2" t="s">
        <v>201</v>
      </c>
      <c r="M3265" s="2" t="s">
        <v>202</v>
      </c>
      <c r="N3265" s="4" t="str">
        <f t="shared" si="307"/>
        <v>GAL</v>
      </c>
      <c r="O3265" s="5">
        <v>30</v>
      </c>
    </row>
    <row r="3266" spans="2:15" x14ac:dyDescent="0.25">
      <c r="B3266" s="1" t="s">
        <v>1520</v>
      </c>
      <c r="C3266" s="2" t="s">
        <v>196</v>
      </c>
      <c r="D3266" s="2" t="s">
        <v>280</v>
      </c>
      <c r="E3266" s="2" t="s">
        <v>254</v>
      </c>
      <c r="F3266" s="3">
        <f t="shared" ref="F3266:F3275" si="313">DATE(2023,11,20)</f>
        <v>45250</v>
      </c>
      <c r="G3266" s="4">
        <f t="shared" si="306"/>
        <v>11</v>
      </c>
      <c r="H3266" s="4">
        <f t="shared" si="312"/>
        <v>2023</v>
      </c>
      <c r="I3266" s="2" t="s">
        <v>4</v>
      </c>
      <c r="J3266" s="2" t="s">
        <v>4141</v>
      </c>
      <c r="K3266" s="2" t="s">
        <v>117</v>
      </c>
      <c r="L3266" s="2" t="s">
        <v>118</v>
      </c>
      <c r="M3266" s="2" t="s">
        <v>119</v>
      </c>
      <c r="N3266" s="4" t="str">
        <f t="shared" si="307"/>
        <v>TON</v>
      </c>
      <c r="O3266" s="5">
        <v>15.0025</v>
      </c>
    </row>
    <row r="3267" spans="2:15" x14ac:dyDescent="0.25">
      <c r="B3267" s="1" t="s">
        <v>1520</v>
      </c>
      <c r="C3267" s="2" t="s">
        <v>196</v>
      </c>
      <c r="D3267" s="2" t="s">
        <v>207</v>
      </c>
      <c r="E3267" s="2" t="s">
        <v>208</v>
      </c>
      <c r="F3267" s="3">
        <f t="shared" si="313"/>
        <v>45250</v>
      </c>
      <c r="G3267" s="4">
        <f t="shared" ref="G3267:G3330" si="314">+MONTH(F3267)</f>
        <v>11</v>
      </c>
      <c r="H3267" s="4">
        <f t="shared" si="312"/>
        <v>2023</v>
      </c>
      <c r="I3267" s="2" t="s">
        <v>4</v>
      </c>
      <c r="J3267" s="2" t="s">
        <v>4142</v>
      </c>
      <c r="K3267" s="2" t="s">
        <v>205</v>
      </c>
      <c r="L3267" s="2" t="s">
        <v>206</v>
      </c>
      <c r="M3267" s="2" t="s">
        <v>119</v>
      </c>
      <c r="N3267" s="4" t="str">
        <f t="shared" ref="N3267:N3330" si="315">+LEFT(M3267,3)</f>
        <v>TON</v>
      </c>
      <c r="O3267" s="5">
        <v>1.2725</v>
      </c>
    </row>
    <row r="3268" spans="2:15" x14ac:dyDescent="0.25">
      <c r="B3268" s="1" t="s">
        <v>1520</v>
      </c>
      <c r="C3268" s="2" t="s">
        <v>196</v>
      </c>
      <c r="D3268" s="2" t="s">
        <v>207</v>
      </c>
      <c r="E3268" s="2" t="s">
        <v>208</v>
      </c>
      <c r="F3268" s="3">
        <f t="shared" si="313"/>
        <v>45250</v>
      </c>
      <c r="G3268" s="4">
        <f t="shared" si="314"/>
        <v>11</v>
      </c>
      <c r="H3268" s="4">
        <f t="shared" si="312"/>
        <v>2023</v>
      </c>
      <c r="I3268" s="2" t="s">
        <v>4</v>
      </c>
      <c r="J3268" s="2" t="s">
        <v>4143</v>
      </c>
      <c r="K3268" s="2" t="s">
        <v>489</v>
      </c>
      <c r="L3268" s="2" t="s">
        <v>490</v>
      </c>
      <c r="M3268" s="2" t="s">
        <v>119</v>
      </c>
      <c r="N3268" s="4" t="str">
        <f t="shared" si="315"/>
        <v>TON</v>
      </c>
      <c r="O3268" s="5">
        <v>4.99</v>
      </c>
    </row>
    <row r="3269" spans="2:15" x14ac:dyDescent="0.25">
      <c r="B3269" s="1" t="s">
        <v>1520</v>
      </c>
      <c r="C3269" s="2" t="s">
        <v>196</v>
      </c>
      <c r="D3269" s="2" t="s">
        <v>299</v>
      </c>
      <c r="E3269" s="2" t="s">
        <v>300</v>
      </c>
      <c r="F3269" s="3">
        <f t="shared" si="313"/>
        <v>45250</v>
      </c>
      <c r="G3269" s="4">
        <f t="shared" si="314"/>
        <v>11</v>
      </c>
      <c r="H3269" s="4">
        <f t="shared" si="312"/>
        <v>2023</v>
      </c>
      <c r="I3269" s="2" t="s">
        <v>4</v>
      </c>
      <c r="J3269" s="2" t="s">
        <v>4144</v>
      </c>
      <c r="K3269" s="2" t="s">
        <v>117</v>
      </c>
      <c r="L3269" s="2" t="s">
        <v>118</v>
      </c>
      <c r="M3269" s="2" t="s">
        <v>119</v>
      </c>
      <c r="N3269" s="4" t="str">
        <f t="shared" si="315"/>
        <v>TON</v>
      </c>
      <c r="O3269" s="5">
        <v>15.022500000000001</v>
      </c>
    </row>
    <row r="3270" spans="2:15" x14ac:dyDescent="0.25">
      <c r="B3270" s="1" t="s">
        <v>1520</v>
      </c>
      <c r="C3270" s="2" t="s">
        <v>196</v>
      </c>
      <c r="D3270" s="2" t="s">
        <v>299</v>
      </c>
      <c r="E3270" s="2" t="s">
        <v>713</v>
      </c>
      <c r="F3270" s="3">
        <f t="shared" si="313"/>
        <v>45250</v>
      </c>
      <c r="G3270" s="4">
        <f t="shared" si="314"/>
        <v>11</v>
      </c>
      <c r="H3270" s="4">
        <f t="shared" si="312"/>
        <v>2023</v>
      </c>
      <c r="I3270" s="2" t="s">
        <v>4</v>
      </c>
      <c r="J3270" s="2" t="s">
        <v>4145</v>
      </c>
      <c r="K3270" s="2" t="s">
        <v>117</v>
      </c>
      <c r="L3270" s="2" t="s">
        <v>118</v>
      </c>
      <c r="M3270" s="2" t="s">
        <v>119</v>
      </c>
      <c r="N3270" s="4" t="str">
        <f t="shared" si="315"/>
        <v>TON</v>
      </c>
      <c r="O3270" s="5">
        <v>15.045</v>
      </c>
    </row>
    <row r="3271" spans="2:15" x14ac:dyDescent="0.25">
      <c r="B3271" s="1" t="s">
        <v>1520</v>
      </c>
      <c r="C3271" s="2" t="s">
        <v>196</v>
      </c>
      <c r="D3271" s="2" t="s">
        <v>280</v>
      </c>
      <c r="E3271" s="2" t="s">
        <v>1308</v>
      </c>
      <c r="F3271" s="3">
        <f t="shared" si="313"/>
        <v>45250</v>
      </c>
      <c r="G3271" s="4">
        <f t="shared" si="314"/>
        <v>11</v>
      </c>
      <c r="H3271" s="4">
        <f t="shared" si="312"/>
        <v>2023</v>
      </c>
      <c r="I3271" s="2" t="s">
        <v>4</v>
      </c>
      <c r="J3271" s="2" t="s">
        <v>4146</v>
      </c>
      <c r="K3271" s="2" t="s">
        <v>117</v>
      </c>
      <c r="L3271" s="2" t="s">
        <v>118</v>
      </c>
      <c r="M3271" s="2" t="s">
        <v>119</v>
      </c>
      <c r="N3271" s="4" t="str">
        <f t="shared" si="315"/>
        <v>TON</v>
      </c>
      <c r="O3271" s="5">
        <v>14.0375</v>
      </c>
    </row>
    <row r="3272" spans="2:15" x14ac:dyDescent="0.25">
      <c r="B3272" s="1" t="s">
        <v>1520</v>
      </c>
      <c r="C3272" s="2" t="s">
        <v>196</v>
      </c>
      <c r="D3272" s="2" t="s">
        <v>227</v>
      </c>
      <c r="E3272" s="2" t="s">
        <v>228</v>
      </c>
      <c r="F3272" s="3">
        <f t="shared" si="313"/>
        <v>45250</v>
      </c>
      <c r="G3272" s="4">
        <f t="shared" si="314"/>
        <v>11</v>
      </c>
      <c r="H3272" s="4">
        <f t="shared" si="312"/>
        <v>2023</v>
      </c>
      <c r="I3272" s="2" t="s">
        <v>4</v>
      </c>
      <c r="J3272" s="2" t="s">
        <v>4147</v>
      </c>
      <c r="K3272" s="2" t="s">
        <v>205</v>
      </c>
      <c r="L3272" s="2" t="s">
        <v>206</v>
      </c>
      <c r="M3272" s="2" t="s">
        <v>119</v>
      </c>
      <c r="N3272" s="4" t="str">
        <f t="shared" si="315"/>
        <v>TON</v>
      </c>
      <c r="O3272" s="5">
        <v>9.9975000000000005</v>
      </c>
    </row>
    <row r="3273" spans="2:15" x14ac:dyDescent="0.25">
      <c r="B3273" s="1" t="s">
        <v>1520</v>
      </c>
      <c r="C3273" s="2" t="s">
        <v>196</v>
      </c>
      <c r="D3273" s="2" t="s">
        <v>227</v>
      </c>
      <c r="E3273" s="2" t="s">
        <v>757</v>
      </c>
      <c r="F3273" s="3">
        <f t="shared" si="313"/>
        <v>45250</v>
      </c>
      <c r="G3273" s="4">
        <f t="shared" si="314"/>
        <v>11</v>
      </c>
      <c r="H3273" s="4">
        <f t="shared" si="312"/>
        <v>2023</v>
      </c>
      <c r="I3273" s="2" t="s">
        <v>4</v>
      </c>
      <c r="J3273" s="2" t="s">
        <v>4148</v>
      </c>
      <c r="K3273" s="2" t="s">
        <v>4149</v>
      </c>
      <c r="L3273" s="2" t="s">
        <v>4150</v>
      </c>
      <c r="M3273" s="2" t="s">
        <v>119</v>
      </c>
      <c r="N3273" s="4" t="str">
        <f t="shared" si="315"/>
        <v>TON</v>
      </c>
      <c r="O3273" s="5">
        <v>5</v>
      </c>
    </row>
    <row r="3274" spans="2:15" x14ac:dyDescent="0.25">
      <c r="B3274" s="1" t="s">
        <v>1520</v>
      </c>
      <c r="C3274" s="2" t="s">
        <v>196</v>
      </c>
      <c r="D3274" s="2" t="s">
        <v>1343</v>
      </c>
      <c r="E3274" s="2" t="s">
        <v>4151</v>
      </c>
      <c r="F3274" s="3">
        <f t="shared" si="313"/>
        <v>45250</v>
      </c>
      <c r="G3274" s="4">
        <f t="shared" si="314"/>
        <v>11</v>
      </c>
      <c r="H3274" s="4">
        <f t="shared" si="312"/>
        <v>2023</v>
      </c>
      <c r="I3274" s="2" t="s">
        <v>4</v>
      </c>
      <c r="J3274" s="2" t="s">
        <v>4152</v>
      </c>
      <c r="K3274" s="2" t="s">
        <v>422</v>
      </c>
      <c r="L3274" s="2" t="s">
        <v>423</v>
      </c>
      <c r="M3274" s="2" t="s">
        <v>119</v>
      </c>
      <c r="N3274" s="4" t="str">
        <f t="shared" si="315"/>
        <v>TON</v>
      </c>
      <c r="O3274" s="5">
        <v>15</v>
      </c>
    </row>
    <row r="3275" spans="2:15" x14ac:dyDescent="0.25">
      <c r="B3275" s="1" t="s">
        <v>1520</v>
      </c>
      <c r="C3275" s="2" t="s">
        <v>196</v>
      </c>
      <c r="D3275" s="2" t="s">
        <v>1343</v>
      </c>
      <c r="E3275" s="2" t="s">
        <v>4151</v>
      </c>
      <c r="F3275" s="3">
        <f t="shared" si="313"/>
        <v>45250</v>
      </c>
      <c r="G3275" s="4">
        <f t="shared" si="314"/>
        <v>11</v>
      </c>
      <c r="H3275" s="4">
        <f t="shared" si="312"/>
        <v>2023</v>
      </c>
      <c r="I3275" s="2" t="s">
        <v>4</v>
      </c>
      <c r="J3275" s="2" t="s">
        <v>4152</v>
      </c>
      <c r="K3275" s="2" t="s">
        <v>3726</v>
      </c>
      <c r="L3275" s="2" t="s">
        <v>3727</v>
      </c>
      <c r="M3275" s="2" t="s">
        <v>145</v>
      </c>
      <c r="N3275" s="4" t="str">
        <f t="shared" si="315"/>
        <v>GAL</v>
      </c>
      <c r="O3275" s="5">
        <v>5.625</v>
      </c>
    </row>
    <row r="3276" spans="2:15" x14ac:dyDescent="0.25">
      <c r="B3276" s="1" t="s">
        <v>1520</v>
      </c>
      <c r="C3276" s="2" t="s">
        <v>196</v>
      </c>
      <c r="D3276" s="2" t="s">
        <v>280</v>
      </c>
      <c r="E3276" s="2" t="s">
        <v>464</v>
      </c>
      <c r="F3276" s="3">
        <f t="shared" ref="F3276:F3285" si="316">DATE(2023,11,21)</f>
        <v>45251</v>
      </c>
      <c r="G3276" s="4">
        <f t="shared" si="314"/>
        <v>11</v>
      </c>
      <c r="H3276" s="4">
        <f t="shared" si="312"/>
        <v>2023</v>
      </c>
      <c r="I3276" s="2" t="s">
        <v>4</v>
      </c>
      <c r="J3276" s="2" t="s">
        <v>4153</v>
      </c>
      <c r="K3276" s="2" t="s">
        <v>117</v>
      </c>
      <c r="L3276" s="2" t="s">
        <v>118</v>
      </c>
      <c r="M3276" s="2" t="s">
        <v>119</v>
      </c>
      <c r="N3276" s="4" t="str">
        <f t="shared" si="315"/>
        <v>TON</v>
      </c>
      <c r="O3276" s="5">
        <v>15.0175</v>
      </c>
    </row>
    <row r="3277" spans="2:15" x14ac:dyDescent="0.25">
      <c r="B3277" s="1" t="s">
        <v>1520</v>
      </c>
      <c r="C3277" s="2" t="s">
        <v>196</v>
      </c>
      <c r="D3277" s="2" t="s">
        <v>280</v>
      </c>
      <c r="E3277" s="2" t="s">
        <v>364</v>
      </c>
      <c r="F3277" s="3">
        <f t="shared" si="316"/>
        <v>45251</v>
      </c>
      <c r="G3277" s="4">
        <f t="shared" si="314"/>
        <v>11</v>
      </c>
      <c r="H3277" s="4">
        <f t="shared" si="312"/>
        <v>2023</v>
      </c>
      <c r="I3277" s="2" t="s">
        <v>4</v>
      </c>
      <c r="J3277" s="2" t="s">
        <v>4154</v>
      </c>
      <c r="K3277" s="2" t="s">
        <v>117</v>
      </c>
      <c r="L3277" s="2" t="s">
        <v>118</v>
      </c>
      <c r="M3277" s="2" t="s">
        <v>119</v>
      </c>
      <c r="N3277" s="4" t="str">
        <f t="shared" si="315"/>
        <v>TON</v>
      </c>
      <c r="O3277" s="5">
        <v>15</v>
      </c>
    </row>
    <row r="3278" spans="2:15" x14ac:dyDescent="0.25">
      <c r="B3278" s="1" t="s">
        <v>1520</v>
      </c>
      <c r="C3278" s="2" t="s">
        <v>196</v>
      </c>
      <c r="D3278" s="2" t="s">
        <v>721</v>
      </c>
      <c r="E3278" s="2" t="s">
        <v>141</v>
      </c>
      <c r="F3278" s="3">
        <f t="shared" si="316"/>
        <v>45251</v>
      </c>
      <c r="G3278" s="4">
        <f t="shared" si="314"/>
        <v>11</v>
      </c>
      <c r="H3278" s="4">
        <f t="shared" si="312"/>
        <v>2023</v>
      </c>
      <c r="I3278" s="2" t="s">
        <v>4</v>
      </c>
      <c r="J3278" s="2" t="s">
        <v>4155</v>
      </c>
      <c r="K3278" s="2" t="s">
        <v>531</v>
      </c>
      <c r="L3278" s="2" t="s">
        <v>201</v>
      </c>
      <c r="M3278" s="2" t="s">
        <v>202</v>
      </c>
      <c r="N3278" s="4" t="str">
        <f t="shared" si="315"/>
        <v>GAL</v>
      </c>
      <c r="O3278" s="5">
        <v>30</v>
      </c>
    </row>
    <row r="3279" spans="2:15" x14ac:dyDescent="0.25">
      <c r="B3279" s="1" t="s">
        <v>1520</v>
      </c>
      <c r="C3279" s="2" t="s">
        <v>196</v>
      </c>
      <c r="D3279" s="2" t="s">
        <v>215</v>
      </c>
      <c r="E3279" s="2" t="s">
        <v>701</v>
      </c>
      <c r="F3279" s="3">
        <f t="shared" si="316"/>
        <v>45251</v>
      </c>
      <c r="G3279" s="4">
        <f t="shared" si="314"/>
        <v>11</v>
      </c>
      <c r="H3279" s="4">
        <f t="shared" si="312"/>
        <v>2023</v>
      </c>
      <c r="I3279" s="2" t="s">
        <v>4</v>
      </c>
      <c r="J3279" s="2" t="s">
        <v>4156</v>
      </c>
      <c r="K3279" s="2" t="s">
        <v>329</v>
      </c>
      <c r="L3279" s="2" t="s">
        <v>330</v>
      </c>
      <c r="M3279" s="2" t="s">
        <v>119</v>
      </c>
      <c r="N3279" s="4" t="str">
        <f t="shared" si="315"/>
        <v>TON</v>
      </c>
      <c r="O3279" s="5">
        <v>6</v>
      </c>
    </row>
    <row r="3280" spans="2:15" x14ac:dyDescent="0.25">
      <c r="B3280" s="1" t="s">
        <v>1520</v>
      </c>
      <c r="C3280" s="2" t="s">
        <v>196</v>
      </c>
      <c r="D3280" s="2" t="s">
        <v>444</v>
      </c>
      <c r="E3280" s="2" t="s">
        <v>445</v>
      </c>
      <c r="F3280" s="3">
        <f t="shared" si="316"/>
        <v>45251</v>
      </c>
      <c r="G3280" s="4">
        <f t="shared" si="314"/>
        <v>11</v>
      </c>
      <c r="H3280" s="4">
        <f t="shared" si="312"/>
        <v>2023</v>
      </c>
      <c r="I3280" s="2" t="s">
        <v>4</v>
      </c>
      <c r="J3280" s="2" t="s">
        <v>4157</v>
      </c>
      <c r="K3280" s="2" t="s">
        <v>394</v>
      </c>
      <c r="L3280" s="2" t="s">
        <v>395</v>
      </c>
      <c r="M3280" s="2" t="s">
        <v>119</v>
      </c>
      <c r="N3280" s="4" t="str">
        <f t="shared" si="315"/>
        <v>TON</v>
      </c>
      <c r="O3280" s="5">
        <v>5.0025000000000004</v>
      </c>
    </row>
    <row r="3281" spans="2:15" x14ac:dyDescent="0.25">
      <c r="B3281" s="1" t="s">
        <v>1520</v>
      </c>
      <c r="C3281" s="2" t="s">
        <v>196</v>
      </c>
      <c r="D3281" s="2" t="s">
        <v>114</v>
      </c>
      <c r="E3281" s="2" t="s">
        <v>491</v>
      </c>
      <c r="F3281" s="3">
        <f t="shared" si="316"/>
        <v>45251</v>
      </c>
      <c r="G3281" s="4">
        <f t="shared" si="314"/>
        <v>11</v>
      </c>
      <c r="H3281" s="4">
        <f t="shared" si="312"/>
        <v>2023</v>
      </c>
      <c r="I3281" s="2" t="s">
        <v>4</v>
      </c>
      <c r="J3281" s="2" t="s">
        <v>4158</v>
      </c>
      <c r="K3281" s="2" t="s">
        <v>117</v>
      </c>
      <c r="L3281" s="2" t="s">
        <v>118</v>
      </c>
      <c r="M3281" s="2" t="s">
        <v>119</v>
      </c>
      <c r="N3281" s="4" t="str">
        <f t="shared" si="315"/>
        <v>TON</v>
      </c>
      <c r="O3281" s="5">
        <v>5.7575000000000003</v>
      </c>
    </row>
    <row r="3282" spans="2:15" x14ac:dyDescent="0.25">
      <c r="B3282" s="1" t="s">
        <v>1520</v>
      </c>
      <c r="C3282" s="2" t="s">
        <v>196</v>
      </c>
      <c r="D3282" s="2" t="s">
        <v>114</v>
      </c>
      <c r="E3282" s="2" t="s">
        <v>3751</v>
      </c>
      <c r="F3282" s="3">
        <f t="shared" si="316"/>
        <v>45251</v>
      </c>
      <c r="G3282" s="4">
        <f t="shared" si="314"/>
        <v>11</v>
      </c>
      <c r="H3282" s="4">
        <f t="shared" si="312"/>
        <v>2023</v>
      </c>
      <c r="I3282" s="2" t="s">
        <v>4</v>
      </c>
      <c r="J3282" s="2" t="s">
        <v>4159</v>
      </c>
      <c r="K3282" s="2" t="s">
        <v>117</v>
      </c>
      <c r="L3282" s="2" t="s">
        <v>118</v>
      </c>
      <c r="M3282" s="2" t="s">
        <v>119</v>
      </c>
      <c r="N3282" s="4" t="str">
        <f t="shared" si="315"/>
        <v>TON</v>
      </c>
      <c r="O3282" s="5">
        <v>7.0075000000000003</v>
      </c>
    </row>
    <row r="3283" spans="2:15" x14ac:dyDescent="0.25">
      <c r="B3283" s="1" t="s">
        <v>1520</v>
      </c>
      <c r="C3283" s="2" t="s">
        <v>196</v>
      </c>
      <c r="D3283" s="2" t="s">
        <v>294</v>
      </c>
      <c r="E3283" s="2" t="s">
        <v>295</v>
      </c>
      <c r="F3283" s="3">
        <f t="shared" si="316"/>
        <v>45251</v>
      </c>
      <c r="G3283" s="4">
        <f t="shared" si="314"/>
        <v>11</v>
      </c>
      <c r="H3283" s="4">
        <f t="shared" si="312"/>
        <v>2023</v>
      </c>
      <c r="I3283" s="2" t="s">
        <v>4</v>
      </c>
      <c r="J3283" s="2" t="s">
        <v>4160</v>
      </c>
      <c r="K3283" s="2" t="s">
        <v>122</v>
      </c>
      <c r="L3283" s="2" t="s">
        <v>123</v>
      </c>
      <c r="M3283" s="2" t="s">
        <v>119</v>
      </c>
      <c r="N3283" s="4" t="str">
        <f t="shared" si="315"/>
        <v>TON</v>
      </c>
      <c r="O3283" s="5">
        <v>7.4850000000000003</v>
      </c>
    </row>
    <row r="3284" spans="2:15" x14ac:dyDescent="0.25">
      <c r="B3284" s="1" t="s">
        <v>1520</v>
      </c>
      <c r="C3284" s="2" t="s">
        <v>196</v>
      </c>
      <c r="D3284" s="2" t="s">
        <v>114</v>
      </c>
      <c r="E3284" s="2" t="s">
        <v>377</v>
      </c>
      <c r="F3284" s="3">
        <f t="shared" si="316"/>
        <v>45251</v>
      </c>
      <c r="G3284" s="4">
        <f t="shared" si="314"/>
        <v>11</v>
      </c>
      <c r="H3284" s="4">
        <f t="shared" si="312"/>
        <v>2023</v>
      </c>
      <c r="I3284" s="2" t="s">
        <v>4</v>
      </c>
      <c r="J3284" s="2" t="s">
        <v>4161</v>
      </c>
      <c r="K3284" s="2" t="s">
        <v>117</v>
      </c>
      <c r="L3284" s="2" t="s">
        <v>118</v>
      </c>
      <c r="M3284" s="2" t="s">
        <v>119</v>
      </c>
      <c r="N3284" s="4" t="str">
        <f t="shared" si="315"/>
        <v>TON</v>
      </c>
      <c r="O3284" s="5">
        <v>8.2449999999999992</v>
      </c>
    </row>
    <row r="3285" spans="2:15" x14ac:dyDescent="0.25">
      <c r="B3285" s="1" t="s">
        <v>1520</v>
      </c>
      <c r="C3285" s="2" t="s">
        <v>196</v>
      </c>
      <c r="D3285" s="2" t="s">
        <v>440</v>
      </c>
      <c r="E3285" s="2" t="s">
        <v>1274</v>
      </c>
      <c r="F3285" s="3">
        <f t="shared" si="316"/>
        <v>45251</v>
      </c>
      <c r="G3285" s="4">
        <f t="shared" si="314"/>
        <v>11</v>
      </c>
      <c r="H3285" s="4">
        <f t="shared" si="312"/>
        <v>2023</v>
      </c>
      <c r="I3285" s="2" t="s">
        <v>4</v>
      </c>
      <c r="J3285" s="2" t="s">
        <v>4162</v>
      </c>
      <c r="K3285" s="2" t="s">
        <v>422</v>
      </c>
      <c r="L3285" s="2" t="s">
        <v>423</v>
      </c>
      <c r="M3285" s="2" t="s">
        <v>119</v>
      </c>
      <c r="N3285" s="4" t="str">
        <f t="shared" si="315"/>
        <v>TON</v>
      </c>
      <c r="O3285" s="5">
        <v>2.5</v>
      </c>
    </row>
    <row r="3286" spans="2:15" x14ac:dyDescent="0.25">
      <c r="B3286" s="1" t="s">
        <v>1520</v>
      </c>
      <c r="C3286" s="2" t="s">
        <v>196</v>
      </c>
      <c r="D3286" s="2" t="s">
        <v>248</v>
      </c>
      <c r="E3286" s="2" t="s">
        <v>3608</v>
      </c>
      <c r="F3286" s="3">
        <f>DATE(2023,11,22)</f>
        <v>45252</v>
      </c>
      <c r="G3286" s="4">
        <f t="shared" si="314"/>
        <v>11</v>
      </c>
      <c r="H3286" s="4">
        <f t="shared" si="312"/>
        <v>2023</v>
      </c>
      <c r="I3286" s="2" t="s">
        <v>4</v>
      </c>
      <c r="J3286" s="2" t="s">
        <v>4163</v>
      </c>
      <c r="K3286" s="2" t="s">
        <v>3606</v>
      </c>
      <c r="L3286" s="2" t="s">
        <v>3607</v>
      </c>
      <c r="M3286" s="2" t="s">
        <v>119</v>
      </c>
      <c r="N3286" s="4" t="str">
        <f t="shared" si="315"/>
        <v>TON</v>
      </c>
      <c r="O3286" s="5">
        <v>15.02</v>
      </c>
    </row>
    <row r="3287" spans="2:15" x14ac:dyDescent="0.25">
      <c r="B3287" s="1" t="s">
        <v>1520</v>
      </c>
      <c r="C3287" s="2" t="s">
        <v>196</v>
      </c>
      <c r="D3287" s="2" t="s">
        <v>299</v>
      </c>
      <c r="E3287" s="2" t="s">
        <v>1140</v>
      </c>
      <c r="F3287" s="3">
        <f>DATE(2023,11,21)</f>
        <v>45251</v>
      </c>
      <c r="G3287" s="4">
        <f t="shared" si="314"/>
        <v>11</v>
      </c>
      <c r="H3287" s="4">
        <f t="shared" si="312"/>
        <v>2023</v>
      </c>
      <c r="I3287" s="2" t="s">
        <v>4</v>
      </c>
      <c r="J3287" s="2" t="s">
        <v>4164</v>
      </c>
      <c r="K3287" s="2" t="s">
        <v>117</v>
      </c>
      <c r="L3287" s="2" t="s">
        <v>118</v>
      </c>
      <c r="M3287" s="2" t="s">
        <v>119</v>
      </c>
      <c r="N3287" s="4" t="str">
        <f t="shared" si="315"/>
        <v>TON</v>
      </c>
      <c r="O3287" s="5">
        <v>3.0074999999999998</v>
      </c>
    </row>
    <row r="3288" spans="2:15" x14ac:dyDescent="0.25">
      <c r="B3288" s="1" t="s">
        <v>1520</v>
      </c>
      <c r="C3288" s="2" t="s">
        <v>196</v>
      </c>
      <c r="D3288" s="2" t="s">
        <v>280</v>
      </c>
      <c r="E3288" s="2" t="s">
        <v>462</v>
      </c>
      <c r="F3288" s="3">
        <f>DATE(2023,11,21)</f>
        <v>45251</v>
      </c>
      <c r="G3288" s="4">
        <f t="shared" si="314"/>
        <v>11</v>
      </c>
      <c r="H3288" s="4">
        <f t="shared" si="312"/>
        <v>2023</v>
      </c>
      <c r="I3288" s="2" t="s">
        <v>4</v>
      </c>
      <c r="J3288" s="2" t="s">
        <v>4165</v>
      </c>
      <c r="K3288" s="2" t="s">
        <v>117</v>
      </c>
      <c r="L3288" s="2" t="s">
        <v>118</v>
      </c>
      <c r="M3288" s="2" t="s">
        <v>119</v>
      </c>
      <c r="N3288" s="4" t="str">
        <f t="shared" si="315"/>
        <v>TON</v>
      </c>
      <c r="O3288" s="5">
        <v>9.0574999999999992</v>
      </c>
    </row>
    <row r="3289" spans="2:15" x14ac:dyDescent="0.25">
      <c r="B3289" s="1" t="s">
        <v>1520</v>
      </c>
      <c r="C3289" s="2" t="s">
        <v>196</v>
      </c>
      <c r="D3289" s="2" t="s">
        <v>418</v>
      </c>
      <c r="E3289" s="2" t="s">
        <v>1243</v>
      </c>
      <c r="F3289" s="3">
        <f>DATE(2023,11,21)</f>
        <v>45251</v>
      </c>
      <c r="G3289" s="4">
        <f t="shared" si="314"/>
        <v>11</v>
      </c>
      <c r="H3289" s="4">
        <f t="shared" si="312"/>
        <v>2023</v>
      </c>
      <c r="I3289" s="2" t="s">
        <v>4</v>
      </c>
      <c r="J3289" s="2" t="s">
        <v>4166</v>
      </c>
      <c r="K3289" s="2" t="s">
        <v>422</v>
      </c>
      <c r="L3289" s="2" t="s">
        <v>423</v>
      </c>
      <c r="M3289" s="2" t="s">
        <v>119</v>
      </c>
      <c r="N3289" s="4" t="str">
        <f t="shared" si="315"/>
        <v>TON</v>
      </c>
      <c r="O3289" s="5">
        <v>13.03</v>
      </c>
    </row>
    <row r="3290" spans="2:15" x14ac:dyDescent="0.25">
      <c r="B3290" s="1" t="s">
        <v>1520</v>
      </c>
      <c r="C3290" s="2" t="s">
        <v>196</v>
      </c>
      <c r="D3290" s="2" t="s">
        <v>475</v>
      </c>
      <c r="E3290" s="2" t="s">
        <v>476</v>
      </c>
      <c r="F3290" s="3">
        <f t="shared" ref="F3290:F3301" si="317">DATE(2023,11,22)</f>
        <v>45252</v>
      </c>
      <c r="G3290" s="4">
        <f t="shared" si="314"/>
        <v>11</v>
      </c>
      <c r="H3290" s="4">
        <f t="shared" si="312"/>
        <v>2023</v>
      </c>
      <c r="I3290" s="2" t="s">
        <v>4</v>
      </c>
      <c r="J3290" s="2" t="s">
        <v>4167</v>
      </c>
      <c r="K3290" s="2" t="s">
        <v>478</v>
      </c>
      <c r="L3290" s="2" t="s">
        <v>479</v>
      </c>
      <c r="M3290" s="2" t="s">
        <v>119</v>
      </c>
      <c r="N3290" s="4" t="str">
        <f t="shared" si="315"/>
        <v>TON</v>
      </c>
      <c r="O3290" s="5">
        <v>15</v>
      </c>
    </row>
    <row r="3291" spans="2:15" x14ac:dyDescent="0.25">
      <c r="B3291" s="1" t="s">
        <v>1520</v>
      </c>
      <c r="C3291" s="2" t="s">
        <v>196</v>
      </c>
      <c r="D3291" s="2" t="s">
        <v>303</v>
      </c>
      <c r="E3291" s="2" t="s">
        <v>981</v>
      </c>
      <c r="F3291" s="3">
        <f t="shared" si="317"/>
        <v>45252</v>
      </c>
      <c r="G3291" s="4">
        <f t="shared" si="314"/>
        <v>11</v>
      </c>
      <c r="H3291" s="4">
        <f t="shared" si="312"/>
        <v>2023</v>
      </c>
      <c r="I3291" s="2" t="s">
        <v>4</v>
      </c>
      <c r="J3291" s="2" t="s">
        <v>4168</v>
      </c>
      <c r="K3291" s="2" t="s">
        <v>1204</v>
      </c>
      <c r="L3291" s="2" t="s">
        <v>1151</v>
      </c>
      <c r="M3291" s="2" t="s">
        <v>8</v>
      </c>
      <c r="N3291" s="4" t="str">
        <f t="shared" si="315"/>
        <v>GAL</v>
      </c>
      <c r="O3291" s="5">
        <v>250</v>
      </c>
    </row>
    <row r="3292" spans="2:15" x14ac:dyDescent="0.25">
      <c r="B3292" s="1" t="s">
        <v>1520</v>
      </c>
      <c r="C3292" s="2" t="s">
        <v>196</v>
      </c>
      <c r="D3292" s="2" t="s">
        <v>4046</v>
      </c>
      <c r="E3292" s="2" t="s">
        <v>102</v>
      </c>
      <c r="F3292" s="3">
        <f t="shared" si="317"/>
        <v>45252</v>
      </c>
      <c r="G3292" s="4">
        <f t="shared" si="314"/>
        <v>11</v>
      </c>
      <c r="H3292" s="4">
        <f t="shared" si="312"/>
        <v>2023</v>
      </c>
      <c r="I3292" s="2" t="s">
        <v>4</v>
      </c>
      <c r="J3292" s="2" t="s">
        <v>4169</v>
      </c>
      <c r="K3292" s="2" t="s">
        <v>268</v>
      </c>
      <c r="L3292" s="2" t="s">
        <v>269</v>
      </c>
      <c r="M3292" s="2" t="s">
        <v>119</v>
      </c>
      <c r="N3292" s="4" t="str">
        <f t="shared" si="315"/>
        <v>TON</v>
      </c>
      <c r="O3292" s="5">
        <v>0.3</v>
      </c>
    </row>
    <row r="3293" spans="2:15" x14ac:dyDescent="0.25">
      <c r="B3293" s="1" t="s">
        <v>1520</v>
      </c>
      <c r="C3293" s="2" t="s">
        <v>196</v>
      </c>
      <c r="D3293" s="2" t="s">
        <v>276</v>
      </c>
      <c r="E3293" s="2" t="s">
        <v>692</v>
      </c>
      <c r="F3293" s="3">
        <f t="shared" si="317"/>
        <v>45252</v>
      </c>
      <c r="G3293" s="4">
        <f t="shared" si="314"/>
        <v>11</v>
      </c>
      <c r="H3293" s="4">
        <f t="shared" si="312"/>
        <v>2023</v>
      </c>
      <c r="I3293" s="2" t="s">
        <v>4</v>
      </c>
      <c r="J3293" s="2" t="s">
        <v>4170</v>
      </c>
      <c r="K3293" s="2" t="s">
        <v>329</v>
      </c>
      <c r="L3293" s="2" t="s">
        <v>330</v>
      </c>
      <c r="M3293" s="2" t="s">
        <v>119</v>
      </c>
      <c r="N3293" s="4" t="str">
        <f t="shared" si="315"/>
        <v>TON</v>
      </c>
      <c r="O3293" s="5">
        <v>10.02</v>
      </c>
    </row>
    <row r="3294" spans="2:15" x14ac:dyDescent="0.25">
      <c r="B3294" s="1" t="s">
        <v>1520</v>
      </c>
      <c r="C3294" s="2" t="s">
        <v>196</v>
      </c>
      <c r="D3294" s="2" t="s">
        <v>276</v>
      </c>
      <c r="E3294" s="2" t="s">
        <v>692</v>
      </c>
      <c r="F3294" s="3">
        <f t="shared" si="317"/>
        <v>45252</v>
      </c>
      <c r="G3294" s="4">
        <f t="shared" si="314"/>
        <v>11</v>
      </c>
      <c r="H3294" s="4">
        <f t="shared" si="312"/>
        <v>2023</v>
      </c>
      <c r="I3294" s="2" t="s">
        <v>4</v>
      </c>
      <c r="J3294" s="2" t="s">
        <v>4170</v>
      </c>
      <c r="K3294" s="2" t="s">
        <v>3726</v>
      </c>
      <c r="L3294" s="2" t="s">
        <v>3727</v>
      </c>
      <c r="M3294" s="2" t="s">
        <v>145</v>
      </c>
      <c r="N3294" s="4" t="str">
        <f t="shared" si="315"/>
        <v>GAL</v>
      </c>
      <c r="O3294" s="5">
        <v>3.75</v>
      </c>
    </row>
    <row r="3295" spans="2:15" x14ac:dyDescent="0.25">
      <c r="B3295" s="1" t="s">
        <v>1520</v>
      </c>
      <c r="C3295" s="2" t="s">
        <v>196</v>
      </c>
      <c r="D3295" s="2" t="s">
        <v>317</v>
      </c>
      <c r="E3295" s="2" t="s">
        <v>484</v>
      </c>
      <c r="F3295" s="3">
        <f t="shared" si="317"/>
        <v>45252</v>
      </c>
      <c r="G3295" s="4">
        <f t="shared" si="314"/>
        <v>11</v>
      </c>
      <c r="H3295" s="4">
        <f t="shared" si="312"/>
        <v>2023</v>
      </c>
      <c r="I3295" s="2" t="s">
        <v>4</v>
      </c>
      <c r="J3295" s="2" t="s">
        <v>4171</v>
      </c>
      <c r="K3295" s="2" t="s">
        <v>117</v>
      </c>
      <c r="L3295" s="2" t="s">
        <v>118</v>
      </c>
      <c r="M3295" s="2" t="s">
        <v>119</v>
      </c>
      <c r="N3295" s="4" t="str">
        <f t="shared" si="315"/>
        <v>TON</v>
      </c>
      <c r="O3295" s="5">
        <v>12.53</v>
      </c>
    </row>
    <row r="3296" spans="2:15" x14ac:dyDescent="0.25">
      <c r="B3296" s="1" t="s">
        <v>1520</v>
      </c>
      <c r="C3296" s="2" t="s">
        <v>196</v>
      </c>
      <c r="D3296" s="2" t="s">
        <v>449</v>
      </c>
      <c r="E3296" s="2" t="s">
        <v>780</v>
      </c>
      <c r="F3296" s="3">
        <f t="shared" si="317"/>
        <v>45252</v>
      </c>
      <c r="G3296" s="4">
        <f t="shared" si="314"/>
        <v>11</v>
      </c>
      <c r="H3296" s="4">
        <f t="shared" si="312"/>
        <v>2023</v>
      </c>
      <c r="I3296" s="2" t="s">
        <v>4</v>
      </c>
      <c r="J3296" s="2" t="s">
        <v>4172</v>
      </c>
      <c r="K3296" s="2" t="s">
        <v>329</v>
      </c>
      <c r="L3296" s="2" t="s">
        <v>330</v>
      </c>
      <c r="M3296" s="2" t="s">
        <v>119</v>
      </c>
      <c r="N3296" s="4" t="str">
        <f t="shared" si="315"/>
        <v>TON</v>
      </c>
      <c r="O3296" s="5">
        <v>3.76</v>
      </c>
    </row>
    <row r="3297" spans="2:15" x14ac:dyDescent="0.25">
      <c r="B3297" s="1" t="s">
        <v>1520</v>
      </c>
      <c r="C3297" s="2" t="s">
        <v>196</v>
      </c>
      <c r="D3297" s="2" t="s">
        <v>1343</v>
      </c>
      <c r="E3297" s="2" t="s">
        <v>3729</v>
      </c>
      <c r="F3297" s="3">
        <f t="shared" si="317"/>
        <v>45252</v>
      </c>
      <c r="G3297" s="4">
        <f t="shared" si="314"/>
        <v>11</v>
      </c>
      <c r="H3297" s="4">
        <f t="shared" si="312"/>
        <v>2023</v>
      </c>
      <c r="I3297" s="2" t="s">
        <v>4</v>
      </c>
      <c r="J3297" s="2" t="s">
        <v>4173</v>
      </c>
      <c r="K3297" s="2" t="s">
        <v>1219</v>
      </c>
      <c r="L3297" s="2" t="s">
        <v>1220</v>
      </c>
      <c r="M3297" s="2" t="s">
        <v>1221</v>
      </c>
      <c r="N3297" s="4" t="str">
        <f t="shared" si="315"/>
        <v>GAL</v>
      </c>
      <c r="O3297" s="5">
        <v>500</v>
      </c>
    </row>
    <row r="3298" spans="2:15" x14ac:dyDescent="0.25">
      <c r="B3298" s="1" t="s">
        <v>1520</v>
      </c>
      <c r="C3298" s="2" t="s">
        <v>196</v>
      </c>
      <c r="D3298" s="2" t="s">
        <v>248</v>
      </c>
      <c r="E3298" s="2" t="s">
        <v>249</v>
      </c>
      <c r="F3298" s="3">
        <f t="shared" si="317"/>
        <v>45252</v>
      </c>
      <c r="G3298" s="4">
        <f t="shared" si="314"/>
        <v>11</v>
      </c>
      <c r="H3298" s="4">
        <f t="shared" si="312"/>
        <v>2023</v>
      </c>
      <c r="I3298" s="2" t="s">
        <v>4</v>
      </c>
      <c r="J3298" s="2" t="s">
        <v>4174</v>
      </c>
      <c r="K3298" s="2" t="s">
        <v>220</v>
      </c>
      <c r="L3298" s="2" t="s">
        <v>201</v>
      </c>
      <c r="M3298" s="2" t="s">
        <v>202</v>
      </c>
      <c r="N3298" s="4" t="str">
        <f t="shared" si="315"/>
        <v>GAL</v>
      </c>
      <c r="O3298" s="5">
        <v>250</v>
      </c>
    </row>
    <row r="3299" spans="2:15" x14ac:dyDescent="0.25">
      <c r="B3299" s="1" t="s">
        <v>1520</v>
      </c>
      <c r="C3299" s="2" t="s">
        <v>196</v>
      </c>
      <c r="D3299" s="2" t="s">
        <v>387</v>
      </c>
      <c r="E3299" s="2" t="s">
        <v>797</v>
      </c>
      <c r="F3299" s="3">
        <f t="shared" si="317"/>
        <v>45252</v>
      </c>
      <c r="G3299" s="4">
        <f t="shared" si="314"/>
        <v>11</v>
      </c>
      <c r="H3299" s="4">
        <f t="shared" si="312"/>
        <v>2023</v>
      </c>
      <c r="I3299" s="2" t="s">
        <v>4</v>
      </c>
      <c r="J3299" s="2" t="s">
        <v>4175</v>
      </c>
      <c r="K3299" s="2" t="s">
        <v>422</v>
      </c>
      <c r="L3299" s="2" t="s">
        <v>423</v>
      </c>
      <c r="M3299" s="2" t="s">
        <v>119</v>
      </c>
      <c r="N3299" s="4" t="str">
        <f t="shared" si="315"/>
        <v>TON</v>
      </c>
      <c r="O3299" s="5">
        <v>5</v>
      </c>
    </row>
    <row r="3300" spans="2:15" x14ac:dyDescent="0.25">
      <c r="B3300" s="1" t="s">
        <v>1520</v>
      </c>
      <c r="C3300" s="2" t="s">
        <v>196</v>
      </c>
      <c r="D3300" s="2" t="s">
        <v>387</v>
      </c>
      <c r="E3300" s="2" t="s">
        <v>797</v>
      </c>
      <c r="F3300" s="3">
        <f t="shared" si="317"/>
        <v>45252</v>
      </c>
      <c r="G3300" s="4">
        <f t="shared" si="314"/>
        <v>11</v>
      </c>
      <c r="H3300" s="4">
        <f t="shared" si="312"/>
        <v>2023</v>
      </c>
      <c r="I3300" s="2" t="s">
        <v>4</v>
      </c>
      <c r="J3300" s="2" t="s">
        <v>4175</v>
      </c>
      <c r="K3300" s="2" t="s">
        <v>3726</v>
      </c>
      <c r="L3300" s="2" t="s">
        <v>3727</v>
      </c>
      <c r="M3300" s="2" t="s">
        <v>145</v>
      </c>
      <c r="N3300" s="4" t="str">
        <f t="shared" si="315"/>
        <v>GAL</v>
      </c>
      <c r="O3300" s="5">
        <v>1.875</v>
      </c>
    </row>
    <row r="3301" spans="2:15" x14ac:dyDescent="0.25">
      <c r="B3301" s="1" t="s">
        <v>1520</v>
      </c>
      <c r="C3301" s="2" t="s">
        <v>196</v>
      </c>
      <c r="D3301" s="2" t="s">
        <v>458</v>
      </c>
      <c r="E3301" s="2" t="s">
        <v>459</v>
      </c>
      <c r="F3301" s="3">
        <f t="shared" si="317"/>
        <v>45252</v>
      </c>
      <c r="G3301" s="4">
        <f t="shared" si="314"/>
        <v>11</v>
      </c>
      <c r="H3301" s="4">
        <f t="shared" si="312"/>
        <v>2023</v>
      </c>
      <c r="I3301" s="2" t="s">
        <v>4</v>
      </c>
      <c r="J3301" s="2" t="s">
        <v>4176</v>
      </c>
      <c r="K3301" s="2" t="s">
        <v>329</v>
      </c>
      <c r="L3301" s="2" t="s">
        <v>330</v>
      </c>
      <c r="M3301" s="2" t="s">
        <v>119</v>
      </c>
      <c r="N3301" s="4" t="str">
        <f t="shared" si="315"/>
        <v>TON</v>
      </c>
      <c r="O3301" s="5">
        <v>7.5</v>
      </c>
    </row>
    <row r="3302" spans="2:15" x14ac:dyDescent="0.25">
      <c r="B3302" s="1" t="s">
        <v>1520</v>
      </c>
      <c r="C3302" s="2" t="s">
        <v>196</v>
      </c>
      <c r="D3302" s="2" t="s">
        <v>418</v>
      </c>
      <c r="E3302" s="2" t="s">
        <v>770</v>
      </c>
      <c r="F3302" s="3">
        <f t="shared" ref="F3302:F3313" si="318">DATE(2023,11,27)</f>
        <v>45257</v>
      </c>
      <c r="G3302" s="4">
        <f t="shared" si="314"/>
        <v>11</v>
      </c>
      <c r="H3302" s="4">
        <f t="shared" si="312"/>
        <v>2023</v>
      </c>
      <c r="I3302" s="2" t="s">
        <v>4</v>
      </c>
      <c r="J3302" s="2" t="s">
        <v>4177</v>
      </c>
      <c r="K3302" s="2" t="s">
        <v>422</v>
      </c>
      <c r="L3302" s="2" t="s">
        <v>423</v>
      </c>
      <c r="M3302" s="2" t="s">
        <v>119</v>
      </c>
      <c r="N3302" s="4" t="str">
        <f t="shared" si="315"/>
        <v>TON</v>
      </c>
      <c r="O3302" s="5">
        <v>5</v>
      </c>
    </row>
    <row r="3303" spans="2:15" x14ac:dyDescent="0.25">
      <c r="B3303" s="1" t="s">
        <v>1520</v>
      </c>
      <c r="C3303" s="2" t="s">
        <v>196</v>
      </c>
      <c r="D3303" s="2" t="s">
        <v>221</v>
      </c>
      <c r="E3303" s="2" t="s">
        <v>2660</v>
      </c>
      <c r="F3303" s="3">
        <f t="shared" si="318"/>
        <v>45257</v>
      </c>
      <c r="G3303" s="4">
        <f t="shared" si="314"/>
        <v>11</v>
      </c>
      <c r="H3303" s="4">
        <f t="shared" si="312"/>
        <v>2023</v>
      </c>
      <c r="I3303" s="2" t="s">
        <v>4</v>
      </c>
      <c r="J3303" s="2" t="s">
        <v>4178</v>
      </c>
      <c r="K3303" s="2" t="s">
        <v>205</v>
      </c>
      <c r="L3303" s="2" t="s">
        <v>206</v>
      </c>
      <c r="M3303" s="2" t="s">
        <v>119</v>
      </c>
      <c r="N3303" s="4" t="str">
        <f t="shared" si="315"/>
        <v>TON</v>
      </c>
      <c r="O3303" s="5">
        <v>2.5099999999999998</v>
      </c>
    </row>
    <row r="3304" spans="2:15" x14ac:dyDescent="0.25">
      <c r="B3304" s="1" t="s">
        <v>1520</v>
      </c>
      <c r="C3304" s="2" t="s">
        <v>196</v>
      </c>
      <c r="D3304" s="2" t="s">
        <v>669</v>
      </c>
      <c r="E3304" s="2" t="s">
        <v>670</v>
      </c>
      <c r="F3304" s="3">
        <f t="shared" si="318"/>
        <v>45257</v>
      </c>
      <c r="G3304" s="4">
        <f t="shared" si="314"/>
        <v>11</v>
      </c>
      <c r="H3304" s="4">
        <f t="shared" si="312"/>
        <v>2023</v>
      </c>
      <c r="I3304" s="2" t="s">
        <v>4</v>
      </c>
      <c r="J3304" s="2" t="s">
        <v>4179</v>
      </c>
      <c r="K3304" s="2" t="s">
        <v>384</v>
      </c>
      <c r="L3304" s="2" t="s">
        <v>385</v>
      </c>
      <c r="M3304" s="2" t="s">
        <v>119</v>
      </c>
      <c r="N3304" s="4" t="str">
        <f t="shared" si="315"/>
        <v>TON</v>
      </c>
      <c r="O3304" s="5">
        <v>2.4849999999999999</v>
      </c>
    </row>
    <row r="3305" spans="2:15" x14ac:dyDescent="0.25">
      <c r="B3305" s="1" t="s">
        <v>1520</v>
      </c>
      <c r="C3305" s="2" t="s">
        <v>196</v>
      </c>
      <c r="D3305" s="2" t="s">
        <v>197</v>
      </c>
      <c r="E3305" s="2" t="s">
        <v>198</v>
      </c>
      <c r="F3305" s="3">
        <f t="shared" si="318"/>
        <v>45257</v>
      </c>
      <c r="G3305" s="4">
        <f t="shared" si="314"/>
        <v>11</v>
      </c>
      <c r="H3305" s="4">
        <f t="shared" si="312"/>
        <v>2023</v>
      </c>
      <c r="I3305" s="2" t="s">
        <v>4</v>
      </c>
      <c r="J3305" s="2" t="s">
        <v>4180</v>
      </c>
      <c r="K3305" s="2" t="s">
        <v>307</v>
      </c>
      <c r="L3305" s="2" t="s">
        <v>308</v>
      </c>
      <c r="M3305" s="2" t="s">
        <v>119</v>
      </c>
      <c r="N3305" s="4" t="str">
        <f t="shared" si="315"/>
        <v>TON</v>
      </c>
      <c r="O3305" s="5">
        <v>3.0225</v>
      </c>
    </row>
    <row r="3306" spans="2:15" x14ac:dyDescent="0.25">
      <c r="B3306" s="1" t="s">
        <v>1520</v>
      </c>
      <c r="C3306" s="2" t="s">
        <v>196</v>
      </c>
      <c r="D3306" s="2" t="s">
        <v>280</v>
      </c>
      <c r="E3306" s="2" t="s">
        <v>254</v>
      </c>
      <c r="F3306" s="3">
        <f t="shared" si="318"/>
        <v>45257</v>
      </c>
      <c r="G3306" s="4">
        <f t="shared" si="314"/>
        <v>11</v>
      </c>
      <c r="H3306" s="4">
        <f t="shared" si="312"/>
        <v>2023</v>
      </c>
      <c r="I3306" s="2" t="s">
        <v>4</v>
      </c>
      <c r="J3306" s="2" t="s">
        <v>4181</v>
      </c>
      <c r="K3306" s="2" t="s">
        <v>117</v>
      </c>
      <c r="L3306" s="2" t="s">
        <v>118</v>
      </c>
      <c r="M3306" s="2" t="s">
        <v>119</v>
      </c>
      <c r="N3306" s="4" t="str">
        <f t="shared" si="315"/>
        <v>TON</v>
      </c>
      <c r="O3306" s="5">
        <v>10.015000000000001</v>
      </c>
    </row>
    <row r="3307" spans="2:15" x14ac:dyDescent="0.25">
      <c r="B3307" s="1" t="s">
        <v>1520</v>
      </c>
      <c r="C3307" s="2" t="s">
        <v>196</v>
      </c>
      <c r="D3307" s="2" t="s">
        <v>4013</v>
      </c>
      <c r="E3307" s="2" t="s">
        <v>102</v>
      </c>
      <c r="F3307" s="3">
        <f t="shared" si="318"/>
        <v>45257</v>
      </c>
      <c r="G3307" s="4">
        <f t="shared" si="314"/>
        <v>11</v>
      </c>
      <c r="H3307" s="4">
        <f t="shared" si="312"/>
        <v>2023</v>
      </c>
      <c r="I3307" s="2" t="s">
        <v>4</v>
      </c>
      <c r="J3307" s="2" t="s">
        <v>4182</v>
      </c>
      <c r="K3307" s="2" t="s">
        <v>268</v>
      </c>
      <c r="L3307" s="2" t="s">
        <v>269</v>
      </c>
      <c r="M3307" s="2" t="s">
        <v>119</v>
      </c>
      <c r="N3307" s="4" t="str">
        <f t="shared" si="315"/>
        <v>TON</v>
      </c>
      <c r="O3307" s="5">
        <v>0.3</v>
      </c>
    </row>
    <row r="3308" spans="2:15" x14ac:dyDescent="0.25">
      <c r="B3308" s="1" t="s">
        <v>1520</v>
      </c>
      <c r="C3308" s="2" t="s">
        <v>196</v>
      </c>
      <c r="D3308" s="2" t="s">
        <v>270</v>
      </c>
      <c r="E3308" s="2" t="s">
        <v>400</v>
      </c>
      <c r="F3308" s="3">
        <f t="shared" si="318"/>
        <v>45257</v>
      </c>
      <c r="G3308" s="4">
        <f t="shared" si="314"/>
        <v>11</v>
      </c>
      <c r="H3308" s="4">
        <f t="shared" si="312"/>
        <v>2023</v>
      </c>
      <c r="I3308" s="2" t="s">
        <v>4</v>
      </c>
      <c r="J3308" s="2" t="s">
        <v>4183</v>
      </c>
      <c r="K3308" s="2" t="s">
        <v>329</v>
      </c>
      <c r="L3308" s="2" t="s">
        <v>330</v>
      </c>
      <c r="M3308" s="2" t="s">
        <v>119</v>
      </c>
      <c r="N3308" s="4" t="str">
        <f t="shared" si="315"/>
        <v>TON</v>
      </c>
      <c r="O3308" s="5">
        <v>3.75</v>
      </c>
    </row>
    <row r="3309" spans="2:15" x14ac:dyDescent="0.25">
      <c r="B3309" s="1" t="s">
        <v>1520</v>
      </c>
      <c r="C3309" s="2" t="s">
        <v>196</v>
      </c>
      <c r="D3309" s="2" t="s">
        <v>241</v>
      </c>
      <c r="E3309" s="2" t="s">
        <v>242</v>
      </c>
      <c r="F3309" s="3">
        <f t="shared" si="318"/>
        <v>45257</v>
      </c>
      <c r="G3309" s="4">
        <f t="shared" si="314"/>
        <v>11</v>
      </c>
      <c r="H3309" s="4">
        <f t="shared" si="312"/>
        <v>2023</v>
      </c>
      <c r="I3309" s="2" t="s">
        <v>4</v>
      </c>
      <c r="J3309" s="2" t="s">
        <v>4184</v>
      </c>
      <c r="K3309" s="2" t="s">
        <v>260</v>
      </c>
      <c r="L3309" s="2" t="s">
        <v>261</v>
      </c>
      <c r="M3309" s="2" t="s">
        <v>119</v>
      </c>
      <c r="N3309" s="4" t="str">
        <f t="shared" si="315"/>
        <v>TON</v>
      </c>
      <c r="O3309" s="5">
        <v>2.2749999999999999</v>
      </c>
    </row>
    <row r="3310" spans="2:15" x14ac:dyDescent="0.25">
      <c r="B3310" s="1" t="s">
        <v>1520</v>
      </c>
      <c r="C3310" s="2" t="s">
        <v>196</v>
      </c>
      <c r="D3310" s="2" t="s">
        <v>374</v>
      </c>
      <c r="E3310" s="2" t="s">
        <v>375</v>
      </c>
      <c r="F3310" s="3">
        <f t="shared" si="318"/>
        <v>45257</v>
      </c>
      <c r="G3310" s="4">
        <f t="shared" si="314"/>
        <v>11</v>
      </c>
      <c r="H3310" s="4">
        <f t="shared" si="312"/>
        <v>2023</v>
      </c>
      <c r="I3310" s="2" t="s">
        <v>4</v>
      </c>
      <c r="J3310" s="2" t="s">
        <v>4185</v>
      </c>
      <c r="K3310" s="2" t="s">
        <v>122</v>
      </c>
      <c r="L3310" s="2" t="s">
        <v>123</v>
      </c>
      <c r="M3310" s="2" t="s">
        <v>119</v>
      </c>
      <c r="N3310" s="4" t="str">
        <f t="shared" si="315"/>
        <v>TON</v>
      </c>
      <c r="O3310" s="5">
        <v>13</v>
      </c>
    </row>
    <row r="3311" spans="2:15" x14ac:dyDescent="0.25">
      <c r="B3311" s="1" t="s">
        <v>1520</v>
      </c>
      <c r="C3311" s="2" t="s">
        <v>196</v>
      </c>
      <c r="D3311" s="2" t="s">
        <v>262</v>
      </c>
      <c r="E3311" s="2" t="s">
        <v>747</v>
      </c>
      <c r="F3311" s="3">
        <f t="shared" si="318"/>
        <v>45257</v>
      </c>
      <c r="G3311" s="4">
        <f t="shared" si="314"/>
        <v>11</v>
      </c>
      <c r="H3311" s="4">
        <f t="shared" si="312"/>
        <v>2023</v>
      </c>
      <c r="I3311" s="2" t="s">
        <v>4</v>
      </c>
      <c r="J3311" s="2" t="s">
        <v>4186</v>
      </c>
      <c r="K3311" s="2" t="s">
        <v>329</v>
      </c>
      <c r="L3311" s="2" t="s">
        <v>330</v>
      </c>
      <c r="M3311" s="2" t="s">
        <v>119</v>
      </c>
      <c r="N3311" s="4" t="str">
        <f t="shared" si="315"/>
        <v>TON</v>
      </c>
      <c r="O3311" s="5">
        <v>5</v>
      </c>
    </row>
    <row r="3312" spans="2:15" x14ac:dyDescent="0.25">
      <c r="B3312" s="1" t="s">
        <v>1520</v>
      </c>
      <c r="C3312" s="2" t="s">
        <v>196</v>
      </c>
      <c r="D3312" s="2" t="s">
        <v>669</v>
      </c>
      <c r="E3312" s="2" t="s">
        <v>56</v>
      </c>
      <c r="F3312" s="3">
        <f t="shared" si="318"/>
        <v>45257</v>
      </c>
      <c r="G3312" s="4">
        <f t="shared" si="314"/>
        <v>11</v>
      </c>
      <c r="H3312" s="4">
        <f t="shared" si="312"/>
        <v>2023</v>
      </c>
      <c r="I3312" s="2" t="s">
        <v>4</v>
      </c>
      <c r="J3312" s="2" t="s">
        <v>4187</v>
      </c>
      <c r="K3312" s="2" t="s">
        <v>384</v>
      </c>
      <c r="L3312" s="2" t="s">
        <v>385</v>
      </c>
      <c r="M3312" s="2" t="s">
        <v>119</v>
      </c>
      <c r="N3312" s="4" t="str">
        <f t="shared" si="315"/>
        <v>TON</v>
      </c>
      <c r="O3312" s="5">
        <v>3</v>
      </c>
    </row>
    <row r="3313" spans="2:15" x14ac:dyDescent="0.25">
      <c r="B3313" s="1" t="s">
        <v>1520</v>
      </c>
      <c r="C3313" s="2" t="s">
        <v>196</v>
      </c>
      <c r="D3313" s="2" t="s">
        <v>114</v>
      </c>
      <c r="E3313" s="2" t="s">
        <v>402</v>
      </c>
      <c r="F3313" s="3">
        <f t="shared" si="318"/>
        <v>45257</v>
      </c>
      <c r="G3313" s="4">
        <f t="shared" si="314"/>
        <v>11</v>
      </c>
      <c r="H3313" s="4">
        <f t="shared" si="312"/>
        <v>2023</v>
      </c>
      <c r="I3313" s="2" t="s">
        <v>4</v>
      </c>
      <c r="J3313" s="2" t="s">
        <v>4188</v>
      </c>
      <c r="K3313" s="2" t="s">
        <v>117</v>
      </c>
      <c r="L3313" s="2" t="s">
        <v>118</v>
      </c>
      <c r="M3313" s="2" t="s">
        <v>119</v>
      </c>
      <c r="N3313" s="4" t="str">
        <f t="shared" si="315"/>
        <v>TON</v>
      </c>
      <c r="O3313" s="5">
        <v>5</v>
      </c>
    </row>
    <row r="3314" spans="2:15" x14ac:dyDescent="0.25">
      <c r="B3314" s="1" t="s">
        <v>1520</v>
      </c>
      <c r="C3314" s="2" t="s">
        <v>196</v>
      </c>
      <c r="D3314" s="2" t="s">
        <v>331</v>
      </c>
      <c r="E3314" s="2" t="s">
        <v>432</v>
      </c>
      <c r="F3314" s="3">
        <f t="shared" ref="F3314:F3320" si="319">DATE(2023,11,28)</f>
        <v>45258</v>
      </c>
      <c r="G3314" s="4">
        <f t="shared" si="314"/>
        <v>11</v>
      </c>
      <c r="H3314" s="4">
        <f t="shared" si="312"/>
        <v>2023</v>
      </c>
      <c r="I3314" s="2" t="s">
        <v>4</v>
      </c>
      <c r="J3314" s="2" t="s">
        <v>4189</v>
      </c>
      <c r="K3314" s="2" t="s">
        <v>122</v>
      </c>
      <c r="L3314" s="2" t="s">
        <v>123</v>
      </c>
      <c r="M3314" s="2" t="s">
        <v>119</v>
      </c>
      <c r="N3314" s="4" t="str">
        <f t="shared" si="315"/>
        <v>TON</v>
      </c>
      <c r="O3314" s="5">
        <v>5</v>
      </c>
    </row>
    <row r="3315" spans="2:15" x14ac:dyDescent="0.25">
      <c r="B3315" s="1" t="s">
        <v>1520</v>
      </c>
      <c r="C3315" s="2" t="s">
        <v>196</v>
      </c>
      <c r="D3315" s="2" t="s">
        <v>224</v>
      </c>
      <c r="E3315" s="2" t="s">
        <v>895</v>
      </c>
      <c r="F3315" s="3">
        <f t="shared" si="319"/>
        <v>45258</v>
      </c>
      <c r="G3315" s="4">
        <f t="shared" si="314"/>
        <v>11</v>
      </c>
      <c r="H3315" s="4">
        <f t="shared" si="312"/>
        <v>2023</v>
      </c>
      <c r="I3315" s="2" t="s">
        <v>4</v>
      </c>
      <c r="J3315" s="2" t="s">
        <v>4190</v>
      </c>
      <c r="K3315" s="2" t="s">
        <v>205</v>
      </c>
      <c r="L3315" s="2" t="s">
        <v>206</v>
      </c>
      <c r="M3315" s="2" t="s">
        <v>119</v>
      </c>
      <c r="N3315" s="4" t="str">
        <f t="shared" si="315"/>
        <v>TON</v>
      </c>
      <c r="O3315" s="5">
        <v>10.01</v>
      </c>
    </row>
    <row r="3316" spans="2:15" x14ac:dyDescent="0.25">
      <c r="B3316" s="1" t="s">
        <v>645</v>
      </c>
      <c r="C3316" s="2" t="s">
        <v>196</v>
      </c>
      <c r="D3316" s="2" t="s">
        <v>1276</v>
      </c>
      <c r="E3316" s="2" t="s">
        <v>102</v>
      </c>
      <c r="F3316" s="3">
        <f t="shared" si="319"/>
        <v>45258</v>
      </c>
      <c r="G3316" s="4">
        <f t="shared" si="314"/>
        <v>11</v>
      </c>
      <c r="H3316" s="4">
        <f t="shared" si="312"/>
        <v>2023</v>
      </c>
      <c r="I3316" s="2" t="s">
        <v>4</v>
      </c>
      <c r="J3316" s="2" t="s">
        <v>4191</v>
      </c>
      <c r="K3316" s="2" t="s">
        <v>334</v>
      </c>
      <c r="L3316" s="2" t="s">
        <v>335</v>
      </c>
      <c r="M3316" s="2" t="s">
        <v>119</v>
      </c>
      <c r="N3316" s="4" t="str">
        <f t="shared" si="315"/>
        <v>TON</v>
      </c>
      <c r="O3316" s="5">
        <v>8.75</v>
      </c>
    </row>
    <row r="3317" spans="2:15" x14ac:dyDescent="0.25">
      <c r="B3317" s="1" t="s">
        <v>1520</v>
      </c>
      <c r="C3317" s="2" t="s">
        <v>196</v>
      </c>
      <c r="D3317" s="2" t="s">
        <v>215</v>
      </c>
      <c r="E3317" s="2" t="s">
        <v>4113</v>
      </c>
      <c r="F3317" s="3">
        <f t="shared" si="319"/>
        <v>45258</v>
      </c>
      <c r="G3317" s="4">
        <f t="shared" si="314"/>
        <v>11</v>
      </c>
      <c r="H3317" s="4">
        <f t="shared" si="312"/>
        <v>2023</v>
      </c>
      <c r="I3317" s="2" t="s">
        <v>4</v>
      </c>
      <c r="J3317" s="2" t="s">
        <v>4192</v>
      </c>
      <c r="K3317" s="2" t="s">
        <v>205</v>
      </c>
      <c r="L3317" s="2" t="s">
        <v>206</v>
      </c>
      <c r="M3317" s="2" t="s">
        <v>119</v>
      </c>
      <c r="N3317" s="4" t="str">
        <f t="shared" si="315"/>
        <v>TON</v>
      </c>
      <c r="O3317" s="5">
        <v>12.5</v>
      </c>
    </row>
    <row r="3318" spans="2:15" x14ac:dyDescent="0.25">
      <c r="B3318" s="1" t="s">
        <v>645</v>
      </c>
      <c r="C3318" s="2" t="s">
        <v>196</v>
      </c>
      <c r="D3318" s="2" t="s">
        <v>660</v>
      </c>
      <c r="E3318" s="2" t="s">
        <v>102</v>
      </c>
      <c r="F3318" s="3">
        <f t="shared" si="319"/>
        <v>45258</v>
      </c>
      <c r="G3318" s="4">
        <f t="shared" si="314"/>
        <v>11</v>
      </c>
      <c r="H3318" s="4">
        <f t="shared" si="312"/>
        <v>2023</v>
      </c>
      <c r="I3318" s="2" t="s">
        <v>4</v>
      </c>
      <c r="J3318" s="2" t="s">
        <v>4193</v>
      </c>
      <c r="K3318" s="2" t="s">
        <v>122</v>
      </c>
      <c r="L3318" s="2" t="s">
        <v>123</v>
      </c>
      <c r="M3318" s="2" t="s">
        <v>119</v>
      </c>
      <c r="N3318" s="4" t="str">
        <f t="shared" si="315"/>
        <v>TON</v>
      </c>
      <c r="O3318" s="5">
        <v>2.5</v>
      </c>
    </row>
    <row r="3319" spans="2:15" x14ac:dyDescent="0.25">
      <c r="B3319" s="1" t="s">
        <v>1520</v>
      </c>
      <c r="C3319" s="2" t="s">
        <v>196</v>
      </c>
      <c r="D3319" s="2" t="s">
        <v>800</v>
      </c>
      <c r="E3319" s="2" t="s">
        <v>907</v>
      </c>
      <c r="F3319" s="3">
        <f t="shared" si="319"/>
        <v>45258</v>
      </c>
      <c r="G3319" s="4">
        <f t="shared" si="314"/>
        <v>11</v>
      </c>
      <c r="H3319" s="4">
        <f t="shared" si="312"/>
        <v>2023</v>
      </c>
      <c r="I3319" s="2" t="s">
        <v>4</v>
      </c>
      <c r="J3319" s="2" t="s">
        <v>4194</v>
      </c>
      <c r="K3319" s="2" t="s">
        <v>122</v>
      </c>
      <c r="L3319" s="2" t="s">
        <v>123</v>
      </c>
      <c r="M3319" s="2" t="s">
        <v>119</v>
      </c>
      <c r="N3319" s="4" t="str">
        <f t="shared" si="315"/>
        <v>TON</v>
      </c>
      <c r="O3319" s="5">
        <v>2.5</v>
      </c>
    </row>
    <row r="3320" spans="2:15" x14ac:dyDescent="0.25">
      <c r="B3320" s="1" t="s">
        <v>1520</v>
      </c>
      <c r="C3320" s="2" t="s">
        <v>196</v>
      </c>
      <c r="D3320" s="2" t="s">
        <v>790</v>
      </c>
      <c r="E3320" s="2" t="s">
        <v>791</v>
      </c>
      <c r="F3320" s="3">
        <f t="shared" si="319"/>
        <v>45258</v>
      </c>
      <c r="G3320" s="4">
        <f t="shared" si="314"/>
        <v>11</v>
      </c>
      <c r="H3320" s="4">
        <f t="shared" si="312"/>
        <v>2023</v>
      </c>
      <c r="I3320" s="2" t="s">
        <v>4</v>
      </c>
      <c r="J3320" s="2" t="s">
        <v>4195</v>
      </c>
      <c r="K3320" s="2" t="s">
        <v>334</v>
      </c>
      <c r="L3320" s="2" t="s">
        <v>335</v>
      </c>
      <c r="M3320" s="2" t="s">
        <v>119</v>
      </c>
      <c r="N3320" s="4" t="str">
        <f t="shared" si="315"/>
        <v>TON</v>
      </c>
      <c r="O3320" s="5">
        <v>5</v>
      </c>
    </row>
    <row r="3321" spans="2:15" x14ac:dyDescent="0.25">
      <c r="B3321" s="1" t="s">
        <v>1520</v>
      </c>
      <c r="C3321" s="2" t="s">
        <v>196</v>
      </c>
      <c r="D3321" s="2" t="s">
        <v>241</v>
      </c>
      <c r="E3321" s="2" t="s">
        <v>258</v>
      </c>
      <c r="F3321" s="3">
        <f t="shared" ref="F3321:F3327" si="320">DATE(2023,11,29)</f>
        <v>45259</v>
      </c>
      <c r="G3321" s="4">
        <f t="shared" si="314"/>
        <v>11</v>
      </c>
      <c r="H3321" s="4">
        <f t="shared" si="312"/>
        <v>2023</v>
      </c>
      <c r="I3321" s="2" t="s">
        <v>4</v>
      </c>
      <c r="J3321" s="2" t="s">
        <v>4196</v>
      </c>
      <c r="K3321" s="2" t="s">
        <v>3458</v>
      </c>
      <c r="L3321" s="2" t="s">
        <v>3459</v>
      </c>
      <c r="M3321" s="2" t="s">
        <v>119</v>
      </c>
      <c r="N3321" s="4" t="str">
        <f t="shared" si="315"/>
        <v>TON</v>
      </c>
      <c r="O3321" s="5">
        <v>2.2599999999999998</v>
      </c>
    </row>
    <row r="3322" spans="2:15" x14ac:dyDescent="0.25">
      <c r="B3322" s="1" t="s">
        <v>1520</v>
      </c>
      <c r="C3322" s="2" t="s">
        <v>196</v>
      </c>
      <c r="D3322" s="2" t="s">
        <v>672</v>
      </c>
      <c r="E3322" s="2" t="s">
        <v>1283</v>
      </c>
      <c r="F3322" s="3">
        <f t="shared" si="320"/>
        <v>45259</v>
      </c>
      <c r="G3322" s="4">
        <f t="shared" si="314"/>
        <v>11</v>
      </c>
      <c r="H3322" s="4">
        <f t="shared" si="312"/>
        <v>2023</v>
      </c>
      <c r="I3322" s="2" t="s">
        <v>4</v>
      </c>
      <c r="J3322" s="2" t="s">
        <v>4197</v>
      </c>
      <c r="K3322" s="2" t="s">
        <v>251</v>
      </c>
      <c r="L3322" s="2" t="s">
        <v>252</v>
      </c>
      <c r="M3322" s="2" t="s">
        <v>119</v>
      </c>
      <c r="N3322" s="4" t="str">
        <f t="shared" si="315"/>
        <v>TON</v>
      </c>
      <c r="O3322" s="5">
        <v>7</v>
      </c>
    </row>
    <row r="3323" spans="2:15" x14ac:dyDescent="0.25">
      <c r="B3323" s="1" t="s">
        <v>1520</v>
      </c>
      <c r="C3323" s="2" t="s">
        <v>196</v>
      </c>
      <c r="D3323" s="2" t="s">
        <v>262</v>
      </c>
      <c r="E3323" s="2" t="s">
        <v>1170</v>
      </c>
      <c r="F3323" s="3">
        <f t="shared" si="320"/>
        <v>45259</v>
      </c>
      <c r="G3323" s="4">
        <f t="shared" si="314"/>
        <v>11</v>
      </c>
      <c r="H3323" s="4">
        <f t="shared" ref="H3323:H3386" si="321">+YEAR(F3323)</f>
        <v>2023</v>
      </c>
      <c r="I3323" s="2" t="s">
        <v>4</v>
      </c>
      <c r="J3323" s="2" t="s">
        <v>4198</v>
      </c>
      <c r="K3323" s="2" t="s">
        <v>329</v>
      </c>
      <c r="L3323" s="2" t="s">
        <v>330</v>
      </c>
      <c r="M3323" s="2" t="s">
        <v>119</v>
      </c>
      <c r="N3323" s="4" t="str">
        <f t="shared" si="315"/>
        <v>TON</v>
      </c>
      <c r="O3323" s="5">
        <v>14.9975</v>
      </c>
    </row>
    <row r="3324" spans="2:15" x14ac:dyDescent="0.25">
      <c r="B3324" s="1" t="s">
        <v>1520</v>
      </c>
      <c r="C3324" s="2" t="s">
        <v>196</v>
      </c>
      <c r="D3324" s="2" t="s">
        <v>289</v>
      </c>
      <c r="E3324" s="2" t="s">
        <v>290</v>
      </c>
      <c r="F3324" s="3">
        <f t="shared" si="320"/>
        <v>45259</v>
      </c>
      <c r="G3324" s="4">
        <f t="shared" si="314"/>
        <v>11</v>
      </c>
      <c r="H3324" s="4">
        <f t="shared" si="321"/>
        <v>2023</v>
      </c>
      <c r="I3324" s="2" t="s">
        <v>4</v>
      </c>
      <c r="J3324" s="2" t="s">
        <v>4199</v>
      </c>
      <c r="K3324" s="2" t="s">
        <v>865</v>
      </c>
      <c r="L3324" s="2" t="s">
        <v>866</v>
      </c>
      <c r="M3324" s="2" t="s">
        <v>119</v>
      </c>
      <c r="N3324" s="4" t="str">
        <f t="shared" si="315"/>
        <v>TON</v>
      </c>
      <c r="O3324" s="5">
        <v>0.75</v>
      </c>
    </row>
    <row r="3325" spans="2:15" x14ac:dyDescent="0.25">
      <c r="B3325" s="1" t="s">
        <v>1520</v>
      </c>
      <c r="C3325" s="2" t="s">
        <v>196</v>
      </c>
      <c r="D3325" s="2" t="s">
        <v>215</v>
      </c>
      <c r="E3325" s="2" t="s">
        <v>4113</v>
      </c>
      <c r="F3325" s="3">
        <f t="shared" si="320"/>
        <v>45259</v>
      </c>
      <c r="G3325" s="4">
        <f t="shared" si="314"/>
        <v>11</v>
      </c>
      <c r="H3325" s="4">
        <f t="shared" si="321"/>
        <v>2023</v>
      </c>
      <c r="I3325" s="2" t="s">
        <v>4</v>
      </c>
      <c r="J3325" s="2" t="s">
        <v>4200</v>
      </c>
      <c r="K3325" s="2" t="s">
        <v>447</v>
      </c>
      <c r="L3325" s="2" t="s">
        <v>448</v>
      </c>
      <c r="M3325" s="2" t="s">
        <v>119</v>
      </c>
      <c r="N3325" s="4" t="str">
        <f t="shared" si="315"/>
        <v>TON</v>
      </c>
      <c r="O3325" s="5">
        <v>12.53</v>
      </c>
    </row>
    <row r="3326" spans="2:15" x14ac:dyDescent="0.25">
      <c r="B3326" s="1" t="s">
        <v>1520</v>
      </c>
      <c r="C3326" s="2" t="s">
        <v>196</v>
      </c>
      <c r="D3326" s="2" t="s">
        <v>248</v>
      </c>
      <c r="E3326" s="2" t="s">
        <v>141</v>
      </c>
      <c r="F3326" s="3">
        <f t="shared" si="320"/>
        <v>45259</v>
      </c>
      <c r="G3326" s="4">
        <f t="shared" si="314"/>
        <v>11</v>
      </c>
      <c r="H3326" s="4">
        <f t="shared" si="321"/>
        <v>2023</v>
      </c>
      <c r="I3326" s="2" t="s">
        <v>4</v>
      </c>
      <c r="J3326" s="2" t="s">
        <v>4201</v>
      </c>
      <c r="K3326" s="2" t="s">
        <v>4202</v>
      </c>
      <c r="L3326" s="2" t="s">
        <v>4203</v>
      </c>
      <c r="M3326" s="2" t="s">
        <v>4204</v>
      </c>
      <c r="N3326" s="4" t="str">
        <f t="shared" si="315"/>
        <v>GAL</v>
      </c>
      <c r="O3326" s="5">
        <v>5</v>
      </c>
    </row>
    <row r="3327" spans="2:15" x14ac:dyDescent="0.25">
      <c r="B3327" s="1" t="s">
        <v>1520</v>
      </c>
      <c r="C3327" s="2" t="s">
        <v>196</v>
      </c>
      <c r="D3327" s="2" t="s">
        <v>2002</v>
      </c>
      <c r="E3327" s="2" t="s">
        <v>102</v>
      </c>
      <c r="F3327" s="3">
        <f t="shared" si="320"/>
        <v>45259</v>
      </c>
      <c r="G3327" s="4">
        <f t="shared" si="314"/>
        <v>11</v>
      </c>
      <c r="H3327" s="4">
        <f t="shared" si="321"/>
        <v>2023</v>
      </c>
      <c r="I3327" s="2" t="s">
        <v>4</v>
      </c>
      <c r="J3327" s="2" t="s">
        <v>4205</v>
      </c>
      <c r="K3327" s="2" t="s">
        <v>158</v>
      </c>
      <c r="L3327" s="2" t="s">
        <v>159</v>
      </c>
      <c r="M3327" s="2" t="s">
        <v>160</v>
      </c>
      <c r="N3327" s="4" t="str">
        <f t="shared" si="315"/>
        <v>GAL</v>
      </c>
      <c r="O3327" s="5">
        <v>45</v>
      </c>
    </row>
    <row r="3328" spans="2:15" x14ac:dyDescent="0.25">
      <c r="B3328" s="1" t="s">
        <v>1520</v>
      </c>
      <c r="C3328" s="2" t="s">
        <v>196</v>
      </c>
      <c r="D3328" s="2" t="s">
        <v>660</v>
      </c>
      <c r="E3328" s="2" t="s">
        <v>699</v>
      </c>
      <c r="F3328" s="3">
        <f t="shared" ref="F3328:F3343" si="322">DATE(2023,11,30)</f>
        <v>45260</v>
      </c>
      <c r="G3328" s="4">
        <f t="shared" si="314"/>
        <v>11</v>
      </c>
      <c r="H3328" s="4">
        <f t="shared" si="321"/>
        <v>2023</v>
      </c>
      <c r="I3328" s="2" t="s">
        <v>4</v>
      </c>
      <c r="J3328" s="2" t="s">
        <v>4206</v>
      </c>
      <c r="K3328" s="2" t="s">
        <v>447</v>
      </c>
      <c r="L3328" s="2" t="s">
        <v>448</v>
      </c>
      <c r="M3328" s="2" t="s">
        <v>119</v>
      </c>
      <c r="N3328" s="4" t="str">
        <f t="shared" si="315"/>
        <v>TON</v>
      </c>
      <c r="O3328" s="5">
        <v>3.5</v>
      </c>
    </row>
    <row r="3329" spans="2:15" x14ac:dyDescent="0.25">
      <c r="B3329" s="1" t="s">
        <v>1520</v>
      </c>
      <c r="C3329" s="2" t="s">
        <v>196</v>
      </c>
      <c r="D3329" s="2" t="s">
        <v>276</v>
      </c>
      <c r="E3329" s="2" t="s">
        <v>277</v>
      </c>
      <c r="F3329" s="3">
        <f t="shared" si="322"/>
        <v>45260</v>
      </c>
      <c r="G3329" s="4">
        <f t="shared" si="314"/>
        <v>11</v>
      </c>
      <c r="H3329" s="4">
        <f t="shared" si="321"/>
        <v>2023</v>
      </c>
      <c r="I3329" s="2" t="s">
        <v>4</v>
      </c>
      <c r="J3329" s="2" t="s">
        <v>4207</v>
      </c>
      <c r="K3329" s="2" t="s">
        <v>292</v>
      </c>
      <c r="L3329" s="2" t="s">
        <v>293</v>
      </c>
      <c r="M3329" s="2" t="s">
        <v>119</v>
      </c>
      <c r="N3329" s="4" t="str">
        <f t="shared" si="315"/>
        <v>TON</v>
      </c>
      <c r="O3329" s="5">
        <v>2</v>
      </c>
    </row>
    <row r="3330" spans="2:15" x14ac:dyDescent="0.25">
      <c r="B3330" s="1" t="s">
        <v>1520</v>
      </c>
      <c r="C3330" s="2" t="s">
        <v>196</v>
      </c>
      <c r="D3330" s="2" t="s">
        <v>276</v>
      </c>
      <c r="E3330" s="2" t="s">
        <v>878</v>
      </c>
      <c r="F3330" s="3">
        <f t="shared" si="322"/>
        <v>45260</v>
      </c>
      <c r="G3330" s="4">
        <f t="shared" si="314"/>
        <v>11</v>
      </c>
      <c r="H3330" s="4">
        <f t="shared" si="321"/>
        <v>2023</v>
      </c>
      <c r="I3330" s="2" t="s">
        <v>4</v>
      </c>
      <c r="J3330" s="2" t="s">
        <v>4208</v>
      </c>
      <c r="K3330" s="2" t="s">
        <v>292</v>
      </c>
      <c r="L3330" s="2" t="s">
        <v>293</v>
      </c>
      <c r="M3330" s="2" t="s">
        <v>119</v>
      </c>
      <c r="N3330" s="4" t="str">
        <f t="shared" si="315"/>
        <v>TON</v>
      </c>
      <c r="O3330" s="5">
        <v>10</v>
      </c>
    </row>
    <row r="3331" spans="2:15" x14ac:dyDescent="0.25">
      <c r="B3331" s="1" t="s">
        <v>1520</v>
      </c>
      <c r="C3331" s="2" t="s">
        <v>196</v>
      </c>
      <c r="D3331" s="2" t="s">
        <v>276</v>
      </c>
      <c r="E3331" s="2" t="s">
        <v>396</v>
      </c>
      <c r="F3331" s="3">
        <f t="shared" si="322"/>
        <v>45260</v>
      </c>
      <c r="G3331" s="4">
        <f t="shared" ref="G3331:G3394" si="323">+MONTH(F3331)</f>
        <v>11</v>
      </c>
      <c r="H3331" s="4">
        <f t="shared" si="321"/>
        <v>2023</v>
      </c>
      <c r="I3331" s="2" t="s">
        <v>4</v>
      </c>
      <c r="J3331" s="2" t="s">
        <v>4209</v>
      </c>
      <c r="K3331" s="2" t="s">
        <v>205</v>
      </c>
      <c r="L3331" s="2" t="s">
        <v>206</v>
      </c>
      <c r="M3331" s="2" t="s">
        <v>119</v>
      </c>
      <c r="N3331" s="4" t="str">
        <f t="shared" ref="N3331:N3394" si="324">+LEFT(M3331,3)</f>
        <v>TON</v>
      </c>
      <c r="O3331" s="5">
        <v>2</v>
      </c>
    </row>
    <row r="3332" spans="2:15" x14ac:dyDescent="0.25">
      <c r="B3332" s="1" t="s">
        <v>1520</v>
      </c>
      <c r="C3332" s="2" t="s">
        <v>196</v>
      </c>
      <c r="D3332" s="2" t="s">
        <v>444</v>
      </c>
      <c r="E3332" s="2" t="s">
        <v>686</v>
      </c>
      <c r="F3332" s="3">
        <f t="shared" si="322"/>
        <v>45260</v>
      </c>
      <c r="G3332" s="4">
        <f t="shared" si="323"/>
        <v>11</v>
      </c>
      <c r="H3332" s="4">
        <f t="shared" si="321"/>
        <v>2023</v>
      </c>
      <c r="I3332" s="2" t="s">
        <v>4</v>
      </c>
      <c r="J3332" s="2" t="s">
        <v>4210</v>
      </c>
      <c r="K3332" s="2" t="s">
        <v>394</v>
      </c>
      <c r="L3332" s="2" t="s">
        <v>395</v>
      </c>
      <c r="M3332" s="2" t="s">
        <v>119</v>
      </c>
      <c r="N3332" s="4" t="str">
        <f t="shared" si="324"/>
        <v>TON</v>
      </c>
      <c r="O3332" s="5">
        <v>2.0024999999999999</v>
      </c>
    </row>
    <row r="3333" spans="2:15" x14ac:dyDescent="0.25">
      <c r="B3333" s="1" t="s">
        <v>1520</v>
      </c>
      <c r="C3333" s="2" t="s">
        <v>196</v>
      </c>
      <c r="D3333" s="2" t="s">
        <v>215</v>
      </c>
      <c r="E3333" s="2" t="s">
        <v>216</v>
      </c>
      <c r="F3333" s="3">
        <f t="shared" si="322"/>
        <v>45260</v>
      </c>
      <c r="G3333" s="4">
        <f t="shared" si="323"/>
        <v>11</v>
      </c>
      <c r="H3333" s="4">
        <f t="shared" si="321"/>
        <v>2023</v>
      </c>
      <c r="I3333" s="2" t="s">
        <v>4</v>
      </c>
      <c r="J3333" s="2" t="s">
        <v>4211</v>
      </c>
      <c r="K3333" s="2" t="s">
        <v>329</v>
      </c>
      <c r="L3333" s="2" t="s">
        <v>330</v>
      </c>
      <c r="M3333" s="2" t="s">
        <v>119</v>
      </c>
      <c r="N3333" s="4" t="str">
        <f t="shared" si="324"/>
        <v>TON</v>
      </c>
      <c r="O3333" s="5">
        <v>1</v>
      </c>
    </row>
    <row r="3334" spans="2:15" x14ac:dyDescent="0.25">
      <c r="B3334" s="1" t="s">
        <v>1520</v>
      </c>
      <c r="C3334" s="2" t="s">
        <v>196</v>
      </c>
      <c r="D3334" s="2" t="s">
        <v>262</v>
      </c>
      <c r="E3334" s="2" t="s">
        <v>290</v>
      </c>
      <c r="F3334" s="3">
        <f t="shared" si="322"/>
        <v>45260</v>
      </c>
      <c r="G3334" s="4">
        <f t="shared" si="323"/>
        <v>11</v>
      </c>
      <c r="H3334" s="4">
        <f t="shared" si="321"/>
        <v>2023</v>
      </c>
      <c r="I3334" s="2" t="s">
        <v>4</v>
      </c>
      <c r="J3334" s="2" t="s">
        <v>4212</v>
      </c>
      <c r="K3334" s="2" t="s">
        <v>329</v>
      </c>
      <c r="L3334" s="2" t="s">
        <v>330</v>
      </c>
      <c r="M3334" s="2" t="s">
        <v>119</v>
      </c>
      <c r="N3334" s="4" t="str">
        <f t="shared" si="324"/>
        <v>TON</v>
      </c>
      <c r="O3334" s="5">
        <v>4.01</v>
      </c>
    </row>
    <row r="3335" spans="2:15" x14ac:dyDescent="0.25">
      <c r="B3335" s="1" t="s">
        <v>1520</v>
      </c>
      <c r="C3335" s="2" t="s">
        <v>196</v>
      </c>
      <c r="D3335" s="2" t="s">
        <v>114</v>
      </c>
      <c r="E3335" s="2" t="s">
        <v>402</v>
      </c>
      <c r="F3335" s="3">
        <f t="shared" si="322"/>
        <v>45260</v>
      </c>
      <c r="G3335" s="4">
        <f t="shared" si="323"/>
        <v>11</v>
      </c>
      <c r="H3335" s="4">
        <f t="shared" si="321"/>
        <v>2023</v>
      </c>
      <c r="I3335" s="2" t="s">
        <v>4</v>
      </c>
      <c r="J3335" s="2" t="s">
        <v>4213</v>
      </c>
      <c r="K3335" s="2" t="s">
        <v>117</v>
      </c>
      <c r="L3335" s="2" t="s">
        <v>118</v>
      </c>
      <c r="M3335" s="2" t="s">
        <v>119</v>
      </c>
      <c r="N3335" s="4" t="str">
        <f t="shared" si="324"/>
        <v>TON</v>
      </c>
      <c r="O3335" s="5">
        <v>13.5075</v>
      </c>
    </row>
    <row r="3336" spans="2:15" x14ac:dyDescent="0.25">
      <c r="B3336" s="1" t="s">
        <v>1520</v>
      </c>
      <c r="C3336" s="2" t="s">
        <v>196</v>
      </c>
      <c r="D3336" s="2" t="s">
        <v>215</v>
      </c>
      <c r="E3336" s="2" t="s">
        <v>315</v>
      </c>
      <c r="F3336" s="3">
        <f t="shared" si="322"/>
        <v>45260</v>
      </c>
      <c r="G3336" s="4">
        <f t="shared" si="323"/>
        <v>11</v>
      </c>
      <c r="H3336" s="4">
        <f t="shared" si="321"/>
        <v>2023</v>
      </c>
      <c r="I3336" s="2" t="s">
        <v>4</v>
      </c>
      <c r="J3336" s="2" t="s">
        <v>4214</v>
      </c>
      <c r="K3336" s="2" t="s">
        <v>447</v>
      </c>
      <c r="L3336" s="2" t="s">
        <v>448</v>
      </c>
      <c r="M3336" s="2" t="s">
        <v>119</v>
      </c>
      <c r="N3336" s="4" t="str">
        <f t="shared" si="324"/>
        <v>TON</v>
      </c>
      <c r="O3336" s="5">
        <v>4</v>
      </c>
    </row>
    <row r="3337" spans="2:15" x14ac:dyDescent="0.25">
      <c r="B3337" s="1" t="s">
        <v>1520</v>
      </c>
      <c r="C3337" s="2" t="s">
        <v>196</v>
      </c>
      <c r="D3337" s="2" t="s">
        <v>452</v>
      </c>
      <c r="E3337" s="2" t="s">
        <v>453</v>
      </c>
      <c r="F3337" s="3">
        <f t="shared" si="322"/>
        <v>45260</v>
      </c>
      <c r="G3337" s="4">
        <f t="shared" si="323"/>
        <v>11</v>
      </c>
      <c r="H3337" s="4">
        <f t="shared" si="321"/>
        <v>2023</v>
      </c>
      <c r="I3337" s="2" t="s">
        <v>4</v>
      </c>
      <c r="J3337" s="2" t="s">
        <v>4215</v>
      </c>
      <c r="K3337" s="2" t="s">
        <v>117</v>
      </c>
      <c r="L3337" s="2" t="s">
        <v>118</v>
      </c>
      <c r="M3337" s="2" t="s">
        <v>119</v>
      </c>
      <c r="N3337" s="4" t="str">
        <f t="shared" si="324"/>
        <v>TON</v>
      </c>
      <c r="O3337" s="5">
        <v>8.5374999999999996</v>
      </c>
    </row>
    <row r="3338" spans="2:15" x14ac:dyDescent="0.25">
      <c r="B3338" s="1" t="s">
        <v>1520</v>
      </c>
      <c r="C3338" s="2" t="s">
        <v>196</v>
      </c>
      <c r="D3338" s="2" t="s">
        <v>4013</v>
      </c>
      <c r="E3338" s="2" t="s">
        <v>2868</v>
      </c>
      <c r="F3338" s="3">
        <f t="shared" si="322"/>
        <v>45260</v>
      </c>
      <c r="G3338" s="4">
        <f t="shared" si="323"/>
        <v>11</v>
      </c>
      <c r="H3338" s="4">
        <f t="shared" si="321"/>
        <v>2023</v>
      </c>
      <c r="I3338" s="2" t="s">
        <v>4</v>
      </c>
      <c r="J3338" s="2" t="s">
        <v>4216</v>
      </c>
      <c r="K3338" s="2" t="s">
        <v>268</v>
      </c>
      <c r="L3338" s="2" t="s">
        <v>269</v>
      </c>
      <c r="M3338" s="2" t="s">
        <v>119</v>
      </c>
      <c r="N3338" s="4" t="str">
        <f t="shared" si="324"/>
        <v>TON</v>
      </c>
      <c r="O3338" s="5">
        <v>2</v>
      </c>
    </row>
    <row r="3339" spans="2:15" x14ac:dyDescent="0.25">
      <c r="B3339" s="1" t="s">
        <v>1520</v>
      </c>
      <c r="C3339" s="2" t="s">
        <v>196</v>
      </c>
      <c r="D3339" s="2" t="s">
        <v>114</v>
      </c>
      <c r="E3339" s="2" t="s">
        <v>1304</v>
      </c>
      <c r="F3339" s="3">
        <f t="shared" si="322"/>
        <v>45260</v>
      </c>
      <c r="G3339" s="4">
        <f t="shared" si="323"/>
        <v>11</v>
      </c>
      <c r="H3339" s="4">
        <f t="shared" si="321"/>
        <v>2023</v>
      </c>
      <c r="I3339" s="2" t="s">
        <v>4</v>
      </c>
      <c r="J3339" s="2" t="s">
        <v>4217</v>
      </c>
      <c r="K3339" s="2" t="s">
        <v>117</v>
      </c>
      <c r="L3339" s="2" t="s">
        <v>118</v>
      </c>
      <c r="M3339" s="2" t="s">
        <v>119</v>
      </c>
      <c r="N3339" s="4" t="str">
        <f t="shared" si="324"/>
        <v>TON</v>
      </c>
      <c r="O3339" s="5">
        <v>2</v>
      </c>
    </row>
    <row r="3340" spans="2:15" x14ac:dyDescent="0.25">
      <c r="B3340" s="1" t="s">
        <v>1520</v>
      </c>
      <c r="C3340" s="2" t="s">
        <v>196</v>
      </c>
      <c r="D3340" s="2" t="s">
        <v>321</v>
      </c>
      <c r="E3340" s="2" t="s">
        <v>697</v>
      </c>
      <c r="F3340" s="3">
        <f t="shared" si="322"/>
        <v>45260</v>
      </c>
      <c r="G3340" s="4">
        <f t="shared" si="323"/>
        <v>11</v>
      </c>
      <c r="H3340" s="4">
        <f t="shared" si="321"/>
        <v>2023</v>
      </c>
      <c r="I3340" s="2" t="s">
        <v>4</v>
      </c>
      <c r="J3340" s="2" t="s">
        <v>4218</v>
      </c>
      <c r="K3340" s="2" t="s">
        <v>394</v>
      </c>
      <c r="L3340" s="2" t="s">
        <v>395</v>
      </c>
      <c r="M3340" s="2" t="s">
        <v>119</v>
      </c>
      <c r="N3340" s="4" t="str">
        <f t="shared" si="324"/>
        <v>TON</v>
      </c>
      <c r="O3340" s="5">
        <v>10</v>
      </c>
    </row>
    <row r="3341" spans="2:15" x14ac:dyDescent="0.25">
      <c r="B3341" s="1" t="s">
        <v>1520</v>
      </c>
      <c r="C3341" s="2" t="s">
        <v>196</v>
      </c>
      <c r="D3341" s="2" t="s">
        <v>3767</v>
      </c>
      <c r="E3341" s="2" t="s">
        <v>4219</v>
      </c>
      <c r="F3341" s="3">
        <f t="shared" si="322"/>
        <v>45260</v>
      </c>
      <c r="G3341" s="4">
        <f t="shared" si="323"/>
        <v>11</v>
      </c>
      <c r="H3341" s="4">
        <f t="shared" si="321"/>
        <v>2023</v>
      </c>
      <c r="I3341" s="2" t="s">
        <v>4</v>
      </c>
      <c r="J3341" s="2" t="s">
        <v>4220</v>
      </c>
      <c r="K3341" s="2" t="s">
        <v>205</v>
      </c>
      <c r="L3341" s="2" t="s">
        <v>206</v>
      </c>
      <c r="M3341" s="2" t="s">
        <v>119</v>
      </c>
      <c r="N3341" s="4" t="str">
        <f t="shared" si="324"/>
        <v>TON</v>
      </c>
      <c r="O3341" s="5">
        <v>2.5</v>
      </c>
    </row>
    <row r="3342" spans="2:15" x14ac:dyDescent="0.25">
      <c r="B3342" s="6" t="s">
        <v>1520</v>
      </c>
      <c r="C3342" s="7" t="s">
        <v>196</v>
      </c>
      <c r="D3342" s="8" t="s">
        <v>387</v>
      </c>
      <c r="E3342" s="8" t="s">
        <v>797</v>
      </c>
      <c r="F3342" s="9">
        <f t="shared" si="322"/>
        <v>45260</v>
      </c>
      <c r="G3342" s="10">
        <f t="shared" si="323"/>
        <v>11</v>
      </c>
      <c r="H3342" s="10">
        <f t="shared" si="321"/>
        <v>2023</v>
      </c>
      <c r="I3342" s="8" t="s">
        <v>4</v>
      </c>
      <c r="J3342" s="7" t="s">
        <v>4221</v>
      </c>
      <c r="K3342" s="8" t="s">
        <v>4222</v>
      </c>
      <c r="L3342" s="8" t="s">
        <v>4223</v>
      </c>
      <c r="M3342" s="8" t="s">
        <v>119</v>
      </c>
      <c r="N3342" s="10" t="str">
        <f t="shared" si="324"/>
        <v>TON</v>
      </c>
      <c r="O3342" s="11">
        <v>12.0175</v>
      </c>
    </row>
    <row r="3343" spans="2:15" x14ac:dyDescent="0.25">
      <c r="B3343" s="1" t="s">
        <v>1520</v>
      </c>
      <c r="C3343" s="2" t="s">
        <v>196</v>
      </c>
      <c r="D3343" s="2" t="s">
        <v>387</v>
      </c>
      <c r="E3343" s="2" t="s">
        <v>797</v>
      </c>
      <c r="F3343" s="3">
        <f t="shared" si="322"/>
        <v>45260</v>
      </c>
      <c r="G3343" s="4">
        <f t="shared" si="323"/>
        <v>11</v>
      </c>
      <c r="H3343" s="4">
        <f t="shared" si="321"/>
        <v>2023</v>
      </c>
      <c r="I3343" s="2" t="s">
        <v>4</v>
      </c>
      <c r="J3343" s="2" t="s">
        <v>4221</v>
      </c>
      <c r="K3343" s="2" t="s">
        <v>3726</v>
      </c>
      <c r="L3343" s="2" t="s">
        <v>3727</v>
      </c>
      <c r="M3343" s="2" t="s">
        <v>145</v>
      </c>
      <c r="N3343" s="4" t="str">
        <f t="shared" si="324"/>
        <v>GAL</v>
      </c>
      <c r="O3343" s="5">
        <v>4.5</v>
      </c>
    </row>
    <row r="3344" spans="2:15" x14ac:dyDescent="0.25">
      <c r="B3344" s="1" t="s">
        <v>382</v>
      </c>
      <c r="C3344" s="2" t="s">
        <v>506</v>
      </c>
      <c r="D3344" s="2" t="s">
        <v>515</v>
      </c>
      <c r="E3344" s="2" t="s">
        <v>516</v>
      </c>
      <c r="F3344" s="3">
        <f>DATE(2023,11,8)</f>
        <v>45238</v>
      </c>
      <c r="G3344" s="4">
        <f t="shared" si="323"/>
        <v>11</v>
      </c>
      <c r="H3344" s="4">
        <f t="shared" si="321"/>
        <v>2023</v>
      </c>
      <c r="I3344" s="2" t="s">
        <v>4</v>
      </c>
      <c r="J3344" s="2" t="s">
        <v>4224</v>
      </c>
      <c r="K3344" s="2" t="s">
        <v>642</v>
      </c>
      <c r="L3344" s="2" t="s">
        <v>111</v>
      </c>
      <c r="M3344" s="2" t="s">
        <v>112</v>
      </c>
      <c r="N3344" s="4" t="str">
        <f t="shared" si="324"/>
        <v>GAL</v>
      </c>
      <c r="O3344" s="5">
        <v>60</v>
      </c>
    </row>
    <row r="3345" spans="2:15" x14ac:dyDescent="0.25">
      <c r="B3345" s="1" t="s">
        <v>382</v>
      </c>
      <c r="C3345" s="2" t="s">
        <v>506</v>
      </c>
      <c r="D3345" s="2" t="s">
        <v>515</v>
      </c>
      <c r="E3345" s="2" t="s">
        <v>516</v>
      </c>
      <c r="F3345" s="3">
        <f>DATE(2023,11,8)</f>
        <v>45238</v>
      </c>
      <c r="G3345" s="4">
        <f t="shared" si="323"/>
        <v>11</v>
      </c>
      <c r="H3345" s="4">
        <f t="shared" si="321"/>
        <v>2023</v>
      </c>
      <c r="I3345" s="2" t="s">
        <v>4</v>
      </c>
      <c r="J3345" s="2" t="s">
        <v>4224</v>
      </c>
      <c r="K3345" s="2" t="s">
        <v>149</v>
      </c>
      <c r="L3345" s="2" t="s">
        <v>150</v>
      </c>
      <c r="M3345" s="2" t="s">
        <v>21</v>
      </c>
      <c r="N3345" s="4" t="str">
        <f t="shared" si="324"/>
        <v>GAL</v>
      </c>
      <c r="O3345" s="5">
        <v>180</v>
      </c>
    </row>
    <row r="3346" spans="2:15" x14ac:dyDescent="0.25">
      <c r="B3346" s="1" t="s">
        <v>382</v>
      </c>
      <c r="C3346" s="2" t="s">
        <v>506</v>
      </c>
      <c r="D3346" s="2" t="s">
        <v>515</v>
      </c>
      <c r="E3346" s="2" t="s">
        <v>516</v>
      </c>
      <c r="F3346" s="3">
        <f>DATE(2023,11,8)</f>
        <v>45238</v>
      </c>
      <c r="G3346" s="4">
        <f t="shared" si="323"/>
        <v>11</v>
      </c>
      <c r="H3346" s="4">
        <f t="shared" si="321"/>
        <v>2023</v>
      </c>
      <c r="I3346" s="2" t="s">
        <v>4</v>
      </c>
      <c r="J3346" s="2" t="s">
        <v>4224</v>
      </c>
      <c r="K3346" s="2" t="s">
        <v>986</v>
      </c>
      <c r="L3346" s="2" t="s">
        <v>987</v>
      </c>
      <c r="M3346" s="2" t="s">
        <v>988</v>
      </c>
      <c r="N3346" s="4" t="str">
        <f t="shared" si="324"/>
        <v>GAL</v>
      </c>
      <c r="O3346" s="5">
        <v>60</v>
      </c>
    </row>
    <row r="3347" spans="2:15" x14ac:dyDescent="0.25">
      <c r="B3347" s="1" t="s">
        <v>382</v>
      </c>
      <c r="C3347" s="2" t="s">
        <v>506</v>
      </c>
      <c r="D3347" s="2" t="s">
        <v>515</v>
      </c>
      <c r="E3347" s="2" t="s">
        <v>516</v>
      </c>
      <c r="F3347" s="3">
        <f>DATE(2023,11,8)</f>
        <v>45238</v>
      </c>
      <c r="G3347" s="4">
        <f t="shared" si="323"/>
        <v>11</v>
      </c>
      <c r="H3347" s="4">
        <f t="shared" si="321"/>
        <v>2023</v>
      </c>
      <c r="I3347" s="2" t="s">
        <v>4</v>
      </c>
      <c r="J3347" s="2" t="s">
        <v>4224</v>
      </c>
      <c r="K3347" s="2" t="s">
        <v>1014</v>
      </c>
      <c r="L3347" s="2" t="s">
        <v>472</v>
      </c>
      <c r="M3347" s="2" t="s">
        <v>473</v>
      </c>
      <c r="N3347" s="4" t="str">
        <f t="shared" si="324"/>
        <v>GAL</v>
      </c>
      <c r="O3347" s="5">
        <v>60</v>
      </c>
    </row>
    <row r="3348" spans="2:15" x14ac:dyDescent="0.25">
      <c r="B3348" s="1" t="s">
        <v>382</v>
      </c>
      <c r="C3348" s="2" t="s">
        <v>506</v>
      </c>
      <c r="D3348" s="2" t="s">
        <v>507</v>
      </c>
      <c r="E3348" s="2" t="s">
        <v>141</v>
      </c>
      <c r="F3348" s="3">
        <f>DATE(2023,11,9)</f>
        <v>45239</v>
      </c>
      <c r="G3348" s="4">
        <f t="shared" si="323"/>
        <v>11</v>
      </c>
      <c r="H3348" s="4">
        <f t="shared" si="321"/>
        <v>2023</v>
      </c>
      <c r="I3348" s="2" t="s">
        <v>4</v>
      </c>
      <c r="J3348" s="2" t="s">
        <v>4225</v>
      </c>
      <c r="K3348" s="2" t="s">
        <v>4226</v>
      </c>
      <c r="L3348" s="2" t="s">
        <v>4227</v>
      </c>
      <c r="M3348" s="2" t="s">
        <v>24</v>
      </c>
      <c r="N3348" s="4" t="str">
        <f t="shared" si="324"/>
        <v>GAL</v>
      </c>
      <c r="O3348" s="5">
        <v>60</v>
      </c>
    </row>
    <row r="3349" spans="2:15" x14ac:dyDescent="0.25">
      <c r="B3349" s="1" t="s">
        <v>382</v>
      </c>
      <c r="C3349" s="2" t="s">
        <v>506</v>
      </c>
      <c r="D3349" s="2" t="s">
        <v>1006</v>
      </c>
      <c r="E3349" s="2" t="s">
        <v>1007</v>
      </c>
      <c r="F3349" s="3">
        <f>DATE(2023,11,13)</f>
        <v>45243</v>
      </c>
      <c r="G3349" s="4">
        <f t="shared" si="323"/>
        <v>11</v>
      </c>
      <c r="H3349" s="4">
        <f t="shared" si="321"/>
        <v>2023</v>
      </c>
      <c r="I3349" s="2" t="s">
        <v>4</v>
      </c>
      <c r="J3349" s="2" t="s">
        <v>4228</v>
      </c>
      <c r="K3349" s="2" t="s">
        <v>1009</v>
      </c>
      <c r="L3349" s="2" t="s">
        <v>1010</v>
      </c>
      <c r="M3349" s="2" t="s">
        <v>13</v>
      </c>
      <c r="N3349" s="4" t="str">
        <f t="shared" si="324"/>
        <v>GAL</v>
      </c>
      <c r="O3349" s="5">
        <v>180</v>
      </c>
    </row>
    <row r="3350" spans="2:15" x14ac:dyDescent="0.25">
      <c r="B3350" s="1" t="s">
        <v>382</v>
      </c>
      <c r="C3350" s="2" t="s">
        <v>506</v>
      </c>
      <c r="D3350" s="2" t="s">
        <v>1006</v>
      </c>
      <c r="E3350" s="2" t="s">
        <v>1007</v>
      </c>
      <c r="F3350" s="3">
        <f>DATE(2023,11,27)</f>
        <v>45257</v>
      </c>
      <c r="G3350" s="4">
        <f t="shared" si="323"/>
        <v>11</v>
      </c>
      <c r="H3350" s="4">
        <f t="shared" si="321"/>
        <v>2023</v>
      </c>
      <c r="I3350" s="2" t="s">
        <v>4</v>
      </c>
      <c r="J3350" s="2" t="s">
        <v>4229</v>
      </c>
      <c r="K3350" s="2" t="s">
        <v>642</v>
      </c>
      <c r="L3350" s="2" t="s">
        <v>111</v>
      </c>
      <c r="M3350" s="2" t="s">
        <v>112</v>
      </c>
      <c r="N3350" s="4" t="str">
        <f t="shared" si="324"/>
        <v>GAL</v>
      </c>
      <c r="O3350" s="5">
        <v>140</v>
      </c>
    </row>
    <row r="3351" spans="2:15" x14ac:dyDescent="0.25">
      <c r="B3351" s="1" t="s">
        <v>382</v>
      </c>
      <c r="C3351" s="2" t="s">
        <v>506</v>
      </c>
      <c r="D3351" s="2" t="s">
        <v>515</v>
      </c>
      <c r="E3351" s="2" t="s">
        <v>516</v>
      </c>
      <c r="F3351" s="3">
        <f>DATE(2023,11,28)</f>
        <v>45258</v>
      </c>
      <c r="G3351" s="4">
        <f t="shared" si="323"/>
        <v>11</v>
      </c>
      <c r="H3351" s="4">
        <f t="shared" si="321"/>
        <v>2023</v>
      </c>
      <c r="I3351" s="2" t="s">
        <v>4</v>
      </c>
      <c r="J3351" s="2" t="s">
        <v>4230</v>
      </c>
      <c r="K3351" s="2" t="s">
        <v>1014</v>
      </c>
      <c r="L3351" s="2" t="s">
        <v>472</v>
      </c>
      <c r="M3351" s="2" t="s">
        <v>473</v>
      </c>
      <c r="N3351" s="4" t="str">
        <f t="shared" si="324"/>
        <v>GAL</v>
      </c>
      <c r="O3351" s="5">
        <v>180</v>
      </c>
    </row>
    <row r="3352" spans="2:15" x14ac:dyDescent="0.25">
      <c r="B3352" s="1" t="s">
        <v>382</v>
      </c>
      <c r="C3352" s="2" t="s">
        <v>506</v>
      </c>
      <c r="D3352" s="2" t="s">
        <v>515</v>
      </c>
      <c r="E3352" s="2" t="s">
        <v>516</v>
      </c>
      <c r="F3352" s="3">
        <f>DATE(2023,11,28)</f>
        <v>45258</v>
      </c>
      <c r="G3352" s="4">
        <f t="shared" si="323"/>
        <v>11</v>
      </c>
      <c r="H3352" s="4">
        <f t="shared" si="321"/>
        <v>2023</v>
      </c>
      <c r="I3352" s="2" t="s">
        <v>4</v>
      </c>
      <c r="J3352" s="2" t="s">
        <v>4231</v>
      </c>
      <c r="K3352" s="2" t="s">
        <v>244</v>
      </c>
      <c r="L3352" s="2" t="s">
        <v>182</v>
      </c>
      <c r="M3352" s="2" t="s">
        <v>183</v>
      </c>
      <c r="N3352" s="4" t="str">
        <f t="shared" si="324"/>
        <v>GAL</v>
      </c>
      <c r="O3352" s="5">
        <v>180</v>
      </c>
    </row>
    <row r="3353" spans="2:15" x14ac:dyDescent="0.25">
      <c r="B3353" s="1" t="s">
        <v>382</v>
      </c>
      <c r="C3353" s="2" t="s">
        <v>506</v>
      </c>
      <c r="D3353" s="2" t="s">
        <v>515</v>
      </c>
      <c r="E3353" s="2" t="s">
        <v>516</v>
      </c>
      <c r="F3353" s="3">
        <f>DATE(2023,11,28)</f>
        <v>45258</v>
      </c>
      <c r="G3353" s="4">
        <f t="shared" si="323"/>
        <v>11</v>
      </c>
      <c r="H3353" s="4">
        <f t="shared" si="321"/>
        <v>2023</v>
      </c>
      <c r="I3353" s="2" t="s">
        <v>4</v>
      </c>
      <c r="J3353" s="2" t="s">
        <v>4231</v>
      </c>
      <c r="K3353" s="2" t="s">
        <v>609</v>
      </c>
      <c r="L3353" s="2" t="s">
        <v>610</v>
      </c>
      <c r="M3353" s="2" t="s">
        <v>611</v>
      </c>
      <c r="N3353" s="4" t="str">
        <f t="shared" si="324"/>
        <v>GAL</v>
      </c>
      <c r="O3353" s="5">
        <v>60</v>
      </c>
    </row>
    <row r="3354" spans="2:15" x14ac:dyDescent="0.25">
      <c r="B3354" s="1" t="s">
        <v>782</v>
      </c>
      <c r="C3354" s="2" t="s">
        <v>1018</v>
      </c>
      <c r="D3354" s="2" t="s">
        <v>1019</v>
      </c>
      <c r="E3354" s="2" t="s">
        <v>1020</v>
      </c>
      <c r="F3354" s="3">
        <f>DATE(2023,11,10)</f>
        <v>45240</v>
      </c>
      <c r="G3354" s="4">
        <f t="shared" si="323"/>
        <v>11</v>
      </c>
      <c r="H3354" s="4">
        <f t="shared" si="321"/>
        <v>2023</v>
      </c>
      <c r="I3354" s="2" t="s">
        <v>4</v>
      </c>
      <c r="J3354" s="2" t="s">
        <v>4232</v>
      </c>
      <c r="K3354" s="2" t="s">
        <v>2166</v>
      </c>
      <c r="L3354" s="2" t="s">
        <v>4233</v>
      </c>
      <c r="M3354" s="2" t="s">
        <v>2168</v>
      </c>
      <c r="N3354" s="4" t="str">
        <f t="shared" si="324"/>
        <v>GAL</v>
      </c>
      <c r="O3354" s="5">
        <v>2.5</v>
      </c>
    </row>
    <row r="3355" spans="2:15" x14ac:dyDescent="0.25">
      <c r="B3355" s="1" t="s">
        <v>782</v>
      </c>
      <c r="C3355" s="2" t="s">
        <v>1018</v>
      </c>
      <c r="D3355" s="2" t="s">
        <v>1019</v>
      </c>
      <c r="E3355" s="2" t="s">
        <v>1020</v>
      </c>
      <c r="F3355" s="3">
        <f>DATE(2023,11,10)</f>
        <v>45240</v>
      </c>
      <c r="G3355" s="4">
        <f t="shared" si="323"/>
        <v>11</v>
      </c>
      <c r="H3355" s="4">
        <f t="shared" si="321"/>
        <v>2023</v>
      </c>
      <c r="I3355" s="2" t="s">
        <v>4</v>
      </c>
      <c r="J3355" s="2" t="s">
        <v>4232</v>
      </c>
      <c r="K3355" s="2" t="s">
        <v>1853</v>
      </c>
      <c r="L3355" s="2" t="s">
        <v>1854</v>
      </c>
      <c r="M3355" s="2" t="s">
        <v>1816</v>
      </c>
      <c r="N3355" s="4" t="str">
        <f t="shared" si="324"/>
        <v>GAL</v>
      </c>
      <c r="O3355" s="5">
        <v>2.5</v>
      </c>
    </row>
    <row r="3356" spans="2:15" x14ac:dyDescent="0.25">
      <c r="B3356" s="1" t="s">
        <v>1742</v>
      </c>
      <c r="C3356" s="2" t="s">
        <v>1025</v>
      </c>
      <c r="D3356" s="2" t="s">
        <v>496</v>
      </c>
      <c r="E3356" s="2" t="s">
        <v>497</v>
      </c>
      <c r="F3356" s="3">
        <f>DATE(2023,11,9)</f>
        <v>45239</v>
      </c>
      <c r="G3356" s="4">
        <f t="shared" si="323"/>
        <v>11</v>
      </c>
      <c r="H3356" s="4">
        <f t="shared" si="321"/>
        <v>2023</v>
      </c>
      <c r="I3356" s="2" t="s">
        <v>4</v>
      </c>
      <c r="J3356" s="2" t="s">
        <v>4234</v>
      </c>
      <c r="K3356" s="2" t="s">
        <v>1744</v>
      </c>
      <c r="L3356" s="2" t="s">
        <v>1745</v>
      </c>
      <c r="M3356" s="2" t="s">
        <v>119</v>
      </c>
      <c r="N3356" s="4" t="str">
        <f t="shared" si="324"/>
        <v>TON</v>
      </c>
      <c r="O3356" s="5">
        <v>1.2649999999999999</v>
      </c>
    </row>
    <row r="3357" spans="2:15" x14ac:dyDescent="0.25">
      <c r="B3357" s="1" t="s">
        <v>645</v>
      </c>
      <c r="C3357" s="2" t="s">
        <v>1025</v>
      </c>
      <c r="D3357" s="2" t="s">
        <v>2079</v>
      </c>
      <c r="E3357" s="2" t="s">
        <v>1402</v>
      </c>
      <c r="F3357" s="3">
        <f>DATE(2023,11,9)</f>
        <v>45239</v>
      </c>
      <c r="G3357" s="4">
        <f t="shared" si="323"/>
        <v>11</v>
      </c>
      <c r="H3357" s="4">
        <f t="shared" si="321"/>
        <v>2023</v>
      </c>
      <c r="I3357" s="2" t="s">
        <v>4</v>
      </c>
      <c r="J3357" s="2" t="s">
        <v>4235</v>
      </c>
      <c r="K3357" s="2" t="s">
        <v>609</v>
      </c>
      <c r="L3357" s="2" t="s">
        <v>610</v>
      </c>
      <c r="M3357" s="2" t="s">
        <v>611</v>
      </c>
      <c r="N3357" s="4" t="str">
        <f t="shared" si="324"/>
        <v>GAL</v>
      </c>
      <c r="O3357" s="5">
        <v>180</v>
      </c>
    </row>
    <row r="3358" spans="2:15" x14ac:dyDescent="0.25">
      <c r="B3358" s="1" t="s">
        <v>1742</v>
      </c>
      <c r="C3358" s="2" t="s">
        <v>1025</v>
      </c>
      <c r="D3358" s="2" t="s">
        <v>628</v>
      </c>
      <c r="E3358" s="2" t="s">
        <v>141</v>
      </c>
      <c r="F3358" s="3">
        <f>DATE(2023,11,28)</f>
        <v>45258</v>
      </c>
      <c r="G3358" s="4">
        <f t="shared" si="323"/>
        <v>11</v>
      </c>
      <c r="H3358" s="4">
        <f t="shared" si="321"/>
        <v>2023</v>
      </c>
      <c r="I3358" s="2" t="s">
        <v>4</v>
      </c>
      <c r="J3358" s="2" t="s">
        <v>4236</v>
      </c>
      <c r="K3358" s="2" t="s">
        <v>220</v>
      </c>
      <c r="L3358" s="2" t="s">
        <v>201</v>
      </c>
      <c r="M3358" s="2" t="s">
        <v>202</v>
      </c>
      <c r="N3358" s="4" t="str">
        <f t="shared" si="324"/>
        <v>GAL</v>
      </c>
      <c r="O3358" s="5">
        <v>250</v>
      </c>
    </row>
    <row r="3359" spans="2:15" x14ac:dyDescent="0.25">
      <c r="B3359" s="1" t="s">
        <v>1410</v>
      </c>
      <c r="C3359" s="2" t="s">
        <v>525</v>
      </c>
      <c r="D3359" s="2" t="s">
        <v>646</v>
      </c>
      <c r="E3359" s="2" t="s">
        <v>647</v>
      </c>
      <c r="F3359" s="3">
        <f>DATE(2023,11,7)</f>
        <v>45237</v>
      </c>
      <c r="G3359" s="4">
        <f t="shared" si="323"/>
        <v>11</v>
      </c>
      <c r="H3359" s="4">
        <f t="shared" si="321"/>
        <v>2023</v>
      </c>
      <c r="I3359" s="2" t="s">
        <v>4</v>
      </c>
      <c r="J3359" s="2" t="s">
        <v>4237</v>
      </c>
      <c r="K3359" s="2" t="s">
        <v>649</v>
      </c>
      <c r="L3359" s="2" t="s">
        <v>538</v>
      </c>
      <c r="M3359" s="2" t="s">
        <v>539</v>
      </c>
      <c r="N3359" s="4" t="str">
        <f t="shared" si="324"/>
        <v>GAL</v>
      </c>
      <c r="O3359" s="5">
        <v>1000</v>
      </c>
    </row>
    <row r="3360" spans="2:15" x14ac:dyDescent="0.25">
      <c r="B3360" s="1" t="s">
        <v>1410</v>
      </c>
      <c r="C3360" s="2" t="s">
        <v>525</v>
      </c>
      <c r="D3360" s="2" t="s">
        <v>646</v>
      </c>
      <c r="E3360" s="2" t="s">
        <v>647</v>
      </c>
      <c r="F3360" s="3">
        <f>DATE(2023,11,7)</f>
        <v>45237</v>
      </c>
      <c r="G3360" s="4">
        <f t="shared" si="323"/>
        <v>11</v>
      </c>
      <c r="H3360" s="4">
        <f t="shared" si="321"/>
        <v>2023</v>
      </c>
      <c r="I3360" s="2" t="s">
        <v>4</v>
      </c>
      <c r="J3360" s="2" t="s">
        <v>4238</v>
      </c>
      <c r="K3360" s="2" t="s">
        <v>649</v>
      </c>
      <c r="L3360" s="2" t="s">
        <v>538</v>
      </c>
      <c r="M3360" s="2" t="s">
        <v>539</v>
      </c>
      <c r="N3360" s="4" t="str">
        <f t="shared" si="324"/>
        <v>GAL</v>
      </c>
      <c r="O3360" s="5">
        <v>2500</v>
      </c>
    </row>
    <row r="3361" spans="2:15" x14ac:dyDescent="0.25">
      <c r="B3361" s="1" t="s">
        <v>1410</v>
      </c>
      <c r="C3361" s="2" t="s">
        <v>525</v>
      </c>
      <c r="D3361" s="2" t="s">
        <v>628</v>
      </c>
      <c r="E3361" s="2" t="s">
        <v>1036</v>
      </c>
      <c r="F3361" s="3">
        <f>DATE(2023,11,8)</f>
        <v>45238</v>
      </c>
      <c r="G3361" s="4">
        <f t="shared" si="323"/>
        <v>11</v>
      </c>
      <c r="H3361" s="4">
        <f t="shared" si="321"/>
        <v>2023</v>
      </c>
      <c r="I3361" s="2" t="s">
        <v>4</v>
      </c>
      <c r="J3361" s="2" t="s">
        <v>4239</v>
      </c>
      <c r="K3361" s="2" t="s">
        <v>158</v>
      </c>
      <c r="L3361" s="2" t="s">
        <v>159</v>
      </c>
      <c r="M3361" s="2" t="s">
        <v>160</v>
      </c>
      <c r="N3361" s="4" t="str">
        <f t="shared" si="324"/>
        <v>GAL</v>
      </c>
      <c r="O3361" s="5">
        <v>180</v>
      </c>
    </row>
    <row r="3362" spans="2:15" x14ac:dyDescent="0.25">
      <c r="B3362" s="1" t="s">
        <v>1410</v>
      </c>
      <c r="C3362" s="2" t="s">
        <v>525</v>
      </c>
      <c r="D3362" s="2" t="s">
        <v>1956</v>
      </c>
      <c r="E3362" s="2" t="s">
        <v>102</v>
      </c>
      <c r="F3362" s="3">
        <f>DATE(2023,11,10)</f>
        <v>45240</v>
      </c>
      <c r="G3362" s="4">
        <f t="shared" si="323"/>
        <v>11</v>
      </c>
      <c r="H3362" s="4">
        <f t="shared" si="321"/>
        <v>2023</v>
      </c>
      <c r="I3362" s="2" t="s">
        <v>4</v>
      </c>
      <c r="J3362" s="2" t="s">
        <v>4240</v>
      </c>
      <c r="K3362" s="2" t="s">
        <v>122</v>
      </c>
      <c r="L3362" s="2" t="s">
        <v>123</v>
      </c>
      <c r="M3362" s="2" t="s">
        <v>119</v>
      </c>
      <c r="N3362" s="4" t="str">
        <f t="shared" si="324"/>
        <v>TON</v>
      </c>
      <c r="O3362" s="5">
        <v>0.3</v>
      </c>
    </row>
    <row r="3363" spans="2:15" x14ac:dyDescent="0.25">
      <c r="B3363" s="1" t="s">
        <v>1410</v>
      </c>
      <c r="C3363" s="2" t="s">
        <v>525</v>
      </c>
      <c r="D3363" s="2" t="s">
        <v>124</v>
      </c>
      <c r="E3363" s="2" t="s">
        <v>526</v>
      </c>
      <c r="F3363" s="3">
        <f>DATE(2023,11,10)</f>
        <v>45240</v>
      </c>
      <c r="G3363" s="4">
        <f t="shared" si="323"/>
        <v>11</v>
      </c>
      <c r="H3363" s="4">
        <f t="shared" si="321"/>
        <v>2023</v>
      </c>
      <c r="I3363" s="2" t="s">
        <v>4</v>
      </c>
      <c r="J3363" s="2" t="s">
        <v>4241</v>
      </c>
      <c r="K3363" s="2" t="s">
        <v>531</v>
      </c>
      <c r="L3363" s="2" t="s">
        <v>201</v>
      </c>
      <c r="M3363" s="2" t="s">
        <v>202</v>
      </c>
      <c r="N3363" s="4" t="str">
        <f t="shared" si="324"/>
        <v>GAL</v>
      </c>
      <c r="O3363" s="5">
        <v>30</v>
      </c>
    </row>
    <row r="3364" spans="2:15" x14ac:dyDescent="0.25">
      <c r="B3364" s="1" t="s">
        <v>1410</v>
      </c>
      <c r="C3364" s="2" t="s">
        <v>525</v>
      </c>
      <c r="D3364" s="2" t="s">
        <v>646</v>
      </c>
      <c r="E3364" s="2" t="s">
        <v>647</v>
      </c>
      <c r="F3364" s="3">
        <f>DATE(2023,11,17)</f>
        <v>45247</v>
      </c>
      <c r="G3364" s="4">
        <f t="shared" si="323"/>
        <v>11</v>
      </c>
      <c r="H3364" s="4">
        <f t="shared" si="321"/>
        <v>2023</v>
      </c>
      <c r="I3364" s="2" t="s">
        <v>4</v>
      </c>
      <c r="J3364" s="2" t="s">
        <v>4242</v>
      </c>
      <c r="K3364" s="2" t="s">
        <v>649</v>
      </c>
      <c r="L3364" s="2" t="s">
        <v>538</v>
      </c>
      <c r="M3364" s="2" t="s">
        <v>4243</v>
      </c>
      <c r="N3364" s="4" t="str">
        <f t="shared" si="324"/>
        <v>GAL</v>
      </c>
      <c r="O3364" s="5">
        <v>2000</v>
      </c>
    </row>
    <row r="3365" spans="2:15" x14ac:dyDescent="0.25">
      <c r="B3365" s="1" t="s">
        <v>1410</v>
      </c>
      <c r="C3365" s="2" t="s">
        <v>525</v>
      </c>
      <c r="D3365" s="2" t="s">
        <v>628</v>
      </c>
      <c r="E3365" s="2" t="s">
        <v>1036</v>
      </c>
      <c r="F3365" s="3">
        <f>DATE(2023,11,22)</f>
        <v>45252</v>
      </c>
      <c r="G3365" s="4">
        <f t="shared" si="323"/>
        <v>11</v>
      </c>
      <c r="H3365" s="4">
        <f t="shared" si="321"/>
        <v>2023</v>
      </c>
      <c r="I3365" s="2" t="s">
        <v>4</v>
      </c>
      <c r="J3365" s="2" t="s">
        <v>4244</v>
      </c>
      <c r="K3365" s="2" t="s">
        <v>25</v>
      </c>
      <c r="L3365" s="2" t="s">
        <v>541</v>
      </c>
      <c r="M3365" s="2" t="s">
        <v>27</v>
      </c>
      <c r="N3365" s="4" t="str">
        <f t="shared" si="324"/>
        <v>GAL</v>
      </c>
      <c r="O3365" s="5">
        <v>180</v>
      </c>
    </row>
    <row r="3366" spans="2:15" x14ac:dyDescent="0.25">
      <c r="B3366" s="1" t="s">
        <v>1410</v>
      </c>
      <c r="C3366" s="2" t="s">
        <v>525</v>
      </c>
      <c r="D3366" s="2" t="s">
        <v>628</v>
      </c>
      <c r="E3366" s="2" t="s">
        <v>1036</v>
      </c>
      <c r="F3366" s="3">
        <f>DATE(2023,11,22)</f>
        <v>45252</v>
      </c>
      <c r="G3366" s="4">
        <f t="shared" si="323"/>
        <v>11</v>
      </c>
      <c r="H3366" s="4">
        <f t="shared" si="321"/>
        <v>2023</v>
      </c>
      <c r="I3366" s="2" t="s">
        <v>4</v>
      </c>
      <c r="J3366" s="2" t="s">
        <v>4244</v>
      </c>
      <c r="K3366" s="2" t="s">
        <v>609</v>
      </c>
      <c r="L3366" s="2" t="s">
        <v>610</v>
      </c>
      <c r="M3366" s="2" t="s">
        <v>611</v>
      </c>
      <c r="N3366" s="4" t="str">
        <f t="shared" si="324"/>
        <v>GAL</v>
      </c>
      <c r="O3366" s="5">
        <v>180</v>
      </c>
    </row>
    <row r="3367" spans="2:15" x14ac:dyDescent="0.25">
      <c r="B3367" s="1" t="s">
        <v>1410</v>
      </c>
      <c r="C3367" s="2" t="s">
        <v>525</v>
      </c>
      <c r="D3367" s="2" t="s">
        <v>628</v>
      </c>
      <c r="E3367" s="2" t="s">
        <v>1036</v>
      </c>
      <c r="F3367" s="3">
        <f>DATE(2023,11,22)</f>
        <v>45252</v>
      </c>
      <c r="G3367" s="4">
        <f t="shared" si="323"/>
        <v>11</v>
      </c>
      <c r="H3367" s="4">
        <f t="shared" si="321"/>
        <v>2023</v>
      </c>
      <c r="I3367" s="2" t="s">
        <v>4</v>
      </c>
      <c r="J3367" s="2" t="s">
        <v>4245</v>
      </c>
      <c r="K3367" s="2" t="s">
        <v>158</v>
      </c>
      <c r="L3367" s="2" t="s">
        <v>159</v>
      </c>
      <c r="M3367" s="2" t="s">
        <v>160</v>
      </c>
      <c r="N3367" s="4" t="str">
        <f t="shared" si="324"/>
        <v>GAL</v>
      </c>
      <c r="O3367" s="5">
        <v>180</v>
      </c>
    </row>
    <row r="3368" spans="2:15" x14ac:dyDescent="0.25">
      <c r="B3368" s="1" t="s">
        <v>1410</v>
      </c>
      <c r="C3368" s="2" t="s">
        <v>525</v>
      </c>
      <c r="D3368" s="2" t="s">
        <v>507</v>
      </c>
      <c r="E3368" s="2" t="s">
        <v>508</v>
      </c>
      <c r="F3368" s="3">
        <f>DATE(2023,11,30)</f>
        <v>45260</v>
      </c>
      <c r="G3368" s="4">
        <f t="shared" si="323"/>
        <v>11</v>
      </c>
      <c r="H3368" s="4">
        <f t="shared" si="321"/>
        <v>2023</v>
      </c>
      <c r="I3368" s="2" t="s">
        <v>4</v>
      </c>
      <c r="J3368" s="2" t="s">
        <v>4246</v>
      </c>
      <c r="K3368" s="2" t="s">
        <v>4226</v>
      </c>
      <c r="L3368" s="2" t="s">
        <v>4227</v>
      </c>
      <c r="M3368" s="2" t="s">
        <v>24</v>
      </c>
      <c r="N3368" s="4" t="str">
        <f t="shared" si="324"/>
        <v>GAL</v>
      </c>
      <c r="O3368" s="5">
        <v>120</v>
      </c>
    </row>
    <row r="3369" spans="2:15" x14ac:dyDescent="0.25">
      <c r="B3369" s="1" t="s">
        <v>1410</v>
      </c>
      <c r="C3369" s="2" t="s">
        <v>525</v>
      </c>
      <c r="D3369" s="2" t="s">
        <v>507</v>
      </c>
      <c r="E3369" s="2" t="s">
        <v>508</v>
      </c>
      <c r="F3369" s="3">
        <f>DATE(2023,11,30)</f>
        <v>45260</v>
      </c>
      <c r="G3369" s="4">
        <f t="shared" si="323"/>
        <v>11</v>
      </c>
      <c r="H3369" s="4">
        <f t="shared" si="321"/>
        <v>2023</v>
      </c>
      <c r="I3369" s="2" t="s">
        <v>4</v>
      </c>
      <c r="J3369" s="2" t="s">
        <v>4246</v>
      </c>
      <c r="K3369" s="2" t="s">
        <v>1119</v>
      </c>
      <c r="L3369" s="2" t="s">
        <v>1023</v>
      </c>
      <c r="M3369" s="2" t="s">
        <v>1024</v>
      </c>
      <c r="N3369" s="4" t="str">
        <f t="shared" si="324"/>
        <v>GAL</v>
      </c>
      <c r="O3369" s="5">
        <v>180</v>
      </c>
    </row>
    <row r="3370" spans="2:15" x14ac:dyDescent="0.25">
      <c r="B3370" s="1" t="s">
        <v>645</v>
      </c>
      <c r="C3370" s="2" t="s">
        <v>533</v>
      </c>
      <c r="D3370" s="2" t="s">
        <v>562</v>
      </c>
      <c r="E3370" s="2" t="s">
        <v>563</v>
      </c>
      <c r="F3370" s="3">
        <f>DATE(2023,11,9)</f>
        <v>45239</v>
      </c>
      <c r="G3370" s="4">
        <f t="shared" si="323"/>
        <v>11</v>
      </c>
      <c r="H3370" s="4">
        <f t="shared" si="321"/>
        <v>2023</v>
      </c>
      <c r="I3370" s="2" t="s">
        <v>4</v>
      </c>
      <c r="J3370" s="2" t="s">
        <v>4247</v>
      </c>
      <c r="K3370" s="2" t="s">
        <v>2120</v>
      </c>
      <c r="L3370" s="2" t="s">
        <v>2121</v>
      </c>
      <c r="M3370" s="2" t="s">
        <v>85</v>
      </c>
      <c r="N3370" s="4" t="str">
        <f t="shared" si="324"/>
        <v>GAL</v>
      </c>
      <c r="O3370" s="5">
        <v>90</v>
      </c>
    </row>
    <row r="3371" spans="2:15" x14ac:dyDescent="0.25">
      <c r="B3371" s="1" t="s">
        <v>645</v>
      </c>
      <c r="C3371" s="2" t="s">
        <v>533</v>
      </c>
      <c r="D3371" s="2" t="s">
        <v>562</v>
      </c>
      <c r="E3371" s="2" t="s">
        <v>563</v>
      </c>
      <c r="F3371" s="3">
        <f>DATE(2023,11,9)</f>
        <v>45239</v>
      </c>
      <c r="G3371" s="4">
        <f t="shared" si="323"/>
        <v>11</v>
      </c>
      <c r="H3371" s="4">
        <f t="shared" si="321"/>
        <v>2023</v>
      </c>
      <c r="I3371" s="2" t="s">
        <v>4</v>
      </c>
      <c r="J3371" s="2" t="s">
        <v>4247</v>
      </c>
      <c r="K3371" s="2" t="s">
        <v>83</v>
      </c>
      <c r="L3371" s="2" t="s">
        <v>518</v>
      </c>
      <c r="M3371" s="2" t="s">
        <v>85</v>
      </c>
      <c r="N3371" s="4" t="str">
        <f t="shared" si="324"/>
        <v>GAL</v>
      </c>
      <c r="O3371" s="5">
        <v>180</v>
      </c>
    </row>
    <row r="3372" spans="2:15" x14ac:dyDescent="0.25">
      <c r="B3372" s="1" t="s">
        <v>645</v>
      </c>
      <c r="C3372" s="2" t="s">
        <v>533</v>
      </c>
      <c r="D3372" s="2" t="s">
        <v>562</v>
      </c>
      <c r="E3372" s="2" t="s">
        <v>563</v>
      </c>
      <c r="F3372" s="3">
        <f>DATE(2023,11,9)</f>
        <v>45239</v>
      </c>
      <c r="G3372" s="4">
        <f t="shared" si="323"/>
        <v>11</v>
      </c>
      <c r="H3372" s="4">
        <f t="shared" si="321"/>
        <v>2023</v>
      </c>
      <c r="I3372" s="2" t="s">
        <v>4</v>
      </c>
      <c r="J3372" s="2" t="s">
        <v>4247</v>
      </c>
      <c r="K3372" s="2" t="s">
        <v>50</v>
      </c>
      <c r="L3372" s="2" t="s">
        <v>550</v>
      </c>
      <c r="M3372" s="2" t="s">
        <v>52</v>
      </c>
      <c r="N3372" s="4" t="str">
        <f t="shared" si="324"/>
        <v>GAL</v>
      </c>
      <c r="O3372" s="5">
        <v>180</v>
      </c>
    </row>
    <row r="3373" spans="2:15" x14ac:dyDescent="0.25">
      <c r="B3373" s="1" t="s">
        <v>645</v>
      </c>
      <c r="C3373" s="2" t="s">
        <v>533</v>
      </c>
      <c r="D3373" s="2" t="s">
        <v>562</v>
      </c>
      <c r="E3373" s="2" t="s">
        <v>2151</v>
      </c>
      <c r="F3373" s="3">
        <f>DATE(2023,11,13)</f>
        <v>45243</v>
      </c>
      <c r="G3373" s="4">
        <f t="shared" si="323"/>
        <v>11</v>
      </c>
      <c r="H3373" s="4">
        <f t="shared" si="321"/>
        <v>2023</v>
      </c>
      <c r="I3373" s="2" t="s">
        <v>4</v>
      </c>
      <c r="J3373" s="2" t="s">
        <v>4248</v>
      </c>
      <c r="K3373" s="2" t="s">
        <v>1786</v>
      </c>
      <c r="L3373" s="2" t="s">
        <v>518</v>
      </c>
      <c r="M3373" s="2" t="s">
        <v>85</v>
      </c>
      <c r="N3373" s="4" t="str">
        <f t="shared" si="324"/>
        <v>GAL</v>
      </c>
      <c r="O3373" s="5">
        <v>880</v>
      </c>
    </row>
    <row r="3374" spans="2:15" x14ac:dyDescent="0.25">
      <c r="B3374" s="1" t="s">
        <v>645</v>
      </c>
      <c r="C3374" s="2" t="s">
        <v>533</v>
      </c>
      <c r="D3374" s="2" t="s">
        <v>562</v>
      </c>
      <c r="E3374" s="2" t="s">
        <v>2151</v>
      </c>
      <c r="F3374" s="3">
        <f>DATE(2023,11,13)</f>
        <v>45243</v>
      </c>
      <c r="G3374" s="4">
        <f t="shared" si="323"/>
        <v>11</v>
      </c>
      <c r="H3374" s="4">
        <f t="shared" si="321"/>
        <v>2023</v>
      </c>
      <c r="I3374" s="2" t="s">
        <v>4</v>
      </c>
      <c r="J3374" s="2" t="s">
        <v>4248</v>
      </c>
      <c r="K3374" s="2" t="s">
        <v>83</v>
      </c>
      <c r="L3374" s="2" t="s">
        <v>518</v>
      </c>
      <c r="M3374" s="2" t="s">
        <v>85</v>
      </c>
      <c r="N3374" s="4" t="str">
        <f t="shared" si="324"/>
        <v>GAL</v>
      </c>
      <c r="O3374" s="5">
        <v>180</v>
      </c>
    </row>
    <row r="3375" spans="2:15" x14ac:dyDescent="0.25">
      <c r="B3375" s="1" t="s">
        <v>645</v>
      </c>
      <c r="C3375" s="2" t="s">
        <v>533</v>
      </c>
      <c r="D3375" s="2" t="s">
        <v>562</v>
      </c>
      <c r="E3375" s="2" t="s">
        <v>563</v>
      </c>
      <c r="F3375" s="3">
        <f>DATE(2023,11,29)</f>
        <v>45259</v>
      </c>
      <c r="G3375" s="4">
        <f t="shared" si="323"/>
        <v>11</v>
      </c>
      <c r="H3375" s="4">
        <f t="shared" si="321"/>
        <v>2023</v>
      </c>
      <c r="I3375" s="2" t="s">
        <v>4</v>
      </c>
      <c r="J3375" s="2" t="s">
        <v>4249</v>
      </c>
      <c r="K3375" s="2" t="s">
        <v>19</v>
      </c>
      <c r="L3375" s="2" t="s">
        <v>565</v>
      </c>
      <c r="M3375" s="2" t="s">
        <v>21</v>
      </c>
      <c r="N3375" s="4" t="str">
        <f t="shared" si="324"/>
        <v>GAL</v>
      </c>
      <c r="O3375" s="5">
        <v>360</v>
      </c>
    </row>
    <row r="3376" spans="2:15" x14ac:dyDescent="0.25">
      <c r="B3376" s="1" t="s">
        <v>3238</v>
      </c>
      <c r="C3376" s="2" t="s">
        <v>3239</v>
      </c>
      <c r="D3376" s="2" t="s">
        <v>3240</v>
      </c>
      <c r="E3376" s="2" t="s">
        <v>102</v>
      </c>
      <c r="F3376" s="3">
        <f>DATE(2023,11,1)</f>
        <v>45231</v>
      </c>
      <c r="G3376" s="4">
        <f t="shared" si="323"/>
        <v>11</v>
      </c>
      <c r="H3376" s="4">
        <f t="shared" si="321"/>
        <v>2023</v>
      </c>
      <c r="I3376" s="2" t="s">
        <v>4</v>
      </c>
      <c r="J3376" s="2" t="s">
        <v>4250</v>
      </c>
      <c r="K3376" s="2" t="s">
        <v>1470</v>
      </c>
      <c r="L3376" s="2" t="s">
        <v>3922</v>
      </c>
      <c r="M3376" s="2" t="s">
        <v>1472</v>
      </c>
      <c r="N3376" s="4" t="str">
        <f t="shared" si="324"/>
        <v>GAL</v>
      </c>
      <c r="O3376" s="5">
        <v>50</v>
      </c>
    </row>
    <row r="3377" spans="2:15" x14ac:dyDescent="0.25">
      <c r="B3377" s="1" t="s">
        <v>3238</v>
      </c>
      <c r="C3377" s="2" t="s">
        <v>3239</v>
      </c>
      <c r="D3377" s="2" t="s">
        <v>3240</v>
      </c>
      <c r="E3377" s="2" t="s">
        <v>102</v>
      </c>
      <c r="F3377" s="3">
        <f>DATE(2023,11,1)</f>
        <v>45231</v>
      </c>
      <c r="G3377" s="4">
        <f t="shared" si="323"/>
        <v>11</v>
      </c>
      <c r="H3377" s="4">
        <f t="shared" si="321"/>
        <v>2023</v>
      </c>
      <c r="I3377" s="2" t="s">
        <v>4</v>
      </c>
      <c r="J3377" s="2" t="s">
        <v>4250</v>
      </c>
      <c r="K3377" s="2" t="s">
        <v>2530</v>
      </c>
      <c r="L3377" s="2" t="s">
        <v>3503</v>
      </c>
      <c r="M3377" s="2" t="s">
        <v>2532</v>
      </c>
      <c r="N3377" s="4" t="str">
        <f t="shared" si="324"/>
        <v>GAL</v>
      </c>
      <c r="O3377" s="5">
        <v>130</v>
      </c>
    </row>
    <row r="3378" spans="2:15" x14ac:dyDescent="0.25">
      <c r="B3378" s="1" t="s">
        <v>3238</v>
      </c>
      <c r="C3378" s="2" t="s">
        <v>3239</v>
      </c>
      <c r="D3378" s="2" t="s">
        <v>3240</v>
      </c>
      <c r="E3378" s="2" t="s">
        <v>4251</v>
      </c>
      <c r="F3378" s="3">
        <f>DATE(2023,11,2)</f>
        <v>45232</v>
      </c>
      <c r="G3378" s="4">
        <f t="shared" si="323"/>
        <v>11</v>
      </c>
      <c r="H3378" s="4">
        <f t="shared" si="321"/>
        <v>2023</v>
      </c>
      <c r="I3378" s="2" t="s">
        <v>4</v>
      </c>
      <c r="J3378" s="2" t="s">
        <v>4252</v>
      </c>
      <c r="K3378" s="2" t="s">
        <v>4253</v>
      </c>
      <c r="L3378" s="2" t="s">
        <v>3526</v>
      </c>
      <c r="M3378" s="2" t="s">
        <v>1000</v>
      </c>
      <c r="N3378" s="4" t="str">
        <f t="shared" si="324"/>
        <v>GAL</v>
      </c>
      <c r="O3378" s="5">
        <v>30</v>
      </c>
    </row>
    <row r="3379" spans="2:15" x14ac:dyDescent="0.25">
      <c r="B3379" s="1" t="s">
        <v>3238</v>
      </c>
      <c r="C3379" s="2" t="s">
        <v>3239</v>
      </c>
      <c r="D3379" s="2" t="s">
        <v>3240</v>
      </c>
      <c r="E3379" s="2" t="s">
        <v>4254</v>
      </c>
      <c r="F3379" s="3">
        <f>DATE(2023,11,3)</f>
        <v>45233</v>
      </c>
      <c r="G3379" s="4">
        <f t="shared" si="323"/>
        <v>11</v>
      </c>
      <c r="H3379" s="4">
        <f t="shared" si="321"/>
        <v>2023</v>
      </c>
      <c r="I3379" s="2" t="s">
        <v>4</v>
      </c>
      <c r="J3379" s="2" t="s">
        <v>4255</v>
      </c>
      <c r="K3379" s="2" t="s">
        <v>3390</v>
      </c>
      <c r="L3379" s="2" t="s">
        <v>3250</v>
      </c>
      <c r="M3379" s="2" t="s">
        <v>3251</v>
      </c>
      <c r="N3379" s="4" t="str">
        <f t="shared" si="324"/>
        <v>GAL</v>
      </c>
      <c r="O3379" s="5">
        <v>250</v>
      </c>
    </row>
    <row r="3380" spans="2:15" x14ac:dyDescent="0.25">
      <c r="B3380" s="1" t="s">
        <v>3238</v>
      </c>
      <c r="C3380" s="2" t="s">
        <v>3239</v>
      </c>
      <c r="D3380" s="2" t="s">
        <v>3240</v>
      </c>
      <c r="E3380" s="2" t="s">
        <v>3379</v>
      </c>
      <c r="F3380" s="3">
        <f>DATE(2023,11,7)</f>
        <v>45237</v>
      </c>
      <c r="G3380" s="4">
        <f t="shared" si="323"/>
        <v>11</v>
      </c>
      <c r="H3380" s="4">
        <f t="shared" si="321"/>
        <v>2023</v>
      </c>
      <c r="I3380" s="2" t="s">
        <v>4</v>
      </c>
      <c r="J3380" s="2" t="s">
        <v>4256</v>
      </c>
      <c r="K3380" s="2" t="s">
        <v>4257</v>
      </c>
      <c r="L3380" s="2" t="s">
        <v>4258</v>
      </c>
      <c r="M3380" s="2" t="s">
        <v>3251</v>
      </c>
      <c r="N3380" s="4" t="str">
        <f t="shared" si="324"/>
        <v>GAL</v>
      </c>
      <c r="O3380" s="5">
        <v>250</v>
      </c>
    </row>
    <row r="3381" spans="2:15" x14ac:dyDescent="0.25">
      <c r="B3381" s="1" t="s">
        <v>3238</v>
      </c>
      <c r="C3381" s="2" t="s">
        <v>3239</v>
      </c>
      <c r="D3381" s="2" t="s">
        <v>3240</v>
      </c>
      <c r="E3381" s="2" t="s">
        <v>3944</v>
      </c>
      <c r="F3381" s="3">
        <f>DATE(2023,11,8)</f>
        <v>45238</v>
      </c>
      <c r="G3381" s="4">
        <f t="shared" si="323"/>
        <v>11</v>
      </c>
      <c r="H3381" s="4">
        <f t="shared" si="321"/>
        <v>2023</v>
      </c>
      <c r="I3381" s="2" t="s">
        <v>4</v>
      </c>
      <c r="J3381" s="2" t="s">
        <v>4259</v>
      </c>
      <c r="K3381" s="2" t="s">
        <v>4260</v>
      </c>
      <c r="L3381" s="2" t="s">
        <v>4261</v>
      </c>
      <c r="M3381" s="2" t="s">
        <v>119</v>
      </c>
      <c r="N3381" s="4" t="str">
        <f t="shared" si="324"/>
        <v>TON</v>
      </c>
      <c r="O3381" s="5">
        <v>1.25</v>
      </c>
    </row>
    <row r="3382" spans="2:15" x14ac:dyDescent="0.25">
      <c r="B3382" s="1" t="s">
        <v>3238</v>
      </c>
      <c r="C3382" s="2" t="s">
        <v>3239</v>
      </c>
      <c r="D3382" s="2" t="s">
        <v>3240</v>
      </c>
      <c r="E3382" s="2" t="s">
        <v>4262</v>
      </c>
      <c r="F3382" s="3">
        <f>DATE(2023,11,8)</f>
        <v>45238</v>
      </c>
      <c r="G3382" s="4">
        <f t="shared" si="323"/>
        <v>11</v>
      </c>
      <c r="H3382" s="4">
        <f t="shared" si="321"/>
        <v>2023</v>
      </c>
      <c r="I3382" s="2" t="s">
        <v>4</v>
      </c>
      <c r="J3382" s="2" t="s">
        <v>4263</v>
      </c>
      <c r="K3382" s="2" t="s">
        <v>3925</v>
      </c>
      <c r="L3382" s="2" t="s">
        <v>4264</v>
      </c>
      <c r="M3382" s="2" t="s">
        <v>119</v>
      </c>
      <c r="N3382" s="4" t="str">
        <f t="shared" si="324"/>
        <v>TON</v>
      </c>
      <c r="O3382" s="5">
        <v>10.0175</v>
      </c>
    </row>
    <row r="3383" spans="2:15" x14ac:dyDescent="0.25">
      <c r="B3383" s="1" t="s">
        <v>3238</v>
      </c>
      <c r="C3383" s="2" t="s">
        <v>3239</v>
      </c>
      <c r="D3383" s="2" t="s">
        <v>3240</v>
      </c>
      <c r="E3383" s="2" t="s">
        <v>3393</v>
      </c>
      <c r="F3383" s="3">
        <f>DATE(2023,11,9)</f>
        <v>45239</v>
      </c>
      <c r="G3383" s="4">
        <f t="shared" si="323"/>
        <v>11</v>
      </c>
      <c r="H3383" s="4">
        <f t="shared" si="321"/>
        <v>2023</v>
      </c>
      <c r="I3383" s="2" t="s">
        <v>4</v>
      </c>
      <c r="J3383" s="2" t="s">
        <v>4265</v>
      </c>
      <c r="K3383" s="2" t="s">
        <v>3395</v>
      </c>
      <c r="L3383" s="2" t="s">
        <v>3396</v>
      </c>
      <c r="M3383" s="2" t="s">
        <v>844</v>
      </c>
      <c r="N3383" s="4" t="str">
        <f t="shared" si="324"/>
        <v>GAL</v>
      </c>
      <c r="O3383" s="5">
        <v>275</v>
      </c>
    </row>
    <row r="3384" spans="2:15" x14ac:dyDescent="0.25">
      <c r="B3384" s="1" t="s">
        <v>3238</v>
      </c>
      <c r="C3384" s="2" t="s">
        <v>3239</v>
      </c>
      <c r="D3384" s="2" t="s">
        <v>3240</v>
      </c>
      <c r="E3384" s="2" t="s">
        <v>4251</v>
      </c>
      <c r="F3384" s="3">
        <f>DATE(2023,11,10)</f>
        <v>45240</v>
      </c>
      <c r="G3384" s="4">
        <f t="shared" si="323"/>
        <v>11</v>
      </c>
      <c r="H3384" s="4">
        <f t="shared" si="321"/>
        <v>2023</v>
      </c>
      <c r="I3384" s="2" t="s">
        <v>4</v>
      </c>
      <c r="J3384" s="2" t="s">
        <v>4266</v>
      </c>
      <c r="K3384" s="2" t="s">
        <v>4267</v>
      </c>
      <c r="L3384" s="2" t="s">
        <v>4268</v>
      </c>
      <c r="M3384" s="2" t="s">
        <v>119</v>
      </c>
      <c r="N3384" s="4" t="str">
        <f t="shared" si="324"/>
        <v>TON</v>
      </c>
      <c r="O3384" s="5">
        <v>0.27500000000000002</v>
      </c>
    </row>
    <row r="3385" spans="2:15" x14ac:dyDescent="0.25">
      <c r="B3385" s="1" t="s">
        <v>3238</v>
      </c>
      <c r="C3385" s="2" t="s">
        <v>3239</v>
      </c>
      <c r="D3385" s="2" t="s">
        <v>3240</v>
      </c>
      <c r="E3385" s="2" t="s">
        <v>4251</v>
      </c>
      <c r="F3385" s="3">
        <f>DATE(2023,11,10)</f>
        <v>45240</v>
      </c>
      <c r="G3385" s="4">
        <f t="shared" si="323"/>
        <v>11</v>
      </c>
      <c r="H3385" s="4">
        <f t="shared" si="321"/>
        <v>2023</v>
      </c>
      <c r="I3385" s="2" t="s">
        <v>4</v>
      </c>
      <c r="J3385" s="2" t="s">
        <v>4269</v>
      </c>
      <c r="K3385" s="2" t="s">
        <v>4270</v>
      </c>
      <c r="L3385" s="2" t="s">
        <v>3396</v>
      </c>
      <c r="M3385" s="2" t="s">
        <v>844</v>
      </c>
      <c r="N3385" s="4" t="str">
        <f t="shared" si="324"/>
        <v>GAL</v>
      </c>
      <c r="O3385" s="5">
        <v>30</v>
      </c>
    </row>
    <row r="3386" spans="2:15" x14ac:dyDescent="0.25">
      <c r="B3386" s="1" t="s">
        <v>3238</v>
      </c>
      <c r="C3386" s="2" t="s">
        <v>3239</v>
      </c>
      <c r="D3386" s="2" t="s">
        <v>3240</v>
      </c>
      <c r="E3386" s="2" t="s">
        <v>4251</v>
      </c>
      <c r="F3386" s="3">
        <f>DATE(2023,11,10)</f>
        <v>45240</v>
      </c>
      <c r="G3386" s="4">
        <f t="shared" si="323"/>
        <v>11</v>
      </c>
      <c r="H3386" s="4">
        <f t="shared" si="321"/>
        <v>2023</v>
      </c>
      <c r="I3386" s="2" t="s">
        <v>4</v>
      </c>
      <c r="J3386" s="2" t="s">
        <v>4269</v>
      </c>
      <c r="K3386" s="2" t="s">
        <v>4271</v>
      </c>
      <c r="L3386" s="2" t="s">
        <v>3911</v>
      </c>
      <c r="M3386" s="2" t="s">
        <v>2100</v>
      </c>
      <c r="N3386" s="4" t="str">
        <f t="shared" si="324"/>
        <v>GAL</v>
      </c>
      <c r="O3386" s="5">
        <v>60</v>
      </c>
    </row>
    <row r="3387" spans="2:15" x14ac:dyDescent="0.25">
      <c r="B3387" s="1" t="s">
        <v>3238</v>
      </c>
      <c r="C3387" s="2" t="s">
        <v>3239</v>
      </c>
      <c r="D3387" s="2" t="s">
        <v>3240</v>
      </c>
      <c r="E3387" s="2" t="s">
        <v>4272</v>
      </c>
      <c r="F3387" s="3">
        <f>DATE(2023,11,13)</f>
        <v>45243</v>
      </c>
      <c r="G3387" s="4">
        <f t="shared" si="323"/>
        <v>11</v>
      </c>
      <c r="H3387" s="4">
        <f t="shared" ref="H3387:H3450" si="325">+YEAR(F3387)</f>
        <v>2023</v>
      </c>
      <c r="I3387" s="2" t="s">
        <v>4</v>
      </c>
      <c r="J3387" s="2" t="s">
        <v>4273</v>
      </c>
      <c r="K3387" s="2" t="s">
        <v>3910</v>
      </c>
      <c r="L3387" s="2" t="s">
        <v>3911</v>
      </c>
      <c r="M3387" s="2" t="s">
        <v>2100</v>
      </c>
      <c r="N3387" s="4" t="str">
        <f t="shared" si="324"/>
        <v>GAL</v>
      </c>
      <c r="O3387" s="5">
        <v>250</v>
      </c>
    </row>
    <row r="3388" spans="2:15" x14ac:dyDescent="0.25">
      <c r="B3388" s="1" t="s">
        <v>3238</v>
      </c>
      <c r="C3388" s="2" t="s">
        <v>3239</v>
      </c>
      <c r="D3388" s="2" t="s">
        <v>3240</v>
      </c>
      <c r="E3388" s="2" t="s">
        <v>102</v>
      </c>
      <c r="F3388" s="3">
        <f>DATE(2023,11,15)</f>
        <v>45245</v>
      </c>
      <c r="G3388" s="4">
        <f t="shared" si="323"/>
        <v>11</v>
      </c>
      <c r="H3388" s="4">
        <f t="shared" si="325"/>
        <v>2023</v>
      </c>
      <c r="I3388" s="2" t="s">
        <v>4</v>
      </c>
      <c r="J3388" s="2" t="s">
        <v>4274</v>
      </c>
      <c r="K3388" s="2" t="s">
        <v>3937</v>
      </c>
      <c r="L3388" s="2" t="s">
        <v>4275</v>
      </c>
      <c r="M3388" s="2" t="s">
        <v>3939</v>
      </c>
      <c r="N3388" s="4" t="str">
        <f t="shared" si="324"/>
        <v>GAL</v>
      </c>
      <c r="O3388" s="5">
        <v>500</v>
      </c>
    </row>
    <row r="3389" spans="2:15" x14ac:dyDescent="0.25">
      <c r="B3389" s="1" t="s">
        <v>3238</v>
      </c>
      <c r="C3389" s="2" t="s">
        <v>3239</v>
      </c>
      <c r="D3389" s="2" t="s">
        <v>3240</v>
      </c>
      <c r="E3389" s="2" t="s">
        <v>3379</v>
      </c>
      <c r="F3389" s="3">
        <f>DATE(2023,11,15)</f>
        <v>45245</v>
      </c>
      <c r="G3389" s="4">
        <f t="shared" si="323"/>
        <v>11</v>
      </c>
      <c r="H3389" s="4">
        <f t="shared" si="325"/>
        <v>2023</v>
      </c>
      <c r="I3389" s="2" t="s">
        <v>4</v>
      </c>
      <c r="J3389" s="2" t="s">
        <v>4276</v>
      </c>
      <c r="K3389" s="2" t="s">
        <v>4257</v>
      </c>
      <c r="L3389" s="2" t="s">
        <v>4258</v>
      </c>
      <c r="M3389" s="2" t="s">
        <v>3251</v>
      </c>
      <c r="N3389" s="4" t="str">
        <f t="shared" si="324"/>
        <v>GAL</v>
      </c>
      <c r="O3389" s="5">
        <v>250</v>
      </c>
    </row>
    <row r="3390" spans="2:15" x14ac:dyDescent="0.25">
      <c r="B3390" s="1" t="s">
        <v>3238</v>
      </c>
      <c r="C3390" s="2" t="s">
        <v>3239</v>
      </c>
      <c r="D3390" s="2" t="s">
        <v>3240</v>
      </c>
      <c r="E3390" s="2" t="s">
        <v>102</v>
      </c>
      <c r="F3390" s="3">
        <f>DATE(2023,11,16)</f>
        <v>45246</v>
      </c>
      <c r="G3390" s="4">
        <f t="shared" si="323"/>
        <v>11</v>
      </c>
      <c r="H3390" s="4">
        <f t="shared" si="325"/>
        <v>2023</v>
      </c>
      <c r="I3390" s="2" t="s">
        <v>4</v>
      </c>
      <c r="J3390" s="2" t="s">
        <v>4277</v>
      </c>
      <c r="K3390" s="2" t="s">
        <v>3933</v>
      </c>
      <c r="L3390" s="2" t="s">
        <v>3934</v>
      </c>
      <c r="M3390" s="2" t="s">
        <v>556</v>
      </c>
      <c r="N3390" s="4" t="str">
        <f t="shared" si="324"/>
        <v>GAL</v>
      </c>
      <c r="O3390" s="5">
        <v>55</v>
      </c>
    </row>
    <row r="3391" spans="2:15" x14ac:dyDescent="0.25">
      <c r="B3391" s="1" t="s">
        <v>3238</v>
      </c>
      <c r="C3391" s="2" t="s">
        <v>3239</v>
      </c>
      <c r="D3391" s="2" t="s">
        <v>3240</v>
      </c>
      <c r="E3391" s="2" t="s">
        <v>102</v>
      </c>
      <c r="F3391" s="3">
        <f>DATE(2023,11,27)</f>
        <v>45257</v>
      </c>
      <c r="G3391" s="4">
        <f t="shared" si="323"/>
        <v>11</v>
      </c>
      <c r="H3391" s="4">
        <f t="shared" si="325"/>
        <v>2023</v>
      </c>
      <c r="I3391" s="2" t="s">
        <v>4</v>
      </c>
      <c r="J3391" s="2" t="s">
        <v>4278</v>
      </c>
      <c r="K3391" s="2" t="s">
        <v>3933</v>
      </c>
      <c r="L3391" s="2" t="s">
        <v>3934</v>
      </c>
      <c r="M3391" s="2" t="s">
        <v>556</v>
      </c>
      <c r="N3391" s="4" t="str">
        <f t="shared" si="324"/>
        <v>GAL</v>
      </c>
      <c r="O3391" s="5">
        <v>110</v>
      </c>
    </row>
    <row r="3392" spans="2:15" x14ac:dyDescent="0.25">
      <c r="B3392" s="1" t="s">
        <v>3238</v>
      </c>
      <c r="C3392" s="2" t="s">
        <v>3239</v>
      </c>
      <c r="D3392" s="2" t="s">
        <v>3240</v>
      </c>
      <c r="E3392" s="2" t="s">
        <v>4279</v>
      </c>
      <c r="F3392" s="3">
        <f>DATE(2023,11,29)</f>
        <v>45259</v>
      </c>
      <c r="G3392" s="4">
        <f t="shared" si="323"/>
        <v>11</v>
      </c>
      <c r="H3392" s="4">
        <f t="shared" si="325"/>
        <v>2023</v>
      </c>
      <c r="I3392" s="2" t="s">
        <v>4</v>
      </c>
      <c r="J3392" s="2" t="s">
        <v>4280</v>
      </c>
      <c r="K3392" s="2" t="s">
        <v>3514</v>
      </c>
      <c r="L3392" s="2" t="s">
        <v>3515</v>
      </c>
      <c r="M3392" s="2" t="s">
        <v>3516</v>
      </c>
      <c r="N3392" s="4" t="str">
        <f t="shared" si="324"/>
        <v>GAL</v>
      </c>
      <c r="O3392" s="5">
        <v>250</v>
      </c>
    </row>
    <row r="3393" spans="2:15" x14ac:dyDescent="0.25">
      <c r="B3393" s="6" t="s">
        <v>3238</v>
      </c>
      <c r="C3393" s="7" t="s">
        <v>3239</v>
      </c>
      <c r="D3393" s="8" t="s">
        <v>3240</v>
      </c>
      <c r="E3393" s="8" t="s">
        <v>3397</v>
      </c>
      <c r="F3393" s="9">
        <f>DATE(2023,11,29)</f>
        <v>45259</v>
      </c>
      <c r="G3393" s="10">
        <f t="shared" si="323"/>
        <v>11</v>
      </c>
      <c r="H3393" s="10">
        <f t="shared" si="325"/>
        <v>2023</v>
      </c>
      <c r="I3393" s="8" t="s">
        <v>4</v>
      </c>
      <c r="J3393" s="7" t="s">
        <v>4281</v>
      </c>
      <c r="K3393" s="8" t="s">
        <v>3399</v>
      </c>
      <c r="L3393" s="8" t="s">
        <v>3400</v>
      </c>
      <c r="M3393" s="8" t="s">
        <v>3401</v>
      </c>
      <c r="N3393" s="10" t="str">
        <f t="shared" si="324"/>
        <v>GAL</v>
      </c>
      <c r="O3393" s="11">
        <v>250</v>
      </c>
    </row>
    <row r="3394" spans="2:15" x14ac:dyDescent="0.25">
      <c r="B3394" s="1" t="s">
        <v>3238</v>
      </c>
      <c r="C3394" s="2" t="s">
        <v>3239</v>
      </c>
      <c r="D3394" s="2" t="s">
        <v>3240</v>
      </c>
      <c r="E3394" s="2" t="s">
        <v>3402</v>
      </c>
      <c r="F3394" s="3">
        <f>DATE(2023,11,29)</f>
        <v>45259</v>
      </c>
      <c r="G3394" s="4">
        <f t="shared" si="323"/>
        <v>11</v>
      </c>
      <c r="H3394" s="4">
        <f t="shared" si="325"/>
        <v>2023</v>
      </c>
      <c r="I3394" s="2" t="s">
        <v>4</v>
      </c>
      <c r="J3394" s="2" t="s">
        <v>4282</v>
      </c>
      <c r="K3394" s="2" t="s">
        <v>3404</v>
      </c>
      <c r="L3394" s="2" t="s">
        <v>3405</v>
      </c>
      <c r="M3394" s="2" t="s">
        <v>3406</v>
      </c>
      <c r="N3394" s="4" t="str">
        <f t="shared" si="324"/>
        <v>GAL</v>
      </c>
      <c r="O3394" s="5">
        <v>500</v>
      </c>
    </row>
    <row r="3395" spans="2:15" x14ac:dyDescent="0.25">
      <c r="B3395" s="1" t="s">
        <v>3238</v>
      </c>
      <c r="C3395" s="2" t="s">
        <v>3239</v>
      </c>
      <c r="D3395" s="2" t="s">
        <v>3240</v>
      </c>
      <c r="E3395" s="2" t="s">
        <v>102</v>
      </c>
      <c r="F3395" s="3">
        <f>DATE(2023,11,29)</f>
        <v>45259</v>
      </c>
      <c r="G3395" s="4">
        <f t="shared" ref="G3395:G3458" si="326">+MONTH(F3395)</f>
        <v>11</v>
      </c>
      <c r="H3395" s="4">
        <f t="shared" si="325"/>
        <v>2023</v>
      </c>
      <c r="I3395" s="2" t="s">
        <v>4</v>
      </c>
      <c r="J3395" s="2" t="s">
        <v>4283</v>
      </c>
      <c r="K3395" s="2" t="s">
        <v>4284</v>
      </c>
      <c r="L3395" s="2" t="s">
        <v>3915</v>
      </c>
      <c r="M3395" s="2" t="s">
        <v>3916</v>
      </c>
      <c r="N3395" s="4" t="str">
        <f t="shared" ref="N3395:N3458" si="327">+LEFT(M3395,3)</f>
        <v>GAL</v>
      </c>
      <c r="O3395" s="5">
        <v>110</v>
      </c>
    </row>
    <row r="3396" spans="2:15" x14ac:dyDescent="0.25">
      <c r="B3396" s="1" t="s">
        <v>0</v>
      </c>
      <c r="C3396" s="2" t="s">
        <v>1</v>
      </c>
      <c r="D3396" s="2" t="s">
        <v>2</v>
      </c>
      <c r="E3396" s="2" t="s">
        <v>63</v>
      </c>
      <c r="F3396" s="3">
        <v>45261</v>
      </c>
      <c r="G3396" s="4">
        <f t="shared" si="326"/>
        <v>12</v>
      </c>
      <c r="H3396" s="4">
        <f t="shared" si="325"/>
        <v>2023</v>
      </c>
      <c r="I3396" s="2" t="s">
        <v>4</v>
      </c>
      <c r="J3396" s="2" t="s">
        <v>4285</v>
      </c>
      <c r="K3396" s="2" t="s">
        <v>574</v>
      </c>
      <c r="L3396" s="2" t="s">
        <v>66</v>
      </c>
      <c r="M3396" s="2" t="s">
        <v>67</v>
      </c>
      <c r="N3396" s="4" t="str">
        <f t="shared" si="327"/>
        <v>GAL</v>
      </c>
      <c r="O3396" s="5">
        <v>5</v>
      </c>
    </row>
    <row r="3397" spans="2:15" x14ac:dyDescent="0.25">
      <c r="B3397" s="1" t="s">
        <v>0</v>
      </c>
      <c r="C3397" s="2" t="s">
        <v>1</v>
      </c>
      <c r="D3397" s="2" t="s">
        <v>2</v>
      </c>
      <c r="E3397" s="2" t="s">
        <v>63</v>
      </c>
      <c r="F3397" s="3">
        <v>45261</v>
      </c>
      <c r="G3397" s="4">
        <f t="shared" si="326"/>
        <v>12</v>
      </c>
      <c r="H3397" s="4">
        <f t="shared" si="325"/>
        <v>2023</v>
      </c>
      <c r="I3397" s="2" t="s">
        <v>4</v>
      </c>
      <c r="J3397" s="2" t="s">
        <v>4285</v>
      </c>
      <c r="K3397" s="2" t="s">
        <v>19</v>
      </c>
      <c r="L3397" s="2" t="s">
        <v>20</v>
      </c>
      <c r="M3397" s="2" t="s">
        <v>21</v>
      </c>
      <c r="N3397" s="4" t="str">
        <f t="shared" si="327"/>
        <v>GAL</v>
      </c>
      <c r="O3397" s="5">
        <v>30</v>
      </c>
    </row>
    <row r="3398" spans="2:15" x14ac:dyDescent="0.25">
      <c r="B3398" s="1" t="s">
        <v>0</v>
      </c>
      <c r="C3398" s="2" t="s">
        <v>1</v>
      </c>
      <c r="D3398" s="2" t="s">
        <v>2</v>
      </c>
      <c r="E3398" s="2" t="s">
        <v>63</v>
      </c>
      <c r="F3398" s="3">
        <v>45261</v>
      </c>
      <c r="G3398" s="4">
        <f t="shared" si="326"/>
        <v>12</v>
      </c>
      <c r="H3398" s="4">
        <f t="shared" si="325"/>
        <v>2023</v>
      </c>
      <c r="I3398" s="2" t="s">
        <v>4</v>
      </c>
      <c r="J3398" s="2" t="s">
        <v>4285</v>
      </c>
      <c r="K3398" s="2" t="s">
        <v>36</v>
      </c>
      <c r="L3398" s="2" t="s">
        <v>37</v>
      </c>
      <c r="M3398" s="2" t="s">
        <v>38</v>
      </c>
      <c r="N3398" s="4" t="str">
        <f t="shared" si="327"/>
        <v>GAL</v>
      </c>
      <c r="O3398" s="5">
        <v>40</v>
      </c>
    </row>
    <row r="3399" spans="2:15" x14ac:dyDescent="0.25">
      <c r="B3399" s="1" t="s">
        <v>0</v>
      </c>
      <c r="C3399" s="2" t="s">
        <v>1</v>
      </c>
      <c r="D3399" s="2" t="s">
        <v>2</v>
      </c>
      <c r="E3399" s="2" t="s">
        <v>63</v>
      </c>
      <c r="F3399" s="3">
        <v>45261</v>
      </c>
      <c r="G3399" s="4">
        <f t="shared" si="326"/>
        <v>12</v>
      </c>
      <c r="H3399" s="4">
        <f t="shared" si="325"/>
        <v>2023</v>
      </c>
      <c r="I3399" s="2" t="s">
        <v>4</v>
      </c>
      <c r="J3399" s="2" t="s">
        <v>4285</v>
      </c>
      <c r="K3399" s="2" t="s">
        <v>44</v>
      </c>
      <c r="L3399" s="2" t="s">
        <v>45</v>
      </c>
      <c r="M3399" s="2" t="s">
        <v>46</v>
      </c>
      <c r="N3399" s="4" t="str">
        <f t="shared" si="327"/>
        <v>GAL</v>
      </c>
      <c r="O3399" s="5">
        <v>30</v>
      </c>
    </row>
    <row r="3400" spans="2:15" x14ac:dyDescent="0.25">
      <c r="B3400" s="1" t="s">
        <v>0</v>
      </c>
      <c r="C3400" s="2" t="s">
        <v>1</v>
      </c>
      <c r="D3400" s="2" t="s">
        <v>2</v>
      </c>
      <c r="E3400" s="2" t="s">
        <v>63</v>
      </c>
      <c r="F3400" s="3">
        <v>45261</v>
      </c>
      <c r="G3400" s="4">
        <f t="shared" si="326"/>
        <v>12</v>
      </c>
      <c r="H3400" s="4">
        <f t="shared" si="325"/>
        <v>2023</v>
      </c>
      <c r="I3400" s="2" t="s">
        <v>4</v>
      </c>
      <c r="J3400" s="2" t="s">
        <v>4285</v>
      </c>
      <c r="K3400" s="2" t="s">
        <v>47</v>
      </c>
      <c r="L3400" s="2" t="s">
        <v>48</v>
      </c>
      <c r="M3400" s="2" t="s">
        <v>49</v>
      </c>
      <c r="N3400" s="4" t="str">
        <f t="shared" si="327"/>
        <v>GAL</v>
      </c>
      <c r="O3400" s="5">
        <v>10</v>
      </c>
    </row>
    <row r="3401" spans="2:15" x14ac:dyDescent="0.25">
      <c r="B3401" s="1" t="s">
        <v>0</v>
      </c>
      <c r="C3401" s="2" t="s">
        <v>1</v>
      </c>
      <c r="D3401" s="2" t="s">
        <v>2</v>
      </c>
      <c r="E3401" s="2" t="s">
        <v>63</v>
      </c>
      <c r="F3401" s="3">
        <v>45261</v>
      </c>
      <c r="G3401" s="4">
        <f t="shared" si="326"/>
        <v>12</v>
      </c>
      <c r="H3401" s="4">
        <f t="shared" si="325"/>
        <v>2023</v>
      </c>
      <c r="I3401" s="2" t="s">
        <v>4</v>
      </c>
      <c r="J3401" s="2" t="s">
        <v>4285</v>
      </c>
      <c r="K3401" s="2" t="s">
        <v>83</v>
      </c>
      <c r="L3401" s="2" t="s">
        <v>84</v>
      </c>
      <c r="M3401" s="2" t="s">
        <v>85</v>
      </c>
      <c r="N3401" s="4" t="str">
        <f t="shared" si="327"/>
        <v>GAL</v>
      </c>
      <c r="O3401" s="5">
        <v>30</v>
      </c>
    </row>
    <row r="3402" spans="2:15" x14ac:dyDescent="0.25">
      <c r="B3402" s="1" t="s">
        <v>0</v>
      </c>
      <c r="C3402" s="2" t="s">
        <v>1</v>
      </c>
      <c r="D3402" s="2" t="s">
        <v>2</v>
      </c>
      <c r="E3402" s="2" t="s">
        <v>1784</v>
      </c>
      <c r="F3402" s="3">
        <v>45264</v>
      </c>
      <c r="G3402" s="4">
        <f t="shared" si="326"/>
        <v>12</v>
      </c>
      <c r="H3402" s="4">
        <f t="shared" si="325"/>
        <v>2023</v>
      </c>
      <c r="I3402" s="2" t="s">
        <v>4</v>
      </c>
      <c r="J3402" s="2" t="s">
        <v>4286</v>
      </c>
      <c r="K3402" s="2" t="s">
        <v>28</v>
      </c>
      <c r="L3402" s="2" t="s">
        <v>29</v>
      </c>
      <c r="M3402" s="2" t="s">
        <v>30</v>
      </c>
      <c r="N3402" s="4" t="str">
        <f t="shared" si="327"/>
        <v>GAL</v>
      </c>
      <c r="O3402" s="5">
        <v>30</v>
      </c>
    </row>
    <row r="3403" spans="2:15" x14ac:dyDescent="0.25">
      <c r="B3403" s="1" t="s">
        <v>0</v>
      </c>
      <c r="C3403" s="2" t="s">
        <v>1</v>
      </c>
      <c r="D3403" s="2" t="s">
        <v>2</v>
      </c>
      <c r="E3403" s="2" t="s">
        <v>4287</v>
      </c>
      <c r="F3403" s="3">
        <v>45265</v>
      </c>
      <c r="G3403" s="4">
        <f t="shared" si="326"/>
        <v>12</v>
      </c>
      <c r="H3403" s="4">
        <f t="shared" si="325"/>
        <v>2023</v>
      </c>
      <c r="I3403" s="2" t="s">
        <v>4</v>
      </c>
      <c r="J3403" s="2" t="s">
        <v>4288</v>
      </c>
      <c r="K3403" s="2" t="s">
        <v>574</v>
      </c>
      <c r="L3403" s="2" t="s">
        <v>66</v>
      </c>
      <c r="M3403" s="2" t="s">
        <v>67</v>
      </c>
      <c r="N3403" s="4" t="str">
        <f t="shared" si="327"/>
        <v>GAL</v>
      </c>
      <c r="O3403" s="5">
        <v>60</v>
      </c>
    </row>
    <row r="3404" spans="2:15" x14ac:dyDescent="0.25">
      <c r="B3404" s="1" t="s">
        <v>0</v>
      </c>
      <c r="C3404" s="2" t="s">
        <v>1</v>
      </c>
      <c r="D3404" s="2" t="s">
        <v>2</v>
      </c>
      <c r="E3404" s="2" t="s">
        <v>4287</v>
      </c>
      <c r="F3404" s="3">
        <v>45265</v>
      </c>
      <c r="G3404" s="4">
        <f t="shared" si="326"/>
        <v>12</v>
      </c>
      <c r="H3404" s="4">
        <f t="shared" si="325"/>
        <v>2023</v>
      </c>
      <c r="I3404" s="2" t="s">
        <v>4</v>
      </c>
      <c r="J3404" s="2" t="s">
        <v>4288</v>
      </c>
      <c r="K3404" s="2" t="s">
        <v>19</v>
      </c>
      <c r="L3404" s="2" t="s">
        <v>20</v>
      </c>
      <c r="M3404" s="2" t="s">
        <v>21</v>
      </c>
      <c r="N3404" s="4" t="str">
        <f t="shared" si="327"/>
        <v>GAL</v>
      </c>
      <c r="O3404" s="5">
        <v>120</v>
      </c>
    </row>
    <row r="3405" spans="2:15" x14ac:dyDescent="0.25">
      <c r="B3405" s="1" t="s">
        <v>0</v>
      </c>
      <c r="C3405" s="2" t="s">
        <v>1</v>
      </c>
      <c r="D3405" s="2" t="s">
        <v>2</v>
      </c>
      <c r="E3405" s="2" t="s">
        <v>4287</v>
      </c>
      <c r="F3405" s="3">
        <v>45265</v>
      </c>
      <c r="G3405" s="4">
        <f t="shared" si="326"/>
        <v>12</v>
      </c>
      <c r="H3405" s="4">
        <f t="shared" si="325"/>
        <v>2023</v>
      </c>
      <c r="I3405" s="2" t="s">
        <v>4</v>
      </c>
      <c r="J3405" s="2" t="s">
        <v>4288</v>
      </c>
      <c r="K3405" s="2" t="s">
        <v>44</v>
      </c>
      <c r="L3405" s="2" t="s">
        <v>45</v>
      </c>
      <c r="M3405" s="2" t="s">
        <v>46</v>
      </c>
      <c r="N3405" s="4" t="str">
        <f t="shared" si="327"/>
        <v>GAL</v>
      </c>
      <c r="O3405" s="5">
        <v>30</v>
      </c>
    </row>
    <row r="3406" spans="2:15" x14ac:dyDescent="0.25">
      <c r="B3406" s="1" t="s">
        <v>0</v>
      </c>
      <c r="C3406" s="2" t="s">
        <v>1</v>
      </c>
      <c r="D3406" s="2" t="s">
        <v>2</v>
      </c>
      <c r="E3406" s="2" t="s">
        <v>4287</v>
      </c>
      <c r="F3406" s="3">
        <v>45265</v>
      </c>
      <c r="G3406" s="4">
        <f t="shared" si="326"/>
        <v>12</v>
      </c>
      <c r="H3406" s="4">
        <f t="shared" si="325"/>
        <v>2023</v>
      </c>
      <c r="I3406" s="2" t="s">
        <v>4</v>
      </c>
      <c r="J3406" s="2" t="s">
        <v>4288</v>
      </c>
      <c r="K3406" s="2" t="s">
        <v>47</v>
      </c>
      <c r="L3406" s="2" t="s">
        <v>48</v>
      </c>
      <c r="M3406" s="2" t="s">
        <v>49</v>
      </c>
      <c r="N3406" s="4" t="str">
        <f t="shared" si="327"/>
        <v>GAL</v>
      </c>
      <c r="O3406" s="5">
        <v>30</v>
      </c>
    </row>
    <row r="3407" spans="2:15" x14ac:dyDescent="0.25">
      <c r="B3407" s="1" t="s">
        <v>0</v>
      </c>
      <c r="C3407" s="2" t="s">
        <v>1</v>
      </c>
      <c r="D3407" s="2" t="s">
        <v>2</v>
      </c>
      <c r="E3407" s="2" t="s">
        <v>4287</v>
      </c>
      <c r="F3407" s="3">
        <v>45265</v>
      </c>
      <c r="G3407" s="4">
        <f t="shared" si="326"/>
        <v>12</v>
      </c>
      <c r="H3407" s="4">
        <f t="shared" si="325"/>
        <v>2023</v>
      </c>
      <c r="I3407" s="2" t="s">
        <v>4</v>
      </c>
      <c r="J3407" s="2" t="s">
        <v>4288</v>
      </c>
      <c r="K3407" s="2" t="s">
        <v>25</v>
      </c>
      <c r="L3407" s="2" t="s">
        <v>26</v>
      </c>
      <c r="M3407" s="2" t="s">
        <v>27</v>
      </c>
      <c r="N3407" s="4" t="str">
        <f t="shared" si="327"/>
        <v>GAL</v>
      </c>
      <c r="O3407" s="5">
        <v>120</v>
      </c>
    </row>
    <row r="3408" spans="2:15" x14ac:dyDescent="0.25">
      <c r="B3408" s="1" t="s">
        <v>0</v>
      </c>
      <c r="C3408" s="2" t="s">
        <v>1</v>
      </c>
      <c r="D3408" s="2" t="s">
        <v>2</v>
      </c>
      <c r="E3408" s="2" t="s">
        <v>4287</v>
      </c>
      <c r="F3408" s="3">
        <v>45265</v>
      </c>
      <c r="G3408" s="4">
        <f t="shared" si="326"/>
        <v>12</v>
      </c>
      <c r="H3408" s="4">
        <f t="shared" si="325"/>
        <v>2023</v>
      </c>
      <c r="I3408" s="2" t="s">
        <v>4</v>
      </c>
      <c r="J3408" s="2" t="s">
        <v>4288</v>
      </c>
      <c r="K3408" s="2" t="s">
        <v>28</v>
      </c>
      <c r="L3408" s="2" t="s">
        <v>29</v>
      </c>
      <c r="M3408" s="2" t="s">
        <v>30</v>
      </c>
      <c r="N3408" s="4" t="str">
        <f t="shared" si="327"/>
        <v>GAL</v>
      </c>
      <c r="O3408" s="5">
        <v>120</v>
      </c>
    </row>
    <row r="3409" spans="2:15" x14ac:dyDescent="0.25">
      <c r="B3409" s="1" t="s">
        <v>0</v>
      </c>
      <c r="C3409" s="2" t="s">
        <v>1</v>
      </c>
      <c r="D3409" s="2" t="s">
        <v>2</v>
      </c>
      <c r="E3409" s="2" t="s">
        <v>4287</v>
      </c>
      <c r="F3409" s="3">
        <v>45265</v>
      </c>
      <c r="G3409" s="4">
        <f t="shared" si="326"/>
        <v>12</v>
      </c>
      <c r="H3409" s="4">
        <f t="shared" si="325"/>
        <v>2023</v>
      </c>
      <c r="I3409" s="2" t="s">
        <v>4</v>
      </c>
      <c r="J3409" s="2" t="s">
        <v>4288</v>
      </c>
      <c r="K3409" s="2" t="s">
        <v>16</v>
      </c>
      <c r="L3409" s="2" t="s">
        <v>7</v>
      </c>
      <c r="M3409" s="2" t="s">
        <v>8</v>
      </c>
      <c r="N3409" s="4" t="str">
        <f t="shared" si="327"/>
        <v>GAL</v>
      </c>
      <c r="O3409" s="5">
        <v>120</v>
      </c>
    </row>
    <row r="3410" spans="2:15" x14ac:dyDescent="0.25">
      <c r="B3410" s="1" t="s">
        <v>0</v>
      </c>
      <c r="C3410" s="2" t="s">
        <v>1</v>
      </c>
      <c r="D3410" s="2" t="s">
        <v>2</v>
      </c>
      <c r="E3410" s="2" t="s">
        <v>1787</v>
      </c>
      <c r="F3410" s="3">
        <v>45268</v>
      </c>
      <c r="G3410" s="4">
        <f t="shared" si="326"/>
        <v>12</v>
      </c>
      <c r="H3410" s="4">
        <f t="shared" si="325"/>
        <v>2023</v>
      </c>
      <c r="I3410" s="2" t="s">
        <v>4</v>
      </c>
      <c r="J3410" s="2" t="s">
        <v>4289</v>
      </c>
      <c r="K3410" s="2" t="s">
        <v>566</v>
      </c>
      <c r="L3410" s="2" t="s">
        <v>20</v>
      </c>
      <c r="M3410" s="2" t="s">
        <v>21</v>
      </c>
      <c r="N3410" s="4" t="str">
        <f t="shared" si="327"/>
        <v>GAL</v>
      </c>
      <c r="O3410" s="5">
        <v>55</v>
      </c>
    </row>
    <row r="3411" spans="2:15" x14ac:dyDescent="0.25">
      <c r="B3411" s="1" t="s">
        <v>0</v>
      </c>
      <c r="C3411" s="2" t="s">
        <v>1</v>
      </c>
      <c r="D3411" s="2" t="s">
        <v>2</v>
      </c>
      <c r="E3411" s="2" t="s">
        <v>1787</v>
      </c>
      <c r="F3411" s="3">
        <v>45268</v>
      </c>
      <c r="G3411" s="4">
        <f t="shared" si="326"/>
        <v>12</v>
      </c>
      <c r="H3411" s="4">
        <f t="shared" si="325"/>
        <v>2023</v>
      </c>
      <c r="I3411" s="2" t="s">
        <v>4</v>
      </c>
      <c r="J3411" s="2" t="s">
        <v>4289</v>
      </c>
      <c r="K3411" s="2" t="s">
        <v>1786</v>
      </c>
      <c r="L3411" s="2" t="s">
        <v>84</v>
      </c>
      <c r="M3411" s="2" t="s">
        <v>85</v>
      </c>
      <c r="N3411" s="4" t="str">
        <f t="shared" si="327"/>
        <v>GAL</v>
      </c>
      <c r="O3411" s="5">
        <v>55</v>
      </c>
    </row>
    <row r="3412" spans="2:15" x14ac:dyDescent="0.25">
      <c r="B3412" s="1" t="s">
        <v>0</v>
      </c>
      <c r="C3412" s="2" t="s">
        <v>1</v>
      </c>
      <c r="D3412" s="2" t="s">
        <v>2</v>
      </c>
      <c r="E3412" s="2" t="s">
        <v>1787</v>
      </c>
      <c r="F3412" s="3">
        <v>45268</v>
      </c>
      <c r="G3412" s="4">
        <f t="shared" si="326"/>
        <v>12</v>
      </c>
      <c r="H3412" s="4">
        <f t="shared" si="325"/>
        <v>2023</v>
      </c>
      <c r="I3412" s="2" t="s">
        <v>4</v>
      </c>
      <c r="J3412" s="2" t="s">
        <v>4289</v>
      </c>
      <c r="K3412" s="2" t="s">
        <v>28</v>
      </c>
      <c r="L3412" s="2" t="s">
        <v>29</v>
      </c>
      <c r="M3412" s="2" t="s">
        <v>30</v>
      </c>
      <c r="N3412" s="4" t="str">
        <f t="shared" si="327"/>
        <v>GAL</v>
      </c>
      <c r="O3412" s="5">
        <v>25</v>
      </c>
    </row>
    <row r="3413" spans="2:15" x14ac:dyDescent="0.25">
      <c r="B3413" s="1" t="s">
        <v>0</v>
      </c>
      <c r="C3413" s="2" t="s">
        <v>1</v>
      </c>
      <c r="D3413" s="2" t="s">
        <v>2</v>
      </c>
      <c r="E3413" s="2" t="s">
        <v>1787</v>
      </c>
      <c r="F3413" s="3">
        <v>45268</v>
      </c>
      <c r="G3413" s="4">
        <f t="shared" si="326"/>
        <v>12</v>
      </c>
      <c r="H3413" s="4">
        <f t="shared" si="325"/>
        <v>2023</v>
      </c>
      <c r="I3413" s="2" t="s">
        <v>4</v>
      </c>
      <c r="J3413" s="2" t="s">
        <v>4289</v>
      </c>
      <c r="K3413" s="2" t="s">
        <v>6</v>
      </c>
      <c r="L3413" s="2" t="s">
        <v>7</v>
      </c>
      <c r="M3413" s="2" t="s">
        <v>8</v>
      </c>
      <c r="N3413" s="4" t="str">
        <f t="shared" si="327"/>
        <v>GAL</v>
      </c>
      <c r="O3413" s="5">
        <v>55</v>
      </c>
    </row>
    <row r="3414" spans="2:15" x14ac:dyDescent="0.25">
      <c r="B3414" s="1" t="s">
        <v>0</v>
      </c>
      <c r="C3414" s="2" t="s">
        <v>1</v>
      </c>
      <c r="D3414" s="2" t="s">
        <v>2</v>
      </c>
      <c r="E3414" s="2" t="s">
        <v>4287</v>
      </c>
      <c r="F3414" s="3">
        <v>45281</v>
      </c>
      <c r="G3414" s="4">
        <f t="shared" si="326"/>
        <v>12</v>
      </c>
      <c r="H3414" s="4">
        <f t="shared" si="325"/>
        <v>2023</v>
      </c>
      <c r="I3414" s="2" t="s">
        <v>4</v>
      </c>
      <c r="J3414" s="2" t="s">
        <v>4290</v>
      </c>
      <c r="K3414" s="2" t="s">
        <v>19</v>
      </c>
      <c r="L3414" s="2" t="s">
        <v>20</v>
      </c>
      <c r="M3414" s="2" t="s">
        <v>21</v>
      </c>
      <c r="N3414" s="4" t="str">
        <f t="shared" si="327"/>
        <v>GAL</v>
      </c>
      <c r="O3414" s="5">
        <v>120</v>
      </c>
    </row>
    <row r="3415" spans="2:15" x14ac:dyDescent="0.25">
      <c r="B3415" s="1" t="s">
        <v>0</v>
      </c>
      <c r="C3415" s="2" t="s">
        <v>1</v>
      </c>
      <c r="D3415" s="2" t="s">
        <v>2</v>
      </c>
      <c r="E3415" s="2" t="s">
        <v>4287</v>
      </c>
      <c r="F3415" s="3">
        <v>45281</v>
      </c>
      <c r="G3415" s="4">
        <f t="shared" si="326"/>
        <v>12</v>
      </c>
      <c r="H3415" s="4">
        <f t="shared" si="325"/>
        <v>2023</v>
      </c>
      <c r="I3415" s="2" t="s">
        <v>4</v>
      </c>
      <c r="J3415" s="2" t="s">
        <v>4290</v>
      </c>
      <c r="K3415" s="2" t="s">
        <v>22</v>
      </c>
      <c r="L3415" s="2" t="s">
        <v>23</v>
      </c>
      <c r="M3415" s="2" t="s">
        <v>24</v>
      </c>
      <c r="N3415" s="4" t="str">
        <f t="shared" si="327"/>
        <v>GAL</v>
      </c>
      <c r="O3415" s="5">
        <v>60</v>
      </c>
    </row>
    <row r="3416" spans="2:15" x14ac:dyDescent="0.25">
      <c r="B3416" s="1" t="s">
        <v>0</v>
      </c>
      <c r="C3416" s="2" t="s">
        <v>1</v>
      </c>
      <c r="D3416" s="2" t="s">
        <v>2</v>
      </c>
      <c r="E3416" s="2" t="s">
        <v>4287</v>
      </c>
      <c r="F3416" s="3">
        <v>45281</v>
      </c>
      <c r="G3416" s="4">
        <f t="shared" si="326"/>
        <v>12</v>
      </c>
      <c r="H3416" s="4">
        <f t="shared" si="325"/>
        <v>2023</v>
      </c>
      <c r="I3416" s="2" t="s">
        <v>4</v>
      </c>
      <c r="J3416" s="2" t="s">
        <v>4290</v>
      </c>
      <c r="K3416" s="2" t="s">
        <v>44</v>
      </c>
      <c r="L3416" s="2" t="s">
        <v>45</v>
      </c>
      <c r="M3416" s="2" t="s">
        <v>46</v>
      </c>
      <c r="N3416" s="4" t="str">
        <f t="shared" si="327"/>
        <v>GAL</v>
      </c>
      <c r="O3416" s="5">
        <v>60</v>
      </c>
    </row>
    <row r="3417" spans="2:15" x14ac:dyDescent="0.25">
      <c r="B3417" s="1" t="s">
        <v>0</v>
      </c>
      <c r="C3417" s="2" t="s">
        <v>1</v>
      </c>
      <c r="D3417" s="2" t="s">
        <v>2</v>
      </c>
      <c r="E3417" s="2" t="s">
        <v>4287</v>
      </c>
      <c r="F3417" s="3">
        <v>45281</v>
      </c>
      <c r="G3417" s="4">
        <f t="shared" si="326"/>
        <v>12</v>
      </c>
      <c r="H3417" s="4">
        <f t="shared" si="325"/>
        <v>2023</v>
      </c>
      <c r="I3417" s="2" t="s">
        <v>4</v>
      </c>
      <c r="J3417" s="2" t="s">
        <v>4290</v>
      </c>
      <c r="K3417" s="2" t="s">
        <v>80</v>
      </c>
      <c r="L3417" s="2" t="s">
        <v>81</v>
      </c>
      <c r="M3417" s="2" t="s">
        <v>82</v>
      </c>
      <c r="N3417" s="4" t="str">
        <f t="shared" si="327"/>
        <v>GAL</v>
      </c>
      <c r="O3417" s="5">
        <v>120</v>
      </c>
    </row>
    <row r="3418" spans="2:15" x14ac:dyDescent="0.25">
      <c r="B3418" s="1" t="s">
        <v>0</v>
      </c>
      <c r="C3418" s="2" t="s">
        <v>1</v>
      </c>
      <c r="D3418" s="2" t="s">
        <v>2</v>
      </c>
      <c r="E3418" s="2" t="s">
        <v>4287</v>
      </c>
      <c r="F3418" s="3">
        <v>45281</v>
      </c>
      <c r="G3418" s="4">
        <f t="shared" si="326"/>
        <v>12</v>
      </c>
      <c r="H3418" s="4">
        <f t="shared" si="325"/>
        <v>2023</v>
      </c>
      <c r="I3418" s="2" t="s">
        <v>4</v>
      </c>
      <c r="J3418" s="2" t="s">
        <v>4290</v>
      </c>
      <c r="K3418" s="2" t="s">
        <v>83</v>
      </c>
      <c r="L3418" s="2" t="s">
        <v>84</v>
      </c>
      <c r="M3418" s="2" t="s">
        <v>85</v>
      </c>
      <c r="N3418" s="4" t="str">
        <f t="shared" si="327"/>
        <v>GAL</v>
      </c>
      <c r="O3418" s="5">
        <v>60</v>
      </c>
    </row>
    <row r="3419" spans="2:15" x14ac:dyDescent="0.25">
      <c r="B3419" s="1" t="s">
        <v>0</v>
      </c>
      <c r="C3419" s="2" t="s">
        <v>1</v>
      </c>
      <c r="D3419" s="2" t="s">
        <v>2</v>
      </c>
      <c r="E3419" s="2" t="s">
        <v>4287</v>
      </c>
      <c r="F3419" s="3">
        <v>45281</v>
      </c>
      <c r="G3419" s="4">
        <f t="shared" si="326"/>
        <v>12</v>
      </c>
      <c r="H3419" s="4">
        <f t="shared" si="325"/>
        <v>2023</v>
      </c>
      <c r="I3419" s="2" t="s">
        <v>4</v>
      </c>
      <c r="J3419" s="2" t="s">
        <v>4290</v>
      </c>
      <c r="K3419" s="2" t="s">
        <v>16</v>
      </c>
      <c r="L3419" s="2" t="s">
        <v>7</v>
      </c>
      <c r="M3419" s="2" t="s">
        <v>8</v>
      </c>
      <c r="N3419" s="4" t="str">
        <f t="shared" si="327"/>
        <v>GAL</v>
      </c>
      <c r="O3419" s="5">
        <v>120</v>
      </c>
    </row>
    <row r="3420" spans="2:15" x14ac:dyDescent="0.25">
      <c r="B3420" s="1" t="s">
        <v>0</v>
      </c>
      <c r="C3420" s="2" t="s">
        <v>1</v>
      </c>
      <c r="D3420" s="2" t="s">
        <v>2</v>
      </c>
      <c r="E3420" s="2" t="s">
        <v>1784</v>
      </c>
      <c r="F3420" s="3">
        <v>45286</v>
      </c>
      <c r="G3420" s="4">
        <f t="shared" si="326"/>
        <v>12</v>
      </c>
      <c r="H3420" s="4">
        <f t="shared" si="325"/>
        <v>2023</v>
      </c>
      <c r="I3420" s="2" t="s">
        <v>4</v>
      </c>
      <c r="J3420" s="2" t="s">
        <v>4291</v>
      </c>
      <c r="K3420" s="2" t="s">
        <v>1786</v>
      </c>
      <c r="L3420" s="2" t="s">
        <v>84</v>
      </c>
      <c r="M3420" s="2" t="s">
        <v>85</v>
      </c>
      <c r="N3420" s="4" t="str">
        <f t="shared" si="327"/>
        <v>GAL</v>
      </c>
      <c r="O3420" s="5">
        <v>55</v>
      </c>
    </row>
    <row r="3421" spans="2:15" x14ac:dyDescent="0.25">
      <c r="B3421" s="1" t="s">
        <v>0</v>
      </c>
      <c r="C3421" s="2" t="s">
        <v>1</v>
      </c>
      <c r="D3421" s="2" t="s">
        <v>2</v>
      </c>
      <c r="E3421" s="2" t="s">
        <v>1784</v>
      </c>
      <c r="F3421" s="3">
        <v>45286</v>
      </c>
      <c r="G3421" s="4">
        <f t="shared" si="326"/>
        <v>12</v>
      </c>
      <c r="H3421" s="4">
        <f t="shared" si="325"/>
        <v>2023</v>
      </c>
      <c r="I3421" s="2" t="s">
        <v>4</v>
      </c>
      <c r="J3421" s="2" t="s">
        <v>4291</v>
      </c>
      <c r="K3421" s="2" t="s">
        <v>28</v>
      </c>
      <c r="L3421" s="2" t="s">
        <v>29</v>
      </c>
      <c r="M3421" s="2" t="s">
        <v>30</v>
      </c>
      <c r="N3421" s="4" t="str">
        <f t="shared" si="327"/>
        <v>GAL</v>
      </c>
      <c r="O3421" s="5">
        <v>30</v>
      </c>
    </row>
    <row r="3422" spans="2:15" x14ac:dyDescent="0.25">
      <c r="B3422" s="1" t="s">
        <v>0</v>
      </c>
      <c r="C3422" s="2" t="s">
        <v>1</v>
      </c>
      <c r="D3422" s="2" t="s">
        <v>2</v>
      </c>
      <c r="E3422" s="2" t="s">
        <v>1784</v>
      </c>
      <c r="F3422" s="3">
        <v>45286</v>
      </c>
      <c r="G3422" s="4">
        <f t="shared" si="326"/>
        <v>12</v>
      </c>
      <c r="H3422" s="4">
        <f t="shared" si="325"/>
        <v>2023</v>
      </c>
      <c r="I3422" s="2" t="s">
        <v>4</v>
      </c>
      <c r="J3422" s="2" t="s">
        <v>4291</v>
      </c>
      <c r="K3422" s="2" t="s">
        <v>16</v>
      </c>
      <c r="L3422" s="2" t="s">
        <v>7</v>
      </c>
      <c r="M3422" s="2" t="s">
        <v>8</v>
      </c>
      <c r="N3422" s="4" t="str">
        <f t="shared" si="327"/>
        <v>GAL</v>
      </c>
      <c r="O3422" s="5">
        <v>55</v>
      </c>
    </row>
    <row r="3423" spans="2:15" x14ac:dyDescent="0.25">
      <c r="B3423" s="1" t="s">
        <v>88</v>
      </c>
      <c r="C3423" s="2" t="s">
        <v>89</v>
      </c>
      <c r="D3423" s="2" t="s">
        <v>1006</v>
      </c>
      <c r="E3423" s="2" t="s">
        <v>1007</v>
      </c>
      <c r="F3423" s="3">
        <v>45267</v>
      </c>
      <c r="G3423" s="4">
        <f t="shared" si="326"/>
        <v>12</v>
      </c>
      <c r="H3423" s="4">
        <f t="shared" si="325"/>
        <v>2023</v>
      </c>
      <c r="I3423" s="2" t="s">
        <v>4</v>
      </c>
      <c r="J3423" s="2" t="s">
        <v>4292</v>
      </c>
      <c r="K3423" s="2" t="s">
        <v>642</v>
      </c>
      <c r="L3423" s="2" t="s">
        <v>111</v>
      </c>
      <c r="M3423" s="2" t="s">
        <v>112</v>
      </c>
      <c r="N3423" s="4" t="str">
        <f t="shared" si="327"/>
        <v>GAL</v>
      </c>
      <c r="O3423" s="5">
        <v>180</v>
      </c>
    </row>
    <row r="3424" spans="2:15" x14ac:dyDescent="0.25">
      <c r="B3424" s="1" t="s">
        <v>88</v>
      </c>
      <c r="C3424" s="2" t="s">
        <v>89</v>
      </c>
      <c r="D3424" s="2" t="s">
        <v>1444</v>
      </c>
      <c r="E3424" s="2" t="s">
        <v>102</v>
      </c>
      <c r="F3424" s="3">
        <v>45266</v>
      </c>
      <c r="G3424" s="4">
        <f t="shared" si="326"/>
        <v>12</v>
      </c>
      <c r="H3424" s="4">
        <f t="shared" si="325"/>
        <v>2023</v>
      </c>
      <c r="I3424" s="2" t="s">
        <v>4</v>
      </c>
      <c r="J3424" s="2" t="s">
        <v>4293</v>
      </c>
      <c r="K3424" s="2" t="s">
        <v>1446</v>
      </c>
      <c r="L3424" s="2" t="s">
        <v>2581</v>
      </c>
      <c r="M3424" s="2" t="s">
        <v>1448</v>
      </c>
      <c r="N3424" s="4" t="str">
        <f t="shared" si="327"/>
        <v>GAL</v>
      </c>
      <c r="O3424" s="5">
        <v>360</v>
      </c>
    </row>
    <row r="3425" spans="2:15" x14ac:dyDescent="0.25">
      <c r="B3425" s="1" t="s">
        <v>88</v>
      </c>
      <c r="C3425" s="2" t="s">
        <v>89</v>
      </c>
      <c r="D3425" s="2" t="s">
        <v>3265</v>
      </c>
      <c r="E3425" s="2" t="s">
        <v>3266</v>
      </c>
      <c r="F3425" s="3">
        <v>45266</v>
      </c>
      <c r="G3425" s="4">
        <f t="shared" si="326"/>
        <v>12</v>
      </c>
      <c r="H3425" s="4">
        <f t="shared" si="325"/>
        <v>2023</v>
      </c>
      <c r="I3425" s="2" t="s">
        <v>4</v>
      </c>
      <c r="J3425" s="2" t="s">
        <v>4294</v>
      </c>
      <c r="K3425" s="2" t="s">
        <v>3268</v>
      </c>
      <c r="L3425" s="2" t="s">
        <v>3269</v>
      </c>
      <c r="M3425" s="2" t="s">
        <v>2576</v>
      </c>
      <c r="N3425" s="4" t="str">
        <f t="shared" si="327"/>
        <v>GAL</v>
      </c>
      <c r="O3425" s="5">
        <v>150</v>
      </c>
    </row>
    <row r="3426" spans="2:15" x14ac:dyDescent="0.25">
      <c r="B3426" s="1" t="s">
        <v>88</v>
      </c>
      <c r="C3426" s="2" t="s">
        <v>89</v>
      </c>
      <c r="D3426" s="2" t="s">
        <v>1047</v>
      </c>
      <c r="E3426" s="2" t="s">
        <v>1468</v>
      </c>
      <c r="F3426" s="3">
        <v>45272</v>
      </c>
      <c r="G3426" s="4">
        <f t="shared" si="326"/>
        <v>12</v>
      </c>
      <c r="H3426" s="4">
        <f t="shared" si="325"/>
        <v>2023</v>
      </c>
      <c r="I3426" s="2" t="s">
        <v>4</v>
      </c>
      <c r="J3426" s="2" t="s">
        <v>4295</v>
      </c>
      <c r="K3426" s="2" t="s">
        <v>83</v>
      </c>
      <c r="L3426" s="2" t="s">
        <v>518</v>
      </c>
      <c r="M3426" s="2" t="s">
        <v>85</v>
      </c>
      <c r="N3426" s="4" t="str">
        <f t="shared" si="327"/>
        <v>GAL</v>
      </c>
      <c r="O3426" s="5">
        <v>255</v>
      </c>
    </row>
    <row r="3427" spans="2:15" x14ac:dyDescent="0.25">
      <c r="B3427" s="1" t="s">
        <v>88</v>
      </c>
      <c r="C3427" s="2" t="s">
        <v>89</v>
      </c>
      <c r="D3427" s="2" t="s">
        <v>1047</v>
      </c>
      <c r="E3427" s="2" t="s">
        <v>1468</v>
      </c>
      <c r="F3427" s="3">
        <v>45272</v>
      </c>
      <c r="G3427" s="4">
        <f t="shared" si="326"/>
        <v>12</v>
      </c>
      <c r="H3427" s="4">
        <f t="shared" si="325"/>
        <v>2023</v>
      </c>
      <c r="I3427" s="2" t="s">
        <v>4</v>
      </c>
      <c r="J3427" s="2" t="s">
        <v>4295</v>
      </c>
      <c r="K3427" s="2" t="s">
        <v>1470</v>
      </c>
      <c r="L3427" s="2" t="s">
        <v>2558</v>
      </c>
      <c r="M3427" s="2" t="s">
        <v>1472</v>
      </c>
      <c r="N3427" s="4" t="str">
        <f t="shared" si="327"/>
        <v>GAL</v>
      </c>
      <c r="O3427" s="5">
        <v>125</v>
      </c>
    </row>
    <row r="3428" spans="2:15" x14ac:dyDescent="0.25">
      <c r="B3428" s="1" t="s">
        <v>88</v>
      </c>
      <c r="C3428" s="2" t="s">
        <v>89</v>
      </c>
      <c r="D3428" s="2" t="s">
        <v>2133</v>
      </c>
      <c r="E3428" s="2" t="s">
        <v>4296</v>
      </c>
      <c r="F3428" s="3">
        <v>45272</v>
      </c>
      <c r="G3428" s="4">
        <f t="shared" si="326"/>
        <v>12</v>
      </c>
      <c r="H3428" s="4">
        <f t="shared" si="325"/>
        <v>2023</v>
      </c>
      <c r="I3428" s="2" t="s">
        <v>4</v>
      </c>
      <c r="J3428" s="2" t="s">
        <v>4297</v>
      </c>
      <c r="K3428" s="2" t="s">
        <v>83</v>
      </c>
      <c r="L3428" s="2" t="s">
        <v>518</v>
      </c>
      <c r="M3428" s="2" t="s">
        <v>85</v>
      </c>
      <c r="N3428" s="4" t="str">
        <f t="shared" si="327"/>
        <v>GAL</v>
      </c>
      <c r="O3428" s="5">
        <v>180</v>
      </c>
    </row>
    <row r="3429" spans="2:15" x14ac:dyDescent="0.25">
      <c r="B3429" s="1" t="s">
        <v>88</v>
      </c>
      <c r="C3429" s="2" t="s">
        <v>89</v>
      </c>
      <c r="D3429" s="2" t="s">
        <v>2133</v>
      </c>
      <c r="E3429" s="2" t="s">
        <v>4296</v>
      </c>
      <c r="F3429" s="3">
        <v>45272</v>
      </c>
      <c r="G3429" s="4">
        <f t="shared" si="326"/>
        <v>12</v>
      </c>
      <c r="H3429" s="4">
        <f t="shared" si="325"/>
        <v>2023</v>
      </c>
      <c r="I3429" s="2" t="s">
        <v>4</v>
      </c>
      <c r="J3429" s="2" t="s">
        <v>4297</v>
      </c>
      <c r="K3429" s="2" t="s">
        <v>609</v>
      </c>
      <c r="L3429" s="2" t="s">
        <v>610</v>
      </c>
      <c r="M3429" s="2" t="s">
        <v>611</v>
      </c>
      <c r="N3429" s="4" t="str">
        <f t="shared" si="327"/>
        <v>GAL</v>
      </c>
      <c r="O3429" s="5">
        <v>540</v>
      </c>
    </row>
    <row r="3430" spans="2:15" x14ac:dyDescent="0.25">
      <c r="B3430" s="1" t="s">
        <v>88</v>
      </c>
      <c r="C3430" s="2" t="s">
        <v>89</v>
      </c>
      <c r="D3430" s="2" t="s">
        <v>140</v>
      </c>
      <c r="E3430" s="2" t="s">
        <v>141</v>
      </c>
      <c r="F3430" s="3">
        <v>45273</v>
      </c>
      <c r="G3430" s="4">
        <f t="shared" si="326"/>
        <v>12</v>
      </c>
      <c r="H3430" s="4">
        <f t="shared" si="325"/>
        <v>2023</v>
      </c>
      <c r="I3430" s="2" t="s">
        <v>4</v>
      </c>
      <c r="J3430" s="2" t="s">
        <v>4298</v>
      </c>
      <c r="K3430" s="2" t="s">
        <v>1464</v>
      </c>
      <c r="L3430" s="2" t="s">
        <v>1465</v>
      </c>
      <c r="M3430" s="2" t="s">
        <v>1466</v>
      </c>
      <c r="N3430" s="4" t="str">
        <f t="shared" si="327"/>
        <v>GAL</v>
      </c>
      <c r="O3430" s="5">
        <v>250</v>
      </c>
    </row>
    <row r="3431" spans="2:15" x14ac:dyDescent="0.25">
      <c r="B3431" s="1" t="s">
        <v>88</v>
      </c>
      <c r="C3431" s="2" t="s">
        <v>89</v>
      </c>
      <c r="D3431" s="2" t="s">
        <v>3548</v>
      </c>
      <c r="E3431" s="2" t="s">
        <v>102</v>
      </c>
      <c r="F3431" s="3">
        <v>45275</v>
      </c>
      <c r="G3431" s="4">
        <f t="shared" si="326"/>
        <v>12</v>
      </c>
      <c r="H3431" s="4">
        <f t="shared" si="325"/>
        <v>2023</v>
      </c>
      <c r="I3431" s="2" t="s">
        <v>4</v>
      </c>
      <c r="J3431" s="2" t="s">
        <v>4299</v>
      </c>
      <c r="K3431" s="2" t="s">
        <v>3550</v>
      </c>
      <c r="L3431" s="2" t="s">
        <v>3551</v>
      </c>
      <c r="M3431" s="2" t="s">
        <v>106</v>
      </c>
      <c r="N3431" s="4" t="str">
        <f t="shared" si="327"/>
        <v>LBS</v>
      </c>
      <c r="O3431" s="5">
        <v>9918</v>
      </c>
    </row>
    <row r="3432" spans="2:15" x14ac:dyDescent="0.25">
      <c r="B3432" s="1" t="s">
        <v>88</v>
      </c>
      <c r="C3432" s="2" t="s">
        <v>89</v>
      </c>
      <c r="D3432" s="2" t="s">
        <v>1092</v>
      </c>
      <c r="E3432" s="2" t="s">
        <v>141</v>
      </c>
      <c r="F3432" s="3">
        <v>45281</v>
      </c>
      <c r="G3432" s="4">
        <f t="shared" si="326"/>
        <v>12</v>
      </c>
      <c r="H3432" s="4">
        <f t="shared" si="325"/>
        <v>2023</v>
      </c>
      <c r="I3432" s="2" t="s">
        <v>4</v>
      </c>
      <c r="J3432" s="2" t="s">
        <v>4300</v>
      </c>
      <c r="K3432" s="2" t="s">
        <v>1014</v>
      </c>
      <c r="L3432" s="2" t="s">
        <v>472</v>
      </c>
      <c r="M3432" s="2" t="s">
        <v>473</v>
      </c>
      <c r="N3432" s="4" t="str">
        <f t="shared" si="327"/>
        <v>GAL</v>
      </c>
      <c r="O3432" s="5">
        <v>25</v>
      </c>
    </row>
    <row r="3433" spans="2:15" x14ac:dyDescent="0.25">
      <c r="B3433" s="1" t="s">
        <v>88</v>
      </c>
      <c r="C3433" s="2" t="s">
        <v>89</v>
      </c>
      <c r="D3433" s="2" t="s">
        <v>1444</v>
      </c>
      <c r="E3433" s="2" t="s">
        <v>102</v>
      </c>
      <c r="F3433" s="3">
        <v>45287</v>
      </c>
      <c r="G3433" s="4">
        <f t="shared" si="326"/>
        <v>12</v>
      </c>
      <c r="H3433" s="4">
        <f t="shared" si="325"/>
        <v>2023</v>
      </c>
      <c r="I3433" s="2" t="s">
        <v>4</v>
      </c>
      <c r="J3433" s="2" t="s">
        <v>4301</v>
      </c>
      <c r="K3433" s="2" t="s">
        <v>1446</v>
      </c>
      <c r="L3433" s="2" t="s">
        <v>2581</v>
      </c>
      <c r="M3433" s="2" t="s">
        <v>1448</v>
      </c>
      <c r="N3433" s="4" t="str">
        <f t="shared" si="327"/>
        <v>GAL</v>
      </c>
      <c r="O3433" s="5">
        <v>180</v>
      </c>
    </row>
    <row r="3434" spans="2:15" x14ac:dyDescent="0.25">
      <c r="B3434" s="1" t="s">
        <v>88</v>
      </c>
      <c r="C3434" s="2" t="s">
        <v>89</v>
      </c>
      <c r="D3434" s="2" t="s">
        <v>90</v>
      </c>
      <c r="E3434" s="2" t="s">
        <v>91</v>
      </c>
      <c r="F3434" s="3">
        <v>45289</v>
      </c>
      <c r="G3434" s="4">
        <f t="shared" si="326"/>
        <v>12</v>
      </c>
      <c r="H3434" s="4">
        <f t="shared" si="325"/>
        <v>2023</v>
      </c>
      <c r="I3434" s="2" t="s">
        <v>4</v>
      </c>
      <c r="J3434" s="2" t="s">
        <v>4302</v>
      </c>
      <c r="K3434" s="2" t="s">
        <v>2519</v>
      </c>
      <c r="L3434" s="2" t="s">
        <v>550</v>
      </c>
      <c r="M3434" s="2" t="s">
        <v>52</v>
      </c>
      <c r="N3434" s="4" t="str">
        <f t="shared" si="327"/>
        <v>GAL</v>
      </c>
      <c r="O3434" s="5">
        <v>250</v>
      </c>
    </row>
    <row r="3435" spans="2:15" x14ac:dyDescent="0.25">
      <c r="B3435" s="1" t="s">
        <v>154</v>
      </c>
      <c r="C3435" s="2" t="s">
        <v>155</v>
      </c>
      <c r="D3435" s="2" t="s">
        <v>178</v>
      </c>
      <c r="E3435" s="2" t="s">
        <v>179</v>
      </c>
      <c r="F3435" s="3">
        <v>45265</v>
      </c>
      <c r="G3435" s="4">
        <f t="shared" si="326"/>
        <v>12</v>
      </c>
      <c r="H3435" s="4">
        <f t="shared" si="325"/>
        <v>2023</v>
      </c>
      <c r="I3435" s="2" t="s">
        <v>4</v>
      </c>
      <c r="J3435" s="2" t="s">
        <v>4303</v>
      </c>
      <c r="K3435" s="2" t="s">
        <v>158</v>
      </c>
      <c r="L3435" s="2" t="s">
        <v>159</v>
      </c>
      <c r="M3435" s="2" t="s">
        <v>160</v>
      </c>
      <c r="N3435" s="4" t="str">
        <f t="shared" si="327"/>
        <v>GAL</v>
      </c>
      <c r="O3435" s="5">
        <v>180</v>
      </c>
    </row>
    <row r="3436" spans="2:15" x14ac:dyDescent="0.25">
      <c r="B3436" s="1" t="s">
        <v>154</v>
      </c>
      <c r="C3436" s="2" t="s">
        <v>155</v>
      </c>
      <c r="D3436" s="2" t="s">
        <v>178</v>
      </c>
      <c r="E3436" s="2" t="s">
        <v>179</v>
      </c>
      <c r="F3436" s="3">
        <v>45265</v>
      </c>
      <c r="G3436" s="4">
        <f t="shared" si="326"/>
        <v>12</v>
      </c>
      <c r="H3436" s="4">
        <f t="shared" si="325"/>
        <v>2023</v>
      </c>
      <c r="I3436" s="2" t="s">
        <v>4</v>
      </c>
      <c r="J3436" s="2" t="s">
        <v>4303</v>
      </c>
      <c r="K3436" s="2" t="s">
        <v>189</v>
      </c>
      <c r="L3436" s="2" t="s">
        <v>190</v>
      </c>
      <c r="M3436" s="2" t="s">
        <v>191</v>
      </c>
      <c r="N3436" s="4" t="str">
        <f t="shared" si="327"/>
        <v>GAL</v>
      </c>
      <c r="O3436" s="5">
        <v>180</v>
      </c>
    </row>
    <row r="3437" spans="2:15" x14ac:dyDescent="0.25">
      <c r="B3437" s="1" t="s">
        <v>154</v>
      </c>
      <c r="C3437" s="2" t="s">
        <v>155</v>
      </c>
      <c r="D3437" s="2" t="s">
        <v>623</v>
      </c>
      <c r="E3437" s="2" t="s">
        <v>624</v>
      </c>
      <c r="F3437" s="3">
        <v>45266</v>
      </c>
      <c r="G3437" s="4">
        <f t="shared" si="326"/>
        <v>12</v>
      </c>
      <c r="H3437" s="4">
        <f t="shared" si="325"/>
        <v>2023</v>
      </c>
      <c r="I3437" s="2" t="s">
        <v>4</v>
      </c>
      <c r="J3437" s="2" t="s">
        <v>4304</v>
      </c>
      <c r="K3437" s="2" t="s">
        <v>626</v>
      </c>
      <c r="L3437" s="2" t="s">
        <v>627</v>
      </c>
      <c r="M3437" s="2" t="s">
        <v>119</v>
      </c>
      <c r="N3437" s="4" t="str">
        <f t="shared" si="327"/>
        <v>TON</v>
      </c>
      <c r="O3437" s="5">
        <v>15.0075</v>
      </c>
    </row>
    <row r="3438" spans="2:15" x14ac:dyDescent="0.25">
      <c r="B3438" s="1" t="s">
        <v>154</v>
      </c>
      <c r="C3438" s="2" t="s">
        <v>155</v>
      </c>
      <c r="D3438" s="2" t="s">
        <v>623</v>
      </c>
      <c r="E3438" s="2" t="s">
        <v>624</v>
      </c>
      <c r="F3438" s="3">
        <v>45271</v>
      </c>
      <c r="G3438" s="4">
        <f t="shared" si="326"/>
        <v>12</v>
      </c>
      <c r="H3438" s="4">
        <f t="shared" si="325"/>
        <v>2023</v>
      </c>
      <c r="I3438" s="2" t="s">
        <v>4</v>
      </c>
      <c r="J3438" s="2" t="s">
        <v>4305</v>
      </c>
      <c r="K3438" s="2" t="s">
        <v>626</v>
      </c>
      <c r="L3438" s="2" t="s">
        <v>627</v>
      </c>
      <c r="M3438" s="2" t="s">
        <v>119</v>
      </c>
      <c r="N3438" s="4" t="str">
        <f t="shared" si="327"/>
        <v>TON</v>
      </c>
      <c r="O3438" s="5">
        <v>15.01</v>
      </c>
    </row>
    <row r="3439" spans="2:15" x14ac:dyDescent="0.25">
      <c r="B3439" s="1" t="s">
        <v>154</v>
      </c>
      <c r="C3439" s="2" t="s">
        <v>155</v>
      </c>
      <c r="D3439" s="2" t="s">
        <v>178</v>
      </c>
      <c r="E3439" s="2" t="s">
        <v>179</v>
      </c>
      <c r="F3439" s="3">
        <v>45272</v>
      </c>
      <c r="G3439" s="4">
        <f t="shared" si="326"/>
        <v>12</v>
      </c>
      <c r="H3439" s="4">
        <f t="shared" si="325"/>
        <v>2023</v>
      </c>
      <c r="I3439" s="2" t="s">
        <v>4</v>
      </c>
      <c r="J3439" s="2" t="s">
        <v>4306</v>
      </c>
      <c r="K3439" s="2" t="s">
        <v>189</v>
      </c>
      <c r="L3439" s="2" t="s">
        <v>190</v>
      </c>
      <c r="M3439" s="2" t="s">
        <v>191</v>
      </c>
      <c r="N3439" s="4" t="str">
        <f t="shared" si="327"/>
        <v>GAL</v>
      </c>
      <c r="O3439" s="5">
        <v>180</v>
      </c>
    </row>
    <row r="3440" spans="2:15" x14ac:dyDescent="0.25">
      <c r="B3440" s="1" t="s">
        <v>154</v>
      </c>
      <c r="C3440" s="2" t="s">
        <v>155</v>
      </c>
      <c r="D3440" s="2" t="s">
        <v>178</v>
      </c>
      <c r="E3440" s="2" t="s">
        <v>179</v>
      </c>
      <c r="F3440" s="3">
        <v>45272</v>
      </c>
      <c r="G3440" s="4">
        <f t="shared" si="326"/>
        <v>12</v>
      </c>
      <c r="H3440" s="4">
        <f t="shared" si="325"/>
        <v>2023</v>
      </c>
      <c r="I3440" s="2" t="s">
        <v>4</v>
      </c>
      <c r="J3440" s="2" t="s">
        <v>4307</v>
      </c>
      <c r="K3440" s="2" t="s">
        <v>1119</v>
      </c>
      <c r="L3440" s="2" t="s">
        <v>1023</v>
      </c>
      <c r="M3440" s="2" t="s">
        <v>1024</v>
      </c>
      <c r="N3440" s="4" t="str">
        <f t="shared" si="327"/>
        <v>GAL</v>
      </c>
      <c r="O3440" s="5">
        <v>180</v>
      </c>
    </row>
    <row r="3441" spans="2:15" x14ac:dyDescent="0.25">
      <c r="B3441" s="1" t="s">
        <v>154</v>
      </c>
      <c r="C3441" s="2" t="s">
        <v>155</v>
      </c>
      <c r="D3441" s="2" t="s">
        <v>628</v>
      </c>
      <c r="E3441" s="2" t="s">
        <v>629</v>
      </c>
      <c r="F3441" s="3">
        <v>45279</v>
      </c>
      <c r="G3441" s="4">
        <f t="shared" si="326"/>
        <v>12</v>
      </c>
      <c r="H3441" s="4">
        <f t="shared" si="325"/>
        <v>2023</v>
      </c>
      <c r="I3441" s="2" t="s">
        <v>4</v>
      </c>
      <c r="J3441" s="2" t="s">
        <v>4308</v>
      </c>
      <c r="K3441" s="2" t="s">
        <v>631</v>
      </c>
      <c r="L3441" s="2" t="s">
        <v>632</v>
      </c>
      <c r="M3441" s="2" t="s">
        <v>633</v>
      </c>
      <c r="N3441" s="4" t="str">
        <f t="shared" si="327"/>
        <v>GAL</v>
      </c>
      <c r="O3441" s="5">
        <v>750</v>
      </c>
    </row>
    <row r="3442" spans="2:15" x14ac:dyDescent="0.25">
      <c r="B3442" s="1" t="s">
        <v>645</v>
      </c>
      <c r="C3442" s="2" t="s">
        <v>155</v>
      </c>
      <c r="D3442" s="2" t="s">
        <v>646</v>
      </c>
      <c r="E3442" s="2" t="s">
        <v>647</v>
      </c>
      <c r="F3442" s="3">
        <v>45280</v>
      </c>
      <c r="G3442" s="4">
        <f t="shared" si="326"/>
        <v>12</v>
      </c>
      <c r="H3442" s="4">
        <f t="shared" si="325"/>
        <v>2023</v>
      </c>
      <c r="I3442" s="2" t="s">
        <v>4</v>
      </c>
      <c r="J3442" s="2" t="s">
        <v>4309</v>
      </c>
      <c r="K3442" s="2" t="s">
        <v>649</v>
      </c>
      <c r="L3442" s="2" t="s">
        <v>538</v>
      </c>
      <c r="M3442" s="2" t="s">
        <v>4243</v>
      </c>
      <c r="N3442" s="4" t="str">
        <f t="shared" si="327"/>
        <v>GAL</v>
      </c>
      <c r="O3442" s="5">
        <v>750</v>
      </c>
    </row>
    <row r="3443" spans="2:15" x14ac:dyDescent="0.25">
      <c r="B3443" s="1" t="s">
        <v>645</v>
      </c>
      <c r="C3443" s="2" t="s">
        <v>155</v>
      </c>
      <c r="D3443" s="2" t="s">
        <v>646</v>
      </c>
      <c r="E3443" s="2" t="s">
        <v>647</v>
      </c>
      <c r="F3443" s="3">
        <v>45280</v>
      </c>
      <c r="G3443" s="4">
        <f t="shared" si="326"/>
        <v>12</v>
      </c>
      <c r="H3443" s="4">
        <f t="shared" si="325"/>
        <v>2023</v>
      </c>
      <c r="I3443" s="2" t="s">
        <v>4</v>
      </c>
      <c r="J3443" s="2" t="s">
        <v>4309</v>
      </c>
      <c r="K3443" s="2" t="s">
        <v>158</v>
      </c>
      <c r="L3443" s="2" t="s">
        <v>159</v>
      </c>
      <c r="M3443" s="2" t="s">
        <v>160</v>
      </c>
      <c r="N3443" s="4" t="str">
        <f t="shared" si="327"/>
        <v>GAL</v>
      </c>
      <c r="O3443" s="5">
        <v>540</v>
      </c>
    </row>
    <row r="3444" spans="2:15" x14ac:dyDescent="0.25">
      <c r="B3444" s="1" t="s">
        <v>154</v>
      </c>
      <c r="C3444" s="2" t="s">
        <v>155</v>
      </c>
      <c r="D3444" s="2" t="s">
        <v>616</v>
      </c>
      <c r="E3444" s="2" t="s">
        <v>3586</v>
      </c>
      <c r="F3444" s="3">
        <v>45281</v>
      </c>
      <c r="G3444" s="4">
        <f t="shared" si="326"/>
        <v>12</v>
      </c>
      <c r="H3444" s="4">
        <f t="shared" si="325"/>
        <v>2023</v>
      </c>
      <c r="I3444" s="2" t="s">
        <v>4</v>
      </c>
      <c r="J3444" s="2" t="s">
        <v>4310</v>
      </c>
      <c r="K3444" s="2" t="s">
        <v>19</v>
      </c>
      <c r="L3444" s="2" t="s">
        <v>565</v>
      </c>
      <c r="M3444" s="2" t="s">
        <v>21</v>
      </c>
      <c r="N3444" s="4" t="str">
        <f t="shared" si="327"/>
        <v>GAL</v>
      </c>
      <c r="O3444" s="5">
        <v>90</v>
      </c>
    </row>
    <row r="3445" spans="2:15" x14ac:dyDescent="0.25">
      <c r="B3445" s="1" t="s">
        <v>154</v>
      </c>
      <c r="C3445" s="2" t="s">
        <v>155</v>
      </c>
      <c r="D3445" s="2" t="s">
        <v>623</v>
      </c>
      <c r="E3445" s="2" t="s">
        <v>624</v>
      </c>
      <c r="F3445" s="3">
        <v>45282</v>
      </c>
      <c r="G3445" s="4">
        <f t="shared" si="326"/>
        <v>12</v>
      </c>
      <c r="H3445" s="4">
        <f t="shared" si="325"/>
        <v>2023</v>
      </c>
      <c r="I3445" s="2" t="s">
        <v>4</v>
      </c>
      <c r="J3445" s="2" t="s">
        <v>4311</v>
      </c>
      <c r="K3445" s="2" t="s">
        <v>626</v>
      </c>
      <c r="L3445" s="2" t="s">
        <v>627</v>
      </c>
      <c r="M3445" s="2" t="s">
        <v>119</v>
      </c>
      <c r="N3445" s="4" t="str">
        <f t="shared" si="327"/>
        <v>TON</v>
      </c>
      <c r="O3445" s="5">
        <v>15.015000000000001</v>
      </c>
    </row>
    <row r="3446" spans="2:15" x14ac:dyDescent="0.25">
      <c r="B3446" s="1" t="s">
        <v>154</v>
      </c>
      <c r="C3446" s="2" t="s">
        <v>155</v>
      </c>
      <c r="D3446" s="2" t="s">
        <v>107</v>
      </c>
      <c r="E3446" s="2" t="s">
        <v>108</v>
      </c>
      <c r="F3446" s="3">
        <v>45286</v>
      </c>
      <c r="G3446" s="4">
        <f t="shared" si="326"/>
        <v>12</v>
      </c>
      <c r="H3446" s="4">
        <f t="shared" si="325"/>
        <v>2023</v>
      </c>
      <c r="I3446" s="2" t="s">
        <v>4</v>
      </c>
      <c r="J3446" s="2" t="s">
        <v>4312</v>
      </c>
      <c r="K3446" s="2" t="s">
        <v>1120</v>
      </c>
      <c r="L3446" s="2" t="s">
        <v>1568</v>
      </c>
      <c r="M3446" s="2" t="s">
        <v>131</v>
      </c>
      <c r="N3446" s="4" t="str">
        <f t="shared" si="327"/>
        <v>GAL</v>
      </c>
      <c r="O3446" s="5">
        <v>180</v>
      </c>
    </row>
    <row r="3447" spans="2:15" x14ac:dyDescent="0.25">
      <c r="B3447" s="1" t="s">
        <v>645</v>
      </c>
      <c r="C3447" s="2" t="s">
        <v>155</v>
      </c>
      <c r="D3447" s="2" t="s">
        <v>646</v>
      </c>
      <c r="E3447" s="2" t="s">
        <v>647</v>
      </c>
      <c r="F3447" s="3">
        <v>45287</v>
      </c>
      <c r="G3447" s="4">
        <f t="shared" si="326"/>
        <v>12</v>
      </c>
      <c r="H3447" s="4">
        <f t="shared" si="325"/>
        <v>2023</v>
      </c>
      <c r="I3447" s="2" t="s">
        <v>4</v>
      </c>
      <c r="J3447" s="2" t="s">
        <v>4313</v>
      </c>
      <c r="K3447" s="2" t="s">
        <v>189</v>
      </c>
      <c r="L3447" s="2" t="s">
        <v>190</v>
      </c>
      <c r="M3447" s="2" t="s">
        <v>191</v>
      </c>
      <c r="N3447" s="4" t="str">
        <f t="shared" si="327"/>
        <v>GAL</v>
      </c>
      <c r="O3447" s="5">
        <v>360</v>
      </c>
    </row>
    <row r="3448" spans="2:15" x14ac:dyDescent="0.25">
      <c r="B3448" s="1" t="s">
        <v>154</v>
      </c>
      <c r="C3448" s="2" t="s">
        <v>155</v>
      </c>
      <c r="D3448" s="2" t="s">
        <v>623</v>
      </c>
      <c r="E3448" s="2" t="s">
        <v>624</v>
      </c>
      <c r="F3448" s="3">
        <v>45289</v>
      </c>
      <c r="G3448" s="4">
        <f t="shared" si="326"/>
        <v>12</v>
      </c>
      <c r="H3448" s="4">
        <f t="shared" si="325"/>
        <v>2023</v>
      </c>
      <c r="I3448" s="2" t="s">
        <v>4</v>
      </c>
      <c r="J3448" s="2" t="s">
        <v>4314</v>
      </c>
      <c r="K3448" s="2" t="s">
        <v>626</v>
      </c>
      <c r="L3448" s="2" t="s">
        <v>627</v>
      </c>
      <c r="M3448" s="2" t="s">
        <v>119</v>
      </c>
      <c r="N3448" s="4" t="str">
        <f t="shared" si="327"/>
        <v>TON</v>
      </c>
      <c r="O3448" s="5">
        <v>9.9975000000000005</v>
      </c>
    </row>
    <row r="3449" spans="2:15" x14ac:dyDescent="0.25">
      <c r="B3449" s="1" t="s">
        <v>1520</v>
      </c>
      <c r="C3449" s="2" t="s">
        <v>196</v>
      </c>
      <c r="D3449" s="2" t="s">
        <v>3761</v>
      </c>
      <c r="E3449" s="2" t="s">
        <v>3762</v>
      </c>
      <c r="F3449" s="3">
        <v>45261</v>
      </c>
      <c r="G3449" s="4">
        <f t="shared" si="326"/>
        <v>12</v>
      </c>
      <c r="H3449" s="4">
        <f t="shared" si="325"/>
        <v>2023</v>
      </c>
      <c r="I3449" s="2" t="s">
        <v>4</v>
      </c>
      <c r="J3449" s="2" t="s">
        <v>4315</v>
      </c>
      <c r="K3449" s="2" t="s">
        <v>329</v>
      </c>
      <c r="L3449" s="2" t="s">
        <v>330</v>
      </c>
      <c r="M3449" s="2" t="s">
        <v>119</v>
      </c>
      <c r="N3449" s="4" t="str">
        <f t="shared" si="327"/>
        <v>TON</v>
      </c>
      <c r="O3449" s="5">
        <v>7.5</v>
      </c>
    </row>
    <row r="3450" spans="2:15" x14ac:dyDescent="0.25">
      <c r="B3450" s="1" t="s">
        <v>1520</v>
      </c>
      <c r="C3450" s="2" t="s">
        <v>196</v>
      </c>
      <c r="D3450" s="2" t="s">
        <v>232</v>
      </c>
      <c r="E3450" s="2" t="s">
        <v>778</v>
      </c>
      <c r="F3450" s="3">
        <v>45261</v>
      </c>
      <c r="G3450" s="4">
        <f t="shared" si="326"/>
        <v>12</v>
      </c>
      <c r="H3450" s="4">
        <f t="shared" si="325"/>
        <v>2023</v>
      </c>
      <c r="I3450" s="2" t="s">
        <v>4</v>
      </c>
      <c r="J3450" s="2" t="s">
        <v>4316</v>
      </c>
      <c r="K3450" s="2" t="s">
        <v>205</v>
      </c>
      <c r="L3450" s="2" t="s">
        <v>206</v>
      </c>
      <c r="M3450" s="2" t="s">
        <v>119</v>
      </c>
      <c r="N3450" s="4" t="str">
        <f t="shared" si="327"/>
        <v>TON</v>
      </c>
      <c r="O3450" s="5">
        <v>5</v>
      </c>
    </row>
    <row r="3451" spans="2:15" x14ac:dyDescent="0.25">
      <c r="B3451" s="1" t="s">
        <v>1520</v>
      </c>
      <c r="C3451" s="2" t="s">
        <v>196</v>
      </c>
      <c r="D3451" s="2" t="s">
        <v>4037</v>
      </c>
      <c r="E3451" s="2" t="s">
        <v>4317</v>
      </c>
      <c r="F3451" s="3">
        <v>45261</v>
      </c>
      <c r="G3451" s="4">
        <f t="shared" si="326"/>
        <v>12</v>
      </c>
      <c r="H3451" s="4">
        <f t="shared" ref="H3451:H3514" si="328">+YEAR(F3451)</f>
        <v>2023</v>
      </c>
      <c r="I3451" s="2" t="s">
        <v>4</v>
      </c>
      <c r="J3451" s="2" t="s">
        <v>4318</v>
      </c>
      <c r="K3451" s="2" t="s">
        <v>329</v>
      </c>
      <c r="L3451" s="2" t="s">
        <v>330</v>
      </c>
      <c r="M3451" s="2" t="s">
        <v>119</v>
      </c>
      <c r="N3451" s="4" t="str">
        <f t="shared" si="327"/>
        <v>TON</v>
      </c>
      <c r="O3451" s="5">
        <v>5.01</v>
      </c>
    </row>
    <row r="3452" spans="2:15" x14ac:dyDescent="0.25">
      <c r="B3452" s="1" t="s">
        <v>1520</v>
      </c>
      <c r="C3452" s="2" t="s">
        <v>196</v>
      </c>
      <c r="D3452" s="2" t="s">
        <v>321</v>
      </c>
      <c r="E3452" s="2" t="s">
        <v>353</v>
      </c>
      <c r="F3452" s="3">
        <v>45261</v>
      </c>
      <c r="G3452" s="4">
        <f t="shared" si="326"/>
        <v>12</v>
      </c>
      <c r="H3452" s="4">
        <f t="shared" si="328"/>
        <v>2023</v>
      </c>
      <c r="I3452" s="2" t="s">
        <v>4</v>
      </c>
      <c r="J3452" s="2" t="s">
        <v>4319</v>
      </c>
      <c r="K3452" s="2" t="s">
        <v>394</v>
      </c>
      <c r="L3452" s="2" t="s">
        <v>395</v>
      </c>
      <c r="M3452" s="2" t="s">
        <v>119</v>
      </c>
      <c r="N3452" s="4" t="str">
        <f t="shared" si="327"/>
        <v>TON</v>
      </c>
      <c r="O3452" s="5">
        <v>10.012499999999999</v>
      </c>
    </row>
    <row r="3453" spans="2:15" x14ac:dyDescent="0.25">
      <c r="B3453" s="1" t="s">
        <v>1520</v>
      </c>
      <c r="C3453" s="2" t="s">
        <v>196</v>
      </c>
      <c r="D3453" s="2" t="s">
        <v>1343</v>
      </c>
      <c r="E3453" s="2" t="s">
        <v>3729</v>
      </c>
      <c r="F3453" s="3">
        <v>45261</v>
      </c>
      <c r="G3453" s="4">
        <f t="shared" si="326"/>
        <v>12</v>
      </c>
      <c r="H3453" s="4">
        <f t="shared" si="328"/>
        <v>2023</v>
      </c>
      <c r="I3453" s="2" t="s">
        <v>4</v>
      </c>
      <c r="J3453" s="2" t="s">
        <v>4320</v>
      </c>
      <c r="K3453" s="2" t="s">
        <v>390</v>
      </c>
      <c r="L3453" s="2" t="s">
        <v>391</v>
      </c>
      <c r="M3453" s="2" t="s">
        <v>119</v>
      </c>
      <c r="N3453" s="4" t="str">
        <f t="shared" si="327"/>
        <v>TON</v>
      </c>
      <c r="O3453" s="5">
        <v>15.02</v>
      </c>
    </row>
    <row r="3454" spans="2:15" x14ac:dyDescent="0.25">
      <c r="B3454" s="1" t="s">
        <v>1520</v>
      </c>
      <c r="C3454" s="2" t="s">
        <v>196</v>
      </c>
      <c r="D3454" s="2" t="s">
        <v>1343</v>
      </c>
      <c r="E3454" s="2" t="s">
        <v>3729</v>
      </c>
      <c r="F3454" s="3">
        <v>45261</v>
      </c>
      <c r="G3454" s="4">
        <f t="shared" si="326"/>
        <v>12</v>
      </c>
      <c r="H3454" s="4">
        <f t="shared" si="328"/>
        <v>2023</v>
      </c>
      <c r="I3454" s="2" t="s">
        <v>4</v>
      </c>
      <c r="J3454" s="2" t="s">
        <v>4320</v>
      </c>
      <c r="K3454" s="2" t="s">
        <v>3726</v>
      </c>
      <c r="L3454" s="2" t="s">
        <v>3727</v>
      </c>
      <c r="M3454" s="2" t="s">
        <v>145</v>
      </c>
      <c r="N3454" s="4" t="str">
        <f t="shared" si="327"/>
        <v>GAL</v>
      </c>
      <c r="O3454" s="5">
        <v>5.625</v>
      </c>
    </row>
    <row r="3455" spans="2:15" x14ac:dyDescent="0.25">
      <c r="B3455" s="1" t="s">
        <v>1520</v>
      </c>
      <c r="C3455" s="2" t="s">
        <v>196</v>
      </c>
      <c r="D3455" s="2" t="s">
        <v>227</v>
      </c>
      <c r="E3455" s="2" t="s">
        <v>757</v>
      </c>
      <c r="F3455" s="3">
        <v>45261</v>
      </c>
      <c r="G3455" s="4">
        <f t="shared" si="326"/>
        <v>12</v>
      </c>
      <c r="H3455" s="4">
        <f t="shared" si="328"/>
        <v>2023</v>
      </c>
      <c r="I3455" s="2" t="s">
        <v>4</v>
      </c>
      <c r="J3455" s="2" t="s">
        <v>4321</v>
      </c>
      <c r="K3455" s="2" t="s">
        <v>915</v>
      </c>
      <c r="L3455" s="2" t="s">
        <v>916</v>
      </c>
      <c r="M3455" s="2" t="s">
        <v>917</v>
      </c>
      <c r="N3455" s="4" t="str">
        <f t="shared" si="327"/>
        <v>GAL</v>
      </c>
      <c r="O3455" s="5">
        <v>60</v>
      </c>
    </row>
    <row r="3456" spans="2:15" x14ac:dyDescent="0.25">
      <c r="B3456" s="1" t="s">
        <v>1520</v>
      </c>
      <c r="C3456" s="2" t="s">
        <v>196</v>
      </c>
      <c r="D3456" s="2" t="s">
        <v>248</v>
      </c>
      <c r="E3456" s="2" t="s">
        <v>4322</v>
      </c>
      <c r="F3456" s="3">
        <v>45261</v>
      </c>
      <c r="G3456" s="4">
        <f t="shared" si="326"/>
        <v>12</v>
      </c>
      <c r="H3456" s="4">
        <f t="shared" si="328"/>
        <v>2023</v>
      </c>
      <c r="I3456" s="2" t="s">
        <v>4</v>
      </c>
      <c r="J3456" s="2" t="s">
        <v>4323</v>
      </c>
      <c r="K3456" s="2" t="s">
        <v>3606</v>
      </c>
      <c r="L3456" s="2" t="s">
        <v>3607</v>
      </c>
      <c r="M3456" s="2" t="s">
        <v>119</v>
      </c>
      <c r="N3456" s="4" t="str">
        <f t="shared" si="327"/>
        <v>TON</v>
      </c>
      <c r="O3456" s="5">
        <v>10</v>
      </c>
    </row>
    <row r="3457" spans="2:15" x14ac:dyDescent="0.25">
      <c r="B3457" s="1" t="s">
        <v>1520</v>
      </c>
      <c r="C3457" s="2" t="s">
        <v>196</v>
      </c>
      <c r="D3457" s="2" t="s">
        <v>289</v>
      </c>
      <c r="E3457" s="2" t="s">
        <v>2380</v>
      </c>
      <c r="F3457" s="3">
        <v>45261</v>
      </c>
      <c r="G3457" s="4">
        <f t="shared" si="326"/>
        <v>12</v>
      </c>
      <c r="H3457" s="4">
        <f t="shared" si="328"/>
        <v>2023</v>
      </c>
      <c r="I3457" s="2" t="s">
        <v>4</v>
      </c>
      <c r="J3457" s="2" t="s">
        <v>4324</v>
      </c>
      <c r="K3457" s="2" t="s">
        <v>292</v>
      </c>
      <c r="L3457" s="2" t="s">
        <v>293</v>
      </c>
      <c r="M3457" s="2" t="s">
        <v>119</v>
      </c>
      <c r="N3457" s="4" t="str">
        <f t="shared" si="327"/>
        <v>TON</v>
      </c>
      <c r="O3457" s="5">
        <v>1</v>
      </c>
    </row>
    <row r="3458" spans="2:15" x14ac:dyDescent="0.25">
      <c r="B3458" s="1" t="s">
        <v>1520</v>
      </c>
      <c r="C3458" s="2" t="s">
        <v>196</v>
      </c>
      <c r="D3458" s="2" t="s">
        <v>1343</v>
      </c>
      <c r="E3458" s="2" t="s">
        <v>4151</v>
      </c>
      <c r="F3458" s="3">
        <v>45261</v>
      </c>
      <c r="G3458" s="4">
        <f t="shared" si="326"/>
        <v>12</v>
      </c>
      <c r="H3458" s="4">
        <f t="shared" si="328"/>
        <v>2023</v>
      </c>
      <c r="I3458" s="2" t="s">
        <v>4</v>
      </c>
      <c r="J3458" s="2" t="s">
        <v>4325</v>
      </c>
      <c r="K3458" s="2" t="s">
        <v>390</v>
      </c>
      <c r="L3458" s="2" t="s">
        <v>391</v>
      </c>
      <c r="M3458" s="2" t="s">
        <v>119</v>
      </c>
      <c r="N3458" s="4" t="str">
        <f t="shared" si="327"/>
        <v>TON</v>
      </c>
      <c r="O3458" s="5">
        <v>15.0075</v>
      </c>
    </row>
    <row r="3459" spans="2:15" x14ac:dyDescent="0.25">
      <c r="B3459" s="1" t="s">
        <v>1520</v>
      </c>
      <c r="C3459" s="2" t="s">
        <v>196</v>
      </c>
      <c r="D3459" s="2" t="s">
        <v>1343</v>
      </c>
      <c r="E3459" s="2" t="s">
        <v>4151</v>
      </c>
      <c r="F3459" s="3">
        <v>45261</v>
      </c>
      <c r="G3459" s="4">
        <f t="shared" ref="G3459:G3522" si="329">+MONTH(F3459)</f>
        <v>12</v>
      </c>
      <c r="H3459" s="4">
        <f t="shared" si="328"/>
        <v>2023</v>
      </c>
      <c r="I3459" s="2" t="s">
        <v>4</v>
      </c>
      <c r="J3459" s="2" t="s">
        <v>4325</v>
      </c>
      <c r="K3459" s="2" t="s">
        <v>3726</v>
      </c>
      <c r="L3459" s="2" t="s">
        <v>3727</v>
      </c>
      <c r="M3459" s="2" t="s">
        <v>145</v>
      </c>
      <c r="N3459" s="4" t="str">
        <f t="shared" ref="N3459:N3522" si="330">+LEFT(M3459,3)</f>
        <v>GAL</v>
      </c>
      <c r="O3459" s="5">
        <v>5.625</v>
      </c>
    </row>
    <row r="3460" spans="2:15" x14ac:dyDescent="0.25">
      <c r="B3460" s="6" t="s">
        <v>1520</v>
      </c>
      <c r="C3460" s="7" t="s">
        <v>196</v>
      </c>
      <c r="D3460" s="8" t="s">
        <v>440</v>
      </c>
      <c r="E3460" s="8" t="s">
        <v>441</v>
      </c>
      <c r="F3460" s="12">
        <v>45261</v>
      </c>
      <c r="G3460" s="10">
        <f t="shared" si="329"/>
        <v>12</v>
      </c>
      <c r="H3460" s="10">
        <f t="shared" si="328"/>
        <v>2023</v>
      </c>
      <c r="I3460" s="8" t="s">
        <v>4</v>
      </c>
      <c r="J3460" s="7" t="s">
        <v>4326</v>
      </c>
      <c r="K3460" s="8" t="s">
        <v>4222</v>
      </c>
      <c r="L3460" s="8" t="s">
        <v>4223</v>
      </c>
      <c r="M3460" s="8" t="s">
        <v>119</v>
      </c>
      <c r="N3460" s="10" t="str">
        <f t="shared" si="330"/>
        <v>TON</v>
      </c>
      <c r="O3460" s="11">
        <v>5</v>
      </c>
    </row>
    <row r="3461" spans="2:15" x14ac:dyDescent="0.25">
      <c r="B3461" s="1" t="s">
        <v>1520</v>
      </c>
      <c r="C3461" s="2" t="s">
        <v>196</v>
      </c>
      <c r="D3461" s="2" t="s">
        <v>114</v>
      </c>
      <c r="E3461" s="2" t="s">
        <v>3751</v>
      </c>
      <c r="F3461" s="3">
        <v>45264</v>
      </c>
      <c r="G3461" s="4">
        <f t="shared" si="329"/>
        <v>12</v>
      </c>
      <c r="H3461" s="4">
        <f t="shared" si="328"/>
        <v>2023</v>
      </c>
      <c r="I3461" s="2" t="s">
        <v>4</v>
      </c>
      <c r="J3461" s="2" t="s">
        <v>4327</v>
      </c>
      <c r="K3461" s="2" t="s">
        <v>117</v>
      </c>
      <c r="L3461" s="2" t="s">
        <v>118</v>
      </c>
      <c r="M3461" s="2" t="s">
        <v>119</v>
      </c>
      <c r="N3461" s="4" t="str">
        <f t="shared" si="330"/>
        <v>TON</v>
      </c>
      <c r="O3461" s="5">
        <v>10.005000000000001</v>
      </c>
    </row>
    <row r="3462" spans="2:15" x14ac:dyDescent="0.25">
      <c r="B3462" s="1" t="s">
        <v>1520</v>
      </c>
      <c r="C3462" s="2" t="s">
        <v>196</v>
      </c>
      <c r="D3462" s="2" t="s">
        <v>317</v>
      </c>
      <c r="E3462" s="2" t="s">
        <v>319</v>
      </c>
      <c r="F3462" s="3">
        <v>45264</v>
      </c>
      <c r="G3462" s="4">
        <f t="shared" si="329"/>
        <v>12</v>
      </c>
      <c r="H3462" s="4">
        <f t="shared" si="328"/>
        <v>2023</v>
      </c>
      <c r="I3462" s="2" t="s">
        <v>4</v>
      </c>
      <c r="J3462" s="2" t="s">
        <v>4328</v>
      </c>
      <c r="K3462" s="2" t="s">
        <v>117</v>
      </c>
      <c r="L3462" s="2" t="s">
        <v>118</v>
      </c>
      <c r="M3462" s="2" t="s">
        <v>119</v>
      </c>
      <c r="N3462" s="4" t="str">
        <f t="shared" si="330"/>
        <v>TON</v>
      </c>
      <c r="O3462" s="5">
        <v>13.25</v>
      </c>
    </row>
    <row r="3463" spans="2:15" x14ac:dyDescent="0.25">
      <c r="B3463" s="1" t="s">
        <v>1520</v>
      </c>
      <c r="C3463" s="2" t="s">
        <v>196</v>
      </c>
      <c r="D3463" s="2" t="s">
        <v>452</v>
      </c>
      <c r="E3463" s="2" t="s">
        <v>453</v>
      </c>
      <c r="F3463" s="3">
        <v>45264</v>
      </c>
      <c r="G3463" s="4">
        <f t="shared" si="329"/>
        <v>12</v>
      </c>
      <c r="H3463" s="4">
        <f t="shared" si="328"/>
        <v>2023</v>
      </c>
      <c r="I3463" s="2" t="s">
        <v>4</v>
      </c>
      <c r="J3463" s="2" t="s">
        <v>4329</v>
      </c>
      <c r="K3463" s="2" t="s">
        <v>117</v>
      </c>
      <c r="L3463" s="2" t="s">
        <v>118</v>
      </c>
      <c r="M3463" s="2" t="s">
        <v>119</v>
      </c>
      <c r="N3463" s="4" t="str">
        <f t="shared" si="330"/>
        <v>TON</v>
      </c>
      <c r="O3463" s="5">
        <v>3.4975000000000001</v>
      </c>
    </row>
    <row r="3464" spans="2:15" x14ac:dyDescent="0.25">
      <c r="B3464" s="1" t="s">
        <v>1520</v>
      </c>
      <c r="C3464" s="2" t="s">
        <v>196</v>
      </c>
      <c r="D3464" s="2" t="s">
        <v>215</v>
      </c>
      <c r="E3464" s="2" t="s">
        <v>313</v>
      </c>
      <c r="F3464" s="3">
        <v>45264</v>
      </c>
      <c r="G3464" s="4">
        <f t="shared" si="329"/>
        <v>12</v>
      </c>
      <c r="H3464" s="4">
        <f t="shared" si="328"/>
        <v>2023</v>
      </c>
      <c r="I3464" s="2" t="s">
        <v>4</v>
      </c>
      <c r="J3464" s="2" t="s">
        <v>4330</v>
      </c>
      <c r="K3464" s="2" t="s">
        <v>329</v>
      </c>
      <c r="L3464" s="2" t="s">
        <v>330</v>
      </c>
      <c r="M3464" s="2" t="s">
        <v>119</v>
      </c>
      <c r="N3464" s="4" t="str">
        <f t="shared" si="330"/>
        <v>TON</v>
      </c>
      <c r="O3464" s="5">
        <v>3.5</v>
      </c>
    </row>
    <row r="3465" spans="2:15" x14ac:dyDescent="0.25">
      <c r="B3465" s="1" t="s">
        <v>1520</v>
      </c>
      <c r="C3465" s="2" t="s">
        <v>196</v>
      </c>
      <c r="D3465" s="2" t="s">
        <v>475</v>
      </c>
      <c r="E3465" s="2" t="s">
        <v>476</v>
      </c>
      <c r="F3465" s="3">
        <v>45264</v>
      </c>
      <c r="G3465" s="4">
        <f t="shared" si="329"/>
        <v>12</v>
      </c>
      <c r="H3465" s="4">
        <f t="shared" si="328"/>
        <v>2023</v>
      </c>
      <c r="I3465" s="2" t="s">
        <v>4</v>
      </c>
      <c r="J3465" s="2" t="s">
        <v>4331</v>
      </c>
      <c r="K3465" s="2" t="s">
        <v>478</v>
      </c>
      <c r="L3465" s="2" t="s">
        <v>479</v>
      </c>
      <c r="M3465" s="2" t="s">
        <v>119</v>
      </c>
      <c r="N3465" s="4" t="str">
        <f t="shared" si="330"/>
        <v>TON</v>
      </c>
      <c r="O3465" s="5">
        <v>10.0025</v>
      </c>
    </row>
    <row r="3466" spans="2:15" x14ac:dyDescent="0.25">
      <c r="B3466" s="1" t="s">
        <v>1520</v>
      </c>
      <c r="C3466" s="2" t="s">
        <v>196</v>
      </c>
      <c r="D3466" s="2" t="s">
        <v>317</v>
      </c>
      <c r="E3466" s="2" t="s">
        <v>744</v>
      </c>
      <c r="F3466" s="3">
        <v>45264</v>
      </c>
      <c r="G3466" s="4">
        <f t="shared" si="329"/>
        <v>12</v>
      </c>
      <c r="H3466" s="4">
        <f t="shared" si="328"/>
        <v>2023</v>
      </c>
      <c r="I3466" s="2" t="s">
        <v>4</v>
      </c>
      <c r="J3466" s="2" t="s">
        <v>4332</v>
      </c>
      <c r="K3466" s="2" t="s">
        <v>117</v>
      </c>
      <c r="L3466" s="2" t="s">
        <v>118</v>
      </c>
      <c r="M3466" s="2" t="s">
        <v>119</v>
      </c>
      <c r="N3466" s="4" t="str">
        <f t="shared" si="330"/>
        <v>TON</v>
      </c>
      <c r="O3466" s="5">
        <v>15.012499999999999</v>
      </c>
    </row>
    <row r="3467" spans="2:15" x14ac:dyDescent="0.25">
      <c r="B3467" s="1" t="s">
        <v>1520</v>
      </c>
      <c r="C3467" s="2" t="s">
        <v>196</v>
      </c>
      <c r="D3467" s="2" t="s">
        <v>280</v>
      </c>
      <c r="E3467" s="2" t="s">
        <v>868</v>
      </c>
      <c r="F3467" s="3">
        <v>45264</v>
      </c>
      <c r="G3467" s="4">
        <f t="shared" si="329"/>
        <v>12</v>
      </c>
      <c r="H3467" s="4">
        <f t="shared" si="328"/>
        <v>2023</v>
      </c>
      <c r="I3467" s="2" t="s">
        <v>4</v>
      </c>
      <c r="J3467" s="2" t="s">
        <v>4333</v>
      </c>
      <c r="K3467" s="2" t="s">
        <v>117</v>
      </c>
      <c r="L3467" s="2" t="s">
        <v>118</v>
      </c>
      <c r="M3467" s="2" t="s">
        <v>119</v>
      </c>
      <c r="N3467" s="4" t="str">
        <f t="shared" si="330"/>
        <v>TON</v>
      </c>
      <c r="O3467" s="5">
        <v>9.0124999999999993</v>
      </c>
    </row>
    <row r="3468" spans="2:15" x14ac:dyDescent="0.25">
      <c r="B3468" s="1" t="s">
        <v>1520</v>
      </c>
      <c r="C3468" s="2" t="s">
        <v>196</v>
      </c>
      <c r="D3468" s="2" t="s">
        <v>310</v>
      </c>
      <c r="E3468" s="2" t="s">
        <v>355</v>
      </c>
      <c r="F3468" s="3">
        <v>45264</v>
      </c>
      <c r="G3468" s="4">
        <f t="shared" si="329"/>
        <v>12</v>
      </c>
      <c r="H3468" s="4">
        <f t="shared" si="328"/>
        <v>2023</v>
      </c>
      <c r="I3468" s="2" t="s">
        <v>4</v>
      </c>
      <c r="J3468" s="2" t="s">
        <v>4334</v>
      </c>
      <c r="K3468" s="2" t="s">
        <v>329</v>
      </c>
      <c r="L3468" s="2" t="s">
        <v>330</v>
      </c>
      <c r="M3468" s="2" t="s">
        <v>119</v>
      </c>
      <c r="N3468" s="4" t="str">
        <f t="shared" si="330"/>
        <v>TON</v>
      </c>
      <c r="O3468" s="5">
        <v>2</v>
      </c>
    </row>
    <row r="3469" spans="2:15" x14ac:dyDescent="0.25">
      <c r="B3469" s="1" t="s">
        <v>1520</v>
      </c>
      <c r="C3469" s="2" t="s">
        <v>196</v>
      </c>
      <c r="D3469" s="2" t="s">
        <v>303</v>
      </c>
      <c r="E3469" s="2" t="s">
        <v>501</v>
      </c>
      <c r="F3469" s="3">
        <v>45264</v>
      </c>
      <c r="G3469" s="4">
        <f t="shared" si="329"/>
        <v>12</v>
      </c>
      <c r="H3469" s="4">
        <f t="shared" si="328"/>
        <v>2023</v>
      </c>
      <c r="I3469" s="2" t="s">
        <v>4</v>
      </c>
      <c r="J3469" s="2" t="s">
        <v>4335</v>
      </c>
      <c r="K3469" s="2" t="s">
        <v>2635</v>
      </c>
      <c r="L3469" s="2" t="s">
        <v>2636</v>
      </c>
      <c r="M3469" s="2" t="s">
        <v>119</v>
      </c>
      <c r="N3469" s="4" t="str">
        <f t="shared" si="330"/>
        <v>TON</v>
      </c>
      <c r="O3469" s="5">
        <v>7.5</v>
      </c>
    </row>
    <row r="3470" spans="2:15" x14ac:dyDescent="0.25">
      <c r="B3470" s="1" t="s">
        <v>1520</v>
      </c>
      <c r="C3470" s="2" t="s">
        <v>196</v>
      </c>
      <c r="D3470" s="2" t="s">
        <v>303</v>
      </c>
      <c r="E3470" s="2" t="s">
        <v>501</v>
      </c>
      <c r="F3470" s="3">
        <v>45264</v>
      </c>
      <c r="G3470" s="4">
        <f t="shared" si="329"/>
        <v>12</v>
      </c>
      <c r="H3470" s="4">
        <f t="shared" si="328"/>
        <v>2023</v>
      </c>
      <c r="I3470" s="2" t="s">
        <v>4</v>
      </c>
      <c r="J3470" s="2" t="s">
        <v>4335</v>
      </c>
      <c r="K3470" s="2" t="s">
        <v>3726</v>
      </c>
      <c r="L3470" s="2" t="s">
        <v>3727</v>
      </c>
      <c r="M3470" s="2" t="s">
        <v>145</v>
      </c>
      <c r="N3470" s="4" t="str">
        <f t="shared" si="330"/>
        <v>GAL</v>
      </c>
      <c r="O3470" s="5">
        <v>2.8125</v>
      </c>
    </row>
    <row r="3471" spans="2:15" x14ac:dyDescent="0.25">
      <c r="B3471" s="1" t="s">
        <v>1520</v>
      </c>
      <c r="C3471" s="2" t="s">
        <v>196</v>
      </c>
      <c r="D3471" s="2" t="s">
        <v>4098</v>
      </c>
      <c r="E3471" s="2" t="s">
        <v>695</v>
      </c>
      <c r="F3471" s="3">
        <v>45264</v>
      </c>
      <c r="G3471" s="4">
        <f t="shared" si="329"/>
        <v>12</v>
      </c>
      <c r="H3471" s="4">
        <f t="shared" si="328"/>
        <v>2023</v>
      </c>
      <c r="I3471" s="2" t="s">
        <v>4</v>
      </c>
      <c r="J3471" s="2" t="s">
        <v>4336</v>
      </c>
      <c r="K3471" s="2" t="s">
        <v>329</v>
      </c>
      <c r="L3471" s="2" t="s">
        <v>330</v>
      </c>
      <c r="M3471" s="2" t="s">
        <v>119</v>
      </c>
      <c r="N3471" s="4" t="str">
        <f t="shared" si="330"/>
        <v>TON</v>
      </c>
      <c r="O3471" s="5">
        <v>2.9874999999999998</v>
      </c>
    </row>
    <row r="3472" spans="2:15" x14ac:dyDescent="0.25">
      <c r="B3472" s="1" t="s">
        <v>1520</v>
      </c>
      <c r="C3472" s="2" t="s">
        <v>196</v>
      </c>
      <c r="D3472" s="2" t="s">
        <v>4046</v>
      </c>
      <c r="E3472" s="2" t="s">
        <v>102</v>
      </c>
      <c r="F3472" s="3">
        <v>45265</v>
      </c>
      <c r="G3472" s="4">
        <f t="shared" si="329"/>
        <v>12</v>
      </c>
      <c r="H3472" s="4">
        <f t="shared" si="328"/>
        <v>2023</v>
      </c>
      <c r="I3472" s="2" t="s">
        <v>4</v>
      </c>
      <c r="J3472" s="2" t="s">
        <v>4337</v>
      </c>
      <c r="K3472" s="2" t="s">
        <v>268</v>
      </c>
      <c r="L3472" s="2" t="s">
        <v>269</v>
      </c>
      <c r="M3472" s="2" t="s">
        <v>119</v>
      </c>
      <c r="N3472" s="4" t="str">
        <f t="shared" si="330"/>
        <v>TON</v>
      </c>
      <c r="O3472" s="5">
        <v>0.15</v>
      </c>
    </row>
    <row r="3473" spans="2:15" x14ac:dyDescent="0.25">
      <c r="B3473" s="1" t="s">
        <v>1520</v>
      </c>
      <c r="C3473" s="2" t="s">
        <v>196</v>
      </c>
      <c r="D3473" s="2" t="s">
        <v>207</v>
      </c>
      <c r="E3473" s="2" t="s">
        <v>208</v>
      </c>
      <c r="F3473" s="3">
        <v>45265</v>
      </c>
      <c r="G3473" s="4">
        <f t="shared" si="329"/>
        <v>12</v>
      </c>
      <c r="H3473" s="4">
        <f t="shared" si="328"/>
        <v>2023</v>
      </c>
      <c r="I3473" s="2" t="s">
        <v>4</v>
      </c>
      <c r="J3473" s="2" t="s">
        <v>4338</v>
      </c>
      <c r="K3473" s="2" t="s">
        <v>236</v>
      </c>
      <c r="L3473" s="2" t="s">
        <v>237</v>
      </c>
      <c r="M3473" s="2" t="s">
        <v>119</v>
      </c>
      <c r="N3473" s="4" t="str">
        <f t="shared" si="330"/>
        <v>TON</v>
      </c>
      <c r="O3473" s="5">
        <v>5</v>
      </c>
    </row>
    <row r="3474" spans="2:15" x14ac:dyDescent="0.25">
      <c r="B3474" s="1" t="s">
        <v>1520</v>
      </c>
      <c r="C3474" s="2" t="s">
        <v>196</v>
      </c>
      <c r="D3474" s="2" t="s">
        <v>207</v>
      </c>
      <c r="E3474" s="2" t="s">
        <v>208</v>
      </c>
      <c r="F3474" s="3">
        <v>45265</v>
      </c>
      <c r="G3474" s="4">
        <f t="shared" si="329"/>
        <v>12</v>
      </c>
      <c r="H3474" s="4">
        <f t="shared" si="328"/>
        <v>2023</v>
      </c>
      <c r="I3474" s="2" t="s">
        <v>4</v>
      </c>
      <c r="J3474" s="2" t="s">
        <v>4339</v>
      </c>
      <c r="K3474" s="2" t="s">
        <v>205</v>
      </c>
      <c r="L3474" s="2" t="s">
        <v>206</v>
      </c>
      <c r="M3474" s="2" t="s">
        <v>119</v>
      </c>
      <c r="N3474" s="4" t="str">
        <f t="shared" si="330"/>
        <v>TON</v>
      </c>
      <c r="O3474" s="5">
        <v>2.5</v>
      </c>
    </row>
    <row r="3475" spans="2:15" x14ac:dyDescent="0.25">
      <c r="B3475" s="1" t="s">
        <v>1520</v>
      </c>
      <c r="C3475" s="2" t="s">
        <v>196</v>
      </c>
      <c r="D3475" s="2" t="s">
        <v>679</v>
      </c>
      <c r="E3475" s="2" t="s">
        <v>359</v>
      </c>
      <c r="F3475" s="3">
        <v>45265</v>
      </c>
      <c r="G3475" s="4">
        <f t="shared" si="329"/>
        <v>12</v>
      </c>
      <c r="H3475" s="4">
        <f t="shared" si="328"/>
        <v>2023</v>
      </c>
      <c r="I3475" s="2" t="s">
        <v>4</v>
      </c>
      <c r="J3475" s="2" t="s">
        <v>4340</v>
      </c>
      <c r="K3475" s="2" t="s">
        <v>122</v>
      </c>
      <c r="L3475" s="2" t="s">
        <v>123</v>
      </c>
      <c r="M3475" s="2" t="s">
        <v>119</v>
      </c>
      <c r="N3475" s="4" t="str">
        <f t="shared" si="330"/>
        <v>TON</v>
      </c>
      <c r="O3475" s="5">
        <v>2.5</v>
      </c>
    </row>
    <row r="3476" spans="2:15" x14ac:dyDescent="0.25">
      <c r="B3476" s="1" t="s">
        <v>1520</v>
      </c>
      <c r="C3476" s="2" t="s">
        <v>196</v>
      </c>
      <c r="D3476" s="2" t="s">
        <v>276</v>
      </c>
      <c r="E3476" s="2" t="s">
        <v>692</v>
      </c>
      <c r="F3476" s="3">
        <v>45265</v>
      </c>
      <c r="G3476" s="4">
        <f t="shared" si="329"/>
        <v>12</v>
      </c>
      <c r="H3476" s="4">
        <f t="shared" si="328"/>
        <v>2023</v>
      </c>
      <c r="I3476" s="2" t="s">
        <v>4</v>
      </c>
      <c r="J3476" s="2" t="s">
        <v>4341</v>
      </c>
      <c r="K3476" s="2" t="s">
        <v>329</v>
      </c>
      <c r="L3476" s="2" t="s">
        <v>330</v>
      </c>
      <c r="M3476" s="2" t="s">
        <v>119</v>
      </c>
      <c r="N3476" s="4" t="str">
        <f t="shared" si="330"/>
        <v>TON</v>
      </c>
      <c r="O3476" s="5">
        <v>10</v>
      </c>
    </row>
    <row r="3477" spans="2:15" x14ac:dyDescent="0.25">
      <c r="B3477" s="1" t="s">
        <v>1520</v>
      </c>
      <c r="C3477" s="2" t="s">
        <v>196</v>
      </c>
      <c r="D3477" s="2" t="s">
        <v>276</v>
      </c>
      <c r="E3477" s="2" t="s">
        <v>692</v>
      </c>
      <c r="F3477" s="3">
        <v>45265</v>
      </c>
      <c r="G3477" s="4">
        <f t="shared" si="329"/>
        <v>12</v>
      </c>
      <c r="H3477" s="4">
        <f t="shared" si="328"/>
        <v>2023</v>
      </c>
      <c r="I3477" s="2" t="s">
        <v>4</v>
      </c>
      <c r="J3477" s="2" t="s">
        <v>4341</v>
      </c>
      <c r="K3477" s="2" t="s">
        <v>3726</v>
      </c>
      <c r="L3477" s="2" t="s">
        <v>3727</v>
      </c>
      <c r="M3477" s="2" t="s">
        <v>145</v>
      </c>
      <c r="N3477" s="4" t="str">
        <f t="shared" si="330"/>
        <v>GAL</v>
      </c>
      <c r="O3477" s="5">
        <v>3.75</v>
      </c>
    </row>
    <row r="3478" spans="2:15" x14ac:dyDescent="0.25">
      <c r="B3478" s="1" t="s">
        <v>1520</v>
      </c>
      <c r="C3478" s="2" t="s">
        <v>196</v>
      </c>
      <c r="D3478" s="2" t="s">
        <v>276</v>
      </c>
      <c r="E3478" s="2" t="s">
        <v>682</v>
      </c>
      <c r="F3478" s="3">
        <v>45265</v>
      </c>
      <c r="G3478" s="4">
        <f t="shared" si="329"/>
        <v>12</v>
      </c>
      <c r="H3478" s="4">
        <f t="shared" si="328"/>
        <v>2023</v>
      </c>
      <c r="I3478" s="2" t="s">
        <v>4</v>
      </c>
      <c r="J3478" s="2" t="s">
        <v>4342</v>
      </c>
      <c r="K3478" s="2" t="s">
        <v>329</v>
      </c>
      <c r="L3478" s="2" t="s">
        <v>330</v>
      </c>
      <c r="M3478" s="2" t="s">
        <v>119</v>
      </c>
      <c r="N3478" s="4" t="str">
        <f t="shared" si="330"/>
        <v>TON</v>
      </c>
      <c r="O3478" s="5">
        <v>10.02</v>
      </c>
    </row>
    <row r="3479" spans="2:15" x14ac:dyDescent="0.25">
      <c r="B3479" s="1" t="s">
        <v>1520</v>
      </c>
      <c r="C3479" s="2" t="s">
        <v>196</v>
      </c>
      <c r="D3479" s="2" t="s">
        <v>197</v>
      </c>
      <c r="E3479" s="2" t="s">
        <v>198</v>
      </c>
      <c r="F3479" s="3">
        <v>45265</v>
      </c>
      <c r="G3479" s="4">
        <f t="shared" si="329"/>
        <v>12</v>
      </c>
      <c r="H3479" s="4">
        <f t="shared" si="328"/>
        <v>2023</v>
      </c>
      <c r="I3479" s="2" t="s">
        <v>4</v>
      </c>
      <c r="J3479" s="2" t="s">
        <v>4343</v>
      </c>
      <c r="K3479" s="2" t="s">
        <v>307</v>
      </c>
      <c r="L3479" s="2" t="s">
        <v>308</v>
      </c>
      <c r="M3479" s="2" t="s">
        <v>119</v>
      </c>
      <c r="N3479" s="4" t="str">
        <f t="shared" si="330"/>
        <v>TON</v>
      </c>
      <c r="O3479" s="5">
        <v>4</v>
      </c>
    </row>
    <row r="3480" spans="2:15" x14ac:dyDescent="0.25">
      <c r="B3480" s="1" t="s">
        <v>1520</v>
      </c>
      <c r="C3480" s="2" t="s">
        <v>196</v>
      </c>
      <c r="D3480" s="2" t="s">
        <v>276</v>
      </c>
      <c r="E3480" s="2" t="s">
        <v>682</v>
      </c>
      <c r="F3480" s="3">
        <v>45265</v>
      </c>
      <c r="G3480" s="4">
        <f t="shared" si="329"/>
        <v>12</v>
      </c>
      <c r="H3480" s="4">
        <f t="shared" si="328"/>
        <v>2023</v>
      </c>
      <c r="I3480" s="2" t="s">
        <v>4</v>
      </c>
      <c r="J3480" s="2" t="s">
        <v>4344</v>
      </c>
      <c r="K3480" s="2" t="s">
        <v>329</v>
      </c>
      <c r="L3480" s="2" t="s">
        <v>330</v>
      </c>
      <c r="M3480" s="2" t="s">
        <v>119</v>
      </c>
      <c r="N3480" s="4" t="str">
        <f t="shared" si="330"/>
        <v>TON</v>
      </c>
      <c r="O3480" s="5">
        <v>10</v>
      </c>
    </row>
    <row r="3481" spans="2:15" x14ac:dyDescent="0.25">
      <c r="B3481" s="1" t="s">
        <v>1520</v>
      </c>
      <c r="C3481" s="2" t="s">
        <v>196</v>
      </c>
      <c r="D3481" s="2" t="s">
        <v>280</v>
      </c>
      <c r="E3481" s="2" t="s">
        <v>364</v>
      </c>
      <c r="F3481" s="3">
        <v>45265</v>
      </c>
      <c r="G3481" s="4">
        <f t="shared" si="329"/>
        <v>12</v>
      </c>
      <c r="H3481" s="4">
        <f t="shared" si="328"/>
        <v>2023</v>
      </c>
      <c r="I3481" s="2" t="s">
        <v>4</v>
      </c>
      <c r="J3481" s="2" t="s">
        <v>4345</v>
      </c>
      <c r="K3481" s="2" t="s">
        <v>117</v>
      </c>
      <c r="L3481" s="2" t="s">
        <v>118</v>
      </c>
      <c r="M3481" s="2" t="s">
        <v>119</v>
      </c>
      <c r="N3481" s="4" t="str">
        <f t="shared" si="330"/>
        <v>TON</v>
      </c>
      <c r="O3481" s="5">
        <v>12.51</v>
      </c>
    </row>
    <row r="3482" spans="2:15" x14ac:dyDescent="0.25">
      <c r="B3482" s="1" t="s">
        <v>1520</v>
      </c>
      <c r="C3482" s="2" t="s">
        <v>196</v>
      </c>
      <c r="D3482" s="2" t="s">
        <v>265</v>
      </c>
      <c r="E3482" s="2" t="s">
        <v>266</v>
      </c>
      <c r="F3482" s="3">
        <v>45265</v>
      </c>
      <c r="G3482" s="4">
        <f t="shared" si="329"/>
        <v>12</v>
      </c>
      <c r="H3482" s="4">
        <f t="shared" si="328"/>
        <v>2023</v>
      </c>
      <c r="I3482" s="2" t="s">
        <v>4</v>
      </c>
      <c r="J3482" s="2" t="s">
        <v>4346</v>
      </c>
      <c r="K3482" s="2" t="s">
        <v>268</v>
      </c>
      <c r="L3482" s="2" t="s">
        <v>269</v>
      </c>
      <c r="M3482" s="2" t="s">
        <v>119</v>
      </c>
      <c r="N3482" s="4" t="str">
        <f t="shared" si="330"/>
        <v>TON</v>
      </c>
      <c r="O3482" s="5">
        <v>0.3</v>
      </c>
    </row>
    <row r="3483" spans="2:15" x14ac:dyDescent="0.25">
      <c r="B3483" s="1" t="s">
        <v>1520</v>
      </c>
      <c r="C3483" s="2" t="s">
        <v>196</v>
      </c>
      <c r="D3483" s="2" t="s">
        <v>270</v>
      </c>
      <c r="E3483" s="2" t="s">
        <v>699</v>
      </c>
      <c r="F3483" s="3">
        <v>45265</v>
      </c>
      <c r="G3483" s="4">
        <f t="shared" si="329"/>
        <v>12</v>
      </c>
      <c r="H3483" s="4">
        <f t="shared" si="328"/>
        <v>2023</v>
      </c>
      <c r="I3483" s="2" t="s">
        <v>4</v>
      </c>
      <c r="J3483" s="2" t="s">
        <v>4347</v>
      </c>
      <c r="K3483" s="2" t="s">
        <v>329</v>
      </c>
      <c r="L3483" s="2" t="s">
        <v>330</v>
      </c>
      <c r="M3483" s="2" t="s">
        <v>119</v>
      </c>
      <c r="N3483" s="4" t="str">
        <f t="shared" si="330"/>
        <v>TON</v>
      </c>
      <c r="O3483" s="5">
        <v>1.25</v>
      </c>
    </row>
    <row r="3484" spans="2:15" x14ac:dyDescent="0.25">
      <c r="B3484" s="1" t="s">
        <v>1520</v>
      </c>
      <c r="C3484" s="2" t="s">
        <v>196</v>
      </c>
      <c r="D3484" s="2" t="s">
        <v>227</v>
      </c>
      <c r="E3484" s="2" t="s">
        <v>757</v>
      </c>
      <c r="F3484" s="3">
        <v>45265</v>
      </c>
      <c r="G3484" s="4">
        <f t="shared" si="329"/>
        <v>12</v>
      </c>
      <c r="H3484" s="4">
        <f t="shared" si="328"/>
        <v>2023</v>
      </c>
      <c r="I3484" s="2" t="s">
        <v>4</v>
      </c>
      <c r="J3484" s="2" t="s">
        <v>4348</v>
      </c>
      <c r="K3484" s="2" t="s">
        <v>122</v>
      </c>
      <c r="L3484" s="2" t="s">
        <v>123</v>
      </c>
      <c r="M3484" s="2" t="s">
        <v>119</v>
      </c>
      <c r="N3484" s="4" t="str">
        <f t="shared" si="330"/>
        <v>TON</v>
      </c>
      <c r="O3484" s="5">
        <v>8.5024999999999995</v>
      </c>
    </row>
    <row r="3485" spans="2:15" x14ac:dyDescent="0.25">
      <c r="B3485" s="1" t="s">
        <v>1520</v>
      </c>
      <c r="C3485" s="2" t="s">
        <v>196</v>
      </c>
      <c r="D3485" s="2" t="s">
        <v>348</v>
      </c>
      <c r="E3485" s="2" t="s">
        <v>349</v>
      </c>
      <c r="F3485" s="3">
        <v>45265</v>
      </c>
      <c r="G3485" s="4">
        <f t="shared" si="329"/>
        <v>12</v>
      </c>
      <c r="H3485" s="4">
        <f t="shared" si="328"/>
        <v>2023</v>
      </c>
      <c r="I3485" s="2" t="s">
        <v>4</v>
      </c>
      <c r="J3485" s="2" t="s">
        <v>4349</v>
      </c>
      <c r="K3485" s="2" t="s">
        <v>1188</v>
      </c>
      <c r="L3485" s="2" t="s">
        <v>541</v>
      </c>
      <c r="M3485" s="2" t="s">
        <v>27</v>
      </c>
      <c r="N3485" s="4" t="str">
        <f t="shared" si="330"/>
        <v>GAL</v>
      </c>
      <c r="O3485" s="5">
        <v>250</v>
      </c>
    </row>
    <row r="3486" spans="2:15" x14ac:dyDescent="0.25">
      <c r="B3486" s="1" t="s">
        <v>1520</v>
      </c>
      <c r="C3486" s="2" t="s">
        <v>196</v>
      </c>
      <c r="D3486" s="2" t="s">
        <v>294</v>
      </c>
      <c r="E3486" s="2" t="s">
        <v>295</v>
      </c>
      <c r="F3486" s="3">
        <v>45265</v>
      </c>
      <c r="G3486" s="4">
        <f t="shared" si="329"/>
        <v>12</v>
      </c>
      <c r="H3486" s="4">
        <f t="shared" si="328"/>
        <v>2023</v>
      </c>
      <c r="I3486" s="2" t="s">
        <v>4</v>
      </c>
      <c r="J3486" s="2" t="s">
        <v>4350</v>
      </c>
      <c r="K3486" s="2" t="s">
        <v>834</v>
      </c>
      <c r="L3486" s="2" t="s">
        <v>835</v>
      </c>
      <c r="M3486" s="2" t="s">
        <v>119</v>
      </c>
      <c r="N3486" s="4" t="str">
        <f t="shared" si="330"/>
        <v>TON</v>
      </c>
      <c r="O3486" s="5">
        <v>1.25</v>
      </c>
    </row>
    <row r="3487" spans="2:15" x14ac:dyDescent="0.25">
      <c r="B3487" s="1" t="s">
        <v>1520</v>
      </c>
      <c r="C3487" s="2" t="s">
        <v>196</v>
      </c>
      <c r="D3487" s="2" t="s">
        <v>348</v>
      </c>
      <c r="E3487" s="2" t="s">
        <v>3781</v>
      </c>
      <c r="F3487" s="3">
        <v>45265</v>
      </c>
      <c r="G3487" s="4">
        <f t="shared" si="329"/>
        <v>12</v>
      </c>
      <c r="H3487" s="4">
        <f t="shared" si="328"/>
        <v>2023</v>
      </c>
      <c r="I3487" s="2" t="s">
        <v>4</v>
      </c>
      <c r="J3487" s="2" t="s">
        <v>4351</v>
      </c>
      <c r="K3487" s="2" t="s">
        <v>1188</v>
      </c>
      <c r="L3487" s="2" t="s">
        <v>541</v>
      </c>
      <c r="M3487" s="2" t="s">
        <v>27</v>
      </c>
      <c r="N3487" s="4" t="str">
        <f t="shared" si="330"/>
        <v>GAL</v>
      </c>
      <c r="O3487" s="5">
        <v>250</v>
      </c>
    </row>
    <row r="3488" spans="2:15" x14ac:dyDescent="0.25">
      <c r="B3488" s="1" t="s">
        <v>1520</v>
      </c>
      <c r="C3488" s="2" t="s">
        <v>196</v>
      </c>
      <c r="D3488" s="2" t="s">
        <v>280</v>
      </c>
      <c r="E3488" s="2" t="s">
        <v>281</v>
      </c>
      <c r="F3488" s="3">
        <v>45266</v>
      </c>
      <c r="G3488" s="4">
        <f t="shared" si="329"/>
        <v>12</v>
      </c>
      <c r="H3488" s="4">
        <f t="shared" si="328"/>
        <v>2023</v>
      </c>
      <c r="I3488" s="2" t="s">
        <v>4</v>
      </c>
      <c r="J3488" s="2" t="s">
        <v>4352</v>
      </c>
      <c r="K3488" s="2" t="s">
        <v>117</v>
      </c>
      <c r="L3488" s="2" t="s">
        <v>118</v>
      </c>
      <c r="M3488" s="2" t="s">
        <v>119</v>
      </c>
      <c r="N3488" s="4" t="str">
        <f t="shared" si="330"/>
        <v>TON</v>
      </c>
      <c r="O3488" s="5">
        <v>10.005000000000001</v>
      </c>
    </row>
    <row r="3489" spans="2:15" x14ac:dyDescent="0.25">
      <c r="B3489" s="1" t="s">
        <v>1520</v>
      </c>
      <c r="C3489" s="2" t="s">
        <v>196</v>
      </c>
      <c r="D3489" s="2" t="s">
        <v>418</v>
      </c>
      <c r="E3489" s="2" t="s">
        <v>419</v>
      </c>
      <c r="F3489" s="3">
        <v>45266</v>
      </c>
      <c r="G3489" s="4">
        <f t="shared" si="329"/>
        <v>12</v>
      </c>
      <c r="H3489" s="4">
        <f t="shared" si="328"/>
        <v>2023</v>
      </c>
      <c r="I3489" s="2" t="s">
        <v>4</v>
      </c>
      <c r="J3489" s="2" t="s">
        <v>4353</v>
      </c>
      <c r="K3489" s="2" t="s">
        <v>205</v>
      </c>
      <c r="L3489" s="2" t="s">
        <v>206</v>
      </c>
      <c r="M3489" s="2" t="s">
        <v>119</v>
      </c>
      <c r="N3489" s="4" t="str">
        <f t="shared" si="330"/>
        <v>TON</v>
      </c>
      <c r="O3489" s="5">
        <v>11.25</v>
      </c>
    </row>
    <row r="3490" spans="2:15" x14ac:dyDescent="0.25">
      <c r="B3490" s="1" t="s">
        <v>1520</v>
      </c>
      <c r="C3490" s="2" t="s">
        <v>196</v>
      </c>
      <c r="D3490" s="2" t="s">
        <v>280</v>
      </c>
      <c r="E3490" s="2" t="s">
        <v>699</v>
      </c>
      <c r="F3490" s="3">
        <v>45266</v>
      </c>
      <c r="G3490" s="4">
        <f t="shared" si="329"/>
        <v>12</v>
      </c>
      <c r="H3490" s="4">
        <f t="shared" si="328"/>
        <v>2023</v>
      </c>
      <c r="I3490" s="2" t="s">
        <v>4</v>
      </c>
      <c r="J3490" s="2" t="s">
        <v>4354</v>
      </c>
      <c r="K3490" s="2" t="s">
        <v>117</v>
      </c>
      <c r="L3490" s="2" t="s">
        <v>118</v>
      </c>
      <c r="M3490" s="2" t="s">
        <v>119</v>
      </c>
      <c r="N3490" s="4" t="str">
        <f t="shared" si="330"/>
        <v>TON</v>
      </c>
      <c r="O3490" s="5">
        <v>9.9975000000000005</v>
      </c>
    </row>
    <row r="3491" spans="2:15" x14ac:dyDescent="0.25">
      <c r="B3491" s="1" t="s">
        <v>1520</v>
      </c>
      <c r="C3491" s="2" t="s">
        <v>196</v>
      </c>
      <c r="D3491" s="2" t="s">
        <v>458</v>
      </c>
      <c r="E3491" s="2" t="s">
        <v>699</v>
      </c>
      <c r="F3491" s="3">
        <v>45266</v>
      </c>
      <c r="G3491" s="4">
        <f t="shared" si="329"/>
        <v>12</v>
      </c>
      <c r="H3491" s="4">
        <f t="shared" si="328"/>
        <v>2023</v>
      </c>
      <c r="I3491" s="2" t="s">
        <v>4</v>
      </c>
      <c r="J3491" s="2" t="s">
        <v>4355</v>
      </c>
      <c r="K3491" s="2" t="s">
        <v>122</v>
      </c>
      <c r="L3491" s="2" t="s">
        <v>123</v>
      </c>
      <c r="M3491" s="2" t="s">
        <v>119</v>
      </c>
      <c r="N3491" s="4" t="str">
        <f t="shared" si="330"/>
        <v>TON</v>
      </c>
      <c r="O3491" s="5">
        <v>5.0149999999999997</v>
      </c>
    </row>
    <row r="3492" spans="2:15" x14ac:dyDescent="0.25">
      <c r="B3492" s="1" t="s">
        <v>1520</v>
      </c>
      <c r="C3492" s="2" t="s">
        <v>196</v>
      </c>
      <c r="D3492" s="2" t="s">
        <v>1343</v>
      </c>
      <c r="E3492" s="2" t="s">
        <v>3724</v>
      </c>
      <c r="F3492" s="3">
        <v>45266</v>
      </c>
      <c r="G3492" s="4">
        <f t="shared" si="329"/>
        <v>12</v>
      </c>
      <c r="H3492" s="4">
        <f t="shared" si="328"/>
        <v>2023</v>
      </c>
      <c r="I3492" s="2" t="s">
        <v>4</v>
      </c>
      <c r="J3492" s="2" t="s">
        <v>4356</v>
      </c>
      <c r="K3492" s="2" t="s">
        <v>390</v>
      </c>
      <c r="L3492" s="2" t="s">
        <v>391</v>
      </c>
      <c r="M3492" s="2" t="s">
        <v>119</v>
      </c>
      <c r="N3492" s="4" t="str">
        <f t="shared" si="330"/>
        <v>TON</v>
      </c>
      <c r="O3492" s="5">
        <v>10.1325</v>
      </c>
    </row>
    <row r="3493" spans="2:15" x14ac:dyDescent="0.25">
      <c r="B3493" s="1" t="s">
        <v>1520</v>
      </c>
      <c r="C3493" s="2" t="s">
        <v>196</v>
      </c>
      <c r="D3493" s="2" t="s">
        <v>1343</v>
      </c>
      <c r="E3493" s="2" t="s">
        <v>3724</v>
      </c>
      <c r="F3493" s="3">
        <v>45266</v>
      </c>
      <c r="G3493" s="4">
        <f t="shared" si="329"/>
        <v>12</v>
      </c>
      <c r="H3493" s="4">
        <f t="shared" si="328"/>
        <v>2023</v>
      </c>
      <c r="I3493" s="2" t="s">
        <v>4</v>
      </c>
      <c r="J3493" s="2" t="s">
        <v>4356</v>
      </c>
      <c r="K3493" s="2" t="s">
        <v>3726</v>
      </c>
      <c r="L3493" s="2" t="s">
        <v>3727</v>
      </c>
      <c r="M3493" s="2" t="s">
        <v>145</v>
      </c>
      <c r="N3493" s="4" t="str">
        <f t="shared" si="330"/>
        <v>GAL</v>
      </c>
      <c r="O3493" s="5">
        <v>3.75</v>
      </c>
    </row>
    <row r="3494" spans="2:15" x14ac:dyDescent="0.25">
      <c r="B3494" s="1" t="s">
        <v>1520</v>
      </c>
      <c r="C3494" s="2" t="s">
        <v>196</v>
      </c>
      <c r="D3494" s="2" t="s">
        <v>418</v>
      </c>
      <c r="E3494" s="2" t="s">
        <v>419</v>
      </c>
      <c r="F3494" s="3">
        <v>45266</v>
      </c>
      <c r="G3494" s="4">
        <f t="shared" si="329"/>
        <v>12</v>
      </c>
      <c r="H3494" s="4">
        <f t="shared" si="328"/>
        <v>2023</v>
      </c>
      <c r="I3494" s="2" t="s">
        <v>4</v>
      </c>
      <c r="J3494" s="2" t="s">
        <v>4357</v>
      </c>
      <c r="K3494" s="2" t="s">
        <v>334</v>
      </c>
      <c r="L3494" s="2" t="s">
        <v>335</v>
      </c>
      <c r="M3494" s="2" t="s">
        <v>119</v>
      </c>
      <c r="N3494" s="4" t="str">
        <f t="shared" si="330"/>
        <v>TON</v>
      </c>
      <c r="O3494" s="5">
        <v>4.0599999999999996</v>
      </c>
    </row>
    <row r="3495" spans="2:15" x14ac:dyDescent="0.25">
      <c r="B3495" s="1" t="s">
        <v>1520</v>
      </c>
      <c r="C3495" s="2" t="s">
        <v>196</v>
      </c>
      <c r="D3495" s="2" t="s">
        <v>273</v>
      </c>
      <c r="E3495" s="2" t="s">
        <v>976</v>
      </c>
      <c r="F3495" s="3">
        <v>45266</v>
      </c>
      <c r="G3495" s="4">
        <f t="shared" si="329"/>
        <v>12</v>
      </c>
      <c r="H3495" s="4">
        <f t="shared" si="328"/>
        <v>2023</v>
      </c>
      <c r="I3495" s="2" t="s">
        <v>4</v>
      </c>
      <c r="J3495" s="2" t="s">
        <v>4358</v>
      </c>
      <c r="K3495" s="2" t="s">
        <v>384</v>
      </c>
      <c r="L3495" s="2" t="s">
        <v>385</v>
      </c>
      <c r="M3495" s="2" t="s">
        <v>119</v>
      </c>
      <c r="N3495" s="4" t="str">
        <f t="shared" si="330"/>
        <v>TON</v>
      </c>
      <c r="O3495" s="5">
        <v>2.4900000000000002</v>
      </c>
    </row>
    <row r="3496" spans="2:15" x14ac:dyDescent="0.25">
      <c r="B3496" s="1" t="s">
        <v>1520</v>
      </c>
      <c r="C3496" s="2" t="s">
        <v>196</v>
      </c>
      <c r="D3496" s="2" t="s">
        <v>418</v>
      </c>
      <c r="E3496" s="2" t="s">
        <v>419</v>
      </c>
      <c r="F3496" s="3">
        <v>45266</v>
      </c>
      <c r="G3496" s="4">
        <f t="shared" si="329"/>
        <v>12</v>
      </c>
      <c r="H3496" s="4">
        <f t="shared" si="328"/>
        <v>2023</v>
      </c>
      <c r="I3496" s="2" t="s">
        <v>4</v>
      </c>
      <c r="J3496" s="2" t="s">
        <v>4359</v>
      </c>
      <c r="K3496" s="2" t="s">
        <v>334</v>
      </c>
      <c r="L3496" s="2" t="s">
        <v>335</v>
      </c>
      <c r="M3496" s="2" t="s">
        <v>119</v>
      </c>
      <c r="N3496" s="4" t="str">
        <f t="shared" si="330"/>
        <v>TON</v>
      </c>
      <c r="O3496" s="5">
        <v>14.05</v>
      </c>
    </row>
    <row r="3497" spans="2:15" x14ac:dyDescent="0.25">
      <c r="B3497" s="1" t="s">
        <v>1520</v>
      </c>
      <c r="C3497" s="2" t="s">
        <v>196</v>
      </c>
      <c r="D3497" s="2" t="s">
        <v>4046</v>
      </c>
      <c r="E3497" s="2" t="s">
        <v>102</v>
      </c>
      <c r="F3497" s="3">
        <v>45267</v>
      </c>
      <c r="G3497" s="4">
        <f t="shared" si="329"/>
        <v>12</v>
      </c>
      <c r="H3497" s="4">
        <f t="shared" si="328"/>
        <v>2023</v>
      </c>
      <c r="I3497" s="2" t="s">
        <v>4</v>
      </c>
      <c r="J3497" s="2" t="s">
        <v>4360</v>
      </c>
      <c r="K3497" s="2" t="s">
        <v>268</v>
      </c>
      <c r="L3497" s="2" t="s">
        <v>269</v>
      </c>
      <c r="M3497" s="2" t="s">
        <v>119</v>
      </c>
      <c r="N3497" s="4" t="str">
        <f t="shared" si="330"/>
        <v>TON</v>
      </c>
      <c r="O3497" s="5">
        <v>0.15</v>
      </c>
    </row>
    <row r="3498" spans="2:15" x14ac:dyDescent="0.25">
      <c r="B3498" s="1" t="s">
        <v>1520</v>
      </c>
      <c r="C3498" s="2" t="s">
        <v>196</v>
      </c>
      <c r="D3498" s="2" t="s">
        <v>4046</v>
      </c>
      <c r="E3498" s="2" t="s">
        <v>102</v>
      </c>
      <c r="F3498" s="3">
        <v>45267</v>
      </c>
      <c r="G3498" s="4">
        <f t="shared" si="329"/>
        <v>12</v>
      </c>
      <c r="H3498" s="4">
        <f t="shared" si="328"/>
        <v>2023</v>
      </c>
      <c r="I3498" s="2" t="s">
        <v>4</v>
      </c>
      <c r="J3498" s="2" t="s">
        <v>4361</v>
      </c>
      <c r="K3498" s="2" t="s">
        <v>268</v>
      </c>
      <c r="L3498" s="2" t="s">
        <v>269</v>
      </c>
      <c r="M3498" s="2" t="s">
        <v>119</v>
      </c>
      <c r="N3498" s="4" t="str">
        <f t="shared" si="330"/>
        <v>TON</v>
      </c>
      <c r="O3498" s="5">
        <v>0.15</v>
      </c>
    </row>
    <row r="3499" spans="2:15" x14ac:dyDescent="0.25">
      <c r="B3499" s="1" t="s">
        <v>1520</v>
      </c>
      <c r="C3499" s="2" t="s">
        <v>196</v>
      </c>
      <c r="D3499" s="2" t="s">
        <v>114</v>
      </c>
      <c r="E3499" s="2" t="s">
        <v>4362</v>
      </c>
      <c r="F3499" s="3">
        <v>45267</v>
      </c>
      <c r="G3499" s="4">
        <f t="shared" si="329"/>
        <v>12</v>
      </c>
      <c r="H3499" s="4">
        <f t="shared" si="328"/>
        <v>2023</v>
      </c>
      <c r="I3499" s="2" t="s">
        <v>4</v>
      </c>
      <c r="J3499" s="2" t="s">
        <v>4363</v>
      </c>
      <c r="K3499" s="2" t="s">
        <v>117</v>
      </c>
      <c r="L3499" s="2" t="s">
        <v>118</v>
      </c>
      <c r="M3499" s="2" t="s">
        <v>119</v>
      </c>
      <c r="N3499" s="4" t="str">
        <f t="shared" si="330"/>
        <v>TON</v>
      </c>
      <c r="O3499" s="5">
        <v>7.5</v>
      </c>
    </row>
    <row r="3500" spans="2:15" x14ac:dyDescent="0.25">
      <c r="B3500" s="1" t="s">
        <v>1520</v>
      </c>
      <c r="C3500" s="2" t="s">
        <v>196</v>
      </c>
      <c r="D3500" s="2" t="s">
        <v>114</v>
      </c>
      <c r="E3500" s="2" t="s">
        <v>274</v>
      </c>
      <c r="F3500" s="3">
        <v>45267</v>
      </c>
      <c r="G3500" s="4">
        <f t="shared" si="329"/>
        <v>12</v>
      </c>
      <c r="H3500" s="4">
        <f t="shared" si="328"/>
        <v>2023</v>
      </c>
      <c r="I3500" s="2" t="s">
        <v>4</v>
      </c>
      <c r="J3500" s="2" t="s">
        <v>4364</v>
      </c>
      <c r="K3500" s="2" t="s">
        <v>117</v>
      </c>
      <c r="L3500" s="2" t="s">
        <v>118</v>
      </c>
      <c r="M3500" s="2" t="s">
        <v>119</v>
      </c>
      <c r="N3500" s="4" t="str">
        <f t="shared" si="330"/>
        <v>TON</v>
      </c>
      <c r="O3500" s="5">
        <v>15.02</v>
      </c>
    </row>
    <row r="3501" spans="2:15" x14ac:dyDescent="0.25">
      <c r="B3501" s="1" t="s">
        <v>1520</v>
      </c>
      <c r="C3501" s="2" t="s">
        <v>196</v>
      </c>
      <c r="D3501" s="2" t="s">
        <v>299</v>
      </c>
      <c r="E3501" s="2" t="s">
        <v>713</v>
      </c>
      <c r="F3501" s="3">
        <v>45267</v>
      </c>
      <c r="G3501" s="4">
        <f t="shared" si="329"/>
        <v>12</v>
      </c>
      <c r="H3501" s="4">
        <f t="shared" si="328"/>
        <v>2023</v>
      </c>
      <c r="I3501" s="2" t="s">
        <v>4</v>
      </c>
      <c r="J3501" s="2" t="s">
        <v>4365</v>
      </c>
      <c r="K3501" s="2" t="s">
        <v>117</v>
      </c>
      <c r="L3501" s="2" t="s">
        <v>118</v>
      </c>
      <c r="M3501" s="2" t="s">
        <v>119</v>
      </c>
      <c r="N3501" s="4" t="str">
        <f t="shared" si="330"/>
        <v>TON</v>
      </c>
      <c r="O3501" s="5">
        <v>15.02</v>
      </c>
    </row>
    <row r="3502" spans="2:15" x14ac:dyDescent="0.25">
      <c r="B3502" s="1" t="s">
        <v>1520</v>
      </c>
      <c r="C3502" s="2" t="s">
        <v>196</v>
      </c>
      <c r="D3502" s="2" t="s">
        <v>241</v>
      </c>
      <c r="E3502" s="2" t="s">
        <v>258</v>
      </c>
      <c r="F3502" s="3">
        <v>45267</v>
      </c>
      <c r="G3502" s="4">
        <f t="shared" si="329"/>
        <v>12</v>
      </c>
      <c r="H3502" s="4">
        <f t="shared" si="328"/>
        <v>2023</v>
      </c>
      <c r="I3502" s="2" t="s">
        <v>4</v>
      </c>
      <c r="J3502" s="2" t="s">
        <v>4366</v>
      </c>
      <c r="K3502" s="2" t="s">
        <v>3458</v>
      </c>
      <c r="L3502" s="2" t="s">
        <v>3459</v>
      </c>
      <c r="M3502" s="2" t="s">
        <v>119</v>
      </c>
      <c r="N3502" s="4" t="str">
        <f t="shared" si="330"/>
        <v>TON</v>
      </c>
      <c r="O3502" s="5">
        <v>2.25</v>
      </c>
    </row>
    <row r="3503" spans="2:15" x14ac:dyDescent="0.25">
      <c r="B3503" s="1" t="s">
        <v>1520</v>
      </c>
      <c r="C3503" s="2" t="s">
        <v>196</v>
      </c>
      <c r="D3503" s="2" t="s">
        <v>299</v>
      </c>
      <c r="E3503" s="2" t="s">
        <v>398</v>
      </c>
      <c r="F3503" s="3">
        <v>45267</v>
      </c>
      <c r="G3503" s="4">
        <f t="shared" si="329"/>
        <v>12</v>
      </c>
      <c r="H3503" s="4">
        <f t="shared" si="328"/>
        <v>2023</v>
      </c>
      <c r="I3503" s="2" t="s">
        <v>4</v>
      </c>
      <c r="J3503" s="2" t="s">
        <v>4367</v>
      </c>
      <c r="K3503" s="2" t="s">
        <v>117</v>
      </c>
      <c r="L3503" s="2" t="s">
        <v>118</v>
      </c>
      <c r="M3503" s="2" t="s">
        <v>119</v>
      </c>
      <c r="N3503" s="4" t="str">
        <f t="shared" si="330"/>
        <v>TON</v>
      </c>
      <c r="O3503" s="5">
        <v>7.5</v>
      </c>
    </row>
    <row r="3504" spans="2:15" x14ac:dyDescent="0.25">
      <c r="B3504" s="1" t="s">
        <v>1520</v>
      </c>
      <c r="C3504" s="2" t="s">
        <v>196</v>
      </c>
      <c r="D3504" s="2" t="s">
        <v>449</v>
      </c>
      <c r="E3504" s="2" t="s">
        <v>450</v>
      </c>
      <c r="F3504" s="3">
        <v>45267</v>
      </c>
      <c r="G3504" s="4">
        <f t="shared" si="329"/>
        <v>12</v>
      </c>
      <c r="H3504" s="4">
        <f t="shared" si="328"/>
        <v>2023</v>
      </c>
      <c r="I3504" s="2" t="s">
        <v>4</v>
      </c>
      <c r="J3504" s="2" t="s">
        <v>4368</v>
      </c>
      <c r="K3504" s="2" t="s">
        <v>329</v>
      </c>
      <c r="L3504" s="2" t="s">
        <v>330</v>
      </c>
      <c r="M3504" s="2" t="s">
        <v>119</v>
      </c>
      <c r="N3504" s="4" t="str">
        <f t="shared" si="330"/>
        <v>TON</v>
      </c>
      <c r="O3504" s="5">
        <v>4.5149999999999997</v>
      </c>
    </row>
    <row r="3505" spans="2:15" x14ac:dyDescent="0.25">
      <c r="B3505" s="1" t="s">
        <v>1520</v>
      </c>
      <c r="C3505" s="2" t="s">
        <v>196</v>
      </c>
      <c r="D3505" s="2" t="s">
        <v>458</v>
      </c>
      <c r="E3505" s="2" t="s">
        <v>2868</v>
      </c>
      <c r="F3505" s="3">
        <v>45267</v>
      </c>
      <c r="G3505" s="4">
        <f t="shared" si="329"/>
        <v>12</v>
      </c>
      <c r="H3505" s="4">
        <f t="shared" si="328"/>
        <v>2023</v>
      </c>
      <c r="I3505" s="2" t="s">
        <v>4</v>
      </c>
      <c r="J3505" s="2" t="s">
        <v>4369</v>
      </c>
      <c r="K3505" s="2" t="s">
        <v>122</v>
      </c>
      <c r="L3505" s="2" t="s">
        <v>123</v>
      </c>
      <c r="M3505" s="2" t="s">
        <v>119</v>
      </c>
      <c r="N3505" s="4" t="str">
        <f t="shared" si="330"/>
        <v>TON</v>
      </c>
      <c r="O3505" s="5">
        <v>5.0025000000000004</v>
      </c>
    </row>
    <row r="3506" spans="2:15" x14ac:dyDescent="0.25">
      <c r="B3506" s="1" t="s">
        <v>1520</v>
      </c>
      <c r="C3506" s="2" t="s">
        <v>196</v>
      </c>
      <c r="D3506" s="2" t="s">
        <v>241</v>
      </c>
      <c r="E3506" s="2" t="s">
        <v>242</v>
      </c>
      <c r="F3506" s="3">
        <v>45267</v>
      </c>
      <c r="G3506" s="4">
        <f t="shared" si="329"/>
        <v>12</v>
      </c>
      <c r="H3506" s="4">
        <f t="shared" si="328"/>
        <v>2023</v>
      </c>
      <c r="I3506" s="2" t="s">
        <v>4</v>
      </c>
      <c r="J3506" s="2" t="s">
        <v>4370</v>
      </c>
      <c r="K3506" s="2" t="s">
        <v>260</v>
      </c>
      <c r="L3506" s="2" t="s">
        <v>261</v>
      </c>
      <c r="M3506" s="2" t="s">
        <v>119</v>
      </c>
      <c r="N3506" s="4" t="str">
        <f t="shared" si="330"/>
        <v>TON</v>
      </c>
      <c r="O3506" s="5">
        <v>1.5</v>
      </c>
    </row>
    <row r="3507" spans="2:15" x14ac:dyDescent="0.25">
      <c r="B3507" s="6" t="s">
        <v>1520</v>
      </c>
      <c r="C3507" s="7" t="s">
        <v>196</v>
      </c>
      <c r="D3507" s="8" t="s">
        <v>440</v>
      </c>
      <c r="E3507" s="8" t="s">
        <v>1274</v>
      </c>
      <c r="F3507" s="12">
        <v>45267</v>
      </c>
      <c r="G3507" s="10">
        <f t="shared" si="329"/>
        <v>12</v>
      </c>
      <c r="H3507" s="10">
        <f t="shared" si="328"/>
        <v>2023</v>
      </c>
      <c r="I3507" s="8" t="s">
        <v>4</v>
      </c>
      <c r="J3507" s="7" t="s">
        <v>4371</v>
      </c>
      <c r="K3507" s="8" t="s">
        <v>4222</v>
      </c>
      <c r="L3507" s="8" t="s">
        <v>4223</v>
      </c>
      <c r="M3507" s="8" t="s">
        <v>119</v>
      </c>
      <c r="N3507" s="10" t="str">
        <f t="shared" si="330"/>
        <v>TON</v>
      </c>
      <c r="O3507" s="11">
        <v>10</v>
      </c>
    </row>
    <row r="3508" spans="2:15" x14ac:dyDescent="0.25">
      <c r="B3508" s="1" t="s">
        <v>1520</v>
      </c>
      <c r="C3508" s="2" t="s">
        <v>196</v>
      </c>
      <c r="D3508" s="2" t="s">
        <v>215</v>
      </c>
      <c r="E3508" s="2" t="s">
        <v>2033</v>
      </c>
      <c r="F3508" s="3">
        <v>45267</v>
      </c>
      <c r="G3508" s="4">
        <f t="shared" si="329"/>
        <v>12</v>
      </c>
      <c r="H3508" s="4">
        <f t="shared" si="328"/>
        <v>2023</v>
      </c>
      <c r="I3508" s="2" t="s">
        <v>4</v>
      </c>
      <c r="J3508" s="2" t="s">
        <v>4372</v>
      </c>
      <c r="K3508" s="2" t="s">
        <v>329</v>
      </c>
      <c r="L3508" s="2" t="s">
        <v>330</v>
      </c>
      <c r="M3508" s="2" t="s">
        <v>119</v>
      </c>
      <c r="N3508" s="4" t="str">
        <f t="shared" si="330"/>
        <v>TON</v>
      </c>
      <c r="O3508" s="5">
        <v>3.9950000000000001</v>
      </c>
    </row>
    <row r="3509" spans="2:15" x14ac:dyDescent="0.25">
      <c r="B3509" s="1" t="s">
        <v>645</v>
      </c>
      <c r="C3509" s="2" t="s">
        <v>196</v>
      </c>
      <c r="D3509" s="2" t="s">
        <v>374</v>
      </c>
      <c r="E3509" s="2" t="s">
        <v>717</v>
      </c>
      <c r="F3509" s="3">
        <v>45267</v>
      </c>
      <c r="G3509" s="4">
        <f t="shared" si="329"/>
        <v>12</v>
      </c>
      <c r="H3509" s="4">
        <f t="shared" si="328"/>
        <v>2023</v>
      </c>
      <c r="I3509" s="2" t="s">
        <v>4</v>
      </c>
      <c r="J3509" s="2" t="s">
        <v>4373</v>
      </c>
      <c r="K3509" s="2" t="s">
        <v>334</v>
      </c>
      <c r="L3509" s="2" t="s">
        <v>335</v>
      </c>
      <c r="M3509" s="2" t="s">
        <v>119</v>
      </c>
      <c r="N3509" s="4" t="str">
        <f t="shared" si="330"/>
        <v>TON</v>
      </c>
      <c r="O3509" s="5">
        <v>8.01</v>
      </c>
    </row>
    <row r="3510" spans="2:15" x14ac:dyDescent="0.25">
      <c r="B3510" s="1" t="s">
        <v>1520</v>
      </c>
      <c r="C3510" s="2" t="s">
        <v>196</v>
      </c>
      <c r="D3510" s="2" t="s">
        <v>114</v>
      </c>
      <c r="E3510" s="2" t="s">
        <v>402</v>
      </c>
      <c r="F3510" s="3">
        <v>45268</v>
      </c>
      <c r="G3510" s="4">
        <f t="shared" si="329"/>
        <v>12</v>
      </c>
      <c r="H3510" s="4">
        <f t="shared" si="328"/>
        <v>2023</v>
      </c>
      <c r="I3510" s="2" t="s">
        <v>4</v>
      </c>
      <c r="J3510" s="2" t="s">
        <v>4374</v>
      </c>
      <c r="K3510" s="2" t="s">
        <v>117</v>
      </c>
      <c r="L3510" s="2" t="s">
        <v>118</v>
      </c>
      <c r="M3510" s="2" t="s">
        <v>119</v>
      </c>
      <c r="N3510" s="4" t="str">
        <f t="shared" si="330"/>
        <v>TON</v>
      </c>
      <c r="O3510" s="5">
        <v>5.0025000000000004</v>
      </c>
    </row>
    <row r="3511" spans="2:15" x14ac:dyDescent="0.25">
      <c r="B3511" s="1" t="s">
        <v>1520</v>
      </c>
      <c r="C3511" s="2" t="s">
        <v>196</v>
      </c>
      <c r="D3511" s="2" t="s">
        <v>280</v>
      </c>
      <c r="E3511" s="2" t="s">
        <v>254</v>
      </c>
      <c r="F3511" s="3">
        <v>45268</v>
      </c>
      <c r="G3511" s="4">
        <f t="shared" si="329"/>
        <v>12</v>
      </c>
      <c r="H3511" s="4">
        <f t="shared" si="328"/>
        <v>2023</v>
      </c>
      <c r="I3511" s="2" t="s">
        <v>4</v>
      </c>
      <c r="J3511" s="2" t="s">
        <v>4375</v>
      </c>
      <c r="K3511" s="2" t="s">
        <v>117</v>
      </c>
      <c r="L3511" s="2" t="s">
        <v>118</v>
      </c>
      <c r="M3511" s="2" t="s">
        <v>119</v>
      </c>
      <c r="N3511" s="4" t="str">
        <f t="shared" si="330"/>
        <v>TON</v>
      </c>
      <c r="O3511" s="5">
        <v>20.05</v>
      </c>
    </row>
    <row r="3512" spans="2:15" x14ac:dyDescent="0.25">
      <c r="B3512" s="1" t="s">
        <v>1520</v>
      </c>
      <c r="C3512" s="2" t="s">
        <v>196</v>
      </c>
      <c r="D3512" s="2" t="s">
        <v>224</v>
      </c>
      <c r="E3512" s="2" t="s">
        <v>141</v>
      </c>
      <c r="F3512" s="3">
        <v>45268</v>
      </c>
      <c r="G3512" s="4">
        <f t="shared" si="329"/>
        <v>12</v>
      </c>
      <c r="H3512" s="4">
        <f t="shared" si="328"/>
        <v>2023</v>
      </c>
      <c r="I3512" s="2" t="s">
        <v>4</v>
      </c>
      <c r="J3512" s="2" t="s">
        <v>4376</v>
      </c>
      <c r="K3512" s="2" t="s">
        <v>220</v>
      </c>
      <c r="L3512" s="2" t="s">
        <v>201</v>
      </c>
      <c r="M3512" s="2" t="s">
        <v>202</v>
      </c>
      <c r="N3512" s="4" t="str">
        <f t="shared" si="330"/>
        <v>GAL</v>
      </c>
      <c r="O3512" s="5">
        <v>250</v>
      </c>
    </row>
    <row r="3513" spans="2:15" x14ac:dyDescent="0.25">
      <c r="B3513" s="1" t="s">
        <v>1520</v>
      </c>
      <c r="C3513" s="2" t="s">
        <v>196</v>
      </c>
      <c r="D3513" s="2" t="s">
        <v>672</v>
      </c>
      <c r="E3513" s="2" t="s">
        <v>699</v>
      </c>
      <c r="F3513" s="3">
        <v>45268</v>
      </c>
      <c r="G3513" s="4">
        <f t="shared" si="329"/>
        <v>12</v>
      </c>
      <c r="H3513" s="4">
        <f t="shared" si="328"/>
        <v>2023</v>
      </c>
      <c r="I3513" s="2" t="s">
        <v>4</v>
      </c>
      <c r="J3513" s="2" t="s">
        <v>4377</v>
      </c>
      <c r="K3513" s="2" t="s">
        <v>251</v>
      </c>
      <c r="L3513" s="2" t="s">
        <v>252</v>
      </c>
      <c r="M3513" s="2" t="s">
        <v>119</v>
      </c>
      <c r="N3513" s="4" t="str">
        <f t="shared" si="330"/>
        <v>TON</v>
      </c>
      <c r="O3513" s="5">
        <v>7.5075000000000003</v>
      </c>
    </row>
    <row r="3514" spans="2:15" x14ac:dyDescent="0.25">
      <c r="B3514" s="1" t="s">
        <v>1520</v>
      </c>
      <c r="C3514" s="2" t="s">
        <v>196</v>
      </c>
      <c r="D3514" s="2" t="s">
        <v>221</v>
      </c>
      <c r="E3514" s="2" t="s">
        <v>332</v>
      </c>
      <c r="F3514" s="3">
        <v>45268</v>
      </c>
      <c r="G3514" s="4">
        <f t="shared" si="329"/>
        <v>12</v>
      </c>
      <c r="H3514" s="4">
        <f t="shared" si="328"/>
        <v>2023</v>
      </c>
      <c r="I3514" s="2" t="s">
        <v>4</v>
      </c>
      <c r="J3514" s="2" t="s">
        <v>4378</v>
      </c>
      <c r="K3514" s="2" t="s">
        <v>205</v>
      </c>
      <c r="L3514" s="2" t="s">
        <v>206</v>
      </c>
      <c r="M3514" s="2" t="s">
        <v>119</v>
      </c>
      <c r="N3514" s="4" t="str">
        <f t="shared" si="330"/>
        <v>TON</v>
      </c>
      <c r="O3514" s="5">
        <v>5.0075000000000003</v>
      </c>
    </row>
    <row r="3515" spans="2:15" x14ac:dyDescent="0.25">
      <c r="B3515" s="1" t="s">
        <v>1520</v>
      </c>
      <c r="C3515" s="2" t="s">
        <v>196</v>
      </c>
      <c r="D3515" s="2" t="s">
        <v>114</v>
      </c>
      <c r="E3515" s="2" t="s">
        <v>3751</v>
      </c>
      <c r="F3515" s="3">
        <v>45268</v>
      </c>
      <c r="G3515" s="4">
        <f t="shared" si="329"/>
        <v>12</v>
      </c>
      <c r="H3515" s="4">
        <f t="shared" ref="H3515:H3578" si="331">+YEAR(F3515)</f>
        <v>2023</v>
      </c>
      <c r="I3515" s="2" t="s">
        <v>4</v>
      </c>
      <c r="J3515" s="2" t="s">
        <v>4379</v>
      </c>
      <c r="K3515" s="2" t="s">
        <v>117</v>
      </c>
      <c r="L3515" s="2" t="s">
        <v>118</v>
      </c>
      <c r="M3515" s="2" t="s">
        <v>119</v>
      </c>
      <c r="N3515" s="4" t="str">
        <f t="shared" si="330"/>
        <v>TON</v>
      </c>
      <c r="O3515" s="5">
        <v>3.4975000000000001</v>
      </c>
    </row>
    <row r="3516" spans="2:15" x14ac:dyDescent="0.25">
      <c r="B3516" s="1" t="s">
        <v>1520</v>
      </c>
      <c r="C3516" s="2" t="s">
        <v>196</v>
      </c>
      <c r="D3516" s="2" t="s">
        <v>1276</v>
      </c>
      <c r="E3516" s="2" t="s">
        <v>1277</v>
      </c>
      <c r="F3516" s="3">
        <v>45268</v>
      </c>
      <c r="G3516" s="4">
        <f t="shared" si="329"/>
        <v>12</v>
      </c>
      <c r="H3516" s="4">
        <f t="shared" si="331"/>
        <v>2023</v>
      </c>
      <c r="I3516" s="2" t="s">
        <v>4</v>
      </c>
      <c r="J3516" s="2" t="s">
        <v>4380</v>
      </c>
      <c r="K3516" s="2" t="s">
        <v>334</v>
      </c>
      <c r="L3516" s="2" t="s">
        <v>335</v>
      </c>
      <c r="M3516" s="2" t="s">
        <v>119</v>
      </c>
      <c r="N3516" s="4" t="str">
        <f t="shared" si="330"/>
        <v>TON</v>
      </c>
      <c r="O3516" s="5">
        <v>2.5024999999999999</v>
      </c>
    </row>
    <row r="3517" spans="2:15" x14ac:dyDescent="0.25">
      <c r="B3517" s="1" t="s">
        <v>1520</v>
      </c>
      <c r="C3517" s="2" t="s">
        <v>196</v>
      </c>
      <c r="D3517" s="2" t="s">
        <v>4034</v>
      </c>
      <c r="E3517" s="2" t="s">
        <v>1346</v>
      </c>
      <c r="F3517" s="3">
        <v>45268</v>
      </c>
      <c r="G3517" s="4">
        <f t="shared" si="329"/>
        <v>12</v>
      </c>
      <c r="H3517" s="4">
        <f t="shared" si="331"/>
        <v>2023</v>
      </c>
      <c r="I3517" s="2" t="s">
        <v>4</v>
      </c>
      <c r="J3517" s="2" t="s">
        <v>4381</v>
      </c>
      <c r="K3517" s="2" t="s">
        <v>329</v>
      </c>
      <c r="L3517" s="2" t="s">
        <v>330</v>
      </c>
      <c r="M3517" s="2" t="s">
        <v>119</v>
      </c>
      <c r="N3517" s="4" t="str">
        <f t="shared" si="330"/>
        <v>TON</v>
      </c>
      <c r="O3517" s="5">
        <v>5.0049999999999999</v>
      </c>
    </row>
    <row r="3518" spans="2:15" x14ac:dyDescent="0.25">
      <c r="B3518" s="6" t="s">
        <v>1520</v>
      </c>
      <c r="C3518" s="7" t="s">
        <v>196</v>
      </c>
      <c r="D3518" s="8" t="s">
        <v>387</v>
      </c>
      <c r="E3518" s="8" t="s">
        <v>797</v>
      </c>
      <c r="F3518" s="12">
        <v>45271</v>
      </c>
      <c r="G3518" s="10">
        <f t="shared" si="329"/>
        <v>12</v>
      </c>
      <c r="H3518" s="10">
        <f t="shared" si="331"/>
        <v>2023</v>
      </c>
      <c r="I3518" s="8" t="s">
        <v>4</v>
      </c>
      <c r="J3518" s="7" t="s">
        <v>4382</v>
      </c>
      <c r="K3518" s="8" t="s">
        <v>4222</v>
      </c>
      <c r="L3518" s="8" t="s">
        <v>4223</v>
      </c>
      <c r="M3518" s="8" t="s">
        <v>119</v>
      </c>
      <c r="N3518" s="10" t="str">
        <f t="shared" si="330"/>
        <v>TON</v>
      </c>
      <c r="O3518" s="11">
        <v>10.02</v>
      </c>
    </row>
    <row r="3519" spans="2:15" x14ac:dyDescent="0.25">
      <c r="B3519" s="1" t="s">
        <v>1520</v>
      </c>
      <c r="C3519" s="2" t="s">
        <v>196</v>
      </c>
      <c r="D3519" s="2" t="s">
        <v>387</v>
      </c>
      <c r="E3519" s="2" t="s">
        <v>797</v>
      </c>
      <c r="F3519" s="3">
        <v>45271</v>
      </c>
      <c r="G3519" s="4">
        <f t="shared" si="329"/>
        <v>12</v>
      </c>
      <c r="H3519" s="4">
        <f t="shared" si="331"/>
        <v>2023</v>
      </c>
      <c r="I3519" s="2" t="s">
        <v>4</v>
      </c>
      <c r="J3519" s="2" t="s">
        <v>4382</v>
      </c>
      <c r="K3519" s="2" t="s">
        <v>3726</v>
      </c>
      <c r="L3519" s="2" t="s">
        <v>3727</v>
      </c>
      <c r="M3519" s="2" t="s">
        <v>145</v>
      </c>
      <c r="N3519" s="4" t="str">
        <f t="shared" si="330"/>
        <v>GAL</v>
      </c>
      <c r="O3519" s="5">
        <v>3.75</v>
      </c>
    </row>
    <row r="3520" spans="2:15" x14ac:dyDescent="0.25">
      <c r="B3520" s="1" t="s">
        <v>1520</v>
      </c>
      <c r="C3520" s="2" t="s">
        <v>196</v>
      </c>
      <c r="D3520" s="2" t="s">
        <v>303</v>
      </c>
      <c r="E3520" s="2" t="s">
        <v>501</v>
      </c>
      <c r="F3520" s="3">
        <v>45271</v>
      </c>
      <c r="G3520" s="4">
        <f t="shared" si="329"/>
        <v>12</v>
      </c>
      <c r="H3520" s="4">
        <f t="shared" si="331"/>
        <v>2023</v>
      </c>
      <c r="I3520" s="2" t="s">
        <v>4</v>
      </c>
      <c r="J3520" s="2" t="s">
        <v>4383</v>
      </c>
      <c r="K3520" s="2" t="s">
        <v>1204</v>
      </c>
      <c r="L3520" s="2" t="s">
        <v>1151</v>
      </c>
      <c r="M3520" s="2" t="s">
        <v>8</v>
      </c>
      <c r="N3520" s="4" t="str">
        <f t="shared" si="330"/>
        <v>GAL</v>
      </c>
      <c r="O3520" s="5">
        <v>250</v>
      </c>
    </row>
    <row r="3521" spans="2:15" x14ac:dyDescent="0.25">
      <c r="B3521" s="1" t="s">
        <v>1520</v>
      </c>
      <c r="C3521" s="2" t="s">
        <v>196</v>
      </c>
      <c r="D3521" s="2" t="s">
        <v>299</v>
      </c>
      <c r="E3521" s="2" t="s">
        <v>300</v>
      </c>
      <c r="F3521" s="3">
        <v>45271</v>
      </c>
      <c r="G3521" s="4">
        <f t="shared" si="329"/>
        <v>12</v>
      </c>
      <c r="H3521" s="4">
        <f t="shared" si="331"/>
        <v>2023</v>
      </c>
      <c r="I3521" s="2" t="s">
        <v>4</v>
      </c>
      <c r="J3521" s="2" t="s">
        <v>4384</v>
      </c>
      <c r="K3521" s="2" t="s">
        <v>117</v>
      </c>
      <c r="L3521" s="2" t="s">
        <v>118</v>
      </c>
      <c r="M3521" s="2" t="s">
        <v>119</v>
      </c>
      <c r="N3521" s="4" t="str">
        <f t="shared" si="330"/>
        <v>TON</v>
      </c>
      <c r="O3521" s="5">
        <v>7.5075000000000003</v>
      </c>
    </row>
    <row r="3522" spans="2:15" x14ac:dyDescent="0.25">
      <c r="B3522" s="1" t="s">
        <v>1520</v>
      </c>
      <c r="C3522" s="2" t="s">
        <v>196</v>
      </c>
      <c r="D3522" s="2" t="s">
        <v>299</v>
      </c>
      <c r="E3522" s="2" t="s">
        <v>689</v>
      </c>
      <c r="F3522" s="3">
        <v>45271</v>
      </c>
      <c r="G3522" s="4">
        <f t="shared" si="329"/>
        <v>12</v>
      </c>
      <c r="H3522" s="4">
        <f t="shared" si="331"/>
        <v>2023</v>
      </c>
      <c r="I3522" s="2" t="s">
        <v>4</v>
      </c>
      <c r="J3522" s="2" t="s">
        <v>4385</v>
      </c>
      <c r="K3522" s="2" t="s">
        <v>117</v>
      </c>
      <c r="L3522" s="2" t="s">
        <v>118</v>
      </c>
      <c r="M3522" s="2" t="s">
        <v>119</v>
      </c>
      <c r="N3522" s="4" t="str">
        <f t="shared" si="330"/>
        <v>TON</v>
      </c>
      <c r="O3522" s="5">
        <v>12.5</v>
      </c>
    </row>
    <row r="3523" spans="2:15" x14ac:dyDescent="0.25">
      <c r="B3523" s="1" t="s">
        <v>1520</v>
      </c>
      <c r="C3523" s="2" t="s">
        <v>196</v>
      </c>
      <c r="D3523" s="2" t="s">
        <v>321</v>
      </c>
      <c r="E3523" s="2" t="s">
        <v>1200</v>
      </c>
      <c r="F3523" s="3">
        <v>45271</v>
      </c>
      <c r="G3523" s="4">
        <f t="shared" ref="G3523:G3586" si="332">+MONTH(F3523)</f>
        <v>12</v>
      </c>
      <c r="H3523" s="4">
        <f t="shared" si="331"/>
        <v>2023</v>
      </c>
      <c r="I3523" s="2" t="s">
        <v>4</v>
      </c>
      <c r="J3523" s="2" t="s">
        <v>4386</v>
      </c>
      <c r="K3523" s="2" t="s">
        <v>394</v>
      </c>
      <c r="L3523" s="2" t="s">
        <v>395</v>
      </c>
      <c r="M3523" s="2" t="s">
        <v>119</v>
      </c>
      <c r="N3523" s="4" t="str">
        <f t="shared" ref="N3523:N3586" si="333">+LEFT(M3523,3)</f>
        <v>TON</v>
      </c>
      <c r="O3523" s="5">
        <v>2.5024999999999999</v>
      </c>
    </row>
    <row r="3524" spans="2:15" x14ac:dyDescent="0.25">
      <c r="B3524" s="1" t="s">
        <v>1520</v>
      </c>
      <c r="C3524" s="2" t="s">
        <v>196</v>
      </c>
      <c r="D3524" s="2" t="s">
        <v>800</v>
      </c>
      <c r="E3524" s="2" t="s">
        <v>801</v>
      </c>
      <c r="F3524" s="3">
        <v>45271</v>
      </c>
      <c r="G3524" s="4">
        <f t="shared" si="332"/>
        <v>12</v>
      </c>
      <c r="H3524" s="4">
        <f t="shared" si="331"/>
        <v>2023</v>
      </c>
      <c r="I3524" s="2" t="s">
        <v>4</v>
      </c>
      <c r="J3524" s="2" t="s">
        <v>4387</v>
      </c>
      <c r="K3524" s="2" t="s">
        <v>122</v>
      </c>
      <c r="L3524" s="2" t="s">
        <v>123</v>
      </c>
      <c r="M3524" s="2" t="s">
        <v>119</v>
      </c>
      <c r="N3524" s="4" t="str">
        <f t="shared" si="333"/>
        <v>TON</v>
      </c>
      <c r="O3524" s="5">
        <v>4.5</v>
      </c>
    </row>
    <row r="3525" spans="2:15" x14ac:dyDescent="0.25">
      <c r="B3525" s="1" t="s">
        <v>1520</v>
      </c>
      <c r="C3525" s="2" t="s">
        <v>196</v>
      </c>
      <c r="D3525" s="2" t="s">
        <v>704</v>
      </c>
      <c r="E3525" s="2" t="s">
        <v>705</v>
      </c>
      <c r="F3525" s="3">
        <v>45271</v>
      </c>
      <c r="G3525" s="4">
        <f t="shared" si="332"/>
        <v>12</v>
      </c>
      <c r="H3525" s="4">
        <f t="shared" si="331"/>
        <v>2023</v>
      </c>
      <c r="I3525" s="2" t="s">
        <v>4</v>
      </c>
      <c r="J3525" s="2" t="s">
        <v>4388</v>
      </c>
      <c r="K3525" s="2" t="s">
        <v>1379</v>
      </c>
      <c r="L3525" s="2" t="s">
        <v>1380</v>
      </c>
      <c r="M3525" s="2" t="s">
        <v>119</v>
      </c>
      <c r="N3525" s="4" t="str">
        <f t="shared" si="333"/>
        <v>TON</v>
      </c>
      <c r="O3525" s="5">
        <v>10.005000000000001</v>
      </c>
    </row>
    <row r="3526" spans="2:15" x14ac:dyDescent="0.25">
      <c r="B3526" s="1" t="s">
        <v>1520</v>
      </c>
      <c r="C3526" s="2" t="s">
        <v>196</v>
      </c>
      <c r="D3526" s="2" t="s">
        <v>276</v>
      </c>
      <c r="E3526" s="2" t="s">
        <v>277</v>
      </c>
      <c r="F3526" s="3">
        <v>45272</v>
      </c>
      <c r="G3526" s="4">
        <f t="shared" si="332"/>
        <v>12</v>
      </c>
      <c r="H3526" s="4">
        <f t="shared" si="331"/>
        <v>2023</v>
      </c>
      <c r="I3526" s="2" t="s">
        <v>4</v>
      </c>
      <c r="J3526" s="2" t="s">
        <v>4389</v>
      </c>
      <c r="K3526" s="2" t="s">
        <v>292</v>
      </c>
      <c r="L3526" s="2" t="s">
        <v>293</v>
      </c>
      <c r="M3526" s="2" t="s">
        <v>119</v>
      </c>
      <c r="N3526" s="4" t="str">
        <f t="shared" si="333"/>
        <v>TON</v>
      </c>
      <c r="O3526" s="5">
        <v>2</v>
      </c>
    </row>
    <row r="3527" spans="2:15" x14ac:dyDescent="0.25">
      <c r="B3527" s="1" t="s">
        <v>1520</v>
      </c>
      <c r="C3527" s="2" t="s">
        <v>196</v>
      </c>
      <c r="D3527" s="2" t="s">
        <v>276</v>
      </c>
      <c r="E3527" s="2" t="s">
        <v>692</v>
      </c>
      <c r="F3527" s="3">
        <v>45272</v>
      </c>
      <c r="G3527" s="4">
        <f t="shared" si="332"/>
        <v>12</v>
      </c>
      <c r="H3527" s="4">
        <f t="shared" si="331"/>
        <v>2023</v>
      </c>
      <c r="I3527" s="2" t="s">
        <v>4</v>
      </c>
      <c r="J3527" s="2" t="s">
        <v>4390</v>
      </c>
      <c r="K3527" s="2" t="s">
        <v>329</v>
      </c>
      <c r="L3527" s="2" t="s">
        <v>330</v>
      </c>
      <c r="M3527" s="2" t="s">
        <v>119</v>
      </c>
      <c r="N3527" s="4" t="str">
        <f t="shared" si="333"/>
        <v>TON</v>
      </c>
      <c r="O3527" s="5">
        <v>10.02</v>
      </c>
    </row>
    <row r="3528" spans="2:15" x14ac:dyDescent="0.25">
      <c r="B3528" s="1" t="s">
        <v>1520</v>
      </c>
      <c r="C3528" s="2" t="s">
        <v>196</v>
      </c>
      <c r="D3528" s="2" t="s">
        <v>276</v>
      </c>
      <c r="E3528" s="2" t="s">
        <v>692</v>
      </c>
      <c r="F3528" s="3">
        <v>45272</v>
      </c>
      <c r="G3528" s="4">
        <f t="shared" si="332"/>
        <v>12</v>
      </c>
      <c r="H3528" s="4">
        <f t="shared" si="331"/>
        <v>2023</v>
      </c>
      <c r="I3528" s="2" t="s">
        <v>4</v>
      </c>
      <c r="J3528" s="2" t="s">
        <v>4390</v>
      </c>
      <c r="K3528" s="2" t="s">
        <v>3726</v>
      </c>
      <c r="L3528" s="2" t="s">
        <v>3727</v>
      </c>
      <c r="M3528" s="2" t="s">
        <v>145</v>
      </c>
      <c r="N3528" s="4" t="str">
        <f t="shared" si="333"/>
        <v>GAL</v>
      </c>
      <c r="O3528" s="5">
        <v>3.75</v>
      </c>
    </row>
    <row r="3529" spans="2:15" x14ac:dyDescent="0.25">
      <c r="B3529" s="1" t="s">
        <v>1520</v>
      </c>
      <c r="C3529" s="2" t="s">
        <v>196</v>
      </c>
      <c r="D3529" s="2" t="s">
        <v>4013</v>
      </c>
      <c r="E3529" s="2" t="s">
        <v>2868</v>
      </c>
      <c r="F3529" s="3">
        <v>45272</v>
      </c>
      <c r="G3529" s="4">
        <f t="shared" si="332"/>
        <v>12</v>
      </c>
      <c r="H3529" s="4">
        <f t="shared" si="331"/>
        <v>2023</v>
      </c>
      <c r="I3529" s="2" t="s">
        <v>4</v>
      </c>
      <c r="J3529" s="2" t="s">
        <v>4391</v>
      </c>
      <c r="K3529" s="2" t="s">
        <v>268</v>
      </c>
      <c r="L3529" s="2" t="s">
        <v>269</v>
      </c>
      <c r="M3529" s="2" t="s">
        <v>119</v>
      </c>
      <c r="N3529" s="4" t="str">
        <f t="shared" si="333"/>
        <v>TON</v>
      </c>
      <c r="O3529" s="5">
        <v>2</v>
      </c>
    </row>
    <row r="3530" spans="2:15" x14ac:dyDescent="0.25">
      <c r="B3530" s="1" t="s">
        <v>1520</v>
      </c>
      <c r="C3530" s="2" t="s">
        <v>196</v>
      </c>
      <c r="D3530" s="2" t="s">
        <v>276</v>
      </c>
      <c r="E3530" s="2" t="s">
        <v>396</v>
      </c>
      <c r="F3530" s="3">
        <v>45272</v>
      </c>
      <c r="G3530" s="4">
        <f t="shared" si="332"/>
        <v>12</v>
      </c>
      <c r="H3530" s="4">
        <f t="shared" si="331"/>
        <v>2023</v>
      </c>
      <c r="I3530" s="2" t="s">
        <v>4</v>
      </c>
      <c r="J3530" s="2" t="s">
        <v>4392</v>
      </c>
      <c r="K3530" s="2" t="s">
        <v>205</v>
      </c>
      <c r="L3530" s="2" t="s">
        <v>206</v>
      </c>
      <c r="M3530" s="2" t="s">
        <v>119</v>
      </c>
      <c r="N3530" s="4" t="str">
        <f t="shared" si="333"/>
        <v>TON</v>
      </c>
      <c r="O3530" s="5">
        <v>2</v>
      </c>
    </row>
    <row r="3531" spans="2:15" x14ac:dyDescent="0.25">
      <c r="B3531" s="1" t="s">
        <v>1520</v>
      </c>
      <c r="C3531" s="2" t="s">
        <v>196</v>
      </c>
      <c r="D3531" s="2" t="s">
        <v>331</v>
      </c>
      <c r="E3531" s="2" t="s">
        <v>332</v>
      </c>
      <c r="F3531" s="3">
        <v>45272</v>
      </c>
      <c r="G3531" s="4">
        <f t="shared" si="332"/>
        <v>12</v>
      </c>
      <c r="H3531" s="4">
        <f t="shared" si="331"/>
        <v>2023</v>
      </c>
      <c r="I3531" s="2" t="s">
        <v>4</v>
      </c>
      <c r="J3531" s="2" t="s">
        <v>4393</v>
      </c>
      <c r="K3531" s="2" t="s">
        <v>122</v>
      </c>
      <c r="L3531" s="2" t="s">
        <v>123</v>
      </c>
      <c r="M3531" s="2" t="s">
        <v>119</v>
      </c>
      <c r="N3531" s="4" t="str">
        <f t="shared" si="333"/>
        <v>TON</v>
      </c>
      <c r="O3531" s="5">
        <v>10</v>
      </c>
    </row>
    <row r="3532" spans="2:15" x14ac:dyDescent="0.25">
      <c r="B3532" s="1" t="s">
        <v>1520</v>
      </c>
      <c r="C3532" s="2" t="s">
        <v>196</v>
      </c>
      <c r="D3532" s="2" t="s">
        <v>280</v>
      </c>
      <c r="E3532" s="2" t="s">
        <v>462</v>
      </c>
      <c r="F3532" s="3">
        <v>45272</v>
      </c>
      <c r="G3532" s="4">
        <f t="shared" si="332"/>
        <v>12</v>
      </c>
      <c r="H3532" s="4">
        <f t="shared" si="331"/>
        <v>2023</v>
      </c>
      <c r="I3532" s="2" t="s">
        <v>4</v>
      </c>
      <c r="J3532" s="2" t="s">
        <v>4394</v>
      </c>
      <c r="K3532" s="2" t="s">
        <v>117</v>
      </c>
      <c r="L3532" s="2" t="s">
        <v>118</v>
      </c>
      <c r="M3532" s="2" t="s">
        <v>119</v>
      </c>
      <c r="N3532" s="4" t="str">
        <f t="shared" si="333"/>
        <v>TON</v>
      </c>
      <c r="O3532" s="5">
        <v>9.9975000000000005</v>
      </c>
    </row>
    <row r="3533" spans="2:15" x14ac:dyDescent="0.25">
      <c r="B3533" s="1" t="s">
        <v>1520</v>
      </c>
      <c r="C3533" s="2" t="s">
        <v>196</v>
      </c>
      <c r="D3533" s="2" t="s">
        <v>232</v>
      </c>
      <c r="E3533" s="2" t="s">
        <v>233</v>
      </c>
      <c r="F3533" s="3">
        <v>45272</v>
      </c>
      <c r="G3533" s="4">
        <f t="shared" si="332"/>
        <v>12</v>
      </c>
      <c r="H3533" s="4">
        <f t="shared" si="331"/>
        <v>2023</v>
      </c>
      <c r="I3533" s="2" t="s">
        <v>4</v>
      </c>
      <c r="J3533" s="2" t="s">
        <v>4395</v>
      </c>
      <c r="K3533" s="2" t="s">
        <v>205</v>
      </c>
      <c r="L3533" s="2" t="s">
        <v>206</v>
      </c>
      <c r="M3533" s="2" t="s">
        <v>119</v>
      </c>
      <c r="N3533" s="4" t="str">
        <f t="shared" si="333"/>
        <v>TON</v>
      </c>
      <c r="O3533" s="5">
        <v>5</v>
      </c>
    </row>
    <row r="3534" spans="2:15" x14ac:dyDescent="0.25">
      <c r="B3534" s="1" t="s">
        <v>1520</v>
      </c>
      <c r="C3534" s="2" t="s">
        <v>196</v>
      </c>
      <c r="D3534" s="2" t="s">
        <v>280</v>
      </c>
      <c r="E3534" s="2" t="s">
        <v>464</v>
      </c>
      <c r="F3534" s="3">
        <v>45272</v>
      </c>
      <c r="G3534" s="4">
        <f t="shared" si="332"/>
        <v>12</v>
      </c>
      <c r="H3534" s="4">
        <f t="shared" si="331"/>
        <v>2023</v>
      </c>
      <c r="I3534" s="2" t="s">
        <v>4</v>
      </c>
      <c r="J3534" s="2" t="s">
        <v>4396</v>
      </c>
      <c r="K3534" s="2" t="s">
        <v>117</v>
      </c>
      <c r="L3534" s="2" t="s">
        <v>118</v>
      </c>
      <c r="M3534" s="2" t="s">
        <v>119</v>
      </c>
      <c r="N3534" s="4" t="str">
        <f t="shared" si="333"/>
        <v>TON</v>
      </c>
      <c r="O3534" s="5">
        <v>9.9975000000000005</v>
      </c>
    </row>
    <row r="3535" spans="2:15" x14ac:dyDescent="0.25">
      <c r="B3535" s="1" t="s">
        <v>1520</v>
      </c>
      <c r="C3535" s="2" t="s">
        <v>196</v>
      </c>
      <c r="D3535" s="2" t="s">
        <v>341</v>
      </c>
      <c r="E3535" s="2" t="s">
        <v>91</v>
      </c>
      <c r="F3535" s="3">
        <v>45273</v>
      </c>
      <c r="G3535" s="4">
        <f t="shared" si="332"/>
        <v>12</v>
      </c>
      <c r="H3535" s="4">
        <f t="shared" si="331"/>
        <v>2023</v>
      </c>
      <c r="I3535" s="2" t="s">
        <v>4</v>
      </c>
      <c r="J3535" s="2" t="s">
        <v>4397</v>
      </c>
      <c r="K3535" s="2" t="s">
        <v>143</v>
      </c>
      <c r="L3535" s="2" t="s">
        <v>2855</v>
      </c>
      <c r="M3535" s="2" t="s">
        <v>145</v>
      </c>
      <c r="N3535" s="4" t="str">
        <f t="shared" si="333"/>
        <v>GAL</v>
      </c>
      <c r="O3535" s="5">
        <v>180</v>
      </c>
    </row>
    <row r="3536" spans="2:15" x14ac:dyDescent="0.25">
      <c r="B3536" s="1" t="s">
        <v>1520</v>
      </c>
      <c r="C3536" s="2" t="s">
        <v>196</v>
      </c>
      <c r="D3536" s="2" t="s">
        <v>341</v>
      </c>
      <c r="E3536" s="2" t="s">
        <v>91</v>
      </c>
      <c r="F3536" s="3">
        <v>45273</v>
      </c>
      <c r="G3536" s="4">
        <f t="shared" si="332"/>
        <v>12</v>
      </c>
      <c r="H3536" s="4">
        <f t="shared" si="331"/>
        <v>2023</v>
      </c>
      <c r="I3536" s="2" t="s">
        <v>4</v>
      </c>
      <c r="J3536" s="2" t="s">
        <v>4397</v>
      </c>
      <c r="K3536" s="2" t="s">
        <v>143</v>
      </c>
      <c r="L3536" s="2" t="s">
        <v>2855</v>
      </c>
      <c r="M3536" s="2" t="s">
        <v>145</v>
      </c>
      <c r="N3536" s="4" t="str">
        <f t="shared" si="333"/>
        <v>GAL</v>
      </c>
      <c r="O3536" s="5">
        <v>14</v>
      </c>
    </row>
    <row r="3537" spans="2:15" x14ac:dyDescent="0.25">
      <c r="B3537" s="1" t="s">
        <v>1520</v>
      </c>
      <c r="C3537" s="2" t="s">
        <v>196</v>
      </c>
      <c r="D3537" s="2" t="s">
        <v>210</v>
      </c>
      <c r="E3537" s="2" t="s">
        <v>962</v>
      </c>
      <c r="F3537" s="3">
        <v>45273</v>
      </c>
      <c r="G3537" s="4">
        <f t="shared" si="332"/>
        <v>12</v>
      </c>
      <c r="H3537" s="4">
        <f t="shared" si="331"/>
        <v>2023</v>
      </c>
      <c r="I3537" s="2" t="s">
        <v>4</v>
      </c>
      <c r="J3537" s="2" t="s">
        <v>4398</v>
      </c>
      <c r="K3537" s="2" t="s">
        <v>213</v>
      </c>
      <c r="L3537" s="2" t="s">
        <v>214</v>
      </c>
      <c r="M3537" s="2" t="s">
        <v>119</v>
      </c>
      <c r="N3537" s="4" t="str">
        <f t="shared" si="333"/>
        <v>TON</v>
      </c>
      <c r="O3537" s="5">
        <v>15.005000000000001</v>
      </c>
    </row>
    <row r="3538" spans="2:15" x14ac:dyDescent="0.25">
      <c r="B3538" s="1" t="s">
        <v>1520</v>
      </c>
      <c r="C3538" s="2" t="s">
        <v>196</v>
      </c>
      <c r="D3538" s="2" t="s">
        <v>475</v>
      </c>
      <c r="E3538" s="2" t="s">
        <v>476</v>
      </c>
      <c r="F3538" s="3">
        <v>45273</v>
      </c>
      <c r="G3538" s="4">
        <f t="shared" si="332"/>
        <v>12</v>
      </c>
      <c r="H3538" s="4">
        <f t="shared" si="331"/>
        <v>2023</v>
      </c>
      <c r="I3538" s="2" t="s">
        <v>4</v>
      </c>
      <c r="J3538" s="2" t="s">
        <v>4399</v>
      </c>
      <c r="K3538" s="2" t="s">
        <v>478</v>
      </c>
      <c r="L3538" s="2" t="s">
        <v>479</v>
      </c>
      <c r="M3538" s="2" t="s">
        <v>119</v>
      </c>
      <c r="N3538" s="4" t="str">
        <f t="shared" si="333"/>
        <v>TON</v>
      </c>
      <c r="O3538" s="5">
        <v>14.9825</v>
      </c>
    </row>
    <row r="3539" spans="2:15" x14ac:dyDescent="0.25">
      <c r="B3539" s="1" t="s">
        <v>1520</v>
      </c>
      <c r="C3539" s="2" t="s">
        <v>196</v>
      </c>
      <c r="D3539" s="2" t="s">
        <v>294</v>
      </c>
      <c r="E3539" s="2" t="s">
        <v>295</v>
      </c>
      <c r="F3539" s="3">
        <v>45273</v>
      </c>
      <c r="G3539" s="4">
        <f t="shared" si="332"/>
        <v>12</v>
      </c>
      <c r="H3539" s="4">
        <f t="shared" si="331"/>
        <v>2023</v>
      </c>
      <c r="I3539" s="2" t="s">
        <v>4</v>
      </c>
      <c r="J3539" s="2" t="s">
        <v>4400</v>
      </c>
      <c r="K3539" s="2" t="s">
        <v>834</v>
      </c>
      <c r="L3539" s="2" t="s">
        <v>835</v>
      </c>
      <c r="M3539" s="2" t="s">
        <v>119</v>
      </c>
      <c r="N3539" s="4" t="str">
        <f t="shared" si="333"/>
        <v>TON</v>
      </c>
      <c r="O3539" s="5">
        <v>2.5</v>
      </c>
    </row>
    <row r="3540" spans="2:15" x14ac:dyDescent="0.25">
      <c r="B3540" s="1" t="s">
        <v>1520</v>
      </c>
      <c r="C3540" s="2" t="s">
        <v>196</v>
      </c>
      <c r="D3540" s="2" t="s">
        <v>232</v>
      </c>
      <c r="E3540" s="2" t="s">
        <v>778</v>
      </c>
      <c r="F3540" s="3">
        <v>45273</v>
      </c>
      <c r="G3540" s="4">
        <f t="shared" si="332"/>
        <v>12</v>
      </c>
      <c r="H3540" s="4">
        <f t="shared" si="331"/>
        <v>2023</v>
      </c>
      <c r="I3540" s="2" t="s">
        <v>4</v>
      </c>
      <c r="J3540" s="2" t="s">
        <v>4401</v>
      </c>
      <c r="K3540" s="2" t="s">
        <v>205</v>
      </c>
      <c r="L3540" s="2" t="s">
        <v>206</v>
      </c>
      <c r="M3540" s="2" t="s">
        <v>119</v>
      </c>
      <c r="N3540" s="4" t="str">
        <f t="shared" si="333"/>
        <v>TON</v>
      </c>
      <c r="O3540" s="5">
        <v>6</v>
      </c>
    </row>
    <row r="3541" spans="2:15" x14ac:dyDescent="0.25">
      <c r="B3541" s="1" t="s">
        <v>1520</v>
      </c>
      <c r="C3541" s="2" t="s">
        <v>196</v>
      </c>
      <c r="D3541" s="2" t="s">
        <v>310</v>
      </c>
      <c r="E3541" s="2" t="s">
        <v>426</v>
      </c>
      <c r="F3541" s="3">
        <v>45273</v>
      </c>
      <c r="G3541" s="4">
        <f t="shared" si="332"/>
        <v>12</v>
      </c>
      <c r="H3541" s="4">
        <f t="shared" si="331"/>
        <v>2023</v>
      </c>
      <c r="I3541" s="2" t="s">
        <v>4</v>
      </c>
      <c r="J3541" s="2" t="s">
        <v>4402</v>
      </c>
      <c r="K3541" s="2" t="s">
        <v>428</v>
      </c>
      <c r="L3541" s="2" t="s">
        <v>429</v>
      </c>
      <c r="M3541" s="2" t="s">
        <v>119</v>
      </c>
      <c r="N3541" s="4" t="str">
        <f t="shared" si="333"/>
        <v>TON</v>
      </c>
      <c r="O3541" s="5">
        <v>1.9924999999999999</v>
      </c>
    </row>
    <row r="3542" spans="2:15" x14ac:dyDescent="0.25">
      <c r="B3542" s="1" t="s">
        <v>1520</v>
      </c>
      <c r="C3542" s="2" t="s">
        <v>196</v>
      </c>
      <c r="D3542" s="2" t="s">
        <v>289</v>
      </c>
      <c r="E3542" s="2" t="s">
        <v>290</v>
      </c>
      <c r="F3542" s="3">
        <v>45273</v>
      </c>
      <c r="G3542" s="4">
        <f t="shared" si="332"/>
        <v>12</v>
      </c>
      <c r="H3542" s="4">
        <f t="shared" si="331"/>
        <v>2023</v>
      </c>
      <c r="I3542" s="2" t="s">
        <v>4</v>
      </c>
      <c r="J3542" s="2" t="s">
        <v>4403</v>
      </c>
      <c r="K3542" s="2" t="s">
        <v>865</v>
      </c>
      <c r="L3542" s="2" t="s">
        <v>866</v>
      </c>
      <c r="M3542" s="2" t="s">
        <v>119</v>
      </c>
      <c r="N3542" s="4" t="str">
        <f t="shared" si="333"/>
        <v>TON</v>
      </c>
      <c r="O3542" s="5">
        <v>1</v>
      </c>
    </row>
    <row r="3543" spans="2:15" x14ac:dyDescent="0.25">
      <c r="B3543" s="1" t="s">
        <v>1520</v>
      </c>
      <c r="C3543" s="2" t="s">
        <v>196</v>
      </c>
      <c r="D3543" s="2" t="s">
        <v>374</v>
      </c>
      <c r="E3543" s="2" t="s">
        <v>379</v>
      </c>
      <c r="F3543" s="3">
        <v>45274</v>
      </c>
      <c r="G3543" s="4">
        <f t="shared" si="332"/>
        <v>12</v>
      </c>
      <c r="H3543" s="4">
        <f t="shared" si="331"/>
        <v>2023</v>
      </c>
      <c r="I3543" s="2" t="s">
        <v>4</v>
      </c>
      <c r="J3543" s="2" t="s">
        <v>4404</v>
      </c>
      <c r="K3543" s="2" t="s">
        <v>649</v>
      </c>
      <c r="L3543" s="2" t="s">
        <v>538</v>
      </c>
      <c r="M3543" s="2" t="s">
        <v>4243</v>
      </c>
      <c r="N3543" s="4" t="str">
        <f t="shared" si="333"/>
        <v>GAL</v>
      </c>
      <c r="O3543" s="5">
        <v>500</v>
      </c>
    </row>
    <row r="3544" spans="2:15" x14ac:dyDescent="0.25">
      <c r="B3544" s="1" t="s">
        <v>1520</v>
      </c>
      <c r="C3544" s="2" t="s">
        <v>196</v>
      </c>
      <c r="D3544" s="2" t="s">
        <v>120</v>
      </c>
      <c r="E3544" s="2" t="s">
        <v>468</v>
      </c>
      <c r="F3544" s="3">
        <v>45274</v>
      </c>
      <c r="G3544" s="4">
        <f t="shared" si="332"/>
        <v>12</v>
      </c>
      <c r="H3544" s="4">
        <f t="shared" si="331"/>
        <v>2023</v>
      </c>
      <c r="I3544" s="2" t="s">
        <v>4</v>
      </c>
      <c r="J3544" s="2" t="s">
        <v>4405</v>
      </c>
      <c r="K3544" s="2" t="s">
        <v>268</v>
      </c>
      <c r="L3544" s="2" t="s">
        <v>269</v>
      </c>
      <c r="M3544" s="2" t="s">
        <v>119</v>
      </c>
      <c r="N3544" s="4" t="str">
        <f t="shared" si="333"/>
        <v>TON</v>
      </c>
      <c r="O3544" s="5">
        <v>0.15</v>
      </c>
    </row>
    <row r="3545" spans="2:15" x14ac:dyDescent="0.25">
      <c r="B3545" s="1" t="s">
        <v>1520</v>
      </c>
      <c r="C3545" s="2" t="s">
        <v>196</v>
      </c>
      <c r="D3545" s="2" t="s">
        <v>449</v>
      </c>
      <c r="E3545" s="2" t="s">
        <v>780</v>
      </c>
      <c r="F3545" s="3">
        <v>45274</v>
      </c>
      <c r="G3545" s="4">
        <f t="shared" si="332"/>
        <v>12</v>
      </c>
      <c r="H3545" s="4">
        <f t="shared" si="331"/>
        <v>2023</v>
      </c>
      <c r="I3545" s="2" t="s">
        <v>4</v>
      </c>
      <c r="J3545" s="2" t="s">
        <v>4406</v>
      </c>
      <c r="K3545" s="2" t="s">
        <v>329</v>
      </c>
      <c r="L3545" s="2" t="s">
        <v>330</v>
      </c>
      <c r="M3545" s="2" t="s">
        <v>119</v>
      </c>
      <c r="N3545" s="4" t="str">
        <f t="shared" si="333"/>
        <v>TON</v>
      </c>
      <c r="O3545" s="5">
        <v>4.0175000000000001</v>
      </c>
    </row>
    <row r="3546" spans="2:15" x14ac:dyDescent="0.25">
      <c r="B3546" s="1" t="s">
        <v>645</v>
      </c>
      <c r="C3546" s="2" t="s">
        <v>196</v>
      </c>
      <c r="D3546" s="2" t="s">
        <v>374</v>
      </c>
      <c r="E3546" s="2" t="s">
        <v>717</v>
      </c>
      <c r="F3546" s="3">
        <v>45274</v>
      </c>
      <c r="G3546" s="4">
        <f t="shared" si="332"/>
        <v>12</v>
      </c>
      <c r="H3546" s="4">
        <f t="shared" si="331"/>
        <v>2023</v>
      </c>
      <c r="I3546" s="2" t="s">
        <v>4</v>
      </c>
      <c r="J3546" s="2" t="s">
        <v>4407</v>
      </c>
      <c r="K3546" s="2" t="s">
        <v>329</v>
      </c>
      <c r="L3546" s="2" t="s">
        <v>330</v>
      </c>
      <c r="M3546" s="2" t="s">
        <v>119</v>
      </c>
      <c r="N3546" s="4" t="str">
        <f t="shared" si="333"/>
        <v>TON</v>
      </c>
      <c r="O3546" s="5">
        <v>2.86</v>
      </c>
    </row>
    <row r="3547" spans="2:15" x14ac:dyDescent="0.25">
      <c r="B3547" s="1" t="s">
        <v>1520</v>
      </c>
      <c r="C3547" s="2" t="s">
        <v>196</v>
      </c>
      <c r="D3547" s="2" t="s">
        <v>280</v>
      </c>
      <c r="E3547" s="2" t="s">
        <v>434</v>
      </c>
      <c r="F3547" s="3">
        <v>45274</v>
      </c>
      <c r="G3547" s="4">
        <f t="shared" si="332"/>
        <v>12</v>
      </c>
      <c r="H3547" s="4">
        <f t="shared" si="331"/>
        <v>2023</v>
      </c>
      <c r="I3547" s="2" t="s">
        <v>4</v>
      </c>
      <c r="J3547" s="2" t="s">
        <v>4408</v>
      </c>
      <c r="K3547" s="2" t="s">
        <v>117</v>
      </c>
      <c r="L3547" s="2" t="s">
        <v>118</v>
      </c>
      <c r="M3547" s="2" t="s">
        <v>119</v>
      </c>
      <c r="N3547" s="4" t="str">
        <f t="shared" si="333"/>
        <v>TON</v>
      </c>
      <c r="O3547" s="5">
        <v>8.4949999999999992</v>
      </c>
    </row>
    <row r="3548" spans="2:15" x14ac:dyDescent="0.25">
      <c r="B3548" s="1" t="s">
        <v>1520</v>
      </c>
      <c r="C3548" s="2" t="s">
        <v>196</v>
      </c>
      <c r="D3548" s="2" t="s">
        <v>215</v>
      </c>
      <c r="E3548" s="2" t="s">
        <v>4113</v>
      </c>
      <c r="F3548" s="3">
        <v>45274</v>
      </c>
      <c r="G3548" s="4">
        <f t="shared" si="332"/>
        <v>12</v>
      </c>
      <c r="H3548" s="4">
        <f t="shared" si="331"/>
        <v>2023</v>
      </c>
      <c r="I3548" s="2" t="s">
        <v>4</v>
      </c>
      <c r="J3548" s="2" t="s">
        <v>4409</v>
      </c>
      <c r="K3548" s="2" t="s">
        <v>447</v>
      </c>
      <c r="L3548" s="2" t="s">
        <v>448</v>
      </c>
      <c r="M3548" s="2" t="s">
        <v>119</v>
      </c>
      <c r="N3548" s="4" t="str">
        <f t="shared" si="333"/>
        <v>TON</v>
      </c>
      <c r="O3548" s="5">
        <v>4.9874999999999998</v>
      </c>
    </row>
    <row r="3549" spans="2:15" x14ac:dyDescent="0.25">
      <c r="B3549" s="1" t="s">
        <v>1520</v>
      </c>
      <c r="C3549" s="2" t="s">
        <v>196</v>
      </c>
      <c r="D3549" s="2" t="s">
        <v>3761</v>
      </c>
      <c r="E3549" s="2" t="s">
        <v>3762</v>
      </c>
      <c r="F3549" s="3">
        <v>45274</v>
      </c>
      <c r="G3549" s="4">
        <f t="shared" si="332"/>
        <v>12</v>
      </c>
      <c r="H3549" s="4">
        <f t="shared" si="331"/>
        <v>2023</v>
      </c>
      <c r="I3549" s="2" t="s">
        <v>4</v>
      </c>
      <c r="J3549" s="2" t="s">
        <v>4410</v>
      </c>
      <c r="K3549" s="2" t="s">
        <v>329</v>
      </c>
      <c r="L3549" s="2" t="s">
        <v>330</v>
      </c>
      <c r="M3549" s="2" t="s">
        <v>119</v>
      </c>
      <c r="N3549" s="4" t="str">
        <f t="shared" si="333"/>
        <v>TON</v>
      </c>
      <c r="O3549" s="5">
        <v>8.25</v>
      </c>
    </row>
    <row r="3550" spans="2:15" x14ac:dyDescent="0.25">
      <c r="B3550" s="1" t="s">
        <v>1520</v>
      </c>
      <c r="C3550" s="2" t="s">
        <v>196</v>
      </c>
      <c r="D3550" s="2" t="s">
        <v>224</v>
      </c>
      <c r="E3550" s="2" t="s">
        <v>361</v>
      </c>
      <c r="F3550" s="3">
        <v>45275</v>
      </c>
      <c r="G3550" s="4">
        <f t="shared" si="332"/>
        <v>12</v>
      </c>
      <c r="H3550" s="4">
        <f t="shared" si="331"/>
        <v>2023</v>
      </c>
      <c r="I3550" s="2" t="s">
        <v>4</v>
      </c>
      <c r="J3550" s="2" t="s">
        <v>4411</v>
      </c>
      <c r="K3550" s="2" t="s">
        <v>205</v>
      </c>
      <c r="L3550" s="2" t="s">
        <v>206</v>
      </c>
      <c r="M3550" s="2" t="s">
        <v>119</v>
      </c>
      <c r="N3550" s="4" t="str">
        <f t="shared" si="333"/>
        <v>TON</v>
      </c>
      <c r="O3550" s="5">
        <v>5.0025000000000004</v>
      </c>
    </row>
    <row r="3551" spans="2:15" x14ac:dyDescent="0.25">
      <c r="B3551" s="1" t="s">
        <v>1520</v>
      </c>
      <c r="C3551" s="2" t="s">
        <v>196</v>
      </c>
      <c r="D3551" s="2" t="s">
        <v>669</v>
      </c>
      <c r="E3551" s="2" t="s">
        <v>4412</v>
      </c>
      <c r="F3551" s="3">
        <v>45275</v>
      </c>
      <c r="G3551" s="4">
        <f t="shared" si="332"/>
        <v>12</v>
      </c>
      <c r="H3551" s="4">
        <f t="shared" si="331"/>
        <v>2023</v>
      </c>
      <c r="I3551" s="2" t="s">
        <v>4</v>
      </c>
      <c r="J3551" s="2" t="s">
        <v>4413</v>
      </c>
      <c r="K3551" s="2" t="s">
        <v>384</v>
      </c>
      <c r="L3551" s="2" t="s">
        <v>385</v>
      </c>
      <c r="M3551" s="2" t="s">
        <v>119</v>
      </c>
      <c r="N3551" s="4" t="str">
        <f t="shared" si="333"/>
        <v>TON</v>
      </c>
      <c r="O3551" s="5">
        <v>9.2650000000000006</v>
      </c>
    </row>
    <row r="3552" spans="2:15" x14ac:dyDescent="0.25">
      <c r="B3552" s="1" t="s">
        <v>1520</v>
      </c>
      <c r="C3552" s="2" t="s">
        <v>196</v>
      </c>
      <c r="D3552" s="2" t="s">
        <v>3552</v>
      </c>
      <c r="E3552" s="2" t="s">
        <v>102</v>
      </c>
      <c r="F3552" s="3">
        <v>45275</v>
      </c>
      <c r="G3552" s="4">
        <f t="shared" si="332"/>
        <v>12</v>
      </c>
      <c r="H3552" s="4">
        <f t="shared" si="331"/>
        <v>2023</v>
      </c>
      <c r="I3552" s="2" t="s">
        <v>4</v>
      </c>
      <c r="J3552" s="2" t="s">
        <v>4414</v>
      </c>
      <c r="K3552" s="2" t="s">
        <v>2447</v>
      </c>
      <c r="L3552" s="2" t="s">
        <v>547</v>
      </c>
      <c r="M3552" s="2" t="s">
        <v>160</v>
      </c>
      <c r="N3552" s="4" t="str">
        <f t="shared" si="333"/>
        <v>GAL</v>
      </c>
      <c r="O3552" s="5">
        <v>40</v>
      </c>
    </row>
    <row r="3553" spans="2:15" x14ac:dyDescent="0.25">
      <c r="B3553" s="1" t="s">
        <v>1520</v>
      </c>
      <c r="C3553" s="2" t="s">
        <v>196</v>
      </c>
      <c r="D3553" s="2" t="s">
        <v>280</v>
      </c>
      <c r="E3553" s="2" t="s">
        <v>254</v>
      </c>
      <c r="F3553" s="3">
        <v>45275</v>
      </c>
      <c r="G3553" s="4">
        <f t="shared" si="332"/>
        <v>12</v>
      </c>
      <c r="H3553" s="4">
        <f t="shared" si="331"/>
        <v>2023</v>
      </c>
      <c r="I3553" s="2" t="s">
        <v>4</v>
      </c>
      <c r="J3553" s="2" t="s">
        <v>4415</v>
      </c>
      <c r="K3553" s="2" t="s">
        <v>117</v>
      </c>
      <c r="L3553" s="2" t="s">
        <v>118</v>
      </c>
      <c r="M3553" s="2" t="s">
        <v>119</v>
      </c>
      <c r="N3553" s="4" t="str">
        <f t="shared" si="333"/>
        <v>TON</v>
      </c>
      <c r="O3553" s="5">
        <v>20.017499999999998</v>
      </c>
    </row>
    <row r="3554" spans="2:15" x14ac:dyDescent="0.25">
      <c r="B3554" s="1" t="s">
        <v>1520</v>
      </c>
      <c r="C3554" s="2" t="s">
        <v>196</v>
      </c>
      <c r="D3554" s="2" t="s">
        <v>704</v>
      </c>
      <c r="E3554" s="2" t="s">
        <v>141</v>
      </c>
      <c r="F3554" s="3">
        <v>45275</v>
      </c>
      <c r="G3554" s="4">
        <f t="shared" si="332"/>
        <v>12</v>
      </c>
      <c r="H3554" s="4">
        <f t="shared" si="331"/>
        <v>2023</v>
      </c>
      <c r="I3554" s="2" t="s">
        <v>4</v>
      </c>
      <c r="J3554" s="2" t="s">
        <v>4416</v>
      </c>
      <c r="K3554" s="2" t="s">
        <v>1734</v>
      </c>
      <c r="L3554" s="2" t="s">
        <v>1735</v>
      </c>
      <c r="M3554" s="2" t="s">
        <v>1736</v>
      </c>
      <c r="N3554" s="4" t="str">
        <f t="shared" si="333"/>
        <v>GAL</v>
      </c>
      <c r="O3554" s="5">
        <v>30</v>
      </c>
    </row>
    <row r="3555" spans="2:15" x14ac:dyDescent="0.25">
      <c r="B3555" s="1" t="s">
        <v>1520</v>
      </c>
      <c r="C3555" s="2" t="s">
        <v>196</v>
      </c>
      <c r="D3555" s="2" t="s">
        <v>215</v>
      </c>
      <c r="E3555" s="2" t="s">
        <v>315</v>
      </c>
      <c r="F3555" s="3">
        <v>45275</v>
      </c>
      <c r="G3555" s="4">
        <f t="shared" si="332"/>
        <v>12</v>
      </c>
      <c r="H3555" s="4">
        <f t="shared" si="331"/>
        <v>2023</v>
      </c>
      <c r="I3555" s="2" t="s">
        <v>4</v>
      </c>
      <c r="J3555" s="2" t="s">
        <v>4417</v>
      </c>
      <c r="K3555" s="2" t="s">
        <v>447</v>
      </c>
      <c r="L3555" s="2" t="s">
        <v>448</v>
      </c>
      <c r="M3555" s="2" t="s">
        <v>119</v>
      </c>
      <c r="N3555" s="4" t="str">
        <f t="shared" si="333"/>
        <v>TON</v>
      </c>
      <c r="O3555" s="5">
        <v>4.0049999999999999</v>
      </c>
    </row>
    <row r="3556" spans="2:15" x14ac:dyDescent="0.25">
      <c r="B3556" s="1" t="s">
        <v>1520</v>
      </c>
      <c r="C3556" s="2" t="s">
        <v>196</v>
      </c>
      <c r="D3556" s="2" t="s">
        <v>197</v>
      </c>
      <c r="E3556" s="2" t="s">
        <v>198</v>
      </c>
      <c r="F3556" s="3">
        <v>45275</v>
      </c>
      <c r="G3556" s="4">
        <f t="shared" si="332"/>
        <v>12</v>
      </c>
      <c r="H3556" s="4">
        <f t="shared" si="331"/>
        <v>2023</v>
      </c>
      <c r="I3556" s="2" t="s">
        <v>4</v>
      </c>
      <c r="J3556" s="2" t="s">
        <v>4418</v>
      </c>
      <c r="K3556" s="2" t="s">
        <v>307</v>
      </c>
      <c r="L3556" s="2" t="s">
        <v>308</v>
      </c>
      <c r="M3556" s="2" t="s">
        <v>119</v>
      </c>
      <c r="N3556" s="4" t="str">
        <f t="shared" si="333"/>
        <v>TON</v>
      </c>
      <c r="O3556" s="5">
        <v>3.5225</v>
      </c>
    </row>
    <row r="3557" spans="2:15" x14ac:dyDescent="0.25">
      <c r="B3557" s="1" t="s">
        <v>1520</v>
      </c>
      <c r="C3557" s="2" t="s">
        <v>196</v>
      </c>
      <c r="D3557" s="2" t="s">
        <v>276</v>
      </c>
      <c r="E3557" s="2" t="s">
        <v>878</v>
      </c>
      <c r="F3557" s="3">
        <v>45275</v>
      </c>
      <c r="G3557" s="4">
        <f t="shared" si="332"/>
        <v>12</v>
      </c>
      <c r="H3557" s="4">
        <f t="shared" si="331"/>
        <v>2023</v>
      </c>
      <c r="I3557" s="2" t="s">
        <v>4</v>
      </c>
      <c r="J3557" s="2" t="s">
        <v>4419</v>
      </c>
      <c r="K3557" s="2" t="s">
        <v>292</v>
      </c>
      <c r="L3557" s="2" t="s">
        <v>293</v>
      </c>
      <c r="M3557" s="2" t="s">
        <v>119</v>
      </c>
      <c r="N3557" s="4" t="str">
        <f t="shared" si="333"/>
        <v>TON</v>
      </c>
      <c r="O3557" s="5">
        <v>10.0175</v>
      </c>
    </row>
    <row r="3558" spans="2:15" x14ac:dyDescent="0.25">
      <c r="B3558" s="1" t="s">
        <v>1520</v>
      </c>
      <c r="C3558" s="2" t="s">
        <v>196</v>
      </c>
      <c r="D3558" s="2" t="s">
        <v>444</v>
      </c>
      <c r="E3558" s="2" t="s">
        <v>445</v>
      </c>
      <c r="F3558" s="3">
        <v>45275</v>
      </c>
      <c r="G3558" s="4">
        <f t="shared" si="332"/>
        <v>12</v>
      </c>
      <c r="H3558" s="4">
        <f t="shared" si="331"/>
        <v>2023</v>
      </c>
      <c r="I3558" s="2" t="s">
        <v>4</v>
      </c>
      <c r="J3558" s="2" t="s">
        <v>4420</v>
      </c>
      <c r="K3558" s="2" t="s">
        <v>394</v>
      </c>
      <c r="L3558" s="2" t="s">
        <v>395</v>
      </c>
      <c r="M3558" s="2" t="s">
        <v>119</v>
      </c>
      <c r="N3558" s="4" t="str">
        <f t="shared" si="333"/>
        <v>TON</v>
      </c>
      <c r="O3558" s="5">
        <v>5.75</v>
      </c>
    </row>
    <row r="3559" spans="2:15" x14ac:dyDescent="0.25">
      <c r="B3559" s="1" t="s">
        <v>645</v>
      </c>
      <c r="C3559" s="2" t="s">
        <v>196</v>
      </c>
      <c r="D3559" s="2" t="s">
        <v>888</v>
      </c>
      <c r="E3559" s="2" t="s">
        <v>888</v>
      </c>
      <c r="F3559" s="3">
        <v>45275</v>
      </c>
      <c r="G3559" s="4">
        <f t="shared" si="332"/>
        <v>12</v>
      </c>
      <c r="H3559" s="4">
        <f t="shared" si="331"/>
        <v>2023</v>
      </c>
      <c r="I3559" s="2" t="s">
        <v>4</v>
      </c>
      <c r="J3559" s="2" t="s">
        <v>4421</v>
      </c>
      <c r="K3559" s="2" t="s">
        <v>268</v>
      </c>
      <c r="L3559" s="2" t="s">
        <v>269</v>
      </c>
      <c r="M3559" s="2" t="s">
        <v>119</v>
      </c>
      <c r="N3559" s="4" t="str">
        <f t="shared" si="333"/>
        <v>TON</v>
      </c>
      <c r="O3559" s="5">
        <v>0.45</v>
      </c>
    </row>
    <row r="3560" spans="2:15" x14ac:dyDescent="0.25">
      <c r="B3560" s="1" t="s">
        <v>1520</v>
      </c>
      <c r="C3560" s="2" t="s">
        <v>196</v>
      </c>
      <c r="D3560" s="2" t="s">
        <v>114</v>
      </c>
      <c r="E3560" s="2" t="s">
        <v>369</v>
      </c>
      <c r="F3560" s="3">
        <v>45275</v>
      </c>
      <c r="G3560" s="4">
        <f t="shared" si="332"/>
        <v>12</v>
      </c>
      <c r="H3560" s="4">
        <f t="shared" si="331"/>
        <v>2023</v>
      </c>
      <c r="I3560" s="2" t="s">
        <v>4</v>
      </c>
      <c r="J3560" s="2" t="s">
        <v>4422</v>
      </c>
      <c r="K3560" s="2" t="s">
        <v>117</v>
      </c>
      <c r="L3560" s="2" t="s">
        <v>118</v>
      </c>
      <c r="M3560" s="2" t="s">
        <v>119</v>
      </c>
      <c r="N3560" s="4" t="str">
        <f t="shared" si="333"/>
        <v>TON</v>
      </c>
      <c r="O3560" s="5">
        <v>2.0074999999999998</v>
      </c>
    </row>
    <row r="3561" spans="2:15" x14ac:dyDescent="0.25">
      <c r="B3561" s="1" t="s">
        <v>1520</v>
      </c>
      <c r="C3561" s="2" t="s">
        <v>196</v>
      </c>
      <c r="D3561" s="2" t="s">
        <v>114</v>
      </c>
      <c r="E3561" s="2" t="s">
        <v>402</v>
      </c>
      <c r="F3561" s="3">
        <v>45278</v>
      </c>
      <c r="G3561" s="4">
        <f t="shared" si="332"/>
        <v>12</v>
      </c>
      <c r="H3561" s="4">
        <f t="shared" si="331"/>
        <v>2023</v>
      </c>
      <c r="I3561" s="2" t="s">
        <v>4</v>
      </c>
      <c r="J3561" s="2" t="s">
        <v>4423</v>
      </c>
      <c r="K3561" s="2" t="s">
        <v>117</v>
      </c>
      <c r="L3561" s="2" t="s">
        <v>118</v>
      </c>
      <c r="M3561" s="2" t="s">
        <v>119</v>
      </c>
      <c r="N3561" s="4" t="str">
        <f t="shared" si="333"/>
        <v>TON</v>
      </c>
      <c r="O3561" s="5">
        <v>11.535</v>
      </c>
    </row>
    <row r="3562" spans="2:15" x14ac:dyDescent="0.25">
      <c r="B3562" s="1" t="s">
        <v>1520</v>
      </c>
      <c r="C3562" s="2" t="s">
        <v>196</v>
      </c>
      <c r="D3562" s="2" t="s">
        <v>114</v>
      </c>
      <c r="E3562" s="2" t="s">
        <v>377</v>
      </c>
      <c r="F3562" s="3">
        <v>45278</v>
      </c>
      <c r="G3562" s="4">
        <f t="shared" si="332"/>
        <v>12</v>
      </c>
      <c r="H3562" s="4">
        <f t="shared" si="331"/>
        <v>2023</v>
      </c>
      <c r="I3562" s="2" t="s">
        <v>4</v>
      </c>
      <c r="J3562" s="2" t="s">
        <v>4424</v>
      </c>
      <c r="K3562" s="2" t="s">
        <v>117</v>
      </c>
      <c r="L3562" s="2" t="s">
        <v>118</v>
      </c>
      <c r="M3562" s="2" t="s">
        <v>119</v>
      </c>
      <c r="N3562" s="4" t="str">
        <f t="shared" si="333"/>
        <v>TON</v>
      </c>
      <c r="O3562" s="5">
        <v>9.7650000000000006</v>
      </c>
    </row>
    <row r="3563" spans="2:15" x14ac:dyDescent="0.25">
      <c r="B3563" s="1" t="s">
        <v>1520</v>
      </c>
      <c r="C3563" s="2" t="s">
        <v>196</v>
      </c>
      <c r="D3563" s="2" t="s">
        <v>374</v>
      </c>
      <c r="E3563" s="2" t="s">
        <v>710</v>
      </c>
      <c r="F3563" s="3">
        <v>45279</v>
      </c>
      <c r="G3563" s="4">
        <f t="shared" si="332"/>
        <v>12</v>
      </c>
      <c r="H3563" s="4">
        <f t="shared" si="331"/>
        <v>2023</v>
      </c>
      <c r="I3563" s="2" t="s">
        <v>4</v>
      </c>
      <c r="J3563" s="2" t="s">
        <v>4425</v>
      </c>
      <c r="K3563" s="2" t="s">
        <v>122</v>
      </c>
      <c r="L3563" s="2" t="s">
        <v>123</v>
      </c>
      <c r="M3563" s="2" t="s">
        <v>119</v>
      </c>
      <c r="N3563" s="4" t="str">
        <f t="shared" si="333"/>
        <v>TON</v>
      </c>
      <c r="O3563" s="5">
        <v>4.9850000000000003</v>
      </c>
    </row>
    <row r="3564" spans="2:15" x14ac:dyDescent="0.25">
      <c r="B3564" s="1" t="s">
        <v>1520</v>
      </c>
      <c r="C3564" s="2" t="s">
        <v>196</v>
      </c>
      <c r="D3564" s="2" t="s">
        <v>303</v>
      </c>
      <c r="E3564" s="2" t="s">
        <v>4426</v>
      </c>
      <c r="F3564" s="3">
        <v>45279</v>
      </c>
      <c r="G3564" s="4">
        <f t="shared" si="332"/>
        <v>12</v>
      </c>
      <c r="H3564" s="4">
        <f t="shared" si="331"/>
        <v>2023</v>
      </c>
      <c r="I3564" s="2" t="s">
        <v>4</v>
      </c>
      <c r="J3564" s="2" t="s">
        <v>4427</v>
      </c>
      <c r="K3564" s="2" t="s">
        <v>4428</v>
      </c>
      <c r="L3564" s="2" t="s">
        <v>4429</v>
      </c>
      <c r="M3564" s="2" t="s">
        <v>119</v>
      </c>
      <c r="N3564" s="4" t="str">
        <f t="shared" si="333"/>
        <v>TON</v>
      </c>
      <c r="O3564" s="5">
        <v>10.01</v>
      </c>
    </row>
    <row r="3565" spans="2:15" x14ac:dyDescent="0.25">
      <c r="B3565" s="1" t="s">
        <v>1520</v>
      </c>
      <c r="C3565" s="2" t="s">
        <v>196</v>
      </c>
      <c r="D3565" s="2" t="s">
        <v>303</v>
      </c>
      <c r="E3565" s="2" t="s">
        <v>4426</v>
      </c>
      <c r="F3565" s="3">
        <v>45279</v>
      </c>
      <c r="G3565" s="4">
        <f t="shared" si="332"/>
        <v>12</v>
      </c>
      <c r="H3565" s="4">
        <f t="shared" si="331"/>
        <v>2023</v>
      </c>
      <c r="I3565" s="2" t="s">
        <v>4</v>
      </c>
      <c r="J3565" s="2" t="s">
        <v>4427</v>
      </c>
      <c r="K3565" s="2" t="s">
        <v>3726</v>
      </c>
      <c r="L3565" s="2" t="s">
        <v>3727</v>
      </c>
      <c r="M3565" s="2" t="s">
        <v>145</v>
      </c>
      <c r="N3565" s="4" t="str">
        <f t="shared" si="333"/>
        <v>GAL</v>
      </c>
      <c r="O3565" s="5">
        <v>3.75</v>
      </c>
    </row>
    <row r="3566" spans="2:15" x14ac:dyDescent="0.25">
      <c r="B3566" s="1" t="s">
        <v>1520</v>
      </c>
      <c r="C3566" s="2" t="s">
        <v>196</v>
      </c>
      <c r="D3566" s="2" t="s">
        <v>215</v>
      </c>
      <c r="E3566" s="2" t="s">
        <v>4113</v>
      </c>
      <c r="F3566" s="3">
        <v>45279</v>
      </c>
      <c r="G3566" s="4">
        <f t="shared" si="332"/>
        <v>12</v>
      </c>
      <c r="H3566" s="4">
        <f t="shared" si="331"/>
        <v>2023</v>
      </c>
      <c r="I3566" s="2" t="s">
        <v>4</v>
      </c>
      <c r="J3566" s="2" t="s">
        <v>4430</v>
      </c>
      <c r="K3566" s="2" t="s">
        <v>447</v>
      </c>
      <c r="L3566" s="2" t="s">
        <v>448</v>
      </c>
      <c r="M3566" s="2" t="s">
        <v>119</v>
      </c>
      <c r="N3566" s="4" t="str">
        <f t="shared" si="333"/>
        <v>TON</v>
      </c>
      <c r="O3566" s="5">
        <v>15.01</v>
      </c>
    </row>
    <row r="3567" spans="2:15" x14ac:dyDescent="0.25">
      <c r="B3567" s="1" t="s">
        <v>1520</v>
      </c>
      <c r="C3567" s="2" t="s">
        <v>196</v>
      </c>
      <c r="D3567" s="2" t="s">
        <v>262</v>
      </c>
      <c r="E3567" s="2" t="s">
        <v>747</v>
      </c>
      <c r="F3567" s="3">
        <v>45279</v>
      </c>
      <c r="G3567" s="4">
        <f t="shared" si="332"/>
        <v>12</v>
      </c>
      <c r="H3567" s="4">
        <f t="shared" si="331"/>
        <v>2023</v>
      </c>
      <c r="I3567" s="2" t="s">
        <v>4</v>
      </c>
      <c r="J3567" s="2" t="s">
        <v>4431</v>
      </c>
      <c r="K3567" s="2" t="s">
        <v>329</v>
      </c>
      <c r="L3567" s="2" t="s">
        <v>330</v>
      </c>
      <c r="M3567" s="2" t="s">
        <v>119</v>
      </c>
      <c r="N3567" s="4" t="str">
        <f t="shared" si="333"/>
        <v>TON</v>
      </c>
      <c r="O3567" s="5">
        <v>5.0025000000000004</v>
      </c>
    </row>
    <row r="3568" spans="2:15" x14ac:dyDescent="0.25">
      <c r="B3568" s="1" t="s">
        <v>1520</v>
      </c>
      <c r="C3568" s="2" t="s">
        <v>196</v>
      </c>
      <c r="D3568" s="2" t="s">
        <v>317</v>
      </c>
      <c r="E3568" s="2" t="s">
        <v>677</v>
      </c>
      <c r="F3568" s="3">
        <v>45279</v>
      </c>
      <c r="G3568" s="4">
        <f t="shared" si="332"/>
        <v>12</v>
      </c>
      <c r="H3568" s="4">
        <f t="shared" si="331"/>
        <v>2023</v>
      </c>
      <c r="I3568" s="2" t="s">
        <v>4</v>
      </c>
      <c r="J3568" s="2" t="s">
        <v>4432</v>
      </c>
      <c r="K3568" s="2" t="s">
        <v>117</v>
      </c>
      <c r="L3568" s="2" t="s">
        <v>118</v>
      </c>
      <c r="M3568" s="2" t="s">
        <v>119</v>
      </c>
      <c r="N3568" s="4" t="str">
        <f t="shared" si="333"/>
        <v>TON</v>
      </c>
      <c r="O3568" s="5">
        <v>5.0125000000000002</v>
      </c>
    </row>
    <row r="3569" spans="2:15" x14ac:dyDescent="0.25">
      <c r="B3569" s="1" t="s">
        <v>1520</v>
      </c>
      <c r="C3569" s="2" t="s">
        <v>196</v>
      </c>
      <c r="D3569" s="2" t="s">
        <v>303</v>
      </c>
      <c r="E3569" s="2" t="s">
        <v>942</v>
      </c>
      <c r="F3569" s="3">
        <v>45279</v>
      </c>
      <c r="G3569" s="4">
        <f t="shared" si="332"/>
        <v>12</v>
      </c>
      <c r="H3569" s="4">
        <f t="shared" si="331"/>
        <v>2023</v>
      </c>
      <c r="I3569" s="2" t="s">
        <v>4</v>
      </c>
      <c r="J3569" s="2" t="s">
        <v>4433</v>
      </c>
      <c r="K3569" s="2" t="s">
        <v>4428</v>
      </c>
      <c r="L3569" s="2" t="s">
        <v>4429</v>
      </c>
      <c r="M3569" s="2" t="s">
        <v>119</v>
      </c>
      <c r="N3569" s="4" t="str">
        <f t="shared" si="333"/>
        <v>TON</v>
      </c>
      <c r="O3569" s="5">
        <v>3.7475000000000001</v>
      </c>
    </row>
    <row r="3570" spans="2:15" x14ac:dyDescent="0.25">
      <c r="B3570" s="1" t="s">
        <v>1520</v>
      </c>
      <c r="C3570" s="2" t="s">
        <v>196</v>
      </c>
      <c r="D3570" s="2" t="s">
        <v>303</v>
      </c>
      <c r="E3570" s="2" t="s">
        <v>942</v>
      </c>
      <c r="F3570" s="3">
        <v>45279</v>
      </c>
      <c r="G3570" s="4">
        <f t="shared" si="332"/>
        <v>12</v>
      </c>
      <c r="H3570" s="4">
        <f t="shared" si="331"/>
        <v>2023</v>
      </c>
      <c r="I3570" s="2" t="s">
        <v>4</v>
      </c>
      <c r="J3570" s="2" t="s">
        <v>4433</v>
      </c>
      <c r="K3570" s="2" t="s">
        <v>3726</v>
      </c>
      <c r="L3570" s="2" t="s">
        <v>3727</v>
      </c>
      <c r="M3570" s="2" t="s">
        <v>145</v>
      </c>
      <c r="N3570" s="4" t="str">
        <f t="shared" si="333"/>
        <v>GAL</v>
      </c>
      <c r="O3570" s="5">
        <v>1.41</v>
      </c>
    </row>
    <row r="3571" spans="2:15" x14ac:dyDescent="0.25">
      <c r="B3571" s="1" t="s">
        <v>1520</v>
      </c>
      <c r="C3571" s="2" t="s">
        <v>196</v>
      </c>
      <c r="D3571" s="2" t="s">
        <v>294</v>
      </c>
      <c r="E3571" s="2" t="s">
        <v>295</v>
      </c>
      <c r="F3571" s="3">
        <v>45279</v>
      </c>
      <c r="G3571" s="4">
        <f t="shared" si="332"/>
        <v>12</v>
      </c>
      <c r="H3571" s="4">
        <f t="shared" si="331"/>
        <v>2023</v>
      </c>
      <c r="I3571" s="2" t="s">
        <v>4</v>
      </c>
      <c r="J3571" s="2" t="s">
        <v>4434</v>
      </c>
      <c r="K3571" s="2" t="s">
        <v>122</v>
      </c>
      <c r="L3571" s="2" t="s">
        <v>123</v>
      </c>
      <c r="M3571" s="2" t="s">
        <v>119</v>
      </c>
      <c r="N3571" s="4" t="str">
        <f t="shared" si="333"/>
        <v>TON</v>
      </c>
      <c r="O3571" s="5">
        <v>7.49</v>
      </c>
    </row>
    <row r="3572" spans="2:15" x14ac:dyDescent="0.25">
      <c r="B3572" s="1" t="s">
        <v>1520</v>
      </c>
      <c r="C3572" s="2" t="s">
        <v>196</v>
      </c>
      <c r="D3572" s="2" t="s">
        <v>241</v>
      </c>
      <c r="E3572" s="2" t="s">
        <v>242</v>
      </c>
      <c r="F3572" s="3">
        <v>45279</v>
      </c>
      <c r="G3572" s="4">
        <f t="shared" si="332"/>
        <v>12</v>
      </c>
      <c r="H3572" s="4">
        <f t="shared" si="331"/>
        <v>2023</v>
      </c>
      <c r="I3572" s="2" t="s">
        <v>4</v>
      </c>
      <c r="J3572" s="2" t="s">
        <v>4435</v>
      </c>
      <c r="K3572" s="2" t="s">
        <v>531</v>
      </c>
      <c r="L3572" s="2" t="s">
        <v>201</v>
      </c>
      <c r="M3572" s="2" t="s">
        <v>202</v>
      </c>
      <c r="N3572" s="4" t="str">
        <f t="shared" si="333"/>
        <v>GAL</v>
      </c>
      <c r="O3572" s="5">
        <v>30</v>
      </c>
    </row>
    <row r="3573" spans="2:15" x14ac:dyDescent="0.25">
      <c r="B3573" s="1" t="s">
        <v>1520</v>
      </c>
      <c r="C3573" s="2" t="s">
        <v>196</v>
      </c>
      <c r="D3573" s="2" t="s">
        <v>317</v>
      </c>
      <c r="E3573" s="2" t="s">
        <v>319</v>
      </c>
      <c r="F3573" s="3">
        <v>45279</v>
      </c>
      <c r="G3573" s="4">
        <f t="shared" si="332"/>
        <v>12</v>
      </c>
      <c r="H3573" s="4">
        <f t="shared" si="331"/>
        <v>2023</v>
      </c>
      <c r="I3573" s="2" t="s">
        <v>4</v>
      </c>
      <c r="J3573" s="2" t="s">
        <v>4436</v>
      </c>
      <c r="K3573" s="2" t="s">
        <v>117</v>
      </c>
      <c r="L3573" s="2" t="s">
        <v>118</v>
      </c>
      <c r="M3573" s="2" t="s">
        <v>119</v>
      </c>
      <c r="N3573" s="4" t="str">
        <f t="shared" si="333"/>
        <v>TON</v>
      </c>
      <c r="O3573" s="5">
        <v>15.095000000000001</v>
      </c>
    </row>
    <row r="3574" spans="2:15" x14ac:dyDescent="0.25">
      <c r="B3574" s="1" t="s">
        <v>1520</v>
      </c>
      <c r="C3574" s="2" t="s">
        <v>196</v>
      </c>
      <c r="D3574" s="2" t="s">
        <v>241</v>
      </c>
      <c r="E3574" s="2" t="s">
        <v>242</v>
      </c>
      <c r="F3574" s="3">
        <v>45280</v>
      </c>
      <c r="G3574" s="4">
        <f t="shared" si="332"/>
        <v>12</v>
      </c>
      <c r="H3574" s="4">
        <f t="shared" si="331"/>
        <v>2023</v>
      </c>
      <c r="I3574" s="2" t="s">
        <v>4</v>
      </c>
      <c r="J3574" s="2" t="s">
        <v>4437</v>
      </c>
      <c r="K3574" s="2" t="s">
        <v>260</v>
      </c>
      <c r="L3574" s="2" t="s">
        <v>261</v>
      </c>
      <c r="M3574" s="2" t="s">
        <v>119</v>
      </c>
      <c r="N3574" s="4" t="str">
        <f t="shared" si="333"/>
        <v>TON</v>
      </c>
      <c r="O3574" s="5">
        <v>1.0125</v>
      </c>
    </row>
    <row r="3575" spans="2:15" x14ac:dyDescent="0.25">
      <c r="B3575" s="1" t="s">
        <v>1520</v>
      </c>
      <c r="C3575" s="2" t="s">
        <v>196</v>
      </c>
      <c r="D3575" s="2" t="s">
        <v>721</v>
      </c>
      <c r="E3575" s="2" t="s">
        <v>721</v>
      </c>
      <c r="F3575" s="3">
        <v>45280</v>
      </c>
      <c r="G3575" s="4">
        <f t="shared" si="332"/>
        <v>12</v>
      </c>
      <c r="H3575" s="4">
        <f t="shared" si="331"/>
        <v>2023</v>
      </c>
      <c r="I3575" s="2" t="s">
        <v>4</v>
      </c>
      <c r="J3575" s="2" t="s">
        <v>4438</v>
      </c>
      <c r="K3575" s="2" t="s">
        <v>531</v>
      </c>
      <c r="L3575" s="2" t="s">
        <v>201</v>
      </c>
      <c r="M3575" s="2" t="s">
        <v>202</v>
      </c>
      <c r="N3575" s="4" t="str">
        <f t="shared" si="333"/>
        <v>GAL</v>
      </c>
      <c r="O3575" s="5">
        <v>60</v>
      </c>
    </row>
    <row r="3576" spans="2:15" x14ac:dyDescent="0.25">
      <c r="B3576" s="1" t="s">
        <v>1520</v>
      </c>
      <c r="C3576" s="2" t="s">
        <v>196</v>
      </c>
      <c r="D3576" s="2" t="s">
        <v>452</v>
      </c>
      <c r="E3576" s="2" t="s">
        <v>453</v>
      </c>
      <c r="F3576" s="3">
        <v>45280</v>
      </c>
      <c r="G3576" s="4">
        <f t="shared" si="332"/>
        <v>12</v>
      </c>
      <c r="H3576" s="4">
        <f t="shared" si="331"/>
        <v>2023</v>
      </c>
      <c r="I3576" s="2" t="s">
        <v>4</v>
      </c>
      <c r="J3576" s="2" t="s">
        <v>4439</v>
      </c>
      <c r="K3576" s="2" t="s">
        <v>117</v>
      </c>
      <c r="L3576" s="2" t="s">
        <v>118</v>
      </c>
      <c r="M3576" s="2" t="s">
        <v>119</v>
      </c>
      <c r="N3576" s="4" t="str">
        <f t="shared" si="333"/>
        <v>TON</v>
      </c>
      <c r="O3576" s="5">
        <v>7.2474999999999996</v>
      </c>
    </row>
    <row r="3577" spans="2:15" x14ac:dyDescent="0.25">
      <c r="B3577" s="1" t="s">
        <v>1520</v>
      </c>
      <c r="C3577" s="2" t="s">
        <v>196</v>
      </c>
      <c r="D3577" s="2" t="s">
        <v>800</v>
      </c>
      <c r="E3577" s="2" t="s">
        <v>1134</v>
      </c>
      <c r="F3577" s="3">
        <v>45280</v>
      </c>
      <c r="G3577" s="4">
        <f t="shared" si="332"/>
        <v>12</v>
      </c>
      <c r="H3577" s="4">
        <f t="shared" si="331"/>
        <v>2023</v>
      </c>
      <c r="I3577" s="2" t="s">
        <v>4</v>
      </c>
      <c r="J3577" s="2" t="s">
        <v>4440</v>
      </c>
      <c r="K3577" s="2" t="s">
        <v>122</v>
      </c>
      <c r="L3577" s="2" t="s">
        <v>123</v>
      </c>
      <c r="M3577" s="2" t="s">
        <v>119</v>
      </c>
      <c r="N3577" s="4" t="str">
        <f t="shared" si="333"/>
        <v>TON</v>
      </c>
      <c r="O3577" s="5">
        <v>2.4975000000000001</v>
      </c>
    </row>
    <row r="3578" spans="2:15" x14ac:dyDescent="0.25">
      <c r="B3578" s="1" t="s">
        <v>1520</v>
      </c>
      <c r="C3578" s="2" t="s">
        <v>196</v>
      </c>
      <c r="D3578" s="2" t="s">
        <v>721</v>
      </c>
      <c r="E3578" s="2" t="s">
        <v>971</v>
      </c>
      <c r="F3578" s="3">
        <v>45280</v>
      </c>
      <c r="G3578" s="4">
        <f t="shared" si="332"/>
        <v>12</v>
      </c>
      <c r="H3578" s="4">
        <f t="shared" si="331"/>
        <v>2023</v>
      </c>
      <c r="I3578" s="2" t="s">
        <v>4</v>
      </c>
      <c r="J3578" s="2" t="s">
        <v>4441</v>
      </c>
      <c r="K3578" s="2" t="s">
        <v>384</v>
      </c>
      <c r="L3578" s="2" t="s">
        <v>385</v>
      </c>
      <c r="M3578" s="2" t="s">
        <v>119</v>
      </c>
      <c r="N3578" s="4" t="str">
        <f t="shared" si="333"/>
        <v>TON</v>
      </c>
      <c r="O3578" s="5">
        <v>1.25</v>
      </c>
    </row>
    <row r="3579" spans="2:15" x14ac:dyDescent="0.25">
      <c r="B3579" s="1" t="s">
        <v>1520</v>
      </c>
      <c r="C3579" s="2" t="s">
        <v>196</v>
      </c>
      <c r="D3579" s="2" t="s">
        <v>1706</v>
      </c>
      <c r="E3579" s="2" t="s">
        <v>102</v>
      </c>
      <c r="F3579" s="3">
        <v>45280</v>
      </c>
      <c r="G3579" s="4">
        <f t="shared" si="332"/>
        <v>12</v>
      </c>
      <c r="H3579" s="4">
        <f t="shared" ref="H3579:H3642" si="334">+YEAR(F3579)</f>
        <v>2023</v>
      </c>
      <c r="I3579" s="2" t="s">
        <v>4</v>
      </c>
      <c r="J3579" s="2" t="s">
        <v>4442</v>
      </c>
      <c r="K3579" s="2" t="s">
        <v>205</v>
      </c>
      <c r="L3579" s="2" t="s">
        <v>206</v>
      </c>
      <c r="M3579" s="2" t="s">
        <v>119</v>
      </c>
      <c r="N3579" s="4" t="str">
        <f t="shared" si="333"/>
        <v>TON</v>
      </c>
      <c r="O3579" s="5">
        <v>2.5</v>
      </c>
    </row>
    <row r="3580" spans="2:15" x14ac:dyDescent="0.25">
      <c r="B3580" s="6" t="s">
        <v>1520</v>
      </c>
      <c r="C3580" s="7" t="s">
        <v>196</v>
      </c>
      <c r="D3580" s="8" t="s">
        <v>440</v>
      </c>
      <c r="E3580" s="8" t="s">
        <v>441</v>
      </c>
      <c r="F3580" s="12">
        <v>45280</v>
      </c>
      <c r="G3580" s="10">
        <f t="shared" si="332"/>
        <v>12</v>
      </c>
      <c r="H3580" s="10">
        <f t="shared" si="334"/>
        <v>2023</v>
      </c>
      <c r="I3580" s="8" t="s">
        <v>4</v>
      </c>
      <c r="J3580" s="7" t="s">
        <v>4443</v>
      </c>
      <c r="K3580" s="8" t="s">
        <v>4222</v>
      </c>
      <c r="L3580" s="8" t="s">
        <v>4223</v>
      </c>
      <c r="M3580" s="8" t="s">
        <v>119</v>
      </c>
      <c r="N3580" s="10" t="str">
        <f t="shared" si="333"/>
        <v>TON</v>
      </c>
      <c r="O3580" s="11">
        <v>5.0075000000000003</v>
      </c>
    </row>
    <row r="3581" spans="2:15" x14ac:dyDescent="0.25">
      <c r="B3581" s="1" t="s">
        <v>1520</v>
      </c>
      <c r="C3581" s="2" t="s">
        <v>196</v>
      </c>
      <c r="D3581" s="2" t="s">
        <v>114</v>
      </c>
      <c r="E3581" s="2" t="s">
        <v>1585</v>
      </c>
      <c r="F3581" s="3">
        <v>45281</v>
      </c>
      <c r="G3581" s="4">
        <f t="shared" si="332"/>
        <v>12</v>
      </c>
      <c r="H3581" s="4">
        <f t="shared" si="334"/>
        <v>2023</v>
      </c>
      <c r="I3581" s="2" t="s">
        <v>4</v>
      </c>
      <c r="J3581" s="2" t="s">
        <v>4444</v>
      </c>
      <c r="K3581" s="2" t="s">
        <v>117</v>
      </c>
      <c r="L3581" s="2" t="s">
        <v>118</v>
      </c>
      <c r="M3581" s="2" t="s">
        <v>119</v>
      </c>
      <c r="N3581" s="4" t="str">
        <f t="shared" si="333"/>
        <v>TON</v>
      </c>
      <c r="O3581" s="5">
        <v>2.5150000000000001</v>
      </c>
    </row>
    <row r="3582" spans="2:15" x14ac:dyDescent="0.25">
      <c r="B3582" s="1" t="s">
        <v>1520</v>
      </c>
      <c r="C3582" s="2" t="s">
        <v>196</v>
      </c>
      <c r="D3582" s="2" t="s">
        <v>321</v>
      </c>
      <c r="E3582" s="2" t="s">
        <v>697</v>
      </c>
      <c r="F3582" s="3">
        <v>45280</v>
      </c>
      <c r="G3582" s="4">
        <f t="shared" si="332"/>
        <v>12</v>
      </c>
      <c r="H3582" s="4">
        <f t="shared" si="334"/>
        <v>2023</v>
      </c>
      <c r="I3582" s="2" t="s">
        <v>4</v>
      </c>
      <c r="J3582" s="2" t="s">
        <v>4445</v>
      </c>
      <c r="K3582" s="2" t="s">
        <v>394</v>
      </c>
      <c r="L3582" s="2" t="s">
        <v>395</v>
      </c>
      <c r="M3582" s="2" t="s">
        <v>119</v>
      </c>
      <c r="N3582" s="4" t="str">
        <f t="shared" si="333"/>
        <v>TON</v>
      </c>
      <c r="O3582" s="5">
        <v>10.01</v>
      </c>
    </row>
    <row r="3583" spans="2:15" x14ac:dyDescent="0.25">
      <c r="B3583" s="1" t="s">
        <v>1520</v>
      </c>
      <c r="C3583" s="2" t="s">
        <v>196</v>
      </c>
      <c r="D3583" s="2" t="s">
        <v>2002</v>
      </c>
      <c r="E3583" s="2" t="s">
        <v>102</v>
      </c>
      <c r="F3583" s="3">
        <v>45281</v>
      </c>
      <c r="G3583" s="4">
        <f t="shared" si="332"/>
        <v>12</v>
      </c>
      <c r="H3583" s="4">
        <f t="shared" si="334"/>
        <v>2023</v>
      </c>
      <c r="I3583" s="2" t="s">
        <v>4</v>
      </c>
      <c r="J3583" s="2" t="s">
        <v>4446</v>
      </c>
      <c r="K3583" s="2" t="s">
        <v>158</v>
      </c>
      <c r="L3583" s="2" t="s">
        <v>159</v>
      </c>
      <c r="M3583" s="2" t="s">
        <v>160</v>
      </c>
      <c r="N3583" s="4" t="str">
        <f t="shared" si="333"/>
        <v>GAL</v>
      </c>
      <c r="O3583" s="5">
        <v>45</v>
      </c>
    </row>
    <row r="3584" spans="2:15" x14ac:dyDescent="0.25">
      <c r="B3584" s="1" t="s">
        <v>1520</v>
      </c>
      <c r="C3584" s="2" t="s">
        <v>196</v>
      </c>
      <c r="D3584" s="2" t="s">
        <v>227</v>
      </c>
      <c r="E3584" s="2" t="s">
        <v>4447</v>
      </c>
      <c r="F3584" s="3">
        <v>45281</v>
      </c>
      <c r="G3584" s="4">
        <f t="shared" si="332"/>
        <v>12</v>
      </c>
      <c r="H3584" s="4">
        <f t="shared" si="334"/>
        <v>2023</v>
      </c>
      <c r="I3584" s="2" t="s">
        <v>4</v>
      </c>
      <c r="J3584" s="2" t="s">
        <v>4448</v>
      </c>
      <c r="K3584" s="2" t="s">
        <v>122</v>
      </c>
      <c r="L3584" s="2" t="s">
        <v>123</v>
      </c>
      <c r="M3584" s="2" t="s">
        <v>119</v>
      </c>
      <c r="N3584" s="4" t="str">
        <f t="shared" si="333"/>
        <v>TON</v>
      </c>
      <c r="O3584" s="5">
        <v>7.5075000000000003</v>
      </c>
    </row>
    <row r="3585" spans="2:15" x14ac:dyDescent="0.25">
      <c r="B3585" s="1" t="s">
        <v>1520</v>
      </c>
      <c r="C3585" s="2" t="s">
        <v>196</v>
      </c>
      <c r="D3585" s="2" t="s">
        <v>679</v>
      </c>
      <c r="E3585" s="2" t="s">
        <v>680</v>
      </c>
      <c r="F3585" s="3">
        <v>45281</v>
      </c>
      <c r="G3585" s="4">
        <f t="shared" si="332"/>
        <v>12</v>
      </c>
      <c r="H3585" s="4">
        <f t="shared" si="334"/>
        <v>2023</v>
      </c>
      <c r="I3585" s="2" t="s">
        <v>4</v>
      </c>
      <c r="J3585" s="2" t="s">
        <v>4449</v>
      </c>
      <c r="K3585" s="2" t="s">
        <v>4428</v>
      </c>
      <c r="L3585" s="2" t="s">
        <v>4429</v>
      </c>
      <c r="M3585" s="2" t="s">
        <v>119</v>
      </c>
      <c r="N3585" s="4" t="str">
        <f t="shared" si="333"/>
        <v>TON</v>
      </c>
      <c r="O3585" s="5">
        <v>2.5175000000000001</v>
      </c>
    </row>
    <row r="3586" spans="2:15" x14ac:dyDescent="0.25">
      <c r="B3586" s="1" t="s">
        <v>1520</v>
      </c>
      <c r="C3586" s="2" t="s">
        <v>196</v>
      </c>
      <c r="D3586" s="2" t="s">
        <v>679</v>
      </c>
      <c r="E3586" s="2" t="s">
        <v>680</v>
      </c>
      <c r="F3586" s="3">
        <v>45281</v>
      </c>
      <c r="G3586" s="4">
        <f t="shared" si="332"/>
        <v>12</v>
      </c>
      <c r="H3586" s="4">
        <f t="shared" si="334"/>
        <v>2023</v>
      </c>
      <c r="I3586" s="2" t="s">
        <v>4</v>
      </c>
      <c r="J3586" s="2" t="s">
        <v>4449</v>
      </c>
      <c r="K3586" s="2" t="s">
        <v>3726</v>
      </c>
      <c r="L3586" s="2" t="s">
        <v>3727</v>
      </c>
      <c r="M3586" s="2" t="s">
        <v>145</v>
      </c>
      <c r="N3586" s="4" t="str">
        <f t="shared" si="333"/>
        <v>GAL</v>
      </c>
      <c r="O3586" s="5">
        <v>0.9375</v>
      </c>
    </row>
    <row r="3587" spans="2:15" x14ac:dyDescent="0.25">
      <c r="B3587" s="1" t="s">
        <v>1520</v>
      </c>
      <c r="C3587" s="2" t="s">
        <v>196</v>
      </c>
      <c r="D3587" s="2" t="s">
        <v>374</v>
      </c>
      <c r="E3587" s="2" t="s">
        <v>424</v>
      </c>
      <c r="F3587" s="3">
        <v>45282</v>
      </c>
      <c r="G3587" s="4">
        <f t="shared" ref="G3587:G3650" si="335">+MONTH(F3587)</f>
        <v>12</v>
      </c>
      <c r="H3587" s="4">
        <f t="shared" si="334"/>
        <v>2023</v>
      </c>
      <c r="I3587" s="2" t="s">
        <v>4</v>
      </c>
      <c r="J3587" s="2" t="s">
        <v>4450</v>
      </c>
      <c r="K3587" s="2" t="s">
        <v>329</v>
      </c>
      <c r="L3587" s="2" t="s">
        <v>330</v>
      </c>
      <c r="M3587" s="2" t="s">
        <v>119</v>
      </c>
      <c r="N3587" s="4" t="str">
        <f t="shared" ref="N3587:N3650" si="336">+LEFT(M3587,3)</f>
        <v>TON</v>
      </c>
      <c r="O3587" s="5">
        <v>2.5125000000000002</v>
      </c>
    </row>
    <row r="3588" spans="2:15" x14ac:dyDescent="0.25">
      <c r="B3588" s="1" t="s">
        <v>1520</v>
      </c>
      <c r="C3588" s="2" t="s">
        <v>196</v>
      </c>
      <c r="D3588" s="2" t="s">
        <v>458</v>
      </c>
      <c r="E3588" s="2" t="s">
        <v>1177</v>
      </c>
      <c r="F3588" s="3">
        <v>45282</v>
      </c>
      <c r="G3588" s="4">
        <f t="shared" si="335"/>
        <v>12</v>
      </c>
      <c r="H3588" s="4">
        <f t="shared" si="334"/>
        <v>2023</v>
      </c>
      <c r="I3588" s="2" t="s">
        <v>4</v>
      </c>
      <c r="J3588" s="2" t="s">
        <v>4451</v>
      </c>
      <c r="K3588" s="2" t="s">
        <v>205</v>
      </c>
      <c r="L3588" s="2" t="s">
        <v>206</v>
      </c>
      <c r="M3588" s="2" t="s">
        <v>119</v>
      </c>
      <c r="N3588" s="4" t="str">
        <f t="shared" si="336"/>
        <v>TON</v>
      </c>
      <c r="O3588" s="5">
        <v>3.0024999999999999</v>
      </c>
    </row>
    <row r="3589" spans="2:15" x14ac:dyDescent="0.25">
      <c r="B3589" s="1" t="s">
        <v>1520</v>
      </c>
      <c r="C3589" s="2" t="s">
        <v>196</v>
      </c>
      <c r="D3589" s="2" t="s">
        <v>270</v>
      </c>
      <c r="E3589" s="2" t="s">
        <v>875</v>
      </c>
      <c r="F3589" s="3">
        <v>45282</v>
      </c>
      <c r="G3589" s="4">
        <f t="shared" si="335"/>
        <v>12</v>
      </c>
      <c r="H3589" s="4">
        <f t="shared" si="334"/>
        <v>2023</v>
      </c>
      <c r="I3589" s="2" t="s">
        <v>4</v>
      </c>
      <c r="J3589" s="2" t="s">
        <v>4452</v>
      </c>
      <c r="K3589" s="2" t="s">
        <v>329</v>
      </c>
      <c r="L3589" s="2" t="s">
        <v>330</v>
      </c>
      <c r="M3589" s="2" t="s">
        <v>119</v>
      </c>
      <c r="N3589" s="4" t="str">
        <f t="shared" si="336"/>
        <v>TON</v>
      </c>
      <c r="O3589" s="5">
        <v>3.75</v>
      </c>
    </row>
    <row r="3590" spans="2:15" x14ac:dyDescent="0.25">
      <c r="B3590" s="1" t="s">
        <v>1520</v>
      </c>
      <c r="C3590" s="2" t="s">
        <v>196</v>
      </c>
      <c r="D3590" s="2" t="s">
        <v>672</v>
      </c>
      <c r="E3590" s="2" t="s">
        <v>1193</v>
      </c>
      <c r="F3590" s="3">
        <v>45282</v>
      </c>
      <c r="G3590" s="4">
        <f t="shared" si="335"/>
        <v>12</v>
      </c>
      <c r="H3590" s="4">
        <f t="shared" si="334"/>
        <v>2023</v>
      </c>
      <c r="I3590" s="2" t="s">
        <v>4</v>
      </c>
      <c r="J3590" s="2" t="s">
        <v>4453</v>
      </c>
      <c r="K3590" s="2" t="s">
        <v>251</v>
      </c>
      <c r="L3590" s="2" t="s">
        <v>252</v>
      </c>
      <c r="M3590" s="2" t="s">
        <v>119</v>
      </c>
      <c r="N3590" s="4" t="str">
        <f t="shared" si="336"/>
        <v>TON</v>
      </c>
      <c r="O3590" s="5">
        <v>5.0149999999999997</v>
      </c>
    </row>
    <row r="3591" spans="2:15" x14ac:dyDescent="0.25">
      <c r="B3591" s="1" t="s">
        <v>1520</v>
      </c>
      <c r="C3591" s="2" t="s">
        <v>196</v>
      </c>
      <c r="D3591" s="2" t="s">
        <v>215</v>
      </c>
      <c r="E3591" s="2" t="s">
        <v>701</v>
      </c>
      <c r="F3591" s="3">
        <v>45282</v>
      </c>
      <c r="G3591" s="4">
        <f t="shared" si="335"/>
        <v>12</v>
      </c>
      <c r="H3591" s="4">
        <f t="shared" si="334"/>
        <v>2023</v>
      </c>
      <c r="I3591" s="2" t="s">
        <v>4</v>
      </c>
      <c r="J3591" s="2" t="s">
        <v>4454</v>
      </c>
      <c r="K3591" s="2" t="s">
        <v>329</v>
      </c>
      <c r="L3591" s="2" t="s">
        <v>330</v>
      </c>
      <c r="M3591" s="2" t="s">
        <v>119</v>
      </c>
      <c r="N3591" s="4" t="str">
        <f t="shared" si="336"/>
        <v>TON</v>
      </c>
      <c r="O3591" s="5">
        <v>6.2575000000000003</v>
      </c>
    </row>
    <row r="3592" spans="2:15" x14ac:dyDescent="0.25">
      <c r="B3592" s="1" t="s">
        <v>1520</v>
      </c>
      <c r="C3592" s="2" t="s">
        <v>196</v>
      </c>
      <c r="D3592" s="2" t="s">
        <v>265</v>
      </c>
      <c r="E3592" s="2" t="s">
        <v>266</v>
      </c>
      <c r="F3592" s="3">
        <v>45282</v>
      </c>
      <c r="G3592" s="4">
        <f t="shared" si="335"/>
        <v>12</v>
      </c>
      <c r="H3592" s="4">
        <f t="shared" si="334"/>
        <v>2023</v>
      </c>
      <c r="I3592" s="2" t="s">
        <v>4</v>
      </c>
      <c r="J3592" s="2" t="s">
        <v>4455</v>
      </c>
      <c r="K3592" s="2" t="s">
        <v>268</v>
      </c>
      <c r="L3592" s="2" t="s">
        <v>269</v>
      </c>
      <c r="M3592" s="2" t="s">
        <v>119</v>
      </c>
      <c r="N3592" s="4" t="str">
        <f t="shared" si="336"/>
        <v>TON</v>
      </c>
      <c r="O3592" s="5">
        <v>0.15</v>
      </c>
    </row>
    <row r="3593" spans="2:15" x14ac:dyDescent="0.25">
      <c r="B3593" s="1" t="s">
        <v>1520</v>
      </c>
      <c r="C3593" s="2" t="s">
        <v>196</v>
      </c>
      <c r="D3593" s="2" t="s">
        <v>348</v>
      </c>
      <c r="E3593" s="2" t="s">
        <v>349</v>
      </c>
      <c r="F3593" s="3">
        <v>45286</v>
      </c>
      <c r="G3593" s="4">
        <f t="shared" si="335"/>
        <v>12</v>
      </c>
      <c r="H3593" s="4">
        <f t="shared" si="334"/>
        <v>2023</v>
      </c>
      <c r="I3593" s="2" t="s">
        <v>4</v>
      </c>
      <c r="J3593" s="2" t="s">
        <v>4456</v>
      </c>
      <c r="K3593" s="2" t="s">
        <v>1188</v>
      </c>
      <c r="L3593" s="2" t="s">
        <v>541</v>
      </c>
      <c r="M3593" s="2" t="s">
        <v>27</v>
      </c>
      <c r="N3593" s="4" t="str">
        <f t="shared" si="336"/>
        <v>GAL</v>
      </c>
      <c r="O3593" s="5">
        <v>250</v>
      </c>
    </row>
    <row r="3594" spans="2:15" x14ac:dyDescent="0.25">
      <c r="B3594" s="1" t="s">
        <v>1520</v>
      </c>
      <c r="C3594" s="2" t="s">
        <v>196</v>
      </c>
      <c r="D3594" s="2" t="s">
        <v>262</v>
      </c>
      <c r="E3594" s="2" t="s">
        <v>1563</v>
      </c>
      <c r="F3594" s="3">
        <v>45286</v>
      </c>
      <c r="G3594" s="4">
        <f t="shared" si="335"/>
        <v>12</v>
      </c>
      <c r="H3594" s="4">
        <f t="shared" si="334"/>
        <v>2023</v>
      </c>
      <c r="I3594" s="2" t="s">
        <v>4</v>
      </c>
      <c r="J3594" s="2" t="s">
        <v>4457</v>
      </c>
      <c r="K3594" s="2" t="s">
        <v>329</v>
      </c>
      <c r="L3594" s="2" t="s">
        <v>330</v>
      </c>
      <c r="M3594" s="2" t="s">
        <v>119</v>
      </c>
      <c r="N3594" s="4" t="str">
        <f t="shared" si="336"/>
        <v>TON</v>
      </c>
      <c r="O3594" s="5">
        <v>6.0175000000000001</v>
      </c>
    </row>
    <row r="3595" spans="2:15" x14ac:dyDescent="0.25">
      <c r="B3595" s="1" t="s">
        <v>1520</v>
      </c>
      <c r="C3595" s="2" t="s">
        <v>196</v>
      </c>
      <c r="D3595" s="2" t="s">
        <v>4098</v>
      </c>
      <c r="E3595" s="2" t="s">
        <v>695</v>
      </c>
      <c r="F3595" s="3">
        <v>45286</v>
      </c>
      <c r="G3595" s="4">
        <f t="shared" si="335"/>
        <v>12</v>
      </c>
      <c r="H3595" s="4">
        <f t="shared" si="334"/>
        <v>2023</v>
      </c>
      <c r="I3595" s="2" t="s">
        <v>4</v>
      </c>
      <c r="J3595" s="2" t="s">
        <v>4458</v>
      </c>
      <c r="K3595" s="2" t="s">
        <v>329</v>
      </c>
      <c r="L3595" s="2" t="s">
        <v>330</v>
      </c>
      <c r="M3595" s="2" t="s">
        <v>119</v>
      </c>
      <c r="N3595" s="4" t="str">
        <f t="shared" si="336"/>
        <v>TON</v>
      </c>
      <c r="O3595" s="5">
        <v>3</v>
      </c>
    </row>
    <row r="3596" spans="2:15" x14ac:dyDescent="0.25">
      <c r="B3596" s="1" t="s">
        <v>1520</v>
      </c>
      <c r="C3596" s="2" t="s">
        <v>196</v>
      </c>
      <c r="D3596" s="2" t="s">
        <v>276</v>
      </c>
      <c r="E3596" s="2" t="s">
        <v>692</v>
      </c>
      <c r="F3596" s="3">
        <v>45286</v>
      </c>
      <c r="G3596" s="4">
        <f t="shared" si="335"/>
        <v>12</v>
      </c>
      <c r="H3596" s="4">
        <f t="shared" si="334"/>
        <v>2023</v>
      </c>
      <c r="I3596" s="2" t="s">
        <v>4</v>
      </c>
      <c r="J3596" s="2" t="s">
        <v>4459</v>
      </c>
      <c r="K3596" s="2" t="s">
        <v>329</v>
      </c>
      <c r="L3596" s="2" t="s">
        <v>330</v>
      </c>
      <c r="M3596" s="2" t="s">
        <v>119</v>
      </c>
      <c r="N3596" s="4" t="str">
        <f t="shared" si="336"/>
        <v>TON</v>
      </c>
      <c r="O3596" s="5">
        <v>9.9975000000000005</v>
      </c>
    </row>
    <row r="3597" spans="2:15" x14ac:dyDescent="0.25">
      <c r="B3597" s="1" t="s">
        <v>1520</v>
      </c>
      <c r="C3597" s="2" t="s">
        <v>196</v>
      </c>
      <c r="D3597" s="2" t="s">
        <v>276</v>
      </c>
      <c r="E3597" s="2" t="s">
        <v>692</v>
      </c>
      <c r="F3597" s="3">
        <v>45286</v>
      </c>
      <c r="G3597" s="4">
        <f t="shared" si="335"/>
        <v>12</v>
      </c>
      <c r="H3597" s="4">
        <f t="shared" si="334"/>
        <v>2023</v>
      </c>
      <c r="I3597" s="2" t="s">
        <v>4</v>
      </c>
      <c r="J3597" s="2" t="s">
        <v>4459</v>
      </c>
      <c r="K3597" s="2" t="s">
        <v>3726</v>
      </c>
      <c r="L3597" s="2" t="s">
        <v>3727</v>
      </c>
      <c r="M3597" s="2" t="s">
        <v>145</v>
      </c>
      <c r="N3597" s="4" t="str">
        <f t="shared" si="336"/>
        <v>GAL</v>
      </c>
      <c r="O3597" s="5">
        <v>3.75</v>
      </c>
    </row>
    <row r="3598" spans="2:15" x14ac:dyDescent="0.25">
      <c r="B3598" s="1" t="s">
        <v>1520</v>
      </c>
      <c r="C3598" s="2" t="s">
        <v>196</v>
      </c>
      <c r="D3598" s="2" t="s">
        <v>280</v>
      </c>
      <c r="E3598" s="2" t="s">
        <v>4460</v>
      </c>
      <c r="F3598" s="3">
        <v>45286</v>
      </c>
      <c r="G3598" s="4">
        <f t="shared" si="335"/>
        <v>12</v>
      </c>
      <c r="H3598" s="4">
        <f t="shared" si="334"/>
        <v>2023</v>
      </c>
      <c r="I3598" s="2" t="s">
        <v>4</v>
      </c>
      <c r="J3598" s="2" t="s">
        <v>4461</v>
      </c>
      <c r="K3598" s="2" t="s">
        <v>817</v>
      </c>
      <c r="L3598" s="2" t="s">
        <v>818</v>
      </c>
      <c r="M3598" s="2" t="s">
        <v>556</v>
      </c>
      <c r="N3598" s="4" t="str">
        <f t="shared" si="336"/>
        <v>GAL</v>
      </c>
      <c r="O3598" s="5">
        <v>2.5</v>
      </c>
    </row>
    <row r="3599" spans="2:15" x14ac:dyDescent="0.25">
      <c r="B3599" s="1" t="s">
        <v>1520</v>
      </c>
      <c r="C3599" s="2" t="s">
        <v>196</v>
      </c>
      <c r="D3599" s="2" t="s">
        <v>303</v>
      </c>
      <c r="E3599" s="2" t="s">
        <v>3818</v>
      </c>
      <c r="F3599" s="3">
        <v>45286</v>
      </c>
      <c r="G3599" s="4">
        <f t="shared" si="335"/>
        <v>12</v>
      </c>
      <c r="H3599" s="4">
        <f t="shared" si="334"/>
        <v>2023</v>
      </c>
      <c r="I3599" s="2" t="s">
        <v>4</v>
      </c>
      <c r="J3599" s="2" t="s">
        <v>4462</v>
      </c>
      <c r="K3599" s="2" t="s">
        <v>4428</v>
      </c>
      <c r="L3599" s="2" t="s">
        <v>4429</v>
      </c>
      <c r="M3599" s="2" t="s">
        <v>119</v>
      </c>
      <c r="N3599" s="4" t="str">
        <f t="shared" si="336"/>
        <v>TON</v>
      </c>
      <c r="O3599" s="5">
        <v>3.75</v>
      </c>
    </row>
    <row r="3600" spans="2:15" x14ac:dyDescent="0.25">
      <c r="B3600" s="1" t="s">
        <v>1520</v>
      </c>
      <c r="C3600" s="2" t="s">
        <v>196</v>
      </c>
      <c r="D3600" s="2" t="s">
        <v>303</v>
      </c>
      <c r="E3600" s="2" t="s">
        <v>3818</v>
      </c>
      <c r="F3600" s="3">
        <v>45286</v>
      </c>
      <c r="G3600" s="4">
        <f t="shared" si="335"/>
        <v>12</v>
      </c>
      <c r="H3600" s="4">
        <f t="shared" si="334"/>
        <v>2023</v>
      </c>
      <c r="I3600" s="2" t="s">
        <v>4</v>
      </c>
      <c r="J3600" s="2" t="s">
        <v>4462</v>
      </c>
      <c r="K3600" s="2" t="s">
        <v>3726</v>
      </c>
      <c r="L3600" s="2" t="s">
        <v>3727</v>
      </c>
      <c r="M3600" s="2" t="s">
        <v>145</v>
      </c>
      <c r="N3600" s="4" t="str">
        <f t="shared" si="336"/>
        <v>GAL</v>
      </c>
      <c r="O3600" s="5">
        <v>1.41</v>
      </c>
    </row>
    <row r="3601" spans="2:15" x14ac:dyDescent="0.25">
      <c r="B3601" s="6" t="s">
        <v>1520</v>
      </c>
      <c r="C3601" s="7" t="s">
        <v>196</v>
      </c>
      <c r="D3601" s="8" t="s">
        <v>387</v>
      </c>
      <c r="E3601" s="8" t="s">
        <v>797</v>
      </c>
      <c r="F3601" s="12">
        <v>45286</v>
      </c>
      <c r="G3601" s="10">
        <f t="shared" si="335"/>
        <v>12</v>
      </c>
      <c r="H3601" s="10">
        <f t="shared" si="334"/>
        <v>2023</v>
      </c>
      <c r="I3601" s="8" t="s">
        <v>4</v>
      </c>
      <c r="J3601" s="7" t="s">
        <v>4463</v>
      </c>
      <c r="K3601" s="8" t="s">
        <v>4222</v>
      </c>
      <c r="L3601" s="8" t="s">
        <v>4223</v>
      </c>
      <c r="M3601" s="8" t="s">
        <v>119</v>
      </c>
      <c r="N3601" s="10" t="str">
        <f t="shared" si="336"/>
        <v>TON</v>
      </c>
      <c r="O3601" s="11">
        <v>10</v>
      </c>
    </row>
    <row r="3602" spans="2:15" x14ac:dyDescent="0.25">
      <c r="B3602" s="6" t="s">
        <v>1520</v>
      </c>
      <c r="C3602" s="7" t="s">
        <v>196</v>
      </c>
      <c r="D3602" s="8" t="s">
        <v>1343</v>
      </c>
      <c r="E3602" s="8" t="s">
        <v>3729</v>
      </c>
      <c r="F3602" s="12">
        <v>45286</v>
      </c>
      <c r="G3602" s="10">
        <f t="shared" si="335"/>
        <v>12</v>
      </c>
      <c r="H3602" s="10">
        <f t="shared" si="334"/>
        <v>2023</v>
      </c>
      <c r="I3602" s="8" t="s">
        <v>4</v>
      </c>
      <c r="J3602" s="7" t="s">
        <v>4464</v>
      </c>
      <c r="K3602" s="8" t="s">
        <v>4222</v>
      </c>
      <c r="L3602" s="8" t="s">
        <v>4223</v>
      </c>
      <c r="M3602" s="8" t="s">
        <v>119</v>
      </c>
      <c r="N3602" s="10" t="str">
        <f t="shared" si="336"/>
        <v>TON</v>
      </c>
      <c r="O3602" s="11">
        <v>15.02</v>
      </c>
    </row>
    <row r="3603" spans="2:15" x14ac:dyDescent="0.25">
      <c r="B3603" s="1" t="s">
        <v>1520</v>
      </c>
      <c r="C3603" s="2" t="s">
        <v>196</v>
      </c>
      <c r="D3603" s="2" t="s">
        <v>1343</v>
      </c>
      <c r="E3603" s="2" t="s">
        <v>3729</v>
      </c>
      <c r="F3603" s="3">
        <v>45286</v>
      </c>
      <c r="G3603" s="4">
        <f t="shared" si="335"/>
        <v>12</v>
      </c>
      <c r="H3603" s="4">
        <f t="shared" si="334"/>
        <v>2023</v>
      </c>
      <c r="I3603" s="2" t="s">
        <v>4</v>
      </c>
      <c r="J3603" s="2" t="s">
        <v>4464</v>
      </c>
      <c r="K3603" s="2" t="s">
        <v>3726</v>
      </c>
      <c r="L3603" s="2" t="s">
        <v>3727</v>
      </c>
      <c r="M3603" s="2" t="s">
        <v>145</v>
      </c>
      <c r="N3603" s="4" t="str">
        <f t="shared" si="336"/>
        <v>GAL</v>
      </c>
      <c r="O3603" s="5">
        <v>5.625</v>
      </c>
    </row>
    <row r="3604" spans="2:15" x14ac:dyDescent="0.25">
      <c r="B3604" s="6" t="s">
        <v>1520</v>
      </c>
      <c r="C3604" s="7" t="s">
        <v>196</v>
      </c>
      <c r="D3604" s="8" t="s">
        <v>1343</v>
      </c>
      <c r="E3604" s="8" t="s">
        <v>3724</v>
      </c>
      <c r="F3604" s="12">
        <v>45286</v>
      </c>
      <c r="G3604" s="10">
        <f t="shared" si="335"/>
        <v>12</v>
      </c>
      <c r="H3604" s="10">
        <f t="shared" si="334"/>
        <v>2023</v>
      </c>
      <c r="I3604" s="8" t="s">
        <v>4</v>
      </c>
      <c r="J3604" s="7" t="s">
        <v>4465</v>
      </c>
      <c r="K3604" s="8" t="s">
        <v>4222</v>
      </c>
      <c r="L3604" s="8" t="s">
        <v>4223</v>
      </c>
      <c r="M3604" s="8" t="s">
        <v>119</v>
      </c>
      <c r="N3604" s="10" t="str">
        <f t="shared" si="336"/>
        <v>TON</v>
      </c>
      <c r="O3604" s="11">
        <v>15.02</v>
      </c>
    </row>
    <row r="3605" spans="2:15" x14ac:dyDescent="0.25">
      <c r="B3605" s="1" t="s">
        <v>1520</v>
      </c>
      <c r="C3605" s="2" t="s">
        <v>196</v>
      </c>
      <c r="D3605" s="2" t="s">
        <v>1343</v>
      </c>
      <c r="E3605" s="2" t="s">
        <v>3724</v>
      </c>
      <c r="F3605" s="3">
        <v>45286</v>
      </c>
      <c r="G3605" s="4">
        <f t="shared" si="335"/>
        <v>12</v>
      </c>
      <c r="H3605" s="4">
        <f t="shared" si="334"/>
        <v>2023</v>
      </c>
      <c r="I3605" s="2" t="s">
        <v>4</v>
      </c>
      <c r="J3605" s="2" t="s">
        <v>4465</v>
      </c>
      <c r="K3605" s="2" t="s">
        <v>3726</v>
      </c>
      <c r="L3605" s="2" t="s">
        <v>3727</v>
      </c>
      <c r="M3605" s="2" t="s">
        <v>145</v>
      </c>
      <c r="N3605" s="4" t="str">
        <f t="shared" si="336"/>
        <v>GAL</v>
      </c>
      <c r="O3605" s="5">
        <v>5.625</v>
      </c>
    </row>
    <row r="3606" spans="2:15" x14ac:dyDescent="0.25">
      <c r="B3606" s="1" t="s">
        <v>1520</v>
      </c>
      <c r="C3606" s="2" t="s">
        <v>196</v>
      </c>
      <c r="D3606" s="2" t="s">
        <v>331</v>
      </c>
      <c r="E3606" s="2" t="s">
        <v>432</v>
      </c>
      <c r="F3606" s="3">
        <v>45286</v>
      </c>
      <c r="G3606" s="4">
        <f t="shared" si="335"/>
        <v>12</v>
      </c>
      <c r="H3606" s="4">
        <f t="shared" si="334"/>
        <v>2023</v>
      </c>
      <c r="I3606" s="2" t="s">
        <v>4</v>
      </c>
      <c r="J3606" s="2" t="s">
        <v>4466</v>
      </c>
      <c r="K3606" s="2" t="s">
        <v>122</v>
      </c>
      <c r="L3606" s="2" t="s">
        <v>123</v>
      </c>
      <c r="M3606" s="2" t="s">
        <v>119</v>
      </c>
      <c r="N3606" s="4" t="str">
        <f t="shared" si="336"/>
        <v>TON</v>
      </c>
      <c r="O3606" s="5">
        <v>5</v>
      </c>
    </row>
    <row r="3607" spans="2:15" x14ac:dyDescent="0.25">
      <c r="B3607" s="1" t="s">
        <v>1520</v>
      </c>
      <c r="C3607" s="2" t="s">
        <v>196</v>
      </c>
      <c r="D3607" s="2" t="s">
        <v>475</v>
      </c>
      <c r="E3607" s="2" t="s">
        <v>476</v>
      </c>
      <c r="F3607" s="3">
        <v>45287</v>
      </c>
      <c r="G3607" s="4">
        <f t="shared" si="335"/>
        <v>12</v>
      </c>
      <c r="H3607" s="4">
        <f t="shared" si="334"/>
        <v>2023</v>
      </c>
      <c r="I3607" s="2" t="s">
        <v>4</v>
      </c>
      <c r="J3607" s="2" t="s">
        <v>4467</v>
      </c>
      <c r="K3607" s="2" t="s">
        <v>478</v>
      </c>
      <c r="L3607" s="2" t="s">
        <v>479</v>
      </c>
      <c r="M3607" s="2" t="s">
        <v>119</v>
      </c>
      <c r="N3607" s="4" t="str">
        <f t="shared" si="336"/>
        <v>TON</v>
      </c>
      <c r="O3607" s="5">
        <v>10</v>
      </c>
    </row>
    <row r="3608" spans="2:15" x14ac:dyDescent="0.25">
      <c r="B3608" s="1" t="s">
        <v>1520</v>
      </c>
      <c r="C3608" s="2" t="s">
        <v>196</v>
      </c>
      <c r="D3608" s="2" t="s">
        <v>374</v>
      </c>
      <c r="E3608" s="2" t="s">
        <v>375</v>
      </c>
      <c r="F3608" s="3">
        <v>45287</v>
      </c>
      <c r="G3608" s="4">
        <f t="shared" si="335"/>
        <v>12</v>
      </c>
      <c r="H3608" s="4">
        <f t="shared" si="334"/>
        <v>2023</v>
      </c>
      <c r="I3608" s="2" t="s">
        <v>4</v>
      </c>
      <c r="J3608" s="2" t="s">
        <v>4468</v>
      </c>
      <c r="K3608" s="2" t="s">
        <v>122</v>
      </c>
      <c r="L3608" s="2" t="s">
        <v>123</v>
      </c>
      <c r="M3608" s="2" t="s">
        <v>119</v>
      </c>
      <c r="N3608" s="4" t="str">
        <f t="shared" si="336"/>
        <v>TON</v>
      </c>
      <c r="O3608" s="5">
        <v>4.9749999999999996</v>
      </c>
    </row>
    <row r="3609" spans="2:15" x14ac:dyDescent="0.25">
      <c r="B3609" s="1" t="s">
        <v>1520</v>
      </c>
      <c r="C3609" s="2" t="s">
        <v>196</v>
      </c>
      <c r="D3609" s="2" t="s">
        <v>215</v>
      </c>
      <c r="E3609" s="2" t="s">
        <v>313</v>
      </c>
      <c r="F3609" s="3">
        <v>45287</v>
      </c>
      <c r="G3609" s="4">
        <f t="shared" si="335"/>
        <v>12</v>
      </c>
      <c r="H3609" s="4">
        <f t="shared" si="334"/>
        <v>2023</v>
      </c>
      <c r="I3609" s="2" t="s">
        <v>4</v>
      </c>
      <c r="J3609" s="2" t="s">
        <v>4469</v>
      </c>
      <c r="K3609" s="2" t="s">
        <v>329</v>
      </c>
      <c r="L3609" s="2" t="s">
        <v>330</v>
      </c>
      <c r="M3609" s="2" t="s">
        <v>119</v>
      </c>
      <c r="N3609" s="4" t="str">
        <f t="shared" si="336"/>
        <v>TON</v>
      </c>
      <c r="O3609" s="5">
        <v>2.5</v>
      </c>
    </row>
    <row r="3610" spans="2:15" x14ac:dyDescent="0.25">
      <c r="B3610" s="1" t="s">
        <v>1520</v>
      </c>
      <c r="C3610" s="2" t="s">
        <v>196</v>
      </c>
      <c r="D3610" s="2" t="s">
        <v>232</v>
      </c>
      <c r="E3610" s="2" t="s">
        <v>233</v>
      </c>
      <c r="F3610" s="3">
        <v>45287</v>
      </c>
      <c r="G3610" s="4">
        <f t="shared" si="335"/>
        <v>12</v>
      </c>
      <c r="H3610" s="4">
        <f t="shared" si="334"/>
        <v>2023</v>
      </c>
      <c r="I3610" s="2" t="s">
        <v>4</v>
      </c>
      <c r="J3610" s="2" t="s">
        <v>4470</v>
      </c>
      <c r="K3610" s="2" t="s">
        <v>205</v>
      </c>
      <c r="L3610" s="2" t="s">
        <v>206</v>
      </c>
      <c r="M3610" s="2" t="s">
        <v>119</v>
      </c>
      <c r="N3610" s="4" t="str">
        <f t="shared" si="336"/>
        <v>TON</v>
      </c>
      <c r="O3610" s="5">
        <v>5</v>
      </c>
    </row>
    <row r="3611" spans="2:15" x14ac:dyDescent="0.25">
      <c r="B3611" s="6" t="s">
        <v>1520</v>
      </c>
      <c r="C3611" s="7" t="s">
        <v>196</v>
      </c>
      <c r="D3611" s="8" t="s">
        <v>440</v>
      </c>
      <c r="E3611" s="8" t="s">
        <v>1369</v>
      </c>
      <c r="F3611" s="12">
        <v>45287</v>
      </c>
      <c r="G3611" s="10">
        <f t="shared" si="335"/>
        <v>12</v>
      </c>
      <c r="H3611" s="10">
        <f t="shared" si="334"/>
        <v>2023</v>
      </c>
      <c r="I3611" s="8" t="s">
        <v>4</v>
      </c>
      <c r="J3611" s="7" t="s">
        <v>4471</v>
      </c>
      <c r="K3611" s="8" t="s">
        <v>4222</v>
      </c>
      <c r="L3611" s="8" t="s">
        <v>4223</v>
      </c>
      <c r="M3611" s="8" t="s">
        <v>119</v>
      </c>
      <c r="N3611" s="10" t="str">
        <f t="shared" si="336"/>
        <v>TON</v>
      </c>
      <c r="O3611" s="11">
        <v>9.9924999999999997</v>
      </c>
    </row>
    <row r="3612" spans="2:15" x14ac:dyDescent="0.25">
      <c r="B3612" s="1" t="s">
        <v>1520</v>
      </c>
      <c r="C3612" s="2" t="s">
        <v>196</v>
      </c>
      <c r="D3612" s="2" t="s">
        <v>114</v>
      </c>
      <c r="E3612" s="2" t="s">
        <v>927</v>
      </c>
      <c r="F3612" s="3">
        <v>45287</v>
      </c>
      <c r="G3612" s="4">
        <f t="shared" si="335"/>
        <v>12</v>
      </c>
      <c r="H3612" s="4">
        <f t="shared" si="334"/>
        <v>2023</v>
      </c>
      <c r="I3612" s="2" t="s">
        <v>4</v>
      </c>
      <c r="J3612" s="2" t="s">
        <v>4472</v>
      </c>
      <c r="K3612" s="2" t="s">
        <v>117</v>
      </c>
      <c r="L3612" s="2" t="s">
        <v>118</v>
      </c>
      <c r="M3612" s="2" t="s">
        <v>119</v>
      </c>
      <c r="N3612" s="4" t="str">
        <f t="shared" si="336"/>
        <v>TON</v>
      </c>
      <c r="O3612" s="5">
        <v>4.5125000000000002</v>
      </c>
    </row>
    <row r="3613" spans="2:15" x14ac:dyDescent="0.25">
      <c r="B3613" s="1" t="s">
        <v>1520</v>
      </c>
      <c r="C3613" s="2" t="s">
        <v>196</v>
      </c>
      <c r="D3613" s="2" t="s">
        <v>299</v>
      </c>
      <c r="E3613" s="2" t="s">
        <v>713</v>
      </c>
      <c r="F3613" s="3">
        <v>45287</v>
      </c>
      <c r="G3613" s="4">
        <f t="shared" si="335"/>
        <v>12</v>
      </c>
      <c r="H3613" s="4">
        <f t="shared" si="334"/>
        <v>2023</v>
      </c>
      <c r="I3613" s="2" t="s">
        <v>4</v>
      </c>
      <c r="J3613" s="2" t="s">
        <v>4473</v>
      </c>
      <c r="K3613" s="2" t="s">
        <v>117</v>
      </c>
      <c r="L3613" s="2" t="s">
        <v>118</v>
      </c>
      <c r="M3613" s="2" t="s">
        <v>119</v>
      </c>
      <c r="N3613" s="4" t="str">
        <f t="shared" si="336"/>
        <v>TON</v>
      </c>
      <c r="O3613" s="5">
        <v>10.005000000000001</v>
      </c>
    </row>
    <row r="3614" spans="2:15" x14ac:dyDescent="0.25">
      <c r="B3614" s="1" t="s">
        <v>1520</v>
      </c>
      <c r="C3614" s="2" t="s">
        <v>196</v>
      </c>
      <c r="D3614" s="2" t="s">
        <v>207</v>
      </c>
      <c r="E3614" s="2" t="s">
        <v>208</v>
      </c>
      <c r="F3614" s="3">
        <v>45288</v>
      </c>
      <c r="G3614" s="4">
        <f t="shared" si="335"/>
        <v>12</v>
      </c>
      <c r="H3614" s="4">
        <f t="shared" si="334"/>
        <v>2023</v>
      </c>
      <c r="I3614" s="2" t="s">
        <v>4</v>
      </c>
      <c r="J3614" s="2" t="s">
        <v>4474</v>
      </c>
      <c r="K3614" s="2" t="s">
        <v>236</v>
      </c>
      <c r="L3614" s="2" t="s">
        <v>237</v>
      </c>
      <c r="M3614" s="2" t="s">
        <v>119</v>
      </c>
      <c r="N3614" s="4" t="str">
        <f t="shared" si="336"/>
        <v>TON</v>
      </c>
      <c r="O3614" s="5">
        <v>5</v>
      </c>
    </row>
    <row r="3615" spans="2:15" x14ac:dyDescent="0.25">
      <c r="B3615" s="1" t="s">
        <v>1520</v>
      </c>
      <c r="C3615" s="2" t="s">
        <v>196</v>
      </c>
      <c r="D3615" s="2" t="s">
        <v>227</v>
      </c>
      <c r="E3615" s="2" t="s">
        <v>228</v>
      </c>
      <c r="F3615" s="3">
        <v>45288</v>
      </c>
      <c r="G3615" s="4">
        <f t="shared" si="335"/>
        <v>12</v>
      </c>
      <c r="H3615" s="4">
        <f t="shared" si="334"/>
        <v>2023</v>
      </c>
      <c r="I3615" s="2" t="s">
        <v>4</v>
      </c>
      <c r="J3615" s="2" t="s">
        <v>4475</v>
      </c>
      <c r="K3615" s="2" t="s">
        <v>205</v>
      </c>
      <c r="L3615" s="2" t="s">
        <v>206</v>
      </c>
      <c r="M3615" s="2" t="s">
        <v>119</v>
      </c>
      <c r="N3615" s="4" t="str">
        <f t="shared" si="336"/>
        <v>TON</v>
      </c>
      <c r="O3615" s="5">
        <v>10.005000000000001</v>
      </c>
    </row>
    <row r="3616" spans="2:15" x14ac:dyDescent="0.25">
      <c r="B3616" s="1" t="s">
        <v>1520</v>
      </c>
      <c r="C3616" s="2" t="s">
        <v>196</v>
      </c>
      <c r="D3616" s="2" t="s">
        <v>280</v>
      </c>
      <c r="E3616" s="2" t="s">
        <v>699</v>
      </c>
      <c r="F3616" s="3">
        <v>45288</v>
      </c>
      <c r="G3616" s="4">
        <f t="shared" si="335"/>
        <v>12</v>
      </c>
      <c r="H3616" s="4">
        <f t="shared" si="334"/>
        <v>2023</v>
      </c>
      <c r="I3616" s="2" t="s">
        <v>4</v>
      </c>
      <c r="J3616" s="2" t="s">
        <v>4476</v>
      </c>
      <c r="K3616" s="2" t="s">
        <v>117</v>
      </c>
      <c r="L3616" s="2" t="s">
        <v>118</v>
      </c>
      <c r="M3616" s="2" t="s">
        <v>119</v>
      </c>
      <c r="N3616" s="4" t="str">
        <f t="shared" si="336"/>
        <v>TON</v>
      </c>
      <c r="O3616" s="5">
        <v>10</v>
      </c>
    </row>
    <row r="3617" spans="2:15" x14ac:dyDescent="0.25">
      <c r="B3617" s="6" t="s">
        <v>1520</v>
      </c>
      <c r="C3617" s="7" t="s">
        <v>196</v>
      </c>
      <c r="D3617" s="8" t="s">
        <v>241</v>
      </c>
      <c r="E3617" s="8" t="s">
        <v>242</v>
      </c>
      <c r="F3617" s="12">
        <v>45288</v>
      </c>
      <c r="G3617" s="10">
        <f t="shared" si="335"/>
        <v>12</v>
      </c>
      <c r="H3617" s="10">
        <f t="shared" si="334"/>
        <v>2023</v>
      </c>
      <c r="I3617" s="8" t="s">
        <v>4</v>
      </c>
      <c r="J3617" s="7" t="s">
        <v>4477</v>
      </c>
      <c r="K3617" s="8" t="s">
        <v>2170</v>
      </c>
      <c r="L3617" s="8" t="s">
        <v>99</v>
      </c>
      <c r="M3617" s="8" t="s">
        <v>100</v>
      </c>
      <c r="N3617" s="10" t="str">
        <f t="shared" si="336"/>
        <v>GAL</v>
      </c>
      <c r="O3617" s="11">
        <v>2.5</v>
      </c>
    </row>
    <row r="3618" spans="2:15" x14ac:dyDescent="0.25">
      <c r="B3618" s="1" t="s">
        <v>1520</v>
      </c>
      <c r="C3618" s="2" t="s">
        <v>196</v>
      </c>
      <c r="D3618" s="2" t="s">
        <v>452</v>
      </c>
      <c r="E3618" s="2" t="s">
        <v>222</v>
      </c>
      <c r="F3618" s="3">
        <v>45288</v>
      </c>
      <c r="G3618" s="4">
        <f t="shared" si="335"/>
        <v>12</v>
      </c>
      <c r="H3618" s="4">
        <f t="shared" si="334"/>
        <v>2023</v>
      </c>
      <c r="I3618" s="2" t="s">
        <v>4</v>
      </c>
      <c r="J3618" s="2" t="s">
        <v>4478</v>
      </c>
      <c r="K3618" s="2" t="s">
        <v>117</v>
      </c>
      <c r="L3618" s="2" t="s">
        <v>118</v>
      </c>
      <c r="M3618" s="2" t="s">
        <v>119</v>
      </c>
      <c r="N3618" s="4" t="str">
        <f t="shared" si="336"/>
        <v>TON</v>
      </c>
      <c r="O3618" s="5">
        <v>9.52</v>
      </c>
    </row>
    <row r="3619" spans="2:15" x14ac:dyDescent="0.25">
      <c r="B3619" s="1" t="s">
        <v>1520</v>
      </c>
      <c r="C3619" s="2" t="s">
        <v>196</v>
      </c>
      <c r="D3619" s="2" t="s">
        <v>280</v>
      </c>
      <c r="E3619" s="2" t="s">
        <v>254</v>
      </c>
      <c r="F3619" s="3">
        <v>45289</v>
      </c>
      <c r="G3619" s="4">
        <f t="shared" si="335"/>
        <v>12</v>
      </c>
      <c r="H3619" s="4">
        <f t="shared" si="334"/>
        <v>2023</v>
      </c>
      <c r="I3619" s="2" t="s">
        <v>4</v>
      </c>
      <c r="J3619" s="2" t="s">
        <v>4479</v>
      </c>
      <c r="K3619" s="2" t="s">
        <v>117</v>
      </c>
      <c r="L3619" s="2" t="s">
        <v>118</v>
      </c>
      <c r="M3619" s="2" t="s">
        <v>119</v>
      </c>
      <c r="N3619" s="4" t="str">
        <f t="shared" si="336"/>
        <v>TON</v>
      </c>
      <c r="O3619" s="5">
        <v>9.9924999999999997</v>
      </c>
    </row>
    <row r="3620" spans="2:15" x14ac:dyDescent="0.25">
      <c r="B3620" s="1" t="s">
        <v>1520</v>
      </c>
      <c r="C3620" s="2" t="s">
        <v>196</v>
      </c>
      <c r="D3620" s="2" t="s">
        <v>321</v>
      </c>
      <c r="E3620" s="2" t="s">
        <v>353</v>
      </c>
      <c r="F3620" s="3">
        <v>45289</v>
      </c>
      <c r="G3620" s="4">
        <f t="shared" si="335"/>
        <v>12</v>
      </c>
      <c r="H3620" s="4">
        <f t="shared" si="334"/>
        <v>2023</v>
      </c>
      <c r="I3620" s="2" t="s">
        <v>4</v>
      </c>
      <c r="J3620" s="2" t="s">
        <v>4480</v>
      </c>
      <c r="K3620" s="2" t="s">
        <v>394</v>
      </c>
      <c r="L3620" s="2" t="s">
        <v>395</v>
      </c>
      <c r="M3620" s="2" t="s">
        <v>119</v>
      </c>
      <c r="N3620" s="4" t="str">
        <f t="shared" si="336"/>
        <v>TON</v>
      </c>
      <c r="O3620" s="5">
        <v>2.4925000000000002</v>
      </c>
    </row>
    <row r="3621" spans="2:15" x14ac:dyDescent="0.25">
      <c r="B3621" s="1" t="s">
        <v>1520</v>
      </c>
      <c r="C3621" s="2" t="s">
        <v>196</v>
      </c>
      <c r="D3621" s="2" t="s">
        <v>224</v>
      </c>
      <c r="E3621" s="2" t="s">
        <v>225</v>
      </c>
      <c r="F3621" s="3">
        <v>45289</v>
      </c>
      <c r="G3621" s="4">
        <f t="shared" si="335"/>
        <v>12</v>
      </c>
      <c r="H3621" s="4">
        <f t="shared" si="334"/>
        <v>2023</v>
      </c>
      <c r="I3621" s="2" t="s">
        <v>4</v>
      </c>
      <c r="J3621" s="2" t="s">
        <v>4481</v>
      </c>
      <c r="K3621" s="2" t="s">
        <v>205</v>
      </c>
      <c r="L3621" s="2" t="s">
        <v>206</v>
      </c>
      <c r="M3621" s="2" t="s">
        <v>119</v>
      </c>
      <c r="N3621" s="4" t="str">
        <f t="shared" si="336"/>
        <v>TON</v>
      </c>
      <c r="O3621" s="5">
        <v>1.25</v>
      </c>
    </row>
    <row r="3622" spans="2:15" x14ac:dyDescent="0.25">
      <c r="B3622" s="1" t="s">
        <v>1520</v>
      </c>
      <c r="C3622" s="2" t="s">
        <v>196</v>
      </c>
      <c r="D3622" s="2" t="s">
        <v>672</v>
      </c>
      <c r="E3622" s="2" t="s">
        <v>699</v>
      </c>
      <c r="F3622" s="3">
        <v>45289</v>
      </c>
      <c r="G3622" s="4">
        <f t="shared" si="335"/>
        <v>12</v>
      </c>
      <c r="H3622" s="4">
        <f t="shared" si="334"/>
        <v>2023</v>
      </c>
      <c r="I3622" s="2" t="s">
        <v>4</v>
      </c>
      <c r="J3622" s="2" t="s">
        <v>4482</v>
      </c>
      <c r="K3622" s="2" t="s">
        <v>251</v>
      </c>
      <c r="L3622" s="2" t="s">
        <v>252</v>
      </c>
      <c r="M3622" s="2" t="s">
        <v>119</v>
      </c>
      <c r="N3622" s="4" t="str">
        <f t="shared" si="336"/>
        <v>TON</v>
      </c>
      <c r="O3622" s="5">
        <v>2.5</v>
      </c>
    </row>
    <row r="3623" spans="2:15" x14ac:dyDescent="0.25">
      <c r="B3623" s="1" t="s">
        <v>1520</v>
      </c>
      <c r="C3623" s="2" t="s">
        <v>196</v>
      </c>
      <c r="D3623" s="2" t="s">
        <v>310</v>
      </c>
      <c r="E3623" s="2" t="s">
        <v>355</v>
      </c>
      <c r="F3623" s="3">
        <v>45289</v>
      </c>
      <c r="G3623" s="4">
        <f t="shared" si="335"/>
        <v>12</v>
      </c>
      <c r="H3623" s="4">
        <f t="shared" si="334"/>
        <v>2023</v>
      </c>
      <c r="I3623" s="2" t="s">
        <v>4</v>
      </c>
      <c r="J3623" s="2" t="s">
        <v>4483</v>
      </c>
      <c r="K3623" s="2" t="s">
        <v>329</v>
      </c>
      <c r="L3623" s="2" t="s">
        <v>330</v>
      </c>
      <c r="M3623" s="2" t="s">
        <v>119</v>
      </c>
      <c r="N3623" s="4" t="str">
        <f t="shared" si="336"/>
        <v>TON</v>
      </c>
      <c r="O3623" s="5">
        <v>2</v>
      </c>
    </row>
    <row r="3624" spans="2:15" x14ac:dyDescent="0.25">
      <c r="B3624" s="1" t="s">
        <v>1520</v>
      </c>
      <c r="C3624" s="2" t="s">
        <v>196</v>
      </c>
      <c r="D3624" s="2" t="s">
        <v>299</v>
      </c>
      <c r="E3624" s="2" t="s">
        <v>300</v>
      </c>
      <c r="F3624" s="3">
        <v>45289</v>
      </c>
      <c r="G3624" s="4">
        <f t="shared" si="335"/>
        <v>12</v>
      </c>
      <c r="H3624" s="4">
        <f t="shared" si="334"/>
        <v>2023</v>
      </c>
      <c r="I3624" s="2" t="s">
        <v>4</v>
      </c>
      <c r="J3624" s="2" t="s">
        <v>4484</v>
      </c>
      <c r="K3624" s="2" t="s">
        <v>117</v>
      </c>
      <c r="L3624" s="2" t="s">
        <v>118</v>
      </c>
      <c r="M3624" s="2" t="s">
        <v>119</v>
      </c>
      <c r="N3624" s="4" t="str">
        <f t="shared" si="336"/>
        <v>TON</v>
      </c>
      <c r="O3624" s="5">
        <v>10.01</v>
      </c>
    </row>
    <row r="3625" spans="2:15" x14ac:dyDescent="0.25">
      <c r="B3625" s="1" t="s">
        <v>1520</v>
      </c>
      <c r="C3625" s="2" t="s">
        <v>196</v>
      </c>
      <c r="D3625" s="2" t="s">
        <v>4046</v>
      </c>
      <c r="E3625" s="2" t="s">
        <v>102</v>
      </c>
      <c r="F3625" s="3">
        <v>45289</v>
      </c>
      <c r="G3625" s="4">
        <f t="shared" si="335"/>
        <v>12</v>
      </c>
      <c r="H3625" s="4">
        <f t="shared" si="334"/>
        <v>2023</v>
      </c>
      <c r="I3625" s="2" t="s">
        <v>4</v>
      </c>
      <c r="J3625" s="2" t="s">
        <v>4485</v>
      </c>
      <c r="K3625" s="2" t="s">
        <v>268</v>
      </c>
      <c r="L3625" s="2" t="s">
        <v>269</v>
      </c>
      <c r="M3625" s="2" t="s">
        <v>119</v>
      </c>
      <c r="N3625" s="4" t="str">
        <f t="shared" si="336"/>
        <v>TON</v>
      </c>
      <c r="O3625" s="5">
        <v>0.45</v>
      </c>
    </row>
    <row r="3626" spans="2:15" x14ac:dyDescent="0.25">
      <c r="B3626" s="1" t="s">
        <v>1520</v>
      </c>
      <c r="C3626" s="2" t="s">
        <v>196</v>
      </c>
      <c r="D3626" s="2" t="s">
        <v>2002</v>
      </c>
      <c r="E3626" s="2" t="s">
        <v>102</v>
      </c>
      <c r="F3626" s="3">
        <v>45289</v>
      </c>
      <c r="G3626" s="4">
        <f t="shared" si="335"/>
        <v>12</v>
      </c>
      <c r="H3626" s="4">
        <f t="shared" si="334"/>
        <v>2023</v>
      </c>
      <c r="I3626" s="2" t="s">
        <v>4</v>
      </c>
      <c r="J3626" s="2" t="s">
        <v>4486</v>
      </c>
      <c r="K3626" s="2" t="s">
        <v>158</v>
      </c>
      <c r="L3626" s="2" t="s">
        <v>159</v>
      </c>
      <c r="M3626" s="2" t="s">
        <v>160</v>
      </c>
      <c r="N3626" s="4" t="str">
        <f t="shared" si="336"/>
        <v>GAL</v>
      </c>
      <c r="O3626" s="5">
        <v>20</v>
      </c>
    </row>
    <row r="3627" spans="2:15" x14ac:dyDescent="0.25">
      <c r="B3627" s="1" t="s">
        <v>1520</v>
      </c>
      <c r="C3627" s="2" t="s">
        <v>196</v>
      </c>
      <c r="D3627" s="2" t="s">
        <v>215</v>
      </c>
      <c r="E3627" s="2" t="s">
        <v>4113</v>
      </c>
      <c r="F3627" s="3">
        <v>45289</v>
      </c>
      <c r="G3627" s="4">
        <f t="shared" si="335"/>
        <v>12</v>
      </c>
      <c r="H3627" s="4">
        <f t="shared" si="334"/>
        <v>2023</v>
      </c>
      <c r="I3627" s="2" t="s">
        <v>4</v>
      </c>
      <c r="J3627" s="2" t="s">
        <v>4487</v>
      </c>
      <c r="K3627" s="2" t="s">
        <v>447</v>
      </c>
      <c r="L3627" s="2" t="s">
        <v>448</v>
      </c>
      <c r="M3627" s="2" t="s">
        <v>119</v>
      </c>
      <c r="N3627" s="4" t="str">
        <f t="shared" si="336"/>
        <v>TON</v>
      </c>
      <c r="O3627" s="5">
        <v>12.515000000000001</v>
      </c>
    </row>
    <row r="3628" spans="2:15" x14ac:dyDescent="0.25">
      <c r="B3628" s="1" t="s">
        <v>1520</v>
      </c>
      <c r="C3628" s="2" t="s">
        <v>196</v>
      </c>
      <c r="D3628" s="2" t="s">
        <v>418</v>
      </c>
      <c r="E3628" s="2" t="s">
        <v>2027</v>
      </c>
      <c r="F3628" s="3">
        <v>45290</v>
      </c>
      <c r="G3628" s="4">
        <f t="shared" si="335"/>
        <v>12</v>
      </c>
      <c r="H3628" s="4">
        <f t="shared" si="334"/>
        <v>2023</v>
      </c>
      <c r="I3628" s="2" t="s">
        <v>4</v>
      </c>
      <c r="J3628" s="2" t="s">
        <v>4488</v>
      </c>
      <c r="K3628" s="2" t="s">
        <v>422</v>
      </c>
      <c r="L3628" s="2" t="s">
        <v>423</v>
      </c>
      <c r="M3628" s="2" t="s">
        <v>119</v>
      </c>
      <c r="N3628" s="4" t="str">
        <f t="shared" si="336"/>
        <v>TON</v>
      </c>
      <c r="O3628" s="5">
        <v>11.75</v>
      </c>
    </row>
    <row r="3629" spans="2:15" x14ac:dyDescent="0.25">
      <c r="B3629" s="1" t="s">
        <v>1520</v>
      </c>
      <c r="C3629" s="2" t="s">
        <v>196</v>
      </c>
      <c r="D3629" s="2" t="s">
        <v>800</v>
      </c>
      <c r="E3629" s="2" t="s">
        <v>801</v>
      </c>
      <c r="F3629" s="3">
        <v>45289</v>
      </c>
      <c r="G3629" s="4">
        <f t="shared" si="335"/>
        <v>12</v>
      </c>
      <c r="H3629" s="4">
        <f t="shared" si="334"/>
        <v>2023</v>
      </c>
      <c r="I3629" s="2" t="s">
        <v>4</v>
      </c>
      <c r="J3629" s="2" t="s">
        <v>4489</v>
      </c>
      <c r="K3629" s="2" t="s">
        <v>122</v>
      </c>
      <c r="L3629" s="2" t="s">
        <v>123</v>
      </c>
      <c r="M3629" s="2" t="s">
        <v>119</v>
      </c>
      <c r="N3629" s="4" t="str">
        <f t="shared" si="336"/>
        <v>TON</v>
      </c>
      <c r="O3629" s="5">
        <v>3.2524999999999999</v>
      </c>
    </row>
    <row r="3630" spans="2:15" x14ac:dyDescent="0.25">
      <c r="B3630" s="1" t="s">
        <v>382</v>
      </c>
      <c r="C3630" s="2" t="s">
        <v>506</v>
      </c>
      <c r="D3630" s="2" t="s">
        <v>521</v>
      </c>
      <c r="E3630" s="2" t="s">
        <v>522</v>
      </c>
      <c r="F3630" s="3">
        <v>45264</v>
      </c>
      <c r="G3630" s="4">
        <f t="shared" si="335"/>
        <v>12</v>
      </c>
      <c r="H3630" s="4">
        <f t="shared" si="334"/>
        <v>2023</v>
      </c>
      <c r="I3630" s="2" t="s">
        <v>4</v>
      </c>
      <c r="J3630" s="2" t="s">
        <v>4490</v>
      </c>
      <c r="K3630" s="2" t="s">
        <v>244</v>
      </c>
      <c r="L3630" s="2" t="s">
        <v>182</v>
      </c>
      <c r="M3630" s="2" t="s">
        <v>183</v>
      </c>
      <c r="N3630" s="4" t="str">
        <f t="shared" si="336"/>
        <v>GAL</v>
      </c>
      <c r="O3630" s="5">
        <v>180</v>
      </c>
    </row>
    <row r="3631" spans="2:15" x14ac:dyDescent="0.25">
      <c r="B3631" s="1" t="s">
        <v>382</v>
      </c>
      <c r="C3631" s="2" t="s">
        <v>506</v>
      </c>
      <c r="D3631" s="2" t="s">
        <v>1006</v>
      </c>
      <c r="E3631" s="2" t="s">
        <v>1007</v>
      </c>
      <c r="F3631" s="3">
        <v>45267</v>
      </c>
      <c r="G3631" s="4">
        <f t="shared" si="335"/>
        <v>12</v>
      </c>
      <c r="H3631" s="4">
        <f t="shared" si="334"/>
        <v>2023</v>
      </c>
      <c r="I3631" s="2" t="s">
        <v>4</v>
      </c>
      <c r="J3631" s="2" t="s">
        <v>4491</v>
      </c>
      <c r="K3631" s="2" t="s">
        <v>642</v>
      </c>
      <c r="L3631" s="2" t="s">
        <v>111</v>
      </c>
      <c r="M3631" s="2" t="s">
        <v>112</v>
      </c>
      <c r="N3631" s="4" t="str">
        <f t="shared" si="336"/>
        <v>GAL</v>
      </c>
      <c r="O3631" s="5">
        <v>40</v>
      </c>
    </row>
    <row r="3632" spans="2:15" x14ac:dyDescent="0.25">
      <c r="B3632" s="1" t="s">
        <v>382</v>
      </c>
      <c r="C3632" s="2" t="s">
        <v>506</v>
      </c>
      <c r="D3632" s="2" t="s">
        <v>515</v>
      </c>
      <c r="E3632" s="2" t="s">
        <v>516</v>
      </c>
      <c r="F3632" s="3">
        <v>45268</v>
      </c>
      <c r="G3632" s="4">
        <f t="shared" si="335"/>
        <v>12</v>
      </c>
      <c r="H3632" s="4">
        <f t="shared" si="334"/>
        <v>2023</v>
      </c>
      <c r="I3632" s="2" t="s">
        <v>4</v>
      </c>
      <c r="J3632" s="2" t="s">
        <v>4492</v>
      </c>
      <c r="K3632" s="2" t="s">
        <v>110</v>
      </c>
      <c r="L3632" s="2" t="s">
        <v>111</v>
      </c>
      <c r="M3632" s="2" t="s">
        <v>112</v>
      </c>
      <c r="N3632" s="4" t="str">
        <f t="shared" si="336"/>
        <v>GAL</v>
      </c>
      <c r="O3632" s="5">
        <v>550</v>
      </c>
    </row>
    <row r="3633" spans="2:15" x14ac:dyDescent="0.25">
      <c r="B3633" s="6" t="s">
        <v>382</v>
      </c>
      <c r="C3633" s="7" t="s">
        <v>506</v>
      </c>
      <c r="D3633" s="8" t="s">
        <v>515</v>
      </c>
      <c r="E3633" s="8" t="s">
        <v>516</v>
      </c>
      <c r="F3633" s="12">
        <v>45280</v>
      </c>
      <c r="G3633" s="10">
        <f t="shared" si="335"/>
        <v>12</v>
      </c>
      <c r="H3633" s="10">
        <f t="shared" si="334"/>
        <v>2023</v>
      </c>
      <c r="I3633" s="8" t="s">
        <v>4</v>
      </c>
      <c r="J3633" s="7" t="s">
        <v>4493</v>
      </c>
      <c r="K3633" s="8" t="s">
        <v>1723</v>
      </c>
      <c r="L3633" s="8" t="s">
        <v>1724</v>
      </c>
      <c r="M3633" s="8" t="s">
        <v>13</v>
      </c>
      <c r="N3633" s="10" t="str">
        <f t="shared" si="336"/>
        <v>GAL</v>
      </c>
      <c r="O3633" s="11">
        <v>250</v>
      </c>
    </row>
    <row r="3634" spans="2:15" x14ac:dyDescent="0.25">
      <c r="B3634" s="1" t="s">
        <v>382</v>
      </c>
      <c r="C3634" s="2" t="s">
        <v>506</v>
      </c>
      <c r="D3634" s="2" t="s">
        <v>995</v>
      </c>
      <c r="E3634" s="2" t="s">
        <v>4494</v>
      </c>
      <c r="F3634" s="3">
        <v>45281</v>
      </c>
      <c r="G3634" s="4">
        <f t="shared" si="335"/>
        <v>12</v>
      </c>
      <c r="H3634" s="4">
        <f t="shared" si="334"/>
        <v>2023</v>
      </c>
      <c r="I3634" s="2" t="s">
        <v>4</v>
      </c>
      <c r="J3634" s="2" t="s">
        <v>4495</v>
      </c>
      <c r="K3634" s="2" t="s">
        <v>3188</v>
      </c>
      <c r="L3634" s="2" t="s">
        <v>999</v>
      </c>
      <c r="M3634" s="2" t="s">
        <v>1000</v>
      </c>
      <c r="N3634" s="4" t="str">
        <f t="shared" si="336"/>
        <v>GAL</v>
      </c>
      <c r="O3634" s="5">
        <v>55</v>
      </c>
    </row>
    <row r="3635" spans="2:15" x14ac:dyDescent="0.25">
      <c r="B3635" s="1" t="s">
        <v>382</v>
      </c>
      <c r="C3635" s="2" t="s">
        <v>506</v>
      </c>
      <c r="D3635" s="2" t="s">
        <v>995</v>
      </c>
      <c r="E3635" s="2" t="s">
        <v>4496</v>
      </c>
      <c r="F3635" s="3">
        <v>45286</v>
      </c>
      <c r="G3635" s="4">
        <f t="shared" si="335"/>
        <v>12</v>
      </c>
      <c r="H3635" s="4">
        <f t="shared" si="334"/>
        <v>2023</v>
      </c>
      <c r="I3635" s="2" t="s">
        <v>4</v>
      </c>
      <c r="J3635" s="2" t="s">
        <v>4497</v>
      </c>
      <c r="K3635" s="2" t="s">
        <v>4498</v>
      </c>
      <c r="L3635" s="2" t="s">
        <v>4499</v>
      </c>
      <c r="M3635" s="2" t="s">
        <v>2565</v>
      </c>
      <c r="N3635" s="4" t="str">
        <f t="shared" si="336"/>
        <v>GAL</v>
      </c>
      <c r="O3635" s="5">
        <v>250</v>
      </c>
    </row>
    <row r="3636" spans="2:15" x14ac:dyDescent="0.25">
      <c r="B3636" s="1" t="s">
        <v>382</v>
      </c>
      <c r="C3636" s="2" t="s">
        <v>506</v>
      </c>
      <c r="D3636" s="2" t="s">
        <v>521</v>
      </c>
      <c r="E3636" s="2" t="s">
        <v>522</v>
      </c>
      <c r="F3636" s="3">
        <v>45288</v>
      </c>
      <c r="G3636" s="4">
        <f t="shared" si="335"/>
        <v>12</v>
      </c>
      <c r="H3636" s="4">
        <f t="shared" si="334"/>
        <v>2023</v>
      </c>
      <c r="I3636" s="2" t="s">
        <v>4</v>
      </c>
      <c r="J3636" s="2" t="s">
        <v>4500</v>
      </c>
      <c r="K3636" s="2" t="s">
        <v>1400</v>
      </c>
      <c r="L3636" s="2" t="s">
        <v>1396</v>
      </c>
      <c r="M3636" s="2" t="s">
        <v>1397</v>
      </c>
      <c r="N3636" s="4" t="str">
        <f t="shared" si="336"/>
        <v>GAL</v>
      </c>
      <c r="O3636" s="5">
        <v>1000</v>
      </c>
    </row>
    <row r="3637" spans="2:15" x14ac:dyDescent="0.25">
      <c r="B3637" s="1" t="s">
        <v>382</v>
      </c>
      <c r="C3637" s="2" t="s">
        <v>506</v>
      </c>
      <c r="D3637" s="2" t="s">
        <v>521</v>
      </c>
      <c r="E3637" s="2" t="s">
        <v>522</v>
      </c>
      <c r="F3637" s="3">
        <v>45288</v>
      </c>
      <c r="G3637" s="4">
        <f t="shared" si="335"/>
        <v>12</v>
      </c>
      <c r="H3637" s="4">
        <f t="shared" si="334"/>
        <v>2023</v>
      </c>
      <c r="I3637" s="2" t="s">
        <v>4</v>
      </c>
      <c r="J3637" s="2" t="s">
        <v>4500</v>
      </c>
      <c r="K3637" s="2" t="s">
        <v>1395</v>
      </c>
      <c r="L3637" s="2" t="s">
        <v>1396</v>
      </c>
      <c r="M3637" s="2" t="s">
        <v>1397</v>
      </c>
      <c r="N3637" s="4" t="str">
        <f t="shared" si="336"/>
        <v>GAL</v>
      </c>
      <c r="O3637" s="5">
        <v>180</v>
      </c>
    </row>
    <row r="3638" spans="2:15" x14ac:dyDescent="0.25">
      <c r="B3638" s="1" t="s">
        <v>382</v>
      </c>
      <c r="C3638" s="2" t="s">
        <v>506</v>
      </c>
      <c r="D3638" s="2" t="s">
        <v>515</v>
      </c>
      <c r="E3638" s="2" t="s">
        <v>516</v>
      </c>
      <c r="F3638" s="3">
        <v>45289</v>
      </c>
      <c r="G3638" s="4">
        <f t="shared" si="335"/>
        <v>12</v>
      </c>
      <c r="H3638" s="4">
        <f t="shared" si="334"/>
        <v>2023</v>
      </c>
      <c r="I3638" s="2" t="s">
        <v>4</v>
      </c>
      <c r="J3638" s="2" t="s">
        <v>4501</v>
      </c>
      <c r="K3638" s="2" t="s">
        <v>4502</v>
      </c>
      <c r="L3638" s="2" t="s">
        <v>182</v>
      </c>
      <c r="M3638" s="2" t="s">
        <v>183</v>
      </c>
      <c r="N3638" s="4" t="str">
        <f t="shared" si="336"/>
        <v>GAL</v>
      </c>
      <c r="O3638" s="5">
        <v>55</v>
      </c>
    </row>
    <row r="3639" spans="2:15" x14ac:dyDescent="0.25">
      <c r="B3639" s="1" t="s">
        <v>782</v>
      </c>
      <c r="C3639" s="2" t="s">
        <v>1018</v>
      </c>
      <c r="D3639" s="2" t="s">
        <v>1019</v>
      </c>
      <c r="E3639" s="2" t="s">
        <v>1020</v>
      </c>
      <c r="F3639" s="3">
        <v>45272</v>
      </c>
      <c r="G3639" s="4">
        <f t="shared" si="335"/>
        <v>12</v>
      </c>
      <c r="H3639" s="4">
        <f t="shared" si="334"/>
        <v>2023</v>
      </c>
      <c r="I3639" s="2" t="s">
        <v>4</v>
      </c>
      <c r="J3639" s="2" t="s">
        <v>4503</v>
      </c>
      <c r="K3639" s="2" t="s">
        <v>4504</v>
      </c>
      <c r="L3639" s="2" t="s">
        <v>4233</v>
      </c>
      <c r="M3639" s="2" t="s">
        <v>2168</v>
      </c>
      <c r="N3639" s="4" t="str">
        <f t="shared" si="336"/>
        <v>GAL</v>
      </c>
      <c r="O3639" s="5">
        <v>250</v>
      </c>
    </row>
    <row r="3640" spans="2:15" x14ac:dyDescent="0.25">
      <c r="B3640" s="1" t="s">
        <v>645</v>
      </c>
      <c r="C3640" s="2" t="s">
        <v>1025</v>
      </c>
      <c r="D3640" s="2" t="s">
        <v>1401</v>
      </c>
      <c r="E3640" s="2" t="s">
        <v>1402</v>
      </c>
      <c r="F3640" s="3">
        <v>45261</v>
      </c>
      <c r="G3640" s="4">
        <f t="shared" si="335"/>
        <v>12</v>
      </c>
      <c r="H3640" s="4">
        <f t="shared" si="334"/>
        <v>2023</v>
      </c>
      <c r="I3640" s="2" t="s">
        <v>4</v>
      </c>
      <c r="J3640" s="2" t="s">
        <v>4505</v>
      </c>
      <c r="K3640" s="2" t="s">
        <v>3880</v>
      </c>
      <c r="L3640" s="2" t="s">
        <v>3881</v>
      </c>
      <c r="M3640" s="2" t="s">
        <v>106</v>
      </c>
      <c r="N3640" s="4" t="str">
        <f t="shared" si="336"/>
        <v>LBS</v>
      </c>
      <c r="O3640" s="5">
        <v>7320</v>
      </c>
    </row>
    <row r="3641" spans="2:15" x14ac:dyDescent="0.25">
      <c r="B3641" s="1" t="s">
        <v>645</v>
      </c>
      <c r="C3641" s="2" t="s">
        <v>1025</v>
      </c>
      <c r="D3641" s="2" t="s">
        <v>1401</v>
      </c>
      <c r="E3641" s="2" t="s">
        <v>1402</v>
      </c>
      <c r="F3641" s="3">
        <v>45279</v>
      </c>
      <c r="G3641" s="4">
        <f t="shared" si="335"/>
        <v>12</v>
      </c>
      <c r="H3641" s="4">
        <f t="shared" si="334"/>
        <v>2023</v>
      </c>
      <c r="I3641" s="2" t="s">
        <v>4</v>
      </c>
      <c r="J3641" s="2" t="s">
        <v>4506</v>
      </c>
      <c r="K3641" s="2" t="s">
        <v>244</v>
      </c>
      <c r="L3641" s="2" t="s">
        <v>182</v>
      </c>
      <c r="M3641" s="2" t="s">
        <v>183</v>
      </c>
      <c r="N3641" s="4" t="str">
        <f t="shared" si="336"/>
        <v>GAL</v>
      </c>
      <c r="O3641" s="5">
        <v>30</v>
      </c>
    </row>
    <row r="3642" spans="2:15" x14ac:dyDescent="0.25">
      <c r="B3642" s="1" t="s">
        <v>1410</v>
      </c>
      <c r="C3642" s="2" t="s">
        <v>525</v>
      </c>
      <c r="D3642" s="2" t="s">
        <v>507</v>
      </c>
      <c r="E3642" s="2" t="s">
        <v>4507</v>
      </c>
      <c r="F3642" s="3">
        <v>45266</v>
      </c>
      <c r="G3642" s="4">
        <f t="shared" si="335"/>
        <v>12</v>
      </c>
      <c r="H3642" s="4">
        <f t="shared" si="334"/>
        <v>2023</v>
      </c>
      <c r="I3642" s="2" t="s">
        <v>4</v>
      </c>
      <c r="J3642" s="2" t="s">
        <v>4508</v>
      </c>
      <c r="K3642" s="2" t="s">
        <v>513</v>
      </c>
      <c r="L3642" s="2" t="s">
        <v>514</v>
      </c>
      <c r="M3642" s="2" t="s">
        <v>119</v>
      </c>
      <c r="N3642" s="4" t="str">
        <f t="shared" si="336"/>
        <v>TON</v>
      </c>
      <c r="O3642" s="5">
        <v>3.34</v>
      </c>
    </row>
    <row r="3643" spans="2:15" x14ac:dyDescent="0.25">
      <c r="B3643" s="1" t="s">
        <v>1410</v>
      </c>
      <c r="C3643" s="2" t="s">
        <v>525</v>
      </c>
      <c r="D3643" s="2" t="s">
        <v>628</v>
      </c>
      <c r="E3643" s="2" t="s">
        <v>1036</v>
      </c>
      <c r="F3643" s="3">
        <v>45267</v>
      </c>
      <c r="G3643" s="4">
        <f t="shared" si="335"/>
        <v>12</v>
      </c>
      <c r="H3643" s="4">
        <f t="shared" ref="H3643:H3668" si="337">+YEAR(F3643)</f>
        <v>2023</v>
      </c>
      <c r="I3643" s="2" t="s">
        <v>4</v>
      </c>
      <c r="J3643" s="2" t="s">
        <v>4509</v>
      </c>
      <c r="K3643" s="2" t="s">
        <v>1119</v>
      </c>
      <c r="L3643" s="2" t="s">
        <v>1023</v>
      </c>
      <c r="M3643" s="2" t="s">
        <v>1024</v>
      </c>
      <c r="N3643" s="4" t="str">
        <f t="shared" si="336"/>
        <v>GAL</v>
      </c>
      <c r="O3643" s="5">
        <v>50</v>
      </c>
    </row>
    <row r="3644" spans="2:15" x14ac:dyDescent="0.25">
      <c r="B3644" s="1" t="s">
        <v>1410</v>
      </c>
      <c r="C3644" s="2" t="s">
        <v>525</v>
      </c>
      <c r="D3644" s="2" t="s">
        <v>124</v>
      </c>
      <c r="E3644" s="2" t="s">
        <v>526</v>
      </c>
      <c r="F3644" s="3">
        <v>45267</v>
      </c>
      <c r="G3644" s="4">
        <f t="shared" si="335"/>
        <v>12</v>
      </c>
      <c r="H3644" s="4">
        <f t="shared" si="337"/>
        <v>2023</v>
      </c>
      <c r="I3644" s="2" t="s">
        <v>4</v>
      </c>
      <c r="J3644" s="2" t="s">
        <v>4510</v>
      </c>
      <c r="K3644" s="2" t="s">
        <v>531</v>
      </c>
      <c r="L3644" s="2" t="s">
        <v>201</v>
      </c>
      <c r="M3644" s="2" t="s">
        <v>202</v>
      </c>
      <c r="N3644" s="4" t="str">
        <f t="shared" si="336"/>
        <v>GAL</v>
      </c>
      <c r="O3644" s="5">
        <v>270</v>
      </c>
    </row>
    <row r="3645" spans="2:15" x14ac:dyDescent="0.25">
      <c r="B3645" s="1" t="s">
        <v>1410</v>
      </c>
      <c r="C3645" s="2" t="s">
        <v>525</v>
      </c>
      <c r="D3645" s="2" t="s">
        <v>628</v>
      </c>
      <c r="E3645" s="2" t="s">
        <v>1036</v>
      </c>
      <c r="F3645" s="3">
        <v>45274</v>
      </c>
      <c r="G3645" s="4">
        <f t="shared" si="335"/>
        <v>12</v>
      </c>
      <c r="H3645" s="4">
        <f t="shared" si="337"/>
        <v>2023</v>
      </c>
      <c r="I3645" s="2" t="s">
        <v>4</v>
      </c>
      <c r="J3645" s="2" t="s">
        <v>4511</v>
      </c>
      <c r="K3645" s="2" t="s">
        <v>189</v>
      </c>
      <c r="L3645" s="2" t="s">
        <v>190</v>
      </c>
      <c r="M3645" s="2" t="s">
        <v>191</v>
      </c>
      <c r="N3645" s="4" t="str">
        <f t="shared" si="336"/>
        <v>GAL</v>
      </c>
      <c r="O3645" s="5">
        <v>180</v>
      </c>
    </row>
    <row r="3646" spans="2:15" x14ac:dyDescent="0.25">
      <c r="B3646" s="1" t="s">
        <v>1410</v>
      </c>
      <c r="C3646" s="2" t="s">
        <v>525</v>
      </c>
      <c r="D3646" s="2" t="s">
        <v>628</v>
      </c>
      <c r="E3646" s="2" t="s">
        <v>1036</v>
      </c>
      <c r="F3646" s="3">
        <v>45274</v>
      </c>
      <c r="G3646" s="4">
        <f t="shared" si="335"/>
        <v>12</v>
      </c>
      <c r="H3646" s="4">
        <f t="shared" si="337"/>
        <v>2023</v>
      </c>
      <c r="I3646" s="2" t="s">
        <v>4</v>
      </c>
      <c r="J3646" s="2" t="s">
        <v>4511</v>
      </c>
      <c r="K3646" s="2" t="s">
        <v>531</v>
      </c>
      <c r="L3646" s="2" t="s">
        <v>201</v>
      </c>
      <c r="M3646" s="2" t="s">
        <v>202</v>
      </c>
      <c r="N3646" s="4" t="str">
        <f t="shared" si="336"/>
        <v>GAL</v>
      </c>
      <c r="O3646" s="5">
        <v>300</v>
      </c>
    </row>
    <row r="3647" spans="2:15" x14ac:dyDescent="0.25">
      <c r="B3647" s="1" t="s">
        <v>1410</v>
      </c>
      <c r="C3647" s="2" t="s">
        <v>525</v>
      </c>
      <c r="D3647" s="2" t="s">
        <v>628</v>
      </c>
      <c r="E3647" s="2" t="s">
        <v>1036</v>
      </c>
      <c r="F3647" s="3">
        <v>45278</v>
      </c>
      <c r="G3647" s="4">
        <f t="shared" si="335"/>
        <v>12</v>
      </c>
      <c r="H3647" s="4">
        <f t="shared" si="337"/>
        <v>2023</v>
      </c>
      <c r="I3647" s="2" t="s">
        <v>4</v>
      </c>
      <c r="J3647" s="2" t="s">
        <v>4512</v>
      </c>
      <c r="K3647" s="2" t="s">
        <v>158</v>
      </c>
      <c r="L3647" s="2" t="s">
        <v>159</v>
      </c>
      <c r="M3647" s="2" t="s">
        <v>160</v>
      </c>
      <c r="N3647" s="4" t="str">
        <f t="shared" si="336"/>
        <v>GAL</v>
      </c>
      <c r="O3647" s="5">
        <v>360</v>
      </c>
    </row>
    <row r="3648" spans="2:15" x14ac:dyDescent="0.25">
      <c r="B3648" s="1" t="s">
        <v>1410</v>
      </c>
      <c r="C3648" s="2" t="s">
        <v>525</v>
      </c>
      <c r="D3648" s="2" t="s">
        <v>507</v>
      </c>
      <c r="E3648" s="2" t="s">
        <v>508</v>
      </c>
      <c r="F3648" s="3">
        <v>45279</v>
      </c>
      <c r="G3648" s="4">
        <f t="shared" si="335"/>
        <v>12</v>
      </c>
      <c r="H3648" s="4">
        <f t="shared" si="337"/>
        <v>2023</v>
      </c>
      <c r="I3648" s="2" t="s">
        <v>4</v>
      </c>
      <c r="J3648" s="2" t="s">
        <v>4513</v>
      </c>
      <c r="K3648" s="2" t="s">
        <v>158</v>
      </c>
      <c r="L3648" s="2" t="s">
        <v>159</v>
      </c>
      <c r="M3648" s="2" t="s">
        <v>160</v>
      </c>
      <c r="N3648" s="4" t="str">
        <f t="shared" si="336"/>
        <v>GAL</v>
      </c>
      <c r="O3648" s="5">
        <v>360</v>
      </c>
    </row>
    <row r="3649" spans="2:15" x14ac:dyDescent="0.25">
      <c r="B3649" s="1" t="s">
        <v>1410</v>
      </c>
      <c r="C3649" s="2" t="s">
        <v>525</v>
      </c>
      <c r="D3649" s="2" t="s">
        <v>124</v>
      </c>
      <c r="E3649" s="2" t="s">
        <v>526</v>
      </c>
      <c r="F3649" s="3">
        <v>45280</v>
      </c>
      <c r="G3649" s="4">
        <f t="shared" si="335"/>
        <v>12</v>
      </c>
      <c r="H3649" s="4">
        <f t="shared" si="337"/>
        <v>2023</v>
      </c>
      <c r="I3649" s="2" t="s">
        <v>4</v>
      </c>
      <c r="J3649" s="2" t="s">
        <v>4514</v>
      </c>
      <c r="K3649" s="2" t="s">
        <v>2113</v>
      </c>
      <c r="L3649" s="2" t="s">
        <v>2114</v>
      </c>
      <c r="M3649" s="2" t="s">
        <v>119</v>
      </c>
      <c r="N3649" s="4" t="str">
        <f t="shared" si="336"/>
        <v>TON</v>
      </c>
      <c r="O3649" s="5">
        <v>12.012499999999999</v>
      </c>
    </row>
    <row r="3650" spans="2:15" x14ac:dyDescent="0.25">
      <c r="B3650" s="1" t="s">
        <v>1410</v>
      </c>
      <c r="C3650" s="2" t="s">
        <v>525</v>
      </c>
      <c r="D3650" s="2" t="s">
        <v>628</v>
      </c>
      <c r="E3650" s="2" t="s">
        <v>1036</v>
      </c>
      <c r="F3650" s="3">
        <v>45282</v>
      </c>
      <c r="G3650" s="4">
        <f t="shared" si="335"/>
        <v>12</v>
      </c>
      <c r="H3650" s="4">
        <f t="shared" si="337"/>
        <v>2023</v>
      </c>
      <c r="I3650" s="2" t="s">
        <v>4</v>
      </c>
      <c r="J3650" s="2" t="s">
        <v>4515</v>
      </c>
      <c r="K3650" s="2" t="s">
        <v>158</v>
      </c>
      <c r="L3650" s="2" t="s">
        <v>159</v>
      </c>
      <c r="M3650" s="2" t="s">
        <v>160</v>
      </c>
      <c r="N3650" s="4" t="str">
        <f t="shared" si="336"/>
        <v>GAL</v>
      </c>
      <c r="O3650" s="5">
        <v>180</v>
      </c>
    </row>
    <row r="3651" spans="2:15" x14ac:dyDescent="0.25">
      <c r="B3651" s="1" t="s">
        <v>1410</v>
      </c>
      <c r="C3651" s="2" t="s">
        <v>525</v>
      </c>
      <c r="D3651" s="2" t="s">
        <v>507</v>
      </c>
      <c r="E3651" s="2" t="s">
        <v>508</v>
      </c>
      <c r="F3651" s="3">
        <v>45289</v>
      </c>
      <c r="G3651" s="4">
        <f t="shared" ref="G3651:G3668" si="338">+MONTH(F3651)</f>
        <v>12</v>
      </c>
      <c r="H3651" s="4">
        <f t="shared" si="337"/>
        <v>2023</v>
      </c>
      <c r="I3651" s="2" t="s">
        <v>4</v>
      </c>
      <c r="J3651" s="2" t="s">
        <v>4516</v>
      </c>
      <c r="K3651" s="2" t="s">
        <v>1496</v>
      </c>
      <c r="L3651" s="2" t="s">
        <v>159</v>
      </c>
      <c r="M3651" s="2" t="s">
        <v>160</v>
      </c>
      <c r="N3651" s="4" t="str">
        <f t="shared" ref="N3651:N3668" si="339">+LEFT(M3651,3)</f>
        <v>GAL</v>
      </c>
      <c r="O3651" s="5">
        <v>250</v>
      </c>
    </row>
    <row r="3652" spans="2:15" x14ac:dyDescent="0.25">
      <c r="B3652" s="1" t="s">
        <v>1410</v>
      </c>
      <c r="C3652" s="2" t="s">
        <v>525</v>
      </c>
      <c r="D3652" s="2" t="s">
        <v>628</v>
      </c>
      <c r="E3652" s="2" t="s">
        <v>1036</v>
      </c>
      <c r="F3652" s="3">
        <v>45289</v>
      </c>
      <c r="G3652" s="4">
        <f t="shared" si="338"/>
        <v>12</v>
      </c>
      <c r="H3652" s="4">
        <f t="shared" si="337"/>
        <v>2023</v>
      </c>
      <c r="I3652" s="2" t="s">
        <v>4</v>
      </c>
      <c r="J3652" s="2" t="s">
        <v>4517</v>
      </c>
      <c r="K3652" s="2" t="s">
        <v>25</v>
      </c>
      <c r="L3652" s="2" t="s">
        <v>541</v>
      </c>
      <c r="M3652" s="2" t="s">
        <v>27</v>
      </c>
      <c r="N3652" s="4" t="str">
        <f t="shared" si="339"/>
        <v>GAL</v>
      </c>
      <c r="O3652" s="5">
        <v>360</v>
      </c>
    </row>
    <row r="3653" spans="2:15" x14ac:dyDescent="0.25">
      <c r="B3653" s="1" t="s">
        <v>3238</v>
      </c>
      <c r="C3653" s="2" t="s">
        <v>3239</v>
      </c>
      <c r="D3653" s="2" t="s">
        <v>3240</v>
      </c>
      <c r="E3653" s="2" t="s">
        <v>3902</v>
      </c>
      <c r="F3653" s="3">
        <v>45264</v>
      </c>
      <c r="G3653" s="4">
        <f t="shared" si="338"/>
        <v>12</v>
      </c>
      <c r="H3653" s="4">
        <f t="shared" si="337"/>
        <v>2023</v>
      </c>
      <c r="I3653" s="2" t="s">
        <v>4</v>
      </c>
      <c r="J3653" s="2" t="s">
        <v>4518</v>
      </c>
      <c r="K3653" s="2" t="s">
        <v>3925</v>
      </c>
      <c r="L3653" s="2" t="s">
        <v>4264</v>
      </c>
      <c r="M3653" s="2" t="s">
        <v>119</v>
      </c>
      <c r="N3653" s="4" t="str">
        <f t="shared" si="339"/>
        <v>TON</v>
      </c>
      <c r="O3653" s="5">
        <v>5</v>
      </c>
    </row>
    <row r="3654" spans="2:15" x14ac:dyDescent="0.25">
      <c r="B3654" s="1" t="s">
        <v>3238</v>
      </c>
      <c r="C3654" s="2" t="s">
        <v>3239</v>
      </c>
      <c r="D3654" s="2" t="s">
        <v>3240</v>
      </c>
      <c r="E3654" s="2" t="s">
        <v>3379</v>
      </c>
      <c r="F3654" s="3">
        <v>45266</v>
      </c>
      <c r="G3654" s="4">
        <f t="shared" si="338"/>
        <v>12</v>
      </c>
      <c r="H3654" s="4">
        <f t="shared" si="337"/>
        <v>2023</v>
      </c>
      <c r="I3654" s="2" t="s">
        <v>4</v>
      </c>
      <c r="J3654" s="2" t="s">
        <v>4519</v>
      </c>
      <c r="K3654" s="2" t="s">
        <v>4257</v>
      </c>
      <c r="L3654" s="2" t="s">
        <v>4258</v>
      </c>
      <c r="M3654" s="2" t="s">
        <v>3251</v>
      </c>
      <c r="N3654" s="4" t="str">
        <f t="shared" si="339"/>
        <v>GAL</v>
      </c>
      <c r="O3654" s="5">
        <v>250</v>
      </c>
    </row>
    <row r="3655" spans="2:15" x14ac:dyDescent="0.25">
      <c r="B3655" s="1" t="s">
        <v>3238</v>
      </c>
      <c r="C3655" s="2" t="s">
        <v>3239</v>
      </c>
      <c r="D3655" s="2" t="s">
        <v>3240</v>
      </c>
      <c r="E3655" s="2" t="s">
        <v>3918</v>
      </c>
      <c r="F3655" s="3">
        <v>45272</v>
      </c>
      <c r="G3655" s="4">
        <f t="shared" si="338"/>
        <v>12</v>
      </c>
      <c r="H3655" s="4">
        <f t="shared" si="337"/>
        <v>2023</v>
      </c>
      <c r="I3655" s="2" t="s">
        <v>4</v>
      </c>
      <c r="J3655" s="2" t="s">
        <v>4520</v>
      </c>
      <c r="K3655" s="2" t="s">
        <v>3395</v>
      </c>
      <c r="L3655" s="2" t="s">
        <v>3396</v>
      </c>
      <c r="M3655" s="2" t="s">
        <v>844</v>
      </c>
      <c r="N3655" s="4" t="str">
        <f t="shared" si="339"/>
        <v>GAL</v>
      </c>
      <c r="O3655" s="5">
        <v>275</v>
      </c>
    </row>
    <row r="3656" spans="2:15" x14ac:dyDescent="0.25">
      <c r="B3656" s="1" t="s">
        <v>3238</v>
      </c>
      <c r="C3656" s="2" t="s">
        <v>3239</v>
      </c>
      <c r="D3656" s="2" t="s">
        <v>3240</v>
      </c>
      <c r="E3656" s="2" t="s">
        <v>102</v>
      </c>
      <c r="F3656" s="3">
        <v>45272</v>
      </c>
      <c r="G3656" s="4">
        <f t="shared" si="338"/>
        <v>12</v>
      </c>
      <c r="H3656" s="4">
        <f t="shared" si="337"/>
        <v>2023</v>
      </c>
      <c r="I3656" s="2" t="s">
        <v>4</v>
      </c>
      <c r="J3656" s="2" t="s">
        <v>4521</v>
      </c>
      <c r="K3656" s="2" t="s">
        <v>3914</v>
      </c>
      <c r="L3656" s="2" t="s">
        <v>3915</v>
      </c>
      <c r="M3656" s="2" t="s">
        <v>3916</v>
      </c>
      <c r="N3656" s="4" t="str">
        <f t="shared" si="339"/>
        <v>GAL</v>
      </c>
      <c r="O3656" s="5">
        <v>90</v>
      </c>
    </row>
    <row r="3657" spans="2:15" x14ac:dyDescent="0.25">
      <c r="B3657" s="1" t="s">
        <v>3238</v>
      </c>
      <c r="C3657" s="2" t="s">
        <v>3239</v>
      </c>
      <c r="D3657" s="2" t="s">
        <v>3240</v>
      </c>
      <c r="E3657" s="2" t="s">
        <v>102</v>
      </c>
      <c r="F3657" s="3">
        <v>45272</v>
      </c>
      <c r="G3657" s="4">
        <f t="shared" si="338"/>
        <v>12</v>
      </c>
      <c r="H3657" s="4">
        <f t="shared" si="337"/>
        <v>2023</v>
      </c>
      <c r="I3657" s="2" t="s">
        <v>4</v>
      </c>
      <c r="J3657" s="2" t="s">
        <v>4521</v>
      </c>
      <c r="K3657" s="2" t="s">
        <v>3249</v>
      </c>
      <c r="L3657" s="2" t="s">
        <v>3250</v>
      </c>
      <c r="M3657" s="2" t="s">
        <v>3251</v>
      </c>
      <c r="N3657" s="4" t="str">
        <f t="shared" si="339"/>
        <v>GAL</v>
      </c>
      <c r="O3657" s="5">
        <v>90</v>
      </c>
    </row>
    <row r="3658" spans="2:15" x14ac:dyDescent="0.25">
      <c r="B3658" s="1" t="s">
        <v>3238</v>
      </c>
      <c r="C3658" s="2" t="s">
        <v>3239</v>
      </c>
      <c r="D3658" s="2" t="s">
        <v>3240</v>
      </c>
      <c r="E3658" s="2" t="s">
        <v>3388</v>
      </c>
      <c r="F3658" s="3">
        <v>45274</v>
      </c>
      <c r="G3658" s="4">
        <f t="shared" si="338"/>
        <v>12</v>
      </c>
      <c r="H3658" s="4">
        <f t="shared" si="337"/>
        <v>2023</v>
      </c>
      <c r="I3658" s="2" t="s">
        <v>4</v>
      </c>
      <c r="J3658" s="2" t="s">
        <v>4522</v>
      </c>
      <c r="K3658" s="2" t="s">
        <v>4257</v>
      </c>
      <c r="L3658" s="2" t="s">
        <v>4258</v>
      </c>
      <c r="M3658" s="2" t="s">
        <v>3251</v>
      </c>
      <c r="N3658" s="4" t="str">
        <f t="shared" si="339"/>
        <v>GAL</v>
      </c>
      <c r="O3658" s="5">
        <v>500</v>
      </c>
    </row>
    <row r="3659" spans="2:15" x14ac:dyDescent="0.25">
      <c r="B3659" s="1" t="s">
        <v>3238</v>
      </c>
      <c r="C3659" s="2" t="s">
        <v>3239</v>
      </c>
      <c r="D3659" s="2" t="s">
        <v>3240</v>
      </c>
      <c r="E3659" s="2" t="s">
        <v>3379</v>
      </c>
      <c r="F3659" s="3">
        <v>45275</v>
      </c>
      <c r="G3659" s="4">
        <f t="shared" si="338"/>
        <v>12</v>
      </c>
      <c r="H3659" s="4">
        <f t="shared" si="337"/>
        <v>2023</v>
      </c>
      <c r="I3659" s="2" t="s">
        <v>4</v>
      </c>
      <c r="J3659" s="2" t="s">
        <v>4523</v>
      </c>
      <c r="K3659" s="2" t="s">
        <v>4257</v>
      </c>
      <c r="L3659" s="2" t="s">
        <v>4258</v>
      </c>
      <c r="M3659" s="2" t="s">
        <v>3251</v>
      </c>
      <c r="N3659" s="4" t="str">
        <f t="shared" si="339"/>
        <v>GAL</v>
      </c>
      <c r="O3659" s="5">
        <v>250</v>
      </c>
    </row>
    <row r="3660" spans="2:15" x14ac:dyDescent="0.25">
      <c r="B3660" s="1" t="s">
        <v>3238</v>
      </c>
      <c r="C3660" s="2" t="s">
        <v>3239</v>
      </c>
      <c r="D3660" s="2" t="s">
        <v>3240</v>
      </c>
      <c r="E3660" s="2" t="s">
        <v>102</v>
      </c>
      <c r="F3660" s="3">
        <v>45278</v>
      </c>
      <c r="G3660" s="4">
        <f t="shared" si="338"/>
        <v>12</v>
      </c>
      <c r="H3660" s="4">
        <f t="shared" si="337"/>
        <v>2023</v>
      </c>
      <c r="I3660" s="2" t="s">
        <v>4</v>
      </c>
      <c r="J3660" s="2" t="s">
        <v>4524</v>
      </c>
      <c r="K3660" s="2" t="s">
        <v>551</v>
      </c>
      <c r="L3660" s="2" t="s">
        <v>2426</v>
      </c>
      <c r="M3660" s="2" t="s">
        <v>553</v>
      </c>
      <c r="N3660" s="4" t="str">
        <f t="shared" si="339"/>
        <v>GAL</v>
      </c>
      <c r="O3660" s="5">
        <v>5</v>
      </c>
    </row>
    <row r="3661" spans="2:15" x14ac:dyDescent="0.25">
      <c r="B3661" s="1" t="s">
        <v>3238</v>
      </c>
      <c r="C3661" s="2" t="s">
        <v>3239</v>
      </c>
      <c r="D3661" s="2" t="s">
        <v>3240</v>
      </c>
      <c r="E3661" s="2" t="s">
        <v>102</v>
      </c>
      <c r="F3661" s="3">
        <v>45279</v>
      </c>
      <c r="G3661" s="4">
        <f t="shared" si="338"/>
        <v>12</v>
      </c>
      <c r="H3661" s="4">
        <f t="shared" si="337"/>
        <v>2023</v>
      </c>
      <c r="I3661" s="2" t="s">
        <v>4</v>
      </c>
      <c r="J3661" s="2" t="s">
        <v>4525</v>
      </c>
      <c r="K3661" s="2" t="s">
        <v>4257</v>
      </c>
      <c r="L3661" s="2" t="s">
        <v>4258</v>
      </c>
      <c r="M3661" s="2" t="s">
        <v>3251</v>
      </c>
      <c r="N3661" s="4" t="str">
        <f t="shared" si="339"/>
        <v>GAL</v>
      </c>
      <c r="O3661" s="5">
        <v>1000</v>
      </c>
    </row>
    <row r="3662" spans="2:15" x14ac:dyDescent="0.25">
      <c r="B3662" s="1" t="s">
        <v>3238</v>
      </c>
      <c r="C3662" s="2" t="s">
        <v>3239</v>
      </c>
      <c r="D3662" s="2" t="s">
        <v>3240</v>
      </c>
      <c r="E3662" s="2" t="s">
        <v>3944</v>
      </c>
      <c r="F3662" s="3">
        <v>45281</v>
      </c>
      <c r="G3662" s="4">
        <f t="shared" si="338"/>
        <v>12</v>
      </c>
      <c r="H3662" s="4">
        <f t="shared" si="337"/>
        <v>2023</v>
      </c>
      <c r="I3662" s="2" t="s">
        <v>4</v>
      </c>
      <c r="J3662" s="2" t="s">
        <v>4526</v>
      </c>
      <c r="K3662" s="2" t="s">
        <v>3524</v>
      </c>
      <c r="L3662" s="2" t="s">
        <v>3525</v>
      </c>
      <c r="M3662" s="2" t="s">
        <v>1397</v>
      </c>
      <c r="N3662" s="4" t="str">
        <f t="shared" si="339"/>
        <v>GAL</v>
      </c>
      <c r="O3662" s="5">
        <v>250</v>
      </c>
    </row>
    <row r="3663" spans="2:15" x14ac:dyDescent="0.25">
      <c r="B3663" s="1" t="s">
        <v>3238</v>
      </c>
      <c r="C3663" s="2" t="s">
        <v>3239</v>
      </c>
      <c r="D3663" s="2" t="s">
        <v>3240</v>
      </c>
      <c r="E3663" s="2" t="s">
        <v>3944</v>
      </c>
      <c r="F3663" s="3">
        <v>45281</v>
      </c>
      <c r="G3663" s="4">
        <f t="shared" si="338"/>
        <v>12</v>
      </c>
      <c r="H3663" s="4">
        <f t="shared" si="337"/>
        <v>2023</v>
      </c>
      <c r="I3663" s="2" t="s">
        <v>4</v>
      </c>
      <c r="J3663" s="2" t="s">
        <v>4526</v>
      </c>
      <c r="K3663" s="2" t="s">
        <v>3946</v>
      </c>
      <c r="L3663" s="2" t="s">
        <v>3506</v>
      </c>
      <c r="M3663" s="2" t="s">
        <v>917</v>
      </c>
      <c r="N3663" s="4" t="str">
        <f t="shared" si="339"/>
        <v>GAL</v>
      </c>
      <c r="O3663" s="5">
        <v>500</v>
      </c>
    </row>
    <row r="3664" spans="2:15" x14ac:dyDescent="0.25">
      <c r="B3664" s="1" t="s">
        <v>3238</v>
      </c>
      <c r="C3664" s="2" t="s">
        <v>3239</v>
      </c>
      <c r="D3664" s="2" t="s">
        <v>3240</v>
      </c>
      <c r="E3664" s="2" t="s">
        <v>3944</v>
      </c>
      <c r="F3664" s="3">
        <v>45281</v>
      </c>
      <c r="G3664" s="4">
        <f t="shared" si="338"/>
        <v>12</v>
      </c>
      <c r="H3664" s="4">
        <f t="shared" si="337"/>
        <v>2023</v>
      </c>
      <c r="I3664" s="2" t="s">
        <v>4</v>
      </c>
      <c r="J3664" s="2" t="s">
        <v>4526</v>
      </c>
      <c r="K3664" s="2" t="s">
        <v>3947</v>
      </c>
      <c r="L3664" s="2" t="s">
        <v>3948</v>
      </c>
      <c r="M3664" s="2" t="s">
        <v>3299</v>
      </c>
      <c r="N3664" s="4" t="str">
        <f t="shared" si="339"/>
        <v>GAL</v>
      </c>
      <c r="O3664" s="5">
        <v>250</v>
      </c>
    </row>
    <row r="3665" spans="2:15" x14ac:dyDescent="0.25">
      <c r="B3665" s="1" t="s">
        <v>3238</v>
      </c>
      <c r="C3665" s="2" t="s">
        <v>3239</v>
      </c>
      <c r="D3665" s="2" t="s">
        <v>3240</v>
      </c>
      <c r="E3665" s="2" t="s">
        <v>3944</v>
      </c>
      <c r="F3665" s="3">
        <v>45281</v>
      </c>
      <c r="G3665" s="4">
        <f t="shared" si="338"/>
        <v>12</v>
      </c>
      <c r="H3665" s="4">
        <f t="shared" si="337"/>
        <v>2023</v>
      </c>
      <c r="I3665" s="2" t="s">
        <v>4</v>
      </c>
      <c r="J3665" s="2" t="s">
        <v>4526</v>
      </c>
      <c r="K3665" s="2" t="s">
        <v>3395</v>
      </c>
      <c r="L3665" s="2" t="s">
        <v>3396</v>
      </c>
      <c r="M3665" s="2" t="s">
        <v>844</v>
      </c>
      <c r="N3665" s="4" t="str">
        <f t="shared" si="339"/>
        <v>GAL</v>
      </c>
      <c r="O3665" s="5">
        <v>275</v>
      </c>
    </row>
    <row r="3666" spans="2:15" x14ac:dyDescent="0.25">
      <c r="B3666" s="1" t="s">
        <v>3238</v>
      </c>
      <c r="C3666" s="2" t="s">
        <v>3239</v>
      </c>
      <c r="D3666" s="2" t="s">
        <v>3240</v>
      </c>
      <c r="E3666" s="2" t="s">
        <v>3402</v>
      </c>
      <c r="F3666" s="3">
        <v>45281</v>
      </c>
      <c r="G3666" s="4">
        <f t="shared" si="338"/>
        <v>12</v>
      </c>
      <c r="H3666" s="4">
        <f t="shared" si="337"/>
        <v>2023</v>
      </c>
      <c r="I3666" s="2" t="s">
        <v>4</v>
      </c>
      <c r="J3666" s="2" t="s">
        <v>4527</v>
      </c>
      <c r="K3666" s="2" t="s">
        <v>3404</v>
      </c>
      <c r="L3666" s="2" t="s">
        <v>3405</v>
      </c>
      <c r="M3666" s="2" t="s">
        <v>3406</v>
      </c>
      <c r="N3666" s="4" t="str">
        <f t="shared" si="339"/>
        <v>GAL</v>
      </c>
      <c r="O3666" s="5">
        <v>500</v>
      </c>
    </row>
    <row r="3667" spans="2:15" x14ac:dyDescent="0.25">
      <c r="B3667" s="1" t="s">
        <v>3238</v>
      </c>
      <c r="C3667" s="2" t="s">
        <v>3239</v>
      </c>
      <c r="D3667" s="2" t="s">
        <v>3240</v>
      </c>
      <c r="E3667" s="2" t="s">
        <v>3529</v>
      </c>
      <c r="F3667" s="3">
        <v>45281</v>
      </c>
      <c r="G3667" s="4">
        <f t="shared" si="338"/>
        <v>12</v>
      </c>
      <c r="H3667" s="4">
        <f t="shared" si="337"/>
        <v>2023</v>
      </c>
      <c r="I3667" s="2" t="s">
        <v>4</v>
      </c>
      <c r="J3667" s="2" t="s">
        <v>4528</v>
      </c>
      <c r="K3667" s="2" t="s">
        <v>3395</v>
      </c>
      <c r="L3667" s="2" t="s">
        <v>3396</v>
      </c>
      <c r="M3667" s="2" t="s">
        <v>844</v>
      </c>
      <c r="N3667" s="4" t="str">
        <f t="shared" si="339"/>
        <v>GAL</v>
      </c>
      <c r="O3667" s="5">
        <v>275</v>
      </c>
    </row>
    <row r="3668" spans="2:15" x14ac:dyDescent="0.25">
      <c r="B3668" s="6" t="s">
        <v>3238</v>
      </c>
      <c r="C3668" s="7" t="s">
        <v>3239</v>
      </c>
      <c r="D3668" s="8" t="s">
        <v>3240</v>
      </c>
      <c r="E3668" s="8" t="s">
        <v>4529</v>
      </c>
      <c r="F3668" s="12">
        <v>45287</v>
      </c>
      <c r="G3668" s="10">
        <f t="shared" si="338"/>
        <v>12</v>
      </c>
      <c r="H3668" s="10">
        <f t="shared" si="337"/>
        <v>2023</v>
      </c>
      <c r="I3668" s="8" t="s">
        <v>4</v>
      </c>
      <c r="J3668" s="7" t="s">
        <v>4530</v>
      </c>
      <c r="K3668" s="8" t="s">
        <v>3399</v>
      </c>
      <c r="L3668" s="8" t="s">
        <v>3400</v>
      </c>
      <c r="M3668" s="8" t="s">
        <v>3401</v>
      </c>
      <c r="N3668" s="10" t="str">
        <f t="shared" si="339"/>
        <v>GAL</v>
      </c>
      <c r="O3668" s="11">
        <v>250</v>
      </c>
    </row>
    <row r="3669" spans="2:15" x14ac:dyDescent="0.25">
      <c r="B3669" s="1" t="s">
        <v>0</v>
      </c>
      <c r="C3669" s="2" t="s">
        <v>1</v>
      </c>
      <c r="D3669" s="2" t="s">
        <v>2</v>
      </c>
      <c r="E3669" s="2" t="s">
        <v>3</v>
      </c>
      <c r="F3669" s="3">
        <v>45296</v>
      </c>
      <c r="G3669" s="4">
        <v>1</v>
      </c>
      <c r="H3669" s="4">
        <v>2024</v>
      </c>
      <c r="I3669" s="2" t="s">
        <v>4</v>
      </c>
      <c r="J3669" s="2" t="s">
        <v>4531</v>
      </c>
      <c r="K3669" s="2" t="s">
        <v>566</v>
      </c>
      <c r="L3669" s="2" t="s">
        <v>20</v>
      </c>
      <c r="M3669" s="2" t="s">
        <v>21</v>
      </c>
      <c r="N3669" s="4" t="s">
        <v>4532</v>
      </c>
      <c r="O3669" s="5">
        <v>55</v>
      </c>
    </row>
    <row r="3670" spans="2:15" x14ac:dyDescent="0.25">
      <c r="B3670" s="1" t="s">
        <v>0</v>
      </c>
      <c r="C3670" s="2" t="s">
        <v>1</v>
      </c>
      <c r="D3670" s="2" t="s">
        <v>2</v>
      </c>
      <c r="E3670" s="2" t="s">
        <v>3</v>
      </c>
      <c r="F3670" s="3">
        <v>45296</v>
      </c>
      <c r="G3670" s="4">
        <v>1</v>
      </c>
      <c r="H3670" s="4">
        <v>2024</v>
      </c>
      <c r="I3670" s="2" t="s">
        <v>4</v>
      </c>
      <c r="J3670" s="2" t="s">
        <v>4531</v>
      </c>
      <c r="K3670" s="2" t="s">
        <v>6</v>
      </c>
      <c r="L3670" s="2" t="s">
        <v>7</v>
      </c>
      <c r="M3670" s="2" t="s">
        <v>8</v>
      </c>
      <c r="N3670" s="4" t="s">
        <v>4532</v>
      </c>
      <c r="O3670" s="5">
        <v>55</v>
      </c>
    </row>
    <row r="3671" spans="2:15" x14ac:dyDescent="0.25">
      <c r="B3671" s="1" t="s">
        <v>0</v>
      </c>
      <c r="C3671" s="2" t="s">
        <v>1</v>
      </c>
      <c r="D3671" s="2" t="s">
        <v>2</v>
      </c>
      <c r="E3671" s="2" t="s">
        <v>86</v>
      </c>
      <c r="F3671" s="3">
        <v>45301</v>
      </c>
      <c r="G3671" s="4">
        <v>1</v>
      </c>
      <c r="H3671" s="4">
        <v>2024</v>
      </c>
      <c r="I3671" s="2" t="s">
        <v>4</v>
      </c>
      <c r="J3671" s="2" t="s">
        <v>4533</v>
      </c>
      <c r="K3671" s="2" t="s">
        <v>11</v>
      </c>
      <c r="L3671" s="2" t="s">
        <v>12</v>
      </c>
      <c r="M3671" s="2" t="s">
        <v>13</v>
      </c>
      <c r="N3671" s="4" t="s">
        <v>4532</v>
      </c>
      <c r="O3671" s="5">
        <v>110</v>
      </c>
    </row>
    <row r="3672" spans="2:15" x14ac:dyDescent="0.25">
      <c r="B3672" s="1" t="s">
        <v>0</v>
      </c>
      <c r="C3672" s="2" t="s">
        <v>1</v>
      </c>
      <c r="D3672" s="2" t="s">
        <v>2</v>
      </c>
      <c r="E3672" s="2" t="s">
        <v>1776</v>
      </c>
      <c r="F3672" s="3">
        <v>45308</v>
      </c>
      <c r="G3672" s="4">
        <v>1</v>
      </c>
      <c r="H3672" s="4">
        <v>2024</v>
      </c>
      <c r="I3672" s="2" t="s">
        <v>4</v>
      </c>
      <c r="J3672" s="2" t="s">
        <v>4534</v>
      </c>
      <c r="K3672" s="2" t="s">
        <v>574</v>
      </c>
      <c r="L3672" s="2" t="s">
        <v>66</v>
      </c>
      <c r="M3672" s="2" t="s">
        <v>67</v>
      </c>
      <c r="N3672" s="4" t="s">
        <v>4532</v>
      </c>
      <c r="O3672" s="5">
        <v>30</v>
      </c>
    </row>
    <row r="3673" spans="2:15" x14ac:dyDescent="0.25">
      <c r="B3673" s="1" t="s">
        <v>0</v>
      </c>
      <c r="C3673" s="2" t="s">
        <v>1</v>
      </c>
      <c r="D3673" s="2" t="s">
        <v>2</v>
      </c>
      <c r="E3673" s="2" t="s">
        <v>1776</v>
      </c>
      <c r="F3673" s="3">
        <v>45308</v>
      </c>
      <c r="G3673" s="4">
        <v>1</v>
      </c>
      <c r="H3673" s="4">
        <v>2024</v>
      </c>
      <c r="I3673" s="2" t="s">
        <v>4</v>
      </c>
      <c r="J3673" s="2" t="s">
        <v>4534</v>
      </c>
      <c r="K3673" s="2" t="s">
        <v>19</v>
      </c>
      <c r="L3673" s="2" t="s">
        <v>20</v>
      </c>
      <c r="M3673" s="2" t="s">
        <v>21</v>
      </c>
      <c r="N3673" s="4" t="s">
        <v>4532</v>
      </c>
      <c r="O3673" s="5">
        <v>110</v>
      </c>
    </row>
    <row r="3674" spans="2:15" x14ac:dyDescent="0.25">
      <c r="B3674" s="1" t="s">
        <v>0</v>
      </c>
      <c r="C3674" s="2" t="s">
        <v>1</v>
      </c>
      <c r="D3674" s="2" t="s">
        <v>2</v>
      </c>
      <c r="E3674" s="2" t="s">
        <v>1776</v>
      </c>
      <c r="F3674" s="3">
        <v>45308</v>
      </c>
      <c r="G3674" s="4">
        <v>1</v>
      </c>
      <c r="H3674" s="4">
        <v>2024</v>
      </c>
      <c r="I3674" s="2" t="s">
        <v>4</v>
      </c>
      <c r="J3674" s="2" t="s">
        <v>4534</v>
      </c>
      <c r="K3674" s="2" t="s">
        <v>44</v>
      </c>
      <c r="L3674" s="2" t="s">
        <v>45</v>
      </c>
      <c r="M3674" s="2" t="s">
        <v>46</v>
      </c>
      <c r="N3674" s="4" t="s">
        <v>4532</v>
      </c>
      <c r="O3674" s="5">
        <v>30</v>
      </c>
    </row>
    <row r="3675" spans="2:15" x14ac:dyDescent="0.25">
      <c r="B3675" s="1" t="s">
        <v>0</v>
      </c>
      <c r="C3675" s="2" t="s">
        <v>1</v>
      </c>
      <c r="D3675" s="2" t="s">
        <v>2</v>
      </c>
      <c r="E3675" s="2" t="s">
        <v>1776</v>
      </c>
      <c r="F3675" s="3">
        <v>45308</v>
      </c>
      <c r="G3675" s="4">
        <v>1</v>
      </c>
      <c r="H3675" s="4">
        <v>2024</v>
      </c>
      <c r="I3675" s="2" t="s">
        <v>4</v>
      </c>
      <c r="J3675" s="2" t="s">
        <v>4534</v>
      </c>
      <c r="K3675" s="2" t="s">
        <v>83</v>
      </c>
      <c r="L3675" s="2" t="s">
        <v>84</v>
      </c>
      <c r="M3675" s="2" t="s">
        <v>85</v>
      </c>
      <c r="N3675" s="4" t="s">
        <v>4532</v>
      </c>
      <c r="O3675" s="5">
        <v>110</v>
      </c>
    </row>
    <row r="3676" spans="2:15" x14ac:dyDescent="0.25">
      <c r="B3676" s="1" t="s">
        <v>0</v>
      </c>
      <c r="C3676" s="2" t="s">
        <v>1</v>
      </c>
      <c r="D3676" s="2" t="s">
        <v>2</v>
      </c>
      <c r="E3676" s="2" t="s">
        <v>1776</v>
      </c>
      <c r="F3676" s="3">
        <v>45308</v>
      </c>
      <c r="G3676" s="4">
        <v>1</v>
      </c>
      <c r="H3676" s="4">
        <v>2024</v>
      </c>
      <c r="I3676" s="2" t="s">
        <v>4</v>
      </c>
      <c r="J3676" s="2" t="s">
        <v>4534</v>
      </c>
      <c r="K3676" s="2" t="s">
        <v>50</v>
      </c>
      <c r="L3676" s="2" t="s">
        <v>51</v>
      </c>
      <c r="M3676" s="2" t="s">
        <v>52</v>
      </c>
      <c r="N3676" s="4" t="s">
        <v>4532</v>
      </c>
      <c r="O3676" s="5">
        <v>110</v>
      </c>
    </row>
    <row r="3677" spans="2:15" x14ac:dyDescent="0.25">
      <c r="B3677" s="1" t="s">
        <v>0</v>
      </c>
      <c r="C3677" s="2" t="s">
        <v>1</v>
      </c>
      <c r="D3677" s="2" t="s">
        <v>2</v>
      </c>
      <c r="E3677" s="2" t="s">
        <v>61</v>
      </c>
      <c r="F3677" s="3">
        <v>45308</v>
      </c>
      <c r="G3677" s="4">
        <v>1</v>
      </c>
      <c r="H3677" s="4">
        <v>2024</v>
      </c>
      <c r="I3677" s="2" t="s">
        <v>4</v>
      </c>
      <c r="J3677" s="2" t="s">
        <v>4535</v>
      </c>
      <c r="K3677" s="2" t="s">
        <v>19</v>
      </c>
      <c r="L3677" s="2" t="s">
        <v>20</v>
      </c>
      <c r="M3677" s="2" t="s">
        <v>21</v>
      </c>
      <c r="N3677" s="4" t="s">
        <v>4532</v>
      </c>
      <c r="O3677" s="5">
        <v>50</v>
      </c>
    </row>
    <row r="3678" spans="2:15" x14ac:dyDescent="0.25">
      <c r="B3678" s="1" t="s">
        <v>0</v>
      </c>
      <c r="C3678" s="2" t="s">
        <v>1</v>
      </c>
      <c r="D3678" s="2" t="s">
        <v>2</v>
      </c>
      <c r="E3678" s="2" t="s">
        <v>61</v>
      </c>
      <c r="F3678" s="3">
        <v>45308</v>
      </c>
      <c r="G3678" s="4">
        <v>1</v>
      </c>
      <c r="H3678" s="4">
        <v>2024</v>
      </c>
      <c r="I3678" s="2" t="s">
        <v>4</v>
      </c>
      <c r="J3678" s="2" t="s">
        <v>4535</v>
      </c>
      <c r="K3678" s="2" t="s">
        <v>25</v>
      </c>
      <c r="L3678" s="2" t="s">
        <v>26</v>
      </c>
      <c r="M3678" s="2" t="s">
        <v>27</v>
      </c>
      <c r="N3678" s="4" t="s">
        <v>4532</v>
      </c>
      <c r="O3678" s="5">
        <v>100</v>
      </c>
    </row>
    <row r="3679" spans="2:15" x14ac:dyDescent="0.25">
      <c r="B3679" s="1" t="s">
        <v>0</v>
      </c>
      <c r="C3679" s="2" t="s">
        <v>1</v>
      </c>
      <c r="D3679" s="2" t="s">
        <v>2</v>
      </c>
      <c r="E3679" s="2" t="s">
        <v>61</v>
      </c>
      <c r="F3679" s="3">
        <v>45308</v>
      </c>
      <c r="G3679" s="4">
        <v>1</v>
      </c>
      <c r="H3679" s="4">
        <v>2024</v>
      </c>
      <c r="I3679" s="2" t="s">
        <v>4</v>
      </c>
      <c r="J3679" s="2" t="s">
        <v>4535</v>
      </c>
      <c r="K3679" s="2" t="s">
        <v>28</v>
      </c>
      <c r="L3679" s="2" t="s">
        <v>29</v>
      </c>
      <c r="M3679" s="2" t="s">
        <v>30</v>
      </c>
      <c r="N3679" s="4" t="s">
        <v>4532</v>
      </c>
      <c r="O3679" s="5">
        <v>50</v>
      </c>
    </row>
    <row r="3680" spans="2:15" x14ac:dyDescent="0.25">
      <c r="B3680" s="1" t="s">
        <v>0</v>
      </c>
      <c r="C3680" s="2" t="s">
        <v>1</v>
      </c>
      <c r="D3680" s="2" t="s">
        <v>2</v>
      </c>
      <c r="E3680" s="2" t="s">
        <v>61</v>
      </c>
      <c r="F3680" s="3">
        <v>45308</v>
      </c>
      <c r="G3680" s="4">
        <v>1</v>
      </c>
      <c r="H3680" s="4">
        <v>2024</v>
      </c>
      <c r="I3680" s="2" t="s">
        <v>4</v>
      </c>
      <c r="J3680" s="2" t="s">
        <v>4535</v>
      </c>
      <c r="K3680" s="2" t="s">
        <v>16</v>
      </c>
      <c r="L3680" s="2" t="s">
        <v>7</v>
      </c>
      <c r="M3680" s="2" t="s">
        <v>8</v>
      </c>
      <c r="N3680" s="4" t="s">
        <v>4532</v>
      </c>
      <c r="O3680" s="5">
        <v>100</v>
      </c>
    </row>
    <row r="3681" spans="2:15" x14ac:dyDescent="0.25">
      <c r="B3681" s="1" t="s">
        <v>0</v>
      </c>
      <c r="C3681" s="2" t="s">
        <v>1</v>
      </c>
      <c r="D3681" s="2" t="s">
        <v>2</v>
      </c>
      <c r="E3681" s="2" t="s">
        <v>3</v>
      </c>
      <c r="F3681" s="3">
        <v>45309</v>
      </c>
      <c r="G3681" s="4">
        <v>1</v>
      </c>
      <c r="H3681" s="4">
        <v>2024</v>
      </c>
      <c r="I3681" s="2" t="s">
        <v>4</v>
      </c>
      <c r="J3681" s="2" t="s">
        <v>4536</v>
      </c>
      <c r="K3681" s="2" t="s">
        <v>566</v>
      </c>
      <c r="L3681" s="2" t="s">
        <v>20</v>
      </c>
      <c r="M3681" s="2" t="s">
        <v>21</v>
      </c>
      <c r="N3681" s="4" t="s">
        <v>4532</v>
      </c>
      <c r="O3681" s="5">
        <v>55</v>
      </c>
    </row>
    <row r="3682" spans="2:15" x14ac:dyDescent="0.25">
      <c r="B3682" s="1" t="s">
        <v>0</v>
      </c>
      <c r="C3682" s="2" t="s">
        <v>1</v>
      </c>
      <c r="D3682" s="2" t="s">
        <v>2</v>
      </c>
      <c r="E3682" s="2" t="s">
        <v>3</v>
      </c>
      <c r="F3682" s="3">
        <v>45309</v>
      </c>
      <c r="G3682" s="4">
        <v>1</v>
      </c>
      <c r="H3682" s="4">
        <v>2024</v>
      </c>
      <c r="I3682" s="2" t="s">
        <v>4</v>
      </c>
      <c r="J3682" s="2" t="s">
        <v>4536</v>
      </c>
      <c r="K3682" s="2" t="s">
        <v>6</v>
      </c>
      <c r="L3682" s="2" t="s">
        <v>7</v>
      </c>
      <c r="M3682" s="2" t="s">
        <v>8</v>
      </c>
      <c r="N3682" s="4" t="s">
        <v>4532</v>
      </c>
      <c r="O3682" s="5">
        <v>55</v>
      </c>
    </row>
    <row r="3683" spans="2:15" x14ac:dyDescent="0.25">
      <c r="B3683" s="1" t="s">
        <v>0</v>
      </c>
      <c r="C3683" s="2" t="s">
        <v>1</v>
      </c>
      <c r="D3683" s="2" t="s">
        <v>55</v>
      </c>
      <c r="E3683" s="2" t="s">
        <v>56</v>
      </c>
      <c r="F3683" s="3">
        <v>45314</v>
      </c>
      <c r="G3683" s="4">
        <v>1</v>
      </c>
      <c r="H3683" s="4">
        <v>2024</v>
      </c>
      <c r="I3683" s="2" t="s">
        <v>4</v>
      </c>
      <c r="J3683" s="2" t="s">
        <v>4537</v>
      </c>
      <c r="K3683" s="2" t="s">
        <v>582</v>
      </c>
      <c r="L3683" s="2" t="s">
        <v>583</v>
      </c>
      <c r="M3683" s="2" t="s">
        <v>553</v>
      </c>
      <c r="N3683" s="4" t="s">
        <v>4532</v>
      </c>
      <c r="O3683" s="5">
        <v>90</v>
      </c>
    </row>
    <row r="3684" spans="2:15" x14ac:dyDescent="0.25">
      <c r="B3684" s="1" t="s">
        <v>0</v>
      </c>
      <c r="C3684" s="2" t="s">
        <v>1</v>
      </c>
      <c r="D3684" s="2" t="s">
        <v>55</v>
      </c>
      <c r="E3684" s="2" t="s">
        <v>56</v>
      </c>
      <c r="F3684" s="3">
        <v>45314</v>
      </c>
      <c r="G3684" s="4">
        <v>1</v>
      </c>
      <c r="H3684" s="4">
        <v>2024</v>
      </c>
      <c r="I3684" s="2" t="s">
        <v>4</v>
      </c>
      <c r="J3684" s="2" t="s">
        <v>4537</v>
      </c>
      <c r="K3684" s="2" t="s">
        <v>83</v>
      </c>
      <c r="L3684" s="2" t="s">
        <v>584</v>
      </c>
      <c r="M3684" s="2" t="s">
        <v>85</v>
      </c>
      <c r="N3684" s="4" t="s">
        <v>4532</v>
      </c>
      <c r="O3684" s="5">
        <v>90</v>
      </c>
    </row>
    <row r="3685" spans="2:15" x14ac:dyDescent="0.25">
      <c r="B3685" s="1" t="s">
        <v>0</v>
      </c>
      <c r="C3685" s="2" t="s">
        <v>1</v>
      </c>
      <c r="D3685" s="2" t="s">
        <v>55</v>
      </c>
      <c r="E3685" s="2" t="s">
        <v>56</v>
      </c>
      <c r="F3685" s="3">
        <v>45314</v>
      </c>
      <c r="G3685" s="4">
        <v>1</v>
      </c>
      <c r="H3685" s="4">
        <v>2024</v>
      </c>
      <c r="I3685" s="2" t="s">
        <v>4</v>
      </c>
      <c r="J3685" s="2" t="s">
        <v>4537</v>
      </c>
      <c r="K3685" s="2" t="s">
        <v>585</v>
      </c>
      <c r="L3685" s="2" t="s">
        <v>586</v>
      </c>
      <c r="M3685" s="2" t="s">
        <v>587</v>
      </c>
      <c r="N3685" s="4" t="s">
        <v>4532</v>
      </c>
      <c r="O3685" s="5">
        <v>90</v>
      </c>
    </row>
    <row r="3686" spans="2:15" x14ac:dyDescent="0.25">
      <c r="B3686" s="1" t="s">
        <v>0</v>
      </c>
      <c r="C3686" s="2" t="s">
        <v>1</v>
      </c>
      <c r="D3686" s="2" t="s">
        <v>2</v>
      </c>
      <c r="E3686" s="2" t="s">
        <v>4287</v>
      </c>
      <c r="F3686" s="3">
        <v>45314</v>
      </c>
      <c r="G3686" s="4">
        <v>1</v>
      </c>
      <c r="H3686" s="4">
        <v>2024</v>
      </c>
      <c r="I3686" s="2" t="s">
        <v>4</v>
      </c>
      <c r="J3686" s="2" t="s">
        <v>4538</v>
      </c>
      <c r="K3686" s="2" t="s">
        <v>574</v>
      </c>
      <c r="L3686" s="2" t="s">
        <v>66</v>
      </c>
      <c r="M3686" s="2" t="s">
        <v>67</v>
      </c>
      <c r="N3686" s="4" t="s">
        <v>4532</v>
      </c>
      <c r="O3686" s="5">
        <v>60</v>
      </c>
    </row>
    <row r="3687" spans="2:15" x14ac:dyDescent="0.25">
      <c r="B3687" s="1" t="s">
        <v>0</v>
      </c>
      <c r="C3687" s="2" t="s">
        <v>1</v>
      </c>
      <c r="D3687" s="2" t="s">
        <v>2</v>
      </c>
      <c r="E3687" s="2" t="s">
        <v>4287</v>
      </c>
      <c r="F3687" s="3">
        <v>45314</v>
      </c>
      <c r="G3687" s="4">
        <v>1</v>
      </c>
      <c r="H3687" s="4">
        <v>2024</v>
      </c>
      <c r="I3687" s="2" t="s">
        <v>4</v>
      </c>
      <c r="J3687" s="2" t="s">
        <v>4538</v>
      </c>
      <c r="K3687" s="2" t="s">
        <v>33</v>
      </c>
      <c r="L3687" s="2" t="s">
        <v>34</v>
      </c>
      <c r="M3687" s="2" t="s">
        <v>35</v>
      </c>
      <c r="N3687" s="4" t="s">
        <v>4532</v>
      </c>
      <c r="O3687" s="5">
        <v>60</v>
      </c>
    </row>
    <row r="3688" spans="2:15" x14ac:dyDescent="0.25">
      <c r="B3688" s="1" t="s">
        <v>0</v>
      </c>
      <c r="C3688" s="2" t="s">
        <v>1</v>
      </c>
      <c r="D3688" s="2" t="s">
        <v>2</v>
      </c>
      <c r="E3688" s="2" t="s">
        <v>4287</v>
      </c>
      <c r="F3688" s="3">
        <v>45314</v>
      </c>
      <c r="G3688" s="4">
        <v>1</v>
      </c>
      <c r="H3688" s="4">
        <v>2024</v>
      </c>
      <c r="I3688" s="2" t="s">
        <v>4</v>
      </c>
      <c r="J3688" s="2" t="s">
        <v>4538</v>
      </c>
      <c r="K3688" s="2" t="s">
        <v>36</v>
      </c>
      <c r="L3688" s="2" t="s">
        <v>37</v>
      </c>
      <c r="M3688" s="2" t="s">
        <v>38</v>
      </c>
      <c r="N3688" s="4" t="s">
        <v>4532</v>
      </c>
      <c r="O3688" s="5">
        <v>30</v>
      </c>
    </row>
    <row r="3689" spans="2:15" x14ac:dyDescent="0.25">
      <c r="B3689" s="1" t="s">
        <v>0</v>
      </c>
      <c r="C3689" s="2" t="s">
        <v>1</v>
      </c>
      <c r="D3689" s="2" t="s">
        <v>2</v>
      </c>
      <c r="E3689" s="2" t="s">
        <v>4287</v>
      </c>
      <c r="F3689" s="3">
        <v>45314</v>
      </c>
      <c r="G3689" s="4">
        <v>1</v>
      </c>
      <c r="H3689" s="4">
        <v>2024</v>
      </c>
      <c r="I3689" s="2" t="s">
        <v>4</v>
      </c>
      <c r="J3689" s="2" t="s">
        <v>4538</v>
      </c>
      <c r="K3689" s="2" t="s">
        <v>578</v>
      </c>
      <c r="L3689" s="2" t="s">
        <v>72</v>
      </c>
      <c r="M3689" s="2" t="s">
        <v>73</v>
      </c>
      <c r="N3689" s="4" t="s">
        <v>4532</v>
      </c>
      <c r="O3689" s="5">
        <v>30</v>
      </c>
    </row>
    <row r="3690" spans="2:15" x14ac:dyDescent="0.25">
      <c r="B3690" s="1" t="s">
        <v>0</v>
      </c>
      <c r="C3690" s="2" t="s">
        <v>1</v>
      </c>
      <c r="D3690" s="2" t="s">
        <v>2</v>
      </c>
      <c r="E3690" s="2" t="s">
        <v>4287</v>
      </c>
      <c r="F3690" s="3">
        <v>45314</v>
      </c>
      <c r="G3690" s="4">
        <v>1</v>
      </c>
      <c r="H3690" s="4">
        <v>2024</v>
      </c>
      <c r="I3690" s="2" t="s">
        <v>4</v>
      </c>
      <c r="J3690" s="2" t="s">
        <v>4538</v>
      </c>
      <c r="K3690" s="2" t="s">
        <v>25</v>
      </c>
      <c r="L3690" s="2" t="s">
        <v>26</v>
      </c>
      <c r="M3690" s="2" t="s">
        <v>27</v>
      </c>
      <c r="N3690" s="4" t="s">
        <v>4532</v>
      </c>
      <c r="O3690" s="5">
        <v>120</v>
      </c>
    </row>
    <row r="3691" spans="2:15" x14ac:dyDescent="0.25">
      <c r="B3691" s="1" t="s">
        <v>0</v>
      </c>
      <c r="C3691" s="2" t="s">
        <v>1</v>
      </c>
      <c r="D3691" s="2" t="s">
        <v>2</v>
      </c>
      <c r="E3691" s="2" t="s">
        <v>4287</v>
      </c>
      <c r="F3691" s="3">
        <v>45314</v>
      </c>
      <c r="G3691" s="4">
        <v>1</v>
      </c>
      <c r="H3691" s="4">
        <v>2024</v>
      </c>
      <c r="I3691" s="2" t="s">
        <v>4</v>
      </c>
      <c r="J3691" s="2" t="s">
        <v>4538</v>
      </c>
      <c r="K3691" s="2" t="s">
        <v>50</v>
      </c>
      <c r="L3691" s="2" t="s">
        <v>51</v>
      </c>
      <c r="M3691" s="2" t="s">
        <v>52</v>
      </c>
      <c r="N3691" s="4" t="s">
        <v>4532</v>
      </c>
      <c r="O3691" s="5">
        <v>60</v>
      </c>
    </row>
    <row r="3692" spans="2:15" x14ac:dyDescent="0.25">
      <c r="B3692" s="1" t="s">
        <v>0</v>
      </c>
      <c r="C3692" s="2" t="s">
        <v>1</v>
      </c>
      <c r="D3692" s="2" t="s">
        <v>2</v>
      </c>
      <c r="E3692" s="2" t="s">
        <v>4287</v>
      </c>
      <c r="F3692" s="3">
        <v>45314</v>
      </c>
      <c r="G3692" s="4">
        <v>1</v>
      </c>
      <c r="H3692" s="4">
        <v>2024</v>
      </c>
      <c r="I3692" s="2" t="s">
        <v>4</v>
      </c>
      <c r="J3692" s="2" t="s">
        <v>4538</v>
      </c>
      <c r="K3692" s="2" t="s">
        <v>28</v>
      </c>
      <c r="L3692" s="2" t="s">
        <v>29</v>
      </c>
      <c r="M3692" s="2" t="s">
        <v>30</v>
      </c>
      <c r="N3692" s="4" t="s">
        <v>4532</v>
      </c>
      <c r="O3692" s="5">
        <v>120</v>
      </c>
    </row>
    <row r="3693" spans="2:15" x14ac:dyDescent="0.25">
      <c r="B3693" s="1" t="s">
        <v>0</v>
      </c>
      <c r="C3693" s="2" t="s">
        <v>1</v>
      </c>
      <c r="D3693" s="2" t="s">
        <v>2</v>
      </c>
      <c r="E3693" s="2" t="s">
        <v>4287</v>
      </c>
      <c r="F3693" s="3">
        <v>45314</v>
      </c>
      <c r="G3693" s="4">
        <v>1</v>
      </c>
      <c r="H3693" s="4">
        <v>2024</v>
      </c>
      <c r="I3693" s="2" t="s">
        <v>4</v>
      </c>
      <c r="J3693" s="2" t="s">
        <v>4538</v>
      </c>
      <c r="K3693" s="2" t="s">
        <v>16</v>
      </c>
      <c r="L3693" s="2" t="s">
        <v>7</v>
      </c>
      <c r="M3693" s="2" t="s">
        <v>8</v>
      </c>
      <c r="N3693" s="4" t="s">
        <v>4532</v>
      </c>
      <c r="O3693" s="5">
        <v>120</v>
      </c>
    </row>
    <row r="3694" spans="2:15" x14ac:dyDescent="0.25">
      <c r="B3694" s="1" t="s">
        <v>0</v>
      </c>
      <c r="C3694" s="2" t="s">
        <v>1</v>
      </c>
      <c r="D3694" s="2" t="s">
        <v>2</v>
      </c>
      <c r="E3694" s="2" t="s">
        <v>1432</v>
      </c>
      <c r="F3694" s="3">
        <v>45321</v>
      </c>
      <c r="G3694" s="4">
        <v>1</v>
      </c>
      <c r="H3694" s="4">
        <v>2024</v>
      </c>
      <c r="I3694" s="2" t="s">
        <v>4</v>
      </c>
      <c r="J3694" s="2" t="s">
        <v>4539</v>
      </c>
      <c r="K3694" s="2" t="s">
        <v>574</v>
      </c>
      <c r="L3694" s="2" t="s">
        <v>66</v>
      </c>
      <c r="M3694" s="2" t="s">
        <v>67</v>
      </c>
      <c r="N3694" s="4" t="s">
        <v>4532</v>
      </c>
      <c r="O3694" s="5">
        <v>20</v>
      </c>
    </row>
    <row r="3695" spans="2:15" x14ac:dyDescent="0.25">
      <c r="B3695" s="1" t="s">
        <v>0</v>
      </c>
      <c r="C3695" s="2" t="s">
        <v>1</v>
      </c>
      <c r="D3695" s="2" t="s">
        <v>2</v>
      </c>
      <c r="E3695" s="2" t="s">
        <v>1432</v>
      </c>
      <c r="F3695" s="3">
        <v>45321</v>
      </c>
      <c r="G3695" s="4">
        <v>1</v>
      </c>
      <c r="H3695" s="4">
        <v>2024</v>
      </c>
      <c r="I3695" s="2" t="s">
        <v>4</v>
      </c>
      <c r="J3695" s="2" t="s">
        <v>4539</v>
      </c>
      <c r="K3695" s="2" t="s">
        <v>33</v>
      </c>
      <c r="L3695" s="2" t="s">
        <v>34</v>
      </c>
      <c r="M3695" s="2" t="s">
        <v>35</v>
      </c>
      <c r="N3695" s="4" t="s">
        <v>4532</v>
      </c>
      <c r="O3695" s="5">
        <v>20</v>
      </c>
    </row>
    <row r="3696" spans="2:15" x14ac:dyDescent="0.25">
      <c r="B3696" s="1" t="s">
        <v>0</v>
      </c>
      <c r="C3696" s="2" t="s">
        <v>1</v>
      </c>
      <c r="D3696" s="2" t="s">
        <v>2</v>
      </c>
      <c r="E3696" s="2" t="s">
        <v>1432</v>
      </c>
      <c r="F3696" s="3">
        <v>45321</v>
      </c>
      <c r="G3696" s="4">
        <v>1</v>
      </c>
      <c r="H3696" s="4">
        <v>2024</v>
      </c>
      <c r="I3696" s="2" t="s">
        <v>4</v>
      </c>
      <c r="J3696" s="2" t="s">
        <v>4539</v>
      </c>
      <c r="K3696" s="2" t="s">
        <v>19</v>
      </c>
      <c r="L3696" s="2" t="s">
        <v>20</v>
      </c>
      <c r="M3696" s="2" t="s">
        <v>21</v>
      </c>
      <c r="N3696" s="4" t="s">
        <v>4532</v>
      </c>
      <c r="O3696" s="5">
        <v>40</v>
      </c>
    </row>
    <row r="3697" spans="2:15" x14ac:dyDescent="0.25">
      <c r="B3697" s="1" t="s">
        <v>0</v>
      </c>
      <c r="C3697" s="2" t="s">
        <v>1</v>
      </c>
      <c r="D3697" s="2" t="s">
        <v>2</v>
      </c>
      <c r="E3697" s="2" t="s">
        <v>1432</v>
      </c>
      <c r="F3697" s="3">
        <v>45321</v>
      </c>
      <c r="G3697" s="4">
        <v>1</v>
      </c>
      <c r="H3697" s="4">
        <v>2024</v>
      </c>
      <c r="I3697" s="2" t="s">
        <v>4</v>
      </c>
      <c r="J3697" s="2" t="s">
        <v>4539</v>
      </c>
      <c r="K3697" s="2" t="s">
        <v>566</v>
      </c>
      <c r="L3697" s="2" t="s">
        <v>20</v>
      </c>
      <c r="M3697" s="2" t="s">
        <v>21</v>
      </c>
      <c r="N3697" s="4" t="s">
        <v>4532</v>
      </c>
      <c r="O3697" s="5">
        <v>55</v>
      </c>
    </row>
    <row r="3698" spans="2:15" x14ac:dyDescent="0.25">
      <c r="B3698" s="1" t="s">
        <v>0</v>
      </c>
      <c r="C3698" s="2" t="s">
        <v>1</v>
      </c>
      <c r="D3698" s="2" t="s">
        <v>2</v>
      </c>
      <c r="E3698" s="2" t="s">
        <v>1432</v>
      </c>
      <c r="F3698" s="3">
        <v>45321</v>
      </c>
      <c r="G3698" s="4">
        <v>1</v>
      </c>
      <c r="H3698" s="4">
        <v>2024</v>
      </c>
      <c r="I3698" s="2" t="s">
        <v>4</v>
      </c>
      <c r="J3698" s="2" t="s">
        <v>4539</v>
      </c>
      <c r="K3698" s="2" t="s">
        <v>4540</v>
      </c>
      <c r="L3698" s="2" t="s">
        <v>81</v>
      </c>
      <c r="M3698" s="2" t="s">
        <v>82</v>
      </c>
      <c r="N3698" s="4" t="s">
        <v>4532</v>
      </c>
      <c r="O3698" s="5">
        <v>55</v>
      </c>
    </row>
    <row r="3699" spans="2:15" x14ac:dyDescent="0.25">
      <c r="B3699" s="1" t="s">
        <v>0</v>
      </c>
      <c r="C3699" s="2" t="s">
        <v>1</v>
      </c>
      <c r="D3699" s="2" t="s">
        <v>2</v>
      </c>
      <c r="E3699" s="2" t="s">
        <v>1432</v>
      </c>
      <c r="F3699" s="3">
        <v>45321</v>
      </c>
      <c r="G3699" s="4">
        <v>1</v>
      </c>
      <c r="H3699" s="4">
        <v>2024</v>
      </c>
      <c r="I3699" s="2" t="s">
        <v>4</v>
      </c>
      <c r="J3699" s="2" t="s">
        <v>4539</v>
      </c>
      <c r="K3699" s="2" t="s">
        <v>25</v>
      </c>
      <c r="L3699" s="2" t="s">
        <v>26</v>
      </c>
      <c r="M3699" s="2" t="s">
        <v>27</v>
      </c>
      <c r="N3699" s="4" t="s">
        <v>4532</v>
      </c>
      <c r="O3699" s="5">
        <v>40</v>
      </c>
    </row>
    <row r="3700" spans="2:15" x14ac:dyDescent="0.25">
      <c r="B3700" s="1" t="s">
        <v>0</v>
      </c>
      <c r="C3700" s="2" t="s">
        <v>1</v>
      </c>
      <c r="D3700" s="2" t="s">
        <v>2</v>
      </c>
      <c r="E3700" s="2" t="s">
        <v>1432</v>
      </c>
      <c r="F3700" s="3">
        <v>45321</v>
      </c>
      <c r="G3700" s="4">
        <v>1</v>
      </c>
      <c r="H3700" s="4">
        <v>2024</v>
      </c>
      <c r="I3700" s="2" t="s">
        <v>4</v>
      </c>
      <c r="J3700" s="2" t="s">
        <v>4539</v>
      </c>
      <c r="K3700" s="2" t="s">
        <v>549</v>
      </c>
      <c r="L3700" s="2" t="s">
        <v>51</v>
      </c>
      <c r="M3700" s="2" t="s">
        <v>52</v>
      </c>
      <c r="N3700" s="4" t="s">
        <v>4532</v>
      </c>
      <c r="O3700" s="5">
        <v>55</v>
      </c>
    </row>
    <row r="3701" spans="2:15" x14ac:dyDescent="0.25">
      <c r="B3701" s="1" t="s">
        <v>0</v>
      </c>
      <c r="C3701" s="2" t="s">
        <v>1</v>
      </c>
      <c r="D3701" s="2" t="s">
        <v>2</v>
      </c>
      <c r="E3701" s="2" t="s">
        <v>1432</v>
      </c>
      <c r="F3701" s="3">
        <v>45321</v>
      </c>
      <c r="G3701" s="4">
        <v>1</v>
      </c>
      <c r="H3701" s="4">
        <v>2024</v>
      </c>
      <c r="I3701" s="2" t="s">
        <v>4</v>
      </c>
      <c r="J3701" s="2" t="s">
        <v>4539</v>
      </c>
      <c r="K3701" s="2" t="s">
        <v>16</v>
      </c>
      <c r="L3701" s="2" t="s">
        <v>7</v>
      </c>
      <c r="M3701" s="2" t="s">
        <v>8</v>
      </c>
      <c r="N3701" s="4" t="s">
        <v>4532</v>
      </c>
      <c r="O3701" s="5">
        <v>40</v>
      </c>
    </row>
    <row r="3702" spans="2:15" x14ac:dyDescent="0.25">
      <c r="B3702" s="1" t="s">
        <v>88</v>
      </c>
      <c r="C3702" s="2" t="s">
        <v>89</v>
      </c>
      <c r="D3702" s="2" t="s">
        <v>1444</v>
      </c>
      <c r="E3702" s="2" t="s">
        <v>102</v>
      </c>
      <c r="F3702" s="3">
        <v>45293</v>
      </c>
      <c r="G3702" s="4">
        <v>1</v>
      </c>
      <c r="H3702" s="4">
        <v>2024</v>
      </c>
      <c r="I3702" s="2" t="s">
        <v>4</v>
      </c>
      <c r="J3702" s="2" t="s">
        <v>4541</v>
      </c>
      <c r="K3702" s="2" t="s">
        <v>1446</v>
      </c>
      <c r="L3702" s="2" t="s">
        <v>2581</v>
      </c>
      <c r="M3702" s="2" t="s">
        <v>1448</v>
      </c>
      <c r="N3702" s="4" t="s">
        <v>4532</v>
      </c>
      <c r="O3702" s="5">
        <v>360</v>
      </c>
    </row>
    <row r="3703" spans="2:15" x14ac:dyDescent="0.25">
      <c r="B3703" s="6" t="s">
        <v>88</v>
      </c>
      <c r="C3703" s="7" t="s">
        <v>89</v>
      </c>
      <c r="D3703" s="8" t="s">
        <v>2887</v>
      </c>
      <c r="E3703" s="8" t="s">
        <v>617</v>
      </c>
      <c r="F3703" s="12">
        <v>45295</v>
      </c>
      <c r="G3703" s="13">
        <v>1</v>
      </c>
      <c r="H3703" s="13">
        <v>2024</v>
      </c>
      <c r="I3703" s="8" t="s">
        <v>4</v>
      </c>
      <c r="J3703" s="7" t="s">
        <v>4542</v>
      </c>
      <c r="K3703" s="8" t="s">
        <v>2889</v>
      </c>
      <c r="L3703" s="8" t="s">
        <v>99</v>
      </c>
      <c r="M3703" s="8" t="s">
        <v>100</v>
      </c>
      <c r="N3703" s="10" t="s">
        <v>4532</v>
      </c>
      <c r="O3703" s="11">
        <v>55</v>
      </c>
    </row>
    <row r="3704" spans="2:15" x14ac:dyDescent="0.25">
      <c r="B3704" s="1" t="s">
        <v>382</v>
      </c>
      <c r="C3704" s="2" t="s">
        <v>89</v>
      </c>
      <c r="D3704" s="2" t="s">
        <v>515</v>
      </c>
      <c r="E3704" s="2" t="s">
        <v>516</v>
      </c>
      <c r="F3704" s="3">
        <v>45296</v>
      </c>
      <c r="G3704" s="4">
        <v>1</v>
      </c>
      <c r="H3704" s="4">
        <v>2024</v>
      </c>
      <c r="I3704" s="2" t="s">
        <v>4</v>
      </c>
      <c r="J3704" s="2" t="s">
        <v>4543</v>
      </c>
      <c r="K3704" s="2" t="s">
        <v>44</v>
      </c>
      <c r="L3704" s="2" t="s">
        <v>3023</v>
      </c>
      <c r="M3704" s="2" t="s">
        <v>46</v>
      </c>
      <c r="N3704" s="4" t="s">
        <v>4532</v>
      </c>
      <c r="O3704" s="5">
        <v>30</v>
      </c>
    </row>
    <row r="3705" spans="2:15" x14ac:dyDescent="0.25">
      <c r="B3705" s="1" t="s">
        <v>382</v>
      </c>
      <c r="C3705" s="2" t="s">
        <v>89</v>
      </c>
      <c r="D3705" s="2" t="s">
        <v>515</v>
      </c>
      <c r="E3705" s="2" t="s">
        <v>516</v>
      </c>
      <c r="F3705" s="3">
        <v>45296</v>
      </c>
      <c r="G3705" s="4">
        <v>1</v>
      </c>
      <c r="H3705" s="4">
        <v>2024</v>
      </c>
      <c r="I3705" s="2" t="s">
        <v>4</v>
      </c>
      <c r="J3705" s="2" t="s">
        <v>4543</v>
      </c>
      <c r="K3705" s="2" t="s">
        <v>25</v>
      </c>
      <c r="L3705" s="2" t="s">
        <v>541</v>
      </c>
      <c r="M3705" s="2" t="s">
        <v>27</v>
      </c>
      <c r="N3705" s="4" t="s">
        <v>4532</v>
      </c>
      <c r="O3705" s="5">
        <v>180</v>
      </c>
    </row>
    <row r="3706" spans="2:15" x14ac:dyDescent="0.25">
      <c r="B3706" s="1" t="s">
        <v>382</v>
      </c>
      <c r="C3706" s="2" t="s">
        <v>89</v>
      </c>
      <c r="D3706" s="2" t="s">
        <v>515</v>
      </c>
      <c r="E3706" s="2" t="s">
        <v>516</v>
      </c>
      <c r="F3706" s="3">
        <v>45296</v>
      </c>
      <c r="G3706" s="4">
        <v>1</v>
      </c>
      <c r="H3706" s="4">
        <v>2024</v>
      </c>
      <c r="I3706" s="2" t="s">
        <v>4</v>
      </c>
      <c r="J3706" s="2" t="s">
        <v>4543</v>
      </c>
      <c r="K3706" s="2" t="s">
        <v>2447</v>
      </c>
      <c r="L3706" s="2" t="s">
        <v>547</v>
      </c>
      <c r="M3706" s="2" t="s">
        <v>160</v>
      </c>
      <c r="N3706" s="4" t="s">
        <v>4532</v>
      </c>
      <c r="O3706" s="5">
        <v>60</v>
      </c>
    </row>
    <row r="3707" spans="2:15" x14ac:dyDescent="0.25">
      <c r="B3707" s="1" t="s">
        <v>382</v>
      </c>
      <c r="C3707" s="2" t="s">
        <v>89</v>
      </c>
      <c r="D3707" s="2" t="s">
        <v>515</v>
      </c>
      <c r="E3707" s="2" t="s">
        <v>516</v>
      </c>
      <c r="F3707" s="3">
        <v>45296</v>
      </c>
      <c r="G3707" s="4">
        <v>1</v>
      </c>
      <c r="H3707" s="4">
        <v>2024</v>
      </c>
      <c r="I3707" s="2" t="s">
        <v>4</v>
      </c>
      <c r="J3707" s="2" t="s">
        <v>4543</v>
      </c>
      <c r="K3707" s="2" t="s">
        <v>1266</v>
      </c>
      <c r="L3707" s="2" t="s">
        <v>1267</v>
      </c>
      <c r="M3707" s="2" t="s">
        <v>191</v>
      </c>
      <c r="N3707" s="4" t="s">
        <v>4532</v>
      </c>
      <c r="O3707" s="5">
        <v>30</v>
      </c>
    </row>
    <row r="3708" spans="2:15" x14ac:dyDescent="0.25">
      <c r="B3708" s="1" t="s">
        <v>382</v>
      </c>
      <c r="C3708" s="2" t="s">
        <v>89</v>
      </c>
      <c r="D3708" s="2" t="s">
        <v>515</v>
      </c>
      <c r="E3708" s="2" t="s">
        <v>516</v>
      </c>
      <c r="F3708" s="3">
        <v>45296</v>
      </c>
      <c r="G3708" s="4">
        <v>1</v>
      </c>
      <c r="H3708" s="4">
        <v>2024</v>
      </c>
      <c r="I3708" s="2" t="s">
        <v>4</v>
      </c>
      <c r="J3708" s="2" t="s">
        <v>4543</v>
      </c>
      <c r="K3708" s="2" t="s">
        <v>3877</v>
      </c>
      <c r="L3708" s="2" t="s">
        <v>94</v>
      </c>
      <c r="M3708" s="2" t="s">
        <v>95</v>
      </c>
      <c r="N3708" s="4" t="s">
        <v>4532</v>
      </c>
      <c r="O3708" s="5">
        <v>60</v>
      </c>
    </row>
    <row r="3709" spans="2:15" x14ac:dyDescent="0.25">
      <c r="B3709" s="1" t="s">
        <v>88</v>
      </c>
      <c r="C3709" s="2" t="s">
        <v>89</v>
      </c>
      <c r="D3709" s="2" t="s">
        <v>1103</v>
      </c>
      <c r="E3709" s="2" t="s">
        <v>1104</v>
      </c>
      <c r="F3709" s="3">
        <v>45299</v>
      </c>
      <c r="G3709" s="4">
        <v>1</v>
      </c>
      <c r="H3709" s="4">
        <v>2024</v>
      </c>
      <c r="I3709" s="2" t="s">
        <v>4</v>
      </c>
      <c r="J3709" s="2" t="s">
        <v>4544</v>
      </c>
      <c r="K3709" s="2" t="s">
        <v>126</v>
      </c>
      <c r="L3709" s="2" t="s">
        <v>127</v>
      </c>
      <c r="M3709" s="2" t="s">
        <v>106</v>
      </c>
      <c r="N3709" s="4" t="s">
        <v>106</v>
      </c>
      <c r="O3709" s="5">
        <v>6575</v>
      </c>
    </row>
    <row r="3710" spans="2:15" x14ac:dyDescent="0.25">
      <c r="B3710" s="1" t="s">
        <v>88</v>
      </c>
      <c r="C3710" s="2" t="s">
        <v>89</v>
      </c>
      <c r="D3710" s="2" t="s">
        <v>1444</v>
      </c>
      <c r="E3710" s="2" t="s">
        <v>2864</v>
      </c>
      <c r="F3710" s="3">
        <v>45299</v>
      </c>
      <c r="G3710" s="4">
        <v>1</v>
      </c>
      <c r="H3710" s="4">
        <v>2024</v>
      </c>
      <c r="I3710" s="2" t="s">
        <v>4</v>
      </c>
      <c r="J3710" s="2" t="s">
        <v>4545</v>
      </c>
      <c r="K3710" s="2" t="s">
        <v>1446</v>
      </c>
      <c r="L3710" s="2" t="s">
        <v>2581</v>
      </c>
      <c r="M3710" s="2" t="s">
        <v>1448</v>
      </c>
      <c r="N3710" s="4" t="s">
        <v>4532</v>
      </c>
      <c r="O3710" s="5">
        <v>360</v>
      </c>
    </row>
    <row r="3711" spans="2:15" x14ac:dyDescent="0.25">
      <c r="B3711" s="1" t="s">
        <v>382</v>
      </c>
      <c r="C3711" s="2" t="s">
        <v>89</v>
      </c>
      <c r="D3711" s="2" t="s">
        <v>515</v>
      </c>
      <c r="E3711" s="2" t="s">
        <v>516</v>
      </c>
      <c r="F3711" s="3">
        <v>45302</v>
      </c>
      <c r="G3711" s="4">
        <v>1</v>
      </c>
      <c r="H3711" s="4">
        <v>2024</v>
      </c>
      <c r="I3711" s="2" t="s">
        <v>4</v>
      </c>
      <c r="J3711" s="2" t="s">
        <v>4546</v>
      </c>
      <c r="K3711" s="2" t="s">
        <v>110</v>
      </c>
      <c r="L3711" s="2" t="s">
        <v>111</v>
      </c>
      <c r="M3711" s="2" t="s">
        <v>112</v>
      </c>
      <c r="N3711" s="4" t="s">
        <v>4532</v>
      </c>
      <c r="O3711" s="5">
        <v>1925</v>
      </c>
    </row>
    <row r="3712" spans="2:15" x14ac:dyDescent="0.25">
      <c r="B3712" s="1" t="s">
        <v>88</v>
      </c>
      <c r="C3712" s="2" t="s">
        <v>89</v>
      </c>
      <c r="D3712" s="2" t="s">
        <v>515</v>
      </c>
      <c r="E3712" s="2" t="s">
        <v>516</v>
      </c>
      <c r="F3712" s="3">
        <v>45302</v>
      </c>
      <c r="G3712" s="4">
        <v>1</v>
      </c>
      <c r="H3712" s="4">
        <v>2024</v>
      </c>
      <c r="I3712" s="2" t="s">
        <v>4</v>
      </c>
      <c r="J3712" s="2" t="s">
        <v>4547</v>
      </c>
      <c r="K3712" s="2" t="s">
        <v>110</v>
      </c>
      <c r="L3712" s="2" t="s">
        <v>111</v>
      </c>
      <c r="M3712" s="2" t="s">
        <v>112</v>
      </c>
      <c r="N3712" s="4" t="s">
        <v>4532</v>
      </c>
      <c r="O3712" s="5">
        <v>825</v>
      </c>
    </row>
    <row r="3713" spans="2:15" x14ac:dyDescent="0.25">
      <c r="B3713" s="6" t="s">
        <v>88</v>
      </c>
      <c r="C3713" s="7" t="s">
        <v>89</v>
      </c>
      <c r="D3713" s="8" t="s">
        <v>96</v>
      </c>
      <c r="E3713" s="8" t="s">
        <v>96</v>
      </c>
      <c r="F3713" s="12">
        <v>45307</v>
      </c>
      <c r="G3713" s="13">
        <v>1</v>
      </c>
      <c r="H3713" s="13">
        <v>2024</v>
      </c>
      <c r="I3713" s="8" t="s">
        <v>4</v>
      </c>
      <c r="J3713" s="7" t="s">
        <v>4548</v>
      </c>
      <c r="K3713" s="8" t="s">
        <v>98</v>
      </c>
      <c r="L3713" s="8" t="s">
        <v>99</v>
      </c>
      <c r="M3713" s="8" t="s">
        <v>100</v>
      </c>
      <c r="N3713" s="10" t="s">
        <v>4532</v>
      </c>
      <c r="O3713" s="11">
        <v>4894.9749000000002</v>
      </c>
    </row>
    <row r="3714" spans="2:15" x14ac:dyDescent="0.25">
      <c r="B3714" s="1" t="s">
        <v>382</v>
      </c>
      <c r="C3714" s="2" t="s">
        <v>89</v>
      </c>
      <c r="D3714" s="2" t="s">
        <v>515</v>
      </c>
      <c r="E3714" s="2" t="s">
        <v>516</v>
      </c>
      <c r="F3714" s="3">
        <v>45309</v>
      </c>
      <c r="G3714" s="4">
        <v>1</v>
      </c>
      <c r="H3714" s="4">
        <v>2024</v>
      </c>
      <c r="I3714" s="2" t="s">
        <v>4</v>
      </c>
      <c r="J3714" s="2" t="s">
        <v>4549</v>
      </c>
      <c r="K3714" s="2" t="s">
        <v>642</v>
      </c>
      <c r="L3714" s="2" t="s">
        <v>111</v>
      </c>
      <c r="M3714" s="2" t="s">
        <v>112</v>
      </c>
      <c r="N3714" s="4" t="s">
        <v>4532</v>
      </c>
      <c r="O3714" s="5">
        <v>60</v>
      </c>
    </row>
    <row r="3715" spans="2:15" x14ac:dyDescent="0.25">
      <c r="B3715" s="1" t="s">
        <v>88</v>
      </c>
      <c r="C3715" s="2" t="s">
        <v>89</v>
      </c>
      <c r="D3715" s="2" t="s">
        <v>2133</v>
      </c>
      <c r="E3715" s="2" t="s">
        <v>4296</v>
      </c>
      <c r="F3715" s="3">
        <v>45313</v>
      </c>
      <c r="G3715" s="4">
        <v>1</v>
      </c>
      <c r="H3715" s="4">
        <v>2024</v>
      </c>
      <c r="I3715" s="2" t="s">
        <v>4</v>
      </c>
      <c r="J3715" s="2" t="s">
        <v>4550</v>
      </c>
      <c r="K3715" s="2" t="s">
        <v>4551</v>
      </c>
      <c r="L3715" s="2" t="s">
        <v>518</v>
      </c>
      <c r="M3715" s="2" t="s">
        <v>85</v>
      </c>
      <c r="N3715" s="4" t="s">
        <v>4532</v>
      </c>
      <c r="O3715" s="5">
        <v>90</v>
      </c>
    </row>
    <row r="3716" spans="2:15" x14ac:dyDescent="0.25">
      <c r="B3716" s="1" t="s">
        <v>88</v>
      </c>
      <c r="C3716" s="2" t="s">
        <v>89</v>
      </c>
      <c r="D3716" s="2" t="s">
        <v>3265</v>
      </c>
      <c r="E3716" s="2" t="s">
        <v>3266</v>
      </c>
      <c r="F3716" s="3">
        <v>45321</v>
      </c>
      <c r="G3716" s="4">
        <v>1</v>
      </c>
      <c r="H3716" s="4">
        <v>2024</v>
      </c>
      <c r="I3716" s="2" t="s">
        <v>4</v>
      </c>
      <c r="J3716" s="2" t="s">
        <v>4552</v>
      </c>
      <c r="K3716" s="2" t="s">
        <v>3268</v>
      </c>
      <c r="L3716" s="2" t="s">
        <v>3269</v>
      </c>
      <c r="M3716" s="2" t="s">
        <v>2576</v>
      </c>
      <c r="N3716" s="4" t="s">
        <v>4532</v>
      </c>
      <c r="O3716" s="5">
        <v>150</v>
      </c>
    </row>
    <row r="3717" spans="2:15" x14ac:dyDescent="0.25">
      <c r="B3717" s="1" t="s">
        <v>88</v>
      </c>
      <c r="C3717" s="2" t="s">
        <v>89</v>
      </c>
      <c r="D3717" s="2" t="s">
        <v>3265</v>
      </c>
      <c r="E3717" s="2" t="s">
        <v>3266</v>
      </c>
      <c r="F3717" s="3">
        <v>45321</v>
      </c>
      <c r="G3717" s="4">
        <v>1</v>
      </c>
      <c r="H3717" s="4">
        <v>2024</v>
      </c>
      <c r="I3717" s="2" t="s">
        <v>4</v>
      </c>
      <c r="J3717" s="2" t="s">
        <v>4552</v>
      </c>
      <c r="K3717" s="2" t="s">
        <v>4553</v>
      </c>
      <c r="L3717" s="2" t="s">
        <v>4554</v>
      </c>
      <c r="M3717" s="2" t="s">
        <v>4555</v>
      </c>
      <c r="N3717" s="4" t="s">
        <v>4532</v>
      </c>
      <c r="O3717" s="5">
        <v>150</v>
      </c>
    </row>
    <row r="3718" spans="2:15" x14ac:dyDescent="0.25">
      <c r="B3718" s="1" t="s">
        <v>645</v>
      </c>
      <c r="C3718" s="2" t="s">
        <v>155</v>
      </c>
      <c r="D3718" s="2" t="s">
        <v>646</v>
      </c>
      <c r="E3718" s="2" t="s">
        <v>647</v>
      </c>
      <c r="F3718" s="3">
        <v>45293</v>
      </c>
      <c r="G3718" s="4">
        <v>1</v>
      </c>
      <c r="H3718" s="4">
        <v>2024</v>
      </c>
      <c r="I3718" s="2" t="s">
        <v>4</v>
      </c>
      <c r="J3718" s="2" t="s">
        <v>4556</v>
      </c>
      <c r="K3718" s="2" t="s">
        <v>158</v>
      </c>
      <c r="L3718" s="2" t="s">
        <v>159</v>
      </c>
      <c r="M3718" s="2" t="s">
        <v>160</v>
      </c>
      <c r="N3718" s="4" t="s">
        <v>4532</v>
      </c>
      <c r="O3718" s="5">
        <v>540</v>
      </c>
    </row>
    <row r="3719" spans="2:15" x14ac:dyDescent="0.25">
      <c r="B3719" s="1" t="s">
        <v>154</v>
      </c>
      <c r="C3719" s="2" t="s">
        <v>155</v>
      </c>
      <c r="D3719" s="2" t="s">
        <v>178</v>
      </c>
      <c r="E3719" s="2" t="s">
        <v>179</v>
      </c>
      <c r="F3719" s="3">
        <v>45296</v>
      </c>
      <c r="G3719" s="4">
        <v>1</v>
      </c>
      <c r="H3719" s="4">
        <v>2024</v>
      </c>
      <c r="I3719" s="2" t="s">
        <v>4</v>
      </c>
      <c r="J3719" s="2" t="s">
        <v>4557</v>
      </c>
      <c r="K3719" s="2" t="s">
        <v>25</v>
      </c>
      <c r="L3719" s="2" t="s">
        <v>541</v>
      </c>
      <c r="M3719" s="2" t="s">
        <v>27</v>
      </c>
      <c r="N3719" s="4" t="s">
        <v>4532</v>
      </c>
      <c r="O3719" s="5">
        <v>180</v>
      </c>
    </row>
    <row r="3720" spans="2:15" x14ac:dyDescent="0.25">
      <c r="B3720" s="1" t="s">
        <v>154</v>
      </c>
      <c r="C3720" s="2" t="s">
        <v>155</v>
      </c>
      <c r="D3720" s="2" t="s">
        <v>623</v>
      </c>
      <c r="E3720" s="2" t="s">
        <v>624</v>
      </c>
      <c r="F3720" s="3">
        <v>45296</v>
      </c>
      <c r="G3720" s="4">
        <v>1</v>
      </c>
      <c r="H3720" s="4">
        <v>2024</v>
      </c>
      <c r="I3720" s="2" t="s">
        <v>4</v>
      </c>
      <c r="J3720" s="2" t="s">
        <v>4558</v>
      </c>
      <c r="K3720" s="2" t="s">
        <v>626</v>
      </c>
      <c r="L3720" s="2" t="s">
        <v>627</v>
      </c>
      <c r="M3720" s="2" t="s">
        <v>119</v>
      </c>
      <c r="N3720" s="4" t="s">
        <v>119</v>
      </c>
      <c r="O3720" s="5">
        <v>10.012499999999999</v>
      </c>
    </row>
    <row r="3721" spans="2:15" x14ac:dyDescent="0.25">
      <c r="B3721" s="1" t="s">
        <v>154</v>
      </c>
      <c r="C3721" s="2" t="s">
        <v>155</v>
      </c>
      <c r="D3721" s="2" t="s">
        <v>161</v>
      </c>
      <c r="E3721" s="2" t="s">
        <v>162</v>
      </c>
      <c r="F3721" s="3">
        <v>45296</v>
      </c>
      <c r="G3721" s="4">
        <v>1</v>
      </c>
      <c r="H3721" s="4">
        <v>2024</v>
      </c>
      <c r="I3721" s="2" t="s">
        <v>4</v>
      </c>
      <c r="J3721" s="2" t="s">
        <v>4559</v>
      </c>
      <c r="K3721" s="2" t="s">
        <v>1814</v>
      </c>
      <c r="L3721" s="2" t="s">
        <v>1815</v>
      </c>
      <c r="M3721" s="2" t="s">
        <v>1816</v>
      </c>
      <c r="N3721" s="4" t="s">
        <v>4532</v>
      </c>
      <c r="O3721" s="5">
        <v>180</v>
      </c>
    </row>
    <row r="3722" spans="2:15" x14ac:dyDescent="0.25">
      <c r="B3722" s="1" t="s">
        <v>154</v>
      </c>
      <c r="C3722" s="2" t="s">
        <v>155</v>
      </c>
      <c r="D3722" s="2" t="s">
        <v>161</v>
      </c>
      <c r="E3722" s="2" t="s">
        <v>162</v>
      </c>
      <c r="F3722" s="3">
        <v>45296</v>
      </c>
      <c r="G3722" s="4">
        <v>1</v>
      </c>
      <c r="H3722" s="4">
        <v>2024</v>
      </c>
      <c r="I3722" s="2" t="s">
        <v>4</v>
      </c>
      <c r="J3722" s="2" t="s">
        <v>4559</v>
      </c>
      <c r="K3722" s="2" t="s">
        <v>609</v>
      </c>
      <c r="L3722" s="2" t="s">
        <v>610</v>
      </c>
      <c r="M3722" s="2" t="s">
        <v>611</v>
      </c>
      <c r="N3722" s="4" t="s">
        <v>4532</v>
      </c>
      <c r="O3722" s="5">
        <v>180</v>
      </c>
    </row>
    <row r="3723" spans="2:15" x14ac:dyDescent="0.25">
      <c r="B3723" s="1" t="s">
        <v>154</v>
      </c>
      <c r="C3723" s="2" t="s">
        <v>155</v>
      </c>
      <c r="D3723" s="2" t="s">
        <v>167</v>
      </c>
      <c r="E3723" s="2" t="s">
        <v>168</v>
      </c>
      <c r="F3723" s="3">
        <v>45299</v>
      </c>
      <c r="G3723" s="4">
        <v>1</v>
      </c>
      <c r="H3723" s="4">
        <v>2024</v>
      </c>
      <c r="I3723" s="2" t="s">
        <v>4</v>
      </c>
      <c r="J3723" s="2" t="s">
        <v>4560</v>
      </c>
      <c r="K3723" s="2" t="s">
        <v>1853</v>
      </c>
      <c r="L3723" s="2" t="s">
        <v>1854</v>
      </c>
      <c r="M3723" s="2" t="s">
        <v>1816</v>
      </c>
      <c r="N3723" s="4" t="s">
        <v>4532</v>
      </c>
      <c r="O3723" s="5">
        <v>180</v>
      </c>
    </row>
    <row r="3724" spans="2:15" x14ac:dyDescent="0.25">
      <c r="B3724" s="1" t="s">
        <v>154</v>
      </c>
      <c r="C3724" s="2" t="s">
        <v>155</v>
      </c>
      <c r="D3724" s="2" t="s">
        <v>167</v>
      </c>
      <c r="E3724" s="2" t="s">
        <v>168</v>
      </c>
      <c r="F3724" s="3">
        <v>45299</v>
      </c>
      <c r="G3724" s="4">
        <v>1</v>
      </c>
      <c r="H3724" s="4">
        <v>2024</v>
      </c>
      <c r="I3724" s="2" t="s">
        <v>4</v>
      </c>
      <c r="J3724" s="2" t="s">
        <v>4560</v>
      </c>
      <c r="K3724" s="2" t="s">
        <v>158</v>
      </c>
      <c r="L3724" s="2" t="s">
        <v>159</v>
      </c>
      <c r="M3724" s="2" t="s">
        <v>160</v>
      </c>
      <c r="N3724" s="4" t="s">
        <v>4532</v>
      </c>
      <c r="O3724" s="5">
        <v>180</v>
      </c>
    </row>
    <row r="3725" spans="2:15" x14ac:dyDescent="0.25">
      <c r="B3725" s="1" t="s">
        <v>154</v>
      </c>
      <c r="C3725" s="2" t="s">
        <v>155</v>
      </c>
      <c r="D3725" s="2" t="s">
        <v>167</v>
      </c>
      <c r="E3725" s="2" t="s">
        <v>168</v>
      </c>
      <c r="F3725" s="3">
        <v>45299</v>
      </c>
      <c r="G3725" s="4">
        <v>1</v>
      </c>
      <c r="H3725" s="4">
        <v>2024</v>
      </c>
      <c r="I3725" s="2" t="s">
        <v>4</v>
      </c>
      <c r="J3725" s="2" t="s">
        <v>4561</v>
      </c>
      <c r="K3725" s="2" t="s">
        <v>1814</v>
      </c>
      <c r="L3725" s="2" t="s">
        <v>1815</v>
      </c>
      <c r="M3725" s="2" t="s">
        <v>1816</v>
      </c>
      <c r="N3725" s="4" t="s">
        <v>4532</v>
      </c>
      <c r="O3725" s="5">
        <v>360</v>
      </c>
    </row>
    <row r="3726" spans="2:15" x14ac:dyDescent="0.25">
      <c r="B3726" s="1" t="s">
        <v>154</v>
      </c>
      <c r="C3726" s="2" t="s">
        <v>155</v>
      </c>
      <c r="D3726" s="2" t="s">
        <v>167</v>
      </c>
      <c r="E3726" s="2" t="s">
        <v>168</v>
      </c>
      <c r="F3726" s="3">
        <v>45299</v>
      </c>
      <c r="G3726" s="4">
        <v>1</v>
      </c>
      <c r="H3726" s="4">
        <v>2024</v>
      </c>
      <c r="I3726" s="2" t="s">
        <v>4</v>
      </c>
      <c r="J3726" s="2" t="s">
        <v>4561</v>
      </c>
      <c r="K3726" s="2" t="s">
        <v>609</v>
      </c>
      <c r="L3726" s="2" t="s">
        <v>610</v>
      </c>
      <c r="M3726" s="2" t="s">
        <v>611</v>
      </c>
      <c r="N3726" s="4" t="s">
        <v>4532</v>
      </c>
      <c r="O3726" s="5">
        <v>360</v>
      </c>
    </row>
    <row r="3727" spans="2:15" x14ac:dyDescent="0.25">
      <c r="B3727" s="1" t="s">
        <v>154</v>
      </c>
      <c r="C3727" s="2" t="s">
        <v>155</v>
      </c>
      <c r="D3727" s="2" t="s">
        <v>623</v>
      </c>
      <c r="E3727" s="2" t="s">
        <v>624</v>
      </c>
      <c r="F3727" s="3">
        <v>45303</v>
      </c>
      <c r="G3727" s="4">
        <v>1</v>
      </c>
      <c r="H3727" s="4">
        <v>2024</v>
      </c>
      <c r="I3727" s="2" t="s">
        <v>4</v>
      </c>
      <c r="J3727" s="2" t="s">
        <v>4562</v>
      </c>
      <c r="K3727" s="2" t="s">
        <v>626</v>
      </c>
      <c r="L3727" s="2" t="s">
        <v>627</v>
      </c>
      <c r="M3727" s="2" t="s">
        <v>119</v>
      </c>
      <c r="N3727" s="4" t="s">
        <v>119</v>
      </c>
      <c r="O3727" s="5">
        <v>12.5</v>
      </c>
    </row>
    <row r="3728" spans="2:15" x14ac:dyDescent="0.25">
      <c r="B3728" s="1" t="s">
        <v>154</v>
      </c>
      <c r="C3728" s="2" t="s">
        <v>155</v>
      </c>
      <c r="D3728" s="2" t="s">
        <v>167</v>
      </c>
      <c r="E3728" s="2" t="s">
        <v>168</v>
      </c>
      <c r="F3728" s="3">
        <v>45306</v>
      </c>
      <c r="G3728" s="4">
        <v>1</v>
      </c>
      <c r="H3728" s="4">
        <v>2024</v>
      </c>
      <c r="I3728" s="2" t="s">
        <v>4</v>
      </c>
      <c r="J3728" s="2" t="s">
        <v>4563</v>
      </c>
      <c r="K3728" s="2" t="s">
        <v>158</v>
      </c>
      <c r="L3728" s="2" t="s">
        <v>159</v>
      </c>
      <c r="M3728" s="2" t="s">
        <v>160</v>
      </c>
      <c r="N3728" s="4" t="s">
        <v>4532</v>
      </c>
      <c r="O3728" s="5">
        <v>180</v>
      </c>
    </row>
    <row r="3729" spans="2:15" x14ac:dyDescent="0.25">
      <c r="B3729" s="6" t="s">
        <v>154</v>
      </c>
      <c r="C3729" s="7" t="s">
        <v>155</v>
      </c>
      <c r="D3729" s="8" t="s">
        <v>1111</v>
      </c>
      <c r="E3729" s="8" t="s">
        <v>1112</v>
      </c>
      <c r="F3729" s="12">
        <v>45306</v>
      </c>
      <c r="G3729" s="13">
        <v>1</v>
      </c>
      <c r="H3729" s="13">
        <v>2024</v>
      </c>
      <c r="I3729" s="8" t="s">
        <v>4</v>
      </c>
      <c r="J3729" s="7" t="s">
        <v>4564</v>
      </c>
      <c r="K3729" s="8" t="s">
        <v>510</v>
      </c>
      <c r="L3729" s="8" t="s">
        <v>511</v>
      </c>
      <c r="M3729" s="8" t="s">
        <v>38</v>
      </c>
      <c r="N3729" s="10" t="s">
        <v>4532</v>
      </c>
      <c r="O3729" s="11">
        <v>1750</v>
      </c>
    </row>
    <row r="3730" spans="2:15" x14ac:dyDescent="0.25">
      <c r="B3730" s="1" t="s">
        <v>154</v>
      </c>
      <c r="C3730" s="2" t="s">
        <v>155</v>
      </c>
      <c r="D3730" s="2" t="s">
        <v>1111</v>
      </c>
      <c r="E3730" s="2" t="s">
        <v>1112</v>
      </c>
      <c r="F3730" s="3">
        <v>45306</v>
      </c>
      <c r="G3730" s="4">
        <v>1</v>
      </c>
      <c r="H3730" s="4">
        <v>2024</v>
      </c>
      <c r="I3730" s="2" t="s">
        <v>4</v>
      </c>
      <c r="J3730" s="2" t="s">
        <v>4565</v>
      </c>
      <c r="K3730" s="2" t="s">
        <v>1496</v>
      </c>
      <c r="L3730" s="2" t="s">
        <v>159</v>
      </c>
      <c r="M3730" s="2" t="s">
        <v>160</v>
      </c>
      <c r="N3730" s="4" t="s">
        <v>4532</v>
      </c>
      <c r="O3730" s="5">
        <v>500</v>
      </c>
    </row>
    <row r="3731" spans="2:15" x14ac:dyDescent="0.25">
      <c r="B3731" s="1" t="s">
        <v>154</v>
      </c>
      <c r="C3731" s="2" t="s">
        <v>155</v>
      </c>
      <c r="D3731" s="2" t="s">
        <v>173</v>
      </c>
      <c r="E3731" s="2" t="s">
        <v>174</v>
      </c>
      <c r="F3731" s="3">
        <v>45308</v>
      </c>
      <c r="G3731" s="4">
        <v>1</v>
      </c>
      <c r="H3731" s="4">
        <v>2024</v>
      </c>
      <c r="I3731" s="2" t="s">
        <v>4</v>
      </c>
      <c r="J3731" s="2" t="s">
        <v>4566</v>
      </c>
      <c r="K3731" s="2" t="s">
        <v>22</v>
      </c>
      <c r="L3731" s="2" t="s">
        <v>176</v>
      </c>
      <c r="M3731" s="2" t="s">
        <v>24</v>
      </c>
      <c r="N3731" s="4" t="s">
        <v>4532</v>
      </c>
      <c r="O3731" s="5">
        <v>180</v>
      </c>
    </row>
    <row r="3732" spans="2:15" x14ac:dyDescent="0.25">
      <c r="B3732" s="6" t="s">
        <v>154</v>
      </c>
      <c r="C3732" s="7" t="s">
        <v>155</v>
      </c>
      <c r="D3732" s="8" t="s">
        <v>1111</v>
      </c>
      <c r="E3732" s="8" t="s">
        <v>1112</v>
      </c>
      <c r="F3732" s="12">
        <v>45308</v>
      </c>
      <c r="G3732" s="13">
        <v>1</v>
      </c>
      <c r="H3732" s="13">
        <v>2024</v>
      </c>
      <c r="I3732" s="8" t="s">
        <v>4</v>
      </c>
      <c r="J3732" s="7" t="s">
        <v>4567</v>
      </c>
      <c r="K3732" s="8" t="s">
        <v>510</v>
      </c>
      <c r="L3732" s="8" t="s">
        <v>511</v>
      </c>
      <c r="M3732" s="8" t="s">
        <v>38</v>
      </c>
      <c r="N3732" s="10" t="s">
        <v>4532</v>
      </c>
      <c r="O3732" s="11">
        <v>1750</v>
      </c>
    </row>
    <row r="3733" spans="2:15" x14ac:dyDescent="0.25">
      <c r="B3733" s="6" t="s">
        <v>154</v>
      </c>
      <c r="C3733" s="7" t="s">
        <v>155</v>
      </c>
      <c r="D3733" s="8" t="s">
        <v>1111</v>
      </c>
      <c r="E3733" s="8" t="s">
        <v>1112</v>
      </c>
      <c r="F3733" s="12">
        <v>45308</v>
      </c>
      <c r="G3733" s="13">
        <v>1</v>
      </c>
      <c r="H3733" s="13">
        <v>2024</v>
      </c>
      <c r="I3733" s="8" t="s">
        <v>4</v>
      </c>
      <c r="J3733" s="7" t="s">
        <v>4568</v>
      </c>
      <c r="K3733" s="8" t="s">
        <v>510</v>
      </c>
      <c r="L3733" s="8" t="s">
        <v>511</v>
      </c>
      <c r="M3733" s="8" t="s">
        <v>38</v>
      </c>
      <c r="N3733" s="10" t="s">
        <v>4532</v>
      </c>
      <c r="O3733" s="11">
        <v>750</v>
      </c>
    </row>
    <row r="3734" spans="2:15" x14ac:dyDescent="0.25">
      <c r="B3734" s="6" t="s">
        <v>154</v>
      </c>
      <c r="C3734" s="7" t="s">
        <v>155</v>
      </c>
      <c r="D3734" s="8" t="s">
        <v>1111</v>
      </c>
      <c r="E3734" s="8" t="s">
        <v>1112</v>
      </c>
      <c r="F3734" s="12">
        <v>45314</v>
      </c>
      <c r="G3734" s="13">
        <v>1</v>
      </c>
      <c r="H3734" s="13">
        <v>2024</v>
      </c>
      <c r="I3734" s="8" t="s">
        <v>4</v>
      </c>
      <c r="J3734" s="7" t="s">
        <v>4569</v>
      </c>
      <c r="K3734" s="8" t="s">
        <v>510</v>
      </c>
      <c r="L3734" s="8" t="s">
        <v>511</v>
      </c>
      <c r="M3734" s="8" t="s">
        <v>38</v>
      </c>
      <c r="N3734" s="10" t="s">
        <v>4532</v>
      </c>
      <c r="O3734" s="11">
        <v>2250</v>
      </c>
    </row>
    <row r="3735" spans="2:15" x14ac:dyDescent="0.25">
      <c r="B3735" s="1" t="s">
        <v>154</v>
      </c>
      <c r="C3735" s="2" t="s">
        <v>155</v>
      </c>
      <c r="D3735" s="2" t="s">
        <v>173</v>
      </c>
      <c r="E3735" s="2" t="s">
        <v>174</v>
      </c>
      <c r="F3735" s="3">
        <v>45314</v>
      </c>
      <c r="G3735" s="4">
        <v>1</v>
      </c>
      <c r="H3735" s="4">
        <v>2024</v>
      </c>
      <c r="I3735" s="2" t="s">
        <v>4</v>
      </c>
      <c r="J3735" s="2" t="s">
        <v>4570</v>
      </c>
      <c r="K3735" s="2" t="s">
        <v>1814</v>
      </c>
      <c r="L3735" s="2" t="s">
        <v>1815</v>
      </c>
      <c r="M3735" s="2" t="s">
        <v>1816</v>
      </c>
      <c r="N3735" s="4" t="s">
        <v>4532</v>
      </c>
      <c r="O3735" s="5">
        <v>360</v>
      </c>
    </row>
    <row r="3736" spans="2:15" x14ac:dyDescent="0.25">
      <c r="B3736" s="1" t="s">
        <v>154</v>
      </c>
      <c r="C3736" s="2" t="s">
        <v>155</v>
      </c>
      <c r="D3736" s="2" t="s">
        <v>173</v>
      </c>
      <c r="E3736" s="2" t="s">
        <v>174</v>
      </c>
      <c r="F3736" s="3">
        <v>45314</v>
      </c>
      <c r="G3736" s="4">
        <v>1</v>
      </c>
      <c r="H3736" s="4">
        <v>2024</v>
      </c>
      <c r="I3736" s="2" t="s">
        <v>4</v>
      </c>
      <c r="J3736" s="2" t="s">
        <v>4570</v>
      </c>
      <c r="K3736" s="2" t="s">
        <v>609</v>
      </c>
      <c r="L3736" s="2" t="s">
        <v>610</v>
      </c>
      <c r="M3736" s="2" t="s">
        <v>611</v>
      </c>
      <c r="N3736" s="4" t="s">
        <v>4532</v>
      </c>
      <c r="O3736" s="5">
        <v>180</v>
      </c>
    </row>
    <row r="3737" spans="2:15" x14ac:dyDescent="0.25">
      <c r="B3737" s="1" t="s">
        <v>154</v>
      </c>
      <c r="C3737" s="2" t="s">
        <v>155</v>
      </c>
      <c r="D3737" s="2" t="s">
        <v>3552</v>
      </c>
      <c r="E3737" s="2" t="s">
        <v>102</v>
      </c>
      <c r="F3737" s="3">
        <v>45315</v>
      </c>
      <c r="G3737" s="4">
        <v>1</v>
      </c>
      <c r="H3737" s="4">
        <v>2024</v>
      </c>
      <c r="I3737" s="2" t="s">
        <v>4</v>
      </c>
      <c r="J3737" s="2" t="s">
        <v>4571</v>
      </c>
      <c r="K3737" s="2" t="s">
        <v>2447</v>
      </c>
      <c r="L3737" s="2" t="s">
        <v>547</v>
      </c>
      <c r="M3737" s="2" t="s">
        <v>160</v>
      </c>
      <c r="N3737" s="4" t="s">
        <v>4532</v>
      </c>
      <c r="O3737" s="5">
        <v>70</v>
      </c>
    </row>
    <row r="3738" spans="2:15" x14ac:dyDescent="0.25">
      <c r="B3738" s="1" t="s">
        <v>154</v>
      </c>
      <c r="C3738" s="2" t="s">
        <v>155</v>
      </c>
      <c r="D3738" s="2" t="s">
        <v>1838</v>
      </c>
      <c r="E3738" s="2" t="s">
        <v>1839</v>
      </c>
      <c r="F3738" s="3">
        <v>45316</v>
      </c>
      <c r="G3738" s="4">
        <v>1</v>
      </c>
      <c r="H3738" s="4">
        <v>2024</v>
      </c>
      <c r="I3738" s="2" t="s">
        <v>4</v>
      </c>
      <c r="J3738" s="2" t="s">
        <v>4572</v>
      </c>
      <c r="K3738" s="2" t="s">
        <v>158</v>
      </c>
      <c r="L3738" s="2" t="s">
        <v>159</v>
      </c>
      <c r="M3738" s="2" t="s">
        <v>160</v>
      </c>
      <c r="N3738" s="4" t="s">
        <v>4532</v>
      </c>
      <c r="O3738" s="5">
        <v>720</v>
      </c>
    </row>
    <row r="3739" spans="2:15" x14ac:dyDescent="0.25">
      <c r="B3739" s="1" t="s">
        <v>154</v>
      </c>
      <c r="C3739" s="2" t="s">
        <v>155</v>
      </c>
      <c r="D3739" s="2" t="s">
        <v>1838</v>
      </c>
      <c r="E3739" s="2" t="s">
        <v>1839</v>
      </c>
      <c r="F3739" s="3">
        <v>45316</v>
      </c>
      <c r="G3739" s="4">
        <v>1</v>
      </c>
      <c r="H3739" s="4">
        <v>2024</v>
      </c>
      <c r="I3739" s="2" t="s">
        <v>4</v>
      </c>
      <c r="J3739" s="2" t="s">
        <v>4573</v>
      </c>
      <c r="K3739" s="2" t="s">
        <v>25</v>
      </c>
      <c r="L3739" s="2" t="s">
        <v>541</v>
      </c>
      <c r="M3739" s="2" t="s">
        <v>27</v>
      </c>
      <c r="N3739" s="4" t="s">
        <v>4532</v>
      </c>
      <c r="O3739" s="5">
        <v>720</v>
      </c>
    </row>
    <row r="3740" spans="2:15" x14ac:dyDescent="0.25">
      <c r="B3740" s="1" t="s">
        <v>154</v>
      </c>
      <c r="C3740" s="2" t="s">
        <v>155</v>
      </c>
      <c r="D3740" s="2" t="s">
        <v>628</v>
      </c>
      <c r="E3740" s="2" t="s">
        <v>629</v>
      </c>
      <c r="F3740" s="3">
        <v>45316</v>
      </c>
      <c r="G3740" s="4">
        <v>1</v>
      </c>
      <c r="H3740" s="4">
        <v>2024</v>
      </c>
      <c r="I3740" s="2" t="s">
        <v>4</v>
      </c>
      <c r="J3740" s="2" t="s">
        <v>4574</v>
      </c>
      <c r="K3740" s="2" t="s">
        <v>1041</v>
      </c>
      <c r="L3740" s="2" t="s">
        <v>1042</v>
      </c>
      <c r="M3740" s="2" t="s">
        <v>106</v>
      </c>
      <c r="N3740" s="4" t="s">
        <v>106</v>
      </c>
      <c r="O3740" s="5">
        <v>1000</v>
      </c>
    </row>
    <row r="3741" spans="2:15" x14ac:dyDescent="0.25">
      <c r="B3741" s="1" t="s">
        <v>154</v>
      </c>
      <c r="C3741" s="2" t="s">
        <v>155</v>
      </c>
      <c r="D3741" s="2" t="s">
        <v>173</v>
      </c>
      <c r="E3741" s="2" t="s">
        <v>174</v>
      </c>
      <c r="F3741" s="3">
        <v>45316</v>
      </c>
      <c r="G3741" s="4">
        <v>1</v>
      </c>
      <c r="H3741" s="4">
        <v>2024</v>
      </c>
      <c r="I3741" s="2" t="s">
        <v>4</v>
      </c>
      <c r="J3741" s="2" t="s">
        <v>4575</v>
      </c>
      <c r="K3741" s="2" t="s">
        <v>609</v>
      </c>
      <c r="L3741" s="2" t="s">
        <v>610</v>
      </c>
      <c r="M3741" s="2" t="s">
        <v>611</v>
      </c>
      <c r="N3741" s="4" t="s">
        <v>4532</v>
      </c>
      <c r="O3741" s="5">
        <v>120</v>
      </c>
    </row>
    <row r="3742" spans="2:15" x14ac:dyDescent="0.25">
      <c r="B3742" s="1" t="s">
        <v>154</v>
      </c>
      <c r="C3742" s="2" t="s">
        <v>155</v>
      </c>
      <c r="D3742" s="2" t="s">
        <v>1838</v>
      </c>
      <c r="E3742" s="2" t="s">
        <v>1839</v>
      </c>
      <c r="F3742" s="3">
        <v>45317</v>
      </c>
      <c r="G3742" s="4">
        <v>1</v>
      </c>
      <c r="H3742" s="4">
        <v>2024</v>
      </c>
      <c r="I3742" s="2" t="s">
        <v>4</v>
      </c>
      <c r="J3742" s="2" t="s">
        <v>4576</v>
      </c>
      <c r="K3742" s="2" t="s">
        <v>158</v>
      </c>
      <c r="L3742" s="2" t="s">
        <v>159</v>
      </c>
      <c r="M3742" s="2" t="s">
        <v>160</v>
      </c>
      <c r="N3742" s="4" t="s">
        <v>4532</v>
      </c>
      <c r="O3742" s="5">
        <v>2880</v>
      </c>
    </row>
    <row r="3743" spans="2:15" x14ac:dyDescent="0.25">
      <c r="B3743" s="1" t="s">
        <v>154</v>
      </c>
      <c r="C3743" s="2" t="s">
        <v>155</v>
      </c>
      <c r="D3743" s="2" t="s">
        <v>1838</v>
      </c>
      <c r="E3743" s="2" t="s">
        <v>1839</v>
      </c>
      <c r="F3743" s="3">
        <v>45317</v>
      </c>
      <c r="G3743" s="4">
        <v>1</v>
      </c>
      <c r="H3743" s="4">
        <v>2024</v>
      </c>
      <c r="I3743" s="2" t="s">
        <v>4</v>
      </c>
      <c r="J3743" s="2" t="s">
        <v>4577</v>
      </c>
      <c r="K3743" s="2" t="s">
        <v>25</v>
      </c>
      <c r="L3743" s="2" t="s">
        <v>541</v>
      </c>
      <c r="M3743" s="2" t="s">
        <v>27</v>
      </c>
      <c r="N3743" s="4" t="s">
        <v>4532</v>
      </c>
      <c r="O3743" s="5">
        <v>180</v>
      </c>
    </row>
    <row r="3744" spans="2:15" x14ac:dyDescent="0.25">
      <c r="B3744" s="1" t="s">
        <v>154</v>
      </c>
      <c r="C3744" s="2" t="s">
        <v>155</v>
      </c>
      <c r="D3744" s="2" t="s">
        <v>623</v>
      </c>
      <c r="E3744" s="2" t="s">
        <v>624</v>
      </c>
      <c r="F3744" s="3">
        <v>45317</v>
      </c>
      <c r="G3744" s="4">
        <v>1</v>
      </c>
      <c r="H3744" s="4">
        <v>2024</v>
      </c>
      <c r="I3744" s="2" t="s">
        <v>4</v>
      </c>
      <c r="J3744" s="2" t="s">
        <v>4578</v>
      </c>
      <c r="K3744" s="2" t="s">
        <v>626</v>
      </c>
      <c r="L3744" s="2" t="s">
        <v>627</v>
      </c>
      <c r="M3744" s="2" t="s">
        <v>119</v>
      </c>
      <c r="N3744" s="4" t="s">
        <v>119</v>
      </c>
      <c r="O3744" s="5">
        <v>15.01</v>
      </c>
    </row>
    <row r="3745" spans="2:15" x14ac:dyDescent="0.25">
      <c r="B3745" s="1" t="s">
        <v>154</v>
      </c>
      <c r="C3745" s="2" t="s">
        <v>155</v>
      </c>
      <c r="D3745" s="2" t="s">
        <v>178</v>
      </c>
      <c r="E3745" s="2" t="s">
        <v>179</v>
      </c>
      <c r="F3745" s="3">
        <v>45321</v>
      </c>
      <c r="G3745" s="4">
        <v>1</v>
      </c>
      <c r="H3745" s="4">
        <v>2024</v>
      </c>
      <c r="I3745" s="2" t="s">
        <v>4</v>
      </c>
      <c r="J3745" s="2" t="s">
        <v>4579</v>
      </c>
      <c r="K3745" s="2" t="s">
        <v>158</v>
      </c>
      <c r="L3745" s="2" t="s">
        <v>159</v>
      </c>
      <c r="M3745" s="2" t="s">
        <v>160</v>
      </c>
      <c r="N3745" s="4" t="s">
        <v>4532</v>
      </c>
      <c r="O3745" s="5">
        <v>180</v>
      </c>
    </row>
    <row r="3746" spans="2:15" x14ac:dyDescent="0.25">
      <c r="B3746" s="1" t="s">
        <v>154</v>
      </c>
      <c r="C3746" s="2" t="s">
        <v>155</v>
      </c>
      <c r="D3746" s="2" t="s">
        <v>1111</v>
      </c>
      <c r="E3746" s="2" t="s">
        <v>1112</v>
      </c>
      <c r="F3746" s="3">
        <v>45322</v>
      </c>
      <c r="G3746" s="4">
        <v>1</v>
      </c>
      <c r="H3746" s="4">
        <v>2024</v>
      </c>
      <c r="I3746" s="2" t="s">
        <v>4</v>
      </c>
      <c r="J3746" s="2" t="s">
        <v>4580</v>
      </c>
      <c r="K3746" s="2" t="s">
        <v>1496</v>
      </c>
      <c r="L3746" s="2" t="s">
        <v>159</v>
      </c>
      <c r="M3746" s="2" t="s">
        <v>160</v>
      </c>
      <c r="N3746" s="4" t="s">
        <v>4532</v>
      </c>
      <c r="O3746" s="5">
        <v>500</v>
      </c>
    </row>
    <row r="3747" spans="2:15" x14ac:dyDescent="0.25">
      <c r="B3747" s="1" t="s">
        <v>154</v>
      </c>
      <c r="C3747" s="2" t="s">
        <v>155</v>
      </c>
      <c r="D3747" s="2" t="s">
        <v>1838</v>
      </c>
      <c r="E3747" s="2" t="s">
        <v>1839</v>
      </c>
      <c r="F3747" s="3">
        <v>45322</v>
      </c>
      <c r="G3747" s="4">
        <v>1</v>
      </c>
      <c r="H3747" s="4">
        <v>2024</v>
      </c>
      <c r="I3747" s="2" t="s">
        <v>4</v>
      </c>
      <c r="J3747" s="2" t="s">
        <v>4581</v>
      </c>
      <c r="K3747" s="2" t="s">
        <v>1496</v>
      </c>
      <c r="L3747" s="2" t="s">
        <v>159</v>
      </c>
      <c r="M3747" s="2" t="s">
        <v>160</v>
      </c>
      <c r="N3747" s="4" t="s">
        <v>4532</v>
      </c>
      <c r="O3747" s="5">
        <v>750</v>
      </c>
    </row>
    <row r="3748" spans="2:15" x14ac:dyDescent="0.25">
      <c r="B3748" s="1" t="s">
        <v>154</v>
      </c>
      <c r="C3748" s="2" t="s">
        <v>155</v>
      </c>
      <c r="D3748" s="2" t="s">
        <v>1838</v>
      </c>
      <c r="E3748" s="2" t="s">
        <v>1839</v>
      </c>
      <c r="F3748" s="3">
        <v>45322</v>
      </c>
      <c r="G3748" s="4">
        <v>1</v>
      </c>
      <c r="H3748" s="4">
        <v>2024</v>
      </c>
      <c r="I3748" s="2" t="s">
        <v>4</v>
      </c>
      <c r="J3748" s="2" t="s">
        <v>4582</v>
      </c>
      <c r="K3748" s="2" t="s">
        <v>609</v>
      </c>
      <c r="L3748" s="2" t="s">
        <v>610</v>
      </c>
      <c r="M3748" s="2" t="s">
        <v>611</v>
      </c>
      <c r="N3748" s="4" t="s">
        <v>4532</v>
      </c>
      <c r="O3748" s="5">
        <v>180</v>
      </c>
    </row>
    <row r="3749" spans="2:15" x14ac:dyDescent="0.25">
      <c r="B3749" s="1" t="s">
        <v>154</v>
      </c>
      <c r="C3749" s="2" t="s">
        <v>155</v>
      </c>
      <c r="D3749" s="2" t="s">
        <v>1838</v>
      </c>
      <c r="E3749" s="2" t="s">
        <v>1839</v>
      </c>
      <c r="F3749" s="3">
        <v>45322</v>
      </c>
      <c r="G3749" s="4">
        <v>1</v>
      </c>
      <c r="H3749" s="4">
        <v>2024</v>
      </c>
      <c r="I3749" s="2" t="s">
        <v>4</v>
      </c>
      <c r="J3749" s="2" t="s">
        <v>4583</v>
      </c>
      <c r="K3749" s="2" t="s">
        <v>25</v>
      </c>
      <c r="L3749" s="2" t="s">
        <v>541</v>
      </c>
      <c r="M3749" s="2" t="s">
        <v>27</v>
      </c>
      <c r="N3749" s="4" t="s">
        <v>4532</v>
      </c>
      <c r="O3749" s="5">
        <v>180</v>
      </c>
    </row>
    <row r="3750" spans="2:15" x14ac:dyDescent="0.25">
      <c r="B3750" s="1" t="s">
        <v>154</v>
      </c>
      <c r="C3750" s="2" t="s">
        <v>155</v>
      </c>
      <c r="D3750" s="2" t="s">
        <v>161</v>
      </c>
      <c r="E3750" s="2" t="s">
        <v>162</v>
      </c>
      <c r="F3750" s="3">
        <v>45322</v>
      </c>
      <c r="G3750" s="4">
        <v>1</v>
      </c>
      <c r="H3750" s="4">
        <v>2024</v>
      </c>
      <c r="I3750" s="2" t="s">
        <v>4</v>
      </c>
      <c r="J3750" s="2" t="s">
        <v>4584</v>
      </c>
      <c r="K3750" s="2" t="s">
        <v>25</v>
      </c>
      <c r="L3750" s="2" t="s">
        <v>541</v>
      </c>
      <c r="M3750" s="2" t="s">
        <v>27</v>
      </c>
      <c r="N3750" s="4" t="s">
        <v>4532</v>
      </c>
      <c r="O3750" s="5">
        <v>180</v>
      </c>
    </row>
    <row r="3751" spans="2:15" x14ac:dyDescent="0.25">
      <c r="B3751" s="1" t="s">
        <v>154</v>
      </c>
      <c r="C3751" s="2" t="s">
        <v>155</v>
      </c>
      <c r="D3751" s="2" t="s">
        <v>161</v>
      </c>
      <c r="E3751" s="2" t="s">
        <v>162</v>
      </c>
      <c r="F3751" s="3">
        <v>45322</v>
      </c>
      <c r="G3751" s="4">
        <v>1</v>
      </c>
      <c r="H3751" s="4">
        <v>2024</v>
      </c>
      <c r="I3751" s="2" t="s">
        <v>4</v>
      </c>
      <c r="J3751" s="2" t="s">
        <v>4584</v>
      </c>
      <c r="K3751" s="2" t="s">
        <v>164</v>
      </c>
      <c r="L3751" s="2" t="s">
        <v>165</v>
      </c>
      <c r="M3751" s="2" t="s">
        <v>166</v>
      </c>
      <c r="N3751" s="4" t="s">
        <v>4532</v>
      </c>
      <c r="O3751" s="5">
        <v>180</v>
      </c>
    </row>
    <row r="3752" spans="2:15" x14ac:dyDescent="0.25">
      <c r="B3752" s="1" t="s">
        <v>645</v>
      </c>
      <c r="C3752" s="2" t="s">
        <v>155</v>
      </c>
      <c r="D3752" s="2" t="s">
        <v>646</v>
      </c>
      <c r="E3752" s="2" t="s">
        <v>647</v>
      </c>
      <c r="F3752" s="3">
        <v>45322</v>
      </c>
      <c r="G3752" s="4">
        <v>1</v>
      </c>
      <c r="H3752" s="4">
        <v>2024</v>
      </c>
      <c r="I3752" s="2" t="s">
        <v>4</v>
      </c>
      <c r="J3752" s="2" t="s">
        <v>4585</v>
      </c>
      <c r="K3752" s="2" t="s">
        <v>609</v>
      </c>
      <c r="L3752" s="2" t="s">
        <v>610</v>
      </c>
      <c r="M3752" s="2" t="s">
        <v>611</v>
      </c>
      <c r="N3752" s="4" t="s">
        <v>4532</v>
      </c>
      <c r="O3752" s="5">
        <v>180</v>
      </c>
    </row>
    <row r="3753" spans="2:15" x14ac:dyDescent="0.25">
      <c r="B3753" s="1" t="s">
        <v>1520</v>
      </c>
      <c r="C3753" s="2" t="s">
        <v>196</v>
      </c>
      <c r="D3753" s="2" t="s">
        <v>280</v>
      </c>
      <c r="E3753" s="2" t="s">
        <v>254</v>
      </c>
      <c r="F3753" s="3">
        <v>45293</v>
      </c>
      <c r="G3753" s="4">
        <v>1</v>
      </c>
      <c r="H3753" s="4">
        <v>2024</v>
      </c>
      <c r="I3753" s="2" t="s">
        <v>4</v>
      </c>
      <c r="J3753" s="2" t="s">
        <v>4586</v>
      </c>
      <c r="K3753" s="2" t="s">
        <v>117</v>
      </c>
      <c r="L3753" s="2" t="s">
        <v>118</v>
      </c>
      <c r="M3753" s="2" t="s">
        <v>119</v>
      </c>
      <c r="N3753" s="4" t="s">
        <v>119</v>
      </c>
      <c r="O3753" s="5">
        <v>10</v>
      </c>
    </row>
    <row r="3754" spans="2:15" x14ac:dyDescent="0.25">
      <c r="B3754" s="1" t="s">
        <v>1520</v>
      </c>
      <c r="C3754" s="2" t="s">
        <v>196</v>
      </c>
      <c r="D3754" s="2" t="s">
        <v>280</v>
      </c>
      <c r="E3754" s="2" t="s">
        <v>868</v>
      </c>
      <c r="F3754" s="3">
        <v>45293</v>
      </c>
      <c r="G3754" s="4">
        <v>1</v>
      </c>
      <c r="H3754" s="4">
        <v>2024</v>
      </c>
      <c r="I3754" s="2" t="s">
        <v>4</v>
      </c>
      <c r="J3754" s="2" t="s">
        <v>4587</v>
      </c>
      <c r="K3754" s="2" t="s">
        <v>117</v>
      </c>
      <c r="L3754" s="2" t="s">
        <v>118</v>
      </c>
      <c r="M3754" s="2" t="s">
        <v>119</v>
      </c>
      <c r="N3754" s="4" t="s">
        <v>119</v>
      </c>
      <c r="O3754" s="5">
        <v>10.0075</v>
      </c>
    </row>
    <row r="3755" spans="2:15" x14ac:dyDescent="0.25">
      <c r="B3755" s="1" t="s">
        <v>1520</v>
      </c>
      <c r="C3755" s="2" t="s">
        <v>196</v>
      </c>
      <c r="D3755" s="2" t="s">
        <v>3761</v>
      </c>
      <c r="E3755" s="2" t="s">
        <v>3762</v>
      </c>
      <c r="F3755" s="3">
        <v>45293</v>
      </c>
      <c r="G3755" s="4">
        <v>1</v>
      </c>
      <c r="H3755" s="4">
        <v>2024</v>
      </c>
      <c r="I3755" s="2" t="s">
        <v>4</v>
      </c>
      <c r="J3755" s="2" t="s">
        <v>4588</v>
      </c>
      <c r="K3755" s="2" t="s">
        <v>329</v>
      </c>
      <c r="L3755" s="2" t="s">
        <v>330</v>
      </c>
      <c r="M3755" s="2" t="s">
        <v>119</v>
      </c>
      <c r="N3755" s="4" t="s">
        <v>119</v>
      </c>
      <c r="O3755" s="5">
        <v>7.75</v>
      </c>
    </row>
    <row r="3756" spans="2:15" x14ac:dyDescent="0.25">
      <c r="B3756" s="1" t="s">
        <v>1520</v>
      </c>
      <c r="C3756" s="2" t="s">
        <v>196</v>
      </c>
      <c r="D3756" s="2" t="s">
        <v>303</v>
      </c>
      <c r="E3756" s="2" t="s">
        <v>304</v>
      </c>
      <c r="F3756" s="3">
        <v>45294</v>
      </c>
      <c r="G3756" s="4">
        <v>1</v>
      </c>
      <c r="H3756" s="4">
        <v>2024</v>
      </c>
      <c r="I3756" s="2" t="s">
        <v>4</v>
      </c>
      <c r="J3756" s="2" t="s">
        <v>4589</v>
      </c>
      <c r="K3756" s="2" t="s">
        <v>1219</v>
      </c>
      <c r="L3756" s="2" t="s">
        <v>1220</v>
      </c>
      <c r="M3756" s="2" t="s">
        <v>1221</v>
      </c>
      <c r="N3756" s="4" t="s">
        <v>4532</v>
      </c>
      <c r="O3756" s="5">
        <v>250</v>
      </c>
    </row>
    <row r="3757" spans="2:15" x14ac:dyDescent="0.25">
      <c r="B3757" s="1" t="s">
        <v>1520</v>
      </c>
      <c r="C3757" s="2" t="s">
        <v>196</v>
      </c>
      <c r="D3757" s="2" t="s">
        <v>276</v>
      </c>
      <c r="E3757" s="2" t="s">
        <v>878</v>
      </c>
      <c r="F3757" s="3">
        <v>45294</v>
      </c>
      <c r="G3757" s="4">
        <v>1</v>
      </c>
      <c r="H3757" s="4">
        <v>2024</v>
      </c>
      <c r="I3757" s="2" t="s">
        <v>4</v>
      </c>
      <c r="J3757" s="2" t="s">
        <v>4590</v>
      </c>
      <c r="K3757" s="2" t="s">
        <v>292</v>
      </c>
      <c r="L3757" s="2" t="s">
        <v>293</v>
      </c>
      <c r="M3757" s="2" t="s">
        <v>119</v>
      </c>
      <c r="N3757" s="4" t="s">
        <v>119</v>
      </c>
      <c r="O3757" s="5">
        <v>6.0125000000000002</v>
      </c>
    </row>
    <row r="3758" spans="2:15" x14ac:dyDescent="0.25">
      <c r="B3758" s="1" t="s">
        <v>1520</v>
      </c>
      <c r="C3758" s="2" t="s">
        <v>196</v>
      </c>
      <c r="D3758" s="2" t="s">
        <v>114</v>
      </c>
      <c r="E3758" s="2" t="s">
        <v>402</v>
      </c>
      <c r="F3758" s="3">
        <v>45294</v>
      </c>
      <c r="G3758" s="4">
        <v>1</v>
      </c>
      <c r="H3758" s="4">
        <v>2024</v>
      </c>
      <c r="I3758" s="2" t="s">
        <v>4</v>
      </c>
      <c r="J3758" s="2" t="s">
        <v>4591</v>
      </c>
      <c r="K3758" s="2" t="s">
        <v>117</v>
      </c>
      <c r="L3758" s="2" t="s">
        <v>118</v>
      </c>
      <c r="M3758" s="2" t="s">
        <v>119</v>
      </c>
      <c r="N3758" s="4" t="s">
        <v>119</v>
      </c>
      <c r="O3758" s="5">
        <v>5.0075000000000003</v>
      </c>
    </row>
    <row r="3759" spans="2:15" x14ac:dyDescent="0.25">
      <c r="B3759" s="1" t="s">
        <v>1520</v>
      </c>
      <c r="C3759" s="2" t="s">
        <v>196</v>
      </c>
      <c r="D3759" s="2" t="s">
        <v>262</v>
      </c>
      <c r="E3759" s="2" t="s">
        <v>1226</v>
      </c>
      <c r="F3759" s="3">
        <v>45294</v>
      </c>
      <c r="G3759" s="4">
        <v>1</v>
      </c>
      <c r="H3759" s="4">
        <v>2024</v>
      </c>
      <c r="I3759" s="2" t="s">
        <v>4</v>
      </c>
      <c r="J3759" s="2" t="s">
        <v>4592</v>
      </c>
      <c r="K3759" s="2" t="s">
        <v>292</v>
      </c>
      <c r="L3759" s="2" t="s">
        <v>293</v>
      </c>
      <c r="M3759" s="2" t="s">
        <v>119</v>
      </c>
      <c r="N3759" s="4" t="s">
        <v>119</v>
      </c>
      <c r="O3759" s="5">
        <v>13.5075</v>
      </c>
    </row>
    <row r="3760" spans="2:15" x14ac:dyDescent="0.25">
      <c r="B3760" s="1" t="s">
        <v>645</v>
      </c>
      <c r="C3760" s="2" t="s">
        <v>196</v>
      </c>
      <c r="D3760" s="2" t="s">
        <v>1276</v>
      </c>
      <c r="E3760" s="2" t="s">
        <v>102</v>
      </c>
      <c r="F3760" s="3">
        <v>45294</v>
      </c>
      <c r="G3760" s="4">
        <v>1</v>
      </c>
      <c r="H3760" s="4">
        <v>2024</v>
      </c>
      <c r="I3760" s="2" t="s">
        <v>4</v>
      </c>
      <c r="J3760" s="2" t="s">
        <v>4593</v>
      </c>
      <c r="K3760" s="2" t="s">
        <v>117</v>
      </c>
      <c r="L3760" s="2" t="s">
        <v>118</v>
      </c>
      <c r="M3760" s="2" t="s">
        <v>119</v>
      </c>
      <c r="N3760" s="4" t="s">
        <v>119</v>
      </c>
      <c r="O3760" s="5">
        <v>10</v>
      </c>
    </row>
    <row r="3761" spans="2:15" x14ac:dyDescent="0.25">
      <c r="B3761" s="1" t="s">
        <v>1520</v>
      </c>
      <c r="C3761" s="2" t="s">
        <v>196</v>
      </c>
      <c r="D3761" s="2" t="s">
        <v>449</v>
      </c>
      <c r="E3761" s="2" t="s">
        <v>780</v>
      </c>
      <c r="F3761" s="3">
        <v>45294</v>
      </c>
      <c r="G3761" s="4">
        <v>1</v>
      </c>
      <c r="H3761" s="4">
        <v>2024</v>
      </c>
      <c r="I3761" s="2" t="s">
        <v>4</v>
      </c>
      <c r="J3761" s="2" t="s">
        <v>4594</v>
      </c>
      <c r="K3761" s="2" t="s">
        <v>329</v>
      </c>
      <c r="L3761" s="2" t="s">
        <v>330</v>
      </c>
      <c r="M3761" s="2" t="s">
        <v>119</v>
      </c>
      <c r="N3761" s="4" t="s">
        <v>119</v>
      </c>
      <c r="O3761" s="5">
        <v>7.5025000000000004</v>
      </c>
    </row>
    <row r="3762" spans="2:15" x14ac:dyDescent="0.25">
      <c r="B3762" s="1" t="s">
        <v>1520</v>
      </c>
      <c r="C3762" s="2" t="s">
        <v>196</v>
      </c>
      <c r="D3762" s="2" t="s">
        <v>289</v>
      </c>
      <c r="E3762" s="2" t="s">
        <v>2380</v>
      </c>
      <c r="F3762" s="3">
        <v>45294</v>
      </c>
      <c r="G3762" s="4">
        <v>1</v>
      </c>
      <c r="H3762" s="4">
        <v>2024</v>
      </c>
      <c r="I3762" s="2" t="s">
        <v>4</v>
      </c>
      <c r="J3762" s="2" t="s">
        <v>4595</v>
      </c>
      <c r="K3762" s="2" t="s">
        <v>292</v>
      </c>
      <c r="L3762" s="2" t="s">
        <v>293</v>
      </c>
      <c r="M3762" s="2" t="s">
        <v>119</v>
      </c>
      <c r="N3762" s="4" t="s">
        <v>119</v>
      </c>
      <c r="O3762" s="5">
        <v>0.75</v>
      </c>
    </row>
    <row r="3763" spans="2:15" x14ac:dyDescent="0.25">
      <c r="B3763" s="1" t="s">
        <v>1520</v>
      </c>
      <c r="C3763" s="2" t="s">
        <v>196</v>
      </c>
      <c r="D3763" s="2" t="s">
        <v>4034</v>
      </c>
      <c r="E3763" s="2" t="s">
        <v>1346</v>
      </c>
      <c r="F3763" s="3">
        <v>45294</v>
      </c>
      <c r="G3763" s="4">
        <v>1</v>
      </c>
      <c r="H3763" s="4">
        <v>2024</v>
      </c>
      <c r="I3763" s="2" t="s">
        <v>4</v>
      </c>
      <c r="J3763" s="2" t="s">
        <v>4596</v>
      </c>
      <c r="K3763" s="2" t="s">
        <v>117</v>
      </c>
      <c r="L3763" s="2" t="s">
        <v>118</v>
      </c>
      <c r="M3763" s="2" t="s">
        <v>119</v>
      </c>
      <c r="N3763" s="4" t="s">
        <v>119</v>
      </c>
      <c r="O3763" s="5">
        <v>5.0175000000000001</v>
      </c>
    </row>
    <row r="3764" spans="2:15" x14ac:dyDescent="0.25">
      <c r="B3764" s="1" t="s">
        <v>645</v>
      </c>
      <c r="C3764" s="2" t="s">
        <v>196</v>
      </c>
      <c r="D3764" s="2" t="s">
        <v>790</v>
      </c>
      <c r="E3764" s="2" t="s">
        <v>791</v>
      </c>
      <c r="F3764" s="3">
        <v>45294</v>
      </c>
      <c r="G3764" s="4">
        <v>1</v>
      </c>
      <c r="H3764" s="4">
        <v>2024</v>
      </c>
      <c r="I3764" s="2" t="s">
        <v>4</v>
      </c>
      <c r="J3764" s="2" t="s">
        <v>4597</v>
      </c>
      <c r="K3764" s="2" t="s">
        <v>117</v>
      </c>
      <c r="L3764" s="2" t="s">
        <v>118</v>
      </c>
      <c r="M3764" s="2" t="s">
        <v>119</v>
      </c>
      <c r="N3764" s="4" t="s">
        <v>119</v>
      </c>
      <c r="O3764" s="5">
        <v>5.01</v>
      </c>
    </row>
    <row r="3765" spans="2:15" x14ac:dyDescent="0.25">
      <c r="B3765" s="1" t="s">
        <v>1520</v>
      </c>
      <c r="C3765" s="2" t="s">
        <v>196</v>
      </c>
      <c r="D3765" s="2" t="s">
        <v>374</v>
      </c>
      <c r="E3765" s="2" t="s">
        <v>379</v>
      </c>
      <c r="F3765" s="3">
        <v>45293</v>
      </c>
      <c r="G3765" s="4">
        <v>1</v>
      </c>
      <c r="H3765" s="4">
        <v>2024</v>
      </c>
      <c r="I3765" s="2" t="s">
        <v>4</v>
      </c>
      <c r="J3765" s="2" t="s">
        <v>4598</v>
      </c>
      <c r="K3765" s="2" t="s">
        <v>122</v>
      </c>
      <c r="L3765" s="2" t="s">
        <v>123</v>
      </c>
      <c r="M3765" s="2" t="s">
        <v>119</v>
      </c>
      <c r="N3765" s="4" t="s">
        <v>119</v>
      </c>
      <c r="O3765" s="5">
        <v>7.01</v>
      </c>
    </row>
    <row r="3766" spans="2:15" x14ac:dyDescent="0.25">
      <c r="B3766" s="1" t="s">
        <v>1520</v>
      </c>
      <c r="C3766" s="2" t="s">
        <v>196</v>
      </c>
      <c r="D3766" s="2" t="s">
        <v>210</v>
      </c>
      <c r="E3766" s="2" t="s">
        <v>962</v>
      </c>
      <c r="F3766" s="3">
        <v>45295</v>
      </c>
      <c r="G3766" s="4">
        <v>1</v>
      </c>
      <c r="H3766" s="4">
        <v>2024</v>
      </c>
      <c r="I3766" s="2" t="s">
        <v>4</v>
      </c>
      <c r="J3766" s="2" t="s">
        <v>4599</v>
      </c>
      <c r="K3766" s="2" t="s">
        <v>1379</v>
      </c>
      <c r="L3766" s="2" t="s">
        <v>1380</v>
      </c>
      <c r="M3766" s="2" t="s">
        <v>119</v>
      </c>
      <c r="N3766" s="4" t="s">
        <v>119</v>
      </c>
      <c r="O3766" s="5">
        <v>20.052499999999998</v>
      </c>
    </row>
    <row r="3767" spans="2:15" x14ac:dyDescent="0.25">
      <c r="B3767" s="1" t="s">
        <v>1520</v>
      </c>
      <c r="C3767" s="2" t="s">
        <v>196</v>
      </c>
      <c r="D3767" s="2" t="s">
        <v>265</v>
      </c>
      <c r="E3767" s="2" t="s">
        <v>266</v>
      </c>
      <c r="F3767" s="3">
        <v>45295</v>
      </c>
      <c r="G3767" s="4">
        <v>1</v>
      </c>
      <c r="H3767" s="4">
        <v>2024</v>
      </c>
      <c r="I3767" s="2" t="s">
        <v>4</v>
      </c>
      <c r="J3767" s="2" t="s">
        <v>4600</v>
      </c>
      <c r="K3767" s="2" t="s">
        <v>268</v>
      </c>
      <c r="L3767" s="2" t="s">
        <v>269</v>
      </c>
      <c r="M3767" s="2" t="s">
        <v>119</v>
      </c>
      <c r="N3767" s="4" t="s">
        <v>119</v>
      </c>
      <c r="O3767" s="5">
        <v>0.15</v>
      </c>
    </row>
    <row r="3768" spans="2:15" x14ac:dyDescent="0.25">
      <c r="B3768" s="1" t="s">
        <v>1520</v>
      </c>
      <c r="C3768" s="2" t="s">
        <v>196</v>
      </c>
      <c r="D3768" s="2" t="s">
        <v>114</v>
      </c>
      <c r="E3768" s="2" t="s">
        <v>274</v>
      </c>
      <c r="F3768" s="3">
        <v>45295</v>
      </c>
      <c r="G3768" s="4">
        <v>1</v>
      </c>
      <c r="H3768" s="4">
        <v>2024</v>
      </c>
      <c r="I3768" s="2" t="s">
        <v>4</v>
      </c>
      <c r="J3768" s="2" t="s">
        <v>4601</v>
      </c>
      <c r="K3768" s="2" t="s">
        <v>117</v>
      </c>
      <c r="L3768" s="2" t="s">
        <v>118</v>
      </c>
      <c r="M3768" s="2" t="s">
        <v>119</v>
      </c>
      <c r="N3768" s="4" t="s">
        <v>119</v>
      </c>
      <c r="O3768" s="5">
        <v>2.5049999999999999</v>
      </c>
    </row>
    <row r="3769" spans="2:15" x14ac:dyDescent="0.25">
      <c r="B3769" s="1" t="s">
        <v>1520</v>
      </c>
      <c r="C3769" s="2" t="s">
        <v>196</v>
      </c>
      <c r="D3769" s="2" t="s">
        <v>276</v>
      </c>
      <c r="E3769" s="2" t="s">
        <v>682</v>
      </c>
      <c r="F3769" s="3">
        <v>45295</v>
      </c>
      <c r="G3769" s="4">
        <v>1</v>
      </c>
      <c r="H3769" s="4">
        <v>2024</v>
      </c>
      <c r="I3769" s="2" t="s">
        <v>4</v>
      </c>
      <c r="J3769" s="2" t="s">
        <v>4602</v>
      </c>
      <c r="K3769" s="2" t="s">
        <v>329</v>
      </c>
      <c r="L3769" s="2" t="s">
        <v>330</v>
      </c>
      <c r="M3769" s="2" t="s">
        <v>119</v>
      </c>
      <c r="N3769" s="4" t="s">
        <v>119</v>
      </c>
      <c r="O3769" s="5">
        <v>15.005000000000001</v>
      </c>
    </row>
    <row r="3770" spans="2:15" x14ac:dyDescent="0.25">
      <c r="B3770" s="1" t="s">
        <v>1520</v>
      </c>
      <c r="C3770" s="2" t="s">
        <v>196</v>
      </c>
      <c r="D3770" s="2" t="s">
        <v>283</v>
      </c>
      <c r="E3770" s="2" t="s">
        <v>382</v>
      </c>
      <c r="F3770" s="3">
        <v>45295</v>
      </c>
      <c r="G3770" s="4">
        <v>1</v>
      </c>
      <c r="H3770" s="4">
        <v>2024</v>
      </c>
      <c r="I3770" s="2" t="s">
        <v>4</v>
      </c>
      <c r="J3770" s="2" t="s">
        <v>4603</v>
      </c>
      <c r="K3770" s="2" t="s">
        <v>307</v>
      </c>
      <c r="L3770" s="2" t="s">
        <v>308</v>
      </c>
      <c r="M3770" s="2" t="s">
        <v>119</v>
      </c>
      <c r="N3770" s="4" t="s">
        <v>119</v>
      </c>
      <c r="O3770" s="5">
        <v>2</v>
      </c>
    </row>
    <row r="3771" spans="2:15" x14ac:dyDescent="0.25">
      <c r="B3771" s="1" t="s">
        <v>1520</v>
      </c>
      <c r="C3771" s="2" t="s">
        <v>196</v>
      </c>
      <c r="D3771" s="2" t="s">
        <v>289</v>
      </c>
      <c r="E3771" s="2" t="s">
        <v>290</v>
      </c>
      <c r="F3771" s="3">
        <v>45295</v>
      </c>
      <c r="G3771" s="4">
        <v>1</v>
      </c>
      <c r="H3771" s="4">
        <v>2024</v>
      </c>
      <c r="I3771" s="2" t="s">
        <v>4</v>
      </c>
      <c r="J3771" s="2" t="s">
        <v>4604</v>
      </c>
      <c r="K3771" s="2" t="s">
        <v>865</v>
      </c>
      <c r="L3771" s="2" t="s">
        <v>866</v>
      </c>
      <c r="M3771" s="2" t="s">
        <v>119</v>
      </c>
      <c r="N3771" s="4" t="s">
        <v>119</v>
      </c>
      <c r="O3771" s="5">
        <v>1</v>
      </c>
    </row>
    <row r="3772" spans="2:15" x14ac:dyDescent="0.25">
      <c r="B3772" s="1" t="s">
        <v>1520</v>
      </c>
      <c r="C3772" s="2" t="s">
        <v>196</v>
      </c>
      <c r="D3772" s="2" t="s">
        <v>310</v>
      </c>
      <c r="E3772" s="2" t="s">
        <v>426</v>
      </c>
      <c r="F3772" s="3">
        <v>45296</v>
      </c>
      <c r="G3772" s="4">
        <v>1</v>
      </c>
      <c r="H3772" s="4">
        <v>2024</v>
      </c>
      <c r="I3772" s="2" t="s">
        <v>4</v>
      </c>
      <c r="J3772" s="2" t="s">
        <v>4605</v>
      </c>
      <c r="K3772" s="2" t="s">
        <v>428</v>
      </c>
      <c r="L3772" s="2" t="s">
        <v>429</v>
      </c>
      <c r="M3772" s="2" t="s">
        <v>119</v>
      </c>
      <c r="N3772" s="4" t="s">
        <v>119</v>
      </c>
      <c r="O3772" s="5">
        <v>4.0075000000000003</v>
      </c>
    </row>
    <row r="3773" spans="2:15" x14ac:dyDescent="0.25">
      <c r="B3773" s="1" t="s">
        <v>1520</v>
      </c>
      <c r="C3773" s="2" t="s">
        <v>196</v>
      </c>
      <c r="D3773" s="2" t="s">
        <v>114</v>
      </c>
      <c r="E3773" s="2" t="s">
        <v>274</v>
      </c>
      <c r="F3773" s="3">
        <v>45296</v>
      </c>
      <c r="G3773" s="4">
        <v>1</v>
      </c>
      <c r="H3773" s="4">
        <v>2024</v>
      </c>
      <c r="I3773" s="2" t="s">
        <v>4</v>
      </c>
      <c r="J3773" s="2" t="s">
        <v>4606</v>
      </c>
      <c r="K3773" s="2" t="s">
        <v>117</v>
      </c>
      <c r="L3773" s="2" t="s">
        <v>118</v>
      </c>
      <c r="M3773" s="2" t="s">
        <v>119</v>
      </c>
      <c r="N3773" s="4" t="s">
        <v>119</v>
      </c>
      <c r="O3773" s="5">
        <v>10.0075</v>
      </c>
    </row>
    <row r="3774" spans="2:15" x14ac:dyDescent="0.25">
      <c r="B3774" s="1" t="s">
        <v>1520</v>
      </c>
      <c r="C3774" s="2" t="s">
        <v>196</v>
      </c>
      <c r="D3774" s="2" t="s">
        <v>669</v>
      </c>
      <c r="E3774" s="2" t="s">
        <v>56</v>
      </c>
      <c r="F3774" s="3">
        <v>45296</v>
      </c>
      <c r="G3774" s="4">
        <v>1</v>
      </c>
      <c r="H3774" s="4">
        <v>2024</v>
      </c>
      <c r="I3774" s="2" t="s">
        <v>4</v>
      </c>
      <c r="J3774" s="2" t="s">
        <v>4607</v>
      </c>
      <c r="K3774" s="2" t="s">
        <v>384</v>
      </c>
      <c r="L3774" s="2" t="s">
        <v>385</v>
      </c>
      <c r="M3774" s="2" t="s">
        <v>119</v>
      </c>
      <c r="N3774" s="4" t="s">
        <v>119</v>
      </c>
      <c r="O3774" s="5">
        <v>2.5049999999999999</v>
      </c>
    </row>
    <row r="3775" spans="2:15" x14ac:dyDescent="0.25">
      <c r="B3775" s="1" t="s">
        <v>1520</v>
      </c>
      <c r="C3775" s="2" t="s">
        <v>196</v>
      </c>
      <c r="D3775" s="2" t="s">
        <v>197</v>
      </c>
      <c r="E3775" s="2" t="s">
        <v>198</v>
      </c>
      <c r="F3775" s="3">
        <v>45296</v>
      </c>
      <c r="G3775" s="4">
        <v>1</v>
      </c>
      <c r="H3775" s="4">
        <v>2024</v>
      </c>
      <c r="I3775" s="2" t="s">
        <v>4</v>
      </c>
      <c r="J3775" s="2" t="s">
        <v>4608</v>
      </c>
      <c r="K3775" s="2" t="s">
        <v>307</v>
      </c>
      <c r="L3775" s="2" t="s">
        <v>308</v>
      </c>
      <c r="M3775" s="2" t="s">
        <v>119</v>
      </c>
      <c r="N3775" s="4" t="s">
        <v>119</v>
      </c>
      <c r="O3775" s="5">
        <v>4.51</v>
      </c>
    </row>
    <row r="3776" spans="2:15" x14ac:dyDescent="0.25">
      <c r="B3776" s="1" t="s">
        <v>1520</v>
      </c>
      <c r="C3776" s="2" t="s">
        <v>196</v>
      </c>
      <c r="D3776" s="2" t="s">
        <v>210</v>
      </c>
      <c r="E3776" s="2" t="s">
        <v>827</v>
      </c>
      <c r="F3776" s="3">
        <v>45296</v>
      </c>
      <c r="G3776" s="4">
        <v>1</v>
      </c>
      <c r="H3776" s="4">
        <v>2024</v>
      </c>
      <c r="I3776" s="2" t="s">
        <v>4</v>
      </c>
      <c r="J3776" s="2" t="s">
        <v>4609</v>
      </c>
      <c r="K3776" s="2" t="s">
        <v>351</v>
      </c>
      <c r="L3776" s="2" t="s">
        <v>352</v>
      </c>
      <c r="M3776" s="2" t="s">
        <v>119</v>
      </c>
      <c r="N3776" s="4" t="s">
        <v>119</v>
      </c>
      <c r="O3776" s="5">
        <v>19.98</v>
      </c>
    </row>
    <row r="3777" spans="2:15" x14ac:dyDescent="0.25">
      <c r="B3777" s="1" t="s">
        <v>1520</v>
      </c>
      <c r="C3777" s="2" t="s">
        <v>196</v>
      </c>
      <c r="D3777" s="2" t="s">
        <v>4013</v>
      </c>
      <c r="E3777" s="2" t="s">
        <v>2868</v>
      </c>
      <c r="F3777" s="3">
        <v>45296</v>
      </c>
      <c r="G3777" s="4">
        <v>1</v>
      </c>
      <c r="H3777" s="4">
        <v>2024</v>
      </c>
      <c r="I3777" s="2" t="s">
        <v>4</v>
      </c>
      <c r="J3777" s="2" t="s">
        <v>4610</v>
      </c>
      <c r="K3777" s="2" t="s">
        <v>447</v>
      </c>
      <c r="L3777" s="2" t="s">
        <v>448</v>
      </c>
      <c r="M3777" s="2" t="s">
        <v>119</v>
      </c>
      <c r="N3777" s="4" t="s">
        <v>119</v>
      </c>
      <c r="O3777" s="5">
        <v>2</v>
      </c>
    </row>
    <row r="3778" spans="2:15" x14ac:dyDescent="0.25">
      <c r="B3778" s="1" t="s">
        <v>1520</v>
      </c>
      <c r="C3778" s="2" t="s">
        <v>196</v>
      </c>
      <c r="D3778" s="2" t="s">
        <v>4013</v>
      </c>
      <c r="E3778" s="2" t="s">
        <v>102</v>
      </c>
      <c r="F3778" s="3">
        <v>45296</v>
      </c>
      <c r="G3778" s="4">
        <v>1</v>
      </c>
      <c r="H3778" s="4">
        <v>2024</v>
      </c>
      <c r="I3778" s="2" t="s">
        <v>4</v>
      </c>
      <c r="J3778" s="2" t="s">
        <v>4611</v>
      </c>
      <c r="K3778" s="2" t="s">
        <v>2477</v>
      </c>
      <c r="L3778" s="2" t="s">
        <v>538</v>
      </c>
      <c r="M3778" s="2" t="s">
        <v>4243</v>
      </c>
      <c r="N3778" s="4" t="s">
        <v>4532</v>
      </c>
      <c r="O3778" s="5">
        <v>5</v>
      </c>
    </row>
    <row r="3779" spans="2:15" x14ac:dyDescent="0.25">
      <c r="B3779" s="1" t="s">
        <v>1520</v>
      </c>
      <c r="C3779" s="2" t="s">
        <v>196</v>
      </c>
      <c r="D3779" s="2" t="s">
        <v>4013</v>
      </c>
      <c r="E3779" s="2" t="s">
        <v>102</v>
      </c>
      <c r="F3779" s="3">
        <v>45296</v>
      </c>
      <c r="G3779" s="4">
        <v>1</v>
      </c>
      <c r="H3779" s="4">
        <v>2024</v>
      </c>
      <c r="I3779" s="2" t="s">
        <v>4</v>
      </c>
      <c r="J3779" s="2" t="s">
        <v>4611</v>
      </c>
      <c r="K3779" s="2" t="s">
        <v>158</v>
      </c>
      <c r="L3779" s="2" t="s">
        <v>159</v>
      </c>
      <c r="M3779" s="2" t="s">
        <v>160</v>
      </c>
      <c r="N3779" s="4" t="s">
        <v>4532</v>
      </c>
      <c r="O3779" s="5">
        <v>10</v>
      </c>
    </row>
    <row r="3780" spans="2:15" x14ac:dyDescent="0.25">
      <c r="B3780" s="1" t="s">
        <v>1520</v>
      </c>
      <c r="C3780" s="2" t="s">
        <v>196</v>
      </c>
      <c r="D3780" s="2" t="s">
        <v>114</v>
      </c>
      <c r="E3780" s="2" t="s">
        <v>402</v>
      </c>
      <c r="F3780" s="3">
        <v>45296</v>
      </c>
      <c r="G3780" s="4">
        <v>1</v>
      </c>
      <c r="H3780" s="4">
        <v>2024</v>
      </c>
      <c r="I3780" s="2" t="s">
        <v>4</v>
      </c>
      <c r="J3780" s="2" t="s">
        <v>4612</v>
      </c>
      <c r="K3780" s="2" t="s">
        <v>117</v>
      </c>
      <c r="L3780" s="2" t="s">
        <v>118</v>
      </c>
      <c r="M3780" s="2" t="s">
        <v>119</v>
      </c>
      <c r="N3780" s="4" t="s">
        <v>119</v>
      </c>
      <c r="O3780" s="5">
        <v>7.03</v>
      </c>
    </row>
    <row r="3781" spans="2:15" x14ac:dyDescent="0.25">
      <c r="B3781" s="1" t="s">
        <v>1520</v>
      </c>
      <c r="C3781" s="2" t="s">
        <v>196</v>
      </c>
      <c r="D3781" s="2" t="s">
        <v>248</v>
      </c>
      <c r="E3781" s="2" t="s">
        <v>1620</v>
      </c>
      <c r="F3781" s="3">
        <v>45297</v>
      </c>
      <c r="G3781" s="4">
        <v>1</v>
      </c>
      <c r="H3781" s="4">
        <v>2024</v>
      </c>
      <c r="I3781" s="2" t="s">
        <v>4</v>
      </c>
      <c r="J3781" s="2" t="s">
        <v>4613</v>
      </c>
      <c r="K3781" s="2" t="s">
        <v>117</v>
      </c>
      <c r="L3781" s="2" t="s">
        <v>118</v>
      </c>
      <c r="M3781" s="2" t="s">
        <v>119</v>
      </c>
      <c r="N3781" s="4" t="s">
        <v>119</v>
      </c>
      <c r="O3781" s="5">
        <v>10.005000000000001</v>
      </c>
    </row>
    <row r="3782" spans="2:15" x14ac:dyDescent="0.25">
      <c r="B3782" s="1" t="s">
        <v>1520</v>
      </c>
      <c r="C3782" s="2" t="s">
        <v>196</v>
      </c>
      <c r="D3782" s="2" t="s">
        <v>317</v>
      </c>
      <c r="E3782" s="2" t="s">
        <v>677</v>
      </c>
      <c r="F3782" s="3">
        <v>45296</v>
      </c>
      <c r="G3782" s="4">
        <v>1</v>
      </c>
      <c r="H3782" s="4">
        <v>2024</v>
      </c>
      <c r="I3782" s="2" t="s">
        <v>4</v>
      </c>
      <c r="J3782" s="2" t="s">
        <v>4614</v>
      </c>
      <c r="K3782" s="2" t="s">
        <v>117</v>
      </c>
      <c r="L3782" s="2" t="s">
        <v>118</v>
      </c>
      <c r="M3782" s="2" t="s">
        <v>119</v>
      </c>
      <c r="N3782" s="4" t="s">
        <v>119</v>
      </c>
      <c r="O3782" s="5">
        <v>10.01</v>
      </c>
    </row>
    <row r="3783" spans="2:15" x14ac:dyDescent="0.25">
      <c r="B3783" s="1" t="s">
        <v>1520</v>
      </c>
      <c r="C3783" s="2" t="s">
        <v>196</v>
      </c>
      <c r="D3783" s="2" t="s">
        <v>248</v>
      </c>
      <c r="E3783" s="2" t="s">
        <v>3610</v>
      </c>
      <c r="F3783" s="3">
        <v>45297</v>
      </c>
      <c r="G3783" s="4">
        <v>1</v>
      </c>
      <c r="H3783" s="4">
        <v>2024</v>
      </c>
      <c r="I3783" s="2" t="s">
        <v>4</v>
      </c>
      <c r="J3783" s="2" t="s">
        <v>4615</v>
      </c>
      <c r="K3783" s="2" t="s">
        <v>117</v>
      </c>
      <c r="L3783" s="2" t="s">
        <v>118</v>
      </c>
      <c r="M3783" s="2" t="s">
        <v>119</v>
      </c>
      <c r="N3783" s="4" t="s">
        <v>119</v>
      </c>
      <c r="O3783" s="5">
        <v>2.5024999999999999</v>
      </c>
    </row>
    <row r="3784" spans="2:15" x14ac:dyDescent="0.25">
      <c r="B3784" s="1" t="s">
        <v>1520</v>
      </c>
      <c r="C3784" s="2" t="s">
        <v>196</v>
      </c>
      <c r="D3784" s="2" t="s">
        <v>262</v>
      </c>
      <c r="E3784" s="2" t="s">
        <v>747</v>
      </c>
      <c r="F3784" s="3">
        <v>45296</v>
      </c>
      <c r="G3784" s="4">
        <v>1</v>
      </c>
      <c r="H3784" s="4">
        <v>2024</v>
      </c>
      <c r="I3784" s="2" t="s">
        <v>4</v>
      </c>
      <c r="J3784" s="2" t="s">
        <v>4616</v>
      </c>
      <c r="K3784" s="2" t="s">
        <v>499</v>
      </c>
      <c r="L3784" s="2" t="s">
        <v>500</v>
      </c>
      <c r="M3784" s="2" t="s">
        <v>119</v>
      </c>
      <c r="N3784" s="4" t="s">
        <v>119</v>
      </c>
      <c r="O3784" s="5">
        <v>5.5125000000000002</v>
      </c>
    </row>
    <row r="3785" spans="2:15" x14ac:dyDescent="0.25">
      <c r="B3785" s="1" t="s">
        <v>1520</v>
      </c>
      <c r="C3785" s="2" t="s">
        <v>196</v>
      </c>
      <c r="D3785" s="2" t="s">
        <v>215</v>
      </c>
      <c r="E3785" s="2" t="s">
        <v>315</v>
      </c>
      <c r="F3785" s="3">
        <v>45297</v>
      </c>
      <c r="G3785" s="4">
        <v>1</v>
      </c>
      <c r="H3785" s="4">
        <v>2024</v>
      </c>
      <c r="I3785" s="2" t="s">
        <v>4</v>
      </c>
      <c r="J3785" s="2" t="s">
        <v>4617</v>
      </c>
      <c r="K3785" s="2" t="s">
        <v>329</v>
      </c>
      <c r="L3785" s="2" t="s">
        <v>330</v>
      </c>
      <c r="M3785" s="2" t="s">
        <v>119</v>
      </c>
      <c r="N3785" s="4" t="s">
        <v>119</v>
      </c>
      <c r="O3785" s="5">
        <v>3.9874999999999998</v>
      </c>
    </row>
    <row r="3786" spans="2:15" x14ac:dyDescent="0.25">
      <c r="B3786" s="1" t="s">
        <v>1520</v>
      </c>
      <c r="C3786" s="2" t="s">
        <v>196</v>
      </c>
      <c r="D3786" s="2" t="s">
        <v>280</v>
      </c>
      <c r="E3786" s="2" t="s">
        <v>811</v>
      </c>
      <c r="F3786" s="3">
        <v>45296</v>
      </c>
      <c r="G3786" s="4">
        <v>1</v>
      </c>
      <c r="H3786" s="4">
        <v>2024</v>
      </c>
      <c r="I3786" s="2" t="s">
        <v>4</v>
      </c>
      <c r="J3786" s="2" t="s">
        <v>4618</v>
      </c>
      <c r="K3786" s="2" t="s">
        <v>117</v>
      </c>
      <c r="L3786" s="2" t="s">
        <v>118</v>
      </c>
      <c r="M3786" s="2" t="s">
        <v>119</v>
      </c>
      <c r="N3786" s="4" t="s">
        <v>119</v>
      </c>
      <c r="O3786" s="5">
        <v>7.51</v>
      </c>
    </row>
    <row r="3787" spans="2:15" x14ac:dyDescent="0.25">
      <c r="B3787" s="1" t="s">
        <v>1520</v>
      </c>
      <c r="C3787" s="2" t="s">
        <v>196</v>
      </c>
      <c r="D3787" s="2" t="s">
        <v>317</v>
      </c>
      <c r="E3787" s="2" t="s">
        <v>319</v>
      </c>
      <c r="F3787" s="3">
        <v>45299</v>
      </c>
      <c r="G3787" s="4">
        <v>1</v>
      </c>
      <c r="H3787" s="4">
        <v>2024</v>
      </c>
      <c r="I3787" s="2" t="s">
        <v>4</v>
      </c>
      <c r="J3787" s="2" t="s">
        <v>4619</v>
      </c>
      <c r="K3787" s="2" t="s">
        <v>117</v>
      </c>
      <c r="L3787" s="2" t="s">
        <v>118</v>
      </c>
      <c r="M3787" s="2" t="s">
        <v>119</v>
      </c>
      <c r="N3787" s="4" t="s">
        <v>119</v>
      </c>
      <c r="O3787" s="5">
        <v>14.525</v>
      </c>
    </row>
    <row r="3788" spans="2:15" x14ac:dyDescent="0.25">
      <c r="B3788" s="1" t="s">
        <v>1520</v>
      </c>
      <c r="C3788" s="2" t="s">
        <v>196</v>
      </c>
      <c r="D3788" s="2" t="s">
        <v>280</v>
      </c>
      <c r="E3788" s="2" t="s">
        <v>464</v>
      </c>
      <c r="F3788" s="3">
        <v>45299</v>
      </c>
      <c r="G3788" s="4">
        <v>1</v>
      </c>
      <c r="H3788" s="4">
        <v>2024</v>
      </c>
      <c r="I3788" s="2" t="s">
        <v>4</v>
      </c>
      <c r="J3788" s="2" t="s">
        <v>4620</v>
      </c>
      <c r="K3788" s="2" t="s">
        <v>117</v>
      </c>
      <c r="L3788" s="2" t="s">
        <v>118</v>
      </c>
      <c r="M3788" s="2" t="s">
        <v>119</v>
      </c>
      <c r="N3788" s="4" t="s">
        <v>119</v>
      </c>
      <c r="O3788" s="5">
        <v>10.01</v>
      </c>
    </row>
    <row r="3789" spans="2:15" x14ac:dyDescent="0.25">
      <c r="B3789" s="1" t="s">
        <v>1520</v>
      </c>
      <c r="C3789" s="2" t="s">
        <v>196</v>
      </c>
      <c r="D3789" s="2" t="s">
        <v>114</v>
      </c>
      <c r="E3789" s="2" t="s">
        <v>402</v>
      </c>
      <c r="F3789" s="3">
        <v>45299</v>
      </c>
      <c r="G3789" s="4">
        <v>1</v>
      </c>
      <c r="H3789" s="4">
        <v>2024</v>
      </c>
      <c r="I3789" s="2" t="s">
        <v>4</v>
      </c>
      <c r="J3789" s="2" t="s">
        <v>4621</v>
      </c>
      <c r="K3789" s="2" t="s">
        <v>117</v>
      </c>
      <c r="L3789" s="2" t="s">
        <v>118</v>
      </c>
      <c r="M3789" s="2" t="s">
        <v>119</v>
      </c>
      <c r="N3789" s="4" t="s">
        <v>119</v>
      </c>
      <c r="O3789" s="5">
        <v>2.5049999999999999</v>
      </c>
    </row>
    <row r="3790" spans="2:15" x14ac:dyDescent="0.25">
      <c r="B3790" s="1" t="s">
        <v>1520</v>
      </c>
      <c r="C3790" s="2" t="s">
        <v>196</v>
      </c>
      <c r="D3790" s="2" t="s">
        <v>280</v>
      </c>
      <c r="E3790" s="2" t="s">
        <v>141</v>
      </c>
      <c r="F3790" s="3">
        <v>45299</v>
      </c>
      <c r="G3790" s="4">
        <v>1</v>
      </c>
      <c r="H3790" s="4">
        <v>2024</v>
      </c>
      <c r="I3790" s="2" t="s">
        <v>4</v>
      </c>
      <c r="J3790" s="2" t="s">
        <v>4622</v>
      </c>
      <c r="K3790" s="2" t="s">
        <v>1841</v>
      </c>
      <c r="L3790" s="2" t="s">
        <v>1842</v>
      </c>
      <c r="M3790" s="2" t="s">
        <v>41</v>
      </c>
      <c r="N3790" s="4" t="s">
        <v>4532</v>
      </c>
      <c r="O3790" s="5">
        <v>7.5</v>
      </c>
    </row>
    <row r="3791" spans="2:15" x14ac:dyDescent="0.25">
      <c r="B3791" s="1" t="s">
        <v>1520</v>
      </c>
      <c r="C3791" s="2" t="s">
        <v>196</v>
      </c>
      <c r="D3791" s="2" t="s">
        <v>276</v>
      </c>
      <c r="E3791" s="2" t="s">
        <v>692</v>
      </c>
      <c r="F3791" s="3">
        <v>45299</v>
      </c>
      <c r="G3791" s="4">
        <v>1</v>
      </c>
      <c r="H3791" s="4">
        <v>2024</v>
      </c>
      <c r="I3791" s="2" t="s">
        <v>4</v>
      </c>
      <c r="J3791" s="2" t="s">
        <v>4623</v>
      </c>
      <c r="K3791" s="2" t="s">
        <v>329</v>
      </c>
      <c r="L3791" s="2" t="s">
        <v>330</v>
      </c>
      <c r="M3791" s="2" t="s">
        <v>119</v>
      </c>
      <c r="N3791" s="4" t="s">
        <v>119</v>
      </c>
      <c r="O3791" s="5">
        <v>10</v>
      </c>
    </row>
    <row r="3792" spans="2:15" x14ac:dyDescent="0.25">
      <c r="B3792" s="1" t="s">
        <v>1520</v>
      </c>
      <c r="C3792" s="2" t="s">
        <v>196</v>
      </c>
      <c r="D3792" s="2" t="s">
        <v>276</v>
      </c>
      <c r="E3792" s="2" t="s">
        <v>692</v>
      </c>
      <c r="F3792" s="3">
        <v>45299</v>
      </c>
      <c r="G3792" s="4">
        <v>1</v>
      </c>
      <c r="H3792" s="4">
        <v>2024</v>
      </c>
      <c r="I3792" s="2" t="s">
        <v>4</v>
      </c>
      <c r="J3792" s="2" t="s">
        <v>4623</v>
      </c>
      <c r="K3792" s="2" t="s">
        <v>3726</v>
      </c>
      <c r="L3792" s="2" t="s">
        <v>3727</v>
      </c>
      <c r="M3792" s="2" t="s">
        <v>145</v>
      </c>
      <c r="N3792" s="4" t="s">
        <v>4532</v>
      </c>
      <c r="O3792" s="5">
        <v>3.75</v>
      </c>
    </row>
    <row r="3793" spans="2:15" x14ac:dyDescent="0.25">
      <c r="B3793" s="1" t="s">
        <v>1520</v>
      </c>
      <c r="C3793" s="2" t="s">
        <v>196</v>
      </c>
      <c r="D3793" s="2" t="s">
        <v>241</v>
      </c>
      <c r="E3793" s="2" t="s">
        <v>258</v>
      </c>
      <c r="F3793" s="3">
        <v>45299</v>
      </c>
      <c r="G3793" s="4">
        <v>1</v>
      </c>
      <c r="H3793" s="4">
        <v>2024</v>
      </c>
      <c r="I3793" s="2" t="s">
        <v>4</v>
      </c>
      <c r="J3793" s="2" t="s">
        <v>4624</v>
      </c>
      <c r="K3793" s="2" t="s">
        <v>3458</v>
      </c>
      <c r="L3793" s="2" t="s">
        <v>3459</v>
      </c>
      <c r="M3793" s="2" t="s">
        <v>119</v>
      </c>
      <c r="N3793" s="4" t="s">
        <v>119</v>
      </c>
      <c r="O3793" s="5">
        <v>1.2350000000000001</v>
      </c>
    </row>
    <row r="3794" spans="2:15" x14ac:dyDescent="0.25">
      <c r="B3794" s="6" t="s">
        <v>1520</v>
      </c>
      <c r="C3794" s="7" t="s">
        <v>196</v>
      </c>
      <c r="D3794" s="8" t="s">
        <v>440</v>
      </c>
      <c r="E3794" s="8" t="s">
        <v>441</v>
      </c>
      <c r="F3794" s="12">
        <v>45300</v>
      </c>
      <c r="G3794" s="13">
        <v>1</v>
      </c>
      <c r="H3794" s="13">
        <v>2024</v>
      </c>
      <c r="I3794" s="8" t="s">
        <v>4</v>
      </c>
      <c r="J3794" s="7" t="s">
        <v>4625</v>
      </c>
      <c r="K3794" s="8" t="s">
        <v>4222</v>
      </c>
      <c r="L3794" s="8" t="s">
        <v>4223</v>
      </c>
      <c r="M3794" s="8" t="s">
        <v>119</v>
      </c>
      <c r="N3794" s="10" t="s">
        <v>119</v>
      </c>
      <c r="O3794" s="11">
        <v>5</v>
      </c>
    </row>
    <row r="3795" spans="2:15" x14ac:dyDescent="0.25">
      <c r="B3795" s="1" t="s">
        <v>1520</v>
      </c>
      <c r="C3795" s="2" t="s">
        <v>196</v>
      </c>
      <c r="D3795" s="2" t="s">
        <v>440</v>
      </c>
      <c r="E3795" s="2" t="s">
        <v>1274</v>
      </c>
      <c r="F3795" s="3">
        <v>45300</v>
      </c>
      <c r="G3795" s="4">
        <v>1</v>
      </c>
      <c r="H3795" s="4">
        <v>2024</v>
      </c>
      <c r="I3795" s="2" t="s">
        <v>4</v>
      </c>
      <c r="J3795" s="2" t="s">
        <v>4626</v>
      </c>
      <c r="K3795" s="2" t="s">
        <v>220</v>
      </c>
      <c r="L3795" s="2" t="s">
        <v>201</v>
      </c>
      <c r="M3795" s="2" t="s">
        <v>202</v>
      </c>
      <c r="N3795" s="4" t="s">
        <v>4532</v>
      </c>
      <c r="O3795" s="5">
        <v>250</v>
      </c>
    </row>
    <row r="3796" spans="2:15" x14ac:dyDescent="0.25">
      <c r="B3796" s="1" t="s">
        <v>1520</v>
      </c>
      <c r="C3796" s="2" t="s">
        <v>196</v>
      </c>
      <c r="D3796" s="2" t="s">
        <v>224</v>
      </c>
      <c r="E3796" s="2" t="s">
        <v>361</v>
      </c>
      <c r="F3796" s="3">
        <v>45300</v>
      </c>
      <c r="G3796" s="4">
        <v>1</v>
      </c>
      <c r="H3796" s="4">
        <v>2024</v>
      </c>
      <c r="I3796" s="2" t="s">
        <v>4</v>
      </c>
      <c r="J3796" s="2" t="s">
        <v>4627</v>
      </c>
      <c r="K3796" s="2" t="s">
        <v>205</v>
      </c>
      <c r="L3796" s="2" t="s">
        <v>206</v>
      </c>
      <c r="M3796" s="2" t="s">
        <v>119</v>
      </c>
      <c r="N3796" s="4" t="s">
        <v>119</v>
      </c>
      <c r="O3796" s="5">
        <v>5.0199999999999996</v>
      </c>
    </row>
    <row r="3797" spans="2:15" x14ac:dyDescent="0.25">
      <c r="B3797" s="1" t="s">
        <v>1520</v>
      </c>
      <c r="C3797" s="2" t="s">
        <v>196</v>
      </c>
      <c r="D3797" s="2" t="s">
        <v>628</v>
      </c>
      <c r="E3797" s="2" t="s">
        <v>4628</v>
      </c>
      <c r="F3797" s="3">
        <v>45300</v>
      </c>
      <c r="G3797" s="4">
        <v>1</v>
      </c>
      <c r="H3797" s="4">
        <v>2024</v>
      </c>
      <c r="I3797" s="2" t="s">
        <v>4</v>
      </c>
      <c r="J3797" s="2" t="s">
        <v>4629</v>
      </c>
      <c r="K3797" s="2" t="s">
        <v>1031</v>
      </c>
      <c r="L3797" s="2" t="s">
        <v>1032</v>
      </c>
      <c r="M3797" s="2" t="s">
        <v>119</v>
      </c>
      <c r="N3797" s="4" t="s">
        <v>119</v>
      </c>
      <c r="O3797" s="5">
        <v>1.2450000000000001</v>
      </c>
    </row>
    <row r="3798" spans="2:15" x14ac:dyDescent="0.25">
      <c r="B3798" s="1" t="s">
        <v>1520</v>
      </c>
      <c r="C3798" s="2" t="s">
        <v>196</v>
      </c>
      <c r="D3798" s="2" t="s">
        <v>114</v>
      </c>
      <c r="E3798" s="2" t="s">
        <v>377</v>
      </c>
      <c r="F3798" s="3">
        <v>45300</v>
      </c>
      <c r="G3798" s="4">
        <v>1</v>
      </c>
      <c r="H3798" s="4">
        <v>2024</v>
      </c>
      <c r="I3798" s="2" t="s">
        <v>4</v>
      </c>
      <c r="J3798" s="2" t="s">
        <v>4630</v>
      </c>
      <c r="K3798" s="2" t="s">
        <v>117</v>
      </c>
      <c r="L3798" s="2" t="s">
        <v>118</v>
      </c>
      <c r="M3798" s="2" t="s">
        <v>119</v>
      </c>
      <c r="N3798" s="4" t="s">
        <v>119</v>
      </c>
      <c r="O3798" s="5">
        <v>4.9974999999999996</v>
      </c>
    </row>
    <row r="3799" spans="2:15" x14ac:dyDescent="0.25">
      <c r="B3799" s="1" t="s">
        <v>1520</v>
      </c>
      <c r="C3799" s="2" t="s">
        <v>196</v>
      </c>
      <c r="D3799" s="2" t="s">
        <v>299</v>
      </c>
      <c r="E3799" s="2" t="s">
        <v>713</v>
      </c>
      <c r="F3799" s="3">
        <v>45301</v>
      </c>
      <c r="G3799" s="4">
        <v>1</v>
      </c>
      <c r="H3799" s="4">
        <v>2024</v>
      </c>
      <c r="I3799" s="2" t="s">
        <v>4</v>
      </c>
      <c r="J3799" s="2" t="s">
        <v>4631</v>
      </c>
      <c r="K3799" s="2" t="s">
        <v>117</v>
      </c>
      <c r="L3799" s="2" t="s">
        <v>118</v>
      </c>
      <c r="M3799" s="2" t="s">
        <v>119</v>
      </c>
      <c r="N3799" s="4" t="s">
        <v>119</v>
      </c>
      <c r="O3799" s="5">
        <v>11.5025</v>
      </c>
    </row>
    <row r="3800" spans="2:15" x14ac:dyDescent="0.25">
      <c r="B3800" s="1" t="s">
        <v>1520</v>
      </c>
      <c r="C3800" s="2" t="s">
        <v>196</v>
      </c>
      <c r="D3800" s="2" t="s">
        <v>672</v>
      </c>
      <c r="E3800" s="2" t="s">
        <v>699</v>
      </c>
      <c r="F3800" s="3">
        <v>45301</v>
      </c>
      <c r="G3800" s="4">
        <v>1</v>
      </c>
      <c r="H3800" s="4">
        <v>2024</v>
      </c>
      <c r="I3800" s="2" t="s">
        <v>4</v>
      </c>
      <c r="J3800" s="2" t="s">
        <v>4632</v>
      </c>
      <c r="K3800" s="2" t="s">
        <v>251</v>
      </c>
      <c r="L3800" s="2" t="s">
        <v>252</v>
      </c>
      <c r="M3800" s="2" t="s">
        <v>119</v>
      </c>
      <c r="N3800" s="4" t="s">
        <v>119</v>
      </c>
      <c r="O3800" s="5">
        <v>7.5075000000000003</v>
      </c>
    </row>
    <row r="3801" spans="2:15" x14ac:dyDescent="0.25">
      <c r="B3801" s="1" t="s">
        <v>1520</v>
      </c>
      <c r="C3801" s="2" t="s">
        <v>196</v>
      </c>
      <c r="D3801" s="2" t="s">
        <v>299</v>
      </c>
      <c r="E3801" s="2" t="s">
        <v>300</v>
      </c>
      <c r="F3801" s="3">
        <v>45301</v>
      </c>
      <c r="G3801" s="4">
        <v>1</v>
      </c>
      <c r="H3801" s="4">
        <v>2024</v>
      </c>
      <c r="I3801" s="2" t="s">
        <v>4</v>
      </c>
      <c r="J3801" s="2" t="s">
        <v>4633</v>
      </c>
      <c r="K3801" s="2" t="s">
        <v>117</v>
      </c>
      <c r="L3801" s="2" t="s">
        <v>118</v>
      </c>
      <c r="M3801" s="2" t="s">
        <v>119</v>
      </c>
      <c r="N3801" s="4" t="s">
        <v>119</v>
      </c>
      <c r="O3801" s="5">
        <v>15</v>
      </c>
    </row>
    <row r="3802" spans="2:15" x14ac:dyDescent="0.25">
      <c r="B3802" s="1" t="s">
        <v>1520</v>
      </c>
      <c r="C3802" s="2" t="s">
        <v>196</v>
      </c>
      <c r="D3802" s="2" t="s">
        <v>283</v>
      </c>
      <c r="E3802" s="2" t="s">
        <v>1988</v>
      </c>
      <c r="F3802" s="3">
        <v>45302</v>
      </c>
      <c r="G3802" s="4">
        <v>1</v>
      </c>
      <c r="H3802" s="4">
        <v>2024</v>
      </c>
      <c r="I3802" s="2" t="s">
        <v>4</v>
      </c>
      <c r="J3802" s="2" t="s">
        <v>4634</v>
      </c>
      <c r="K3802" s="2" t="s">
        <v>4635</v>
      </c>
      <c r="L3802" s="2" t="s">
        <v>4636</v>
      </c>
      <c r="M3802" s="2" t="s">
        <v>119</v>
      </c>
      <c r="N3802" s="4" t="s">
        <v>119</v>
      </c>
      <c r="O3802" s="5">
        <v>1.25</v>
      </c>
    </row>
    <row r="3803" spans="2:15" x14ac:dyDescent="0.25">
      <c r="B3803" s="1" t="s">
        <v>1520</v>
      </c>
      <c r="C3803" s="2" t="s">
        <v>196</v>
      </c>
      <c r="D3803" s="2" t="s">
        <v>884</v>
      </c>
      <c r="E3803" s="2" t="s">
        <v>141</v>
      </c>
      <c r="F3803" s="3">
        <v>45302</v>
      </c>
      <c r="G3803" s="4">
        <v>1</v>
      </c>
      <c r="H3803" s="4">
        <v>2024</v>
      </c>
      <c r="I3803" s="2" t="s">
        <v>4</v>
      </c>
      <c r="J3803" s="2" t="s">
        <v>4637</v>
      </c>
      <c r="K3803" s="2" t="s">
        <v>531</v>
      </c>
      <c r="L3803" s="2" t="s">
        <v>201</v>
      </c>
      <c r="M3803" s="2" t="s">
        <v>202</v>
      </c>
      <c r="N3803" s="4" t="s">
        <v>4532</v>
      </c>
      <c r="O3803" s="5">
        <v>30</v>
      </c>
    </row>
    <row r="3804" spans="2:15" x14ac:dyDescent="0.25">
      <c r="B3804" s="1" t="s">
        <v>1520</v>
      </c>
      <c r="C3804" s="2" t="s">
        <v>196</v>
      </c>
      <c r="D3804" s="2" t="s">
        <v>280</v>
      </c>
      <c r="E3804" s="2" t="s">
        <v>254</v>
      </c>
      <c r="F3804" s="3">
        <v>45302</v>
      </c>
      <c r="G3804" s="4">
        <v>1</v>
      </c>
      <c r="H3804" s="4">
        <v>2024</v>
      </c>
      <c r="I3804" s="2" t="s">
        <v>4</v>
      </c>
      <c r="J3804" s="2" t="s">
        <v>4638</v>
      </c>
      <c r="K3804" s="2" t="s">
        <v>117</v>
      </c>
      <c r="L3804" s="2" t="s">
        <v>118</v>
      </c>
      <c r="M3804" s="2" t="s">
        <v>119</v>
      </c>
      <c r="N3804" s="4" t="s">
        <v>119</v>
      </c>
      <c r="O3804" s="5">
        <v>20.0075</v>
      </c>
    </row>
    <row r="3805" spans="2:15" x14ac:dyDescent="0.25">
      <c r="B3805" s="1" t="s">
        <v>1520</v>
      </c>
      <c r="C3805" s="2" t="s">
        <v>196</v>
      </c>
      <c r="D3805" s="2" t="s">
        <v>114</v>
      </c>
      <c r="E3805" s="2" t="s">
        <v>369</v>
      </c>
      <c r="F3805" s="3">
        <v>45302</v>
      </c>
      <c r="G3805" s="4">
        <v>1</v>
      </c>
      <c r="H3805" s="4">
        <v>2024</v>
      </c>
      <c r="I3805" s="2" t="s">
        <v>4</v>
      </c>
      <c r="J3805" s="2" t="s">
        <v>4639</v>
      </c>
      <c r="K3805" s="2" t="s">
        <v>117</v>
      </c>
      <c r="L3805" s="2" t="s">
        <v>118</v>
      </c>
      <c r="M3805" s="2" t="s">
        <v>119</v>
      </c>
      <c r="N3805" s="4" t="s">
        <v>119</v>
      </c>
      <c r="O3805" s="5">
        <v>5.0149999999999997</v>
      </c>
    </row>
    <row r="3806" spans="2:15" x14ac:dyDescent="0.25">
      <c r="B3806" s="1" t="s">
        <v>1520</v>
      </c>
      <c r="C3806" s="2" t="s">
        <v>196</v>
      </c>
      <c r="D3806" s="2" t="s">
        <v>475</v>
      </c>
      <c r="E3806" s="2" t="s">
        <v>476</v>
      </c>
      <c r="F3806" s="3">
        <v>45302</v>
      </c>
      <c r="G3806" s="4">
        <v>1</v>
      </c>
      <c r="H3806" s="4">
        <v>2024</v>
      </c>
      <c r="I3806" s="2" t="s">
        <v>4</v>
      </c>
      <c r="J3806" s="2" t="s">
        <v>4640</v>
      </c>
      <c r="K3806" s="2" t="s">
        <v>478</v>
      </c>
      <c r="L3806" s="2" t="s">
        <v>479</v>
      </c>
      <c r="M3806" s="2" t="s">
        <v>119</v>
      </c>
      <c r="N3806" s="4" t="s">
        <v>119</v>
      </c>
      <c r="O3806" s="5">
        <v>15.0075</v>
      </c>
    </row>
    <row r="3807" spans="2:15" x14ac:dyDescent="0.25">
      <c r="B3807" s="6" t="s">
        <v>1520</v>
      </c>
      <c r="C3807" s="7" t="s">
        <v>196</v>
      </c>
      <c r="D3807" s="8" t="s">
        <v>4641</v>
      </c>
      <c r="E3807" s="8" t="s">
        <v>102</v>
      </c>
      <c r="F3807" s="12">
        <v>45302</v>
      </c>
      <c r="G3807" s="13">
        <v>1</v>
      </c>
      <c r="H3807" s="13">
        <v>2024</v>
      </c>
      <c r="I3807" s="8" t="s">
        <v>4</v>
      </c>
      <c r="J3807" s="7" t="s">
        <v>4642</v>
      </c>
      <c r="K3807" s="8" t="s">
        <v>4643</v>
      </c>
      <c r="L3807" s="8" t="s">
        <v>4644</v>
      </c>
      <c r="M3807" s="8" t="s">
        <v>119</v>
      </c>
      <c r="N3807" s="10" t="s">
        <v>119</v>
      </c>
      <c r="O3807" s="11">
        <v>0.15</v>
      </c>
    </row>
    <row r="3808" spans="2:15" x14ac:dyDescent="0.25">
      <c r="B3808" s="1" t="s">
        <v>1520</v>
      </c>
      <c r="C3808" s="2" t="s">
        <v>196</v>
      </c>
      <c r="D3808" s="2" t="s">
        <v>207</v>
      </c>
      <c r="E3808" s="2" t="s">
        <v>208</v>
      </c>
      <c r="F3808" s="3">
        <v>45303</v>
      </c>
      <c r="G3808" s="4">
        <v>1</v>
      </c>
      <c r="H3808" s="4">
        <v>2024</v>
      </c>
      <c r="I3808" s="2" t="s">
        <v>4</v>
      </c>
      <c r="J3808" s="2" t="s">
        <v>4645</v>
      </c>
      <c r="K3808" s="2" t="s">
        <v>205</v>
      </c>
      <c r="L3808" s="2" t="s">
        <v>206</v>
      </c>
      <c r="M3808" s="2" t="s">
        <v>119</v>
      </c>
      <c r="N3808" s="4" t="s">
        <v>119</v>
      </c>
      <c r="O3808" s="5">
        <v>2.0024999999999999</v>
      </c>
    </row>
    <row r="3809" spans="2:15" x14ac:dyDescent="0.25">
      <c r="B3809" s="1" t="s">
        <v>1520</v>
      </c>
      <c r="C3809" s="2" t="s">
        <v>196</v>
      </c>
      <c r="D3809" s="2" t="s">
        <v>207</v>
      </c>
      <c r="E3809" s="2" t="s">
        <v>208</v>
      </c>
      <c r="F3809" s="3">
        <v>45303</v>
      </c>
      <c r="G3809" s="4">
        <v>1</v>
      </c>
      <c r="H3809" s="4">
        <v>2024</v>
      </c>
      <c r="I3809" s="2" t="s">
        <v>4</v>
      </c>
      <c r="J3809" s="2" t="s">
        <v>4646</v>
      </c>
      <c r="K3809" s="2" t="s">
        <v>236</v>
      </c>
      <c r="L3809" s="2" t="s">
        <v>237</v>
      </c>
      <c r="M3809" s="2" t="s">
        <v>119</v>
      </c>
      <c r="N3809" s="4" t="s">
        <v>119</v>
      </c>
      <c r="O3809" s="5">
        <v>6.2549999999999999</v>
      </c>
    </row>
    <row r="3810" spans="2:15" x14ac:dyDescent="0.25">
      <c r="B3810" s="1" t="s">
        <v>1520</v>
      </c>
      <c r="C3810" s="2" t="s">
        <v>196</v>
      </c>
      <c r="D3810" s="2" t="s">
        <v>248</v>
      </c>
      <c r="E3810" s="2" t="s">
        <v>3610</v>
      </c>
      <c r="F3810" s="3">
        <v>45303</v>
      </c>
      <c r="G3810" s="4">
        <v>1</v>
      </c>
      <c r="H3810" s="4">
        <v>2024</v>
      </c>
      <c r="I3810" s="2" t="s">
        <v>4</v>
      </c>
      <c r="J3810" s="2" t="s">
        <v>4647</v>
      </c>
      <c r="K3810" s="2" t="s">
        <v>117</v>
      </c>
      <c r="L3810" s="2" t="s">
        <v>118</v>
      </c>
      <c r="M3810" s="2" t="s">
        <v>119</v>
      </c>
      <c r="N3810" s="4" t="s">
        <v>119</v>
      </c>
      <c r="O3810" s="5">
        <v>5.0075000000000003</v>
      </c>
    </row>
    <row r="3811" spans="2:15" x14ac:dyDescent="0.25">
      <c r="B3811" s="1" t="s">
        <v>1520</v>
      </c>
      <c r="C3811" s="2" t="s">
        <v>196</v>
      </c>
      <c r="D3811" s="2" t="s">
        <v>224</v>
      </c>
      <c r="E3811" s="2" t="s">
        <v>895</v>
      </c>
      <c r="F3811" s="3">
        <v>45303</v>
      </c>
      <c r="G3811" s="4">
        <v>1</v>
      </c>
      <c r="H3811" s="4">
        <v>2024</v>
      </c>
      <c r="I3811" s="2" t="s">
        <v>4</v>
      </c>
      <c r="J3811" s="2" t="s">
        <v>4648</v>
      </c>
      <c r="K3811" s="2" t="s">
        <v>626</v>
      </c>
      <c r="L3811" s="2" t="s">
        <v>627</v>
      </c>
      <c r="M3811" s="2" t="s">
        <v>119</v>
      </c>
      <c r="N3811" s="4" t="s">
        <v>119</v>
      </c>
      <c r="O3811" s="5">
        <v>2.5</v>
      </c>
    </row>
    <row r="3812" spans="2:15" x14ac:dyDescent="0.25">
      <c r="B3812" s="1" t="s">
        <v>1520</v>
      </c>
      <c r="C3812" s="2" t="s">
        <v>196</v>
      </c>
      <c r="D3812" s="2" t="s">
        <v>232</v>
      </c>
      <c r="E3812" s="2" t="s">
        <v>778</v>
      </c>
      <c r="F3812" s="3">
        <v>45303</v>
      </c>
      <c r="G3812" s="4">
        <v>1</v>
      </c>
      <c r="H3812" s="4">
        <v>2024</v>
      </c>
      <c r="I3812" s="2" t="s">
        <v>4</v>
      </c>
      <c r="J3812" s="2" t="s">
        <v>4649</v>
      </c>
      <c r="K3812" s="2" t="s">
        <v>822</v>
      </c>
      <c r="L3812" s="2" t="s">
        <v>565</v>
      </c>
      <c r="M3812" s="2" t="s">
        <v>21</v>
      </c>
      <c r="N3812" s="4" t="s">
        <v>4532</v>
      </c>
      <c r="O3812" s="5">
        <v>250</v>
      </c>
    </row>
    <row r="3813" spans="2:15" x14ac:dyDescent="0.25">
      <c r="B3813" s="1" t="s">
        <v>1520</v>
      </c>
      <c r="C3813" s="2" t="s">
        <v>196</v>
      </c>
      <c r="D3813" s="2" t="s">
        <v>232</v>
      </c>
      <c r="E3813" s="2" t="s">
        <v>778</v>
      </c>
      <c r="F3813" s="3">
        <v>45303</v>
      </c>
      <c r="G3813" s="4">
        <v>1</v>
      </c>
      <c r="H3813" s="4">
        <v>2024</v>
      </c>
      <c r="I3813" s="2" t="s">
        <v>4</v>
      </c>
      <c r="J3813" s="2" t="s">
        <v>4649</v>
      </c>
      <c r="K3813" s="2" t="s">
        <v>823</v>
      </c>
      <c r="L3813" s="2" t="s">
        <v>776</v>
      </c>
      <c r="M3813" s="2" t="s">
        <v>82</v>
      </c>
      <c r="N3813" s="4" t="s">
        <v>4532</v>
      </c>
      <c r="O3813" s="5">
        <v>250</v>
      </c>
    </row>
    <row r="3814" spans="2:15" x14ac:dyDescent="0.25">
      <c r="B3814" s="1" t="s">
        <v>1520</v>
      </c>
      <c r="C3814" s="2" t="s">
        <v>196</v>
      </c>
      <c r="D3814" s="2" t="s">
        <v>253</v>
      </c>
      <c r="E3814" s="2" t="s">
        <v>141</v>
      </c>
      <c r="F3814" s="3">
        <v>45303</v>
      </c>
      <c r="G3814" s="4">
        <v>1</v>
      </c>
      <c r="H3814" s="4">
        <v>2024</v>
      </c>
      <c r="I3814" s="2" t="s">
        <v>4</v>
      </c>
      <c r="J3814" s="2" t="s">
        <v>4650</v>
      </c>
      <c r="K3814" s="2" t="s">
        <v>3236</v>
      </c>
      <c r="L3814" s="2" t="s">
        <v>3237</v>
      </c>
      <c r="M3814" s="2" t="s">
        <v>1472</v>
      </c>
      <c r="N3814" s="4" t="s">
        <v>4532</v>
      </c>
      <c r="O3814" s="5">
        <v>25</v>
      </c>
    </row>
    <row r="3815" spans="2:15" x14ac:dyDescent="0.25">
      <c r="B3815" s="1" t="s">
        <v>1520</v>
      </c>
      <c r="C3815" s="2" t="s">
        <v>196</v>
      </c>
      <c r="D3815" s="2" t="s">
        <v>374</v>
      </c>
      <c r="E3815" s="2" t="s">
        <v>710</v>
      </c>
      <c r="F3815" s="3">
        <v>45303</v>
      </c>
      <c r="G3815" s="4">
        <v>1</v>
      </c>
      <c r="H3815" s="4">
        <v>2024</v>
      </c>
      <c r="I3815" s="2" t="s">
        <v>4</v>
      </c>
      <c r="J3815" s="2" t="s">
        <v>4651</v>
      </c>
      <c r="K3815" s="2" t="s">
        <v>122</v>
      </c>
      <c r="L3815" s="2" t="s">
        <v>123</v>
      </c>
      <c r="M3815" s="2" t="s">
        <v>119</v>
      </c>
      <c r="N3815" s="4" t="s">
        <v>119</v>
      </c>
      <c r="O3815" s="5">
        <v>2.5</v>
      </c>
    </row>
    <row r="3816" spans="2:15" x14ac:dyDescent="0.25">
      <c r="B3816" s="1" t="s">
        <v>1520</v>
      </c>
      <c r="C3816" s="2" t="s">
        <v>196</v>
      </c>
      <c r="D3816" s="2" t="s">
        <v>660</v>
      </c>
      <c r="E3816" s="2" t="s">
        <v>661</v>
      </c>
      <c r="F3816" s="3">
        <v>45303</v>
      </c>
      <c r="G3816" s="4">
        <v>1</v>
      </c>
      <c r="H3816" s="4">
        <v>2024</v>
      </c>
      <c r="I3816" s="2" t="s">
        <v>4</v>
      </c>
      <c r="J3816" s="2" t="s">
        <v>4652</v>
      </c>
      <c r="K3816" s="2" t="s">
        <v>329</v>
      </c>
      <c r="L3816" s="2" t="s">
        <v>330</v>
      </c>
      <c r="M3816" s="2" t="s">
        <v>119</v>
      </c>
      <c r="N3816" s="4" t="s">
        <v>119</v>
      </c>
      <c r="O3816" s="5">
        <v>4.0250000000000004</v>
      </c>
    </row>
    <row r="3817" spans="2:15" x14ac:dyDescent="0.25">
      <c r="B3817" s="1" t="s">
        <v>1520</v>
      </c>
      <c r="C3817" s="2" t="s">
        <v>196</v>
      </c>
      <c r="D3817" s="2" t="s">
        <v>215</v>
      </c>
      <c r="E3817" s="2" t="s">
        <v>4113</v>
      </c>
      <c r="F3817" s="3">
        <v>45303</v>
      </c>
      <c r="G3817" s="4">
        <v>1</v>
      </c>
      <c r="H3817" s="4">
        <v>2024</v>
      </c>
      <c r="I3817" s="2" t="s">
        <v>4</v>
      </c>
      <c r="J3817" s="2" t="s">
        <v>4653</v>
      </c>
      <c r="K3817" s="2" t="s">
        <v>334</v>
      </c>
      <c r="L3817" s="2" t="s">
        <v>335</v>
      </c>
      <c r="M3817" s="2" t="s">
        <v>119</v>
      </c>
      <c r="N3817" s="4" t="s">
        <v>119</v>
      </c>
      <c r="O3817" s="5">
        <v>10.02</v>
      </c>
    </row>
    <row r="3818" spans="2:15" x14ac:dyDescent="0.25">
      <c r="B3818" s="1" t="s">
        <v>1520</v>
      </c>
      <c r="C3818" s="2" t="s">
        <v>196</v>
      </c>
      <c r="D3818" s="2" t="s">
        <v>232</v>
      </c>
      <c r="E3818" s="2" t="s">
        <v>778</v>
      </c>
      <c r="F3818" s="3">
        <v>45303</v>
      </c>
      <c r="G3818" s="4">
        <v>1</v>
      </c>
      <c r="H3818" s="4">
        <v>2024</v>
      </c>
      <c r="I3818" s="2" t="s">
        <v>4</v>
      </c>
      <c r="J3818" s="2" t="s">
        <v>4654</v>
      </c>
      <c r="K3818" s="2" t="s">
        <v>205</v>
      </c>
      <c r="L3818" s="2" t="s">
        <v>206</v>
      </c>
      <c r="M3818" s="2" t="s">
        <v>119</v>
      </c>
      <c r="N3818" s="4" t="s">
        <v>119</v>
      </c>
      <c r="O3818" s="5">
        <v>5</v>
      </c>
    </row>
    <row r="3819" spans="2:15" x14ac:dyDescent="0.25">
      <c r="B3819" s="1" t="s">
        <v>1520</v>
      </c>
      <c r="C3819" s="2" t="s">
        <v>196</v>
      </c>
      <c r="D3819" s="2" t="s">
        <v>215</v>
      </c>
      <c r="E3819" s="2" t="s">
        <v>701</v>
      </c>
      <c r="F3819" s="3">
        <v>45306</v>
      </c>
      <c r="G3819" s="4">
        <v>1</v>
      </c>
      <c r="H3819" s="4">
        <v>2024</v>
      </c>
      <c r="I3819" s="2" t="s">
        <v>4</v>
      </c>
      <c r="J3819" s="2" t="s">
        <v>4655</v>
      </c>
      <c r="K3819" s="2" t="s">
        <v>447</v>
      </c>
      <c r="L3819" s="2" t="s">
        <v>448</v>
      </c>
      <c r="M3819" s="2" t="s">
        <v>119</v>
      </c>
      <c r="N3819" s="4" t="s">
        <v>119</v>
      </c>
      <c r="O3819" s="5">
        <v>2.5125000000000002</v>
      </c>
    </row>
    <row r="3820" spans="2:15" x14ac:dyDescent="0.25">
      <c r="B3820" s="1" t="s">
        <v>1520</v>
      </c>
      <c r="C3820" s="2" t="s">
        <v>196</v>
      </c>
      <c r="D3820" s="2" t="s">
        <v>387</v>
      </c>
      <c r="E3820" s="2" t="s">
        <v>797</v>
      </c>
      <c r="F3820" s="3">
        <v>45306</v>
      </c>
      <c r="G3820" s="4">
        <v>1</v>
      </c>
      <c r="H3820" s="4">
        <v>2024</v>
      </c>
      <c r="I3820" s="2" t="s">
        <v>4</v>
      </c>
      <c r="J3820" s="2" t="s">
        <v>4656</v>
      </c>
      <c r="K3820" s="2" t="s">
        <v>3946</v>
      </c>
      <c r="L3820" s="2" t="s">
        <v>916</v>
      </c>
      <c r="M3820" s="2" t="s">
        <v>917</v>
      </c>
      <c r="N3820" s="4" t="s">
        <v>4532</v>
      </c>
      <c r="O3820" s="5">
        <v>250</v>
      </c>
    </row>
    <row r="3821" spans="2:15" x14ac:dyDescent="0.25">
      <c r="B3821" s="1" t="s">
        <v>1520</v>
      </c>
      <c r="C3821" s="2" t="s">
        <v>196</v>
      </c>
      <c r="D3821" s="2" t="s">
        <v>440</v>
      </c>
      <c r="E3821" s="2" t="s">
        <v>1274</v>
      </c>
      <c r="F3821" s="3">
        <v>45306</v>
      </c>
      <c r="G3821" s="4">
        <v>1</v>
      </c>
      <c r="H3821" s="4">
        <v>2024</v>
      </c>
      <c r="I3821" s="2" t="s">
        <v>4</v>
      </c>
      <c r="J3821" s="2" t="s">
        <v>4657</v>
      </c>
      <c r="K3821" s="2" t="s">
        <v>3946</v>
      </c>
      <c r="L3821" s="2" t="s">
        <v>916</v>
      </c>
      <c r="M3821" s="2" t="s">
        <v>917</v>
      </c>
      <c r="N3821" s="4" t="s">
        <v>4532</v>
      </c>
      <c r="O3821" s="5">
        <v>250</v>
      </c>
    </row>
    <row r="3822" spans="2:15" x14ac:dyDescent="0.25">
      <c r="B3822" s="1" t="s">
        <v>1520</v>
      </c>
      <c r="C3822" s="2" t="s">
        <v>196</v>
      </c>
      <c r="D3822" s="2" t="s">
        <v>114</v>
      </c>
      <c r="E3822" s="2" t="s">
        <v>927</v>
      </c>
      <c r="F3822" s="3">
        <v>45306</v>
      </c>
      <c r="G3822" s="4">
        <v>1</v>
      </c>
      <c r="H3822" s="4">
        <v>2024</v>
      </c>
      <c r="I3822" s="2" t="s">
        <v>4</v>
      </c>
      <c r="J3822" s="2" t="s">
        <v>4658</v>
      </c>
      <c r="K3822" s="2" t="s">
        <v>117</v>
      </c>
      <c r="L3822" s="2" t="s">
        <v>118</v>
      </c>
      <c r="M3822" s="2" t="s">
        <v>119</v>
      </c>
      <c r="N3822" s="4" t="s">
        <v>119</v>
      </c>
      <c r="O3822" s="5">
        <v>4.5075000000000003</v>
      </c>
    </row>
    <row r="3823" spans="2:15" x14ac:dyDescent="0.25">
      <c r="B3823" s="1" t="s">
        <v>1520</v>
      </c>
      <c r="C3823" s="2" t="s">
        <v>196</v>
      </c>
      <c r="D3823" s="2" t="s">
        <v>114</v>
      </c>
      <c r="E3823" s="2" t="s">
        <v>3751</v>
      </c>
      <c r="F3823" s="3">
        <v>45306</v>
      </c>
      <c r="G3823" s="4">
        <v>1</v>
      </c>
      <c r="H3823" s="4">
        <v>2024</v>
      </c>
      <c r="I3823" s="2" t="s">
        <v>4</v>
      </c>
      <c r="J3823" s="2" t="s">
        <v>4659</v>
      </c>
      <c r="K3823" s="2" t="s">
        <v>117</v>
      </c>
      <c r="L3823" s="2" t="s">
        <v>118</v>
      </c>
      <c r="M3823" s="2" t="s">
        <v>119</v>
      </c>
      <c r="N3823" s="4" t="s">
        <v>119</v>
      </c>
      <c r="O3823" s="5">
        <v>4.5149999999999997</v>
      </c>
    </row>
    <row r="3824" spans="2:15" x14ac:dyDescent="0.25">
      <c r="B3824" s="1" t="s">
        <v>1520</v>
      </c>
      <c r="C3824" s="2" t="s">
        <v>196</v>
      </c>
      <c r="D3824" s="2" t="s">
        <v>303</v>
      </c>
      <c r="E3824" s="2" t="s">
        <v>501</v>
      </c>
      <c r="F3824" s="3">
        <v>45306</v>
      </c>
      <c r="G3824" s="4">
        <v>1</v>
      </c>
      <c r="H3824" s="4">
        <v>2024</v>
      </c>
      <c r="I3824" s="2" t="s">
        <v>4</v>
      </c>
      <c r="J3824" s="2" t="s">
        <v>4660</v>
      </c>
      <c r="K3824" s="2" t="s">
        <v>4428</v>
      </c>
      <c r="L3824" s="2" t="s">
        <v>4429</v>
      </c>
      <c r="M3824" s="2" t="s">
        <v>119</v>
      </c>
      <c r="N3824" s="4" t="s">
        <v>119</v>
      </c>
      <c r="O3824" s="5">
        <v>10.02</v>
      </c>
    </row>
    <row r="3825" spans="2:15" x14ac:dyDescent="0.25">
      <c r="B3825" s="1" t="s">
        <v>1520</v>
      </c>
      <c r="C3825" s="2" t="s">
        <v>196</v>
      </c>
      <c r="D3825" s="2" t="s">
        <v>303</v>
      </c>
      <c r="E3825" s="2" t="s">
        <v>501</v>
      </c>
      <c r="F3825" s="3">
        <v>45306</v>
      </c>
      <c r="G3825" s="4">
        <v>1</v>
      </c>
      <c r="H3825" s="4">
        <v>2024</v>
      </c>
      <c r="I3825" s="2" t="s">
        <v>4</v>
      </c>
      <c r="J3825" s="2" t="s">
        <v>4660</v>
      </c>
      <c r="K3825" s="2" t="s">
        <v>3726</v>
      </c>
      <c r="L3825" s="2" t="s">
        <v>3727</v>
      </c>
      <c r="M3825" s="2" t="s">
        <v>145</v>
      </c>
      <c r="N3825" s="4" t="s">
        <v>4532</v>
      </c>
      <c r="O3825" s="5">
        <v>3.75</v>
      </c>
    </row>
    <row r="3826" spans="2:15" x14ac:dyDescent="0.25">
      <c r="B3826" s="1" t="s">
        <v>1520</v>
      </c>
      <c r="C3826" s="2" t="s">
        <v>196</v>
      </c>
      <c r="D3826" s="2" t="s">
        <v>660</v>
      </c>
      <c r="E3826" s="2" t="s">
        <v>699</v>
      </c>
      <c r="F3826" s="3">
        <v>45306</v>
      </c>
      <c r="G3826" s="4">
        <v>1</v>
      </c>
      <c r="H3826" s="4">
        <v>2024</v>
      </c>
      <c r="I3826" s="2" t="s">
        <v>4</v>
      </c>
      <c r="J3826" s="2" t="s">
        <v>4661</v>
      </c>
      <c r="K3826" s="2" t="s">
        <v>447</v>
      </c>
      <c r="L3826" s="2" t="s">
        <v>448</v>
      </c>
      <c r="M3826" s="2" t="s">
        <v>119</v>
      </c>
      <c r="N3826" s="4" t="s">
        <v>119</v>
      </c>
      <c r="O3826" s="5">
        <v>2.4900000000000002</v>
      </c>
    </row>
    <row r="3827" spans="2:15" x14ac:dyDescent="0.25">
      <c r="B3827" s="1" t="s">
        <v>1520</v>
      </c>
      <c r="C3827" s="2" t="s">
        <v>196</v>
      </c>
      <c r="D3827" s="2" t="s">
        <v>973</v>
      </c>
      <c r="E3827" s="2" t="s">
        <v>974</v>
      </c>
      <c r="F3827" s="3">
        <v>45306</v>
      </c>
      <c r="G3827" s="4">
        <v>1</v>
      </c>
      <c r="H3827" s="4">
        <v>2024</v>
      </c>
      <c r="I3827" s="2" t="s">
        <v>4</v>
      </c>
      <c r="J3827" s="2" t="s">
        <v>4662</v>
      </c>
      <c r="K3827" s="2" t="s">
        <v>122</v>
      </c>
      <c r="L3827" s="2" t="s">
        <v>123</v>
      </c>
      <c r="M3827" s="2" t="s">
        <v>119</v>
      </c>
      <c r="N3827" s="4" t="s">
        <v>119</v>
      </c>
      <c r="O3827" s="5">
        <v>0.76</v>
      </c>
    </row>
    <row r="3828" spans="2:15" x14ac:dyDescent="0.25">
      <c r="B3828" s="1" t="s">
        <v>1520</v>
      </c>
      <c r="C3828" s="2" t="s">
        <v>196</v>
      </c>
      <c r="D3828" s="2" t="s">
        <v>973</v>
      </c>
      <c r="E3828" s="2" t="s">
        <v>974</v>
      </c>
      <c r="F3828" s="3">
        <v>45306</v>
      </c>
      <c r="G3828" s="4">
        <v>1</v>
      </c>
      <c r="H3828" s="4">
        <v>2024</v>
      </c>
      <c r="I3828" s="2" t="s">
        <v>4</v>
      </c>
      <c r="J3828" s="2" t="s">
        <v>4663</v>
      </c>
      <c r="K3828" s="2" t="s">
        <v>200</v>
      </c>
      <c r="L3828" s="2" t="s">
        <v>201</v>
      </c>
      <c r="M3828" s="2" t="s">
        <v>202</v>
      </c>
      <c r="N3828" s="4" t="s">
        <v>4532</v>
      </c>
      <c r="O3828" s="5">
        <v>5</v>
      </c>
    </row>
    <row r="3829" spans="2:15" x14ac:dyDescent="0.25">
      <c r="B3829" s="1" t="s">
        <v>1520</v>
      </c>
      <c r="C3829" s="2" t="s">
        <v>196</v>
      </c>
      <c r="D3829" s="2" t="s">
        <v>294</v>
      </c>
      <c r="E3829" s="2" t="s">
        <v>295</v>
      </c>
      <c r="F3829" s="3">
        <v>45307</v>
      </c>
      <c r="G3829" s="4">
        <v>1</v>
      </c>
      <c r="H3829" s="4">
        <v>2024</v>
      </c>
      <c r="I3829" s="2" t="s">
        <v>4</v>
      </c>
      <c r="J3829" s="2" t="s">
        <v>4664</v>
      </c>
      <c r="K3829" s="2" t="s">
        <v>122</v>
      </c>
      <c r="L3829" s="2" t="s">
        <v>123</v>
      </c>
      <c r="M3829" s="2" t="s">
        <v>119</v>
      </c>
      <c r="N3829" s="4" t="s">
        <v>119</v>
      </c>
      <c r="O3829" s="5">
        <v>7.5</v>
      </c>
    </row>
    <row r="3830" spans="2:15" x14ac:dyDescent="0.25">
      <c r="B3830" s="1" t="s">
        <v>1520</v>
      </c>
      <c r="C3830" s="2" t="s">
        <v>196</v>
      </c>
      <c r="D3830" s="2" t="s">
        <v>452</v>
      </c>
      <c r="E3830" s="2" t="s">
        <v>453</v>
      </c>
      <c r="F3830" s="3">
        <v>45307</v>
      </c>
      <c r="G3830" s="4">
        <v>1</v>
      </c>
      <c r="H3830" s="4">
        <v>2024</v>
      </c>
      <c r="I3830" s="2" t="s">
        <v>4</v>
      </c>
      <c r="J3830" s="2" t="s">
        <v>4665</v>
      </c>
      <c r="K3830" s="2" t="s">
        <v>117</v>
      </c>
      <c r="L3830" s="2" t="s">
        <v>118</v>
      </c>
      <c r="M3830" s="2" t="s">
        <v>119</v>
      </c>
      <c r="N3830" s="4" t="s">
        <v>119</v>
      </c>
      <c r="O3830" s="5">
        <v>5</v>
      </c>
    </row>
    <row r="3831" spans="2:15" x14ac:dyDescent="0.25">
      <c r="B3831" s="1" t="s">
        <v>1520</v>
      </c>
      <c r="C3831" s="2" t="s">
        <v>196</v>
      </c>
      <c r="D3831" s="2" t="s">
        <v>3761</v>
      </c>
      <c r="E3831" s="2" t="s">
        <v>3762</v>
      </c>
      <c r="F3831" s="3">
        <v>45307</v>
      </c>
      <c r="G3831" s="4">
        <v>1</v>
      </c>
      <c r="H3831" s="4">
        <v>2024</v>
      </c>
      <c r="I3831" s="2" t="s">
        <v>4</v>
      </c>
      <c r="J3831" s="2" t="s">
        <v>4666</v>
      </c>
      <c r="K3831" s="2" t="s">
        <v>329</v>
      </c>
      <c r="L3831" s="2" t="s">
        <v>330</v>
      </c>
      <c r="M3831" s="2" t="s">
        <v>119</v>
      </c>
      <c r="N3831" s="4" t="s">
        <v>119</v>
      </c>
      <c r="O3831" s="5">
        <v>5</v>
      </c>
    </row>
    <row r="3832" spans="2:15" x14ac:dyDescent="0.25">
      <c r="B3832" s="1" t="s">
        <v>1520</v>
      </c>
      <c r="C3832" s="2" t="s">
        <v>196</v>
      </c>
      <c r="D3832" s="2" t="s">
        <v>114</v>
      </c>
      <c r="E3832" s="2" t="s">
        <v>115</v>
      </c>
      <c r="F3832" s="3">
        <v>45307</v>
      </c>
      <c r="G3832" s="4">
        <v>1</v>
      </c>
      <c r="H3832" s="4">
        <v>2024</v>
      </c>
      <c r="I3832" s="2" t="s">
        <v>4</v>
      </c>
      <c r="J3832" s="2" t="s">
        <v>4667</v>
      </c>
      <c r="K3832" s="2" t="s">
        <v>117</v>
      </c>
      <c r="L3832" s="2" t="s">
        <v>118</v>
      </c>
      <c r="M3832" s="2" t="s">
        <v>119</v>
      </c>
      <c r="N3832" s="4" t="s">
        <v>119</v>
      </c>
      <c r="O3832" s="5">
        <v>2.5</v>
      </c>
    </row>
    <row r="3833" spans="2:15" x14ac:dyDescent="0.25">
      <c r="B3833" s="1" t="s">
        <v>1520</v>
      </c>
      <c r="C3833" s="2" t="s">
        <v>196</v>
      </c>
      <c r="D3833" s="2" t="s">
        <v>663</v>
      </c>
      <c r="E3833" s="2" t="s">
        <v>222</v>
      </c>
      <c r="F3833" s="3">
        <v>45307</v>
      </c>
      <c r="G3833" s="4">
        <v>1</v>
      </c>
      <c r="H3833" s="4">
        <v>2024</v>
      </c>
      <c r="I3833" s="2" t="s">
        <v>4</v>
      </c>
      <c r="J3833" s="2" t="s">
        <v>4668</v>
      </c>
      <c r="K3833" s="2" t="s">
        <v>307</v>
      </c>
      <c r="L3833" s="2" t="s">
        <v>308</v>
      </c>
      <c r="M3833" s="2" t="s">
        <v>119</v>
      </c>
      <c r="N3833" s="4" t="s">
        <v>119</v>
      </c>
      <c r="O3833" s="5">
        <v>1.5</v>
      </c>
    </row>
    <row r="3834" spans="2:15" x14ac:dyDescent="0.25">
      <c r="B3834" s="1" t="s">
        <v>1520</v>
      </c>
      <c r="C3834" s="2" t="s">
        <v>196</v>
      </c>
      <c r="D3834" s="2" t="s">
        <v>904</v>
      </c>
      <c r="E3834" s="2" t="s">
        <v>141</v>
      </c>
      <c r="F3834" s="3">
        <v>45307</v>
      </c>
      <c r="G3834" s="4">
        <v>1</v>
      </c>
      <c r="H3834" s="4">
        <v>2024</v>
      </c>
      <c r="I3834" s="2" t="s">
        <v>4</v>
      </c>
      <c r="J3834" s="2" t="s">
        <v>4669</v>
      </c>
      <c r="K3834" s="2" t="s">
        <v>775</v>
      </c>
      <c r="L3834" s="2" t="s">
        <v>776</v>
      </c>
      <c r="M3834" s="2" t="s">
        <v>82</v>
      </c>
      <c r="N3834" s="4" t="s">
        <v>4532</v>
      </c>
      <c r="O3834" s="5">
        <v>60</v>
      </c>
    </row>
    <row r="3835" spans="2:15" x14ac:dyDescent="0.25">
      <c r="B3835" s="1" t="s">
        <v>1520</v>
      </c>
      <c r="C3835" s="2" t="s">
        <v>196</v>
      </c>
      <c r="D3835" s="2" t="s">
        <v>904</v>
      </c>
      <c r="E3835" s="2" t="s">
        <v>684</v>
      </c>
      <c r="F3835" s="3">
        <v>45307</v>
      </c>
      <c r="G3835" s="4">
        <v>1</v>
      </c>
      <c r="H3835" s="4">
        <v>2024</v>
      </c>
      <c r="I3835" s="2" t="s">
        <v>4</v>
      </c>
      <c r="J3835" s="2" t="s">
        <v>4670</v>
      </c>
      <c r="K3835" s="2" t="s">
        <v>649</v>
      </c>
      <c r="L3835" s="2" t="s">
        <v>538</v>
      </c>
      <c r="M3835" s="2" t="s">
        <v>4243</v>
      </c>
      <c r="N3835" s="4" t="s">
        <v>4532</v>
      </c>
      <c r="O3835" s="5">
        <v>250</v>
      </c>
    </row>
    <row r="3836" spans="2:15" x14ac:dyDescent="0.25">
      <c r="B3836" s="1" t="s">
        <v>1520</v>
      </c>
      <c r="C3836" s="2" t="s">
        <v>196</v>
      </c>
      <c r="D3836" s="2" t="s">
        <v>280</v>
      </c>
      <c r="E3836" s="2" t="s">
        <v>254</v>
      </c>
      <c r="F3836" s="3">
        <v>45307</v>
      </c>
      <c r="G3836" s="4">
        <v>1</v>
      </c>
      <c r="H3836" s="4">
        <v>2024</v>
      </c>
      <c r="I3836" s="2" t="s">
        <v>4</v>
      </c>
      <c r="J3836" s="2" t="s">
        <v>4671</v>
      </c>
      <c r="K3836" s="2" t="s">
        <v>4672</v>
      </c>
      <c r="L3836" s="2" t="s">
        <v>1703</v>
      </c>
      <c r="M3836" s="2" t="s">
        <v>1071</v>
      </c>
      <c r="N3836" s="4" t="s">
        <v>4532</v>
      </c>
      <c r="O3836" s="5">
        <v>500</v>
      </c>
    </row>
    <row r="3837" spans="2:15" x14ac:dyDescent="0.25">
      <c r="B3837" s="1" t="s">
        <v>1520</v>
      </c>
      <c r="C3837" s="2" t="s">
        <v>196</v>
      </c>
      <c r="D3837" s="2" t="s">
        <v>299</v>
      </c>
      <c r="E3837" s="2" t="s">
        <v>4673</v>
      </c>
      <c r="F3837" s="3">
        <v>45307</v>
      </c>
      <c r="G3837" s="4">
        <v>1</v>
      </c>
      <c r="H3837" s="4">
        <v>2024</v>
      </c>
      <c r="I3837" s="2" t="s">
        <v>4</v>
      </c>
      <c r="J3837" s="2" t="s">
        <v>4674</v>
      </c>
      <c r="K3837" s="2" t="s">
        <v>4675</v>
      </c>
      <c r="L3837" s="2" t="s">
        <v>1703</v>
      </c>
      <c r="M3837" s="2" t="s">
        <v>1071</v>
      </c>
      <c r="N3837" s="4" t="s">
        <v>4532</v>
      </c>
      <c r="O3837" s="5">
        <v>100</v>
      </c>
    </row>
    <row r="3838" spans="2:15" x14ac:dyDescent="0.25">
      <c r="B3838" s="1" t="s">
        <v>1520</v>
      </c>
      <c r="C3838" s="2" t="s">
        <v>196</v>
      </c>
      <c r="D3838" s="2" t="s">
        <v>317</v>
      </c>
      <c r="E3838" s="2" t="s">
        <v>677</v>
      </c>
      <c r="F3838" s="3">
        <v>45307</v>
      </c>
      <c r="G3838" s="4">
        <v>1</v>
      </c>
      <c r="H3838" s="4">
        <v>2024</v>
      </c>
      <c r="I3838" s="2" t="s">
        <v>4</v>
      </c>
      <c r="J3838" s="2" t="s">
        <v>4676</v>
      </c>
      <c r="K3838" s="2" t="s">
        <v>4675</v>
      </c>
      <c r="L3838" s="2" t="s">
        <v>1703</v>
      </c>
      <c r="M3838" s="2" t="s">
        <v>1071</v>
      </c>
      <c r="N3838" s="4" t="s">
        <v>4532</v>
      </c>
      <c r="O3838" s="5">
        <v>75</v>
      </c>
    </row>
    <row r="3839" spans="2:15" x14ac:dyDescent="0.25">
      <c r="B3839" s="1" t="s">
        <v>1520</v>
      </c>
      <c r="C3839" s="2" t="s">
        <v>196</v>
      </c>
      <c r="D3839" s="2" t="s">
        <v>1216</v>
      </c>
      <c r="E3839" s="2" t="s">
        <v>4677</v>
      </c>
      <c r="F3839" s="3">
        <v>45307</v>
      </c>
      <c r="G3839" s="4">
        <v>1</v>
      </c>
      <c r="H3839" s="4">
        <v>2024</v>
      </c>
      <c r="I3839" s="2" t="s">
        <v>4</v>
      </c>
      <c r="J3839" s="2" t="s">
        <v>4678</v>
      </c>
      <c r="K3839" s="2" t="s">
        <v>4675</v>
      </c>
      <c r="L3839" s="2" t="s">
        <v>1703</v>
      </c>
      <c r="M3839" s="2" t="s">
        <v>1071</v>
      </c>
      <c r="N3839" s="4" t="s">
        <v>4532</v>
      </c>
      <c r="O3839" s="5">
        <v>90</v>
      </c>
    </row>
    <row r="3840" spans="2:15" x14ac:dyDescent="0.25">
      <c r="B3840" s="1" t="s">
        <v>1520</v>
      </c>
      <c r="C3840" s="2" t="s">
        <v>196</v>
      </c>
      <c r="D3840" s="2" t="s">
        <v>265</v>
      </c>
      <c r="E3840" s="2" t="s">
        <v>266</v>
      </c>
      <c r="F3840" s="3">
        <v>45307</v>
      </c>
      <c r="G3840" s="4">
        <v>1</v>
      </c>
      <c r="H3840" s="4">
        <v>2024</v>
      </c>
      <c r="I3840" s="2" t="s">
        <v>4</v>
      </c>
      <c r="J3840" s="2" t="s">
        <v>4679</v>
      </c>
      <c r="K3840" s="2" t="s">
        <v>268</v>
      </c>
      <c r="L3840" s="2" t="s">
        <v>269</v>
      </c>
      <c r="M3840" s="2" t="s">
        <v>119</v>
      </c>
      <c r="N3840" s="4" t="s">
        <v>119</v>
      </c>
      <c r="O3840" s="5">
        <v>0.15</v>
      </c>
    </row>
    <row r="3841" spans="2:15" x14ac:dyDescent="0.25">
      <c r="B3841" s="1" t="s">
        <v>1520</v>
      </c>
      <c r="C3841" s="2" t="s">
        <v>196</v>
      </c>
      <c r="D3841" s="2" t="s">
        <v>114</v>
      </c>
      <c r="E3841" s="2" t="s">
        <v>491</v>
      </c>
      <c r="F3841" s="3">
        <v>45307</v>
      </c>
      <c r="G3841" s="4">
        <v>1</v>
      </c>
      <c r="H3841" s="4">
        <v>2024</v>
      </c>
      <c r="I3841" s="2" t="s">
        <v>4</v>
      </c>
      <c r="J3841" s="2" t="s">
        <v>4680</v>
      </c>
      <c r="K3841" s="2" t="s">
        <v>117</v>
      </c>
      <c r="L3841" s="2" t="s">
        <v>118</v>
      </c>
      <c r="M3841" s="2" t="s">
        <v>119</v>
      </c>
      <c r="N3841" s="4" t="s">
        <v>119</v>
      </c>
      <c r="O3841" s="5">
        <v>2.5125000000000002</v>
      </c>
    </row>
    <row r="3842" spans="2:15" x14ac:dyDescent="0.25">
      <c r="B3842" s="1" t="s">
        <v>1520</v>
      </c>
      <c r="C3842" s="2" t="s">
        <v>196</v>
      </c>
      <c r="D3842" s="2" t="s">
        <v>114</v>
      </c>
      <c r="E3842" s="2" t="s">
        <v>402</v>
      </c>
      <c r="F3842" s="3">
        <v>45307</v>
      </c>
      <c r="G3842" s="4">
        <v>1</v>
      </c>
      <c r="H3842" s="4">
        <v>2024</v>
      </c>
      <c r="I3842" s="2" t="s">
        <v>4</v>
      </c>
      <c r="J3842" s="2" t="s">
        <v>4681</v>
      </c>
      <c r="K3842" s="2" t="s">
        <v>117</v>
      </c>
      <c r="L3842" s="2" t="s">
        <v>118</v>
      </c>
      <c r="M3842" s="2" t="s">
        <v>119</v>
      </c>
      <c r="N3842" s="4" t="s">
        <v>119</v>
      </c>
      <c r="O3842" s="5">
        <v>5.0075000000000003</v>
      </c>
    </row>
    <row r="3843" spans="2:15" x14ac:dyDescent="0.25">
      <c r="B3843" s="1" t="s">
        <v>1520</v>
      </c>
      <c r="C3843" s="2" t="s">
        <v>196</v>
      </c>
      <c r="D3843" s="2" t="s">
        <v>280</v>
      </c>
      <c r="E3843" s="2" t="s">
        <v>699</v>
      </c>
      <c r="F3843" s="3">
        <v>45307</v>
      </c>
      <c r="G3843" s="4">
        <v>1</v>
      </c>
      <c r="H3843" s="4">
        <v>2024</v>
      </c>
      <c r="I3843" s="2" t="s">
        <v>4</v>
      </c>
      <c r="J3843" s="2" t="s">
        <v>4682</v>
      </c>
      <c r="K3843" s="2" t="s">
        <v>117</v>
      </c>
      <c r="L3843" s="2" t="s">
        <v>118</v>
      </c>
      <c r="M3843" s="2" t="s">
        <v>119</v>
      </c>
      <c r="N3843" s="4" t="s">
        <v>119</v>
      </c>
      <c r="O3843" s="5">
        <v>10.01</v>
      </c>
    </row>
    <row r="3844" spans="2:15" x14ac:dyDescent="0.25">
      <c r="B3844" s="1" t="s">
        <v>1520</v>
      </c>
      <c r="C3844" s="2" t="s">
        <v>196</v>
      </c>
      <c r="D3844" s="2" t="s">
        <v>114</v>
      </c>
      <c r="E3844" s="2" t="s">
        <v>336</v>
      </c>
      <c r="F3844" s="3">
        <v>45307</v>
      </c>
      <c r="G3844" s="4">
        <v>1</v>
      </c>
      <c r="H3844" s="4">
        <v>2024</v>
      </c>
      <c r="I3844" s="2" t="s">
        <v>4</v>
      </c>
      <c r="J3844" s="2" t="s">
        <v>4683</v>
      </c>
      <c r="K3844" s="2" t="s">
        <v>117</v>
      </c>
      <c r="L3844" s="2" t="s">
        <v>118</v>
      </c>
      <c r="M3844" s="2" t="s">
        <v>119</v>
      </c>
      <c r="N3844" s="4" t="s">
        <v>119</v>
      </c>
      <c r="O3844" s="5">
        <v>7.0125000000000002</v>
      </c>
    </row>
    <row r="3845" spans="2:15" x14ac:dyDescent="0.25">
      <c r="B3845" s="1" t="s">
        <v>1520</v>
      </c>
      <c r="C3845" s="2" t="s">
        <v>196</v>
      </c>
      <c r="D3845" s="2" t="s">
        <v>114</v>
      </c>
      <c r="E3845" s="2" t="s">
        <v>3751</v>
      </c>
      <c r="F3845" s="3">
        <v>45308</v>
      </c>
      <c r="G3845" s="4">
        <v>1</v>
      </c>
      <c r="H3845" s="4">
        <v>2024</v>
      </c>
      <c r="I3845" s="2" t="s">
        <v>4</v>
      </c>
      <c r="J3845" s="2" t="s">
        <v>4684</v>
      </c>
      <c r="K3845" s="2" t="s">
        <v>4675</v>
      </c>
      <c r="L3845" s="2" t="s">
        <v>1703</v>
      </c>
      <c r="M3845" s="2" t="s">
        <v>1071</v>
      </c>
      <c r="N3845" s="4" t="s">
        <v>4532</v>
      </c>
      <c r="O3845" s="5">
        <v>145</v>
      </c>
    </row>
    <row r="3846" spans="2:15" x14ac:dyDescent="0.25">
      <c r="B3846" s="1" t="s">
        <v>1520</v>
      </c>
      <c r="C3846" s="2" t="s">
        <v>196</v>
      </c>
      <c r="D3846" s="2" t="s">
        <v>270</v>
      </c>
      <c r="E3846" s="2" t="s">
        <v>875</v>
      </c>
      <c r="F3846" s="3">
        <v>45308</v>
      </c>
      <c r="G3846" s="4">
        <v>1</v>
      </c>
      <c r="H3846" s="4">
        <v>2024</v>
      </c>
      <c r="I3846" s="2" t="s">
        <v>4</v>
      </c>
      <c r="J3846" s="2" t="s">
        <v>4685</v>
      </c>
      <c r="K3846" s="2" t="s">
        <v>329</v>
      </c>
      <c r="L3846" s="2" t="s">
        <v>330</v>
      </c>
      <c r="M3846" s="2" t="s">
        <v>119</v>
      </c>
      <c r="N3846" s="4" t="s">
        <v>119</v>
      </c>
      <c r="O3846" s="5">
        <v>2.5</v>
      </c>
    </row>
    <row r="3847" spans="2:15" x14ac:dyDescent="0.25">
      <c r="B3847" s="1" t="s">
        <v>1520</v>
      </c>
      <c r="C3847" s="2" t="s">
        <v>196</v>
      </c>
      <c r="D3847" s="2" t="s">
        <v>227</v>
      </c>
      <c r="E3847" s="2" t="s">
        <v>757</v>
      </c>
      <c r="F3847" s="3">
        <v>45308</v>
      </c>
      <c r="G3847" s="4">
        <v>1</v>
      </c>
      <c r="H3847" s="4">
        <v>2024</v>
      </c>
      <c r="I3847" s="2" t="s">
        <v>4</v>
      </c>
      <c r="J3847" s="2" t="s">
        <v>4686</v>
      </c>
      <c r="K3847" s="2" t="s">
        <v>122</v>
      </c>
      <c r="L3847" s="2" t="s">
        <v>123</v>
      </c>
      <c r="M3847" s="2" t="s">
        <v>119</v>
      </c>
      <c r="N3847" s="4" t="s">
        <v>119</v>
      </c>
      <c r="O3847" s="5">
        <v>9.0050000000000008</v>
      </c>
    </row>
    <row r="3848" spans="2:15" x14ac:dyDescent="0.25">
      <c r="B3848" s="1" t="s">
        <v>1520</v>
      </c>
      <c r="C3848" s="2" t="s">
        <v>196</v>
      </c>
      <c r="D3848" s="2" t="s">
        <v>114</v>
      </c>
      <c r="E3848" s="2" t="s">
        <v>1304</v>
      </c>
      <c r="F3848" s="3">
        <v>45309</v>
      </c>
      <c r="G3848" s="4">
        <v>1</v>
      </c>
      <c r="H3848" s="4">
        <v>2024</v>
      </c>
      <c r="I3848" s="2" t="s">
        <v>4</v>
      </c>
      <c r="J3848" s="2" t="s">
        <v>4687</v>
      </c>
      <c r="K3848" s="2" t="s">
        <v>4675</v>
      </c>
      <c r="L3848" s="2" t="s">
        <v>1703</v>
      </c>
      <c r="M3848" s="2" t="s">
        <v>1071</v>
      </c>
      <c r="N3848" s="4" t="s">
        <v>4532</v>
      </c>
      <c r="O3848" s="5">
        <v>5</v>
      </c>
    </row>
    <row r="3849" spans="2:15" x14ac:dyDescent="0.25">
      <c r="B3849" s="1" t="s">
        <v>1520</v>
      </c>
      <c r="C3849" s="2" t="s">
        <v>196</v>
      </c>
      <c r="D3849" s="2" t="s">
        <v>437</v>
      </c>
      <c r="E3849" s="2" t="s">
        <v>738</v>
      </c>
      <c r="F3849" s="3">
        <v>45309</v>
      </c>
      <c r="G3849" s="4">
        <v>1</v>
      </c>
      <c r="H3849" s="4">
        <v>2024</v>
      </c>
      <c r="I3849" s="2" t="s">
        <v>4</v>
      </c>
      <c r="J3849" s="2" t="s">
        <v>4688</v>
      </c>
      <c r="K3849" s="2" t="s">
        <v>4675</v>
      </c>
      <c r="L3849" s="2" t="s">
        <v>1703</v>
      </c>
      <c r="M3849" s="2" t="s">
        <v>1071</v>
      </c>
      <c r="N3849" s="4" t="s">
        <v>4532</v>
      </c>
      <c r="O3849" s="5">
        <v>75</v>
      </c>
    </row>
    <row r="3850" spans="2:15" x14ac:dyDescent="0.25">
      <c r="B3850" s="1" t="s">
        <v>1520</v>
      </c>
      <c r="C3850" s="2" t="s">
        <v>196</v>
      </c>
      <c r="D3850" s="2" t="s">
        <v>437</v>
      </c>
      <c r="E3850" s="2" t="s">
        <v>738</v>
      </c>
      <c r="F3850" s="3">
        <v>45309</v>
      </c>
      <c r="G3850" s="4">
        <v>1</v>
      </c>
      <c r="H3850" s="4">
        <v>2024</v>
      </c>
      <c r="I3850" s="2" t="s">
        <v>4</v>
      </c>
      <c r="J3850" s="2" t="s">
        <v>4689</v>
      </c>
      <c r="K3850" s="2" t="s">
        <v>4675</v>
      </c>
      <c r="L3850" s="2" t="s">
        <v>1703</v>
      </c>
      <c r="M3850" s="2" t="s">
        <v>1071</v>
      </c>
      <c r="N3850" s="4" t="s">
        <v>4532</v>
      </c>
      <c r="O3850" s="5">
        <v>10</v>
      </c>
    </row>
    <row r="3851" spans="2:15" x14ac:dyDescent="0.25">
      <c r="B3851" s="1" t="s">
        <v>1520</v>
      </c>
      <c r="C3851" s="2" t="s">
        <v>196</v>
      </c>
      <c r="D3851" s="2" t="s">
        <v>800</v>
      </c>
      <c r="E3851" s="2" t="s">
        <v>907</v>
      </c>
      <c r="F3851" s="3">
        <v>45309</v>
      </c>
      <c r="G3851" s="4">
        <v>1</v>
      </c>
      <c r="H3851" s="4">
        <v>2024</v>
      </c>
      <c r="I3851" s="2" t="s">
        <v>4</v>
      </c>
      <c r="J3851" s="2" t="s">
        <v>4690</v>
      </c>
      <c r="K3851" s="2" t="s">
        <v>122</v>
      </c>
      <c r="L3851" s="2" t="s">
        <v>123</v>
      </c>
      <c r="M3851" s="2" t="s">
        <v>119</v>
      </c>
      <c r="N3851" s="4" t="s">
        <v>119</v>
      </c>
      <c r="O3851" s="5">
        <v>3.5</v>
      </c>
    </row>
    <row r="3852" spans="2:15" x14ac:dyDescent="0.25">
      <c r="B3852" s="1" t="s">
        <v>1520</v>
      </c>
      <c r="C3852" s="2" t="s">
        <v>196</v>
      </c>
      <c r="D3852" s="2" t="s">
        <v>321</v>
      </c>
      <c r="E3852" s="2" t="s">
        <v>697</v>
      </c>
      <c r="F3852" s="3">
        <v>45309</v>
      </c>
      <c r="G3852" s="4">
        <v>1</v>
      </c>
      <c r="H3852" s="4">
        <v>2024</v>
      </c>
      <c r="I3852" s="2" t="s">
        <v>4</v>
      </c>
      <c r="J3852" s="2" t="s">
        <v>4691</v>
      </c>
      <c r="K3852" s="2" t="s">
        <v>394</v>
      </c>
      <c r="L3852" s="2" t="s">
        <v>395</v>
      </c>
      <c r="M3852" s="2" t="s">
        <v>119</v>
      </c>
      <c r="N3852" s="4" t="s">
        <v>119</v>
      </c>
      <c r="O3852" s="5">
        <v>10.0075</v>
      </c>
    </row>
    <row r="3853" spans="2:15" x14ac:dyDescent="0.25">
      <c r="B3853" s="1" t="s">
        <v>1520</v>
      </c>
      <c r="C3853" s="2" t="s">
        <v>196</v>
      </c>
      <c r="D3853" s="2" t="s">
        <v>444</v>
      </c>
      <c r="E3853" s="2" t="s">
        <v>686</v>
      </c>
      <c r="F3853" s="3">
        <v>45309</v>
      </c>
      <c r="G3853" s="4">
        <v>1</v>
      </c>
      <c r="H3853" s="4">
        <v>2024</v>
      </c>
      <c r="I3853" s="2" t="s">
        <v>4</v>
      </c>
      <c r="J3853" s="2" t="s">
        <v>4692</v>
      </c>
      <c r="K3853" s="2" t="s">
        <v>394</v>
      </c>
      <c r="L3853" s="2" t="s">
        <v>395</v>
      </c>
      <c r="M3853" s="2" t="s">
        <v>119</v>
      </c>
      <c r="N3853" s="4" t="s">
        <v>119</v>
      </c>
      <c r="O3853" s="5">
        <v>5</v>
      </c>
    </row>
    <row r="3854" spans="2:15" x14ac:dyDescent="0.25">
      <c r="B3854" s="1" t="s">
        <v>1520</v>
      </c>
      <c r="C3854" s="2" t="s">
        <v>196</v>
      </c>
      <c r="D3854" s="2" t="s">
        <v>458</v>
      </c>
      <c r="E3854" s="2" t="s">
        <v>2868</v>
      </c>
      <c r="F3854" s="3">
        <v>45310</v>
      </c>
      <c r="G3854" s="4">
        <v>1</v>
      </c>
      <c r="H3854" s="4">
        <v>2024</v>
      </c>
      <c r="I3854" s="2" t="s">
        <v>4</v>
      </c>
      <c r="J3854" s="2" t="s">
        <v>4693</v>
      </c>
      <c r="K3854" s="2" t="s">
        <v>122</v>
      </c>
      <c r="L3854" s="2" t="s">
        <v>123</v>
      </c>
      <c r="M3854" s="2" t="s">
        <v>119</v>
      </c>
      <c r="N3854" s="4" t="s">
        <v>119</v>
      </c>
      <c r="O3854" s="5">
        <v>2.5</v>
      </c>
    </row>
    <row r="3855" spans="2:15" x14ac:dyDescent="0.25">
      <c r="B3855" s="1" t="s">
        <v>1520</v>
      </c>
      <c r="C3855" s="2" t="s">
        <v>196</v>
      </c>
      <c r="D3855" s="2" t="s">
        <v>280</v>
      </c>
      <c r="E3855" s="2" t="s">
        <v>281</v>
      </c>
      <c r="F3855" s="3">
        <v>45310</v>
      </c>
      <c r="G3855" s="4">
        <v>1</v>
      </c>
      <c r="H3855" s="4">
        <v>2024</v>
      </c>
      <c r="I3855" s="2" t="s">
        <v>4</v>
      </c>
      <c r="J3855" s="2" t="s">
        <v>4694</v>
      </c>
      <c r="K3855" s="2" t="s">
        <v>117</v>
      </c>
      <c r="L3855" s="2" t="s">
        <v>118</v>
      </c>
      <c r="M3855" s="2" t="s">
        <v>119</v>
      </c>
      <c r="N3855" s="4" t="s">
        <v>119</v>
      </c>
      <c r="O3855" s="5">
        <v>15.01</v>
      </c>
    </row>
    <row r="3856" spans="2:15" x14ac:dyDescent="0.25">
      <c r="B3856" s="1" t="s">
        <v>1520</v>
      </c>
      <c r="C3856" s="2" t="s">
        <v>196</v>
      </c>
      <c r="D3856" s="2" t="s">
        <v>672</v>
      </c>
      <c r="E3856" s="2" t="s">
        <v>699</v>
      </c>
      <c r="F3856" s="3">
        <v>45310</v>
      </c>
      <c r="G3856" s="4">
        <v>1</v>
      </c>
      <c r="H3856" s="4">
        <v>2024</v>
      </c>
      <c r="I3856" s="2" t="s">
        <v>4</v>
      </c>
      <c r="J3856" s="2" t="s">
        <v>4695</v>
      </c>
      <c r="K3856" s="2" t="s">
        <v>251</v>
      </c>
      <c r="L3856" s="2" t="s">
        <v>252</v>
      </c>
      <c r="M3856" s="2" t="s">
        <v>119</v>
      </c>
      <c r="N3856" s="4" t="s">
        <v>119</v>
      </c>
      <c r="O3856" s="5">
        <v>5.0125000000000002</v>
      </c>
    </row>
    <row r="3857" spans="2:15" x14ac:dyDescent="0.25">
      <c r="B3857" s="1" t="s">
        <v>1520</v>
      </c>
      <c r="C3857" s="2" t="s">
        <v>196</v>
      </c>
      <c r="D3857" s="2" t="s">
        <v>114</v>
      </c>
      <c r="E3857" s="2" t="s">
        <v>1304</v>
      </c>
      <c r="F3857" s="3">
        <v>45310</v>
      </c>
      <c r="G3857" s="4">
        <v>1</v>
      </c>
      <c r="H3857" s="4">
        <v>2024</v>
      </c>
      <c r="I3857" s="2" t="s">
        <v>4</v>
      </c>
      <c r="J3857" s="2" t="s">
        <v>4696</v>
      </c>
      <c r="K3857" s="2" t="s">
        <v>117</v>
      </c>
      <c r="L3857" s="2" t="s">
        <v>118</v>
      </c>
      <c r="M3857" s="2" t="s">
        <v>119</v>
      </c>
      <c r="N3857" s="4" t="s">
        <v>119</v>
      </c>
      <c r="O3857" s="5">
        <v>2</v>
      </c>
    </row>
    <row r="3858" spans="2:15" x14ac:dyDescent="0.25">
      <c r="B3858" s="6" t="s">
        <v>1520</v>
      </c>
      <c r="C3858" s="7" t="s">
        <v>196</v>
      </c>
      <c r="D3858" s="8" t="s">
        <v>387</v>
      </c>
      <c r="E3858" s="8" t="s">
        <v>797</v>
      </c>
      <c r="F3858" s="12">
        <v>45310</v>
      </c>
      <c r="G3858" s="13">
        <v>1</v>
      </c>
      <c r="H3858" s="13">
        <v>2024</v>
      </c>
      <c r="I3858" s="8" t="s">
        <v>4</v>
      </c>
      <c r="J3858" s="7" t="s">
        <v>4697</v>
      </c>
      <c r="K3858" s="8" t="s">
        <v>4222</v>
      </c>
      <c r="L3858" s="8" t="s">
        <v>4223</v>
      </c>
      <c r="M3858" s="8" t="s">
        <v>119</v>
      </c>
      <c r="N3858" s="10" t="s">
        <v>119</v>
      </c>
      <c r="O3858" s="11">
        <v>10.0075</v>
      </c>
    </row>
    <row r="3859" spans="2:15" x14ac:dyDescent="0.25">
      <c r="B3859" s="1" t="s">
        <v>1520</v>
      </c>
      <c r="C3859" s="2" t="s">
        <v>196</v>
      </c>
      <c r="D3859" s="2" t="s">
        <v>331</v>
      </c>
      <c r="E3859" s="2" t="s">
        <v>332</v>
      </c>
      <c r="F3859" s="3">
        <v>45310</v>
      </c>
      <c r="G3859" s="4">
        <v>1</v>
      </c>
      <c r="H3859" s="4">
        <v>2024</v>
      </c>
      <c r="I3859" s="2" t="s">
        <v>4</v>
      </c>
      <c r="J3859" s="2" t="s">
        <v>4698</v>
      </c>
      <c r="K3859" s="2" t="s">
        <v>122</v>
      </c>
      <c r="L3859" s="2" t="s">
        <v>123</v>
      </c>
      <c r="M3859" s="2" t="s">
        <v>119</v>
      </c>
      <c r="N3859" s="4" t="s">
        <v>119</v>
      </c>
      <c r="O3859" s="5">
        <v>15.0075</v>
      </c>
    </row>
    <row r="3860" spans="2:15" x14ac:dyDescent="0.25">
      <c r="B3860" s="1" t="s">
        <v>1520</v>
      </c>
      <c r="C3860" s="2" t="s">
        <v>196</v>
      </c>
      <c r="D3860" s="2" t="s">
        <v>280</v>
      </c>
      <c r="E3860" s="2" t="s">
        <v>434</v>
      </c>
      <c r="F3860" s="3">
        <v>45310</v>
      </c>
      <c r="G3860" s="4">
        <v>1</v>
      </c>
      <c r="H3860" s="4">
        <v>2024</v>
      </c>
      <c r="I3860" s="2" t="s">
        <v>4</v>
      </c>
      <c r="J3860" s="2" t="s">
        <v>4699</v>
      </c>
      <c r="K3860" s="2" t="s">
        <v>117</v>
      </c>
      <c r="L3860" s="2" t="s">
        <v>118</v>
      </c>
      <c r="M3860" s="2" t="s">
        <v>119</v>
      </c>
      <c r="N3860" s="4" t="s">
        <v>119</v>
      </c>
      <c r="O3860" s="5">
        <v>7.5</v>
      </c>
    </row>
    <row r="3861" spans="2:15" x14ac:dyDescent="0.25">
      <c r="B3861" s="1" t="s">
        <v>1520</v>
      </c>
      <c r="C3861" s="2" t="s">
        <v>196</v>
      </c>
      <c r="D3861" s="2" t="s">
        <v>475</v>
      </c>
      <c r="E3861" s="2" t="s">
        <v>476</v>
      </c>
      <c r="F3861" s="3">
        <v>45310</v>
      </c>
      <c r="G3861" s="4">
        <v>1</v>
      </c>
      <c r="H3861" s="4">
        <v>2024</v>
      </c>
      <c r="I3861" s="2" t="s">
        <v>4</v>
      </c>
      <c r="J3861" s="2" t="s">
        <v>4700</v>
      </c>
      <c r="K3861" s="2" t="s">
        <v>478</v>
      </c>
      <c r="L3861" s="2" t="s">
        <v>479</v>
      </c>
      <c r="M3861" s="2" t="s">
        <v>119</v>
      </c>
      <c r="N3861" s="4" t="s">
        <v>119</v>
      </c>
      <c r="O3861" s="5">
        <v>15.022500000000001</v>
      </c>
    </row>
    <row r="3862" spans="2:15" x14ac:dyDescent="0.25">
      <c r="B3862" s="1" t="s">
        <v>1520</v>
      </c>
      <c r="C3862" s="2" t="s">
        <v>196</v>
      </c>
      <c r="D3862" s="2" t="s">
        <v>248</v>
      </c>
      <c r="E3862" s="2" t="s">
        <v>3610</v>
      </c>
      <c r="F3862" s="3">
        <v>45310</v>
      </c>
      <c r="G3862" s="4">
        <v>1</v>
      </c>
      <c r="H3862" s="4">
        <v>2024</v>
      </c>
      <c r="I3862" s="2" t="s">
        <v>4</v>
      </c>
      <c r="J3862" s="2" t="s">
        <v>4701</v>
      </c>
      <c r="K3862" s="2" t="s">
        <v>117</v>
      </c>
      <c r="L3862" s="2" t="s">
        <v>118</v>
      </c>
      <c r="M3862" s="2" t="s">
        <v>119</v>
      </c>
      <c r="N3862" s="4" t="s">
        <v>119</v>
      </c>
      <c r="O3862" s="5">
        <v>5</v>
      </c>
    </row>
    <row r="3863" spans="2:15" x14ac:dyDescent="0.25">
      <c r="B3863" s="1" t="s">
        <v>1520</v>
      </c>
      <c r="C3863" s="2" t="s">
        <v>196</v>
      </c>
      <c r="D3863" s="2" t="s">
        <v>374</v>
      </c>
      <c r="E3863" s="2" t="s">
        <v>379</v>
      </c>
      <c r="F3863" s="3">
        <v>45310</v>
      </c>
      <c r="G3863" s="4">
        <v>1</v>
      </c>
      <c r="H3863" s="4">
        <v>2024</v>
      </c>
      <c r="I3863" s="2" t="s">
        <v>4</v>
      </c>
      <c r="J3863" s="2" t="s">
        <v>4702</v>
      </c>
      <c r="K3863" s="2" t="s">
        <v>122</v>
      </c>
      <c r="L3863" s="2" t="s">
        <v>123</v>
      </c>
      <c r="M3863" s="2" t="s">
        <v>119</v>
      </c>
      <c r="N3863" s="4" t="s">
        <v>119</v>
      </c>
      <c r="O3863" s="5">
        <v>8.0150000000000006</v>
      </c>
    </row>
    <row r="3864" spans="2:15" x14ac:dyDescent="0.25">
      <c r="B3864" s="1" t="s">
        <v>1520</v>
      </c>
      <c r="C3864" s="2" t="s">
        <v>196</v>
      </c>
      <c r="D3864" s="2" t="s">
        <v>800</v>
      </c>
      <c r="E3864" s="2" t="s">
        <v>911</v>
      </c>
      <c r="F3864" s="3">
        <v>45310</v>
      </c>
      <c r="G3864" s="4">
        <v>1</v>
      </c>
      <c r="H3864" s="4">
        <v>2024</v>
      </c>
      <c r="I3864" s="2" t="s">
        <v>4</v>
      </c>
      <c r="J3864" s="2" t="s">
        <v>4703</v>
      </c>
      <c r="K3864" s="2" t="s">
        <v>122</v>
      </c>
      <c r="L3864" s="2" t="s">
        <v>123</v>
      </c>
      <c r="M3864" s="2" t="s">
        <v>119</v>
      </c>
      <c r="N3864" s="4" t="s">
        <v>119</v>
      </c>
      <c r="O3864" s="5">
        <v>3.4874999999999998</v>
      </c>
    </row>
    <row r="3865" spans="2:15" x14ac:dyDescent="0.25">
      <c r="B3865" s="1" t="s">
        <v>1520</v>
      </c>
      <c r="C3865" s="2" t="s">
        <v>196</v>
      </c>
      <c r="D3865" s="2" t="s">
        <v>114</v>
      </c>
      <c r="E3865" s="2" t="s">
        <v>369</v>
      </c>
      <c r="F3865" s="3">
        <v>45310</v>
      </c>
      <c r="G3865" s="4">
        <v>1</v>
      </c>
      <c r="H3865" s="4">
        <v>2024</v>
      </c>
      <c r="I3865" s="2" t="s">
        <v>4</v>
      </c>
      <c r="J3865" s="2" t="s">
        <v>4704</v>
      </c>
      <c r="K3865" s="2" t="s">
        <v>117</v>
      </c>
      <c r="L3865" s="2" t="s">
        <v>118</v>
      </c>
      <c r="M3865" s="2" t="s">
        <v>119</v>
      </c>
      <c r="N3865" s="4" t="s">
        <v>119</v>
      </c>
      <c r="O3865" s="5">
        <v>7.01</v>
      </c>
    </row>
    <row r="3866" spans="2:15" x14ac:dyDescent="0.25">
      <c r="B3866" s="1" t="s">
        <v>1520</v>
      </c>
      <c r="C3866" s="2" t="s">
        <v>196</v>
      </c>
      <c r="D3866" s="2" t="s">
        <v>4705</v>
      </c>
      <c r="E3866" s="2" t="s">
        <v>4706</v>
      </c>
      <c r="F3866" s="3">
        <v>45313</v>
      </c>
      <c r="G3866" s="4">
        <v>1</v>
      </c>
      <c r="H3866" s="4">
        <v>2024</v>
      </c>
      <c r="I3866" s="2" t="s">
        <v>4</v>
      </c>
      <c r="J3866" s="2" t="s">
        <v>4707</v>
      </c>
      <c r="K3866" s="2" t="s">
        <v>4675</v>
      </c>
      <c r="L3866" s="2" t="s">
        <v>1703</v>
      </c>
      <c r="M3866" s="2" t="s">
        <v>1071</v>
      </c>
      <c r="N3866" s="4" t="s">
        <v>4532</v>
      </c>
      <c r="O3866" s="5">
        <v>40</v>
      </c>
    </row>
    <row r="3867" spans="2:15" x14ac:dyDescent="0.25">
      <c r="B3867" s="1" t="s">
        <v>1520</v>
      </c>
      <c r="C3867" s="2" t="s">
        <v>196</v>
      </c>
      <c r="D3867" s="2" t="s">
        <v>289</v>
      </c>
      <c r="E3867" s="2" t="s">
        <v>290</v>
      </c>
      <c r="F3867" s="3">
        <v>45313</v>
      </c>
      <c r="G3867" s="4">
        <v>1</v>
      </c>
      <c r="H3867" s="4">
        <v>2024</v>
      </c>
      <c r="I3867" s="2" t="s">
        <v>4</v>
      </c>
      <c r="J3867" s="2" t="s">
        <v>4708</v>
      </c>
      <c r="K3867" s="2" t="s">
        <v>865</v>
      </c>
      <c r="L3867" s="2" t="s">
        <v>866</v>
      </c>
      <c r="M3867" s="2" t="s">
        <v>119</v>
      </c>
      <c r="N3867" s="4" t="s">
        <v>119</v>
      </c>
      <c r="O3867" s="5">
        <v>1</v>
      </c>
    </row>
    <row r="3868" spans="2:15" x14ac:dyDescent="0.25">
      <c r="B3868" s="1" t="s">
        <v>1520</v>
      </c>
      <c r="C3868" s="2" t="s">
        <v>196</v>
      </c>
      <c r="D3868" s="2" t="s">
        <v>248</v>
      </c>
      <c r="E3868" s="2" t="s">
        <v>1620</v>
      </c>
      <c r="F3868" s="3">
        <v>45313</v>
      </c>
      <c r="G3868" s="4">
        <v>1</v>
      </c>
      <c r="H3868" s="4">
        <v>2024</v>
      </c>
      <c r="I3868" s="2" t="s">
        <v>4</v>
      </c>
      <c r="J3868" s="2" t="s">
        <v>4709</v>
      </c>
      <c r="K3868" s="2" t="s">
        <v>117</v>
      </c>
      <c r="L3868" s="2" t="s">
        <v>118</v>
      </c>
      <c r="M3868" s="2" t="s">
        <v>119</v>
      </c>
      <c r="N3868" s="4" t="s">
        <v>119</v>
      </c>
      <c r="O3868" s="5">
        <v>5.0075000000000003</v>
      </c>
    </row>
    <row r="3869" spans="2:15" x14ac:dyDescent="0.25">
      <c r="B3869" s="1" t="s">
        <v>1520</v>
      </c>
      <c r="C3869" s="2" t="s">
        <v>196</v>
      </c>
      <c r="D3869" s="2" t="s">
        <v>215</v>
      </c>
      <c r="E3869" s="2" t="s">
        <v>4113</v>
      </c>
      <c r="F3869" s="3">
        <v>45313</v>
      </c>
      <c r="G3869" s="4">
        <v>1</v>
      </c>
      <c r="H3869" s="4">
        <v>2024</v>
      </c>
      <c r="I3869" s="2" t="s">
        <v>4</v>
      </c>
      <c r="J3869" s="2" t="s">
        <v>4710</v>
      </c>
      <c r="K3869" s="2" t="s">
        <v>334</v>
      </c>
      <c r="L3869" s="2" t="s">
        <v>335</v>
      </c>
      <c r="M3869" s="2" t="s">
        <v>119</v>
      </c>
      <c r="N3869" s="4" t="s">
        <v>119</v>
      </c>
      <c r="O3869" s="5">
        <v>7.02</v>
      </c>
    </row>
    <row r="3870" spans="2:15" x14ac:dyDescent="0.25">
      <c r="B3870" s="1" t="s">
        <v>1520</v>
      </c>
      <c r="C3870" s="2" t="s">
        <v>196</v>
      </c>
      <c r="D3870" s="2" t="s">
        <v>248</v>
      </c>
      <c r="E3870" s="2" t="s">
        <v>3610</v>
      </c>
      <c r="F3870" s="3">
        <v>45313</v>
      </c>
      <c r="G3870" s="4">
        <v>1</v>
      </c>
      <c r="H3870" s="4">
        <v>2024</v>
      </c>
      <c r="I3870" s="2" t="s">
        <v>4</v>
      </c>
      <c r="J3870" s="2" t="s">
        <v>4711</v>
      </c>
      <c r="K3870" s="2" t="s">
        <v>117</v>
      </c>
      <c r="L3870" s="2" t="s">
        <v>118</v>
      </c>
      <c r="M3870" s="2" t="s">
        <v>119</v>
      </c>
      <c r="N3870" s="4" t="s">
        <v>119</v>
      </c>
      <c r="O3870" s="5">
        <v>10.015000000000001</v>
      </c>
    </row>
    <row r="3871" spans="2:15" x14ac:dyDescent="0.25">
      <c r="B3871" s="1" t="s">
        <v>1520</v>
      </c>
      <c r="C3871" s="2" t="s">
        <v>196</v>
      </c>
      <c r="D3871" s="2" t="s">
        <v>280</v>
      </c>
      <c r="E3871" s="2" t="s">
        <v>254</v>
      </c>
      <c r="F3871" s="3">
        <v>45313</v>
      </c>
      <c r="G3871" s="4">
        <v>1</v>
      </c>
      <c r="H3871" s="4">
        <v>2024</v>
      </c>
      <c r="I3871" s="2" t="s">
        <v>4</v>
      </c>
      <c r="J3871" s="2" t="s">
        <v>4712</v>
      </c>
      <c r="K3871" s="2" t="s">
        <v>117</v>
      </c>
      <c r="L3871" s="2" t="s">
        <v>118</v>
      </c>
      <c r="M3871" s="2" t="s">
        <v>119</v>
      </c>
      <c r="N3871" s="4" t="s">
        <v>119</v>
      </c>
      <c r="O3871" s="5">
        <v>20.012499999999999</v>
      </c>
    </row>
    <row r="3872" spans="2:15" x14ac:dyDescent="0.25">
      <c r="B3872" s="1" t="s">
        <v>1520</v>
      </c>
      <c r="C3872" s="2" t="s">
        <v>196</v>
      </c>
      <c r="D3872" s="2" t="s">
        <v>197</v>
      </c>
      <c r="E3872" s="2" t="s">
        <v>198</v>
      </c>
      <c r="F3872" s="3">
        <v>45313</v>
      </c>
      <c r="G3872" s="4">
        <v>1</v>
      </c>
      <c r="H3872" s="4">
        <v>2024</v>
      </c>
      <c r="I3872" s="2" t="s">
        <v>4</v>
      </c>
      <c r="J3872" s="2" t="s">
        <v>4713</v>
      </c>
      <c r="K3872" s="2" t="s">
        <v>307</v>
      </c>
      <c r="L3872" s="2" t="s">
        <v>308</v>
      </c>
      <c r="M3872" s="2" t="s">
        <v>119</v>
      </c>
      <c r="N3872" s="4" t="s">
        <v>119</v>
      </c>
      <c r="O3872" s="5">
        <v>3.4925000000000002</v>
      </c>
    </row>
    <row r="3873" spans="2:15" x14ac:dyDescent="0.25">
      <c r="B3873" s="1" t="s">
        <v>1520</v>
      </c>
      <c r="C3873" s="2" t="s">
        <v>196</v>
      </c>
      <c r="D3873" s="2" t="s">
        <v>4046</v>
      </c>
      <c r="E3873" s="2" t="s">
        <v>102</v>
      </c>
      <c r="F3873" s="3">
        <v>45313</v>
      </c>
      <c r="G3873" s="4">
        <v>1</v>
      </c>
      <c r="H3873" s="4">
        <v>2024</v>
      </c>
      <c r="I3873" s="2" t="s">
        <v>4</v>
      </c>
      <c r="J3873" s="2" t="s">
        <v>4714</v>
      </c>
      <c r="K3873" s="2" t="s">
        <v>268</v>
      </c>
      <c r="L3873" s="2" t="s">
        <v>269</v>
      </c>
      <c r="M3873" s="2" t="s">
        <v>119</v>
      </c>
      <c r="N3873" s="4" t="s">
        <v>119</v>
      </c>
      <c r="O3873" s="5">
        <v>0.3</v>
      </c>
    </row>
    <row r="3874" spans="2:15" x14ac:dyDescent="0.25">
      <c r="B3874" s="1" t="s">
        <v>1520</v>
      </c>
      <c r="C3874" s="2" t="s">
        <v>196</v>
      </c>
      <c r="D3874" s="2" t="s">
        <v>215</v>
      </c>
      <c r="E3874" s="2" t="s">
        <v>4113</v>
      </c>
      <c r="F3874" s="3">
        <v>45314</v>
      </c>
      <c r="G3874" s="4">
        <v>1</v>
      </c>
      <c r="H3874" s="4">
        <v>2024</v>
      </c>
      <c r="I3874" s="2" t="s">
        <v>4</v>
      </c>
      <c r="J3874" s="2" t="s">
        <v>4715</v>
      </c>
      <c r="K3874" s="2" t="s">
        <v>334</v>
      </c>
      <c r="L3874" s="2" t="s">
        <v>335</v>
      </c>
      <c r="M3874" s="2" t="s">
        <v>119</v>
      </c>
      <c r="N3874" s="4" t="s">
        <v>119</v>
      </c>
      <c r="O3874" s="5">
        <v>5.0049999999999999</v>
      </c>
    </row>
    <row r="3875" spans="2:15" x14ac:dyDescent="0.25">
      <c r="B3875" s="1" t="s">
        <v>1520</v>
      </c>
      <c r="C3875" s="2" t="s">
        <v>196</v>
      </c>
      <c r="D3875" s="2" t="s">
        <v>215</v>
      </c>
      <c r="E3875" s="2" t="s">
        <v>4113</v>
      </c>
      <c r="F3875" s="3">
        <v>45314</v>
      </c>
      <c r="G3875" s="4">
        <v>1</v>
      </c>
      <c r="H3875" s="4">
        <v>2024</v>
      </c>
      <c r="I3875" s="2" t="s">
        <v>4</v>
      </c>
      <c r="J3875" s="2" t="s">
        <v>4716</v>
      </c>
      <c r="K3875" s="2" t="s">
        <v>334</v>
      </c>
      <c r="L3875" s="2" t="s">
        <v>335</v>
      </c>
      <c r="M3875" s="2" t="s">
        <v>119</v>
      </c>
      <c r="N3875" s="4" t="s">
        <v>119</v>
      </c>
      <c r="O3875" s="5">
        <v>10.0075</v>
      </c>
    </row>
    <row r="3876" spans="2:15" x14ac:dyDescent="0.25">
      <c r="B3876" s="1" t="s">
        <v>1520</v>
      </c>
      <c r="C3876" s="2" t="s">
        <v>196</v>
      </c>
      <c r="D3876" s="2" t="s">
        <v>317</v>
      </c>
      <c r="E3876" s="2" t="s">
        <v>319</v>
      </c>
      <c r="F3876" s="3">
        <v>45314</v>
      </c>
      <c r="G3876" s="4">
        <v>1</v>
      </c>
      <c r="H3876" s="4">
        <v>2024</v>
      </c>
      <c r="I3876" s="2" t="s">
        <v>4</v>
      </c>
      <c r="J3876" s="2" t="s">
        <v>4717</v>
      </c>
      <c r="K3876" s="2" t="s">
        <v>117</v>
      </c>
      <c r="L3876" s="2" t="s">
        <v>118</v>
      </c>
      <c r="M3876" s="2" t="s">
        <v>119</v>
      </c>
      <c r="N3876" s="4" t="s">
        <v>119</v>
      </c>
      <c r="O3876" s="5">
        <v>15.02</v>
      </c>
    </row>
    <row r="3877" spans="2:15" x14ac:dyDescent="0.25">
      <c r="B3877" s="1" t="s">
        <v>1520</v>
      </c>
      <c r="C3877" s="2" t="s">
        <v>196</v>
      </c>
      <c r="D3877" s="2" t="s">
        <v>669</v>
      </c>
      <c r="E3877" s="2" t="s">
        <v>670</v>
      </c>
      <c r="F3877" s="3">
        <v>45314</v>
      </c>
      <c r="G3877" s="4">
        <v>1</v>
      </c>
      <c r="H3877" s="4">
        <v>2024</v>
      </c>
      <c r="I3877" s="2" t="s">
        <v>4</v>
      </c>
      <c r="J3877" s="2" t="s">
        <v>4718</v>
      </c>
      <c r="K3877" s="2" t="s">
        <v>384</v>
      </c>
      <c r="L3877" s="2" t="s">
        <v>385</v>
      </c>
      <c r="M3877" s="2" t="s">
        <v>119</v>
      </c>
      <c r="N3877" s="4" t="s">
        <v>119</v>
      </c>
      <c r="O3877" s="5">
        <v>5</v>
      </c>
    </row>
    <row r="3878" spans="2:15" x14ac:dyDescent="0.25">
      <c r="B3878" s="1" t="s">
        <v>1520</v>
      </c>
      <c r="C3878" s="2" t="s">
        <v>196</v>
      </c>
      <c r="D3878" s="2" t="s">
        <v>890</v>
      </c>
      <c r="E3878" s="2" t="s">
        <v>891</v>
      </c>
      <c r="F3878" s="3">
        <v>45314</v>
      </c>
      <c r="G3878" s="4">
        <v>1</v>
      </c>
      <c r="H3878" s="4">
        <v>2024</v>
      </c>
      <c r="I3878" s="2" t="s">
        <v>4</v>
      </c>
      <c r="J3878" s="2" t="s">
        <v>4719</v>
      </c>
      <c r="K3878" s="2" t="s">
        <v>205</v>
      </c>
      <c r="L3878" s="2" t="s">
        <v>206</v>
      </c>
      <c r="M3878" s="2" t="s">
        <v>119</v>
      </c>
      <c r="N3878" s="4" t="s">
        <v>119</v>
      </c>
      <c r="O3878" s="5">
        <v>6.01</v>
      </c>
    </row>
    <row r="3879" spans="2:15" x14ac:dyDescent="0.25">
      <c r="B3879" s="1" t="s">
        <v>645</v>
      </c>
      <c r="C3879" s="2" t="s">
        <v>196</v>
      </c>
      <c r="D3879" s="2" t="s">
        <v>888</v>
      </c>
      <c r="E3879" s="2" t="s">
        <v>888</v>
      </c>
      <c r="F3879" s="3">
        <v>45314</v>
      </c>
      <c r="G3879" s="4">
        <v>1</v>
      </c>
      <c r="H3879" s="4">
        <v>2024</v>
      </c>
      <c r="I3879" s="2" t="s">
        <v>4</v>
      </c>
      <c r="J3879" s="2" t="s">
        <v>4720</v>
      </c>
      <c r="K3879" s="2" t="s">
        <v>268</v>
      </c>
      <c r="L3879" s="2" t="s">
        <v>269</v>
      </c>
      <c r="M3879" s="2" t="s">
        <v>119</v>
      </c>
      <c r="N3879" s="4" t="s">
        <v>119</v>
      </c>
      <c r="O3879" s="5">
        <v>0.75</v>
      </c>
    </row>
    <row r="3880" spans="2:15" x14ac:dyDescent="0.25">
      <c r="B3880" s="1" t="s">
        <v>1520</v>
      </c>
      <c r="C3880" s="2" t="s">
        <v>196</v>
      </c>
      <c r="D3880" s="2" t="s">
        <v>4705</v>
      </c>
      <c r="E3880" s="2" t="s">
        <v>4706</v>
      </c>
      <c r="F3880" s="3">
        <v>45314</v>
      </c>
      <c r="G3880" s="4">
        <v>1</v>
      </c>
      <c r="H3880" s="4">
        <v>2024</v>
      </c>
      <c r="I3880" s="2" t="s">
        <v>4</v>
      </c>
      <c r="J3880" s="2" t="s">
        <v>4721</v>
      </c>
      <c r="K3880" s="2" t="s">
        <v>4675</v>
      </c>
      <c r="L3880" s="2" t="s">
        <v>1703</v>
      </c>
      <c r="M3880" s="2" t="s">
        <v>1071</v>
      </c>
      <c r="N3880" s="4" t="s">
        <v>4532</v>
      </c>
      <c r="O3880" s="5">
        <v>50</v>
      </c>
    </row>
    <row r="3881" spans="2:15" x14ac:dyDescent="0.25">
      <c r="B3881" s="1" t="s">
        <v>1520</v>
      </c>
      <c r="C3881" s="2" t="s">
        <v>196</v>
      </c>
      <c r="D3881" s="2" t="s">
        <v>317</v>
      </c>
      <c r="E3881" s="2" t="s">
        <v>677</v>
      </c>
      <c r="F3881" s="3">
        <v>45314</v>
      </c>
      <c r="G3881" s="4">
        <v>1</v>
      </c>
      <c r="H3881" s="4">
        <v>2024</v>
      </c>
      <c r="I3881" s="2" t="s">
        <v>4</v>
      </c>
      <c r="J3881" s="2" t="s">
        <v>4722</v>
      </c>
      <c r="K3881" s="2" t="s">
        <v>117</v>
      </c>
      <c r="L3881" s="2" t="s">
        <v>118</v>
      </c>
      <c r="M3881" s="2" t="s">
        <v>119</v>
      </c>
      <c r="N3881" s="4" t="s">
        <v>119</v>
      </c>
      <c r="O3881" s="5">
        <v>7.5</v>
      </c>
    </row>
    <row r="3882" spans="2:15" x14ac:dyDescent="0.25">
      <c r="B3882" s="1" t="s">
        <v>1520</v>
      </c>
      <c r="C3882" s="2" t="s">
        <v>196</v>
      </c>
      <c r="D3882" s="2" t="s">
        <v>299</v>
      </c>
      <c r="E3882" s="2" t="s">
        <v>398</v>
      </c>
      <c r="F3882" s="3">
        <v>45314</v>
      </c>
      <c r="G3882" s="4">
        <v>1</v>
      </c>
      <c r="H3882" s="4">
        <v>2024</v>
      </c>
      <c r="I3882" s="2" t="s">
        <v>4</v>
      </c>
      <c r="J3882" s="2" t="s">
        <v>4723</v>
      </c>
      <c r="K3882" s="2" t="s">
        <v>117</v>
      </c>
      <c r="L3882" s="2" t="s">
        <v>118</v>
      </c>
      <c r="M3882" s="2" t="s">
        <v>119</v>
      </c>
      <c r="N3882" s="4" t="s">
        <v>119</v>
      </c>
      <c r="O3882" s="5">
        <v>5</v>
      </c>
    </row>
    <row r="3883" spans="2:15" x14ac:dyDescent="0.25">
      <c r="B3883" s="1" t="s">
        <v>1520</v>
      </c>
      <c r="C3883" s="2" t="s">
        <v>196</v>
      </c>
      <c r="D3883" s="2" t="s">
        <v>449</v>
      </c>
      <c r="E3883" s="2" t="s">
        <v>780</v>
      </c>
      <c r="F3883" s="3">
        <v>45314</v>
      </c>
      <c r="G3883" s="4">
        <v>1</v>
      </c>
      <c r="H3883" s="4">
        <v>2024</v>
      </c>
      <c r="I3883" s="2" t="s">
        <v>4</v>
      </c>
      <c r="J3883" s="2" t="s">
        <v>4724</v>
      </c>
      <c r="K3883" s="2" t="s">
        <v>329</v>
      </c>
      <c r="L3883" s="2" t="s">
        <v>330</v>
      </c>
      <c r="M3883" s="2" t="s">
        <v>119</v>
      </c>
      <c r="N3883" s="4" t="s">
        <v>119</v>
      </c>
      <c r="O3883" s="5">
        <v>2</v>
      </c>
    </row>
    <row r="3884" spans="2:15" x14ac:dyDescent="0.25">
      <c r="B3884" s="6" t="s">
        <v>1520</v>
      </c>
      <c r="C3884" s="7" t="s">
        <v>196</v>
      </c>
      <c r="D3884" s="8" t="s">
        <v>1343</v>
      </c>
      <c r="E3884" s="8" t="s">
        <v>3724</v>
      </c>
      <c r="F3884" s="12">
        <v>45315</v>
      </c>
      <c r="G3884" s="13">
        <v>1</v>
      </c>
      <c r="H3884" s="13">
        <v>2024</v>
      </c>
      <c r="I3884" s="8" t="s">
        <v>4</v>
      </c>
      <c r="J3884" s="7" t="s">
        <v>4725</v>
      </c>
      <c r="K3884" s="8" t="s">
        <v>4222</v>
      </c>
      <c r="L3884" s="8" t="s">
        <v>4223</v>
      </c>
      <c r="M3884" s="8" t="s">
        <v>119</v>
      </c>
      <c r="N3884" s="10" t="s">
        <v>119</v>
      </c>
      <c r="O3884" s="11">
        <v>15.0275</v>
      </c>
    </row>
    <row r="3885" spans="2:15" x14ac:dyDescent="0.25">
      <c r="B3885" s="1" t="s">
        <v>1520</v>
      </c>
      <c r="C3885" s="2" t="s">
        <v>196</v>
      </c>
      <c r="D3885" s="2" t="s">
        <v>1343</v>
      </c>
      <c r="E3885" s="2" t="s">
        <v>3724</v>
      </c>
      <c r="F3885" s="3">
        <v>45315</v>
      </c>
      <c r="G3885" s="4">
        <v>1</v>
      </c>
      <c r="H3885" s="4">
        <v>2024</v>
      </c>
      <c r="I3885" s="2" t="s">
        <v>4</v>
      </c>
      <c r="J3885" s="2" t="s">
        <v>4725</v>
      </c>
      <c r="K3885" s="2" t="s">
        <v>3726</v>
      </c>
      <c r="L3885" s="2" t="s">
        <v>3727</v>
      </c>
      <c r="M3885" s="2" t="s">
        <v>145</v>
      </c>
      <c r="N3885" s="4" t="s">
        <v>4532</v>
      </c>
      <c r="O3885" s="5">
        <v>5.625</v>
      </c>
    </row>
    <row r="3886" spans="2:15" x14ac:dyDescent="0.25">
      <c r="B3886" s="1" t="s">
        <v>1520</v>
      </c>
      <c r="C3886" s="2" t="s">
        <v>196</v>
      </c>
      <c r="D3886" s="2" t="s">
        <v>114</v>
      </c>
      <c r="E3886" s="2" t="s">
        <v>274</v>
      </c>
      <c r="F3886" s="3">
        <v>45315</v>
      </c>
      <c r="G3886" s="4">
        <v>1</v>
      </c>
      <c r="H3886" s="4">
        <v>2024</v>
      </c>
      <c r="I3886" s="2" t="s">
        <v>4</v>
      </c>
      <c r="J3886" s="2" t="s">
        <v>4726</v>
      </c>
      <c r="K3886" s="2" t="s">
        <v>117</v>
      </c>
      <c r="L3886" s="2" t="s">
        <v>118</v>
      </c>
      <c r="M3886" s="2" t="s">
        <v>119</v>
      </c>
      <c r="N3886" s="4" t="s">
        <v>119</v>
      </c>
      <c r="O3886" s="5">
        <v>4.25</v>
      </c>
    </row>
    <row r="3887" spans="2:15" x14ac:dyDescent="0.25">
      <c r="B3887" s="1" t="s">
        <v>1520</v>
      </c>
      <c r="C3887" s="2" t="s">
        <v>196</v>
      </c>
      <c r="D3887" s="2" t="s">
        <v>452</v>
      </c>
      <c r="E3887" s="2" t="s">
        <v>1611</v>
      </c>
      <c r="F3887" s="3">
        <v>45315</v>
      </c>
      <c r="G3887" s="4">
        <v>1</v>
      </c>
      <c r="H3887" s="4">
        <v>2024</v>
      </c>
      <c r="I3887" s="2" t="s">
        <v>4</v>
      </c>
      <c r="J3887" s="2" t="s">
        <v>4727</v>
      </c>
      <c r="K3887" s="2" t="s">
        <v>117</v>
      </c>
      <c r="L3887" s="2" t="s">
        <v>118</v>
      </c>
      <c r="M3887" s="2" t="s">
        <v>119</v>
      </c>
      <c r="N3887" s="4" t="s">
        <v>119</v>
      </c>
      <c r="O3887" s="5">
        <v>6.75</v>
      </c>
    </row>
    <row r="3888" spans="2:15" x14ac:dyDescent="0.25">
      <c r="B3888" s="6" t="s">
        <v>1520</v>
      </c>
      <c r="C3888" s="7" t="s">
        <v>196</v>
      </c>
      <c r="D3888" s="8" t="s">
        <v>440</v>
      </c>
      <c r="E3888" s="8" t="s">
        <v>1369</v>
      </c>
      <c r="F3888" s="12">
        <v>45315</v>
      </c>
      <c r="G3888" s="13">
        <v>1</v>
      </c>
      <c r="H3888" s="13">
        <v>2024</v>
      </c>
      <c r="I3888" s="8" t="s">
        <v>4</v>
      </c>
      <c r="J3888" s="7" t="s">
        <v>4728</v>
      </c>
      <c r="K3888" s="8" t="s">
        <v>4222</v>
      </c>
      <c r="L3888" s="8" t="s">
        <v>4223</v>
      </c>
      <c r="M3888" s="8" t="s">
        <v>119</v>
      </c>
      <c r="N3888" s="10" t="s">
        <v>119</v>
      </c>
      <c r="O3888" s="11">
        <v>7.5</v>
      </c>
    </row>
    <row r="3889" spans="2:15" x14ac:dyDescent="0.25">
      <c r="B3889" s="1" t="s">
        <v>1520</v>
      </c>
      <c r="C3889" s="2" t="s">
        <v>196</v>
      </c>
      <c r="D3889" s="2" t="s">
        <v>215</v>
      </c>
      <c r="E3889" s="2" t="s">
        <v>315</v>
      </c>
      <c r="F3889" s="3">
        <v>45315</v>
      </c>
      <c r="G3889" s="4">
        <v>1</v>
      </c>
      <c r="H3889" s="4">
        <v>2024</v>
      </c>
      <c r="I3889" s="2" t="s">
        <v>4</v>
      </c>
      <c r="J3889" s="2" t="s">
        <v>4729</v>
      </c>
      <c r="K3889" s="2" t="s">
        <v>329</v>
      </c>
      <c r="L3889" s="2" t="s">
        <v>330</v>
      </c>
      <c r="M3889" s="2" t="s">
        <v>119</v>
      </c>
      <c r="N3889" s="4" t="s">
        <v>119</v>
      </c>
      <c r="O3889" s="5">
        <v>9</v>
      </c>
    </row>
    <row r="3890" spans="2:15" x14ac:dyDescent="0.25">
      <c r="B3890" s="1" t="s">
        <v>1520</v>
      </c>
      <c r="C3890" s="2" t="s">
        <v>196</v>
      </c>
      <c r="D3890" s="2" t="s">
        <v>262</v>
      </c>
      <c r="E3890" s="2" t="s">
        <v>4730</v>
      </c>
      <c r="F3890" s="3">
        <v>45316</v>
      </c>
      <c r="G3890" s="4">
        <v>1</v>
      </c>
      <c r="H3890" s="4">
        <v>2024</v>
      </c>
      <c r="I3890" s="2" t="s">
        <v>4</v>
      </c>
      <c r="J3890" s="2" t="s">
        <v>4731</v>
      </c>
      <c r="K3890" s="2" t="s">
        <v>499</v>
      </c>
      <c r="L3890" s="2" t="s">
        <v>500</v>
      </c>
      <c r="M3890" s="2" t="s">
        <v>119</v>
      </c>
      <c r="N3890" s="4" t="s">
        <v>119</v>
      </c>
      <c r="O3890" s="5">
        <v>8.5</v>
      </c>
    </row>
    <row r="3891" spans="2:15" x14ac:dyDescent="0.25">
      <c r="B3891" s="1" t="s">
        <v>645</v>
      </c>
      <c r="C3891" s="2" t="s">
        <v>196</v>
      </c>
      <c r="D3891" s="2" t="s">
        <v>790</v>
      </c>
      <c r="E3891" s="2" t="s">
        <v>1205</v>
      </c>
      <c r="F3891" s="3">
        <v>45316</v>
      </c>
      <c r="G3891" s="4">
        <v>1</v>
      </c>
      <c r="H3891" s="4">
        <v>2024</v>
      </c>
      <c r="I3891" s="2" t="s">
        <v>4</v>
      </c>
      <c r="J3891" s="2" t="s">
        <v>4732</v>
      </c>
      <c r="K3891" s="2" t="s">
        <v>117</v>
      </c>
      <c r="L3891" s="2" t="s">
        <v>118</v>
      </c>
      <c r="M3891" s="2" t="s">
        <v>119</v>
      </c>
      <c r="N3891" s="4" t="s">
        <v>119</v>
      </c>
      <c r="O3891" s="5">
        <v>5.0075000000000003</v>
      </c>
    </row>
    <row r="3892" spans="2:15" x14ac:dyDescent="0.25">
      <c r="B3892" s="1" t="s">
        <v>1520</v>
      </c>
      <c r="C3892" s="2" t="s">
        <v>196</v>
      </c>
      <c r="D3892" s="2" t="s">
        <v>303</v>
      </c>
      <c r="E3892" s="2" t="s">
        <v>1998</v>
      </c>
      <c r="F3892" s="3">
        <v>45316</v>
      </c>
      <c r="G3892" s="4">
        <v>1</v>
      </c>
      <c r="H3892" s="4">
        <v>2024</v>
      </c>
      <c r="I3892" s="2" t="s">
        <v>4</v>
      </c>
      <c r="J3892" s="2" t="s">
        <v>4733</v>
      </c>
      <c r="K3892" s="2" t="s">
        <v>4428</v>
      </c>
      <c r="L3892" s="2" t="s">
        <v>4429</v>
      </c>
      <c r="M3892" s="2" t="s">
        <v>119</v>
      </c>
      <c r="N3892" s="4" t="s">
        <v>119</v>
      </c>
      <c r="O3892" s="5">
        <v>5.0049999999999999</v>
      </c>
    </row>
    <row r="3893" spans="2:15" x14ac:dyDescent="0.25">
      <c r="B3893" s="1" t="s">
        <v>1520</v>
      </c>
      <c r="C3893" s="2" t="s">
        <v>196</v>
      </c>
      <c r="D3893" s="2" t="s">
        <v>303</v>
      </c>
      <c r="E3893" s="2" t="s">
        <v>1998</v>
      </c>
      <c r="F3893" s="3">
        <v>45316</v>
      </c>
      <c r="G3893" s="4">
        <v>1</v>
      </c>
      <c r="H3893" s="4">
        <v>2024</v>
      </c>
      <c r="I3893" s="2" t="s">
        <v>4</v>
      </c>
      <c r="J3893" s="2" t="s">
        <v>4733</v>
      </c>
      <c r="K3893" s="2" t="s">
        <v>3726</v>
      </c>
      <c r="L3893" s="2" t="s">
        <v>3727</v>
      </c>
      <c r="M3893" s="2" t="s">
        <v>145</v>
      </c>
      <c r="N3893" s="4" t="s">
        <v>4532</v>
      </c>
      <c r="O3893" s="5">
        <v>1.875</v>
      </c>
    </row>
    <row r="3894" spans="2:15" x14ac:dyDescent="0.25">
      <c r="B3894" s="1" t="s">
        <v>1520</v>
      </c>
      <c r="C3894" s="2" t="s">
        <v>196</v>
      </c>
      <c r="D3894" s="2" t="s">
        <v>276</v>
      </c>
      <c r="E3894" s="2" t="s">
        <v>692</v>
      </c>
      <c r="F3894" s="3">
        <v>45316</v>
      </c>
      <c r="G3894" s="4">
        <v>1</v>
      </c>
      <c r="H3894" s="4">
        <v>2024</v>
      </c>
      <c r="I3894" s="2" t="s">
        <v>4</v>
      </c>
      <c r="J3894" s="2" t="s">
        <v>4734</v>
      </c>
      <c r="K3894" s="2" t="s">
        <v>329</v>
      </c>
      <c r="L3894" s="2" t="s">
        <v>330</v>
      </c>
      <c r="M3894" s="2" t="s">
        <v>119</v>
      </c>
      <c r="N3894" s="4" t="s">
        <v>119</v>
      </c>
      <c r="O3894" s="5">
        <v>10.005000000000001</v>
      </c>
    </row>
    <row r="3895" spans="2:15" x14ac:dyDescent="0.25">
      <c r="B3895" s="1" t="s">
        <v>1520</v>
      </c>
      <c r="C3895" s="2" t="s">
        <v>196</v>
      </c>
      <c r="D3895" s="2" t="s">
        <v>276</v>
      </c>
      <c r="E3895" s="2" t="s">
        <v>692</v>
      </c>
      <c r="F3895" s="3">
        <v>45316</v>
      </c>
      <c r="G3895" s="4">
        <v>1</v>
      </c>
      <c r="H3895" s="4">
        <v>2024</v>
      </c>
      <c r="I3895" s="2" t="s">
        <v>4</v>
      </c>
      <c r="J3895" s="2" t="s">
        <v>4734</v>
      </c>
      <c r="K3895" s="2" t="s">
        <v>3726</v>
      </c>
      <c r="L3895" s="2" t="s">
        <v>3727</v>
      </c>
      <c r="M3895" s="2" t="s">
        <v>145</v>
      </c>
      <c r="N3895" s="4" t="s">
        <v>4532</v>
      </c>
      <c r="O3895" s="5">
        <v>3.75</v>
      </c>
    </row>
    <row r="3896" spans="2:15" x14ac:dyDescent="0.25">
      <c r="B3896" s="1" t="s">
        <v>1520</v>
      </c>
      <c r="C3896" s="2" t="s">
        <v>196</v>
      </c>
      <c r="D3896" s="2" t="s">
        <v>1216</v>
      </c>
      <c r="E3896" s="2" t="s">
        <v>1217</v>
      </c>
      <c r="F3896" s="3">
        <v>45316</v>
      </c>
      <c r="G3896" s="4">
        <v>1</v>
      </c>
      <c r="H3896" s="4">
        <v>2024</v>
      </c>
      <c r="I3896" s="2" t="s">
        <v>4</v>
      </c>
      <c r="J3896" s="2" t="s">
        <v>4735</v>
      </c>
      <c r="K3896" s="2" t="s">
        <v>4675</v>
      </c>
      <c r="L3896" s="2" t="s">
        <v>1703</v>
      </c>
      <c r="M3896" s="2" t="s">
        <v>1071</v>
      </c>
      <c r="N3896" s="4" t="s">
        <v>4532</v>
      </c>
      <c r="O3896" s="5">
        <v>60</v>
      </c>
    </row>
    <row r="3897" spans="2:15" x14ac:dyDescent="0.25">
      <c r="B3897" s="1" t="s">
        <v>1520</v>
      </c>
      <c r="C3897" s="2" t="s">
        <v>196</v>
      </c>
      <c r="D3897" s="2" t="s">
        <v>289</v>
      </c>
      <c r="E3897" s="2" t="s">
        <v>2380</v>
      </c>
      <c r="F3897" s="3">
        <v>45317</v>
      </c>
      <c r="G3897" s="4">
        <v>1</v>
      </c>
      <c r="H3897" s="4">
        <v>2024</v>
      </c>
      <c r="I3897" s="2" t="s">
        <v>4</v>
      </c>
      <c r="J3897" s="2" t="s">
        <v>4736</v>
      </c>
      <c r="K3897" s="2" t="s">
        <v>292</v>
      </c>
      <c r="L3897" s="2" t="s">
        <v>293</v>
      </c>
      <c r="M3897" s="2" t="s">
        <v>119</v>
      </c>
      <c r="N3897" s="4" t="s">
        <v>119</v>
      </c>
      <c r="O3897" s="5">
        <v>0.75</v>
      </c>
    </row>
    <row r="3898" spans="2:15" x14ac:dyDescent="0.25">
      <c r="B3898" s="1" t="s">
        <v>1520</v>
      </c>
      <c r="C3898" s="2" t="s">
        <v>196</v>
      </c>
      <c r="D3898" s="2" t="s">
        <v>704</v>
      </c>
      <c r="E3898" s="2" t="s">
        <v>141</v>
      </c>
      <c r="F3898" s="3">
        <v>45316</v>
      </c>
      <c r="G3898" s="4">
        <v>1</v>
      </c>
      <c r="H3898" s="4">
        <v>2024</v>
      </c>
      <c r="I3898" s="2" t="s">
        <v>4</v>
      </c>
      <c r="J3898" s="2" t="s">
        <v>4737</v>
      </c>
      <c r="K3898" s="2" t="s">
        <v>1379</v>
      </c>
      <c r="L3898" s="2" t="s">
        <v>1380</v>
      </c>
      <c r="M3898" s="2" t="s">
        <v>119</v>
      </c>
      <c r="N3898" s="4" t="s">
        <v>119</v>
      </c>
      <c r="O3898" s="5">
        <v>9.0124999999999993</v>
      </c>
    </row>
    <row r="3899" spans="2:15" x14ac:dyDescent="0.25">
      <c r="B3899" s="1" t="s">
        <v>1520</v>
      </c>
      <c r="C3899" s="2" t="s">
        <v>196</v>
      </c>
      <c r="D3899" s="2" t="s">
        <v>374</v>
      </c>
      <c r="E3899" s="2" t="s">
        <v>375</v>
      </c>
      <c r="F3899" s="3">
        <v>45316</v>
      </c>
      <c r="G3899" s="4">
        <v>1</v>
      </c>
      <c r="H3899" s="4">
        <v>2024</v>
      </c>
      <c r="I3899" s="2" t="s">
        <v>4</v>
      </c>
      <c r="J3899" s="2" t="s">
        <v>4738</v>
      </c>
      <c r="K3899" s="2" t="s">
        <v>122</v>
      </c>
      <c r="L3899" s="2" t="s">
        <v>123</v>
      </c>
      <c r="M3899" s="2" t="s">
        <v>119</v>
      </c>
      <c r="N3899" s="4" t="s">
        <v>119</v>
      </c>
      <c r="O3899" s="5">
        <v>10.0075</v>
      </c>
    </row>
    <row r="3900" spans="2:15" x14ac:dyDescent="0.25">
      <c r="B3900" s="1" t="s">
        <v>1520</v>
      </c>
      <c r="C3900" s="2" t="s">
        <v>196</v>
      </c>
      <c r="D3900" s="2" t="s">
        <v>114</v>
      </c>
      <c r="E3900" s="2" t="s">
        <v>377</v>
      </c>
      <c r="F3900" s="3">
        <v>45317</v>
      </c>
      <c r="G3900" s="4">
        <v>1</v>
      </c>
      <c r="H3900" s="4">
        <v>2024</v>
      </c>
      <c r="I3900" s="2" t="s">
        <v>4</v>
      </c>
      <c r="J3900" s="2" t="s">
        <v>4739</v>
      </c>
      <c r="K3900" s="2" t="s">
        <v>117</v>
      </c>
      <c r="L3900" s="2" t="s">
        <v>118</v>
      </c>
      <c r="M3900" s="2" t="s">
        <v>119</v>
      </c>
      <c r="N3900" s="4" t="s">
        <v>119</v>
      </c>
      <c r="O3900" s="5">
        <v>14.5</v>
      </c>
    </row>
    <row r="3901" spans="2:15" x14ac:dyDescent="0.25">
      <c r="B3901" s="1" t="s">
        <v>1520</v>
      </c>
      <c r="C3901" s="2" t="s">
        <v>196</v>
      </c>
      <c r="D3901" s="2" t="s">
        <v>270</v>
      </c>
      <c r="E3901" s="2" t="s">
        <v>699</v>
      </c>
      <c r="F3901" s="3">
        <v>45317</v>
      </c>
      <c r="G3901" s="4">
        <v>1</v>
      </c>
      <c r="H3901" s="4">
        <v>2024</v>
      </c>
      <c r="I3901" s="2" t="s">
        <v>4</v>
      </c>
      <c r="J3901" s="2" t="s">
        <v>4740</v>
      </c>
      <c r="K3901" s="2" t="s">
        <v>329</v>
      </c>
      <c r="L3901" s="2" t="s">
        <v>330</v>
      </c>
      <c r="M3901" s="2" t="s">
        <v>119</v>
      </c>
      <c r="N3901" s="4" t="s">
        <v>119</v>
      </c>
      <c r="O3901" s="5">
        <v>1.25</v>
      </c>
    </row>
    <row r="3902" spans="2:15" x14ac:dyDescent="0.25">
      <c r="B3902" s="1" t="s">
        <v>1520</v>
      </c>
      <c r="C3902" s="2" t="s">
        <v>196</v>
      </c>
      <c r="D3902" s="2" t="s">
        <v>3761</v>
      </c>
      <c r="E3902" s="2" t="s">
        <v>3762</v>
      </c>
      <c r="F3902" s="3">
        <v>45317</v>
      </c>
      <c r="G3902" s="4">
        <v>1</v>
      </c>
      <c r="H3902" s="4">
        <v>2024</v>
      </c>
      <c r="I3902" s="2" t="s">
        <v>4</v>
      </c>
      <c r="J3902" s="2" t="s">
        <v>4741</v>
      </c>
      <c r="K3902" s="2" t="s">
        <v>329</v>
      </c>
      <c r="L3902" s="2" t="s">
        <v>330</v>
      </c>
      <c r="M3902" s="2" t="s">
        <v>119</v>
      </c>
      <c r="N3902" s="4" t="s">
        <v>119</v>
      </c>
      <c r="O3902" s="5">
        <v>7.5</v>
      </c>
    </row>
    <row r="3903" spans="2:15" x14ac:dyDescent="0.25">
      <c r="B3903" s="1" t="s">
        <v>1520</v>
      </c>
      <c r="C3903" s="2" t="s">
        <v>196</v>
      </c>
      <c r="D3903" s="2" t="s">
        <v>1276</v>
      </c>
      <c r="E3903" s="2" t="s">
        <v>1277</v>
      </c>
      <c r="F3903" s="3">
        <v>45317</v>
      </c>
      <c r="G3903" s="4">
        <v>1</v>
      </c>
      <c r="H3903" s="4">
        <v>2024</v>
      </c>
      <c r="I3903" s="2" t="s">
        <v>4</v>
      </c>
      <c r="J3903" s="2" t="s">
        <v>4742</v>
      </c>
      <c r="K3903" s="2" t="s">
        <v>117</v>
      </c>
      <c r="L3903" s="2" t="s">
        <v>118</v>
      </c>
      <c r="M3903" s="2" t="s">
        <v>119</v>
      </c>
      <c r="N3903" s="4" t="s">
        <v>119</v>
      </c>
      <c r="O3903" s="5">
        <v>6.25</v>
      </c>
    </row>
    <row r="3904" spans="2:15" x14ac:dyDescent="0.25">
      <c r="B3904" s="1" t="s">
        <v>1520</v>
      </c>
      <c r="C3904" s="2" t="s">
        <v>196</v>
      </c>
      <c r="D3904" s="2" t="s">
        <v>4034</v>
      </c>
      <c r="E3904" s="2" t="s">
        <v>1346</v>
      </c>
      <c r="F3904" s="3">
        <v>45317</v>
      </c>
      <c r="G3904" s="4">
        <v>1</v>
      </c>
      <c r="H3904" s="4">
        <v>2024</v>
      </c>
      <c r="I3904" s="2" t="s">
        <v>4</v>
      </c>
      <c r="J3904" s="2" t="s">
        <v>4743</v>
      </c>
      <c r="K3904" s="2" t="s">
        <v>117</v>
      </c>
      <c r="L3904" s="2" t="s">
        <v>118</v>
      </c>
      <c r="M3904" s="2" t="s">
        <v>119</v>
      </c>
      <c r="N3904" s="4" t="s">
        <v>119</v>
      </c>
      <c r="O3904" s="5">
        <v>5</v>
      </c>
    </row>
    <row r="3905" spans="2:15" x14ac:dyDescent="0.25">
      <c r="B3905" s="1" t="s">
        <v>1520</v>
      </c>
      <c r="C3905" s="2" t="s">
        <v>196</v>
      </c>
      <c r="D3905" s="2" t="s">
        <v>114</v>
      </c>
      <c r="E3905" s="2" t="s">
        <v>402</v>
      </c>
      <c r="F3905" s="3">
        <v>45317</v>
      </c>
      <c r="G3905" s="4">
        <v>1</v>
      </c>
      <c r="H3905" s="4">
        <v>2024</v>
      </c>
      <c r="I3905" s="2" t="s">
        <v>4</v>
      </c>
      <c r="J3905" s="2" t="s">
        <v>4744</v>
      </c>
      <c r="K3905" s="2" t="s">
        <v>117</v>
      </c>
      <c r="L3905" s="2" t="s">
        <v>118</v>
      </c>
      <c r="M3905" s="2" t="s">
        <v>119</v>
      </c>
      <c r="N3905" s="4" t="s">
        <v>119</v>
      </c>
      <c r="O3905" s="5">
        <v>4.5125000000000002</v>
      </c>
    </row>
    <row r="3906" spans="2:15" x14ac:dyDescent="0.25">
      <c r="B3906" s="6" t="s">
        <v>1520</v>
      </c>
      <c r="C3906" s="7" t="s">
        <v>196</v>
      </c>
      <c r="D3906" s="8" t="s">
        <v>387</v>
      </c>
      <c r="E3906" s="8" t="s">
        <v>797</v>
      </c>
      <c r="F3906" s="12">
        <v>45320</v>
      </c>
      <c r="G3906" s="13">
        <v>1</v>
      </c>
      <c r="H3906" s="13">
        <v>2024</v>
      </c>
      <c r="I3906" s="8" t="s">
        <v>4</v>
      </c>
      <c r="J3906" s="7" t="s">
        <v>4745</v>
      </c>
      <c r="K3906" s="8" t="s">
        <v>4222</v>
      </c>
      <c r="L3906" s="8" t="s">
        <v>4223</v>
      </c>
      <c r="M3906" s="8" t="s">
        <v>119</v>
      </c>
      <c r="N3906" s="10" t="s">
        <v>119</v>
      </c>
      <c r="O3906" s="11">
        <v>10</v>
      </c>
    </row>
    <row r="3907" spans="2:15" x14ac:dyDescent="0.25">
      <c r="B3907" s="1" t="s">
        <v>1520</v>
      </c>
      <c r="C3907" s="2" t="s">
        <v>196</v>
      </c>
      <c r="D3907" s="2" t="s">
        <v>387</v>
      </c>
      <c r="E3907" s="2" t="s">
        <v>797</v>
      </c>
      <c r="F3907" s="3">
        <v>45320</v>
      </c>
      <c r="G3907" s="4">
        <v>1</v>
      </c>
      <c r="H3907" s="4">
        <v>2024</v>
      </c>
      <c r="I3907" s="2" t="s">
        <v>4</v>
      </c>
      <c r="J3907" s="2" t="s">
        <v>4745</v>
      </c>
      <c r="K3907" s="2" t="s">
        <v>3726</v>
      </c>
      <c r="L3907" s="2" t="s">
        <v>3727</v>
      </c>
      <c r="M3907" s="2" t="s">
        <v>145</v>
      </c>
      <c r="N3907" s="4" t="s">
        <v>4532</v>
      </c>
      <c r="O3907" s="5">
        <v>3.75</v>
      </c>
    </row>
    <row r="3908" spans="2:15" x14ac:dyDescent="0.25">
      <c r="B3908" s="1" t="s">
        <v>1520</v>
      </c>
      <c r="C3908" s="2" t="s">
        <v>196</v>
      </c>
      <c r="D3908" s="2" t="s">
        <v>669</v>
      </c>
      <c r="E3908" s="2" t="s">
        <v>56</v>
      </c>
      <c r="F3908" s="3">
        <v>45320</v>
      </c>
      <c r="G3908" s="4">
        <v>1</v>
      </c>
      <c r="H3908" s="4">
        <v>2024</v>
      </c>
      <c r="I3908" s="2" t="s">
        <v>4</v>
      </c>
      <c r="J3908" s="2" t="s">
        <v>4746</v>
      </c>
      <c r="K3908" s="2" t="s">
        <v>384</v>
      </c>
      <c r="L3908" s="2" t="s">
        <v>385</v>
      </c>
      <c r="M3908" s="2" t="s">
        <v>119</v>
      </c>
      <c r="N3908" s="4" t="s">
        <v>119</v>
      </c>
      <c r="O3908" s="5">
        <v>2.5</v>
      </c>
    </row>
    <row r="3909" spans="2:15" x14ac:dyDescent="0.25">
      <c r="B3909" s="1" t="s">
        <v>1520</v>
      </c>
      <c r="C3909" s="2" t="s">
        <v>196</v>
      </c>
      <c r="D3909" s="2" t="s">
        <v>317</v>
      </c>
      <c r="E3909" s="2" t="s">
        <v>829</v>
      </c>
      <c r="F3909" s="3">
        <v>45320</v>
      </c>
      <c r="G3909" s="4">
        <v>1</v>
      </c>
      <c r="H3909" s="4">
        <v>2024</v>
      </c>
      <c r="I3909" s="2" t="s">
        <v>4</v>
      </c>
      <c r="J3909" s="2" t="s">
        <v>4747</v>
      </c>
      <c r="K3909" s="2" t="s">
        <v>117</v>
      </c>
      <c r="L3909" s="2" t="s">
        <v>118</v>
      </c>
      <c r="M3909" s="2" t="s">
        <v>119</v>
      </c>
      <c r="N3909" s="4" t="s">
        <v>119</v>
      </c>
      <c r="O3909" s="5">
        <v>15.015000000000001</v>
      </c>
    </row>
    <row r="3910" spans="2:15" x14ac:dyDescent="0.25">
      <c r="B3910" s="1" t="s">
        <v>1520</v>
      </c>
      <c r="C3910" s="2" t="s">
        <v>196</v>
      </c>
      <c r="D3910" s="2" t="s">
        <v>280</v>
      </c>
      <c r="E3910" s="2" t="s">
        <v>811</v>
      </c>
      <c r="F3910" s="3">
        <v>45320</v>
      </c>
      <c r="G3910" s="4">
        <v>1</v>
      </c>
      <c r="H3910" s="4">
        <v>2024</v>
      </c>
      <c r="I3910" s="2" t="s">
        <v>4</v>
      </c>
      <c r="J3910" s="2" t="s">
        <v>4748</v>
      </c>
      <c r="K3910" s="2" t="s">
        <v>117</v>
      </c>
      <c r="L3910" s="2" t="s">
        <v>118</v>
      </c>
      <c r="M3910" s="2" t="s">
        <v>119</v>
      </c>
      <c r="N3910" s="4" t="s">
        <v>119</v>
      </c>
      <c r="O3910" s="5">
        <v>15.0075</v>
      </c>
    </row>
    <row r="3911" spans="2:15" x14ac:dyDescent="0.25">
      <c r="B3911" s="1" t="s">
        <v>1520</v>
      </c>
      <c r="C3911" s="2" t="s">
        <v>196</v>
      </c>
      <c r="D3911" s="2" t="s">
        <v>374</v>
      </c>
      <c r="E3911" s="2" t="s">
        <v>710</v>
      </c>
      <c r="F3911" s="3">
        <v>45320</v>
      </c>
      <c r="G3911" s="4">
        <v>1</v>
      </c>
      <c r="H3911" s="4">
        <v>2024</v>
      </c>
      <c r="I3911" s="2" t="s">
        <v>4</v>
      </c>
      <c r="J3911" s="2" t="s">
        <v>4749</v>
      </c>
      <c r="K3911" s="2" t="s">
        <v>329</v>
      </c>
      <c r="L3911" s="2" t="s">
        <v>330</v>
      </c>
      <c r="M3911" s="2" t="s">
        <v>119</v>
      </c>
      <c r="N3911" s="4" t="s">
        <v>119</v>
      </c>
      <c r="O3911" s="5">
        <v>2.4925000000000002</v>
      </c>
    </row>
    <row r="3912" spans="2:15" x14ac:dyDescent="0.25">
      <c r="B3912" s="1" t="s">
        <v>1520</v>
      </c>
      <c r="C3912" s="2" t="s">
        <v>196</v>
      </c>
      <c r="D3912" s="2" t="s">
        <v>210</v>
      </c>
      <c r="E3912" s="2" t="s">
        <v>962</v>
      </c>
      <c r="F3912" s="3">
        <v>45320</v>
      </c>
      <c r="G3912" s="4">
        <v>1</v>
      </c>
      <c r="H3912" s="4">
        <v>2024</v>
      </c>
      <c r="I3912" s="2" t="s">
        <v>4</v>
      </c>
      <c r="J3912" s="2" t="s">
        <v>4750</v>
      </c>
      <c r="K3912" s="2" t="s">
        <v>1379</v>
      </c>
      <c r="L3912" s="2" t="s">
        <v>1380</v>
      </c>
      <c r="M3912" s="2" t="s">
        <v>119</v>
      </c>
      <c r="N3912" s="4" t="s">
        <v>119</v>
      </c>
      <c r="O3912" s="5">
        <v>15.025</v>
      </c>
    </row>
    <row r="3913" spans="2:15" x14ac:dyDescent="0.25">
      <c r="B3913" s="1" t="s">
        <v>1520</v>
      </c>
      <c r="C3913" s="2" t="s">
        <v>196</v>
      </c>
      <c r="D3913" s="2" t="s">
        <v>4013</v>
      </c>
      <c r="E3913" s="2" t="s">
        <v>102</v>
      </c>
      <c r="F3913" s="3">
        <v>45321</v>
      </c>
      <c r="G3913" s="4">
        <v>1</v>
      </c>
      <c r="H3913" s="4">
        <v>2024</v>
      </c>
      <c r="I3913" s="2" t="s">
        <v>4</v>
      </c>
      <c r="J3913" s="2" t="s">
        <v>4751</v>
      </c>
      <c r="K3913" s="2" t="s">
        <v>25</v>
      </c>
      <c r="L3913" s="2" t="s">
        <v>541</v>
      </c>
      <c r="M3913" s="2" t="s">
        <v>27</v>
      </c>
      <c r="N3913" s="4" t="s">
        <v>4532</v>
      </c>
      <c r="O3913" s="5">
        <v>5</v>
      </c>
    </row>
    <row r="3914" spans="2:15" x14ac:dyDescent="0.25">
      <c r="B3914" s="1" t="s">
        <v>1520</v>
      </c>
      <c r="C3914" s="2" t="s">
        <v>196</v>
      </c>
      <c r="D3914" s="2" t="s">
        <v>4013</v>
      </c>
      <c r="E3914" s="2" t="s">
        <v>102</v>
      </c>
      <c r="F3914" s="3">
        <v>45321</v>
      </c>
      <c r="G3914" s="4">
        <v>1</v>
      </c>
      <c r="H3914" s="4">
        <v>2024</v>
      </c>
      <c r="I3914" s="2" t="s">
        <v>4</v>
      </c>
      <c r="J3914" s="2" t="s">
        <v>4751</v>
      </c>
      <c r="K3914" s="2" t="s">
        <v>158</v>
      </c>
      <c r="L3914" s="2" t="s">
        <v>159</v>
      </c>
      <c r="M3914" s="2" t="s">
        <v>160</v>
      </c>
      <c r="N3914" s="4" t="s">
        <v>4532</v>
      </c>
      <c r="O3914" s="5">
        <v>5</v>
      </c>
    </row>
    <row r="3915" spans="2:15" x14ac:dyDescent="0.25">
      <c r="B3915" s="1" t="s">
        <v>1520</v>
      </c>
      <c r="C3915" s="2" t="s">
        <v>196</v>
      </c>
      <c r="D3915" s="2" t="s">
        <v>475</v>
      </c>
      <c r="E3915" s="2" t="s">
        <v>476</v>
      </c>
      <c r="F3915" s="3">
        <v>45321</v>
      </c>
      <c r="G3915" s="4">
        <v>1</v>
      </c>
      <c r="H3915" s="4">
        <v>2024</v>
      </c>
      <c r="I3915" s="2" t="s">
        <v>4</v>
      </c>
      <c r="J3915" s="2" t="s">
        <v>4752</v>
      </c>
      <c r="K3915" s="2" t="s">
        <v>478</v>
      </c>
      <c r="L3915" s="2" t="s">
        <v>479</v>
      </c>
      <c r="M3915" s="2" t="s">
        <v>119</v>
      </c>
      <c r="N3915" s="4" t="s">
        <v>119</v>
      </c>
      <c r="O3915" s="5">
        <v>15.01</v>
      </c>
    </row>
    <row r="3916" spans="2:15" x14ac:dyDescent="0.25">
      <c r="B3916" s="1" t="s">
        <v>1520</v>
      </c>
      <c r="C3916" s="2" t="s">
        <v>196</v>
      </c>
      <c r="D3916" s="2" t="s">
        <v>280</v>
      </c>
      <c r="E3916" s="2" t="s">
        <v>699</v>
      </c>
      <c r="F3916" s="3">
        <v>45321</v>
      </c>
      <c r="G3916" s="4">
        <v>1</v>
      </c>
      <c r="H3916" s="4">
        <v>2024</v>
      </c>
      <c r="I3916" s="2" t="s">
        <v>4</v>
      </c>
      <c r="J3916" s="2" t="s">
        <v>4753</v>
      </c>
      <c r="K3916" s="2" t="s">
        <v>117</v>
      </c>
      <c r="L3916" s="2" t="s">
        <v>118</v>
      </c>
      <c r="M3916" s="2" t="s">
        <v>119</v>
      </c>
      <c r="N3916" s="4" t="s">
        <v>119</v>
      </c>
      <c r="O3916" s="5">
        <v>10.0075</v>
      </c>
    </row>
    <row r="3917" spans="2:15" x14ac:dyDescent="0.25">
      <c r="B3917" s="1" t="s">
        <v>1520</v>
      </c>
      <c r="C3917" s="2" t="s">
        <v>196</v>
      </c>
      <c r="D3917" s="2" t="s">
        <v>280</v>
      </c>
      <c r="E3917" s="2" t="s">
        <v>371</v>
      </c>
      <c r="F3917" s="3">
        <v>45321</v>
      </c>
      <c r="G3917" s="4">
        <v>1</v>
      </c>
      <c r="H3917" s="4">
        <v>2024</v>
      </c>
      <c r="I3917" s="2" t="s">
        <v>4</v>
      </c>
      <c r="J3917" s="2" t="s">
        <v>4754</v>
      </c>
      <c r="K3917" s="2" t="s">
        <v>117</v>
      </c>
      <c r="L3917" s="2" t="s">
        <v>118</v>
      </c>
      <c r="M3917" s="2" t="s">
        <v>119</v>
      </c>
      <c r="N3917" s="4" t="s">
        <v>119</v>
      </c>
      <c r="O3917" s="5">
        <v>5</v>
      </c>
    </row>
    <row r="3918" spans="2:15" x14ac:dyDescent="0.25">
      <c r="B3918" s="1" t="s">
        <v>1520</v>
      </c>
      <c r="C3918" s="2" t="s">
        <v>196</v>
      </c>
      <c r="D3918" s="2" t="s">
        <v>299</v>
      </c>
      <c r="E3918" s="2" t="s">
        <v>300</v>
      </c>
      <c r="F3918" s="3">
        <v>45321</v>
      </c>
      <c r="G3918" s="4">
        <v>1</v>
      </c>
      <c r="H3918" s="4">
        <v>2024</v>
      </c>
      <c r="I3918" s="2" t="s">
        <v>4</v>
      </c>
      <c r="J3918" s="2" t="s">
        <v>4755</v>
      </c>
      <c r="K3918" s="2" t="s">
        <v>117</v>
      </c>
      <c r="L3918" s="2" t="s">
        <v>118</v>
      </c>
      <c r="M3918" s="2" t="s">
        <v>119</v>
      </c>
      <c r="N3918" s="4" t="s">
        <v>119</v>
      </c>
      <c r="O3918" s="5">
        <v>13.5</v>
      </c>
    </row>
    <row r="3919" spans="2:15" x14ac:dyDescent="0.25">
      <c r="B3919" s="6" t="s">
        <v>1520</v>
      </c>
      <c r="C3919" s="7" t="s">
        <v>196</v>
      </c>
      <c r="D3919" s="8" t="s">
        <v>1343</v>
      </c>
      <c r="E3919" s="8" t="s">
        <v>3729</v>
      </c>
      <c r="F3919" s="12">
        <v>45321</v>
      </c>
      <c r="G3919" s="13">
        <v>1</v>
      </c>
      <c r="H3919" s="13">
        <v>2024</v>
      </c>
      <c r="I3919" s="8" t="s">
        <v>4</v>
      </c>
      <c r="J3919" s="7" t="s">
        <v>4756</v>
      </c>
      <c r="K3919" s="8" t="s">
        <v>4222</v>
      </c>
      <c r="L3919" s="8" t="s">
        <v>4223</v>
      </c>
      <c r="M3919" s="8" t="s">
        <v>119</v>
      </c>
      <c r="N3919" s="10" t="s">
        <v>119</v>
      </c>
      <c r="O3919" s="11">
        <v>15</v>
      </c>
    </row>
    <row r="3920" spans="2:15" x14ac:dyDescent="0.25">
      <c r="B3920" s="1" t="s">
        <v>1520</v>
      </c>
      <c r="C3920" s="2" t="s">
        <v>196</v>
      </c>
      <c r="D3920" s="2" t="s">
        <v>1343</v>
      </c>
      <c r="E3920" s="2" t="s">
        <v>3729</v>
      </c>
      <c r="F3920" s="3">
        <v>45321</v>
      </c>
      <c r="G3920" s="4">
        <v>1</v>
      </c>
      <c r="H3920" s="4">
        <v>2024</v>
      </c>
      <c r="I3920" s="2" t="s">
        <v>4</v>
      </c>
      <c r="J3920" s="2" t="s">
        <v>4756</v>
      </c>
      <c r="K3920" s="2" t="s">
        <v>3726</v>
      </c>
      <c r="L3920" s="2" t="s">
        <v>3727</v>
      </c>
      <c r="M3920" s="2" t="s">
        <v>145</v>
      </c>
      <c r="N3920" s="4" t="s">
        <v>4532</v>
      </c>
      <c r="O3920" s="5">
        <v>5.625</v>
      </c>
    </row>
    <row r="3921" spans="2:15" x14ac:dyDescent="0.25">
      <c r="B3921" s="1" t="s">
        <v>1520</v>
      </c>
      <c r="C3921" s="2" t="s">
        <v>196</v>
      </c>
      <c r="D3921" s="2" t="s">
        <v>299</v>
      </c>
      <c r="E3921" s="2" t="s">
        <v>713</v>
      </c>
      <c r="F3921" s="3">
        <v>45321</v>
      </c>
      <c r="G3921" s="4">
        <v>1</v>
      </c>
      <c r="H3921" s="4">
        <v>2024</v>
      </c>
      <c r="I3921" s="2" t="s">
        <v>4</v>
      </c>
      <c r="J3921" s="2" t="s">
        <v>4757</v>
      </c>
      <c r="K3921" s="2" t="s">
        <v>117</v>
      </c>
      <c r="L3921" s="2" t="s">
        <v>118</v>
      </c>
      <c r="M3921" s="2" t="s">
        <v>119</v>
      </c>
      <c r="N3921" s="4" t="s">
        <v>119</v>
      </c>
      <c r="O3921" s="5">
        <v>13.5</v>
      </c>
    </row>
    <row r="3922" spans="2:15" x14ac:dyDescent="0.25">
      <c r="B3922" s="1" t="s">
        <v>1520</v>
      </c>
      <c r="C3922" s="2" t="s">
        <v>196</v>
      </c>
      <c r="D3922" s="2" t="s">
        <v>672</v>
      </c>
      <c r="E3922" s="2" t="s">
        <v>699</v>
      </c>
      <c r="F3922" s="3">
        <v>45321</v>
      </c>
      <c r="G3922" s="4">
        <v>1</v>
      </c>
      <c r="H3922" s="4">
        <v>2024</v>
      </c>
      <c r="I3922" s="2" t="s">
        <v>4</v>
      </c>
      <c r="J3922" s="2" t="s">
        <v>4758</v>
      </c>
      <c r="K3922" s="2" t="s">
        <v>251</v>
      </c>
      <c r="L3922" s="2" t="s">
        <v>252</v>
      </c>
      <c r="M3922" s="2" t="s">
        <v>119</v>
      </c>
      <c r="N3922" s="4" t="s">
        <v>119</v>
      </c>
      <c r="O3922" s="5">
        <v>9.01</v>
      </c>
    </row>
    <row r="3923" spans="2:15" x14ac:dyDescent="0.25">
      <c r="B3923" s="1" t="s">
        <v>1520</v>
      </c>
      <c r="C3923" s="2" t="s">
        <v>196</v>
      </c>
      <c r="D3923" s="2" t="s">
        <v>679</v>
      </c>
      <c r="E3923" s="2" t="s">
        <v>359</v>
      </c>
      <c r="F3923" s="3">
        <v>45322</v>
      </c>
      <c r="G3923" s="4">
        <v>1</v>
      </c>
      <c r="H3923" s="4">
        <v>2024</v>
      </c>
      <c r="I3923" s="2" t="s">
        <v>4</v>
      </c>
      <c r="J3923" s="2" t="s">
        <v>4759</v>
      </c>
      <c r="K3923" s="2" t="s">
        <v>4428</v>
      </c>
      <c r="L3923" s="2" t="s">
        <v>4429</v>
      </c>
      <c r="M3923" s="2" t="s">
        <v>119</v>
      </c>
      <c r="N3923" s="4" t="s">
        <v>119</v>
      </c>
      <c r="O3923" s="5">
        <v>2</v>
      </c>
    </row>
    <row r="3924" spans="2:15" x14ac:dyDescent="0.25">
      <c r="B3924" s="1" t="s">
        <v>1520</v>
      </c>
      <c r="C3924" s="2" t="s">
        <v>196</v>
      </c>
      <c r="D3924" s="2" t="s">
        <v>4013</v>
      </c>
      <c r="E3924" s="2" t="s">
        <v>2868</v>
      </c>
      <c r="F3924" s="3">
        <v>45322</v>
      </c>
      <c r="G3924" s="4">
        <v>1</v>
      </c>
      <c r="H3924" s="4">
        <v>2024</v>
      </c>
      <c r="I3924" s="2" t="s">
        <v>4</v>
      </c>
      <c r="J3924" s="2" t="s">
        <v>4760</v>
      </c>
      <c r="K3924" s="2" t="s">
        <v>268</v>
      </c>
      <c r="L3924" s="2" t="s">
        <v>269</v>
      </c>
      <c r="M3924" s="2" t="s">
        <v>119</v>
      </c>
      <c r="N3924" s="4" t="s">
        <v>119</v>
      </c>
      <c r="O3924" s="5">
        <v>2</v>
      </c>
    </row>
    <row r="3925" spans="2:15" x14ac:dyDescent="0.25">
      <c r="B3925" s="1" t="s">
        <v>1520</v>
      </c>
      <c r="C3925" s="2" t="s">
        <v>196</v>
      </c>
      <c r="D3925" s="2" t="s">
        <v>458</v>
      </c>
      <c r="E3925" s="2" t="s">
        <v>2868</v>
      </c>
      <c r="F3925" s="3">
        <v>45322</v>
      </c>
      <c r="G3925" s="4">
        <v>1</v>
      </c>
      <c r="H3925" s="4">
        <v>2024</v>
      </c>
      <c r="I3925" s="2" t="s">
        <v>4</v>
      </c>
      <c r="J3925" s="2" t="s">
        <v>4761</v>
      </c>
      <c r="K3925" s="2" t="s">
        <v>122</v>
      </c>
      <c r="L3925" s="2" t="s">
        <v>123</v>
      </c>
      <c r="M3925" s="2" t="s">
        <v>119</v>
      </c>
      <c r="N3925" s="4" t="s">
        <v>119</v>
      </c>
      <c r="O3925" s="5">
        <v>5</v>
      </c>
    </row>
    <row r="3926" spans="2:15" x14ac:dyDescent="0.25">
      <c r="B3926" s="1" t="s">
        <v>1520</v>
      </c>
      <c r="C3926" s="2" t="s">
        <v>196</v>
      </c>
      <c r="D3926" s="2" t="s">
        <v>299</v>
      </c>
      <c r="E3926" s="2" t="s">
        <v>398</v>
      </c>
      <c r="F3926" s="3">
        <v>45322</v>
      </c>
      <c r="G3926" s="4">
        <v>1</v>
      </c>
      <c r="H3926" s="4">
        <v>2024</v>
      </c>
      <c r="I3926" s="2" t="s">
        <v>4</v>
      </c>
      <c r="J3926" s="2" t="s">
        <v>4762</v>
      </c>
      <c r="K3926" s="2" t="s">
        <v>117</v>
      </c>
      <c r="L3926" s="2" t="s">
        <v>118</v>
      </c>
      <c r="M3926" s="2" t="s">
        <v>119</v>
      </c>
      <c r="N3926" s="4" t="s">
        <v>119</v>
      </c>
      <c r="O3926" s="5">
        <v>14</v>
      </c>
    </row>
    <row r="3927" spans="2:15" x14ac:dyDescent="0.25">
      <c r="B3927" s="1" t="s">
        <v>1520</v>
      </c>
      <c r="C3927" s="2" t="s">
        <v>196</v>
      </c>
      <c r="D3927" s="2" t="s">
        <v>310</v>
      </c>
      <c r="E3927" s="2" t="s">
        <v>355</v>
      </c>
      <c r="F3927" s="3">
        <v>45322</v>
      </c>
      <c r="G3927" s="4">
        <v>1</v>
      </c>
      <c r="H3927" s="4">
        <v>2024</v>
      </c>
      <c r="I3927" s="2" t="s">
        <v>4</v>
      </c>
      <c r="J3927" s="2" t="s">
        <v>4763</v>
      </c>
      <c r="K3927" s="2" t="s">
        <v>329</v>
      </c>
      <c r="L3927" s="2" t="s">
        <v>330</v>
      </c>
      <c r="M3927" s="2" t="s">
        <v>119</v>
      </c>
      <c r="N3927" s="4" t="s">
        <v>119</v>
      </c>
      <c r="O3927" s="5">
        <v>2</v>
      </c>
    </row>
    <row r="3928" spans="2:15" x14ac:dyDescent="0.25">
      <c r="B3928" s="1" t="s">
        <v>1520</v>
      </c>
      <c r="C3928" s="2" t="s">
        <v>196</v>
      </c>
      <c r="D3928" s="2" t="s">
        <v>374</v>
      </c>
      <c r="E3928" s="2" t="s">
        <v>717</v>
      </c>
      <c r="F3928" s="3">
        <v>45322</v>
      </c>
      <c r="G3928" s="4">
        <v>1</v>
      </c>
      <c r="H3928" s="4">
        <v>2024</v>
      </c>
      <c r="I3928" s="2" t="s">
        <v>4</v>
      </c>
      <c r="J3928" s="2" t="s">
        <v>4764</v>
      </c>
      <c r="K3928" s="2" t="s">
        <v>122</v>
      </c>
      <c r="L3928" s="2" t="s">
        <v>123</v>
      </c>
      <c r="M3928" s="2" t="s">
        <v>119</v>
      </c>
      <c r="N3928" s="4" t="s">
        <v>119</v>
      </c>
      <c r="O3928" s="5">
        <v>10</v>
      </c>
    </row>
    <row r="3929" spans="2:15" x14ac:dyDescent="0.25">
      <c r="B3929" s="1" t="s">
        <v>1520</v>
      </c>
      <c r="C3929" s="2" t="s">
        <v>196</v>
      </c>
      <c r="D3929" s="2" t="s">
        <v>348</v>
      </c>
      <c r="E3929" s="2" t="s">
        <v>3781</v>
      </c>
      <c r="F3929" s="3">
        <v>45322</v>
      </c>
      <c r="G3929" s="4">
        <v>1</v>
      </c>
      <c r="H3929" s="4">
        <v>2024</v>
      </c>
      <c r="I3929" s="2" t="s">
        <v>4</v>
      </c>
      <c r="J3929" s="2" t="s">
        <v>4765</v>
      </c>
      <c r="K3929" s="2" t="s">
        <v>1188</v>
      </c>
      <c r="L3929" s="2" t="s">
        <v>541</v>
      </c>
      <c r="M3929" s="2" t="s">
        <v>27</v>
      </c>
      <c r="N3929" s="4" t="s">
        <v>4532</v>
      </c>
      <c r="O3929" s="5">
        <v>500</v>
      </c>
    </row>
    <row r="3930" spans="2:15" x14ac:dyDescent="0.25">
      <c r="B3930" s="1" t="s">
        <v>1520</v>
      </c>
      <c r="C3930" s="2" t="s">
        <v>196</v>
      </c>
      <c r="D3930" s="2" t="s">
        <v>273</v>
      </c>
      <c r="E3930" s="2" t="s">
        <v>976</v>
      </c>
      <c r="F3930" s="3">
        <v>45322</v>
      </c>
      <c r="G3930" s="4">
        <v>1</v>
      </c>
      <c r="H3930" s="4">
        <v>2024</v>
      </c>
      <c r="I3930" s="2" t="s">
        <v>4</v>
      </c>
      <c r="J3930" s="2" t="s">
        <v>4766</v>
      </c>
      <c r="K3930" s="2" t="s">
        <v>205</v>
      </c>
      <c r="L3930" s="2" t="s">
        <v>206</v>
      </c>
      <c r="M3930" s="2" t="s">
        <v>119</v>
      </c>
      <c r="N3930" s="4" t="s">
        <v>119</v>
      </c>
      <c r="O3930" s="5">
        <v>1.5125</v>
      </c>
    </row>
    <row r="3931" spans="2:15" x14ac:dyDescent="0.25">
      <c r="B3931" s="1" t="s">
        <v>1520</v>
      </c>
      <c r="C3931" s="2" t="s">
        <v>196</v>
      </c>
      <c r="D3931" s="2" t="s">
        <v>458</v>
      </c>
      <c r="E3931" s="2" t="s">
        <v>699</v>
      </c>
      <c r="F3931" s="3">
        <v>45322</v>
      </c>
      <c r="G3931" s="4">
        <v>1</v>
      </c>
      <c r="H3931" s="4">
        <v>2024</v>
      </c>
      <c r="I3931" s="2" t="s">
        <v>4</v>
      </c>
      <c r="J3931" s="2" t="s">
        <v>4767</v>
      </c>
      <c r="K3931" s="2" t="s">
        <v>122</v>
      </c>
      <c r="L3931" s="2" t="s">
        <v>123</v>
      </c>
      <c r="M3931" s="2" t="s">
        <v>119</v>
      </c>
      <c r="N3931" s="4" t="s">
        <v>119</v>
      </c>
      <c r="O3931" s="5">
        <v>9.9949999999999992</v>
      </c>
    </row>
    <row r="3932" spans="2:15" x14ac:dyDescent="0.25">
      <c r="B3932" s="1" t="s">
        <v>382</v>
      </c>
      <c r="C3932" s="2" t="s">
        <v>506</v>
      </c>
      <c r="D3932" s="2" t="s">
        <v>1006</v>
      </c>
      <c r="E3932" s="2" t="s">
        <v>1007</v>
      </c>
      <c r="F3932" s="3">
        <v>45308</v>
      </c>
      <c r="G3932" s="4">
        <v>1</v>
      </c>
      <c r="H3932" s="4">
        <v>2024</v>
      </c>
      <c r="I3932" s="2" t="s">
        <v>4</v>
      </c>
      <c r="J3932" s="2" t="s">
        <v>4768</v>
      </c>
      <c r="K3932" s="2" t="s">
        <v>642</v>
      </c>
      <c r="L3932" s="2" t="s">
        <v>111</v>
      </c>
      <c r="M3932" s="2" t="s">
        <v>112</v>
      </c>
      <c r="N3932" s="4" t="s">
        <v>4532</v>
      </c>
      <c r="O3932" s="5">
        <v>360</v>
      </c>
    </row>
    <row r="3933" spans="2:15" x14ac:dyDescent="0.25">
      <c r="B3933" s="1" t="s">
        <v>382</v>
      </c>
      <c r="C3933" s="2" t="s">
        <v>506</v>
      </c>
      <c r="D3933" s="2" t="s">
        <v>521</v>
      </c>
      <c r="E3933" s="2" t="s">
        <v>522</v>
      </c>
      <c r="F3933" s="3">
        <v>45316</v>
      </c>
      <c r="G3933" s="4">
        <v>1</v>
      </c>
      <c r="H3933" s="4">
        <v>2024</v>
      </c>
      <c r="I3933" s="2" t="s">
        <v>4</v>
      </c>
      <c r="J3933" s="2" t="s">
        <v>4769</v>
      </c>
      <c r="K3933" s="2" t="s">
        <v>1400</v>
      </c>
      <c r="L3933" s="2" t="s">
        <v>1396</v>
      </c>
      <c r="M3933" s="2" t="s">
        <v>1397</v>
      </c>
      <c r="N3933" s="4" t="s">
        <v>4532</v>
      </c>
      <c r="O3933" s="5">
        <v>750</v>
      </c>
    </row>
    <row r="3934" spans="2:15" x14ac:dyDescent="0.25">
      <c r="B3934" s="1" t="s">
        <v>382</v>
      </c>
      <c r="C3934" s="2" t="s">
        <v>506</v>
      </c>
      <c r="D3934" s="2" t="s">
        <v>521</v>
      </c>
      <c r="E3934" s="2" t="s">
        <v>522</v>
      </c>
      <c r="F3934" s="3">
        <v>45322</v>
      </c>
      <c r="G3934" s="4">
        <v>1</v>
      </c>
      <c r="H3934" s="4">
        <v>2024</v>
      </c>
      <c r="I3934" s="2" t="s">
        <v>4</v>
      </c>
      <c r="J3934" s="2" t="s">
        <v>4770</v>
      </c>
      <c r="K3934" s="2" t="s">
        <v>1400</v>
      </c>
      <c r="L3934" s="2" t="s">
        <v>1396</v>
      </c>
      <c r="M3934" s="2" t="s">
        <v>1397</v>
      </c>
      <c r="N3934" s="4" t="s">
        <v>4532</v>
      </c>
      <c r="O3934" s="5">
        <v>1000</v>
      </c>
    </row>
    <row r="3935" spans="2:15" x14ac:dyDescent="0.25">
      <c r="B3935" s="1" t="s">
        <v>645</v>
      </c>
      <c r="C3935" s="2" t="s">
        <v>1025</v>
      </c>
      <c r="D3935" s="2" t="s">
        <v>1401</v>
      </c>
      <c r="E3935" s="2" t="s">
        <v>1402</v>
      </c>
      <c r="F3935" s="3">
        <v>45295</v>
      </c>
      <c r="G3935" s="4">
        <v>1</v>
      </c>
      <c r="H3935" s="4">
        <v>2024</v>
      </c>
      <c r="I3935" s="2" t="s">
        <v>4</v>
      </c>
      <c r="J3935" s="2" t="s">
        <v>4771</v>
      </c>
      <c r="K3935" s="2" t="s">
        <v>4772</v>
      </c>
      <c r="L3935" s="2" t="s">
        <v>4773</v>
      </c>
      <c r="M3935" s="2" t="s">
        <v>4774</v>
      </c>
      <c r="N3935" s="4" t="s">
        <v>4532</v>
      </c>
      <c r="O3935" s="5">
        <v>360</v>
      </c>
    </row>
    <row r="3936" spans="2:15" x14ac:dyDescent="0.25">
      <c r="B3936" s="1" t="s">
        <v>1742</v>
      </c>
      <c r="C3936" s="2" t="s">
        <v>1025</v>
      </c>
      <c r="D3936" s="2" t="s">
        <v>496</v>
      </c>
      <c r="E3936" s="2" t="s">
        <v>497</v>
      </c>
      <c r="F3936" s="3">
        <v>45300</v>
      </c>
      <c r="G3936" s="4">
        <v>1</v>
      </c>
      <c r="H3936" s="4">
        <v>2024</v>
      </c>
      <c r="I3936" s="2" t="s">
        <v>4</v>
      </c>
      <c r="J3936" s="2" t="s">
        <v>4775</v>
      </c>
      <c r="K3936" s="2" t="s">
        <v>1744</v>
      </c>
      <c r="L3936" s="2" t="s">
        <v>1745</v>
      </c>
      <c r="M3936" s="2" t="s">
        <v>119</v>
      </c>
      <c r="N3936" s="4" t="s">
        <v>119</v>
      </c>
      <c r="O3936" s="5">
        <v>3.75</v>
      </c>
    </row>
    <row r="3937" spans="2:15" x14ac:dyDescent="0.25">
      <c r="B3937" s="1" t="s">
        <v>1742</v>
      </c>
      <c r="C3937" s="2" t="s">
        <v>1025</v>
      </c>
      <c r="D3937" s="2" t="s">
        <v>496</v>
      </c>
      <c r="E3937" s="2" t="s">
        <v>497</v>
      </c>
      <c r="F3937" s="3">
        <v>45300</v>
      </c>
      <c r="G3937" s="4">
        <v>1</v>
      </c>
      <c r="H3937" s="4">
        <v>2024</v>
      </c>
      <c r="I3937" s="2" t="s">
        <v>4</v>
      </c>
      <c r="J3937" s="2" t="s">
        <v>4776</v>
      </c>
      <c r="K3937" s="2" t="s">
        <v>171</v>
      </c>
      <c r="L3937" s="2" t="s">
        <v>172</v>
      </c>
      <c r="M3937" s="2" t="s">
        <v>27</v>
      </c>
      <c r="N3937" s="4" t="s">
        <v>4532</v>
      </c>
      <c r="O3937" s="5">
        <v>30</v>
      </c>
    </row>
    <row r="3938" spans="2:15" x14ac:dyDescent="0.25">
      <c r="B3938" s="1" t="s">
        <v>1742</v>
      </c>
      <c r="C3938" s="2" t="s">
        <v>1025</v>
      </c>
      <c r="D3938" s="2" t="s">
        <v>628</v>
      </c>
      <c r="E3938" s="2" t="s">
        <v>3060</v>
      </c>
      <c r="F3938" s="3">
        <v>45300</v>
      </c>
      <c r="G3938" s="4">
        <v>1</v>
      </c>
      <c r="H3938" s="4">
        <v>2024</v>
      </c>
      <c r="I3938" s="2" t="s">
        <v>4</v>
      </c>
      <c r="J3938" s="2" t="s">
        <v>4777</v>
      </c>
      <c r="K3938" s="2" t="s">
        <v>2493</v>
      </c>
      <c r="L3938" s="2" t="s">
        <v>2494</v>
      </c>
      <c r="M3938" s="2" t="s">
        <v>119</v>
      </c>
      <c r="N3938" s="4" t="s">
        <v>119</v>
      </c>
      <c r="O3938" s="5">
        <v>1.2549999999999999</v>
      </c>
    </row>
    <row r="3939" spans="2:15" x14ac:dyDescent="0.25">
      <c r="B3939" s="1" t="s">
        <v>1742</v>
      </c>
      <c r="C3939" s="2" t="s">
        <v>1025</v>
      </c>
      <c r="D3939" s="2" t="s">
        <v>1401</v>
      </c>
      <c r="E3939" s="2" t="s">
        <v>1402</v>
      </c>
      <c r="F3939" s="3">
        <v>45302</v>
      </c>
      <c r="G3939" s="4">
        <v>1</v>
      </c>
      <c r="H3939" s="4">
        <v>2024</v>
      </c>
      <c r="I3939" s="2" t="s">
        <v>4</v>
      </c>
      <c r="J3939" s="2" t="s">
        <v>4778</v>
      </c>
      <c r="K3939" s="2" t="s">
        <v>642</v>
      </c>
      <c r="L3939" s="2" t="s">
        <v>111</v>
      </c>
      <c r="M3939" s="2" t="s">
        <v>112</v>
      </c>
      <c r="N3939" s="4" t="s">
        <v>4532</v>
      </c>
      <c r="O3939" s="5">
        <v>180</v>
      </c>
    </row>
    <row r="3940" spans="2:15" x14ac:dyDescent="0.25">
      <c r="B3940" s="1" t="s">
        <v>1742</v>
      </c>
      <c r="C3940" s="2" t="s">
        <v>1025</v>
      </c>
      <c r="D3940" s="2" t="s">
        <v>1401</v>
      </c>
      <c r="E3940" s="2" t="s">
        <v>1402</v>
      </c>
      <c r="F3940" s="3">
        <v>45302</v>
      </c>
      <c r="G3940" s="4">
        <v>1</v>
      </c>
      <c r="H3940" s="4">
        <v>2024</v>
      </c>
      <c r="I3940" s="2" t="s">
        <v>4</v>
      </c>
      <c r="J3940" s="2" t="s">
        <v>4778</v>
      </c>
      <c r="K3940" s="2" t="s">
        <v>1404</v>
      </c>
      <c r="L3940" s="2" t="s">
        <v>1405</v>
      </c>
      <c r="M3940" s="2" t="s">
        <v>1397</v>
      </c>
      <c r="N3940" s="4" t="s">
        <v>4532</v>
      </c>
      <c r="O3940" s="5">
        <v>960</v>
      </c>
    </row>
    <row r="3941" spans="2:15" x14ac:dyDescent="0.25">
      <c r="B3941" s="1" t="s">
        <v>1742</v>
      </c>
      <c r="C3941" s="2" t="s">
        <v>1025</v>
      </c>
      <c r="D3941" s="2" t="s">
        <v>1401</v>
      </c>
      <c r="E3941" s="2" t="s">
        <v>1402</v>
      </c>
      <c r="F3941" s="3">
        <v>45302</v>
      </c>
      <c r="G3941" s="4">
        <v>1</v>
      </c>
      <c r="H3941" s="4">
        <v>2024</v>
      </c>
      <c r="I3941" s="2" t="s">
        <v>4</v>
      </c>
      <c r="J3941" s="2" t="s">
        <v>4778</v>
      </c>
      <c r="K3941" s="2" t="s">
        <v>2081</v>
      </c>
      <c r="L3941" s="2" t="s">
        <v>1405</v>
      </c>
      <c r="M3941" s="2" t="s">
        <v>1397</v>
      </c>
      <c r="N3941" s="4" t="s">
        <v>4532</v>
      </c>
      <c r="O3941" s="5">
        <v>250</v>
      </c>
    </row>
    <row r="3942" spans="2:15" x14ac:dyDescent="0.25">
      <c r="B3942" s="1" t="s">
        <v>1742</v>
      </c>
      <c r="C3942" s="2" t="s">
        <v>1025</v>
      </c>
      <c r="D3942" s="2" t="s">
        <v>124</v>
      </c>
      <c r="E3942" s="2" t="s">
        <v>2475</v>
      </c>
      <c r="F3942" s="3">
        <v>45320</v>
      </c>
      <c r="G3942" s="4">
        <v>1</v>
      </c>
      <c r="H3942" s="4">
        <v>2024</v>
      </c>
      <c r="I3942" s="2" t="s">
        <v>4</v>
      </c>
      <c r="J3942" s="2" t="s">
        <v>4779</v>
      </c>
      <c r="K3942" s="2" t="s">
        <v>158</v>
      </c>
      <c r="L3942" s="2" t="s">
        <v>159</v>
      </c>
      <c r="M3942" s="2" t="s">
        <v>160</v>
      </c>
      <c r="N3942" s="4" t="s">
        <v>4532</v>
      </c>
      <c r="O3942" s="5">
        <v>180</v>
      </c>
    </row>
    <row r="3943" spans="2:15" x14ac:dyDescent="0.25">
      <c r="B3943" s="1" t="s">
        <v>1410</v>
      </c>
      <c r="C3943" s="2" t="s">
        <v>525</v>
      </c>
      <c r="D3943" s="2" t="s">
        <v>507</v>
      </c>
      <c r="E3943" s="2" t="s">
        <v>508</v>
      </c>
      <c r="F3943" s="3">
        <v>45295</v>
      </c>
      <c r="G3943" s="4">
        <v>1</v>
      </c>
      <c r="H3943" s="4">
        <v>2024</v>
      </c>
      <c r="I3943" s="2" t="s">
        <v>4</v>
      </c>
      <c r="J3943" s="2" t="s">
        <v>4780</v>
      </c>
      <c r="K3943" s="2" t="s">
        <v>560</v>
      </c>
      <c r="L3943" s="2" t="s">
        <v>602</v>
      </c>
      <c r="M3943" s="2" t="s">
        <v>41</v>
      </c>
      <c r="N3943" s="4" t="s">
        <v>4532</v>
      </c>
      <c r="O3943" s="5">
        <v>250</v>
      </c>
    </row>
    <row r="3944" spans="2:15" x14ac:dyDescent="0.25">
      <c r="B3944" s="1" t="s">
        <v>1410</v>
      </c>
      <c r="C3944" s="2" t="s">
        <v>525</v>
      </c>
      <c r="D3944" s="2" t="s">
        <v>628</v>
      </c>
      <c r="E3944" s="2" t="s">
        <v>1036</v>
      </c>
      <c r="F3944" s="3">
        <v>45296</v>
      </c>
      <c r="G3944" s="4">
        <v>1</v>
      </c>
      <c r="H3944" s="4">
        <v>2024</v>
      </c>
      <c r="I3944" s="2" t="s">
        <v>4</v>
      </c>
      <c r="J3944" s="2" t="s">
        <v>4781</v>
      </c>
      <c r="K3944" s="2" t="s">
        <v>531</v>
      </c>
      <c r="L3944" s="2" t="s">
        <v>201</v>
      </c>
      <c r="M3944" s="2" t="s">
        <v>202</v>
      </c>
      <c r="N3944" s="4" t="s">
        <v>4532</v>
      </c>
      <c r="O3944" s="5">
        <v>300</v>
      </c>
    </row>
    <row r="3945" spans="2:15" x14ac:dyDescent="0.25">
      <c r="B3945" s="1" t="s">
        <v>645</v>
      </c>
      <c r="C3945" s="2" t="s">
        <v>525</v>
      </c>
      <c r="D3945" s="2" t="s">
        <v>646</v>
      </c>
      <c r="E3945" s="2" t="s">
        <v>647</v>
      </c>
      <c r="F3945" s="3">
        <v>45299</v>
      </c>
      <c r="G3945" s="4">
        <v>1</v>
      </c>
      <c r="H3945" s="4">
        <v>2024</v>
      </c>
      <c r="I3945" s="2" t="s">
        <v>4</v>
      </c>
      <c r="J3945" s="2" t="s">
        <v>4782</v>
      </c>
      <c r="K3945" s="2" t="s">
        <v>25</v>
      </c>
      <c r="L3945" s="2" t="s">
        <v>541</v>
      </c>
      <c r="M3945" s="2" t="s">
        <v>27</v>
      </c>
      <c r="N3945" s="4" t="s">
        <v>4532</v>
      </c>
      <c r="O3945" s="5">
        <v>360</v>
      </c>
    </row>
    <row r="3946" spans="2:15" x14ac:dyDescent="0.25">
      <c r="B3946" s="1" t="s">
        <v>1410</v>
      </c>
      <c r="C3946" s="2" t="s">
        <v>525</v>
      </c>
      <c r="D3946" s="2" t="s">
        <v>646</v>
      </c>
      <c r="E3946" s="2" t="s">
        <v>647</v>
      </c>
      <c r="F3946" s="3">
        <v>45299</v>
      </c>
      <c r="G3946" s="4">
        <v>1</v>
      </c>
      <c r="H3946" s="4">
        <v>2024</v>
      </c>
      <c r="I3946" s="2" t="s">
        <v>4</v>
      </c>
      <c r="J3946" s="2" t="s">
        <v>4783</v>
      </c>
      <c r="K3946" s="2" t="s">
        <v>649</v>
      </c>
      <c r="L3946" s="2" t="s">
        <v>538</v>
      </c>
      <c r="M3946" s="2" t="s">
        <v>4243</v>
      </c>
      <c r="N3946" s="4" t="s">
        <v>4532</v>
      </c>
      <c r="O3946" s="5">
        <v>1250</v>
      </c>
    </row>
    <row r="3947" spans="2:15" x14ac:dyDescent="0.25">
      <c r="B3947" s="1" t="s">
        <v>1410</v>
      </c>
      <c r="C3947" s="2" t="s">
        <v>525</v>
      </c>
      <c r="D3947" s="2" t="s">
        <v>507</v>
      </c>
      <c r="E3947" s="2" t="s">
        <v>508</v>
      </c>
      <c r="F3947" s="3">
        <v>45300</v>
      </c>
      <c r="G3947" s="4">
        <v>1</v>
      </c>
      <c r="H3947" s="4">
        <v>2024</v>
      </c>
      <c r="I3947" s="2" t="s">
        <v>4</v>
      </c>
      <c r="J3947" s="2" t="s">
        <v>4784</v>
      </c>
      <c r="K3947" s="2" t="s">
        <v>560</v>
      </c>
      <c r="L3947" s="2" t="s">
        <v>602</v>
      </c>
      <c r="M3947" s="2" t="s">
        <v>41</v>
      </c>
      <c r="N3947" s="4" t="s">
        <v>4532</v>
      </c>
      <c r="O3947" s="5">
        <v>250</v>
      </c>
    </row>
    <row r="3948" spans="2:15" x14ac:dyDescent="0.25">
      <c r="B3948" s="1" t="s">
        <v>1410</v>
      </c>
      <c r="C3948" s="2" t="s">
        <v>525</v>
      </c>
      <c r="D3948" s="2" t="s">
        <v>124</v>
      </c>
      <c r="E3948" s="2" t="s">
        <v>526</v>
      </c>
      <c r="F3948" s="3">
        <v>45307</v>
      </c>
      <c r="G3948" s="4">
        <v>1</v>
      </c>
      <c r="H3948" s="4">
        <v>2024</v>
      </c>
      <c r="I3948" s="2" t="s">
        <v>4</v>
      </c>
      <c r="J3948" s="2" t="s">
        <v>4785</v>
      </c>
      <c r="K3948" s="2" t="s">
        <v>531</v>
      </c>
      <c r="L3948" s="2" t="s">
        <v>201</v>
      </c>
      <c r="M3948" s="2" t="s">
        <v>202</v>
      </c>
      <c r="N3948" s="4" t="s">
        <v>4532</v>
      </c>
      <c r="O3948" s="5">
        <v>30</v>
      </c>
    </row>
    <row r="3949" spans="2:15" x14ac:dyDescent="0.25">
      <c r="B3949" s="1" t="s">
        <v>1410</v>
      </c>
      <c r="C3949" s="2" t="s">
        <v>525</v>
      </c>
      <c r="D3949" s="2" t="s">
        <v>628</v>
      </c>
      <c r="E3949" s="2" t="s">
        <v>1036</v>
      </c>
      <c r="F3949" s="3">
        <v>45310</v>
      </c>
      <c r="G3949" s="4">
        <v>1</v>
      </c>
      <c r="H3949" s="4">
        <v>2024</v>
      </c>
      <c r="I3949" s="2" t="s">
        <v>4</v>
      </c>
      <c r="J3949" s="2" t="s">
        <v>4786</v>
      </c>
      <c r="K3949" s="2" t="s">
        <v>609</v>
      </c>
      <c r="L3949" s="2" t="s">
        <v>610</v>
      </c>
      <c r="M3949" s="2" t="s">
        <v>611</v>
      </c>
      <c r="N3949" s="4" t="s">
        <v>4532</v>
      </c>
      <c r="O3949" s="5">
        <v>180</v>
      </c>
    </row>
    <row r="3950" spans="2:15" x14ac:dyDescent="0.25">
      <c r="B3950" s="1" t="s">
        <v>1410</v>
      </c>
      <c r="C3950" s="2" t="s">
        <v>525</v>
      </c>
      <c r="D3950" s="2" t="s">
        <v>124</v>
      </c>
      <c r="E3950" s="2" t="s">
        <v>526</v>
      </c>
      <c r="F3950" s="3">
        <v>45314</v>
      </c>
      <c r="G3950" s="4">
        <v>1</v>
      </c>
      <c r="H3950" s="4">
        <v>2024</v>
      </c>
      <c r="I3950" s="2" t="s">
        <v>4</v>
      </c>
      <c r="J3950" s="2" t="s">
        <v>4787</v>
      </c>
      <c r="K3950" s="2" t="s">
        <v>4788</v>
      </c>
      <c r="L3950" s="2" t="s">
        <v>4789</v>
      </c>
      <c r="M3950" s="2" t="s">
        <v>119</v>
      </c>
      <c r="N3950" s="4" t="s">
        <v>119</v>
      </c>
      <c r="O3950" s="5">
        <v>6</v>
      </c>
    </row>
    <row r="3951" spans="2:15" x14ac:dyDescent="0.25">
      <c r="B3951" s="1" t="s">
        <v>645</v>
      </c>
      <c r="C3951" s="2" t="s">
        <v>525</v>
      </c>
      <c r="D3951" s="2" t="s">
        <v>646</v>
      </c>
      <c r="E3951" s="2" t="s">
        <v>647</v>
      </c>
      <c r="F3951" s="3">
        <v>45316</v>
      </c>
      <c r="G3951" s="4">
        <v>1</v>
      </c>
      <c r="H3951" s="4">
        <v>2024</v>
      </c>
      <c r="I3951" s="2" t="s">
        <v>4</v>
      </c>
      <c r="J3951" s="2" t="s">
        <v>4790</v>
      </c>
      <c r="K3951" s="2" t="s">
        <v>25</v>
      </c>
      <c r="L3951" s="2" t="s">
        <v>541</v>
      </c>
      <c r="M3951" s="2" t="s">
        <v>27</v>
      </c>
      <c r="N3951" s="4" t="s">
        <v>4532</v>
      </c>
      <c r="O3951" s="5">
        <v>360</v>
      </c>
    </row>
    <row r="3952" spans="2:15" x14ac:dyDescent="0.25">
      <c r="B3952" s="1" t="s">
        <v>1410</v>
      </c>
      <c r="C3952" s="2" t="s">
        <v>525</v>
      </c>
      <c r="D3952" s="2" t="s">
        <v>507</v>
      </c>
      <c r="E3952" s="2" t="s">
        <v>508</v>
      </c>
      <c r="F3952" s="3">
        <v>45317</v>
      </c>
      <c r="G3952" s="4">
        <v>1</v>
      </c>
      <c r="H3952" s="4">
        <v>2024</v>
      </c>
      <c r="I3952" s="2" t="s">
        <v>4</v>
      </c>
      <c r="J3952" s="2" t="s">
        <v>4791</v>
      </c>
      <c r="K3952" s="2" t="s">
        <v>560</v>
      </c>
      <c r="L3952" s="2" t="s">
        <v>602</v>
      </c>
      <c r="M3952" s="2" t="s">
        <v>41</v>
      </c>
      <c r="N3952" s="4" t="s">
        <v>4532</v>
      </c>
      <c r="O3952" s="5">
        <v>500</v>
      </c>
    </row>
    <row r="3953" spans="2:15" x14ac:dyDescent="0.25">
      <c r="B3953" s="1" t="s">
        <v>1410</v>
      </c>
      <c r="C3953" s="2" t="s">
        <v>525</v>
      </c>
      <c r="D3953" s="2" t="s">
        <v>124</v>
      </c>
      <c r="E3953" s="2" t="s">
        <v>526</v>
      </c>
      <c r="F3953" s="3">
        <v>45317</v>
      </c>
      <c r="G3953" s="4">
        <v>1</v>
      </c>
      <c r="H3953" s="4">
        <v>2024</v>
      </c>
      <c r="I3953" s="2" t="s">
        <v>4</v>
      </c>
      <c r="J3953" s="2" t="s">
        <v>4792</v>
      </c>
      <c r="K3953" s="2" t="s">
        <v>2113</v>
      </c>
      <c r="L3953" s="2" t="s">
        <v>2114</v>
      </c>
      <c r="M3953" s="2" t="s">
        <v>119</v>
      </c>
      <c r="N3953" s="4" t="s">
        <v>119</v>
      </c>
      <c r="O3953" s="5">
        <v>6.02</v>
      </c>
    </row>
    <row r="3954" spans="2:15" x14ac:dyDescent="0.25">
      <c r="B3954" s="1" t="s">
        <v>1410</v>
      </c>
      <c r="C3954" s="2" t="s">
        <v>525</v>
      </c>
      <c r="D3954" s="2" t="s">
        <v>124</v>
      </c>
      <c r="E3954" s="2" t="s">
        <v>526</v>
      </c>
      <c r="F3954" s="3">
        <v>45320</v>
      </c>
      <c r="G3954" s="4">
        <v>1</v>
      </c>
      <c r="H3954" s="4">
        <v>2024</v>
      </c>
      <c r="I3954" s="2" t="s">
        <v>4</v>
      </c>
      <c r="J3954" s="2" t="s">
        <v>4793</v>
      </c>
      <c r="K3954" s="2" t="s">
        <v>531</v>
      </c>
      <c r="L3954" s="2" t="s">
        <v>201</v>
      </c>
      <c r="M3954" s="2" t="s">
        <v>202</v>
      </c>
      <c r="N3954" s="4" t="s">
        <v>4532</v>
      </c>
      <c r="O3954" s="5">
        <v>150</v>
      </c>
    </row>
    <row r="3955" spans="2:15" x14ac:dyDescent="0.25">
      <c r="B3955" s="1" t="s">
        <v>1410</v>
      </c>
      <c r="C3955" s="2" t="s">
        <v>525</v>
      </c>
      <c r="D3955" s="2" t="s">
        <v>646</v>
      </c>
      <c r="E3955" s="2" t="s">
        <v>647</v>
      </c>
      <c r="F3955" s="3">
        <v>45322</v>
      </c>
      <c r="G3955" s="4">
        <v>1</v>
      </c>
      <c r="H3955" s="4">
        <v>2024</v>
      </c>
      <c r="I3955" s="2" t="s">
        <v>4</v>
      </c>
      <c r="J3955" s="2" t="s">
        <v>4794</v>
      </c>
      <c r="K3955" s="2" t="s">
        <v>649</v>
      </c>
      <c r="L3955" s="2" t="s">
        <v>538</v>
      </c>
      <c r="M3955" s="2" t="s">
        <v>4243</v>
      </c>
      <c r="N3955" s="4" t="s">
        <v>4532</v>
      </c>
      <c r="O3955" s="5">
        <v>1000</v>
      </c>
    </row>
    <row r="3956" spans="2:15" x14ac:dyDescent="0.25">
      <c r="B3956" s="1" t="s">
        <v>645</v>
      </c>
      <c r="C3956" s="2" t="s">
        <v>533</v>
      </c>
      <c r="D3956" s="2" t="s">
        <v>557</v>
      </c>
      <c r="E3956" s="2" t="s">
        <v>1090</v>
      </c>
      <c r="F3956" s="3">
        <v>45296</v>
      </c>
      <c r="G3956" s="4">
        <v>1</v>
      </c>
      <c r="H3956" s="4">
        <v>2024</v>
      </c>
      <c r="I3956" s="2" t="s">
        <v>4</v>
      </c>
      <c r="J3956" s="2" t="s">
        <v>4795</v>
      </c>
      <c r="K3956" s="2" t="s">
        <v>569</v>
      </c>
      <c r="L3956" s="2" t="s">
        <v>570</v>
      </c>
      <c r="M3956" s="2" t="s">
        <v>106</v>
      </c>
      <c r="N3956" s="4" t="s">
        <v>106</v>
      </c>
      <c r="O3956" s="5">
        <v>2500</v>
      </c>
    </row>
    <row r="3957" spans="2:15" x14ac:dyDescent="0.25">
      <c r="B3957" s="1" t="s">
        <v>645</v>
      </c>
      <c r="C3957" s="2" t="s">
        <v>533</v>
      </c>
      <c r="D3957" s="2" t="s">
        <v>562</v>
      </c>
      <c r="E3957" s="2" t="s">
        <v>563</v>
      </c>
      <c r="F3957" s="3">
        <v>45300</v>
      </c>
      <c r="G3957" s="4">
        <v>1</v>
      </c>
      <c r="H3957" s="4">
        <v>2024</v>
      </c>
      <c r="I3957" s="2" t="s">
        <v>4</v>
      </c>
      <c r="J3957" s="2" t="s">
        <v>4796</v>
      </c>
      <c r="K3957" s="2" t="s">
        <v>19</v>
      </c>
      <c r="L3957" s="2" t="s">
        <v>565</v>
      </c>
      <c r="M3957" s="2" t="s">
        <v>21</v>
      </c>
      <c r="N3957" s="4" t="s">
        <v>4532</v>
      </c>
      <c r="O3957" s="5">
        <v>360</v>
      </c>
    </row>
    <row r="3958" spans="2:15" x14ac:dyDescent="0.25">
      <c r="B3958" s="1" t="s">
        <v>1050</v>
      </c>
      <c r="C3958" s="2" t="s">
        <v>533</v>
      </c>
      <c r="D3958" s="2" t="s">
        <v>557</v>
      </c>
      <c r="E3958" s="2" t="s">
        <v>1059</v>
      </c>
      <c r="F3958" s="3">
        <v>45301</v>
      </c>
      <c r="G3958" s="4">
        <v>1</v>
      </c>
      <c r="H3958" s="4">
        <v>2024</v>
      </c>
      <c r="I3958" s="2" t="s">
        <v>4</v>
      </c>
      <c r="J3958" s="2" t="s">
        <v>4797</v>
      </c>
      <c r="K3958" s="2" t="s">
        <v>1056</v>
      </c>
      <c r="L3958" s="2" t="s">
        <v>1057</v>
      </c>
      <c r="M3958" s="2" t="s">
        <v>1058</v>
      </c>
      <c r="N3958" s="4" t="s">
        <v>4532</v>
      </c>
      <c r="O3958" s="5">
        <v>3710</v>
      </c>
    </row>
    <row r="3959" spans="2:15" x14ac:dyDescent="0.25">
      <c r="B3959" s="1" t="s">
        <v>1050</v>
      </c>
      <c r="C3959" s="2" t="s">
        <v>533</v>
      </c>
      <c r="D3959" s="2" t="s">
        <v>557</v>
      </c>
      <c r="E3959" s="2" t="s">
        <v>1059</v>
      </c>
      <c r="F3959" s="3">
        <v>45303</v>
      </c>
      <c r="G3959" s="4">
        <v>1</v>
      </c>
      <c r="H3959" s="4">
        <v>2024</v>
      </c>
      <c r="I3959" s="2" t="s">
        <v>4</v>
      </c>
      <c r="J3959" s="2" t="s">
        <v>4798</v>
      </c>
      <c r="K3959" s="2" t="s">
        <v>1424</v>
      </c>
      <c r="L3959" s="2" t="s">
        <v>1057</v>
      </c>
      <c r="M3959" s="2" t="s">
        <v>1058</v>
      </c>
      <c r="N3959" s="4" t="s">
        <v>4532</v>
      </c>
      <c r="O3959" s="5">
        <v>3600</v>
      </c>
    </row>
    <row r="3960" spans="2:15" x14ac:dyDescent="0.25">
      <c r="B3960" s="1" t="s">
        <v>1050</v>
      </c>
      <c r="C3960" s="2" t="s">
        <v>533</v>
      </c>
      <c r="D3960" s="2" t="s">
        <v>557</v>
      </c>
      <c r="E3960" s="2" t="s">
        <v>141</v>
      </c>
      <c r="F3960" s="3">
        <v>45306</v>
      </c>
      <c r="G3960" s="4">
        <v>1</v>
      </c>
      <c r="H3960" s="4">
        <v>2024</v>
      </c>
      <c r="I3960" s="2" t="s">
        <v>4</v>
      </c>
      <c r="J3960" s="2" t="s">
        <v>4799</v>
      </c>
      <c r="K3960" s="2" t="s">
        <v>569</v>
      </c>
      <c r="L3960" s="2" t="s">
        <v>570</v>
      </c>
      <c r="M3960" s="2" t="s">
        <v>106</v>
      </c>
      <c r="N3960" s="4" t="s">
        <v>106</v>
      </c>
      <c r="O3960" s="5">
        <v>2500</v>
      </c>
    </row>
    <row r="3961" spans="2:15" x14ac:dyDescent="0.25">
      <c r="B3961" s="1" t="s">
        <v>1050</v>
      </c>
      <c r="C3961" s="2" t="s">
        <v>533</v>
      </c>
      <c r="D3961" s="2" t="s">
        <v>557</v>
      </c>
      <c r="E3961" s="2" t="s">
        <v>1059</v>
      </c>
      <c r="F3961" s="3">
        <v>45313</v>
      </c>
      <c r="G3961" s="4">
        <v>1</v>
      </c>
      <c r="H3961" s="4">
        <v>2024</v>
      </c>
      <c r="I3961" s="2" t="s">
        <v>4</v>
      </c>
      <c r="J3961" s="2" t="s">
        <v>4800</v>
      </c>
      <c r="K3961" s="2" t="s">
        <v>1056</v>
      </c>
      <c r="L3961" s="2" t="s">
        <v>1057</v>
      </c>
      <c r="M3961" s="2" t="s">
        <v>1058</v>
      </c>
      <c r="N3961" s="4" t="s">
        <v>4532</v>
      </c>
      <c r="O3961" s="5">
        <v>3710</v>
      </c>
    </row>
    <row r="3962" spans="2:15" x14ac:dyDescent="0.25">
      <c r="B3962" s="1" t="s">
        <v>645</v>
      </c>
      <c r="C3962" s="2" t="s">
        <v>533</v>
      </c>
      <c r="D3962" s="2" t="s">
        <v>557</v>
      </c>
      <c r="E3962" s="2" t="s">
        <v>4801</v>
      </c>
      <c r="F3962" s="3">
        <v>45316</v>
      </c>
      <c r="G3962" s="4">
        <v>1</v>
      </c>
      <c r="H3962" s="4">
        <v>2024</v>
      </c>
      <c r="I3962" s="2" t="s">
        <v>4</v>
      </c>
      <c r="J3962" s="2" t="s">
        <v>4802</v>
      </c>
      <c r="K3962" s="2" t="s">
        <v>1424</v>
      </c>
      <c r="L3962" s="2" t="s">
        <v>1057</v>
      </c>
      <c r="M3962" s="2" t="s">
        <v>1058</v>
      </c>
      <c r="N3962" s="4" t="s">
        <v>4532</v>
      </c>
      <c r="O3962" s="5">
        <v>3600</v>
      </c>
    </row>
    <row r="3963" spans="2:15" x14ac:dyDescent="0.25">
      <c r="B3963" s="1" t="s">
        <v>1050</v>
      </c>
      <c r="C3963" s="2" t="s">
        <v>533</v>
      </c>
      <c r="D3963" s="2" t="s">
        <v>557</v>
      </c>
      <c r="E3963" s="2" t="s">
        <v>1419</v>
      </c>
      <c r="F3963" s="3">
        <v>45320</v>
      </c>
      <c r="G3963" s="4">
        <v>1</v>
      </c>
      <c r="H3963" s="4">
        <v>2024</v>
      </c>
      <c r="I3963" s="2" t="s">
        <v>4</v>
      </c>
      <c r="J3963" s="2" t="s">
        <v>4803</v>
      </c>
      <c r="K3963" s="2" t="s">
        <v>1056</v>
      </c>
      <c r="L3963" s="2" t="s">
        <v>1057</v>
      </c>
      <c r="M3963" s="2" t="s">
        <v>1058</v>
      </c>
      <c r="N3963" s="4" t="s">
        <v>4532</v>
      </c>
      <c r="O3963" s="5">
        <v>3710</v>
      </c>
    </row>
    <row r="3964" spans="2:15" x14ac:dyDescent="0.25">
      <c r="B3964" s="1" t="s">
        <v>1050</v>
      </c>
      <c r="C3964" s="2" t="s">
        <v>533</v>
      </c>
      <c r="D3964" s="2" t="s">
        <v>557</v>
      </c>
      <c r="E3964" s="2" t="s">
        <v>4804</v>
      </c>
      <c r="F3964" s="3">
        <v>45320</v>
      </c>
      <c r="G3964" s="4">
        <v>1</v>
      </c>
      <c r="H3964" s="4">
        <v>2024</v>
      </c>
      <c r="I3964" s="2" t="s">
        <v>4</v>
      </c>
      <c r="J3964" s="2" t="s">
        <v>4805</v>
      </c>
      <c r="K3964" s="2" t="s">
        <v>1056</v>
      </c>
      <c r="L3964" s="2" t="s">
        <v>1057</v>
      </c>
      <c r="M3964" s="2" t="s">
        <v>1058</v>
      </c>
      <c r="N3964" s="4" t="s">
        <v>4532</v>
      </c>
      <c r="O3964" s="5">
        <v>3710</v>
      </c>
    </row>
    <row r="3965" spans="2:15" x14ac:dyDescent="0.25">
      <c r="B3965" s="1" t="s">
        <v>645</v>
      </c>
      <c r="C3965" s="2" t="s">
        <v>533</v>
      </c>
      <c r="D3965" s="2" t="s">
        <v>557</v>
      </c>
      <c r="E3965" s="2" t="s">
        <v>1090</v>
      </c>
      <c r="F3965" s="3">
        <v>45321</v>
      </c>
      <c r="G3965" s="4">
        <v>1</v>
      </c>
      <c r="H3965" s="4">
        <v>2024</v>
      </c>
      <c r="I3965" s="2" t="s">
        <v>4</v>
      </c>
      <c r="J3965" s="2" t="s">
        <v>4806</v>
      </c>
      <c r="K3965" s="2" t="s">
        <v>569</v>
      </c>
      <c r="L3965" s="2" t="s">
        <v>570</v>
      </c>
      <c r="M3965" s="2" t="s">
        <v>106</v>
      </c>
      <c r="N3965" s="4" t="s">
        <v>106</v>
      </c>
      <c r="O3965" s="5">
        <v>2700</v>
      </c>
    </row>
    <row r="3966" spans="2:15" x14ac:dyDescent="0.25">
      <c r="B3966" s="1" t="s">
        <v>3238</v>
      </c>
      <c r="C3966" s="2" t="s">
        <v>3239</v>
      </c>
      <c r="D3966" s="2" t="s">
        <v>3240</v>
      </c>
      <c r="E3966" s="2" t="s">
        <v>102</v>
      </c>
      <c r="F3966" s="3">
        <v>45294</v>
      </c>
      <c r="G3966" s="4">
        <v>1</v>
      </c>
      <c r="H3966" s="4">
        <v>2024</v>
      </c>
      <c r="I3966" s="2" t="s">
        <v>4</v>
      </c>
      <c r="J3966" s="2" t="s">
        <v>4807</v>
      </c>
      <c r="K3966" s="2" t="s">
        <v>3946</v>
      </c>
      <c r="L3966" s="2" t="s">
        <v>3506</v>
      </c>
      <c r="M3966" s="2" t="s">
        <v>917</v>
      </c>
      <c r="N3966" s="4" t="s">
        <v>4532</v>
      </c>
      <c r="O3966" s="5">
        <v>250</v>
      </c>
    </row>
    <row r="3967" spans="2:15" x14ac:dyDescent="0.25">
      <c r="B3967" s="6" t="s">
        <v>3238</v>
      </c>
      <c r="C3967" s="7" t="s">
        <v>3239</v>
      </c>
      <c r="D3967" s="8" t="s">
        <v>3240</v>
      </c>
      <c r="E3967" s="8" t="s">
        <v>102</v>
      </c>
      <c r="F3967" s="12">
        <v>45294</v>
      </c>
      <c r="G3967" s="13">
        <v>1</v>
      </c>
      <c r="H3967" s="13">
        <v>2024</v>
      </c>
      <c r="I3967" s="8" t="s">
        <v>4</v>
      </c>
      <c r="J3967" s="7" t="s">
        <v>4807</v>
      </c>
      <c r="K3967" s="8" t="s">
        <v>3497</v>
      </c>
      <c r="L3967" s="8" t="s">
        <v>3498</v>
      </c>
      <c r="M3967" s="8" t="s">
        <v>556</v>
      </c>
      <c r="N3967" s="10" t="s">
        <v>4532</v>
      </c>
      <c r="O3967" s="11">
        <v>250</v>
      </c>
    </row>
    <row r="3968" spans="2:15" x14ac:dyDescent="0.25">
      <c r="B3968" s="1" t="s">
        <v>3238</v>
      </c>
      <c r="C3968" s="2" t="s">
        <v>3239</v>
      </c>
      <c r="D3968" s="2" t="s">
        <v>3240</v>
      </c>
      <c r="E3968" s="2" t="s">
        <v>102</v>
      </c>
      <c r="F3968" s="3">
        <v>45295</v>
      </c>
      <c r="G3968" s="4">
        <v>1</v>
      </c>
      <c r="H3968" s="4">
        <v>2024</v>
      </c>
      <c r="I3968" s="2" t="s">
        <v>4</v>
      </c>
      <c r="J3968" s="2" t="s">
        <v>4808</v>
      </c>
      <c r="K3968" s="2" t="s">
        <v>4271</v>
      </c>
      <c r="L3968" s="2" t="s">
        <v>3911</v>
      </c>
      <c r="M3968" s="2" t="s">
        <v>2100</v>
      </c>
      <c r="N3968" s="4" t="s">
        <v>4532</v>
      </c>
      <c r="O3968" s="5">
        <v>60</v>
      </c>
    </row>
    <row r="3969" spans="2:15" x14ac:dyDescent="0.25">
      <c r="B3969" s="1" t="s">
        <v>3238</v>
      </c>
      <c r="C3969" s="2" t="s">
        <v>3239</v>
      </c>
      <c r="D3969" s="2" t="s">
        <v>3240</v>
      </c>
      <c r="E3969" s="2" t="s">
        <v>3379</v>
      </c>
      <c r="F3969" s="3">
        <v>45296</v>
      </c>
      <c r="G3969" s="4">
        <v>1</v>
      </c>
      <c r="H3969" s="4">
        <v>2024</v>
      </c>
      <c r="I3969" s="2" t="s">
        <v>4</v>
      </c>
      <c r="J3969" s="2" t="s">
        <v>4809</v>
      </c>
      <c r="K3969" s="2" t="s">
        <v>3937</v>
      </c>
      <c r="L3969" s="2" t="s">
        <v>4275</v>
      </c>
      <c r="M3969" s="2" t="s">
        <v>3939</v>
      </c>
      <c r="N3969" s="4" t="s">
        <v>4532</v>
      </c>
      <c r="O3969" s="5">
        <v>250</v>
      </c>
    </row>
    <row r="3970" spans="2:15" x14ac:dyDescent="0.25">
      <c r="B3970" s="1" t="s">
        <v>3238</v>
      </c>
      <c r="C3970" s="2" t="s">
        <v>3239</v>
      </c>
      <c r="D3970" s="2" t="s">
        <v>3240</v>
      </c>
      <c r="E3970" s="2" t="s">
        <v>4810</v>
      </c>
      <c r="F3970" s="3">
        <v>45300</v>
      </c>
      <c r="G3970" s="4">
        <v>1</v>
      </c>
      <c r="H3970" s="4">
        <v>2024</v>
      </c>
      <c r="I3970" s="2" t="s">
        <v>4</v>
      </c>
      <c r="J3970" s="2" t="s">
        <v>4811</v>
      </c>
      <c r="K3970" s="2" t="s">
        <v>3910</v>
      </c>
      <c r="L3970" s="2" t="s">
        <v>3911</v>
      </c>
      <c r="M3970" s="2" t="s">
        <v>2100</v>
      </c>
      <c r="N3970" s="4" t="s">
        <v>4532</v>
      </c>
      <c r="O3970" s="5">
        <v>750</v>
      </c>
    </row>
    <row r="3971" spans="2:15" x14ac:dyDescent="0.25">
      <c r="B3971" s="1" t="s">
        <v>3238</v>
      </c>
      <c r="C3971" s="2" t="s">
        <v>3239</v>
      </c>
      <c r="D3971" s="2" t="s">
        <v>3240</v>
      </c>
      <c r="E3971" s="2" t="s">
        <v>102</v>
      </c>
      <c r="F3971" s="3">
        <v>45300</v>
      </c>
      <c r="G3971" s="4">
        <v>1</v>
      </c>
      <c r="H3971" s="4">
        <v>2024</v>
      </c>
      <c r="I3971" s="2" t="s">
        <v>4</v>
      </c>
      <c r="J3971" s="2" t="s">
        <v>4812</v>
      </c>
      <c r="K3971" s="2" t="s">
        <v>3914</v>
      </c>
      <c r="L3971" s="2" t="s">
        <v>3915</v>
      </c>
      <c r="M3971" s="2" t="s">
        <v>3916</v>
      </c>
      <c r="N3971" s="4" t="s">
        <v>4532</v>
      </c>
      <c r="O3971" s="5">
        <v>180</v>
      </c>
    </row>
    <row r="3972" spans="2:15" x14ac:dyDescent="0.25">
      <c r="B3972" s="1" t="s">
        <v>3238</v>
      </c>
      <c r="C3972" s="2" t="s">
        <v>3239</v>
      </c>
      <c r="D3972" s="2" t="s">
        <v>3240</v>
      </c>
      <c r="E3972" s="2" t="s">
        <v>4813</v>
      </c>
      <c r="F3972" s="3">
        <v>45302</v>
      </c>
      <c r="G3972" s="4">
        <v>1</v>
      </c>
      <c r="H3972" s="4">
        <v>2024</v>
      </c>
      <c r="I3972" s="2" t="s">
        <v>4</v>
      </c>
      <c r="J3972" s="2" t="s">
        <v>4814</v>
      </c>
      <c r="K3972" s="2" t="s">
        <v>3188</v>
      </c>
      <c r="L3972" s="2" t="s">
        <v>3526</v>
      </c>
      <c r="M3972" s="2" t="s">
        <v>1000</v>
      </c>
      <c r="N3972" s="4" t="s">
        <v>4532</v>
      </c>
      <c r="O3972" s="5">
        <v>55</v>
      </c>
    </row>
    <row r="3973" spans="2:15" x14ac:dyDescent="0.25">
      <c r="B3973" s="1" t="s">
        <v>3238</v>
      </c>
      <c r="C3973" s="2" t="s">
        <v>3239</v>
      </c>
      <c r="D3973" s="2" t="s">
        <v>3240</v>
      </c>
      <c r="E3973" s="2" t="s">
        <v>3908</v>
      </c>
      <c r="F3973" s="3">
        <v>45302</v>
      </c>
      <c r="G3973" s="4">
        <v>1</v>
      </c>
      <c r="H3973" s="4">
        <v>2024</v>
      </c>
      <c r="I3973" s="2" t="s">
        <v>4</v>
      </c>
      <c r="J3973" s="2" t="s">
        <v>4815</v>
      </c>
      <c r="K3973" s="2" t="s">
        <v>3910</v>
      </c>
      <c r="L3973" s="2" t="s">
        <v>3911</v>
      </c>
      <c r="M3973" s="2" t="s">
        <v>2100</v>
      </c>
      <c r="N3973" s="4" t="s">
        <v>4532</v>
      </c>
      <c r="O3973" s="5">
        <v>250</v>
      </c>
    </row>
    <row r="3974" spans="2:15" x14ac:dyDescent="0.25">
      <c r="B3974" s="6" t="s">
        <v>3238</v>
      </c>
      <c r="C3974" s="7" t="s">
        <v>3239</v>
      </c>
      <c r="D3974" s="8" t="s">
        <v>3240</v>
      </c>
      <c r="E3974" s="8" t="s">
        <v>3908</v>
      </c>
      <c r="F3974" s="12">
        <v>45302</v>
      </c>
      <c r="G3974" s="13">
        <v>1</v>
      </c>
      <c r="H3974" s="13">
        <v>2024</v>
      </c>
      <c r="I3974" s="8" t="s">
        <v>4</v>
      </c>
      <c r="J3974" s="7" t="s">
        <v>4815</v>
      </c>
      <c r="K3974" s="8" t="s">
        <v>3399</v>
      </c>
      <c r="L3974" s="8" t="s">
        <v>3400</v>
      </c>
      <c r="M3974" s="8" t="s">
        <v>3401</v>
      </c>
      <c r="N3974" s="10" t="s">
        <v>4532</v>
      </c>
      <c r="O3974" s="11">
        <v>250</v>
      </c>
    </row>
    <row r="3975" spans="2:15" x14ac:dyDescent="0.25">
      <c r="B3975" s="1" t="s">
        <v>3238</v>
      </c>
      <c r="C3975" s="2" t="s">
        <v>3239</v>
      </c>
      <c r="D3975" s="2" t="s">
        <v>3240</v>
      </c>
      <c r="E3975" s="2" t="s">
        <v>3397</v>
      </c>
      <c r="F3975" s="3">
        <v>45302</v>
      </c>
      <c r="G3975" s="4">
        <v>1</v>
      </c>
      <c r="H3975" s="4">
        <v>2024</v>
      </c>
      <c r="I3975" s="2" t="s">
        <v>4</v>
      </c>
      <c r="J3975" s="2" t="s">
        <v>4816</v>
      </c>
      <c r="K3975" s="2" t="s">
        <v>3404</v>
      </c>
      <c r="L3975" s="2" t="s">
        <v>3405</v>
      </c>
      <c r="M3975" s="2" t="s">
        <v>3406</v>
      </c>
      <c r="N3975" s="4" t="s">
        <v>4532</v>
      </c>
      <c r="O3975" s="5">
        <v>250</v>
      </c>
    </row>
    <row r="3976" spans="2:15" x14ac:dyDescent="0.25">
      <c r="B3976" s="6" t="s">
        <v>3238</v>
      </c>
      <c r="C3976" s="7" t="s">
        <v>3239</v>
      </c>
      <c r="D3976" s="8" t="s">
        <v>3240</v>
      </c>
      <c r="E3976" s="8" t="s">
        <v>3397</v>
      </c>
      <c r="F3976" s="12">
        <v>45302</v>
      </c>
      <c r="G3976" s="13">
        <v>1</v>
      </c>
      <c r="H3976" s="13">
        <v>2024</v>
      </c>
      <c r="I3976" s="8" t="s">
        <v>4</v>
      </c>
      <c r="J3976" s="7" t="s">
        <v>4816</v>
      </c>
      <c r="K3976" s="8" t="s">
        <v>3399</v>
      </c>
      <c r="L3976" s="8" t="s">
        <v>3400</v>
      </c>
      <c r="M3976" s="8" t="s">
        <v>3401</v>
      </c>
      <c r="N3976" s="10" t="s">
        <v>4532</v>
      </c>
      <c r="O3976" s="11">
        <v>250</v>
      </c>
    </row>
    <row r="3977" spans="2:15" x14ac:dyDescent="0.25">
      <c r="B3977" s="1" t="s">
        <v>3238</v>
      </c>
      <c r="C3977" s="2" t="s">
        <v>3239</v>
      </c>
      <c r="D3977" s="2" t="s">
        <v>3240</v>
      </c>
      <c r="E3977" s="2" t="s">
        <v>102</v>
      </c>
      <c r="F3977" s="3">
        <v>45302</v>
      </c>
      <c r="G3977" s="4">
        <v>1</v>
      </c>
      <c r="H3977" s="4">
        <v>2024</v>
      </c>
      <c r="I3977" s="2" t="s">
        <v>4</v>
      </c>
      <c r="J3977" s="2" t="s">
        <v>4817</v>
      </c>
      <c r="K3977" s="2" t="s">
        <v>4257</v>
      </c>
      <c r="L3977" s="2" t="s">
        <v>4258</v>
      </c>
      <c r="M3977" s="2" t="s">
        <v>3251</v>
      </c>
      <c r="N3977" s="4" t="s">
        <v>4532</v>
      </c>
      <c r="O3977" s="5">
        <v>500</v>
      </c>
    </row>
    <row r="3978" spans="2:15" x14ac:dyDescent="0.25">
      <c r="B3978" s="1" t="s">
        <v>3238</v>
      </c>
      <c r="C3978" s="2" t="s">
        <v>3239</v>
      </c>
      <c r="D3978" s="2" t="s">
        <v>3240</v>
      </c>
      <c r="E3978" s="2" t="s">
        <v>102</v>
      </c>
      <c r="F3978" s="3">
        <v>45303</v>
      </c>
      <c r="G3978" s="4">
        <v>1</v>
      </c>
      <c r="H3978" s="4">
        <v>2024</v>
      </c>
      <c r="I3978" s="2" t="s">
        <v>4</v>
      </c>
      <c r="J3978" s="2" t="s">
        <v>4818</v>
      </c>
      <c r="K3978" s="2" t="s">
        <v>1470</v>
      </c>
      <c r="L3978" s="2" t="s">
        <v>3922</v>
      </c>
      <c r="M3978" s="2" t="s">
        <v>1472</v>
      </c>
      <c r="N3978" s="4" t="s">
        <v>4532</v>
      </c>
      <c r="O3978" s="5">
        <v>15</v>
      </c>
    </row>
    <row r="3979" spans="2:15" x14ac:dyDescent="0.25">
      <c r="B3979" s="1" t="s">
        <v>3238</v>
      </c>
      <c r="C3979" s="2" t="s">
        <v>3239</v>
      </c>
      <c r="D3979" s="2" t="s">
        <v>3240</v>
      </c>
      <c r="E3979" s="2" t="s">
        <v>102</v>
      </c>
      <c r="F3979" s="3">
        <v>45306</v>
      </c>
      <c r="G3979" s="4">
        <v>1</v>
      </c>
      <c r="H3979" s="4">
        <v>2024</v>
      </c>
      <c r="I3979" s="2" t="s">
        <v>4</v>
      </c>
      <c r="J3979" s="2" t="s">
        <v>4819</v>
      </c>
      <c r="K3979" s="2" t="s">
        <v>1470</v>
      </c>
      <c r="L3979" s="2" t="s">
        <v>3922</v>
      </c>
      <c r="M3979" s="2" t="s">
        <v>1472</v>
      </c>
      <c r="N3979" s="4" t="s">
        <v>4532</v>
      </c>
      <c r="O3979" s="5">
        <v>90</v>
      </c>
    </row>
    <row r="3980" spans="2:15" x14ac:dyDescent="0.25">
      <c r="B3980" s="6" t="s">
        <v>3238</v>
      </c>
      <c r="C3980" s="7" t="s">
        <v>3239</v>
      </c>
      <c r="D3980" s="8" t="s">
        <v>3240</v>
      </c>
      <c r="E3980" s="8" t="s">
        <v>102</v>
      </c>
      <c r="F3980" s="12">
        <v>45306</v>
      </c>
      <c r="G3980" s="13">
        <v>1</v>
      </c>
      <c r="H3980" s="13">
        <v>2024</v>
      </c>
      <c r="I3980" s="8" t="s">
        <v>4</v>
      </c>
      <c r="J3980" s="8" t="s">
        <v>4819</v>
      </c>
      <c r="K3980" s="8" t="s">
        <v>3510</v>
      </c>
      <c r="L3980" s="8" t="s">
        <v>3400</v>
      </c>
      <c r="M3980" s="8" t="s">
        <v>3401</v>
      </c>
      <c r="N3980" s="10" t="s">
        <v>4532</v>
      </c>
      <c r="O3980" s="11">
        <v>90</v>
      </c>
    </row>
    <row r="3981" spans="2:15" x14ac:dyDescent="0.25">
      <c r="B3981" s="1" t="s">
        <v>3238</v>
      </c>
      <c r="C3981" s="2" t="s">
        <v>3239</v>
      </c>
      <c r="D3981" s="2" t="s">
        <v>3240</v>
      </c>
      <c r="E3981" s="2" t="s">
        <v>3379</v>
      </c>
      <c r="F3981" s="3">
        <v>45308</v>
      </c>
      <c r="G3981" s="4">
        <v>1</v>
      </c>
      <c r="H3981" s="4">
        <v>2024</v>
      </c>
      <c r="I3981" s="2" t="s">
        <v>4</v>
      </c>
      <c r="J3981" s="2" t="s">
        <v>4820</v>
      </c>
      <c r="K3981" s="2" t="s">
        <v>3937</v>
      </c>
      <c r="L3981" s="2" t="s">
        <v>4275</v>
      </c>
      <c r="M3981" s="2" t="s">
        <v>3939</v>
      </c>
      <c r="N3981" s="4" t="s">
        <v>4532</v>
      </c>
      <c r="O3981" s="5">
        <v>250</v>
      </c>
    </row>
    <row r="3982" spans="2:15" x14ac:dyDescent="0.25">
      <c r="B3982" s="1" t="s">
        <v>3238</v>
      </c>
      <c r="C3982" s="2" t="s">
        <v>3239</v>
      </c>
      <c r="D3982" s="2" t="s">
        <v>3240</v>
      </c>
      <c r="E3982" s="2" t="s">
        <v>3402</v>
      </c>
      <c r="F3982" s="3">
        <v>45309</v>
      </c>
      <c r="G3982" s="4">
        <v>1</v>
      </c>
      <c r="H3982" s="4">
        <v>2024</v>
      </c>
      <c r="I3982" s="2" t="s">
        <v>4</v>
      </c>
      <c r="J3982" s="2" t="s">
        <v>4821</v>
      </c>
      <c r="K3982" s="2" t="s">
        <v>3404</v>
      </c>
      <c r="L3982" s="2" t="s">
        <v>3405</v>
      </c>
      <c r="M3982" s="2" t="s">
        <v>3406</v>
      </c>
      <c r="N3982" s="4" t="s">
        <v>4532</v>
      </c>
      <c r="O3982" s="5">
        <v>500</v>
      </c>
    </row>
    <row r="3983" spans="2:15" x14ac:dyDescent="0.25">
      <c r="B3983" s="1" t="s">
        <v>3238</v>
      </c>
      <c r="C3983" s="2" t="s">
        <v>3239</v>
      </c>
      <c r="D3983" s="2" t="s">
        <v>3240</v>
      </c>
      <c r="E3983" s="2" t="s">
        <v>4822</v>
      </c>
      <c r="F3983" s="3">
        <v>45309</v>
      </c>
      <c r="G3983" s="4">
        <v>1</v>
      </c>
      <c r="H3983" s="4">
        <v>2024</v>
      </c>
      <c r="I3983" s="2" t="s">
        <v>4</v>
      </c>
      <c r="J3983" s="2" t="s">
        <v>4823</v>
      </c>
      <c r="K3983" s="2" t="s">
        <v>998</v>
      </c>
      <c r="L3983" s="2" t="s">
        <v>3526</v>
      </c>
      <c r="M3983" s="2" t="s">
        <v>1000</v>
      </c>
      <c r="N3983" s="4" t="s">
        <v>4532</v>
      </c>
      <c r="O3983" s="5">
        <v>250</v>
      </c>
    </row>
    <row r="3984" spans="2:15" x14ac:dyDescent="0.25">
      <c r="B3984" s="1" t="s">
        <v>3238</v>
      </c>
      <c r="C3984" s="2" t="s">
        <v>3239</v>
      </c>
      <c r="D3984" s="2" t="s">
        <v>3240</v>
      </c>
      <c r="E3984" s="2" t="s">
        <v>4822</v>
      </c>
      <c r="F3984" s="3">
        <v>45309</v>
      </c>
      <c r="G3984" s="4">
        <v>1</v>
      </c>
      <c r="H3984" s="4">
        <v>2024</v>
      </c>
      <c r="I3984" s="2" t="s">
        <v>4</v>
      </c>
      <c r="J3984" s="2" t="s">
        <v>4823</v>
      </c>
      <c r="K3984" s="2" t="s">
        <v>3395</v>
      </c>
      <c r="L3984" s="2" t="s">
        <v>3396</v>
      </c>
      <c r="M3984" s="2" t="s">
        <v>844</v>
      </c>
      <c r="N3984" s="4" t="s">
        <v>4532</v>
      </c>
      <c r="O3984" s="5">
        <v>250</v>
      </c>
    </row>
    <row r="3985" spans="2:15" x14ac:dyDescent="0.25">
      <c r="B3985" s="1" t="s">
        <v>3238</v>
      </c>
      <c r="C3985" s="2" t="s">
        <v>3239</v>
      </c>
      <c r="D3985" s="2" t="s">
        <v>3240</v>
      </c>
      <c r="E3985" s="2" t="s">
        <v>4822</v>
      </c>
      <c r="F3985" s="3">
        <v>45309</v>
      </c>
      <c r="G3985" s="4">
        <v>1</v>
      </c>
      <c r="H3985" s="4">
        <v>2024</v>
      </c>
      <c r="I3985" s="2" t="s">
        <v>4</v>
      </c>
      <c r="J3985" s="2" t="s">
        <v>4823</v>
      </c>
      <c r="K3985" s="2" t="s">
        <v>3531</v>
      </c>
      <c r="L3985" s="2" t="s">
        <v>3532</v>
      </c>
      <c r="M3985" s="2" t="s">
        <v>41</v>
      </c>
      <c r="N3985" s="4" t="s">
        <v>4532</v>
      </c>
      <c r="O3985" s="5">
        <v>250</v>
      </c>
    </row>
    <row r="3986" spans="2:15" x14ac:dyDescent="0.25">
      <c r="B3986" s="1" t="s">
        <v>3238</v>
      </c>
      <c r="C3986" s="2" t="s">
        <v>3239</v>
      </c>
      <c r="D3986" s="2" t="s">
        <v>3240</v>
      </c>
      <c r="E3986" s="2" t="s">
        <v>3377</v>
      </c>
      <c r="F3986" s="3">
        <v>45309</v>
      </c>
      <c r="G3986" s="4">
        <v>1</v>
      </c>
      <c r="H3986" s="4">
        <v>2024</v>
      </c>
      <c r="I3986" s="2" t="s">
        <v>4</v>
      </c>
      <c r="J3986" s="2" t="s">
        <v>4824</v>
      </c>
      <c r="K3986" s="2" t="s">
        <v>3531</v>
      </c>
      <c r="L3986" s="2" t="s">
        <v>3532</v>
      </c>
      <c r="M3986" s="2" t="s">
        <v>41</v>
      </c>
      <c r="N3986" s="4" t="s">
        <v>4532</v>
      </c>
      <c r="O3986" s="5">
        <v>250</v>
      </c>
    </row>
    <row r="3987" spans="2:15" x14ac:dyDescent="0.25">
      <c r="B3987" s="1" t="s">
        <v>3238</v>
      </c>
      <c r="C3987" s="2" t="s">
        <v>3239</v>
      </c>
      <c r="D3987" s="2" t="s">
        <v>3240</v>
      </c>
      <c r="E3987" s="2" t="s">
        <v>102</v>
      </c>
      <c r="F3987" s="3">
        <v>45313</v>
      </c>
      <c r="G3987" s="4">
        <v>1</v>
      </c>
      <c r="H3987" s="4">
        <v>2024</v>
      </c>
      <c r="I3987" s="2" t="s">
        <v>4</v>
      </c>
      <c r="J3987" s="2" t="s">
        <v>4825</v>
      </c>
      <c r="K3987" s="2" t="s">
        <v>4267</v>
      </c>
      <c r="L3987" s="2" t="s">
        <v>4268</v>
      </c>
      <c r="M3987" s="2" t="s">
        <v>119</v>
      </c>
      <c r="N3987" s="4" t="s">
        <v>119</v>
      </c>
      <c r="O3987" s="5">
        <v>0.3</v>
      </c>
    </row>
    <row r="3988" spans="2:15" x14ac:dyDescent="0.25">
      <c r="B3988" s="1" t="s">
        <v>3238</v>
      </c>
      <c r="C3988" s="2" t="s">
        <v>3239</v>
      </c>
      <c r="D3988" s="2" t="s">
        <v>3240</v>
      </c>
      <c r="E3988" s="2" t="s">
        <v>3529</v>
      </c>
      <c r="F3988" s="3">
        <v>45316</v>
      </c>
      <c r="G3988" s="4">
        <v>1</v>
      </c>
      <c r="H3988" s="4">
        <v>2024</v>
      </c>
      <c r="I3988" s="2" t="s">
        <v>4</v>
      </c>
      <c r="J3988" s="2" t="s">
        <v>4826</v>
      </c>
      <c r="K3988" s="2" t="s">
        <v>3395</v>
      </c>
      <c r="L3988" s="2" t="s">
        <v>3396</v>
      </c>
      <c r="M3988" s="2" t="s">
        <v>844</v>
      </c>
      <c r="N3988" s="4" t="s">
        <v>4532</v>
      </c>
      <c r="O3988" s="5">
        <v>275</v>
      </c>
    </row>
    <row r="3989" spans="2:15" x14ac:dyDescent="0.25">
      <c r="B3989" s="1" t="s">
        <v>3238</v>
      </c>
      <c r="C3989" s="2" t="s">
        <v>3239</v>
      </c>
      <c r="D3989" s="2" t="s">
        <v>3240</v>
      </c>
      <c r="E3989" s="2" t="s">
        <v>3923</v>
      </c>
      <c r="F3989" s="3">
        <v>45316</v>
      </c>
      <c r="G3989" s="4">
        <v>1</v>
      </c>
      <c r="H3989" s="4">
        <v>2024</v>
      </c>
      <c r="I3989" s="2" t="s">
        <v>4</v>
      </c>
      <c r="J3989" s="2" t="s">
        <v>4827</v>
      </c>
      <c r="K3989" s="2" t="s">
        <v>3925</v>
      </c>
      <c r="L3989" s="2" t="s">
        <v>4264</v>
      </c>
      <c r="M3989" s="2" t="s">
        <v>119</v>
      </c>
      <c r="N3989" s="4" t="s">
        <v>119</v>
      </c>
      <c r="O3989" s="5">
        <v>1.25</v>
      </c>
    </row>
    <row r="3990" spans="2:15" x14ac:dyDescent="0.25">
      <c r="B3990" s="1" t="s">
        <v>0</v>
      </c>
      <c r="C3990" s="2" t="s">
        <v>1</v>
      </c>
      <c r="D3990" s="2" t="s">
        <v>2</v>
      </c>
      <c r="E3990" s="2" t="s">
        <v>1790</v>
      </c>
      <c r="F3990" s="3">
        <f>DATE(2024,2,2)</f>
        <v>45324</v>
      </c>
      <c r="G3990" s="4">
        <f t="shared" ref="G3990:G4053" si="340">MONTH(F3990)</f>
        <v>2</v>
      </c>
      <c r="H3990" s="4">
        <f t="shared" ref="H3990:H4053" si="341">YEAR(F3990)</f>
        <v>2024</v>
      </c>
      <c r="I3990" s="2" t="s">
        <v>4</v>
      </c>
      <c r="J3990" s="2" t="s">
        <v>4828</v>
      </c>
      <c r="K3990" s="2" t="s">
        <v>19</v>
      </c>
      <c r="L3990" s="2" t="s">
        <v>20</v>
      </c>
      <c r="M3990" s="2" t="s">
        <v>21</v>
      </c>
      <c r="N3990" s="4" t="str">
        <f t="shared" ref="N3990:N4053" si="342">LEFT(M3990,3)</f>
        <v>GAL</v>
      </c>
      <c r="O3990" s="5">
        <v>40</v>
      </c>
    </row>
    <row r="3991" spans="2:15" x14ac:dyDescent="0.25">
      <c r="B3991" s="1" t="s">
        <v>0</v>
      </c>
      <c r="C3991" s="2" t="s">
        <v>1</v>
      </c>
      <c r="D3991" s="2" t="s">
        <v>2</v>
      </c>
      <c r="E3991" s="2" t="s">
        <v>1790</v>
      </c>
      <c r="F3991" s="3">
        <f>DATE(2024,2,2)</f>
        <v>45324</v>
      </c>
      <c r="G3991" s="4">
        <f t="shared" si="340"/>
        <v>2</v>
      </c>
      <c r="H3991" s="4">
        <f t="shared" si="341"/>
        <v>2024</v>
      </c>
      <c r="I3991" s="2" t="s">
        <v>4</v>
      </c>
      <c r="J3991" s="2" t="s">
        <v>4828</v>
      </c>
      <c r="K3991" s="2" t="s">
        <v>22</v>
      </c>
      <c r="L3991" s="2" t="s">
        <v>23</v>
      </c>
      <c r="M3991" s="2" t="s">
        <v>24</v>
      </c>
      <c r="N3991" s="4" t="str">
        <f t="shared" si="342"/>
        <v>GAL</v>
      </c>
      <c r="O3991" s="5">
        <v>40</v>
      </c>
    </row>
    <row r="3992" spans="2:15" x14ac:dyDescent="0.25">
      <c r="B3992" s="1" t="s">
        <v>0</v>
      </c>
      <c r="C3992" s="2" t="s">
        <v>1</v>
      </c>
      <c r="D3992" s="2" t="s">
        <v>2</v>
      </c>
      <c r="E3992" s="2" t="s">
        <v>1790</v>
      </c>
      <c r="F3992" s="3">
        <f>DATE(2024,2,2)</f>
        <v>45324</v>
      </c>
      <c r="G3992" s="4">
        <f t="shared" si="340"/>
        <v>2</v>
      </c>
      <c r="H3992" s="4">
        <f t="shared" si="341"/>
        <v>2024</v>
      </c>
      <c r="I3992" s="2" t="s">
        <v>4</v>
      </c>
      <c r="J3992" s="2" t="s">
        <v>4828</v>
      </c>
      <c r="K3992" s="2" t="s">
        <v>25</v>
      </c>
      <c r="L3992" s="2" t="s">
        <v>26</v>
      </c>
      <c r="M3992" s="2" t="s">
        <v>27</v>
      </c>
      <c r="N3992" s="4" t="str">
        <f t="shared" si="342"/>
        <v>GAL</v>
      </c>
      <c r="O3992" s="5">
        <v>40</v>
      </c>
    </row>
    <row r="3993" spans="2:15" x14ac:dyDescent="0.25">
      <c r="B3993" s="1" t="s">
        <v>0</v>
      </c>
      <c r="C3993" s="2" t="s">
        <v>1</v>
      </c>
      <c r="D3993" s="2" t="s">
        <v>2</v>
      </c>
      <c r="E3993" s="2" t="s">
        <v>1790</v>
      </c>
      <c r="F3993" s="3">
        <f>DATE(2024,2,2)</f>
        <v>45324</v>
      </c>
      <c r="G3993" s="4">
        <f t="shared" si="340"/>
        <v>2</v>
      </c>
      <c r="H3993" s="4">
        <f t="shared" si="341"/>
        <v>2024</v>
      </c>
      <c r="I3993" s="2" t="s">
        <v>4</v>
      </c>
      <c r="J3993" s="2" t="s">
        <v>4828</v>
      </c>
      <c r="K3993" s="2" t="s">
        <v>28</v>
      </c>
      <c r="L3993" s="2" t="s">
        <v>29</v>
      </c>
      <c r="M3993" s="2" t="s">
        <v>30</v>
      </c>
      <c r="N3993" s="4" t="str">
        <f t="shared" si="342"/>
        <v>GAL</v>
      </c>
      <c r="O3993" s="5">
        <v>40</v>
      </c>
    </row>
    <row r="3994" spans="2:15" x14ac:dyDescent="0.25">
      <c r="B3994" s="1" t="s">
        <v>0</v>
      </c>
      <c r="C3994" s="2" t="s">
        <v>1</v>
      </c>
      <c r="D3994" s="2" t="s">
        <v>2</v>
      </c>
      <c r="E3994" s="2" t="s">
        <v>1790</v>
      </c>
      <c r="F3994" s="3">
        <f>DATE(2024,2,2)</f>
        <v>45324</v>
      </c>
      <c r="G3994" s="4">
        <f t="shared" si="340"/>
        <v>2</v>
      </c>
      <c r="H3994" s="4">
        <f t="shared" si="341"/>
        <v>2024</v>
      </c>
      <c r="I3994" s="2" t="s">
        <v>4</v>
      </c>
      <c r="J3994" s="2" t="s">
        <v>4828</v>
      </c>
      <c r="K3994" s="2" t="s">
        <v>16</v>
      </c>
      <c r="L3994" s="2" t="s">
        <v>7</v>
      </c>
      <c r="M3994" s="2" t="s">
        <v>8</v>
      </c>
      <c r="N3994" s="4" t="str">
        <f t="shared" si="342"/>
        <v>GAL</v>
      </c>
      <c r="O3994" s="5">
        <v>40</v>
      </c>
    </row>
    <row r="3995" spans="2:15" x14ac:dyDescent="0.25">
      <c r="B3995" s="1" t="s">
        <v>0</v>
      </c>
      <c r="C3995" s="2" t="s">
        <v>1</v>
      </c>
      <c r="D3995" s="2" t="s">
        <v>2</v>
      </c>
      <c r="E3995" s="2" t="s">
        <v>1432</v>
      </c>
      <c r="F3995" s="3">
        <f>DATE(2024,2,6)</f>
        <v>45328</v>
      </c>
      <c r="G3995" s="4">
        <f t="shared" si="340"/>
        <v>2</v>
      </c>
      <c r="H3995" s="4">
        <f t="shared" si="341"/>
        <v>2024</v>
      </c>
      <c r="I3995" s="2" t="s">
        <v>4</v>
      </c>
      <c r="J3995" s="2" t="s">
        <v>4829</v>
      </c>
      <c r="K3995" s="2" t="s">
        <v>574</v>
      </c>
      <c r="L3995" s="2" t="s">
        <v>66</v>
      </c>
      <c r="M3995" s="2" t="s">
        <v>67</v>
      </c>
      <c r="N3995" s="4" t="str">
        <f t="shared" si="342"/>
        <v>GAL</v>
      </c>
      <c r="O3995" s="5">
        <v>20</v>
      </c>
    </row>
    <row r="3996" spans="2:15" x14ac:dyDescent="0.25">
      <c r="B3996" s="1" t="s">
        <v>0</v>
      </c>
      <c r="C3996" s="2" t="s">
        <v>1</v>
      </c>
      <c r="D3996" s="2" t="s">
        <v>2</v>
      </c>
      <c r="E3996" s="2" t="s">
        <v>3952</v>
      </c>
      <c r="F3996" s="3">
        <f>DATE(2024,2,6)</f>
        <v>45328</v>
      </c>
      <c r="G3996" s="4">
        <f t="shared" si="340"/>
        <v>2</v>
      </c>
      <c r="H3996" s="4">
        <f t="shared" si="341"/>
        <v>2024</v>
      </c>
      <c r="I3996" s="2" t="s">
        <v>4</v>
      </c>
      <c r="J3996" s="2" t="s">
        <v>4830</v>
      </c>
      <c r="K3996" s="2" t="s">
        <v>19</v>
      </c>
      <c r="L3996" s="2" t="s">
        <v>20</v>
      </c>
      <c r="M3996" s="2" t="s">
        <v>21</v>
      </c>
      <c r="N3996" s="4" t="str">
        <f t="shared" si="342"/>
        <v>GAL</v>
      </c>
      <c r="O3996" s="5">
        <v>25</v>
      </c>
    </row>
    <row r="3997" spans="2:15" x14ac:dyDescent="0.25">
      <c r="B3997" s="1" t="s">
        <v>0</v>
      </c>
      <c r="C3997" s="2" t="s">
        <v>1</v>
      </c>
      <c r="D3997" s="2" t="s">
        <v>2</v>
      </c>
      <c r="E3997" s="2" t="s">
        <v>3952</v>
      </c>
      <c r="F3997" s="3">
        <f>DATE(2024,2,6)</f>
        <v>45328</v>
      </c>
      <c r="G3997" s="4">
        <f t="shared" si="340"/>
        <v>2</v>
      </c>
      <c r="H3997" s="4">
        <f t="shared" si="341"/>
        <v>2024</v>
      </c>
      <c r="I3997" s="2" t="s">
        <v>4</v>
      </c>
      <c r="J3997" s="2" t="s">
        <v>4830</v>
      </c>
      <c r="K3997" s="2" t="s">
        <v>25</v>
      </c>
      <c r="L3997" s="2" t="s">
        <v>26</v>
      </c>
      <c r="M3997" s="2" t="s">
        <v>27</v>
      </c>
      <c r="N3997" s="4" t="str">
        <f t="shared" si="342"/>
        <v>GAL</v>
      </c>
      <c r="O3997" s="5">
        <v>50</v>
      </c>
    </row>
    <row r="3998" spans="2:15" x14ac:dyDescent="0.25">
      <c r="B3998" s="1" t="s">
        <v>0</v>
      </c>
      <c r="C3998" s="2" t="s">
        <v>1</v>
      </c>
      <c r="D3998" s="2" t="s">
        <v>2</v>
      </c>
      <c r="E3998" s="2" t="s">
        <v>3952</v>
      </c>
      <c r="F3998" s="3">
        <f>DATE(2024,2,6)</f>
        <v>45328</v>
      </c>
      <c r="G3998" s="4">
        <f t="shared" si="340"/>
        <v>2</v>
      </c>
      <c r="H3998" s="4">
        <f t="shared" si="341"/>
        <v>2024</v>
      </c>
      <c r="I3998" s="2" t="s">
        <v>4</v>
      </c>
      <c r="J3998" s="2" t="s">
        <v>4830</v>
      </c>
      <c r="K3998" s="2" t="s">
        <v>28</v>
      </c>
      <c r="L3998" s="2" t="s">
        <v>29</v>
      </c>
      <c r="M3998" s="2" t="s">
        <v>30</v>
      </c>
      <c r="N3998" s="4" t="str">
        <f t="shared" si="342"/>
        <v>GAL</v>
      </c>
      <c r="O3998" s="5">
        <v>25</v>
      </c>
    </row>
    <row r="3999" spans="2:15" x14ac:dyDescent="0.25">
      <c r="B3999" s="1" t="s">
        <v>0</v>
      </c>
      <c r="C3999" s="2" t="s">
        <v>1</v>
      </c>
      <c r="D3999" s="2" t="s">
        <v>2</v>
      </c>
      <c r="E3999" s="2" t="s">
        <v>3952</v>
      </c>
      <c r="F3999" s="3">
        <f>DATE(2024,2,6)</f>
        <v>45328</v>
      </c>
      <c r="G3999" s="4">
        <f t="shared" si="340"/>
        <v>2</v>
      </c>
      <c r="H3999" s="4">
        <f t="shared" si="341"/>
        <v>2024</v>
      </c>
      <c r="I3999" s="2" t="s">
        <v>4</v>
      </c>
      <c r="J3999" s="2" t="s">
        <v>4830</v>
      </c>
      <c r="K3999" s="2" t="s">
        <v>16</v>
      </c>
      <c r="L3999" s="2" t="s">
        <v>7</v>
      </c>
      <c r="M3999" s="2" t="s">
        <v>8</v>
      </c>
      <c r="N3999" s="4" t="str">
        <f t="shared" si="342"/>
        <v>GAL</v>
      </c>
      <c r="O3999" s="5">
        <v>50</v>
      </c>
    </row>
    <row r="4000" spans="2:15" x14ac:dyDescent="0.25">
      <c r="B4000" s="1" t="s">
        <v>0</v>
      </c>
      <c r="C4000" s="2" t="s">
        <v>1</v>
      </c>
      <c r="D4000" s="2" t="s">
        <v>2</v>
      </c>
      <c r="E4000" s="2" t="s">
        <v>1432</v>
      </c>
      <c r="F4000" s="3">
        <f>DATE(2024,2,9)</f>
        <v>45331</v>
      </c>
      <c r="G4000" s="4">
        <f t="shared" si="340"/>
        <v>2</v>
      </c>
      <c r="H4000" s="4">
        <f t="shared" si="341"/>
        <v>2024</v>
      </c>
      <c r="I4000" s="2" t="s">
        <v>4</v>
      </c>
      <c r="J4000" s="2" t="s">
        <v>4831</v>
      </c>
      <c r="K4000" s="2" t="s">
        <v>28</v>
      </c>
      <c r="L4000" s="2" t="s">
        <v>29</v>
      </c>
      <c r="M4000" s="2" t="s">
        <v>30</v>
      </c>
      <c r="N4000" s="4" t="str">
        <f t="shared" si="342"/>
        <v>GAL</v>
      </c>
      <c r="O4000" s="5">
        <v>20</v>
      </c>
    </row>
    <row r="4001" spans="2:15" x14ac:dyDescent="0.25">
      <c r="B4001" s="1" t="s">
        <v>0</v>
      </c>
      <c r="C4001" s="2" t="s">
        <v>1</v>
      </c>
      <c r="D4001" s="2" t="s">
        <v>2</v>
      </c>
      <c r="E4001" s="2" t="s">
        <v>1784</v>
      </c>
      <c r="F4001" s="3">
        <f>DATE(2024,2,12)</f>
        <v>45334</v>
      </c>
      <c r="G4001" s="4">
        <f t="shared" si="340"/>
        <v>2</v>
      </c>
      <c r="H4001" s="4">
        <f t="shared" si="341"/>
        <v>2024</v>
      </c>
      <c r="I4001" s="2" t="s">
        <v>4</v>
      </c>
      <c r="J4001" s="2" t="s">
        <v>4832</v>
      </c>
      <c r="K4001" s="2" t="s">
        <v>1786</v>
      </c>
      <c r="L4001" s="2" t="s">
        <v>84</v>
      </c>
      <c r="M4001" s="2" t="s">
        <v>85</v>
      </c>
      <c r="N4001" s="4" t="str">
        <f t="shared" si="342"/>
        <v>GAL</v>
      </c>
      <c r="O4001" s="5">
        <v>55</v>
      </c>
    </row>
    <row r="4002" spans="2:15" x14ac:dyDescent="0.25">
      <c r="B4002" s="1" t="s">
        <v>0</v>
      </c>
      <c r="C4002" s="2" t="s">
        <v>1</v>
      </c>
      <c r="D4002" s="2" t="s">
        <v>2</v>
      </c>
      <c r="E4002" s="2" t="s">
        <v>1784</v>
      </c>
      <c r="F4002" s="3">
        <f>DATE(2024,2,12)</f>
        <v>45334</v>
      </c>
      <c r="G4002" s="4">
        <f t="shared" si="340"/>
        <v>2</v>
      </c>
      <c r="H4002" s="4">
        <f t="shared" si="341"/>
        <v>2024</v>
      </c>
      <c r="I4002" s="2" t="s">
        <v>4</v>
      </c>
      <c r="J4002" s="2" t="s">
        <v>4832</v>
      </c>
      <c r="K4002" s="2" t="s">
        <v>28</v>
      </c>
      <c r="L4002" s="2" t="s">
        <v>29</v>
      </c>
      <c r="M4002" s="2" t="s">
        <v>30</v>
      </c>
      <c r="N4002" s="4" t="str">
        <f t="shared" si="342"/>
        <v>GAL</v>
      </c>
      <c r="O4002" s="5">
        <v>30</v>
      </c>
    </row>
    <row r="4003" spans="2:15" x14ac:dyDescent="0.25">
      <c r="B4003" s="1" t="s">
        <v>0</v>
      </c>
      <c r="C4003" s="2" t="s">
        <v>1</v>
      </c>
      <c r="D4003" s="2" t="s">
        <v>2</v>
      </c>
      <c r="E4003" s="2" t="s">
        <v>1067</v>
      </c>
      <c r="F4003" s="3">
        <f>DATE(2024,2,14)</f>
        <v>45336</v>
      </c>
      <c r="G4003" s="4">
        <f t="shared" si="340"/>
        <v>2</v>
      </c>
      <c r="H4003" s="4">
        <f t="shared" si="341"/>
        <v>2024</v>
      </c>
      <c r="I4003" s="2" t="s">
        <v>4</v>
      </c>
      <c r="J4003" s="2" t="s">
        <v>4833</v>
      </c>
      <c r="K4003" s="2" t="s">
        <v>4834</v>
      </c>
      <c r="L4003" s="2" t="s">
        <v>12</v>
      </c>
      <c r="M4003" s="2" t="s">
        <v>13</v>
      </c>
      <c r="N4003" s="4" t="str">
        <f t="shared" si="342"/>
        <v>GAL</v>
      </c>
      <c r="O4003" s="5">
        <v>30</v>
      </c>
    </row>
    <row r="4004" spans="2:15" x14ac:dyDescent="0.25">
      <c r="B4004" s="1" t="s">
        <v>0</v>
      </c>
      <c r="C4004" s="2" t="s">
        <v>1</v>
      </c>
      <c r="D4004" s="2" t="s">
        <v>2</v>
      </c>
      <c r="E4004" s="2" t="s">
        <v>4287</v>
      </c>
      <c r="F4004" s="3">
        <f>DATE(2024,2,20)</f>
        <v>45342</v>
      </c>
      <c r="G4004" s="4">
        <f t="shared" si="340"/>
        <v>2</v>
      </c>
      <c r="H4004" s="4">
        <f t="shared" si="341"/>
        <v>2024</v>
      </c>
      <c r="I4004" s="2" t="s">
        <v>4</v>
      </c>
      <c r="J4004" s="2" t="s">
        <v>4835</v>
      </c>
      <c r="K4004" s="2" t="s">
        <v>19</v>
      </c>
      <c r="L4004" s="2" t="s">
        <v>20</v>
      </c>
      <c r="M4004" s="2" t="s">
        <v>21</v>
      </c>
      <c r="N4004" s="4" t="str">
        <f t="shared" si="342"/>
        <v>GAL</v>
      </c>
      <c r="O4004" s="5">
        <v>120</v>
      </c>
    </row>
    <row r="4005" spans="2:15" x14ac:dyDescent="0.25">
      <c r="B4005" s="1" t="s">
        <v>0</v>
      </c>
      <c r="C4005" s="2" t="s">
        <v>1</v>
      </c>
      <c r="D4005" s="2" t="s">
        <v>2</v>
      </c>
      <c r="E4005" s="2" t="s">
        <v>4287</v>
      </c>
      <c r="F4005" s="3">
        <f>DATE(2024,2,20)</f>
        <v>45342</v>
      </c>
      <c r="G4005" s="4">
        <f t="shared" si="340"/>
        <v>2</v>
      </c>
      <c r="H4005" s="4">
        <f t="shared" si="341"/>
        <v>2024</v>
      </c>
      <c r="I4005" s="2" t="s">
        <v>4</v>
      </c>
      <c r="J4005" s="2" t="s">
        <v>4835</v>
      </c>
      <c r="K4005" s="2" t="s">
        <v>80</v>
      </c>
      <c r="L4005" s="2" t="s">
        <v>81</v>
      </c>
      <c r="M4005" s="2" t="s">
        <v>82</v>
      </c>
      <c r="N4005" s="4" t="str">
        <f t="shared" si="342"/>
        <v>GAL</v>
      </c>
      <c r="O4005" s="5">
        <v>120</v>
      </c>
    </row>
    <row r="4006" spans="2:15" x14ac:dyDescent="0.25">
      <c r="B4006" s="1" t="s">
        <v>0</v>
      </c>
      <c r="C4006" s="2" t="s">
        <v>1</v>
      </c>
      <c r="D4006" s="2" t="s">
        <v>2</v>
      </c>
      <c r="E4006" s="2" t="s">
        <v>4287</v>
      </c>
      <c r="F4006" s="3">
        <f>DATE(2024,2,20)</f>
        <v>45342</v>
      </c>
      <c r="G4006" s="4">
        <f t="shared" si="340"/>
        <v>2</v>
      </c>
      <c r="H4006" s="4">
        <f t="shared" si="341"/>
        <v>2024</v>
      </c>
      <c r="I4006" s="2" t="s">
        <v>4</v>
      </c>
      <c r="J4006" s="2" t="s">
        <v>4835</v>
      </c>
      <c r="K4006" s="2" t="s">
        <v>2166</v>
      </c>
      <c r="L4006" s="2" t="s">
        <v>2167</v>
      </c>
      <c r="M4006" s="2" t="s">
        <v>2168</v>
      </c>
      <c r="N4006" s="4" t="str">
        <f t="shared" si="342"/>
        <v>GAL</v>
      </c>
      <c r="O4006" s="5">
        <v>60</v>
      </c>
    </row>
    <row r="4007" spans="2:15" x14ac:dyDescent="0.25">
      <c r="B4007" s="1" t="s">
        <v>0</v>
      </c>
      <c r="C4007" s="2" t="s">
        <v>1</v>
      </c>
      <c r="D4007" s="2" t="s">
        <v>2</v>
      </c>
      <c r="E4007" s="2" t="s">
        <v>4287</v>
      </c>
      <c r="F4007" s="3">
        <f>DATE(2024,2,20)</f>
        <v>45342</v>
      </c>
      <c r="G4007" s="4">
        <f t="shared" si="340"/>
        <v>2</v>
      </c>
      <c r="H4007" s="4">
        <f t="shared" si="341"/>
        <v>2024</v>
      </c>
      <c r="I4007" s="2" t="s">
        <v>4</v>
      </c>
      <c r="J4007" s="2" t="s">
        <v>4835</v>
      </c>
      <c r="K4007" s="2" t="s">
        <v>28</v>
      </c>
      <c r="L4007" s="2" t="s">
        <v>29</v>
      </c>
      <c r="M4007" s="2" t="s">
        <v>30</v>
      </c>
      <c r="N4007" s="4" t="str">
        <f t="shared" si="342"/>
        <v>GAL</v>
      </c>
      <c r="O4007" s="5">
        <v>60</v>
      </c>
    </row>
    <row r="4008" spans="2:15" x14ac:dyDescent="0.25">
      <c r="B4008" s="1" t="s">
        <v>0</v>
      </c>
      <c r="C4008" s="2" t="s">
        <v>1</v>
      </c>
      <c r="D4008" s="2" t="s">
        <v>2</v>
      </c>
      <c r="E4008" s="2" t="s">
        <v>61</v>
      </c>
      <c r="F4008" s="3">
        <f>DATE(2024,2,22)</f>
        <v>45344</v>
      </c>
      <c r="G4008" s="4">
        <f t="shared" si="340"/>
        <v>2</v>
      </c>
      <c r="H4008" s="4">
        <f t="shared" si="341"/>
        <v>2024</v>
      </c>
      <c r="I4008" s="2" t="s">
        <v>4</v>
      </c>
      <c r="J4008" s="2" t="s">
        <v>4836</v>
      </c>
      <c r="K4008" s="2" t="s">
        <v>19</v>
      </c>
      <c r="L4008" s="2" t="s">
        <v>20</v>
      </c>
      <c r="M4008" s="2" t="s">
        <v>21</v>
      </c>
      <c r="N4008" s="4" t="str">
        <f t="shared" si="342"/>
        <v>GAL</v>
      </c>
      <c r="O4008" s="5">
        <v>50</v>
      </c>
    </row>
    <row r="4009" spans="2:15" x14ac:dyDescent="0.25">
      <c r="B4009" s="1" t="s">
        <v>0</v>
      </c>
      <c r="C4009" s="2" t="s">
        <v>1</v>
      </c>
      <c r="D4009" s="2" t="s">
        <v>2</v>
      </c>
      <c r="E4009" s="2" t="s">
        <v>61</v>
      </c>
      <c r="F4009" s="3">
        <f>DATE(2024,2,22)</f>
        <v>45344</v>
      </c>
      <c r="G4009" s="4">
        <f t="shared" si="340"/>
        <v>2</v>
      </c>
      <c r="H4009" s="4">
        <f t="shared" si="341"/>
        <v>2024</v>
      </c>
      <c r="I4009" s="2" t="s">
        <v>4</v>
      </c>
      <c r="J4009" s="2" t="s">
        <v>4836</v>
      </c>
      <c r="K4009" s="2" t="s">
        <v>25</v>
      </c>
      <c r="L4009" s="2" t="s">
        <v>26</v>
      </c>
      <c r="M4009" s="2" t="s">
        <v>27</v>
      </c>
      <c r="N4009" s="4" t="str">
        <f t="shared" si="342"/>
        <v>GAL</v>
      </c>
      <c r="O4009" s="5">
        <v>100</v>
      </c>
    </row>
    <row r="4010" spans="2:15" x14ac:dyDescent="0.25">
      <c r="B4010" s="1" t="s">
        <v>0</v>
      </c>
      <c r="C4010" s="2" t="s">
        <v>1</v>
      </c>
      <c r="D4010" s="2" t="s">
        <v>2</v>
      </c>
      <c r="E4010" s="2" t="s">
        <v>61</v>
      </c>
      <c r="F4010" s="3">
        <f>DATE(2024,2,22)</f>
        <v>45344</v>
      </c>
      <c r="G4010" s="4">
        <f t="shared" si="340"/>
        <v>2</v>
      </c>
      <c r="H4010" s="4">
        <f t="shared" si="341"/>
        <v>2024</v>
      </c>
      <c r="I4010" s="2" t="s">
        <v>4</v>
      </c>
      <c r="J4010" s="2" t="s">
        <v>4836</v>
      </c>
      <c r="K4010" s="2" t="s">
        <v>28</v>
      </c>
      <c r="L4010" s="2" t="s">
        <v>29</v>
      </c>
      <c r="M4010" s="2" t="s">
        <v>30</v>
      </c>
      <c r="N4010" s="4" t="str">
        <f t="shared" si="342"/>
        <v>GAL</v>
      </c>
      <c r="O4010" s="5">
        <v>50</v>
      </c>
    </row>
    <row r="4011" spans="2:15" x14ac:dyDescent="0.25">
      <c r="B4011" s="1" t="s">
        <v>0</v>
      </c>
      <c r="C4011" s="2" t="s">
        <v>1</v>
      </c>
      <c r="D4011" s="2" t="s">
        <v>2</v>
      </c>
      <c r="E4011" s="2" t="s">
        <v>61</v>
      </c>
      <c r="F4011" s="3">
        <f>DATE(2024,2,22)</f>
        <v>45344</v>
      </c>
      <c r="G4011" s="4">
        <f t="shared" si="340"/>
        <v>2</v>
      </c>
      <c r="H4011" s="4">
        <f t="shared" si="341"/>
        <v>2024</v>
      </c>
      <c r="I4011" s="2" t="s">
        <v>4</v>
      </c>
      <c r="J4011" s="2" t="s">
        <v>4836</v>
      </c>
      <c r="K4011" s="2" t="s">
        <v>16</v>
      </c>
      <c r="L4011" s="2" t="s">
        <v>7</v>
      </c>
      <c r="M4011" s="2" t="s">
        <v>8</v>
      </c>
      <c r="N4011" s="4" t="str">
        <f t="shared" si="342"/>
        <v>GAL</v>
      </c>
      <c r="O4011" s="5">
        <v>100</v>
      </c>
    </row>
    <row r="4012" spans="2:15" x14ac:dyDescent="0.25">
      <c r="B4012" s="1" t="s">
        <v>0</v>
      </c>
      <c r="C4012" s="2" t="s">
        <v>1</v>
      </c>
      <c r="D4012" s="2" t="s">
        <v>2</v>
      </c>
      <c r="E4012" s="2" t="s">
        <v>4287</v>
      </c>
      <c r="F4012" s="3">
        <f>DATE(2024,2,29)</f>
        <v>45351</v>
      </c>
      <c r="G4012" s="4">
        <f t="shared" si="340"/>
        <v>2</v>
      </c>
      <c r="H4012" s="4">
        <f t="shared" si="341"/>
        <v>2024</v>
      </c>
      <c r="I4012" s="2" t="s">
        <v>4</v>
      </c>
      <c r="J4012" s="2" t="s">
        <v>4837</v>
      </c>
      <c r="K4012" s="2" t="s">
        <v>36</v>
      </c>
      <c r="L4012" s="2" t="s">
        <v>37</v>
      </c>
      <c r="M4012" s="2" t="s">
        <v>38</v>
      </c>
      <c r="N4012" s="4" t="str">
        <f t="shared" si="342"/>
        <v>GAL</v>
      </c>
      <c r="O4012" s="5">
        <v>120</v>
      </c>
    </row>
    <row r="4013" spans="2:15" x14ac:dyDescent="0.25">
      <c r="B4013" s="1" t="s">
        <v>0</v>
      </c>
      <c r="C4013" s="2" t="s">
        <v>1</v>
      </c>
      <c r="D4013" s="2" t="s">
        <v>2</v>
      </c>
      <c r="E4013" s="2" t="s">
        <v>4287</v>
      </c>
      <c r="F4013" s="3">
        <f>DATE(2024,2,29)</f>
        <v>45351</v>
      </c>
      <c r="G4013" s="4">
        <f t="shared" si="340"/>
        <v>2</v>
      </c>
      <c r="H4013" s="4">
        <f t="shared" si="341"/>
        <v>2024</v>
      </c>
      <c r="I4013" s="2" t="s">
        <v>4</v>
      </c>
      <c r="J4013" s="2" t="s">
        <v>4837</v>
      </c>
      <c r="K4013" s="2" t="s">
        <v>50</v>
      </c>
      <c r="L4013" s="2" t="s">
        <v>51</v>
      </c>
      <c r="M4013" s="2" t="s">
        <v>52</v>
      </c>
      <c r="N4013" s="4" t="str">
        <f t="shared" si="342"/>
        <v>GAL</v>
      </c>
      <c r="O4013" s="5">
        <v>120</v>
      </c>
    </row>
    <row r="4014" spans="2:15" x14ac:dyDescent="0.25">
      <c r="B4014" s="1" t="s">
        <v>88</v>
      </c>
      <c r="C4014" s="2" t="s">
        <v>89</v>
      </c>
      <c r="D4014" s="2" t="s">
        <v>134</v>
      </c>
      <c r="E4014" s="2" t="s">
        <v>135</v>
      </c>
      <c r="F4014" s="3">
        <f>DATE(2024,2,6)</f>
        <v>45328</v>
      </c>
      <c r="G4014" s="4">
        <f t="shared" si="340"/>
        <v>2</v>
      </c>
      <c r="H4014" s="4">
        <f t="shared" si="341"/>
        <v>2024</v>
      </c>
      <c r="I4014" s="2" t="s">
        <v>4</v>
      </c>
      <c r="J4014" s="2" t="s">
        <v>4838</v>
      </c>
      <c r="K4014" s="2" t="s">
        <v>137</v>
      </c>
      <c r="L4014" s="2" t="s">
        <v>138</v>
      </c>
      <c r="M4014" s="2" t="s">
        <v>139</v>
      </c>
      <c r="N4014" s="4" t="str">
        <f t="shared" si="342"/>
        <v>GAL</v>
      </c>
      <c r="O4014" s="5">
        <v>60</v>
      </c>
    </row>
    <row r="4015" spans="2:15" x14ac:dyDescent="0.25">
      <c r="B4015" s="1" t="s">
        <v>88</v>
      </c>
      <c r="C4015" s="2" t="s">
        <v>89</v>
      </c>
      <c r="D4015" s="2" t="s">
        <v>628</v>
      </c>
      <c r="E4015" s="2" t="s">
        <v>2200</v>
      </c>
      <c r="F4015" s="3">
        <f>DATE(2024,2,21)</f>
        <v>45343</v>
      </c>
      <c r="G4015" s="4">
        <f t="shared" si="340"/>
        <v>2</v>
      </c>
      <c r="H4015" s="4">
        <f t="shared" si="341"/>
        <v>2024</v>
      </c>
      <c r="I4015" s="2" t="s">
        <v>4</v>
      </c>
      <c r="J4015" s="2" t="s">
        <v>4839</v>
      </c>
      <c r="K4015" s="2" t="s">
        <v>2587</v>
      </c>
      <c r="L4015" s="2" t="s">
        <v>2588</v>
      </c>
      <c r="M4015" s="2" t="s">
        <v>119</v>
      </c>
      <c r="N4015" s="4" t="str">
        <f t="shared" si="342"/>
        <v>TON</v>
      </c>
      <c r="O4015" s="5">
        <v>20.0075</v>
      </c>
    </row>
    <row r="4016" spans="2:15" x14ac:dyDescent="0.25">
      <c r="B4016" s="1" t="s">
        <v>88</v>
      </c>
      <c r="C4016" s="2" t="s">
        <v>89</v>
      </c>
      <c r="D4016" s="2" t="s">
        <v>557</v>
      </c>
      <c r="E4016" s="2" t="s">
        <v>1054</v>
      </c>
      <c r="F4016" s="3">
        <f>DATE(2024,2,23)</f>
        <v>45345</v>
      </c>
      <c r="G4016" s="4">
        <f t="shared" si="340"/>
        <v>2</v>
      </c>
      <c r="H4016" s="4">
        <f t="shared" si="341"/>
        <v>2024</v>
      </c>
      <c r="I4016" s="2" t="s">
        <v>4</v>
      </c>
      <c r="J4016" s="2" t="s">
        <v>4840</v>
      </c>
      <c r="K4016" s="2" t="s">
        <v>1424</v>
      </c>
      <c r="L4016" s="2" t="s">
        <v>1057</v>
      </c>
      <c r="M4016" s="2" t="s">
        <v>1058</v>
      </c>
      <c r="N4016" s="4" t="str">
        <f t="shared" si="342"/>
        <v>GAL</v>
      </c>
      <c r="O4016" s="5">
        <v>3600</v>
      </c>
    </row>
    <row r="4017" spans="2:15" x14ac:dyDescent="0.25">
      <c r="B4017" s="1" t="s">
        <v>88</v>
      </c>
      <c r="C4017" s="2" t="s">
        <v>89</v>
      </c>
      <c r="D4017" s="2" t="s">
        <v>1444</v>
      </c>
      <c r="E4017" s="2" t="s">
        <v>102</v>
      </c>
      <c r="F4017" s="3">
        <f>DATE(2024,2,27)</f>
        <v>45349</v>
      </c>
      <c r="G4017" s="4">
        <f t="shared" si="340"/>
        <v>2</v>
      </c>
      <c r="H4017" s="4">
        <f t="shared" si="341"/>
        <v>2024</v>
      </c>
      <c r="I4017" s="2" t="s">
        <v>4</v>
      </c>
      <c r="J4017" s="2" t="s">
        <v>4841</v>
      </c>
      <c r="K4017" s="2" t="s">
        <v>1446</v>
      </c>
      <c r="L4017" s="2" t="s">
        <v>2581</v>
      </c>
      <c r="M4017" s="2" t="s">
        <v>1448</v>
      </c>
      <c r="N4017" s="4" t="str">
        <f t="shared" si="342"/>
        <v>GAL</v>
      </c>
      <c r="O4017" s="5">
        <v>360</v>
      </c>
    </row>
    <row r="4018" spans="2:15" x14ac:dyDescent="0.25">
      <c r="B4018" s="1" t="s">
        <v>88</v>
      </c>
      <c r="C4018" s="2" t="s">
        <v>89</v>
      </c>
      <c r="D4018" s="2" t="s">
        <v>124</v>
      </c>
      <c r="E4018" s="2" t="s">
        <v>124</v>
      </c>
      <c r="F4018" s="3">
        <f>DATE(2024,2,29)</f>
        <v>45351</v>
      </c>
      <c r="G4018" s="4">
        <f t="shared" si="340"/>
        <v>2</v>
      </c>
      <c r="H4018" s="4">
        <f t="shared" si="341"/>
        <v>2024</v>
      </c>
      <c r="I4018" s="2" t="s">
        <v>4</v>
      </c>
      <c r="J4018" s="2" t="s">
        <v>4842</v>
      </c>
      <c r="K4018" s="2" t="s">
        <v>126</v>
      </c>
      <c r="L4018" s="2" t="s">
        <v>127</v>
      </c>
      <c r="M4018" s="2" t="s">
        <v>106</v>
      </c>
      <c r="N4018" s="4" t="str">
        <f t="shared" si="342"/>
        <v>LBS</v>
      </c>
      <c r="O4018" s="5">
        <v>46220</v>
      </c>
    </row>
    <row r="4019" spans="2:15" x14ac:dyDescent="0.25">
      <c r="B4019" s="1" t="s">
        <v>88</v>
      </c>
      <c r="C4019" s="2" t="s">
        <v>89</v>
      </c>
      <c r="D4019" s="2" t="s">
        <v>557</v>
      </c>
      <c r="E4019" s="2" t="s">
        <v>1054</v>
      </c>
      <c r="F4019" s="3">
        <f>DATE(2024,2,29)</f>
        <v>45351</v>
      </c>
      <c r="G4019" s="4">
        <f t="shared" si="340"/>
        <v>2</v>
      </c>
      <c r="H4019" s="4">
        <f t="shared" si="341"/>
        <v>2024</v>
      </c>
      <c r="I4019" s="2" t="s">
        <v>4</v>
      </c>
      <c r="J4019" s="2" t="s">
        <v>4843</v>
      </c>
      <c r="K4019" s="2" t="s">
        <v>1424</v>
      </c>
      <c r="L4019" s="2" t="s">
        <v>1057</v>
      </c>
      <c r="M4019" s="2" t="s">
        <v>1058</v>
      </c>
      <c r="N4019" s="4" t="str">
        <f t="shared" si="342"/>
        <v>GAL</v>
      </c>
      <c r="O4019" s="5">
        <v>3600</v>
      </c>
    </row>
    <row r="4020" spans="2:15" x14ac:dyDescent="0.25">
      <c r="B4020" s="1" t="s">
        <v>154</v>
      </c>
      <c r="C4020" s="2" t="s">
        <v>155</v>
      </c>
      <c r="D4020" s="2" t="s">
        <v>1111</v>
      </c>
      <c r="E4020" s="2" t="s">
        <v>1112</v>
      </c>
      <c r="F4020" s="3">
        <f>DATE(2024,2,1)</f>
        <v>45323</v>
      </c>
      <c r="G4020" s="4">
        <f t="shared" si="340"/>
        <v>2</v>
      </c>
      <c r="H4020" s="4">
        <f t="shared" si="341"/>
        <v>2024</v>
      </c>
      <c r="I4020" s="2" t="s">
        <v>4</v>
      </c>
      <c r="J4020" s="2" t="s">
        <v>4844</v>
      </c>
      <c r="K4020" s="2" t="s">
        <v>1496</v>
      </c>
      <c r="L4020" s="2" t="s">
        <v>159</v>
      </c>
      <c r="M4020" s="2" t="s">
        <v>160</v>
      </c>
      <c r="N4020" s="4" t="str">
        <f t="shared" si="342"/>
        <v>GAL</v>
      </c>
      <c r="O4020" s="5">
        <v>2000</v>
      </c>
    </row>
    <row r="4021" spans="2:15" x14ac:dyDescent="0.25">
      <c r="B4021" s="1" t="s">
        <v>154</v>
      </c>
      <c r="C4021" s="2" t="s">
        <v>155</v>
      </c>
      <c r="D4021" s="2" t="s">
        <v>623</v>
      </c>
      <c r="E4021" s="2" t="s">
        <v>624</v>
      </c>
      <c r="F4021" s="3">
        <f>DATE(2024,2,1)</f>
        <v>45323</v>
      </c>
      <c r="G4021" s="4">
        <f t="shared" si="340"/>
        <v>2</v>
      </c>
      <c r="H4021" s="4">
        <f t="shared" si="341"/>
        <v>2024</v>
      </c>
      <c r="I4021" s="2" t="s">
        <v>4</v>
      </c>
      <c r="J4021" s="2" t="s">
        <v>4845</v>
      </c>
      <c r="K4021" s="2" t="s">
        <v>1824</v>
      </c>
      <c r="L4021" s="2" t="s">
        <v>1825</v>
      </c>
      <c r="M4021" s="2" t="s">
        <v>119</v>
      </c>
      <c r="N4021" s="4" t="str">
        <f t="shared" si="342"/>
        <v>TON</v>
      </c>
      <c r="O4021" s="5">
        <v>15.07</v>
      </c>
    </row>
    <row r="4022" spans="2:15" x14ac:dyDescent="0.25">
      <c r="B4022" s="1" t="s">
        <v>154</v>
      </c>
      <c r="C4022" s="2" t="s">
        <v>155</v>
      </c>
      <c r="D4022" s="2" t="s">
        <v>107</v>
      </c>
      <c r="E4022" s="2" t="s">
        <v>108</v>
      </c>
      <c r="F4022" s="3">
        <f>DATE(2024,2,2)</f>
        <v>45324</v>
      </c>
      <c r="G4022" s="4">
        <f t="shared" si="340"/>
        <v>2</v>
      </c>
      <c r="H4022" s="4">
        <f t="shared" si="341"/>
        <v>2024</v>
      </c>
      <c r="I4022" s="2" t="s">
        <v>4</v>
      </c>
      <c r="J4022" s="2" t="s">
        <v>4846</v>
      </c>
      <c r="K4022" s="2" t="s">
        <v>25</v>
      </c>
      <c r="L4022" s="2" t="s">
        <v>541</v>
      </c>
      <c r="M4022" s="2" t="s">
        <v>27</v>
      </c>
      <c r="N4022" s="4" t="str">
        <f t="shared" si="342"/>
        <v>GAL</v>
      </c>
      <c r="O4022" s="5">
        <v>60</v>
      </c>
    </row>
    <row r="4023" spans="2:15" x14ac:dyDescent="0.25">
      <c r="B4023" s="1" t="s">
        <v>154</v>
      </c>
      <c r="C4023" s="2" t="s">
        <v>155</v>
      </c>
      <c r="D4023" s="2" t="s">
        <v>107</v>
      </c>
      <c r="E4023" s="2" t="s">
        <v>108</v>
      </c>
      <c r="F4023" s="3">
        <f>DATE(2024,2,2)</f>
        <v>45324</v>
      </c>
      <c r="G4023" s="4">
        <f t="shared" si="340"/>
        <v>2</v>
      </c>
      <c r="H4023" s="4">
        <f t="shared" si="341"/>
        <v>2024</v>
      </c>
      <c r="I4023" s="2" t="s">
        <v>4</v>
      </c>
      <c r="J4023" s="2" t="s">
        <v>4846</v>
      </c>
      <c r="K4023" s="2" t="s">
        <v>1120</v>
      </c>
      <c r="L4023" s="2" t="s">
        <v>1568</v>
      </c>
      <c r="M4023" s="2" t="s">
        <v>131</v>
      </c>
      <c r="N4023" s="4" t="str">
        <f t="shared" si="342"/>
        <v>GAL</v>
      </c>
      <c r="O4023" s="5">
        <v>180</v>
      </c>
    </row>
    <row r="4024" spans="2:15" x14ac:dyDescent="0.25">
      <c r="B4024" s="1" t="s">
        <v>154</v>
      </c>
      <c r="C4024" s="2" t="s">
        <v>155</v>
      </c>
      <c r="D4024" s="2" t="s">
        <v>107</v>
      </c>
      <c r="E4024" s="2" t="s">
        <v>108</v>
      </c>
      <c r="F4024" s="3">
        <f>DATE(2024,2,2)</f>
        <v>45324</v>
      </c>
      <c r="G4024" s="4">
        <f t="shared" si="340"/>
        <v>2</v>
      </c>
      <c r="H4024" s="4">
        <f t="shared" si="341"/>
        <v>2024</v>
      </c>
      <c r="I4024" s="2" t="s">
        <v>4</v>
      </c>
      <c r="J4024" s="2" t="s">
        <v>4846</v>
      </c>
      <c r="K4024" s="2" t="s">
        <v>192</v>
      </c>
      <c r="L4024" s="2" t="s">
        <v>193</v>
      </c>
      <c r="M4024" s="2" t="s">
        <v>160</v>
      </c>
      <c r="N4024" s="4" t="str">
        <f t="shared" si="342"/>
        <v>GAL</v>
      </c>
      <c r="O4024" s="5">
        <v>500</v>
      </c>
    </row>
    <row r="4025" spans="2:15" x14ac:dyDescent="0.25">
      <c r="B4025" s="1" t="s">
        <v>154</v>
      </c>
      <c r="C4025" s="2" t="s">
        <v>155</v>
      </c>
      <c r="D4025" s="2" t="s">
        <v>591</v>
      </c>
      <c r="E4025" s="2" t="s">
        <v>592</v>
      </c>
      <c r="F4025" s="3">
        <f t="shared" ref="F4025:F4031" si="343">DATE(2024,2,5)</f>
        <v>45327</v>
      </c>
      <c r="G4025" s="4">
        <f t="shared" si="340"/>
        <v>2</v>
      </c>
      <c r="H4025" s="4">
        <f t="shared" si="341"/>
        <v>2024</v>
      </c>
      <c r="I4025" s="2" t="s">
        <v>4</v>
      </c>
      <c r="J4025" s="2" t="s">
        <v>4847</v>
      </c>
      <c r="K4025" s="2" t="s">
        <v>1098</v>
      </c>
      <c r="L4025" s="2" t="s">
        <v>632</v>
      </c>
      <c r="M4025" s="2" t="s">
        <v>633</v>
      </c>
      <c r="N4025" s="4" t="str">
        <f t="shared" si="342"/>
        <v>GAL</v>
      </c>
      <c r="O4025" s="5">
        <v>3496</v>
      </c>
    </row>
    <row r="4026" spans="2:15" x14ac:dyDescent="0.25">
      <c r="B4026" s="1" t="s">
        <v>645</v>
      </c>
      <c r="C4026" s="2" t="s">
        <v>155</v>
      </c>
      <c r="D4026" s="2" t="s">
        <v>646</v>
      </c>
      <c r="E4026" s="2" t="s">
        <v>647</v>
      </c>
      <c r="F4026" s="3">
        <f t="shared" si="343"/>
        <v>45327</v>
      </c>
      <c r="G4026" s="4">
        <f t="shared" si="340"/>
        <v>2</v>
      </c>
      <c r="H4026" s="4">
        <f t="shared" si="341"/>
        <v>2024</v>
      </c>
      <c r="I4026" s="2" t="s">
        <v>4</v>
      </c>
      <c r="J4026" s="2" t="s">
        <v>4848</v>
      </c>
      <c r="K4026" s="2" t="s">
        <v>25</v>
      </c>
      <c r="L4026" s="2" t="s">
        <v>541</v>
      </c>
      <c r="M4026" s="2" t="s">
        <v>27</v>
      </c>
      <c r="N4026" s="4" t="str">
        <f t="shared" si="342"/>
        <v>GAL</v>
      </c>
      <c r="O4026" s="5">
        <v>180</v>
      </c>
    </row>
    <row r="4027" spans="2:15" x14ac:dyDescent="0.25">
      <c r="B4027" s="1" t="s">
        <v>645</v>
      </c>
      <c r="C4027" s="2" t="s">
        <v>155</v>
      </c>
      <c r="D4027" s="2" t="s">
        <v>646</v>
      </c>
      <c r="E4027" s="2" t="s">
        <v>647</v>
      </c>
      <c r="F4027" s="3">
        <f t="shared" si="343"/>
        <v>45327</v>
      </c>
      <c r="G4027" s="4">
        <f t="shared" si="340"/>
        <v>2</v>
      </c>
      <c r="H4027" s="4">
        <f t="shared" si="341"/>
        <v>2024</v>
      </c>
      <c r="I4027" s="2" t="s">
        <v>4</v>
      </c>
      <c r="J4027" s="2" t="s">
        <v>4848</v>
      </c>
      <c r="K4027" s="2" t="s">
        <v>158</v>
      </c>
      <c r="L4027" s="2" t="s">
        <v>159</v>
      </c>
      <c r="M4027" s="2" t="s">
        <v>160</v>
      </c>
      <c r="N4027" s="4" t="str">
        <f t="shared" si="342"/>
        <v>GAL</v>
      </c>
      <c r="O4027" s="5">
        <v>180</v>
      </c>
    </row>
    <row r="4028" spans="2:15" x14ac:dyDescent="0.25">
      <c r="B4028" s="1" t="s">
        <v>645</v>
      </c>
      <c r="C4028" s="2" t="s">
        <v>155</v>
      </c>
      <c r="D4028" s="2" t="s">
        <v>646</v>
      </c>
      <c r="E4028" s="2" t="s">
        <v>647</v>
      </c>
      <c r="F4028" s="3">
        <f t="shared" si="343"/>
        <v>45327</v>
      </c>
      <c r="G4028" s="4">
        <f t="shared" si="340"/>
        <v>2</v>
      </c>
      <c r="H4028" s="4">
        <f t="shared" si="341"/>
        <v>2024</v>
      </c>
      <c r="I4028" s="2" t="s">
        <v>4</v>
      </c>
      <c r="J4028" s="2" t="s">
        <v>4849</v>
      </c>
      <c r="K4028" s="2" t="s">
        <v>25</v>
      </c>
      <c r="L4028" s="2" t="s">
        <v>541</v>
      </c>
      <c r="M4028" s="2" t="s">
        <v>27</v>
      </c>
      <c r="N4028" s="4" t="str">
        <f t="shared" si="342"/>
        <v>GAL</v>
      </c>
      <c r="O4028" s="5">
        <v>180</v>
      </c>
    </row>
    <row r="4029" spans="2:15" x14ac:dyDescent="0.25">
      <c r="B4029" s="1" t="s">
        <v>154</v>
      </c>
      <c r="C4029" s="2" t="s">
        <v>155</v>
      </c>
      <c r="D4029" s="2" t="s">
        <v>173</v>
      </c>
      <c r="E4029" s="2" t="s">
        <v>174</v>
      </c>
      <c r="F4029" s="3">
        <f t="shared" si="343"/>
        <v>45327</v>
      </c>
      <c r="G4029" s="4">
        <f t="shared" si="340"/>
        <v>2</v>
      </c>
      <c r="H4029" s="4">
        <f t="shared" si="341"/>
        <v>2024</v>
      </c>
      <c r="I4029" s="2" t="s">
        <v>4</v>
      </c>
      <c r="J4029" s="2" t="s">
        <v>4850</v>
      </c>
      <c r="K4029" s="2" t="s">
        <v>1119</v>
      </c>
      <c r="L4029" s="2" t="s">
        <v>1023</v>
      </c>
      <c r="M4029" s="2" t="s">
        <v>1024</v>
      </c>
      <c r="N4029" s="4" t="str">
        <f t="shared" si="342"/>
        <v>GAL</v>
      </c>
      <c r="O4029" s="5">
        <v>180</v>
      </c>
    </row>
    <row r="4030" spans="2:15" x14ac:dyDescent="0.25">
      <c r="B4030" s="1" t="s">
        <v>645</v>
      </c>
      <c r="C4030" s="2" t="s">
        <v>155</v>
      </c>
      <c r="D4030" s="2" t="s">
        <v>646</v>
      </c>
      <c r="E4030" s="2" t="s">
        <v>647</v>
      </c>
      <c r="F4030" s="3">
        <f t="shared" si="343"/>
        <v>45327</v>
      </c>
      <c r="G4030" s="4">
        <f t="shared" si="340"/>
        <v>2</v>
      </c>
      <c r="H4030" s="4">
        <f t="shared" si="341"/>
        <v>2024</v>
      </c>
      <c r="I4030" s="2" t="s">
        <v>4</v>
      </c>
      <c r="J4030" s="2" t="s">
        <v>4851</v>
      </c>
      <c r="K4030" s="2" t="s">
        <v>649</v>
      </c>
      <c r="L4030" s="2" t="s">
        <v>538</v>
      </c>
      <c r="M4030" s="2" t="s">
        <v>4243</v>
      </c>
      <c r="N4030" s="4" t="str">
        <f t="shared" si="342"/>
        <v>GAL</v>
      </c>
      <c r="O4030" s="5">
        <v>1000</v>
      </c>
    </row>
    <row r="4031" spans="2:15" x14ac:dyDescent="0.25">
      <c r="B4031" s="1" t="s">
        <v>154</v>
      </c>
      <c r="C4031" s="2" t="s">
        <v>155</v>
      </c>
      <c r="D4031" s="2" t="s">
        <v>1103</v>
      </c>
      <c r="E4031" s="2" t="s">
        <v>1104</v>
      </c>
      <c r="F4031" s="3">
        <f t="shared" si="343"/>
        <v>45327</v>
      </c>
      <c r="G4031" s="4">
        <f t="shared" si="340"/>
        <v>2</v>
      </c>
      <c r="H4031" s="4">
        <f t="shared" si="341"/>
        <v>2024</v>
      </c>
      <c r="I4031" s="2" t="s">
        <v>4</v>
      </c>
      <c r="J4031" s="2" t="s">
        <v>4852</v>
      </c>
      <c r="K4031" s="2" t="s">
        <v>1106</v>
      </c>
      <c r="L4031" s="2" t="s">
        <v>4853</v>
      </c>
      <c r="M4031" s="2" t="s">
        <v>1108</v>
      </c>
      <c r="N4031" s="4" t="str">
        <f t="shared" si="342"/>
        <v>GAL</v>
      </c>
      <c r="O4031" s="5">
        <v>1000</v>
      </c>
    </row>
    <row r="4032" spans="2:15" x14ac:dyDescent="0.25">
      <c r="B4032" s="1" t="s">
        <v>154</v>
      </c>
      <c r="C4032" s="2" t="s">
        <v>155</v>
      </c>
      <c r="D4032" s="2" t="s">
        <v>623</v>
      </c>
      <c r="E4032" s="2" t="s">
        <v>624</v>
      </c>
      <c r="F4032" s="3">
        <f>DATE(2024,2,6)</f>
        <v>45328</v>
      </c>
      <c r="G4032" s="4">
        <f t="shared" si="340"/>
        <v>2</v>
      </c>
      <c r="H4032" s="4">
        <f t="shared" si="341"/>
        <v>2024</v>
      </c>
      <c r="I4032" s="2" t="s">
        <v>4</v>
      </c>
      <c r="J4032" s="2" t="s">
        <v>4854</v>
      </c>
      <c r="K4032" s="2" t="s">
        <v>1824</v>
      </c>
      <c r="L4032" s="2" t="s">
        <v>1825</v>
      </c>
      <c r="M4032" s="2" t="s">
        <v>119</v>
      </c>
      <c r="N4032" s="4" t="str">
        <f t="shared" si="342"/>
        <v>TON</v>
      </c>
      <c r="O4032" s="5">
        <v>14.9975</v>
      </c>
    </row>
    <row r="4033" spans="2:15" x14ac:dyDescent="0.25">
      <c r="B4033" s="1" t="s">
        <v>154</v>
      </c>
      <c r="C4033" s="2" t="s">
        <v>155</v>
      </c>
      <c r="D4033" s="2" t="s">
        <v>1838</v>
      </c>
      <c r="E4033" s="2" t="s">
        <v>1839</v>
      </c>
      <c r="F4033" s="3">
        <f>DATE(2024,2,6)</f>
        <v>45328</v>
      </c>
      <c r="G4033" s="4">
        <f t="shared" si="340"/>
        <v>2</v>
      </c>
      <c r="H4033" s="4">
        <f t="shared" si="341"/>
        <v>2024</v>
      </c>
      <c r="I4033" s="2" t="s">
        <v>4</v>
      </c>
      <c r="J4033" s="2" t="s">
        <v>4855</v>
      </c>
      <c r="K4033" s="2" t="s">
        <v>25</v>
      </c>
      <c r="L4033" s="2" t="s">
        <v>541</v>
      </c>
      <c r="M4033" s="2" t="s">
        <v>27</v>
      </c>
      <c r="N4033" s="4" t="str">
        <f t="shared" si="342"/>
        <v>GAL</v>
      </c>
      <c r="O4033" s="5">
        <v>360</v>
      </c>
    </row>
    <row r="4034" spans="2:15" x14ac:dyDescent="0.25">
      <c r="B4034" s="1" t="s">
        <v>154</v>
      </c>
      <c r="C4034" s="2" t="s">
        <v>155</v>
      </c>
      <c r="D4034" s="2" t="s">
        <v>1838</v>
      </c>
      <c r="E4034" s="2" t="s">
        <v>1839</v>
      </c>
      <c r="F4034" s="3">
        <f>DATE(2024,2,6)</f>
        <v>45328</v>
      </c>
      <c r="G4034" s="4">
        <f t="shared" si="340"/>
        <v>2</v>
      </c>
      <c r="H4034" s="4">
        <f t="shared" si="341"/>
        <v>2024</v>
      </c>
      <c r="I4034" s="2" t="s">
        <v>4</v>
      </c>
      <c r="J4034" s="2" t="s">
        <v>4855</v>
      </c>
      <c r="K4034" s="2" t="s">
        <v>1496</v>
      </c>
      <c r="L4034" s="2" t="s">
        <v>159</v>
      </c>
      <c r="M4034" s="2" t="s">
        <v>160</v>
      </c>
      <c r="N4034" s="4" t="str">
        <f t="shared" si="342"/>
        <v>GAL</v>
      </c>
      <c r="O4034" s="5">
        <v>500</v>
      </c>
    </row>
    <row r="4035" spans="2:15" x14ac:dyDescent="0.25">
      <c r="B4035" s="1" t="s">
        <v>154</v>
      </c>
      <c r="C4035" s="2" t="s">
        <v>155</v>
      </c>
      <c r="D4035" s="2" t="s">
        <v>161</v>
      </c>
      <c r="E4035" s="2" t="s">
        <v>162</v>
      </c>
      <c r="F4035" s="3">
        <f>DATE(2024,2,9)</f>
        <v>45331</v>
      </c>
      <c r="G4035" s="4">
        <f t="shared" si="340"/>
        <v>2</v>
      </c>
      <c r="H4035" s="4">
        <f t="shared" si="341"/>
        <v>2024</v>
      </c>
      <c r="I4035" s="2" t="s">
        <v>4</v>
      </c>
      <c r="J4035" s="2" t="s">
        <v>4856</v>
      </c>
      <c r="K4035" s="2" t="s">
        <v>25</v>
      </c>
      <c r="L4035" s="2" t="s">
        <v>541</v>
      </c>
      <c r="M4035" s="2" t="s">
        <v>27</v>
      </c>
      <c r="N4035" s="4" t="str">
        <f t="shared" si="342"/>
        <v>GAL</v>
      </c>
      <c r="O4035" s="5">
        <v>180</v>
      </c>
    </row>
    <row r="4036" spans="2:15" x14ac:dyDescent="0.25">
      <c r="B4036" s="1" t="s">
        <v>154</v>
      </c>
      <c r="C4036" s="2" t="s">
        <v>155</v>
      </c>
      <c r="D4036" s="2" t="s">
        <v>167</v>
      </c>
      <c r="E4036" s="2" t="s">
        <v>168</v>
      </c>
      <c r="F4036" s="3">
        <f>DATE(2024,2,9)</f>
        <v>45331</v>
      </c>
      <c r="G4036" s="4">
        <f t="shared" si="340"/>
        <v>2</v>
      </c>
      <c r="H4036" s="4">
        <f t="shared" si="341"/>
        <v>2024</v>
      </c>
      <c r="I4036" s="2" t="s">
        <v>4</v>
      </c>
      <c r="J4036" s="2" t="s">
        <v>4857</v>
      </c>
      <c r="K4036" s="2" t="s">
        <v>1496</v>
      </c>
      <c r="L4036" s="2" t="s">
        <v>159</v>
      </c>
      <c r="M4036" s="2" t="s">
        <v>160</v>
      </c>
      <c r="N4036" s="4" t="str">
        <f t="shared" si="342"/>
        <v>GAL</v>
      </c>
      <c r="O4036" s="5">
        <v>500</v>
      </c>
    </row>
    <row r="4037" spans="2:15" x14ac:dyDescent="0.25">
      <c r="B4037" s="1" t="s">
        <v>154</v>
      </c>
      <c r="C4037" s="2" t="s">
        <v>155</v>
      </c>
      <c r="D4037" s="2" t="s">
        <v>161</v>
      </c>
      <c r="E4037" s="2" t="s">
        <v>162</v>
      </c>
      <c r="F4037" s="3">
        <f>DATE(2024,2,9)</f>
        <v>45331</v>
      </c>
      <c r="G4037" s="4">
        <f t="shared" si="340"/>
        <v>2</v>
      </c>
      <c r="H4037" s="4">
        <f t="shared" si="341"/>
        <v>2024</v>
      </c>
      <c r="I4037" s="2" t="s">
        <v>4</v>
      </c>
      <c r="J4037" s="2" t="s">
        <v>4858</v>
      </c>
      <c r="K4037" s="2" t="s">
        <v>1814</v>
      </c>
      <c r="L4037" s="2" t="s">
        <v>1815</v>
      </c>
      <c r="M4037" s="2" t="s">
        <v>1816</v>
      </c>
      <c r="N4037" s="4" t="str">
        <f t="shared" si="342"/>
        <v>GAL</v>
      </c>
      <c r="O4037" s="5">
        <v>180</v>
      </c>
    </row>
    <row r="4038" spans="2:15" x14ac:dyDescent="0.25">
      <c r="B4038" s="1" t="s">
        <v>154</v>
      </c>
      <c r="C4038" s="2" t="s">
        <v>155</v>
      </c>
      <c r="D4038" s="2" t="s">
        <v>178</v>
      </c>
      <c r="E4038" s="2" t="s">
        <v>179</v>
      </c>
      <c r="F4038" s="3">
        <f>DATE(2024,2,12)</f>
        <v>45334</v>
      </c>
      <c r="G4038" s="4">
        <f t="shared" si="340"/>
        <v>2</v>
      </c>
      <c r="H4038" s="4">
        <f t="shared" si="341"/>
        <v>2024</v>
      </c>
      <c r="I4038" s="2" t="s">
        <v>4</v>
      </c>
      <c r="J4038" s="2" t="s">
        <v>4859</v>
      </c>
      <c r="K4038" s="2" t="s">
        <v>609</v>
      </c>
      <c r="L4038" s="2" t="s">
        <v>610</v>
      </c>
      <c r="M4038" s="2" t="s">
        <v>611</v>
      </c>
      <c r="N4038" s="4" t="str">
        <f t="shared" si="342"/>
        <v>GAL</v>
      </c>
      <c r="O4038" s="5">
        <v>120</v>
      </c>
    </row>
    <row r="4039" spans="2:15" x14ac:dyDescent="0.25">
      <c r="B4039" s="1" t="s">
        <v>154</v>
      </c>
      <c r="C4039" s="2" t="s">
        <v>155</v>
      </c>
      <c r="D4039" s="2" t="s">
        <v>623</v>
      </c>
      <c r="E4039" s="2" t="s">
        <v>624</v>
      </c>
      <c r="F4039" s="3">
        <f t="shared" ref="F4039:F4044" si="344">DATE(2024,2,13)</f>
        <v>45335</v>
      </c>
      <c r="G4039" s="4">
        <f t="shared" si="340"/>
        <v>2</v>
      </c>
      <c r="H4039" s="4">
        <f t="shared" si="341"/>
        <v>2024</v>
      </c>
      <c r="I4039" s="2" t="s">
        <v>4</v>
      </c>
      <c r="J4039" s="2" t="s">
        <v>4860</v>
      </c>
      <c r="K4039" s="2" t="s">
        <v>1824</v>
      </c>
      <c r="L4039" s="2" t="s">
        <v>1825</v>
      </c>
      <c r="M4039" s="2" t="s">
        <v>119</v>
      </c>
      <c r="N4039" s="4" t="str">
        <f t="shared" si="342"/>
        <v>TON</v>
      </c>
      <c r="O4039" s="5">
        <v>15.0075</v>
      </c>
    </row>
    <row r="4040" spans="2:15" x14ac:dyDescent="0.25">
      <c r="B4040" s="1" t="s">
        <v>154</v>
      </c>
      <c r="C4040" s="2" t="s">
        <v>155</v>
      </c>
      <c r="D4040" s="2" t="s">
        <v>628</v>
      </c>
      <c r="E4040" s="2" t="s">
        <v>629</v>
      </c>
      <c r="F4040" s="3">
        <f t="shared" si="344"/>
        <v>45335</v>
      </c>
      <c r="G4040" s="4">
        <f t="shared" si="340"/>
        <v>2</v>
      </c>
      <c r="H4040" s="4">
        <f t="shared" si="341"/>
        <v>2024</v>
      </c>
      <c r="I4040" s="2" t="s">
        <v>4</v>
      </c>
      <c r="J4040" s="2" t="s">
        <v>4861</v>
      </c>
      <c r="K4040" s="2" t="s">
        <v>1496</v>
      </c>
      <c r="L4040" s="2" t="s">
        <v>159</v>
      </c>
      <c r="M4040" s="2" t="s">
        <v>160</v>
      </c>
      <c r="N4040" s="4" t="str">
        <f t="shared" si="342"/>
        <v>GAL</v>
      </c>
      <c r="O4040" s="5">
        <v>1000</v>
      </c>
    </row>
    <row r="4041" spans="2:15" x14ac:dyDescent="0.25">
      <c r="B4041" s="1" t="s">
        <v>154</v>
      </c>
      <c r="C4041" s="2" t="s">
        <v>155</v>
      </c>
      <c r="D4041" s="2" t="s">
        <v>173</v>
      </c>
      <c r="E4041" s="2" t="s">
        <v>174</v>
      </c>
      <c r="F4041" s="3">
        <f t="shared" si="344"/>
        <v>45335</v>
      </c>
      <c r="G4041" s="4">
        <f t="shared" si="340"/>
        <v>2</v>
      </c>
      <c r="H4041" s="4">
        <f t="shared" si="341"/>
        <v>2024</v>
      </c>
      <c r="I4041" s="2" t="s">
        <v>4</v>
      </c>
      <c r="J4041" s="2" t="s">
        <v>4862</v>
      </c>
      <c r="K4041" s="2" t="s">
        <v>1814</v>
      </c>
      <c r="L4041" s="2" t="s">
        <v>1815</v>
      </c>
      <c r="M4041" s="2" t="s">
        <v>1816</v>
      </c>
      <c r="N4041" s="4" t="str">
        <f t="shared" si="342"/>
        <v>GAL</v>
      </c>
      <c r="O4041" s="5">
        <v>120</v>
      </c>
    </row>
    <row r="4042" spans="2:15" x14ac:dyDescent="0.25">
      <c r="B4042" s="1" t="s">
        <v>154</v>
      </c>
      <c r="C4042" s="2" t="s">
        <v>155</v>
      </c>
      <c r="D4042" s="2" t="s">
        <v>173</v>
      </c>
      <c r="E4042" s="2" t="s">
        <v>174</v>
      </c>
      <c r="F4042" s="3">
        <f t="shared" si="344"/>
        <v>45335</v>
      </c>
      <c r="G4042" s="4">
        <f t="shared" si="340"/>
        <v>2</v>
      </c>
      <c r="H4042" s="4">
        <f t="shared" si="341"/>
        <v>2024</v>
      </c>
      <c r="I4042" s="2" t="s">
        <v>4</v>
      </c>
      <c r="J4042" s="2" t="s">
        <v>4862</v>
      </c>
      <c r="K4042" s="2" t="s">
        <v>609</v>
      </c>
      <c r="L4042" s="2" t="s">
        <v>610</v>
      </c>
      <c r="M4042" s="2" t="s">
        <v>611</v>
      </c>
      <c r="N4042" s="4" t="str">
        <f t="shared" si="342"/>
        <v>GAL</v>
      </c>
      <c r="O4042" s="5">
        <v>180</v>
      </c>
    </row>
    <row r="4043" spans="2:15" x14ac:dyDescent="0.25">
      <c r="B4043" s="1" t="s">
        <v>154</v>
      </c>
      <c r="C4043" s="2" t="s">
        <v>155</v>
      </c>
      <c r="D4043" s="2" t="s">
        <v>1838</v>
      </c>
      <c r="E4043" s="2" t="s">
        <v>1839</v>
      </c>
      <c r="F4043" s="3">
        <f t="shared" si="344"/>
        <v>45335</v>
      </c>
      <c r="G4043" s="4">
        <f t="shared" si="340"/>
        <v>2</v>
      </c>
      <c r="H4043" s="4">
        <f t="shared" si="341"/>
        <v>2024</v>
      </c>
      <c r="I4043" s="2" t="s">
        <v>4</v>
      </c>
      <c r="J4043" s="2" t="s">
        <v>4863</v>
      </c>
      <c r="K4043" s="2" t="s">
        <v>25</v>
      </c>
      <c r="L4043" s="2" t="s">
        <v>541</v>
      </c>
      <c r="M4043" s="2" t="s">
        <v>27</v>
      </c>
      <c r="N4043" s="4" t="str">
        <f t="shared" si="342"/>
        <v>GAL</v>
      </c>
      <c r="O4043" s="5">
        <v>360</v>
      </c>
    </row>
    <row r="4044" spans="2:15" x14ac:dyDescent="0.25">
      <c r="B4044" s="1" t="s">
        <v>154</v>
      </c>
      <c r="C4044" s="2" t="s">
        <v>155</v>
      </c>
      <c r="D4044" s="2" t="s">
        <v>1838</v>
      </c>
      <c r="E4044" s="2" t="s">
        <v>1839</v>
      </c>
      <c r="F4044" s="3">
        <f t="shared" si="344"/>
        <v>45335</v>
      </c>
      <c r="G4044" s="4">
        <f t="shared" si="340"/>
        <v>2</v>
      </c>
      <c r="H4044" s="4">
        <f t="shared" si="341"/>
        <v>2024</v>
      </c>
      <c r="I4044" s="2" t="s">
        <v>4</v>
      </c>
      <c r="J4044" s="2" t="s">
        <v>4863</v>
      </c>
      <c r="K4044" s="2" t="s">
        <v>1496</v>
      </c>
      <c r="L4044" s="2" t="s">
        <v>159</v>
      </c>
      <c r="M4044" s="2" t="s">
        <v>160</v>
      </c>
      <c r="N4044" s="4" t="str">
        <f t="shared" si="342"/>
        <v>GAL</v>
      </c>
      <c r="O4044" s="5">
        <v>250</v>
      </c>
    </row>
    <row r="4045" spans="2:15" x14ac:dyDescent="0.25">
      <c r="B4045" s="1" t="s">
        <v>154</v>
      </c>
      <c r="C4045" s="2" t="s">
        <v>155</v>
      </c>
      <c r="D4045" s="2" t="s">
        <v>107</v>
      </c>
      <c r="E4045" s="2" t="s">
        <v>108</v>
      </c>
      <c r="F4045" s="3">
        <f>DATE(2024,2,14)</f>
        <v>45336</v>
      </c>
      <c r="G4045" s="4">
        <f t="shared" si="340"/>
        <v>2</v>
      </c>
      <c r="H4045" s="4">
        <f t="shared" si="341"/>
        <v>2024</v>
      </c>
      <c r="I4045" s="2" t="s">
        <v>4</v>
      </c>
      <c r="J4045" s="2" t="s">
        <v>4864</v>
      </c>
      <c r="K4045" s="2" t="s">
        <v>1501</v>
      </c>
      <c r="L4045" s="2" t="s">
        <v>602</v>
      </c>
      <c r="M4045" s="2" t="s">
        <v>41</v>
      </c>
      <c r="N4045" s="4" t="str">
        <f t="shared" si="342"/>
        <v>GAL</v>
      </c>
      <c r="O4045" s="5">
        <v>180</v>
      </c>
    </row>
    <row r="4046" spans="2:15" x14ac:dyDescent="0.25">
      <c r="B4046" s="1" t="s">
        <v>154</v>
      </c>
      <c r="C4046" s="2" t="s">
        <v>155</v>
      </c>
      <c r="D4046" s="2" t="s">
        <v>107</v>
      </c>
      <c r="E4046" s="2" t="s">
        <v>108</v>
      </c>
      <c r="F4046" s="3">
        <f>DATE(2024,2,14)</f>
        <v>45336</v>
      </c>
      <c r="G4046" s="4">
        <f t="shared" si="340"/>
        <v>2</v>
      </c>
      <c r="H4046" s="4">
        <f t="shared" si="341"/>
        <v>2024</v>
      </c>
      <c r="I4046" s="2" t="s">
        <v>4</v>
      </c>
      <c r="J4046" s="2" t="s">
        <v>4864</v>
      </c>
      <c r="K4046" s="2" t="s">
        <v>189</v>
      </c>
      <c r="L4046" s="2" t="s">
        <v>190</v>
      </c>
      <c r="M4046" s="2" t="s">
        <v>191</v>
      </c>
      <c r="N4046" s="4" t="str">
        <f t="shared" si="342"/>
        <v>GAL</v>
      </c>
      <c r="O4046" s="5">
        <v>175</v>
      </c>
    </row>
    <row r="4047" spans="2:15" x14ac:dyDescent="0.25">
      <c r="B4047" s="1" t="s">
        <v>154</v>
      </c>
      <c r="C4047" s="2" t="s">
        <v>155</v>
      </c>
      <c r="D4047" s="2" t="s">
        <v>167</v>
      </c>
      <c r="E4047" s="2" t="s">
        <v>168</v>
      </c>
      <c r="F4047" s="3">
        <f t="shared" ref="F4047:F4056" si="345">DATE(2024,2,15)</f>
        <v>45337</v>
      </c>
      <c r="G4047" s="4">
        <f t="shared" si="340"/>
        <v>2</v>
      </c>
      <c r="H4047" s="4">
        <f t="shared" si="341"/>
        <v>2024</v>
      </c>
      <c r="I4047" s="2" t="s">
        <v>4</v>
      </c>
      <c r="J4047" s="2" t="s">
        <v>4865</v>
      </c>
      <c r="K4047" s="2" t="s">
        <v>1837</v>
      </c>
      <c r="L4047" s="2" t="s">
        <v>159</v>
      </c>
      <c r="M4047" s="2" t="s">
        <v>160</v>
      </c>
      <c r="N4047" s="4" t="str">
        <f t="shared" si="342"/>
        <v>GAL</v>
      </c>
      <c r="O4047" s="5">
        <v>1259</v>
      </c>
    </row>
    <row r="4048" spans="2:15" x14ac:dyDescent="0.25">
      <c r="B4048" s="1" t="s">
        <v>154</v>
      </c>
      <c r="C4048" s="2" t="s">
        <v>155</v>
      </c>
      <c r="D4048" s="2" t="s">
        <v>1111</v>
      </c>
      <c r="E4048" s="2" t="s">
        <v>1112</v>
      </c>
      <c r="F4048" s="3">
        <f t="shared" si="345"/>
        <v>45337</v>
      </c>
      <c r="G4048" s="4">
        <f t="shared" si="340"/>
        <v>2</v>
      </c>
      <c r="H4048" s="4">
        <f t="shared" si="341"/>
        <v>2024</v>
      </c>
      <c r="I4048" s="2" t="s">
        <v>4</v>
      </c>
      <c r="J4048" s="2" t="s">
        <v>4866</v>
      </c>
      <c r="K4048" s="2" t="s">
        <v>185</v>
      </c>
      <c r="L4048" s="2" t="s">
        <v>165</v>
      </c>
      <c r="M4048" s="2" t="s">
        <v>166</v>
      </c>
      <c r="N4048" s="4" t="str">
        <f t="shared" si="342"/>
        <v>GAL</v>
      </c>
      <c r="O4048" s="5">
        <v>975</v>
      </c>
    </row>
    <row r="4049" spans="2:15" x14ac:dyDescent="0.25">
      <c r="B4049" s="1" t="s">
        <v>154</v>
      </c>
      <c r="C4049" s="2" t="s">
        <v>155</v>
      </c>
      <c r="D4049" s="2" t="s">
        <v>1111</v>
      </c>
      <c r="E4049" s="2" t="s">
        <v>1112</v>
      </c>
      <c r="F4049" s="3">
        <f t="shared" si="345"/>
        <v>45337</v>
      </c>
      <c r="G4049" s="4">
        <f t="shared" si="340"/>
        <v>2</v>
      </c>
      <c r="H4049" s="4">
        <f t="shared" si="341"/>
        <v>2024</v>
      </c>
      <c r="I4049" s="2" t="s">
        <v>4</v>
      </c>
      <c r="J4049" s="2" t="s">
        <v>4867</v>
      </c>
      <c r="K4049" s="2" t="s">
        <v>158</v>
      </c>
      <c r="L4049" s="2" t="s">
        <v>159</v>
      </c>
      <c r="M4049" s="2" t="s">
        <v>160</v>
      </c>
      <c r="N4049" s="4" t="str">
        <f t="shared" si="342"/>
        <v>GAL</v>
      </c>
      <c r="O4049" s="5">
        <v>180</v>
      </c>
    </row>
    <row r="4050" spans="2:15" x14ac:dyDescent="0.25">
      <c r="B4050" s="1" t="s">
        <v>154</v>
      </c>
      <c r="C4050" s="2" t="s">
        <v>155</v>
      </c>
      <c r="D4050" s="2" t="s">
        <v>167</v>
      </c>
      <c r="E4050" s="2" t="s">
        <v>168</v>
      </c>
      <c r="F4050" s="3">
        <f t="shared" si="345"/>
        <v>45337</v>
      </c>
      <c r="G4050" s="4">
        <f t="shared" si="340"/>
        <v>2</v>
      </c>
      <c r="H4050" s="4">
        <f t="shared" si="341"/>
        <v>2024</v>
      </c>
      <c r="I4050" s="2" t="s">
        <v>4</v>
      </c>
      <c r="J4050" s="2" t="s">
        <v>4868</v>
      </c>
      <c r="K4050" s="2" t="s">
        <v>1496</v>
      </c>
      <c r="L4050" s="2" t="s">
        <v>159</v>
      </c>
      <c r="M4050" s="2" t="s">
        <v>160</v>
      </c>
      <c r="N4050" s="4" t="str">
        <f t="shared" si="342"/>
        <v>GAL</v>
      </c>
      <c r="O4050" s="5">
        <v>500</v>
      </c>
    </row>
    <row r="4051" spans="2:15" x14ac:dyDescent="0.25">
      <c r="B4051" s="1" t="s">
        <v>154</v>
      </c>
      <c r="C4051" s="2" t="s">
        <v>155</v>
      </c>
      <c r="D4051" s="2" t="s">
        <v>173</v>
      </c>
      <c r="E4051" s="2" t="s">
        <v>174</v>
      </c>
      <c r="F4051" s="3">
        <f t="shared" si="345"/>
        <v>45337</v>
      </c>
      <c r="G4051" s="4">
        <f t="shared" si="340"/>
        <v>2</v>
      </c>
      <c r="H4051" s="4">
        <f t="shared" si="341"/>
        <v>2024</v>
      </c>
      <c r="I4051" s="2" t="s">
        <v>4</v>
      </c>
      <c r="J4051" s="2" t="s">
        <v>4869</v>
      </c>
      <c r="K4051" s="2" t="s">
        <v>158</v>
      </c>
      <c r="L4051" s="2" t="s">
        <v>159</v>
      </c>
      <c r="M4051" s="2" t="s">
        <v>160</v>
      </c>
      <c r="N4051" s="4" t="str">
        <f t="shared" si="342"/>
        <v>GAL</v>
      </c>
      <c r="O4051" s="5">
        <v>180</v>
      </c>
    </row>
    <row r="4052" spans="2:15" x14ac:dyDescent="0.25">
      <c r="B4052" s="1" t="s">
        <v>154</v>
      </c>
      <c r="C4052" s="2" t="s">
        <v>155</v>
      </c>
      <c r="D4052" s="2" t="s">
        <v>173</v>
      </c>
      <c r="E4052" s="2" t="s">
        <v>174</v>
      </c>
      <c r="F4052" s="3">
        <f t="shared" si="345"/>
        <v>45337</v>
      </c>
      <c r="G4052" s="4">
        <f t="shared" si="340"/>
        <v>2</v>
      </c>
      <c r="H4052" s="4">
        <f t="shared" si="341"/>
        <v>2024</v>
      </c>
      <c r="I4052" s="2" t="s">
        <v>4</v>
      </c>
      <c r="J4052" s="2" t="s">
        <v>4869</v>
      </c>
      <c r="K4052" s="2" t="s">
        <v>1496</v>
      </c>
      <c r="L4052" s="2" t="s">
        <v>159</v>
      </c>
      <c r="M4052" s="2" t="s">
        <v>160</v>
      </c>
      <c r="N4052" s="4" t="str">
        <f t="shared" si="342"/>
        <v>GAL</v>
      </c>
      <c r="O4052" s="5">
        <v>750</v>
      </c>
    </row>
    <row r="4053" spans="2:15" x14ac:dyDescent="0.25">
      <c r="B4053" s="1" t="s">
        <v>154</v>
      </c>
      <c r="C4053" s="2" t="s">
        <v>155</v>
      </c>
      <c r="D4053" s="2" t="s">
        <v>167</v>
      </c>
      <c r="E4053" s="2" t="s">
        <v>168</v>
      </c>
      <c r="F4053" s="3">
        <f t="shared" si="345"/>
        <v>45337</v>
      </c>
      <c r="G4053" s="4">
        <f t="shared" si="340"/>
        <v>2</v>
      </c>
      <c r="H4053" s="4">
        <f t="shared" si="341"/>
        <v>2024</v>
      </c>
      <c r="I4053" s="2" t="s">
        <v>4</v>
      </c>
      <c r="J4053" s="2" t="s">
        <v>4870</v>
      </c>
      <c r="K4053" s="2" t="s">
        <v>1814</v>
      </c>
      <c r="L4053" s="2" t="s">
        <v>1815</v>
      </c>
      <c r="M4053" s="2" t="s">
        <v>1816</v>
      </c>
      <c r="N4053" s="4" t="str">
        <f t="shared" si="342"/>
        <v>GAL</v>
      </c>
      <c r="O4053" s="5">
        <v>180</v>
      </c>
    </row>
    <row r="4054" spans="2:15" x14ac:dyDescent="0.25">
      <c r="B4054" s="1" t="s">
        <v>154</v>
      </c>
      <c r="C4054" s="2" t="s">
        <v>155</v>
      </c>
      <c r="D4054" s="2" t="s">
        <v>167</v>
      </c>
      <c r="E4054" s="2" t="s">
        <v>168</v>
      </c>
      <c r="F4054" s="3">
        <f t="shared" si="345"/>
        <v>45337</v>
      </c>
      <c r="G4054" s="4">
        <f t="shared" ref="G4054:G4117" si="346">MONTH(F4054)</f>
        <v>2</v>
      </c>
      <c r="H4054" s="4">
        <f t="shared" ref="H4054:H4117" si="347">YEAR(F4054)</f>
        <v>2024</v>
      </c>
      <c r="I4054" s="2" t="s">
        <v>4</v>
      </c>
      <c r="J4054" s="2" t="s">
        <v>4870</v>
      </c>
      <c r="K4054" s="2" t="s">
        <v>609</v>
      </c>
      <c r="L4054" s="2" t="s">
        <v>610</v>
      </c>
      <c r="M4054" s="2" t="s">
        <v>611</v>
      </c>
      <c r="N4054" s="4" t="str">
        <f t="shared" ref="N4054:N4117" si="348">LEFT(M4054,3)</f>
        <v>GAL</v>
      </c>
      <c r="O4054" s="5">
        <v>360</v>
      </c>
    </row>
    <row r="4055" spans="2:15" x14ac:dyDescent="0.25">
      <c r="B4055" s="1" t="s">
        <v>154</v>
      </c>
      <c r="C4055" s="2" t="s">
        <v>155</v>
      </c>
      <c r="D4055" s="2" t="s">
        <v>167</v>
      </c>
      <c r="E4055" s="2" t="s">
        <v>168</v>
      </c>
      <c r="F4055" s="3">
        <f t="shared" si="345"/>
        <v>45337</v>
      </c>
      <c r="G4055" s="4">
        <f t="shared" si="346"/>
        <v>2</v>
      </c>
      <c r="H4055" s="4">
        <f t="shared" si="347"/>
        <v>2024</v>
      </c>
      <c r="I4055" s="2" t="s">
        <v>4</v>
      </c>
      <c r="J4055" s="2" t="s">
        <v>4870</v>
      </c>
      <c r="K4055" s="2" t="s">
        <v>1496</v>
      </c>
      <c r="L4055" s="2" t="s">
        <v>159</v>
      </c>
      <c r="M4055" s="2" t="s">
        <v>160</v>
      </c>
      <c r="N4055" s="4" t="str">
        <f t="shared" si="348"/>
        <v>GAL</v>
      </c>
      <c r="O4055" s="5">
        <v>500</v>
      </c>
    </row>
    <row r="4056" spans="2:15" x14ac:dyDescent="0.25">
      <c r="B4056" s="1" t="s">
        <v>154</v>
      </c>
      <c r="C4056" s="2" t="s">
        <v>155</v>
      </c>
      <c r="D4056" s="2" t="s">
        <v>167</v>
      </c>
      <c r="E4056" s="2" t="s">
        <v>168</v>
      </c>
      <c r="F4056" s="3">
        <f t="shared" si="345"/>
        <v>45337</v>
      </c>
      <c r="G4056" s="4">
        <f t="shared" si="346"/>
        <v>2</v>
      </c>
      <c r="H4056" s="4">
        <f t="shared" si="347"/>
        <v>2024</v>
      </c>
      <c r="I4056" s="2" t="s">
        <v>4</v>
      </c>
      <c r="J4056" s="2" t="s">
        <v>4871</v>
      </c>
      <c r="K4056" s="2" t="s">
        <v>3436</v>
      </c>
      <c r="L4056" s="2" t="s">
        <v>3437</v>
      </c>
      <c r="M4056" s="2" t="s">
        <v>67</v>
      </c>
      <c r="N4056" s="4" t="str">
        <f t="shared" si="348"/>
        <v>GAL</v>
      </c>
      <c r="O4056" s="5">
        <v>265</v>
      </c>
    </row>
    <row r="4057" spans="2:15" x14ac:dyDescent="0.25">
      <c r="B4057" s="1" t="s">
        <v>645</v>
      </c>
      <c r="C4057" s="2" t="s">
        <v>155</v>
      </c>
      <c r="D4057" s="2" t="s">
        <v>646</v>
      </c>
      <c r="E4057" s="2" t="s">
        <v>647</v>
      </c>
      <c r="F4057" s="3">
        <f>DATE(2024,2,16)</f>
        <v>45338</v>
      </c>
      <c r="G4057" s="4">
        <f t="shared" si="346"/>
        <v>2</v>
      </c>
      <c r="H4057" s="4">
        <f t="shared" si="347"/>
        <v>2024</v>
      </c>
      <c r="I4057" s="2" t="s">
        <v>4</v>
      </c>
      <c r="J4057" s="2" t="s">
        <v>4872</v>
      </c>
      <c r="K4057" s="2" t="s">
        <v>4873</v>
      </c>
      <c r="L4057" s="2" t="s">
        <v>555</v>
      </c>
      <c r="M4057" s="2" t="s">
        <v>556</v>
      </c>
      <c r="N4057" s="4" t="str">
        <f t="shared" si="348"/>
        <v>GAL</v>
      </c>
      <c r="O4057" s="5">
        <v>400</v>
      </c>
    </row>
    <row r="4058" spans="2:15" x14ac:dyDescent="0.25">
      <c r="B4058" s="1" t="s">
        <v>154</v>
      </c>
      <c r="C4058" s="2" t="s">
        <v>155</v>
      </c>
      <c r="D4058" s="2" t="s">
        <v>628</v>
      </c>
      <c r="E4058" s="2" t="s">
        <v>629</v>
      </c>
      <c r="F4058" s="3">
        <f>DATE(2024,2,16)</f>
        <v>45338</v>
      </c>
      <c r="G4058" s="4">
        <f t="shared" si="346"/>
        <v>2</v>
      </c>
      <c r="H4058" s="4">
        <f t="shared" si="347"/>
        <v>2024</v>
      </c>
      <c r="I4058" s="2" t="s">
        <v>4</v>
      </c>
      <c r="J4058" s="2" t="s">
        <v>4874</v>
      </c>
      <c r="K4058" s="2" t="s">
        <v>631</v>
      </c>
      <c r="L4058" s="2" t="s">
        <v>632</v>
      </c>
      <c r="M4058" s="2" t="s">
        <v>633</v>
      </c>
      <c r="N4058" s="4" t="str">
        <f t="shared" si="348"/>
        <v>GAL</v>
      </c>
      <c r="O4058" s="5">
        <v>1300</v>
      </c>
    </row>
    <row r="4059" spans="2:15" x14ac:dyDescent="0.25">
      <c r="B4059" s="1" t="s">
        <v>154</v>
      </c>
      <c r="C4059" s="2" t="s">
        <v>155</v>
      </c>
      <c r="D4059" s="2" t="s">
        <v>178</v>
      </c>
      <c r="E4059" s="2" t="s">
        <v>179</v>
      </c>
      <c r="F4059" s="3">
        <f>DATE(2024,2,16)</f>
        <v>45338</v>
      </c>
      <c r="G4059" s="4">
        <f t="shared" si="346"/>
        <v>2</v>
      </c>
      <c r="H4059" s="4">
        <f t="shared" si="347"/>
        <v>2024</v>
      </c>
      <c r="I4059" s="2" t="s">
        <v>4</v>
      </c>
      <c r="J4059" s="2" t="s">
        <v>4875</v>
      </c>
      <c r="K4059" s="2" t="s">
        <v>4873</v>
      </c>
      <c r="L4059" s="2" t="s">
        <v>555</v>
      </c>
      <c r="M4059" s="2" t="s">
        <v>556</v>
      </c>
      <c r="N4059" s="4" t="str">
        <f t="shared" si="348"/>
        <v>GAL</v>
      </c>
      <c r="O4059" s="5">
        <v>25</v>
      </c>
    </row>
    <row r="4060" spans="2:15" x14ac:dyDescent="0.25">
      <c r="B4060" s="1" t="s">
        <v>154</v>
      </c>
      <c r="C4060" s="2" t="s">
        <v>155</v>
      </c>
      <c r="D4060" s="2" t="s">
        <v>623</v>
      </c>
      <c r="E4060" s="2" t="s">
        <v>624</v>
      </c>
      <c r="F4060" s="3">
        <f>DATE(2024,2,17)</f>
        <v>45339</v>
      </c>
      <c r="G4060" s="4">
        <f t="shared" si="346"/>
        <v>2</v>
      </c>
      <c r="H4060" s="4">
        <f t="shared" si="347"/>
        <v>2024</v>
      </c>
      <c r="I4060" s="2" t="s">
        <v>4</v>
      </c>
      <c r="J4060" s="2" t="s">
        <v>4876</v>
      </c>
      <c r="K4060" s="2" t="s">
        <v>1824</v>
      </c>
      <c r="L4060" s="2" t="s">
        <v>1825</v>
      </c>
      <c r="M4060" s="2" t="s">
        <v>119</v>
      </c>
      <c r="N4060" s="4" t="str">
        <f t="shared" si="348"/>
        <v>TON</v>
      </c>
      <c r="O4060" s="5">
        <v>15.005000000000001</v>
      </c>
    </row>
    <row r="4061" spans="2:15" x14ac:dyDescent="0.25">
      <c r="B4061" s="1" t="s">
        <v>154</v>
      </c>
      <c r="C4061" s="2" t="s">
        <v>155</v>
      </c>
      <c r="D4061" s="2" t="s">
        <v>3552</v>
      </c>
      <c r="E4061" s="2" t="s">
        <v>102</v>
      </c>
      <c r="F4061" s="3">
        <f>DATE(2024,2,19)</f>
        <v>45341</v>
      </c>
      <c r="G4061" s="4">
        <f t="shared" si="346"/>
        <v>2</v>
      </c>
      <c r="H4061" s="4">
        <f t="shared" si="347"/>
        <v>2024</v>
      </c>
      <c r="I4061" s="2" t="s">
        <v>4</v>
      </c>
      <c r="J4061" s="2" t="s">
        <v>4877</v>
      </c>
      <c r="K4061" s="2" t="s">
        <v>2447</v>
      </c>
      <c r="L4061" s="2" t="s">
        <v>547</v>
      </c>
      <c r="M4061" s="2" t="s">
        <v>160</v>
      </c>
      <c r="N4061" s="4" t="str">
        <f t="shared" si="348"/>
        <v>GAL</v>
      </c>
      <c r="O4061" s="5">
        <v>40</v>
      </c>
    </row>
    <row r="4062" spans="2:15" x14ac:dyDescent="0.25">
      <c r="B4062" s="1" t="s">
        <v>154</v>
      </c>
      <c r="C4062" s="2" t="s">
        <v>155</v>
      </c>
      <c r="D4062" s="2" t="s">
        <v>167</v>
      </c>
      <c r="E4062" s="2" t="s">
        <v>168</v>
      </c>
      <c r="F4062" s="3">
        <f>DATE(2024,2,19)</f>
        <v>45341</v>
      </c>
      <c r="G4062" s="4">
        <f t="shared" si="346"/>
        <v>2</v>
      </c>
      <c r="H4062" s="4">
        <f t="shared" si="347"/>
        <v>2024</v>
      </c>
      <c r="I4062" s="2" t="s">
        <v>4</v>
      </c>
      <c r="J4062" s="2" t="s">
        <v>4878</v>
      </c>
      <c r="K4062" s="2" t="s">
        <v>1814</v>
      </c>
      <c r="L4062" s="2" t="s">
        <v>1815</v>
      </c>
      <c r="M4062" s="2" t="s">
        <v>1816</v>
      </c>
      <c r="N4062" s="4" t="str">
        <f t="shared" si="348"/>
        <v>GAL</v>
      </c>
      <c r="O4062" s="5">
        <v>180</v>
      </c>
    </row>
    <row r="4063" spans="2:15" x14ac:dyDescent="0.25">
      <c r="B4063" s="1" t="s">
        <v>154</v>
      </c>
      <c r="C4063" s="2" t="s">
        <v>155</v>
      </c>
      <c r="D4063" s="2" t="s">
        <v>161</v>
      </c>
      <c r="E4063" s="2" t="s">
        <v>162</v>
      </c>
      <c r="F4063" s="3">
        <f>DATE(2024,2,21)</f>
        <v>45343</v>
      </c>
      <c r="G4063" s="4">
        <f t="shared" si="346"/>
        <v>2</v>
      </c>
      <c r="H4063" s="4">
        <f t="shared" si="347"/>
        <v>2024</v>
      </c>
      <c r="I4063" s="2" t="s">
        <v>4</v>
      </c>
      <c r="J4063" s="2" t="s">
        <v>4879</v>
      </c>
      <c r="K4063" s="2" t="s">
        <v>1496</v>
      </c>
      <c r="L4063" s="2" t="s">
        <v>159</v>
      </c>
      <c r="M4063" s="2" t="s">
        <v>160</v>
      </c>
      <c r="N4063" s="4" t="str">
        <f t="shared" si="348"/>
        <v>GAL</v>
      </c>
      <c r="O4063" s="5">
        <v>500</v>
      </c>
    </row>
    <row r="4064" spans="2:15" x14ac:dyDescent="0.25">
      <c r="B4064" s="1" t="s">
        <v>154</v>
      </c>
      <c r="C4064" s="2" t="s">
        <v>155</v>
      </c>
      <c r="D4064" s="2" t="s">
        <v>623</v>
      </c>
      <c r="E4064" s="2" t="s">
        <v>624</v>
      </c>
      <c r="F4064" s="3">
        <f>DATE(2024,2,21)</f>
        <v>45343</v>
      </c>
      <c r="G4064" s="4">
        <f t="shared" si="346"/>
        <v>2</v>
      </c>
      <c r="H4064" s="4">
        <f t="shared" si="347"/>
        <v>2024</v>
      </c>
      <c r="I4064" s="2" t="s">
        <v>4</v>
      </c>
      <c r="J4064" s="2" t="s">
        <v>4880</v>
      </c>
      <c r="K4064" s="2" t="s">
        <v>1824</v>
      </c>
      <c r="L4064" s="2" t="s">
        <v>1825</v>
      </c>
      <c r="M4064" s="2" t="s">
        <v>119</v>
      </c>
      <c r="N4064" s="4" t="str">
        <f t="shared" si="348"/>
        <v>TON</v>
      </c>
      <c r="O4064" s="5">
        <v>15.035</v>
      </c>
    </row>
    <row r="4065" spans="2:15" x14ac:dyDescent="0.25">
      <c r="B4065" s="1" t="s">
        <v>154</v>
      </c>
      <c r="C4065" s="2" t="s">
        <v>155</v>
      </c>
      <c r="D4065" s="2" t="s">
        <v>1838</v>
      </c>
      <c r="E4065" s="2" t="s">
        <v>1839</v>
      </c>
      <c r="F4065" s="3">
        <f>DATE(2024,2,22)</f>
        <v>45344</v>
      </c>
      <c r="G4065" s="4">
        <f t="shared" si="346"/>
        <v>2</v>
      </c>
      <c r="H4065" s="4">
        <f t="shared" si="347"/>
        <v>2024</v>
      </c>
      <c r="I4065" s="2" t="s">
        <v>4</v>
      </c>
      <c r="J4065" s="2" t="s">
        <v>4881</v>
      </c>
      <c r="K4065" s="2" t="s">
        <v>1130</v>
      </c>
      <c r="L4065" s="2" t="s">
        <v>632</v>
      </c>
      <c r="M4065" s="2" t="s">
        <v>633</v>
      </c>
      <c r="N4065" s="4" t="str">
        <f t="shared" si="348"/>
        <v>GAL</v>
      </c>
      <c r="O4065" s="5">
        <v>30</v>
      </c>
    </row>
    <row r="4066" spans="2:15" x14ac:dyDescent="0.25">
      <c r="B4066" s="1" t="s">
        <v>154</v>
      </c>
      <c r="C4066" s="2" t="s">
        <v>155</v>
      </c>
      <c r="D4066" s="2" t="s">
        <v>1838</v>
      </c>
      <c r="E4066" s="2" t="s">
        <v>1839</v>
      </c>
      <c r="F4066" s="3">
        <f>DATE(2024,2,22)</f>
        <v>45344</v>
      </c>
      <c r="G4066" s="4">
        <f t="shared" si="346"/>
        <v>2</v>
      </c>
      <c r="H4066" s="4">
        <f t="shared" si="347"/>
        <v>2024</v>
      </c>
      <c r="I4066" s="2" t="s">
        <v>4</v>
      </c>
      <c r="J4066" s="2" t="s">
        <v>4881</v>
      </c>
      <c r="K4066" s="2" t="s">
        <v>25</v>
      </c>
      <c r="L4066" s="2" t="s">
        <v>541</v>
      </c>
      <c r="M4066" s="2" t="s">
        <v>27</v>
      </c>
      <c r="N4066" s="4" t="str">
        <f t="shared" si="348"/>
        <v>GAL</v>
      </c>
      <c r="O4066" s="5">
        <v>360</v>
      </c>
    </row>
    <row r="4067" spans="2:15" x14ac:dyDescent="0.25">
      <c r="B4067" s="1" t="s">
        <v>154</v>
      </c>
      <c r="C4067" s="2" t="s">
        <v>155</v>
      </c>
      <c r="D4067" s="2" t="s">
        <v>1838</v>
      </c>
      <c r="E4067" s="2" t="s">
        <v>1839</v>
      </c>
      <c r="F4067" s="3">
        <f>DATE(2024,2,22)</f>
        <v>45344</v>
      </c>
      <c r="G4067" s="4">
        <f t="shared" si="346"/>
        <v>2</v>
      </c>
      <c r="H4067" s="4">
        <f t="shared" si="347"/>
        <v>2024</v>
      </c>
      <c r="I4067" s="2" t="s">
        <v>4</v>
      </c>
      <c r="J4067" s="2" t="s">
        <v>4881</v>
      </c>
      <c r="K4067" s="2" t="s">
        <v>158</v>
      </c>
      <c r="L4067" s="2" t="s">
        <v>159</v>
      </c>
      <c r="M4067" s="2" t="s">
        <v>160</v>
      </c>
      <c r="N4067" s="4" t="str">
        <f t="shared" si="348"/>
        <v>GAL</v>
      </c>
      <c r="O4067" s="5">
        <v>720</v>
      </c>
    </row>
    <row r="4068" spans="2:15" x14ac:dyDescent="0.25">
      <c r="B4068" s="1" t="s">
        <v>645</v>
      </c>
      <c r="C4068" s="2" t="s">
        <v>155</v>
      </c>
      <c r="D4068" s="2" t="s">
        <v>646</v>
      </c>
      <c r="E4068" s="2" t="s">
        <v>647</v>
      </c>
      <c r="F4068" s="3">
        <f t="shared" ref="F4068:F4073" si="349">DATE(2024,2,23)</f>
        <v>45345</v>
      </c>
      <c r="G4068" s="4">
        <f t="shared" si="346"/>
        <v>2</v>
      </c>
      <c r="H4068" s="4">
        <f t="shared" si="347"/>
        <v>2024</v>
      </c>
      <c r="I4068" s="2" t="s">
        <v>4</v>
      </c>
      <c r="J4068" s="2" t="s">
        <v>4882</v>
      </c>
      <c r="K4068" s="2" t="s">
        <v>158</v>
      </c>
      <c r="L4068" s="2" t="s">
        <v>159</v>
      </c>
      <c r="M4068" s="2" t="s">
        <v>160</v>
      </c>
      <c r="N4068" s="4" t="str">
        <f t="shared" si="348"/>
        <v>GAL</v>
      </c>
      <c r="O4068" s="5">
        <v>180</v>
      </c>
    </row>
    <row r="4069" spans="2:15" x14ac:dyDescent="0.25">
      <c r="B4069" s="1" t="s">
        <v>154</v>
      </c>
      <c r="C4069" s="2" t="s">
        <v>155</v>
      </c>
      <c r="D4069" s="2" t="s">
        <v>107</v>
      </c>
      <c r="E4069" s="2" t="s">
        <v>108</v>
      </c>
      <c r="F4069" s="3">
        <f t="shared" si="349"/>
        <v>45345</v>
      </c>
      <c r="G4069" s="4">
        <f t="shared" si="346"/>
        <v>2</v>
      </c>
      <c r="H4069" s="4">
        <f t="shared" si="347"/>
        <v>2024</v>
      </c>
      <c r="I4069" s="2" t="s">
        <v>4</v>
      </c>
      <c r="J4069" s="2" t="s">
        <v>4883</v>
      </c>
      <c r="K4069" s="2" t="s">
        <v>1501</v>
      </c>
      <c r="L4069" s="2" t="s">
        <v>602</v>
      </c>
      <c r="M4069" s="2" t="s">
        <v>41</v>
      </c>
      <c r="N4069" s="4" t="str">
        <f t="shared" si="348"/>
        <v>GAL</v>
      </c>
      <c r="O4069" s="5">
        <v>180</v>
      </c>
    </row>
    <row r="4070" spans="2:15" x14ac:dyDescent="0.25">
      <c r="B4070" s="1" t="s">
        <v>154</v>
      </c>
      <c r="C4070" s="2" t="s">
        <v>155</v>
      </c>
      <c r="D4070" s="2" t="s">
        <v>107</v>
      </c>
      <c r="E4070" s="2" t="s">
        <v>108</v>
      </c>
      <c r="F4070" s="3">
        <f t="shared" si="349"/>
        <v>45345</v>
      </c>
      <c r="G4070" s="4">
        <f t="shared" si="346"/>
        <v>2</v>
      </c>
      <c r="H4070" s="4">
        <f t="shared" si="347"/>
        <v>2024</v>
      </c>
      <c r="I4070" s="2" t="s">
        <v>4</v>
      </c>
      <c r="J4070" s="2" t="s">
        <v>4883</v>
      </c>
      <c r="K4070" s="2" t="s">
        <v>192</v>
      </c>
      <c r="L4070" s="2" t="s">
        <v>193</v>
      </c>
      <c r="M4070" s="2" t="s">
        <v>160</v>
      </c>
      <c r="N4070" s="4" t="str">
        <f t="shared" si="348"/>
        <v>GAL</v>
      </c>
      <c r="O4070" s="5">
        <v>500</v>
      </c>
    </row>
    <row r="4071" spans="2:15" x14ac:dyDescent="0.25">
      <c r="B4071" s="1" t="s">
        <v>154</v>
      </c>
      <c r="C4071" s="2" t="s">
        <v>155</v>
      </c>
      <c r="D4071" s="2" t="s">
        <v>167</v>
      </c>
      <c r="E4071" s="2" t="s">
        <v>168</v>
      </c>
      <c r="F4071" s="3">
        <f t="shared" si="349"/>
        <v>45345</v>
      </c>
      <c r="G4071" s="4">
        <f t="shared" si="346"/>
        <v>2</v>
      </c>
      <c r="H4071" s="4">
        <f t="shared" si="347"/>
        <v>2024</v>
      </c>
      <c r="I4071" s="2" t="s">
        <v>4</v>
      </c>
      <c r="J4071" s="2" t="s">
        <v>4884</v>
      </c>
      <c r="K4071" s="2" t="s">
        <v>1814</v>
      </c>
      <c r="L4071" s="2" t="s">
        <v>1815</v>
      </c>
      <c r="M4071" s="2" t="s">
        <v>1816</v>
      </c>
      <c r="N4071" s="4" t="str">
        <f t="shared" si="348"/>
        <v>GAL</v>
      </c>
      <c r="O4071" s="5">
        <v>180</v>
      </c>
    </row>
    <row r="4072" spans="2:15" x14ac:dyDescent="0.25">
      <c r="B4072" s="1" t="s">
        <v>154</v>
      </c>
      <c r="C4072" s="2" t="s">
        <v>155</v>
      </c>
      <c r="D4072" s="2" t="s">
        <v>167</v>
      </c>
      <c r="E4072" s="2" t="s">
        <v>168</v>
      </c>
      <c r="F4072" s="3">
        <f t="shared" si="349"/>
        <v>45345</v>
      </c>
      <c r="G4072" s="4">
        <f t="shared" si="346"/>
        <v>2</v>
      </c>
      <c r="H4072" s="4">
        <f t="shared" si="347"/>
        <v>2024</v>
      </c>
      <c r="I4072" s="2" t="s">
        <v>4</v>
      </c>
      <c r="J4072" s="2" t="s">
        <v>4885</v>
      </c>
      <c r="K4072" s="2" t="s">
        <v>158</v>
      </c>
      <c r="L4072" s="2" t="s">
        <v>159</v>
      </c>
      <c r="M4072" s="2" t="s">
        <v>160</v>
      </c>
      <c r="N4072" s="4" t="str">
        <f t="shared" si="348"/>
        <v>GAL</v>
      </c>
      <c r="O4072" s="5">
        <v>180</v>
      </c>
    </row>
    <row r="4073" spans="2:15" x14ac:dyDescent="0.25">
      <c r="B4073" s="1" t="s">
        <v>645</v>
      </c>
      <c r="C4073" s="2" t="s">
        <v>155</v>
      </c>
      <c r="D4073" s="2" t="s">
        <v>646</v>
      </c>
      <c r="E4073" s="2" t="s">
        <v>647</v>
      </c>
      <c r="F4073" s="3">
        <f t="shared" si="349"/>
        <v>45345</v>
      </c>
      <c r="G4073" s="4">
        <f t="shared" si="346"/>
        <v>2</v>
      </c>
      <c r="H4073" s="4">
        <f t="shared" si="347"/>
        <v>2024</v>
      </c>
      <c r="I4073" s="2" t="s">
        <v>4</v>
      </c>
      <c r="J4073" s="2" t="s">
        <v>4886</v>
      </c>
      <c r="K4073" s="2" t="s">
        <v>158</v>
      </c>
      <c r="L4073" s="2" t="s">
        <v>159</v>
      </c>
      <c r="M4073" s="2" t="s">
        <v>160</v>
      </c>
      <c r="N4073" s="4" t="str">
        <f t="shared" si="348"/>
        <v>GAL</v>
      </c>
      <c r="O4073" s="5">
        <v>285</v>
      </c>
    </row>
    <row r="4074" spans="2:15" x14ac:dyDescent="0.25">
      <c r="B4074" s="1" t="s">
        <v>645</v>
      </c>
      <c r="C4074" s="2" t="s">
        <v>155</v>
      </c>
      <c r="D4074" s="2" t="s">
        <v>646</v>
      </c>
      <c r="E4074" s="2" t="s">
        <v>647</v>
      </c>
      <c r="F4074" s="3">
        <f>DATE(2024,2,26)</f>
        <v>45348</v>
      </c>
      <c r="G4074" s="4">
        <f t="shared" si="346"/>
        <v>2</v>
      </c>
      <c r="H4074" s="4">
        <f t="shared" si="347"/>
        <v>2024</v>
      </c>
      <c r="I4074" s="2" t="s">
        <v>4</v>
      </c>
      <c r="J4074" s="2" t="s">
        <v>4887</v>
      </c>
      <c r="K4074" s="2" t="s">
        <v>158</v>
      </c>
      <c r="L4074" s="2" t="s">
        <v>159</v>
      </c>
      <c r="M4074" s="2" t="s">
        <v>160</v>
      </c>
      <c r="N4074" s="4" t="str">
        <f t="shared" si="348"/>
        <v>GAL</v>
      </c>
      <c r="O4074" s="5">
        <v>360</v>
      </c>
    </row>
    <row r="4075" spans="2:15" x14ac:dyDescent="0.25">
      <c r="B4075" s="1" t="s">
        <v>645</v>
      </c>
      <c r="C4075" s="2" t="s">
        <v>155</v>
      </c>
      <c r="D4075" s="2" t="s">
        <v>646</v>
      </c>
      <c r="E4075" s="2" t="s">
        <v>647</v>
      </c>
      <c r="F4075" s="3">
        <f>DATE(2024,2,26)</f>
        <v>45348</v>
      </c>
      <c r="G4075" s="4">
        <f t="shared" si="346"/>
        <v>2</v>
      </c>
      <c r="H4075" s="4">
        <f t="shared" si="347"/>
        <v>2024</v>
      </c>
      <c r="I4075" s="2" t="s">
        <v>4</v>
      </c>
      <c r="J4075" s="2" t="s">
        <v>4888</v>
      </c>
      <c r="K4075" s="2" t="s">
        <v>25</v>
      </c>
      <c r="L4075" s="2" t="s">
        <v>541</v>
      </c>
      <c r="M4075" s="2" t="s">
        <v>27</v>
      </c>
      <c r="N4075" s="4" t="str">
        <f t="shared" si="348"/>
        <v>GAL</v>
      </c>
      <c r="O4075" s="5">
        <v>360</v>
      </c>
    </row>
    <row r="4076" spans="2:15" x14ac:dyDescent="0.25">
      <c r="B4076" s="1" t="s">
        <v>154</v>
      </c>
      <c r="C4076" s="2" t="s">
        <v>155</v>
      </c>
      <c r="D4076" s="2" t="s">
        <v>623</v>
      </c>
      <c r="E4076" s="2" t="s">
        <v>624</v>
      </c>
      <c r="F4076" s="3">
        <f>DATE(2024,2,27)</f>
        <v>45349</v>
      </c>
      <c r="G4076" s="4">
        <f t="shared" si="346"/>
        <v>2</v>
      </c>
      <c r="H4076" s="4">
        <f t="shared" si="347"/>
        <v>2024</v>
      </c>
      <c r="I4076" s="2" t="s">
        <v>4</v>
      </c>
      <c r="J4076" s="2" t="s">
        <v>4889</v>
      </c>
      <c r="K4076" s="2" t="s">
        <v>1824</v>
      </c>
      <c r="L4076" s="2" t="s">
        <v>1825</v>
      </c>
      <c r="M4076" s="2" t="s">
        <v>119</v>
      </c>
      <c r="N4076" s="4" t="str">
        <f t="shared" si="348"/>
        <v>TON</v>
      </c>
      <c r="O4076" s="5">
        <v>14.9925</v>
      </c>
    </row>
    <row r="4077" spans="2:15" x14ac:dyDescent="0.25">
      <c r="B4077" s="1" t="s">
        <v>154</v>
      </c>
      <c r="C4077" s="2" t="s">
        <v>155</v>
      </c>
      <c r="D4077" s="2" t="s">
        <v>1103</v>
      </c>
      <c r="E4077" s="2" t="s">
        <v>1104</v>
      </c>
      <c r="F4077" s="3">
        <f>DATE(2024,2,27)</f>
        <v>45349</v>
      </c>
      <c r="G4077" s="4">
        <f t="shared" si="346"/>
        <v>2</v>
      </c>
      <c r="H4077" s="4">
        <f t="shared" si="347"/>
        <v>2024</v>
      </c>
      <c r="I4077" s="2" t="s">
        <v>4</v>
      </c>
      <c r="J4077" s="2" t="s">
        <v>4890</v>
      </c>
      <c r="K4077" s="2" t="s">
        <v>1106</v>
      </c>
      <c r="L4077" s="2" t="s">
        <v>1107</v>
      </c>
      <c r="M4077" s="2" t="s">
        <v>1108</v>
      </c>
      <c r="N4077" s="4" t="str">
        <f t="shared" si="348"/>
        <v>GAL</v>
      </c>
      <c r="O4077" s="5">
        <v>1500</v>
      </c>
    </row>
    <row r="4078" spans="2:15" x14ac:dyDescent="0.25">
      <c r="B4078" s="1" t="s">
        <v>154</v>
      </c>
      <c r="C4078" s="2" t="s">
        <v>155</v>
      </c>
      <c r="D4078" s="2" t="s">
        <v>1103</v>
      </c>
      <c r="E4078" s="2" t="s">
        <v>1104</v>
      </c>
      <c r="F4078" s="3">
        <f>DATE(2024,2,27)</f>
        <v>45349</v>
      </c>
      <c r="G4078" s="4">
        <f t="shared" si="346"/>
        <v>2</v>
      </c>
      <c r="H4078" s="4">
        <f t="shared" si="347"/>
        <v>2024</v>
      </c>
      <c r="I4078" s="2" t="s">
        <v>4</v>
      </c>
      <c r="J4078" s="2" t="s">
        <v>4891</v>
      </c>
      <c r="K4078" s="2" t="s">
        <v>126</v>
      </c>
      <c r="L4078" s="2" t="s">
        <v>127</v>
      </c>
      <c r="M4078" s="2" t="s">
        <v>106</v>
      </c>
      <c r="N4078" s="4" t="str">
        <f t="shared" si="348"/>
        <v>LBS</v>
      </c>
      <c r="O4078" s="5">
        <v>9862.5</v>
      </c>
    </row>
    <row r="4079" spans="2:15" x14ac:dyDescent="0.25">
      <c r="B4079" s="1" t="s">
        <v>154</v>
      </c>
      <c r="C4079" s="2" t="s">
        <v>155</v>
      </c>
      <c r="D4079" s="2" t="s">
        <v>178</v>
      </c>
      <c r="E4079" s="2" t="s">
        <v>179</v>
      </c>
      <c r="F4079" s="3">
        <f>DATE(2024,2,27)</f>
        <v>45349</v>
      </c>
      <c r="G4079" s="4">
        <f t="shared" si="346"/>
        <v>2</v>
      </c>
      <c r="H4079" s="4">
        <f t="shared" si="347"/>
        <v>2024</v>
      </c>
      <c r="I4079" s="2" t="s">
        <v>4</v>
      </c>
      <c r="J4079" s="2" t="s">
        <v>4892</v>
      </c>
      <c r="K4079" s="2" t="s">
        <v>158</v>
      </c>
      <c r="L4079" s="2" t="s">
        <v>159</v>
      </c>
      <c r="M4079" s="2" t="s">
        <v>160</v>
      </c>
      <c r="N4079" s="4" t="str">
        <f t="shared" si="348"/>
        <v>GAL</v>
      </c>
      <c r="O4079" s="5">
        <v>180</v>
      </c>
    </row>
    <row r="4080" spans="2:15" x14ac:dyDescent="0.25">
      <c r="B4080" s="1" t="s">
        <v>154</v>
      </c>
      <c r="C4080" s="2" t="s">
        <v>155</v>
      </c>
      <c r="D4080" s="2" t="s">
        <v>1111</v>
      </c>
      <c r="E4080" s="2" t="s">
        <v>1112</v>
      </c>
      <c r="F4080" s="3">
        <f>DATE(2024,2,28)</f>
        <v>45350</v>
      </c>
      <c r="G4080" s="4">
        <f t="shared" si="346"/>
        <v>2</v>
      </c>
      <c r="H4080" s="4">
        <f t="shared" si="347"/>
        <v>2024</v>
      </c>
      <c r="I4080" s="2" t="s">
        <v>4</v>
      </c>
      <c r="J4080" s="2" t="s">
        <v>4893</v>
      </c>
      <c r="K4080" s="2" t="s">
        <v>158</v>
      </c>
      <c r="L4080" s="2" t="s">
        <v>159</v>
      </c>
      <c r="M4080" s="2" t="s">
        <v>160</v>
      </c>
      <c r="N4080" s="4" t="str">
        <f t="shared" si="348"/>
        <v>GAL</v>
      </c>
      <c r="O4080" s="5">
        <v>180</v>
      </c>
    </row>
    <row r="4081" spans="2:15" x14ac:dyDescent="0.25">
      <c r="B4081" s="1" t="s">
        <v>154</v>
      </c>
      <c r="C4081" s="2" t="s">
        <v>155</v>
      </c>
      <c r="D4081" s="2" t="s">
        <v>1111</v>
      </c>
      <c r="E4081" s="2" t="s">
        <v>1112</v>
      </c>
      <c r="F4081" s="3">
        <f>DATE(2024,2,28)</f>
        <v>45350</v>
      </c>
      <c r="G4081" s="4">
        <f t="shared" si="346"/>
        <v>2</v>
      </c>
      <c r="H4081" s="4">
        <f t="shared" si="347"/>
        <v>2024</v>
      </c>
      <c r="I4081" s="2" t="s">
        <v>4</v>
      </c>
      <c r="J4081" s="2" t="s">
        <v>4893</v>
      </c>
      <c r="K4081" s="2" t="s">
        <v>1496</v>
      </c>
      <c r="L4081" s="2" t="s">
        <v>159</v>
      </c>
      <c r="M4081" s="2" t="s">
        <v>160</v>
      </c>
      <c r="N4081" s="4" t="str">
        <f t="shared" si="348"/>
        <v>GAL</v>
      </c>
      <c r="O4081" s="5">
        <v>1500</v>
      </c>
    </row>
    <row r="4082" spans="2:15" x14ac:dyDescent="0.25">
      <c r="B4082" s="1" t="s">
        <v>154</v>
      </c>
      <c r="C4082" s="2" t="s">
        <v>155</v>
      </c>
      <c r="D4082" s="2" t="s">
        <v>1838</v>
      </c>
      <c r="E4082" s="2" t="s">
        <v>1839</v>
      </c>
      <c r="F4082" s="3">
        <f>DATE(2024,2,28)</f>
        <v>45350</v>
      </c>
      <c r="G4082" s="4">
        <f t="shared" si="346"/>
        <v>2</v>
      </c>
      <c r="H4082" s="4">
        <f t="shared" si="347"/>
        <v>2024</v>
      </c>
      <c r="I4082" s="2" t="s">
        <v>4</v>
      </c>
      <c r="J4082" s="2" t="s">
        <v>4894</v>
      </c>
      <c r="K4082" s="2" t="s">
        <v>1496</v>
      </c>
      <c r="L4082" s="2" t="s">
        <v>159</v>
      </c>
      <c r="M4082" s="2" t="s">
        <v>160</v>
      </c>
      <c r="N4082" s="4" t="str">
        <f t="shared" si="348"/>
        <v>GAL</v>
      </c>
      <c r="O4082" s="5">
        <v>250</v>
      </c>
    </row>
    <row r="4083" spans="2:15" x14ac:dyDescent="0.25">
      <c r="B4083" s="1" t="s">
        <v>645</v>
      </c>
      <c r="C4083" s="2" t="s">
        <v>155</v>
      </c>
      <c r="D4083" s="2" t="s">
        <v>646</v>
      </c>
      <c r="E4083" s="2" t="s">
        <v>647</v>
      </c>
      <c r="F4083" s="3">
        <f>DATE(2024,2,29)</f>
        <v>45351</v>
      </c>
      <c r="G4083" s="4">
        <f t="shared" si="346"/>
        <v>2</v>
      </c>
      <c r="H4083" s="4">
        <f t="shared" si="347"/>
        <v>2024</v>
      </c>
      <c r="I4083" s="2" t="s">
        <v>4</v>
      </c>
      <c r="J4083" s="2" t="s">
        <v>4895</v>
      </c>
      <c r="K4083" s="2" t="s">
        <v>158</v>
      </c>
      <c r="L4083" s="2" t="s">
        <v>159</v>
      </c>
      <c r="M4083" s="2" t="s">
        <v>160</v>
      </c>
      <c r="N4083" s="4" t="str">
        <f t="shared" si="348"/>
        <v>GAL</v>
      </c>
      <c r="O4083" s="5">
        <v>180</v>
      </c>
    </row>
    <row r="4084" spans="2:15" x14ac:dyDescent="0.25">
      <c r="B4084" s="1" t="s">
        <v>154</v>
      </c>
      <c r="C4084" s="2" t="s">
        <v>155</v>
      </c>
      <c r="D4084" s="2" t="s">
        <v>167</v>
      </c>
      <c r="E4084" s="2" t="s">
        <v>168</v>
      </c>
      <c r="F4084" s="3">
        <f>DATE(2024,2,29)</f>
        <v>45351</v>
      </c>
      <c r="G4084" s="4">
        <f t="shared" si="346"/>
        <v>2</v>
      </c>
      <c r="H4084" s="4">
        <f t="shared" si="347"/>
        <v>2024</v>
      </c>
      <c r="I4084" s="2" t="s">
        <v>4</v>
      </c>
      <c r="J4084" s="2" t="s">
        <v>4896</v>
      </c>
      <c r="K4084" s="2" t="s">
        <v>158</v>
      </c>
      <c r="L4084" s="2" t="s">
        <v>159</v>
      </c>
      <c r="M4084" s="2" t="s">
        <v>160</v>
      </c>
      <c r="N4084" s="4" t="str">
        <f t="shared" si="348"/>
        <v>GAL</v>
      </c>
      <c r="O4084" s="5">
        <v>360</v>
      </c>
    </row>
    <row r="4085" spans="2:15" x14ac:dyDescent="0.25">
      <c r="B4085" s="1" t="s">
        <v>154</v>
      </c>
      <c r="C4085" s="2" t="s">
        <v>155</v>
      </c>
      <c r="D4085" s="2" t="s">
        <v>623</v>
      </c>
      <c r="E4085" s="2" t="s">
        <v>624</v>
      </c>
      <c r="F4085" s="3">
        <f>DATE(2024,2,29)</f>
        <v>45351</v>
      </c>
      <c r="G4085" s="4">
        <f t="shared" si="346"/>
        <v>2</v>
      </c>
      <c r="H4085" s="4">
        <f t="shared" si="347"/>
        <v>2024</v>
      </c>
      <c r="I4085" s="2" t="s">
        <v>4</v>
      </c>
      <c r="J4085" s="2" t="s">
        <v>4897</v>
      </c>
      <c r="K4085" s="2" t="s">
        <v>1824</v>
      </c>
      <c r="L4085" s="2" t="s">
        <v>1825</v>
      </c>
      <c r="M4085" s="2" t="s">
        <v>119</v>
      </c>
      <c r="N4085" s="4" t="str">
        <f t="shared" si="348"/>
        <v>TON</v>
      </c>
      <c r="O4085" s="5">
        <v>15.015000000000001</v>
      </c>
    </row>
    <row r="4086" spans="2:15" x14ac:dyDescent="0.25">
      <c r="B4086" s="1" t="s">
        <v>1520</v>
      </c>
      <c r="C4086" s="2" t="s">
        <v>196</v>
      </c>
      <c r="D4086" s="2" t="s">
        <v>404</v>
      </c>
      <c r="E4086" s="2" t="s">
        <v>405</v>
      </c>
      <c r="F4086" s="3">
        <f t="shared" ref="F4086:F4094" si="350">DATE(2024,2,1)</f>
        <v>45323</v>
      </c>
      <c r="G4086" s="4">
        <f t="shared" si="346"/>
        <v>2</v>
      </c>
      <c r="H4086" s="4">
        <f t="shared" si="347"/>
        <v>2024</v>
      </c>
      <c r="I4086" s="2" t="s">
        <v>4</v>
      </c>
      <c r="J4086" s="2" t="s">
        <v>4898</v>
      </c>
      <c r="K4086" s="2" t="s">
        <v>189</v>
      </c>
      <c r="L4086" s="2" t="s">
        <v>190</v>
      </c>
      <c r="M4086" s="2" t="s">
        <v>191</v>
      </c>
      <c r="N4086" s="4" t="str">
        <f t="shared" si="348"/>
        <v>GAL</v>
      </c>
      <c r="O4086" s="5">
        <v>5</v>
      </c>
    </row>
    <row r="4087" spans="2:15" x14ac:dyDescent="0.25">
      <c r="B4087" s="1" t="s">
        <v>1520</v>
      </c>
      <c r="C4087" s="2" t="s">
        <v>196</v>
      </c>
      <c r="D4087" s="2" t="s">
        <v>404</v>
      </c>
      <c r="E4087" s="2" t="s">
        <v>405</v>
      </c>
      <c r="F4087" s="3">
        <f t="shared" si="350"/>
        <v>45323</v>
      </c>
      <c r="G4087" s="4">
        <f t="shared" si="346"/>
        <v>2</v>
      </c>
      <c r="H4087" s="4">
        <f t="shared" si="347"/>
        <v>2024</v>
      </c>
      <c r="I4087" s="2" t="s">
        <v>4</v>
      </c>
      <c r="J4087" s="2" t="s">
        <v>4898</v>
      </c>
      <c r="K4087" s="2" t="s">
        <v>531</v>
      </c>
      <c r="L4087" s="2" t="s">
        <v>201</v>
      </c>
      <c r="M4087" s="2" t="s">
        <v>202</v>
      </c>
      <c r="N4087" s="4" t="str">
        <f t="shared" si="348"/>
        <v>GAL</v>
      </c>
      <c r="O4087" s="5">
        <v>30</v>
      </c>
    </row>
    <row r="4088" spans="2:15" x14ac:dyDescent="0.25">
      <c r="B4088" s="1" t="s">
        <v>1520</v>
      </c>
      <c r="C4088" s="2" t="s">
        <v>196</v>
      </c>
      <c r="D4088" s="2" t="s">
        <v>303</v>
      </c>
      <c r="E4088" s="2" t="s">
        <v>501</v>
      </c>
      <c r="F4088" s="3">
        <f t="shared" si="350"/>
        <v>45323</v>
      </c>
      <c r="G4088" s="4">
        <f t="shared" si="346"/>
        <v>2</v>
      </c>
      <c r="H4088" s="4">
        <f t="shared" si="347"/>
        <v>2024</v>
      </c>
      <c r="I4088" s="2" t="s">
        <v>4</v>
      </c>
      <c r="J4088" s="2" t="s">
        <v>4899</v>
      </c>
      <c r="K4088" s="2" t="s">
        <v>4428</v>
      </c>
      <c r="L4088" s="2" t="s">
        <v>4429</v>
      </c>
      <c r="M4088" s="2" t="s">
        <v>119</v>
      </c>
      <c r="N4088" s="4" t="str">
        <f t="shared" si="348"/>
        <v>TON</v>
      </c>
      <c r="O4088" s="5">
        <v>4.9974999999999996</v>
      </c>
    </row>
    <row r="4089" spans="2:15" x14ac:dyDescent="0.25">
      <c r="B4089" s="1" t="s">
        <v>1520</v>
      </c>
      <c r="C4089" s="2" t="s">
        <v>196</v>
      </c>
      <c r="D4089" s="2" t="s">
        <v>303</v>
      </c>
      <c r="E4089" s="2" t="s">
        <v>501</v>
      </c>
      <c r="F4089" s="3">
        <f t="shared" si="350"/>
        <v>45323</v>
      </c>
      <c r="G4089" s="4">
        <f t="shared" si="346"/>
        <v>2</v>
      </c>
      <c r="H4089" s="4">
        <f t="shared" si="347"/>
        <v>2024</v>
      </c>
      <c r="I4089" s="2" t="s">
        <v>4</v>
      </c>
      <c r="J4089" s="2" t="s">
        <v>4899</v>
      </c>
      <c r="K4089" s="2" t="s">
        <v>3726</v>
      </c>
      <c r="L4089" s="2" t="s">
        <v>3727</v>
      </c>
      <c r="M4089" s="2" t="s">
        <v>145</v>
      </c>
      <c r="N4089" s="4" t="str">
        <f t="shared" si="348"/>
        <v>GAL</v>
      </c>
      <c r="O4089" s="5">
        <v>1.875</v>
      </c>
    </row>
    <row r="4090" spans="2:15" x14ac:dyDescent="0.25">
      <c r="B4090" s="1" t="s">
        <v>1520</v>
      </c>
      <c r="C4090" s="2" t="s">
        <v>196</v>
      </c>
      <c r="D4090" s="2" t="s">
        <v>114</v>
      </c>
      <c r="E4090" s="2" t="s">
        <v>274</v>
      </c>
      <c r="F4090" s="3">
        <f t="shared" si="350"/>
        <v>45323</v>
      </c>
      <c r="G4090" s="4">
        <f t="shared" si="346"/>
        <v>2</v>
      </c>
      <c r="H4090" s="4">
        <f t="shared" si="347"/>
        <v>2024</v>
      </c>
      <c r="I4090" s="2" t="s">
        <v>4</v>
      </c>
      <c r="J4090" s="2" t="s">
        <v>4900</v>
      </c>
      <c r="K4090" s="2" t="s">
        <v>117</v>
      </c>
      <c r="L4090" s="2" t="s">
        <v>118</v>
      </c>
      <c r="M4090" s="2" t="s">
        <v>119</v>
      </c>
      <c r="N4090" s="4" t="str">
        <f t="shared" si="348"/>
        <v>TON</v>
      </c>
      <c r="O4090" s="5">
        <v>7.7549999999999999</v>
      </c>
    </row>
    <row r="4091" spans="2:15" x14ac:dyDescent="0.25">
      <c r="B4091" s="1" t="s">
        <v>1520</v>
      </c>
      <c r="C4091" s="2" t="s">
        <v>196</v>
      </c>
      <c r="D4091" s="2" t="s">
        <v>404</v>
      </c>
      <c r="E4091" s="2" t="s">
        <v>405</v>
      </c>
      <c r="F4091" s="3">
        <f t="shared" si="350"/>
        <v>45323</v>
      </c>
      <c r="G4091" s="4">
        <f t="shared" si="346"/>
        <v>2</v>
      </c>
      <c r="H4091" s="4">
        <f t="shared" si="347"/>
        <v>2024</v>
      </c>
      <c r="I4091" s="2" t="s">
        <v>4</v>
      </c>
      <c r="J4091" s="2" t="s">
        <v>4901</v>
      </c>
      <c r="K4091" s="2" t="s">
        <v>122</v>
      </c>
      <c r="L4091" s="2" t="s">
        <v>123</v>
      </c>
      <c r="M4091" s="2" t="s">
        <v>119</v>
      </c>
      <c r="N4091" s="4" t="str">
        <f t="shared" si="348"/>
        <v>TON</v>
      </c>
      <c r="O4091" s="5">
        <v>2.4900000000000002</v>
      </c>
    </row>
    <row r="4092" spans="2:15" x14ac:dyDescent="0.25">
      <c r="B4092" s="1" t="s">
        <v>1520</v>
      </c>
      <c r="C4092" s="2" t="s">
        <v>196</v>
      </c>
      <c r="D4092" s="2" t="s">
        <v>276</v>
      </c>
      <c r="E4092" s="2" t="s">
        <v>682</v>
      </c>
      <c r="F4092" s="3">
        <f t="shared" si="350"/>
        <v>45323</v>
      </c>
      <c r="G4092" s="4">
        <f t="shared" si="346"/>
        <v>2</v>
      </c>
      <c r="H4092" s="4">
        <f t="shared" si="347"/>
        <v>2024</v>
      </c>
      <c r="I4092" s="2" t="s">
        <v>4</v>
      </c>
      <c r="J4092" s="2" t="s">
        <v>4902</v>
      </c>
      <c r="K4092" s="2" t="s">
        <v>329</v>
      </c>
      <c r="L4092" s="2" t="s">
        <v>330</v>
      </c>
      <c r="M4092" s="2" t="s">
        <v>119</v>
      </c>
      <c r="N4092" s="4" t="str">
        <f t="shared" si="348"/>
        <v>TON</v>
      </c>
      <c r="O4092" s="5">
        <v>14.99</v>
      </c>
    </row>
    <row r="4093" spans="2:15" x14ac:dyDescent="0.25">
      <c r="B4093" s="1" t="s">
        <v>1520</v>
      </c>
      <c r="C4093" s="2" t="s">
        <v>196</v>
      </c>
      <c r="D4093" s="2" t="s">
        <v>114</v>
      </c>
      <c r="E4093" s="2" t="s">
        <v>1304</v>
      </c>
      <c r="F4093" s="3">
        <f t="shared" si="350"/>
        <v>45323</v>
      </c>
      <c r="G4093" s="4">
        <f t="shared" si="346"/>
        <v>2</v>
      </c>
      <c r="H4093" s="4">
        <f t="shared" si="347"/>
        <v>2024</v>
      </c>
      <c r="I4093" s="2" t="s">
        <v>4</v>
      </c>
      <c r="J4093" s="2" t="s">
        <v>4903</v>
      </c>
      <c r="K4093" s="2" t="s">
        <v>117</v>
      </c>
      <c r="L4093" s="2" t="s">
        <v>118</v>
      </c>
      <c r="M4093" s="2" t="s">
        <v>119</v>
      </c>
      <c r="N4093" s="4" t="str">
        <f t="shared" si="348"/>
        <v>TON</v>
      </c>
      <c r="O4093" s="5">
        <v>2</v>
      </c>
    </row>
    <row r="4094" spans="2:15" x14ac:dyDescent="0.25">
      <c r="B4094" s="1" t="s">
        <v>1520</v>
      </c>
      <c r="C4094" s="2" t="s">
        <v>196</v>
      </c>
      <c r="D4094" s="2" t="s">
        <v>224</v>
      </c>
      <c r="E4094" s="2" t="s">
        <v>361</v>
      </c>
      <c r="F4094" s="3">
        <f t="shared" si="350"/>
        <v>45323</v>
      </c>
      <c r="G4094" s="4">
        <f t="shared" si="346"/>
        <v>2</v>
      </c>
      <c r="H4094" s="4">
        <f t="shared" si="347"/>
        <v>2024</v>
      </c>
      <c r="I4094" s="2" t="s">
        <v>4</v>
      </c>
      <c r="J4094" s="2" t="s">
        <v>4904</v>
      </c>
      <c r="K4094" s="2" t="s">
        <v>329</v>
      </c>
      <c r="L4094" s="2" t="s">
        <v>330</v>
      </c>
      <c r="M4094" s="2" t="s">
        <v>119</v>
      </c>
      <c r="N4094" s="4" t="str">
        <f t="shared" si="348"/>
        <v>TON</v>
      </c>
      <c r="O4094" s="5">
        <v>10.01</v>
      </c>
    </row>
    <row r="4095" spans="2:15" x14ac:dyDescent="0.25">
      <c r="B4095" s="1" t="s">
        <v>645</v>
      </c>
      <c r="C4095" s="2" t="s">
        <v>196</v>
      </c>
      <c r="D4095" s="2" t="s">
        <v>790</v>
      </c>
      <c r="E4095" s="2" t="s">
        <v>791</v>
      </c>
      <c r="F4095" s="3">
        <f t="shared" ref="F4095:F4116" si="351">DATE(2024,2,2)</f>
        <v>45324</v>
      </c>
      <c r="G4095" s="4">
        <f t="shared" si="346"/>
        <v>2</v>
      </c>
      <c r="H4095" s="4">
        <f t="shared" si="347"/>
        <v>2024</v>
      </c>
      <c r="I4095" s="2" t="s">
        <v>4</v>
      </c>
      <c r="J4095" s="2" t="s">
        <v>4905</v>
      </c>
      <c r="K4095" s="2" t="s">
        <v>117</v>
      </c>
      <c r="L4095" s="2" t="s">
        <v>118</v>
      </c>
      <c r="M4095" s="2" t="s">
        <v>119</v>
      </c>
      <c r="N4095" s="4" t="str">
        <f t="shared" si="348"/>
        <v>TON</v>
      </c>
      <c r="O4095" s="5">
        <v>5</v>
      </c>
    </row>
    <row r="4096" spans="2:15" x14ac:dyDescent="0.25">
      <c r="B4096" s="1" t="s">
        <v>1520</v>
      </c>
      <c r="C4096" s="2" t="s">
        <v>196</v>
      </c>
      <c r="D4096" s="2" t="s">
        <v>321</v>
      </c>
      <c r="E4096" s="2" t="s">
        <v>353</v>
      </c>
      <c r="F4096" s="3">
        <f t="shared" si="351"/>
        <v>45324</v>
      </c>
      <c r="G4096" s="4">
        <f t="shared" si="346"/>
        <v>2</v>
      </c>
      <c r="H4096" s="4">
        <f t="shared" si="347"/>
        <v>2024</v>
      </c>
      <c r="I4096" s="2" t="s">
        <v>4</v>
      </c>
      <c r="J4096" s="2" t="s">
        <v>4906</v>
      </c>
      <c r="K4096" s="2" t="s">
        <v>394</v>
      </c>
      <c r="L4096" s="2" t="s">
        <v>395</v>
      </c>
      <c r="M4096" s="2" t="s">
        <v>119</v>
      </c>
      <c r="N4096" s="4" t="str">
        <f t="shared" si="348"/>
        <v>TON</v>
      </c>
      <c r="O4096" s="5">
        <v>10.022500000000001</v>
      </c>
    </row>
    <row r="4097" spans="2:15" x14ac:dyDescent="0.25">
      <c r="B4097" s="1" t="s">
        <v>1520</v>
      </c>
      <c r="C4097" s="2" t="s">
        <v>196</v>
      </c>
      <c r="D4097" s="2" t="s">
        <v>660</v>
      </c>
      <c r="E4097" s="2" t="s">
        <v>115</v>
      </c>
      <c r="F4097" s="3">
        <f t="shared" si="351"/>
        <v>45324</v>
      </c>
      <c r="G4097" s="4">
        <f t="shared" si="346"/>
        <v>2</v>
      </c>
      <c r="H4097" s="4">
        <f t="shared" si="347"/>
        <v>2024</v>
      </c>
      <c r="I4097" s="2" t="s">
        <v>4</v>
      </c>
      <c r="J4097" s="2" t="s">
        <v>4907</v>
      </c>
      <c r="K4097" s="2" t="s">
        <v>122</v>
      </c>
      <c r="L4097" s="2" t="s">
        <v>123</v>
      </c>
      <c r="M4097" s="2" t="s">
        <v>119</v>
      </c>
      <c r="N4097" s="4" t="str">
        <f t="shared" si="348"/>
        <v>TON</v>
      </c>
      <c r="O4097" s="5">
        <v>2.5</v>
      </c>
    </row>
    <row r="4098" spans="2:15" x14ac:dyDescent="0.25">
      <c r="B4098" s="1" t="s">
        <v>1520</v>
      </c>
      <c r="C4098" s="2" t="s">
        <v>196</v>
      </c>
      <c r="D4098" s="2" t="s">
        <v>207</v>
      </c>
      <c r="E4098" s="2" t="s">
        <v>208</v>
      </c>
      <c r="F4098" s="3">
        <f t="shared" si="351"/>
        <v>45324</v>
      </c>
      <c r="G4098" s="4">
        <f t="shared" si="346"/>
        <v>2</v>
      </c>
      <c r="H4098" s="4">
        <f t="shared" si="347"/>
        <v>2024</v>
      </c>
      <c r="I4098" s="2" t="s">
        <v>4</v>
      </c>
      <c r="J4098" s="2" t="s">
        <v>4908</v>
      </c>
      <c r="K4098" s="2" t="s">
        <v>236</v>
      </c>
      <c r="L4098" s="2" t="s">
        <v>237</v>
      </c>
      <c r="M4098" s="2" t="s">
        <v>119</v>
      </c>
      <c r="N4098" s="4" t="str">
        <f t="shared" si="348"/>
        <v>TON</v>
      </c>
      <c r="O4098" s="5">
        <v>6.25</v>
      </c>
    </row>
    <row r="4099" spans="2:15" x14ac:dyDescent="0.25">
      <c r="B4099" s="1" t="s">
        <v>1520</v>
      </c>
      <c r="C4099" s="2" t="s">
        <v>196</v>
      </c>
      <c r="D4099" s="2" t="s">
        <v>207</v>
      </c>
      <c r="E4099" s="2" t="s">
        <v>208</v>
      </c>
      <c r="F4099" s="3">
        <f t="shared" si="351"/>
        <v>45324</v>
      </c>
      <c r="G4099" s="4">
        <f t="shared" si="346"/>
        <v>2</v>
      </c>
      <c r="H4099" s="4">
        <f t="shared" si="347"/>
        <v>2024</v>
      </c>
      <c r="I4099" s="2" t="s">
        <v>4</v>
      </c>
      <c r="J4099" s="2" t="s">
        <v>4909</v>
      </c>
      <c r="K4099" s="2" t="s">
        <v>205</v>
      </c>
      <c r="L4099" s="2" t="s">
        <v>206</v>
      </c>
      <c r="M4099" s="2" t="s">
        <v>119</v>
      </c>
      <c r="N4099" s="4" t="str">
        <f t="shared" si="348"/>
        <v>TON</v>
      </c>
      <c r="O4099" s="5">
        <v>2.5024999999999999</v>
      </c>
    </row>
    <row r="4100" spans="2:15" x14ac:dyDescent="0.25">
      <c r="B4100" s="1" t="s">
        <v>1520</v>
      </c>
      <c r="C4100" s="2" t="s">
        <v>196</v>
      </c>
      <c r="D4100" s="2" t="s">
        <v>248</v>
      </c>
      <c r="E4100" s="2" t="s">
        <v>409</v>
      </c>
      <c r="F4100" s="3">
        <f t="shared" si="351"/>
        <v>45324</v>
      </c>
      <c r="G4100" s="4">
        <f t="shared" si="346"/>
        <v>2</v>
      </c>
      <c r="H4100" s="4">
        <f t="shared" si="347"/>
        <v>2024</v>
      </c>
      <c r="I4100" s="2" t="s">
        <v>4</v>
      </c>
      <c r="J4100" s="2" t="s">
        <v>4910</v>
      </c>
      <c r="K4100" s="2" t="s">
        <v>4911</v>
      </c>
      <c r="L4100" s="2" t="s">
        <v>4912</v>
      </c>
      <c r="M4100" s="2" t="s">
        <v>119</v>
      </c>
      <c r="N4100" s="4" t="str">
        <f t="shared" si="348"/>
        <v>TON</v>
      </c>
      <c r="O4100" s="5">
        <v>15</v>
      </c>
    </row>
    <row r="4101" spans="2:15" x14ac:dyDescent="0.25">
      <c r="B4101" s="1" t="s">
        <v>1520</v>
      </c>
      <c r="C4101" s="2" t="s">
        <v>196</v>
      </c>
      <c r="D4101" s="2" t="s">
        <v>227</v>
      </c>
      <c r="E4101" s="2" t="s">
        <v>357</v>
      </c>
      <c r="F4101" s="3">
        <f t="shared" si="351"/>
        <v>45324</v>
      </c>
      <c r="G4101" s="4">
        <f t="shared" si="346"/>
        <v>2</v>
      </c>
      <c r="H4101" s="4">
        <f t="shared" si="347"/>
        <v>2024</v>
      </c>
      <c r="I4101" s="2" t="s">
        <v>4</v>
      </c>
      <c r="J4101" s="2" t="s">
        <v>4913</v>
      </c>
      <c r="K4101" s="2" t="s">
        <v>122</v>
      </c>
      <c r="L4101" s="2" t="s">
        <v>123</v>
      </c>
      <c r="M4101" s="2" t="s">
        <v>119</v>
      </c>
      <c r="N4101" s="4" t="str">
        <f t="shared" si="348"/>
        <v>TON</v>
      </c>
      <c r="O4101" s="5">
        <v>7.4874999999999998</v>
      </c>
    </row>
    <row r="4102" spans="2:15" x14ac:dyDescent="0.25">
      <c r="B4102" s="1" t="s">
        <v>1520</v>
      </c>
      <c r="C4102" s="2" t="s">
        <v>196</v>
      </c>
      <c r="D4102" s="2" t="s">
        <v>310</v>
      </c>
      <c r="E4102" s="2" t="s">
        <v>426</v>
      </c>
      <c r="F4102" s="3">
        <f t="shared" si="351"/>
        <v>45324</v>
      </c>
      <c r="G4102" s="4">
        <f t="shared" si="346"/>
        <v>2</v>
      </c>
      <c r="H4102" s="4">
        <f t="shared" si="347"/>
        <v>2024</v>
      </c>
      <c r="I4102" s="2" t="s">
        <v>4</v>
      </c>
      <c r="J4102" s="2" t="s">
        <v>4914</v>
      </c>
      <c r="K4102" s="2" t="s">
        <v>428</v>
      </c>
      <c r="L4102" s="2" t="s">
        <v>429</v>
      </c>
      <c r="M4102" s="2" t="s">
        <v>119</v>
      </c>
      <c r="N4102" s="4" t="str">
        <f t="shared" si="348"/>
        <v>TON</v>
      </c>
      <c r="O4102" s="5">
        <v>4</v>
      </c>
    </row>
    <row r="4103" spans="2:15" x14ac:dyDescent="0.25">
      <c r="B4103" s="1" t="s">
        <v>1520</v>
      </c>
      <c r="C4103" s="2" t="s">
        <v>196</v>
      </c>
      <c r="D4103" s="2" t="s">
        <v>265</v>
      </c>
      <c r="E4103" s="2" t="s">
        <v>266</v>
      </c>
      <c r="F4103" s="3">
        <f t="shared" si="351"/>
        <v>45324</v>
      </c>
      <c r="G4103" s="4">
        <f t="shared" si="346"/>
        <v>2</v>
      </c>
      <c r="H4103" s="4">
        <f t="shared" si="347"/>
        <v>2024</v>
      </c>
      <c r="I4103" s="2" t="s">
        <v>4</v>
      </c>
      <c r="J4103" s="2" t="s">
        <v>4915</v>
      </c>
      <c r="K4103" s="2" t="s">
        <v>268</v>
      </c>
      <c r="L4103" s="2" t="s">
        <v>269</v>
      </c>
      <c r="M4103" s="2" t="s">
        <v>119</v>
      </c>
      <c r="N4103" s="4" t="str">
        <f t="shared" si="348"/>
        <v>TON</v>
      </c>
      <c r="O4103" s="5">
        <v>0.3</v>
      </c>
    </row>
    <row r="4104" spans="2:15" x14ac:dyDescent="0.25">
      <c r="B4104" s="1" t="s">
        <v>1520</v>
      </c>
      <c r="C4104" s="2" t="s">
        <v>196</v>
      </c>
      <c r="D4104" s="2" t="s">
        <v>418</v>
      </c>
      <c r="E4104" s="2" t="s">
        <v>419</v>
      </c>
      <c r="F4104" s="3">
        <f t="shared" si="351"/>
        <v>45324</v>
      </c>
      <c r="G4104" s="4">
        <f t="shared" si="346"/>
        <v>2</v>
      </c>
      <c r="H4104" s="4">
        <f t="shared" si="347"/>
        <v>2024</v>
      </c>
      <c r="I4104" s="2" t="s">
        <v>4</v>
      </c>
      <c r="J4104" s="2" t="s">
        <v>4916</v>
      </c>
      <c r="K4104" s="2" t="s">
        <v>205</v>
      </c>
      <c r="L4104" s="2" t="s">
        <v>206</v>
      </c>
      <c r="M4104" s="2" t="s">
        <v>119</v>
      </c>
      <c r="N4104" s="4" t="str">
        <f t="shared" si="348"/>
        <v>TON</v>
      </c>
      <c r="O4104" s="5">
        <v>5</v>
      </c>
    </row>
    <row r="4105" spans="2:15" x14ac:dyDescent="0.25">
      <c r="B4105" s="1" t="s">
        <v>1520</v>
      </c>
      <c r="C4105" s="2" t="s">
        <v>196</v>
      </c>
      <c r="D4105" s="2" t="s">
        <v>418</v>
      </c>
      <c r="E4105" s="2" t="s">
        <v>419</v>
      </c>
      <c r="F4105" s="3">
        <f t="shared" si="351"/>
        <v>45324</v>
      </c>
      <c r="G4105" s="4">
        <f t="shared" si="346"/>
        <v>2</v>
      </c>
      <c r="H4105" s="4">
        <f t="shared" si="347"/>
        <v>2024</v>
      </c>
      <c r="I4105" s="2" t="s">
        <v>4</v>
      </c>
      <c r="J4105" s="2" t="s">
        <v>4917</v>
      </c>
      <c r="K4105" s="2" t="s">
        <v>334</v>
      </c>
      <c r="L4105" s="2" t="s">
        <v>335</v>
      </c>
      <c r="M4105" s="2" t="s">
        <v>119</v>
      </c>
      <c r="N4105" s="4" t="str">
        <f t="shared" si="348"/>
        <v>TON</v>
      </c>
      <c r="O4105" s="5">
        <v>8</v>
      </c>
    </row>
    <row r="4106" spans="2:15" x14ac:dyDescent="0.25">
      <c r="B4106" s="1" t="s">
        <v>1520</v>
      </c>
      <c r="C4106" s="2" t="s">
        <v>196</v>
      </c>
      <c r="D4106" s="2" t="s">
        <v>303</v>
      </c>
      <c r="E4106" s="2" t="s">
        <v>3744</v>
      </c>
      <c r="F4106" s="3">
        <f t="shared" si="351"/>
        <v>45324</v>
      </c>
      <c r="G4106" s="4">
        <f t="shared" si="346"/>
        <v>2</v>
      </c>
      <c r="H4106" s="4">
        <f t="shared" si="347"/>
        <v>2024</v>
      </c>
      <c r="I4106" s="2" t="s">
        <v>4</v>
      </c>
      <c r="J4106" s="2" t="s">
        <v>4918</v>
      </c>
      <c r="K4106" s="2" t="s">
        <v>4428</v>
      </c>
      <c r="L4106" s="2" t="s">
        <v>4429</v>
      </c>
      <c r="M4106" s="2" t="s">
        <v>119</v>
      </c>
      <c r="N4106" s="4" t="str">
        <f t="shared" si="348"/>
        <v>TON</v>
      </c>
      <c r="O4106" s="5">
        <v>10</v>
      </c>
    </row>
    <row r="4107" spans="2:15" x14ac:dyDescent="0.25">
      <c r="B4107" s="1" t="s">
        <v>1520</v>
      </c>
      <c r="C4107" s="2" t="s">
        <v>196</v>
      </c>
      <c r="D4107" s="2" t="s">
        <v>303</v>
      </c>
      <c r="E4107" s="2" t="s">
        <v>3744</v>
      </c>
      <c r="F4107" s="3">
        <f t="shared" si="351"/>
        <v>45324</v>
      </c>
      <c r="G4107" s="4">
        <f t="shared" si="346"/>
        <v>2</v>
      </c>
      <c r="H4107" s="4">
        <f t="shared" si="347"/>
        <v>2024</v>
      </c>
      <c r="I4107" s="2" t="s">
        <v>4</v>
      </c>
      <c r="J4107" s="2" t="s">
        <v>4918</v>
      </c>
      <c r="K4107" s="2" t="s">
        <v>3726</v>
      </c>
      <c r="L4107" s="2" t="s">
        <v>3727</v>
      </c>
      <c r="M4107" s="2" t="s">
        <v>145</v>
      </c>
      <c r="N4107" s="4" t="str">
        <f t="shared" si="348"/>
        <v>GAL</v>
      </c>
      <c r="O4107" s="5">
        <v>3.75</v>
      </c>
    </row>
    <row r="4108" spans="2:15" x14ac:dyDescent="0.25">
      <c r="B4108" s="1" t="s">
        <v>1520</v>
      </c>
      <c r="C4108" s="2" t="s">
        <v>196</v>
      </c>
      <c r="D4108" s="2" t="s">
        <v>303</v>
      </c>
      <c r="E4108" s="2" t="s">
        <v>942</v>
      </c>
      <c r="F4108" s="3">
        <f t="shared" si="351"/>
        <v>45324</v>
      </c>
      <c r="G4108" s="4">
        <f t="shared" si="346"/>
        <v>2</v>
      </c>
      <c r="H4108" s="4">
        <f t="shared" si="347"/>
        <v>2024</v>
      </c>
      <c r="I4108" s="2" t="s">
        <v>4</v>
      </c>
      <c r="J4108" s="2" t="s">
        <v>4919</v>
      </c>
      <c r="K4108" s="2" t="s">
        <v>4428</v>
      </c>
      <c r="L4108" s="2" t="s">
        <v>4429</v>
      </c>
      <c r="M4108" s="2" t="s">
        <v>119</v>
      </c>
      <c r="N4108" s="4" t="str">
        <f t="shared" si="348"/>
        <v>TON</v>
      </c>
      <c r="O4108" s="5">
        <v>5</v>
      </c>
    </row>
    <row r="4109" spans="2:15" x14ac:dyDescent="0.25">
      <c r="B4109" s="1" t="s">
        <v>1520</v>
      </c>
      <c r="C4109" s="2" t="s">
        <v>196</v>
      </c>
      <c r="D4109" s="2" t="s">
        <v>303</v>
      </c>
      <c r="E4109" s="2" t="s">
        <v>942</v>
      </c>
      <c r="F4109" s="3">
        <f t="shared" si="351"/>
        <v>45324</v>
      </c>
      <c r="G4109" s="4">
        <f t="shared" si="346"/>
        <v>2</v>
      </c>
      <c r="H4109" s="4">
        <f t="shared" si="347"/>
        <v>2024</v>
      </c>
      <c r="I4109" s="2" t="s">
        <v>4</v>
      </c>
      <c r="J4109" s="2" t="s">
        <v>4919</v>
      </c>
      <c r="K4109" s="2" t="s">
        <v>3726</v>
      </c>
      <c r="L4109" s="2" t="s">
        <v>3727</v>
      </c>
      <c r="M4109" s="2" t="s">
        <v>145</v>
      </c>
      <c r="N4109" s="4" t="str">
        <f t="shared" si="348"/>
        <v>GAL</v>
      </c>
      <c r="O4109" s="5">
        <v>1.875</v>
      </c>
    </row>
    <row r="4110" spans="2:15" x14ac:dyDescent="0.25">
      <c r="B4110" s="1" t="s">
        <v>1520</v>
      </c>
      <c r="C4110" s="2" t="s">
        <v>196</v>
      </c>
      <c r="D4110" s="2" t="s">
        <v>114</v>
      </c>
      <c r="E4110" s="2" t="s">
        <v>491</v>
      </c>
      <c r="F4110" s="3">
        <f t="shared" si="351"/>
        <v>45324</v>
      </c>
      <c r="G4110" s="4">
        <f t="shared" si="346"/>
        <v>2</v>
      </c>
      <c r="H4110" s="4">
        <f t="shared" si="347"/>
        <v>2024</v>
      </c>
      <c r="I4110" s="2" t="s">
        <v>4</v>
      </c>
      <c r="J4110" s="2" t="s">
        <v>4920</v>
      </c>
      <c r="K4110" s="2" t="s">
        <v>117</v>
      </c>
      <c r="L4110" s="2" t="s">
        <v>118</v>
      </c>
      <c r="M4110" s="2" t="s">
        <v>119</v>
      </c>
      <c r="N4110" s="4" t="str">
        <f t="shared" si="348"/>
        <v>TON</v>
      </c>
      <c r="O4110" s="5">
        <v>7.7649999999999997</v>
      </c>
    </row>
    <row r="4111" spans="2:15" x14ac:dyDescent="0.25">
      <c r="B4111" s="1" t="s">
        <v>1520</v>
      </c>
      <c r="C4111" s="2" t="s">
        <v>196</v>
      </c>
      <c r="D4111" s="2" t="s">
        <v>449</v>
      </c>
      <c r="E4111" s="2" t="s">
        <v>450</v>
      </c>
      <c r="F4111" s="3">
        <f t="shared" si="351"/>
        <v>45324</v>
      </c>
      <c r="G4111" s="4">
        <f t="shared" si="346"/>
        <v>2</v>
      </c>
      <c r="H4111" s="4">
        <f t="shared" si="347"/>
        <v>2024</v>
      </c>
      <c r="I4111" s="2" t="s">
        <v>4</v>
      </c>
      <c r="J4111" s="2" t="s">
        <v>4921</v>
      </c>
      <c r="K4111" s="2" t="s">
        <v>329</v>
      </c>
      <c r="L4111" s="2" t="s">
        <v>330</v>
      </c>
      <c r="M4111" s="2" t="s">
        <v>119</v>
      </c>
      <c r="N4111" s="4" t="str">
        <f t="shared" si="348"/>
        <v>TON</v>
      </c>
      <c r="O4111" s="5">
        <v>4.5025000000000004</v>
      </c>
    </row>
    <row r="4112" spans="2:15" x14ac:dyDescent="0.25">
      <c r="B4112" s="1" t="s">
        <v>1520</v>
      </c>
      <c r="C4112" s="2" t="s">
        <v>196</v>
      </c>
      <c r="D4112" s="2" t="s">
        <v>452</v>
      </c>
      <c r="E4112" s="2" t="s">
        <v>222</v>
      </c>
      <c r="F4112" s="3">
        <f t="shared" si="351"/>
        <v>45324</v>
      </c>
      <c r="G4112" s="4">
        <f t="shared" si="346"/>
        <v>2</v>
      </c>
      <c r="H4112" s="4">
        <f t="shared" si="347"/>
        <v>2024</v>
      </c>
      <c r="I4112" s="2" t="s">
        <v>4</v>
      </c>
      <c r="J4112" s="2" t="s">
        <v>4922</v>
      </c>
      <c r="K4112" s="2" t="s">
        <v>117</v>
      </c>
      <c r="L4112" s="2" t="s">
        <v>118</v>
      </c>
      <c r="M4112" s="2" t="s">
        <v>119</v>
      </c>
      <c r="N4112" s="4" t="str">
        <f t="shared" si="348"/>
        <v>TON</v>
      </c>
      <c r="O4112" s="5">
        <v>8.5050000000000008</v>
      </c>
    </row>
    <row r="4113" spans="2:15" x14ac:dyDescent="0.25">
      <c r="B4113" s="1" t="s">
        <v>1520</v>
      </c>
      <c r="C4113" s="2" t="s">
        <v>196</v>
      </c>
      <c r="D4113" s="2" t="s">
        <v>262</v>
      </c>
      <c r="E4113" s="2" t="s">
        <v>1226</v>
      </c>
      <c r="F4113" s="3">
        <f t="shared" si="351"/>
        <v>45324</v>
      </c>
      <c r="G4113" s="4">
        <f t="shared" si="346"/>
        <v>2</v>
      </c>
      <c r="H4113" s="4">
        <f t="shared" si="347"/>
        <v>2024</v>
      </c>
      <c r="I4113" s="2" t="s">
        <v>4</v>
      </c>
      <c r="J4113" s="2" t="s">
        <v>4923</v>
      </c>
      <c r="K4113" s="2" t="s">
        <v>499</v>
      </c>
      <c r="L4113" s="2" t="s">
        <v>500</v>
      </c>
      <c r="M4113" s="2" t="s">
        <v>119</v>
      </c>
      <c r="N4113" s="4" t="str">
        <f t="shared" si="348"/>
        <v>TON</v>
      </c>
      <c r="O4113" s="5">
        <v>6.0175000000000001</v>
      </c>
    </row>
    <row r="4114" spans="2:15" x14ac:dyDescent="0.25">
      <c r="B4114" s="1" t="s">
        <v>1520</v>
      </c>
      <c r="C4114" s="2" t="s">
        <v>196</v>
      </c>
      <c r="D4114" s="2" t="s">
        <v>4098</v>
      </c>
      <c r="E4114" s="2" t="s">
        <v>695</v>
      </c>
      <c r="F4114" s="3">
        <f t="shared" si="351"/>
        <v>45324</v>
      </c>
      <c r="G4114" s="4">
        <f t="shared" si="346"/>
        <v>2</v>
      </c>
      <c r="H4114" s="4">
        <f t="shared" si="347"/>
        <v>2024</v>
      </c>
      <c r="I4114" s="2" t="s">
        <v>4</v>
      </c>
      <c r="J4114" s="2" t="s">
        <v>4924</v>
      </c>
      <c r="K4114" s="2" t="s">
        <v>329</v>
      </c>
      <c r="L4114" s="2" t="s">
        <v>330</v>
      </c>
      <c r="M4114" s="2" t="s">
        <v>119</v>
      </c>
      <c r="N4114" s="4" t="str">
        <f t="shared" si="348"/>
        <v>TON</v>
      </c>
      <c r="O4114" s="5">
        <v>3</v>
      </c>
    </row>
    <row r="4115" spans="2:15" x14ac:dyDescent="0.25">
      <c r="B4115" s="6" t="s">
        <v>1520</v>
      </c>
      <c r="C4115" s="7" t="s">
        <v>196</v>
      </c>
      <c r="D4115" s="8" t="s">
        <v>387</v>
      </c>
      <c r="E4115" s="8" t="s">
        <v>797</v>
      </c>
      <c r="F4115" s="9">
        <f t="shared" si="351"/>
        <v>45324</v>
      </c>
      <c r="G4115" s="10">
        <f t="shared" si="346"/>
        <v>2</v>
      </c>
      <c r="H4115" s="10">
        <f t="shared" si="347"/>
        <v>2024</v>
      </c>
      <c r="I4115" s="8" t="s">
        <v>4</v>
      </c>
      <c r="J4115" s="7" t="s">
        <v>4925</v>
      </c>
      <c r="K4115" s="8" t="s">
        <v>4222</v>
      </c>
      <c r="L4115" s="8" t="s">
        <v>4223</v>
      </c>
      <c r="M4115" s="8" t="s">
        <v>119</v>
      </c>
      <c r="N4115" s="10" t="str">
        <f t="shared" si="348"/>
        <v>TON</v>
      </c>
      <c r="O4115" s="11">
        <v>12.01</v>
      </c>
    </row>
    <row r="4116" spans="2:15" x14ac:dyDescent="0.25">
      <c r="B4116" s="1" t="s">
        <v>1520</v>
      </c>
      <c r="C4116" s="2" t="s">
        <v>196</v>
      </c>
      <c r="D4116" s="2" t="s">
        <v>387</v>
      </c>
      <c r="E4116" s="2" t="s">
        <v>797</v>
      </c>
      <c r="F4116" s="3">
        <f t="shared" si="351"/>
        <v>45324</v>
      </c>
      <c r="G4116" s="4">
        <f t="shared" si="346"/>
        <v>2</v>
      </c>
      <c r="H4116" s="4">
        <f t="shared" si="347"/>
        <v>2024</v>
      </c>
      <c r="I4116" s="2" t="s">
        <v>4</v>
      </c>
      <c r="J4116" s="2" t="s">
        <v>4925</v>
      </c>
      <c r="K4116" s="2" t="s">
        <v>3726</v>
      </c>
      <c r="L4116" s="2" t="s">
        <v>3727</v>
      </c>
      <c r="M4116" s="2" t="s">
        <v>145</v>
      </c>
      <c r="N4116" s="4" t="str">
        <f t="shared" si="348"/>
        <v>GAL</v>
      </c>
      <c r="O4116" s="5">
        <v>4.5</v>
      </c>
    </row>
    <row r="4117" spans="2:15" x14ac:dyDescent="0.25">
      <c r="B4117" s="1" t="s">
        <v>1520</v>
      </c>
      <c r="C4117" s="2" t="s">
        <v>196</v>
      </c>
      <c r="D4117" s="2" t="s">
        <v>280</v>
      </c>
      <c r="E4117" s="2" t="s">
        <v>1308</v>
      </c>
      <c r="F4117" s="3">
        <f t="shared" ref="F4117:F4124" si="352">DATE(2024,2,5)</f>
        <v>45327</v>
      </c>
      <c r="G4117" s="4">
        <f t="shared" si="346"/>
        <v>2</v>
      </c>
      <c r="H4117" s="4">
        <f t="shared" si="347"/>
        <v>2024</v>
      </c>
      <c r="I4117" s="2" t="s">
        <v>4</v>
      </c>
      <c r="J4117" s="2" t="s">
        <v>4926</v>
      </c>
      <c r="K4117" s="2" t="s">
        <v>117</v>
      </c>
      <c r="L4117" s="2" t="s">
        <v>118</v>
      </c>
      <c r="M4117" s="2" t="s">
        <v>119</v>
      </c>
      <c r="N4117" s="4" t="str">
        <f t="shared" si="348"/>
        <v>TON</v>
      </c>
      <c r="O4117" s="5">
        <v>10</v>
      </c>
    </row>
    <row r="4118" spans="2:15" x14ac:dyDescent="0.25">
      <c r="B4118" s="6" t="s">
        <v>1520</v>
      </c>
      <c r="C4118" s="7" t="s">
        <v>196</v>
      </c>
      <c r="D4118" s="8" t="s">
        <v>440</v>
      </c>
      <c r="E4118" s="8" t="s">
        <v>441</v>
      </c>
      <c r="F4118" s="9">
        <f t="shared" si="352"/>
        <v>45327</v>
      </c>
      <c r="G4118" s="10">
        <f t="shared" ref="G4118:G4181" si="353">MONTH(F4118)</f>
        <v>2</v>
      </c>
      <c r="H4118" s="10">
        <f t="shared" ref="H4118:H4181" si="354">YEAR(F4118)</f>
        <v>2024</v>
      </c>
      <c r="I4118" s="8" t="s">
        <v>4</v>
      </c>
      <c r="J4118" s="7" t="s">
        <v>4927</v>
      </c>
      <c r="K4118" s="8" t="s">
        <v>4222</v>
      </c>
      <c r="L4118" s="8" t="s">
        <v>4223</v>
      </c>
      <c r="M4118" s="8" t="s">
        <v>119</v>
      </c>
      <c r="N4118" s="10" t="str">
        <f t="shared" ref="N4118:N4181" si="355">LEFT(M4118,3)</f>
        <v>TON</v>
      </c>
      <c r="O4118" s="11">
        <v>10</v>
      </c>
    </row>
    <row r="4119" spans="2:15" x14ac:dyDescent="0.25">
      <c r="B4119" s="1" t="s">
        <v>1520</v>
      </c>
      <c r="C4119" s="2" t="s">
        <v>196</v>
      </c>
      <c r="D4119" s="2" t="s">
        <v>374</v>
      </c>
      <c r="E4119" s="2" t="s">
        <v>455</v>
      </c>
      <c r="F4119" s="3">
        <f t="shared" si="352"/>
        <v>45327</v>
      </c>
      <c r="G4119" s="4">
        <f t="shared" si="353"/>
        <v>2</v>
      </c>
      <c r="H4119" s="4">
        <f t="shared" si="354"/>
        <v>2024</v>
      </c>
      <c r="I4119" s="2" t="s">
        <v>4</v>
      </c>
      <c r="J4119" s="2" t="s">
        <v>4928</v>
      </c>
      <c r="K4119" s="2" t="s">
        <v>649</v>
      </c>
      <c r="L4119" s="2" t="s">
        <v>538</v>
      </c>
      <c r="M4119" s="2" t="s">
        <v>4243</v>
      </c>
      <c r="N4119" s="4" t="str">
        <f t="shared" si="355"/>
        <v>GAL</v>
      </c>
      <c r="O4119" s="5">
        <v>750</v>
      </c>
    </row>
    <row r="4120" spans="2:15" x14ac:dyDescent="0.25">
      <c r="B4120" s="1" t="s">
        <v>1520</v>
      </c>
      <c r="C4120" s="2" t="s">
        <v>196</v>
      </c>
      <c r="D4120" s="2" t="s">
        <v>120</v>
      </c>
      <c r="E4120" s="2" t="s">
        <v>878</v>
      </c>
      <c r="F4120" s="3">
        <f t="shared" si="352"/>
        <v>45327</v>
      </c>
      <c r="G4120" s="4">
        <f t="shared" si="353"/>
        <v>2</v>
      </c>
      <c r="H4120" s="4">
        <f t="shared" si="354"/>
        <v>2024</v>
      </c>
      <c r="I4120" s="2" t="s">
        <v>4</v>
      </c>
      <c r="J4120" s="2" t="s">
        <v>4929</v>
      </c>
      <c r="K4120" s="2" t="s">
        <v>122</v>
      </c>
      <c r="L4120" s="2" t="s">
        <v>123</v>
      </c>
      <c r="M4120" s="2" t="s">
        <v>119</v>
      </c>
      <c r="N4120" s="4" t="str">
        <f t="shared" si="355"/>
        <v>TON</v>
      </c>
      <c r="O4120" s="5">
        <v>1</v>
      </c>
    </row>
    <row r="4121" spans="2:15" x14ac:dyDescent="0.25">
      <c r="B4121" s="1" t="s">
        <v>1520</v>
      </c>
      <c r="C4121" s="2" t="s">
        <v>196</v>
      </c>
      <c r="D4121" s="2" t="s">
        <v>4930</v>
      </c>
      <c r="E4121" s="2" t="s">
        <v>102</v>
      </c>
      <c r="F4121" s="3">
        <f t="shared" si="352"/>
        <v>45327</v>
      </c>
      <c r="G4121" s="4">
        <f t="shared" si="353"/>
        <v>2</v>
      </c>
      <c r="H4121" s="4">
        <f t="shared" si="354"/>
        <v>2024</v>
      </c>
      <c r="I4121" s="2" t="s">
        <v>4</v>
      </c>
      <c r="J4121" s="2" t="s">
        <v>4931</v>
      </c>
      <c r="K4121" s="2" t="s">
        <v>4932</v>
      </c>
      <c r="L4121" s="2" t="s">
        <v>4933</v>
      </c>
      <c r="M4121" s="2" t="s">
        <v>119</v>
      </c>
      <c r="N4121" s="4" t="str">
        <f t="shared" si="355"/>
        <v>TON</v>
      </c>
      <c r="O4121" s="5">
        <v>2.5</v>
      </c>
    </row>
    <row r="4122" spans="2:15" x14ac:dyDescent="0.25">
      <c r="B4122" s="1" t="s">
        <v>1520</v>
      </c>
      <c r="C4122" s="2" t="s">
        <v>196</v>
      </c>
      <c r="D4122" s="2" t="s">
        <v>197</v>
      </c>
      <c r="E4122" s="2" t="s">
        <v>198</v>
      </c>
      <c r="F4122" s="3">
        <f t="shared" si="352"/>
        <v>45327</v>
      </c>
      <c r="G4122" s="4">
        <f t="shared" si="353"/>
        <v>2</v>
      </c>
      <c r="H4122" s="4">
        <f t="shared" si="354"/>
        <v>2024</v>
      </c>
      <c r="I4122" s="2" t="s">
        <v>4</v>
      </c>
      <c r="J4122" s="2" t="s">
        <v>4934</v>
      </c>
      <c r="K4122" s="2" t="s">
        <v>307</v>
      </c>
      <c r="L4122" s="2" t="s">
        <v>308</v>
      </c>
      <c r="M4122" s="2" t="s">
        <v>119</v>
      </c>
      <c r="N4122" s="4" t="str">
        <f t="shared" si="355"/>
        <v>TON</v>
      </c>
      <c r="O4122" s="5">
        <v>4</v>
      </c>
    </row>
    <row r="4123" spans="2:15" x14ac:dyDescent="0.25">
      <c r="B4123" s="1" t="s">
        <v>1520</v>
      </c>
      <c r="C4123" s="2" t="s">
        <v>196</v>
      </c>
      <c r="D4123" s="2" t="s">
        <v>374</v>
      </c>
      <c r="E4123" s="2" t="s">
        <v>4935</v>
      </c>
      <c r="F4123" s="3">
        <f t="shared" si="352"/>
        <v>45327</v>
      </c>
      <c r="G4123" s="4">
        <f t="shared" si="353"/>
        <v>2</v>
      </c>
      <c r="H4123" s="4">
        <f t="shared" si="354"/>
        <v>2024</v>
      </c>
      <c r="I4123" s="2" t="s">
        <v>4</v>
      </c>
      <c r="J4123" s="2" t="s">
        <v>4936</v>
      </c>
      <c r="K4123" s="2" t="s">
        <v>329</v>
      </c>
      <c r="L4123" s="2" t="s">
        <v>330</v>
      </c>
      <c r="M4123" s="2" t="s">
        <v>119</v>
      </c>
      <c r="N4123" s="4" t="str">
        <f t="shared" si="355"/>
        <v>TON</v>
      </c>
      <c r="O4123" s="5">
        <v>15</v>
      </c>
    </row>
    <row r="4124" spans="2:15" x14ac:dyDescent="0.25">
      <c r="B4124" s="1" t="s">
        <v>1520</v>
      </c>
      <c r="C4124" s="2" t="s">
        <v>196</v>
      </c>
      <c r="D4124" s="2" t="s">
        <v>280</v>
      </c>
      <c r="E4124" s="2" t="s">
        <v>254</v>
      </c>
      <c r="F4124" s="3">
        <f t="shared" si="352"/>
        <v>45327</v>
      </c>
      <c r="G4124" s="4">
        <f t="shared" si="353"/>
        <v>2</v>
      </c>
      <c r="H4124" s="4">
        <f t="shared" si="354"/>
        <v>2024</v>
      </c>
      <c r="I4124" s="2" t="s">
        <v>4</v>
      </c>
      <c r="J4124" s="2" t="s">
        <v>4937</v>
      </c>
      <c r="K4124" s="2" t="s">
        <v>117</v>
      </c>
      <c r="L4124" s="2" t="s">
        <v>118</v>
      </c>
      <c r="M4124" s="2" t="s">
        <v>119</v>
      </c>
      <c r="N4124" s="4" t="str">
        <f t="shared" si="355"/>
        <v>TON</v>
      </c>
      <c r="O4124" s="5">
        <v>15.0025</v>
      </c>
    </row>
    <row r="4125" spans="2:15" x14ac:dyDescent="0.25">
      <c r="B4125" s="1" t="s">
        <v>1520</v>
      </c>
      <c r="C4125" s="2" t="s">
        <v>196</v>
      </c>
      <c r="D4125" s="2" t="s">
        <v>215</v>
      </c>
      <c r="E4125" s="2" t="s">
        <v>4113</v>
      </c>
      <c r="F4125" s="3">
        <f t="shared" ref="F4125:F4132" si="356">DATE(2024,2,6)</f>
        <v>45328</v>
      </c>
      <c r="G4125" s="4">
        <f t="shared" si="353"/>
        <v>2</v>
      </c>
      <c r="H4125" s="4">
        <f t="shared" si="354"/>
        <v>2024</v>
      </c>
      <c r="I4125" s="2" t="s">
        <v>4</v>
      </c>
      <c r="J4125" s="2" t="s">
        <v>4938</v>
      </c>
      <c r="K4125" s="2" t="s">
        <v>447</v>
      </c>
      <c r="L4125" s="2" t="s">
        <v>448</v>
      </c>
      <c r="M4125" s="2" t="s">
        <v>119</v>
      </c>
      <c r="N4125" s="4" t="str">
        <f t="shared" si="355"/>
        <v>TON</v>
      </c>
      <c r="O4125" s="5">
        <v>15.0375</v>
      </c>
    </row>
    <row r="4126" spans="2:15" x14ac:dyDescent="0.25">
      <c r="B4126" s="1" t="s">
        <v>1520</v>
      </c>
      <c r="C4126" s="2" t="s">
        <v>196</v>
      </c>
      <c r="D4126" s="2" t="s">
        <v>215</v>
      </c>
      <c r="E4126" s="2" t="s">
        <v>4113</v>
      </c>
      <c r="F4126" s="3">
        <f t="shared" si="356"/>
        <v>45328</v>
      </c>
      <c r="G4126" s="4">
        <f t="shared" si="353"/>
        <v>2</v>
      </c>
      <c r="H4126" s="4">
        <f t="shared" si="354"/>
        <v>2024</v>
      </c>
      <c r="I4126" s="2" t="s">
        <v>4</v>
      </c>
      <c r="J4126" s="2" t="s">
        <v>4939</v>
      </c>
      <c r="K4126" s="2" t="s">
        <v>823</v>
      </c>
      <c r="L4126" s="2" t="s">
        <v>776</v>
      </c>
      <c r="M4126" s="2" t="s">
        <v>82</v>
      </c>
      <c r="N4126" s="4" t="str">
        <f t="shared" si="355"/>
        <v>GAL</v>
      </c>
      <c r="O4126" s="5">
        <v>250</v>
      </c>
    </row>
    <row r="4127" spans="2:15" x14ac:dyDescent="0.25">
      <c r="B4127" s="1" t="s">
        <v>1520</v>
      </c>
      <c r="C4127" s="2" t="s">
        <v>196</v>
      </c>
      <c r="D4127" s="2" t="s">
        <v>215</v>
      </c>
      <c r="E4127" s="2" t="s">
        <v>4113</v>
      </c>
      <c r="F4127" s="3">
        <f t="shared" si="356"/>
        <v>45328</v>
      </c>
      <c r="G4127" s="4">
        <f t="shared" si="353"/>
        <v>2</v>
      </c>
      <c r="H4127" s="4">
        <f t="shared" si="354"/>
        <v>2024</v>
      </c>
      <c r="I4127" s="2" t="s">
        <v>4</v>
      </c>
      <c r="J4127" s="2" t="s">
        <v>4940</v>
      </c>
      <c r="K4127" s="2" t="s">
        <v>822</v>
      </c>
      <c r="L4127" s="2" t="s">
        <v>565</v>
      </c>
      <c r="M4127" s="2" t="s">
        <v>21</v>
      </c>
      <c r="N4127" s="4" t="str">
        <f t="shared" si="355"/>
        <v>GAL</v>
      </c>
      <c r="O4127" s="5">
        <v>250</v>
      </c>
    </row>
    <row r="4128" spans="2:15" x14ac:dyDescent="0.25">
      <c r="B4128" s="1" t="s">
        <v>1520</v>
      </c>
      <c r="C4128" s="2" t="s">
        <v>196</v>
      </c>
      <c r="D4128" s="2" t="s">
        <v>215</v>
      </c>
      <c r="E4128" s="2" t="s">
        <v>4113</v>
      </c>
      <c r="F4128" s="3">
        <f t="shared" si="356"/>
        <v>45328</v>
      </c>
      <c r="G4128" s="4">
        <f t="shared" si="353"/>
        <v>2</v>
      </c>
      <c r="H4128" s="4">
        <f t="shared" si="354"/>
        <v>2024</v>
      </c>
      <c r="I4128" s="2" t="s">
        <v>4</v>
      </c>
      <c r="J4128" s="2" t="s">
        <v>4940</v>
      </c>
      <c r="K4128" s="2" t="s">
        <v>1204</v>
      </c>
      <c r="L4128" s="2" t="s">
        <v>1151</v>
      </c>
      <c r="M4128" s="2" t="s">
        <v>8</v>
      </c>
      <c r="N4128" s="4" t="str">
        <f t="shared" si="355"/>
        <v>GAL</v>
      </c>
      <c r="O4128" s="5">
        <v>250</v>
      </c>
    </row>
    <row r="4129" spans="2:15" x14ac:dyDescent="0.25">
      <c r="B4129" s="1" t="s">
        <v>1520</v>
      </c>
      <c r="C4129" s="2" t="s">
        <v>196</v>
      </c>
      <c r="D4129" s="2" t="s">
        <v>475</v>
      </c>
      <c r="E4129" s="2" t="s">
        <v>476</v>
      </c>
      <c r="F4129" s="3">
        <f t="shared" si="356"/>
        <v>45328</v>
      </c>
      <c r="G4129" s="4">
        <f t="shared" si="353"/>
        <v>2</v>
      </c>
      <c r="H4129" s="4">
        <f t="shared" si="354"/>
        <v>2024</v>
      </c>
      <c r="I4129" s="2" t="s">
        <v>4</v>
      </c>
      <c r="J4129" s="2" t="s">
        <v>4941</v>
      </c>
      <c r="K4129" s="2" t="s">
        <v>478</v>
      </c>
      <c r="L4129" s="2" t="s">
        <v>479</v>
      </c>
      <c r="M4129" s="2" t="s">
        <v>119</v>
      </c>
      <c r="N4129" s="4" t="str">
        <f t="shared" si="355"/>
        <v>TON</v>
      </c>
      <c r="O4129" s="5">
        <v>15.022500000000001</v>
      </c>
    </row>
    <row r="4130" spans="2:15" x14ac:dyDescent="0.25">
      <c r="B4130" s="1" t="s">
        <v>1520</v>
      </c>
      <c r="C4130" s="2" t="s">
        <v>196</v>
      </c>
      <c r="D4130" s="2" t="s">
        <v>262</v>
      </c>
      <c r="E4130" s="2" t="s">
        <v>290</v>
      </c>
      <c r="F4130" s="3">
        <f t="shared" si="356"/>
        <v>45328</v>
      </c>
      <c r="G4130" s="4">
        <f t="shared" si="353"/>
        <v>2</v>
      </c>
      <c r="H4130" s="4">
        <f t="shared" si="354"/>
        <v>2024</v>
      </c>
      <c r="I4130" s="2" t="s">
        <v>4</v>
      </c>
      <c r="J4130" s="2" t="s">
        <v>4942</v>
      </c>
      <c r="K4130" s="2" t="s">
        <v>499</v>
      </c>
      <c r="L4130" s="2" t="s">
        <v>500</v>
      </c>
      <c r="M4130" s="2" t="s">
        <v>119</v>
      </c>
      <c r="N4130" s="4" t="str">
        <f t="shared" si="355"/>
        <v>TON</v>
      </c>
      <c r="O4130" s="5">
        <v>15.02</v>
      </c>
    </row>
    <row r="4131" spans="2:15" x14ac:dyDescent="0.25">
      <c r="B4131" s="1" t="s">
        <v>1520</v>
      </c>
      <c r="C4131" s="2" t="s">
        <v>196</v>
      </c>
      <c r="D4131" s="2" t="s">
        <v>800</v>
      </c>
      <c r="E4131" s="2" t="s">
        <v>907</v>
      </c>
      <c r="F4131" s="3">
        <f t="shared" si="356"/>
        <v>45328</v>
      </c>
      <c r="G4131" s="4">
        <f t="shared" si="353"/>
        <v>2</v>
      </c>
      <c r="H4131" s="4">
        <f t="shared" si="354"/>
        <v>2024</v>
      </c>
      <c r="I4131" s="2" t="s">
        <v>4</v>
      </c>
      <c r="J4131" s="2" t="s">
        <v>4943</v>
      </c>
      <c r="K4131" s="2" t="s">
        <v>122</v>
      </c>
      <c r="L4131" s="2" t="s">
        <v>123</v>
      </c>
      <c r="M4131" s="2" t="s">
        <v>119</v>
      </c>
      <c r="N4131" s="4" t="str">
        <f t="shared" si="355"/>
        <v>TON</v>
      </c>
      <c r="O4131" s="5">
        <v>2.5125000000000002</v>
      </c>
    </row>
    <row r="4132" spans="2:15" x14ac:dyDescent="0.25">
      <c r="B4132" s="1" t="s">
        <v>1520</v>
      </c>
      <c r="C4132" s="2" t="s">
        <v>196</v>
      </c>
      <c r="D4132" s="2" t="s">
        <v>114</v>
      </c>
      <c r="E4132" s="2" t="s">
        <v>402</v>
      </c>
      <c r="F4132" s="3">
        <f t="shared" si="356"/>
        <v>45328</v>
      </c>
      <c r="G4132" s="4">
        <f t="shared" si="353"/>
        <v>2</v>
      </c>
      <c r="H4132" s="4">
        <f t="shared" si="354"/>
        <v>2024</v>
      </c>
      <c r="I4132" s="2" t="s">
        <v>4</v>
      </c>
      <c r="J4132" s="2" t="s">
        <v>4944</v>
      </c>
      <c r="K4132" s="2" t="s">
        <v>117</v>
      </c>
      <c r="L4132" s="2" t="s">
        <v>118</v>
      </c>
      <c r="M4132" s="2" t="s">
        <v>119</v>
      </c>
      <c r="N4132" s="4" t="str">
        <f t="shared" si="355"/>
        <v>TON</v>
      </c>
      <c r="O4132" s="5">
        <v>6.5125000000000002</v>
      </c>
    </row>
    <row r="4133" spans="2:15" x14ac:dyDescent="0.25">
      <c r="B4133" s="1" t="s">
        <v>1520</v>
      </c>
      <c r="C4133" s="2" t="s">
        <v>196</v>
      </c>
      <c r="D4133" s="2" t="s">
        <v>241</v>
      </c>
      <c r="E4133" s="2" t="s">
        <v>242</v>
      </c>
      <c r="F4133" s="3">
        <f t="shared" ref="F4133:F4138" si="357">DATE(2024,2,7)</f>
        <v>45329</v>
      </c>
      <c r="G4133" s="4">
        <f t="shared" si="353"/>
        <v>2</v>
      </c>
      <c r="H4133" s="4">
        <f t="shared" si="354"/>
        <v>2024</v>
      </c>
      <c r="I4133" s="2" t="s">
        <v>4</v>
      </c>
      <c r="J4133" s="2" t="s">
        <v>4945</v>
      </c>
      <c r="K4133" s="2" t="s">
        <v>260</v>
      </c>
      <c r="L4133" s="2" t="s">
        <v>261</v>
      </c>
      <c r="M4133" s="2" t="s">
        <v>119</v>
      </c>
      <c r="N4133" s="4" t="str">
        <f t="shared" si="355"/>
        <v>TON</v>
      </c>
      <c r="O4133" s="5">
        <v>2.0099999999999998</v>
      </c>
    </row>
    <row r="4134" spans="2:15" x14ac:dyDescent="0.25">
      <c r="B4134" s="1" t="s">
        <v>1520</v>
      </c>
      <c r="C4134" s="2" t="s">
        <v>196</v>
      </c>
      <c r="D4134" s="2" t="s">
        <v>280</v>
      </c>
      <c r="E4134" s="2" t="s">
        <v>254</v>
      </c>
      <c r="F4134" s="3">
        <f t="shared" si="357"/>
        <v>45329</v>
      </c>
      <c r="G4134" s="4">
        <f t="shared" si="353"/>
        <v>2</v>
      </c>
      <c r="H4134" s="4">
        <f t="shared" si="354"/>
        <v>2024</v>
      </c>
      <c r="I4134" s="2" t="s">
        <v>4</v>
      </c>
      <c r="J4134" s="2" t="s">
        <v>4946</v>
      </c>
      <c r="K4134" s="2" t="s">
        <v>117</v>
      </c>
      <c r="L4134" s="2" t="s">
        <v>118</v>
      </c>
      <c r="M4134" s="2" t="s">
        <v>119</v>
      </c>
      <c r="N4134" s="4" t="str">
        <f t="shared" si="355"/>
        <v>TON</v>
      </c>
      <c r="O4134" s="5">
        <v>5</v>
      </c>
    </row>
    <row r="4135" spans="2:15" x14ac:dyDescent="0.25">
      <c r="B4135" s="1" t="s">
        <v>1520</v>
      </c>
      <c r="C4135" s="2" t="s">
        <v>196</v>
      </c>
      <c r="D4135" s="2" t="s">
        <v>276</v>
      </c>
      <c r="E4135" s="2" t="s">
        <v>692</v>
      </c>
      <c r="F4135" s="3">
        <f t="shared" si="357"/>
        <v>45329</v>
      </c>
      <c r="G4135" s="4">
        <f t="shared" si="353"/>
        <v>2</v>
      </c>
      <c r="H4135" s="4">
        <f t="shared" si="354"/>
        <v>2024</v>
      </c>
      <c r="I4135" s="2" t="s">
        <v>4</v>
      </c>
      <c r="J4135" s="2" t="s">
        <v>4947</v>
      </c>
      <c r="K4135" s="2" t="s">
        <v>329</v>
      </c>
      <c r="L4135" s="2" t="s">
        <v>330</v>
      </c>
      <c r="M4135" s="2" t="s">
        <v>119</v>
      </c>
      <c r="N4135" s="4" t="str">
        <f t="shared" si="355"/>
        <v>TON</v>
      </c>
      <c r="O4135" s="5">
        <v>10.02</v>
      </c>
    </row>
    <row r="4136" spans="2:15" x14ac:dyDescent="0.25">
      <c r="B4136" s="1" t="s">
        <v>1520</v>
      </c>
      <c r="C4136" s="2" t="s">
        <v>196</v>
      </c>
      <c r="D4136" s="2" t="s">
        <v>276</v>
      </c>
      <c r="E4136" s="2" t="s">
        <v>692</v>
      </c>
      <c r="F4136" s="3">
        <f t="shared" si="357"/>
        <v>45329</v>
      </c>
      <c r="G4136" s="4">
        <f t="shared" si="353"/>
        <v>2</v>
      </c>
      <c r="H4136" s="4">
        <f t="shared" si="354"/>
        <v>2024</v>
      </c>
      <c r="I4136" s="2" t="s">
        <v>4</v>
      </c>
      <c r="J4136" s="2" t="s">
        <v>4947</v>
      </c>
      <c r="K4136" s="2" t="s">
        <v>3726</v>
      </c>
      <c r="L4136" s="2" t="s">
        <v>3727</v>
      </c>
      <c r="M4136" s="2" t="s">
        <v>145</v>
      </c>
      <c r="N4136" s="4" t="str">
        <f t="shared" si="355"/>
        <v>GAL</v>
      </c>
      <c r="O4136" s="5">
        <v>3.75</v>
      </c>
    </row>
    <row r="4137" spans="2:15" x14ac:dyDescent="0.25">
      <c r="B4137" s="6" t="s">
        <v>1520</v>
      </c>
      <c r="C4137" s="7" t="s">
        <v>196</v>
      </c>
      <c r="D4137" s="8" t="s">
        <v>1343</v>
      </c>
      <c r="E4137" s="8" t="s">
        <v>4151</v>
      </c>
      <c r="F4137" s="9">
        <f t="shared" si="357"/>
        <v>45329</v>
      </c>
      <c r="G4137" s="10">
        <f t="shared" si="353"/>
        <v>2</v>
      </c>
      <c r="H4137" s="10">
        <f t="shared" si="354"/>
        <v>2024</v>
      </c>
      <c r="I4137" s="8" t="s">
        <v>4</v>
      </c>
      <c r="J4137" s="7" t="s">
        <v>4948</v>
      </c>
      <c r="K4137" s="8" t="s">
        <v>4222</v>
      </c>
      <c r="L4137" s="8" t="s">
        <v>4223</v>
      </c>
      <c r="M4137" s="8" t="s">
        <v>119</v>
      </c>
      <c r="N4137" s="10" t="str">
        <f t="shared" si="355"/>
        <v>TON</v>
      </c>
      <c r="O4137" s="11">
        <v>15.022500000000001</v>
      </c>
    </row>
    <row r="4138" spans="2:15" x14ac:dyDescent="0.25">
      <c r="B4138" s="1" t="s">
        <v>1520</v>
      </c>
      <c r="C4138" s="2" t="s">
        <v>196</v>
      </c>
      <c r="D4138" s="2" t="s">
        <v>1343</v>
      </c>
      <c r="E4138" s="2" t="s">
        <v>4151</v>
      </c>
      <c r="F4138" s="3">
        <f t="shared" si="357"/>
        <v>45329</v>
      </c>
      <c r="G4138" s="4">
        <f t="shared" si="353"/>
        <v>2</v>
      </c>
      <c r="H4138" s="4">
        <f t="shared" si="354"/>
        <v>2024</v>
      </c>
      <c r="I4138" s="2" t="s">
        <v>4</v>
      </c>
      <c r="J4138" s="2" t="s">
        <v>4948</v>
      </c>
      <c r="K4138" s="2" t="s">
        <v>3726</v>
      </c>
      <c r="L4138" s="2" t="s">
        <v>3727</v>
      </c>
      <c r="M4138" s="2" t="s">
        <v>145</v>
      </c>
      <c r="N4138" s="4" t="str">
        <f t="shared" si="355"/>
        <v>GAL</v>
      </c>
      <c r="O4138" s="5">
        <v>5.625</v>
      </c>
    </row>
    <row r="4139" spans="2:15" x14ac:dyDescent="0.25">
      <c r="B4139" s="1" t="s">
        <v>1520</v>
      </c>
      <c r="C4139" s="2" t="s">
        <v>196</v>
      </c>
      <c r="D4139" s="2" t="s">
        <v>294</v>
      </c>
      <c r="E4139" s="2" t="s">
        <v>295</v>
      </c>
      <c r="F4139" s="3">
        <f t="shared" ref="F4139:F4147" si="358">DATE(2024,2,8)</f>
        <v>45330</v>
      </c>
      <c r="G4139" s="4">
        <f t="shared" si="353"/>
        <v>2</v>
      </c>
      <c r="H4139" s="4">
        <f t="shared" si="354"/>
        <v>2024</v>
      </c>
      <c r="I4139" s="2" t="s">
        <v>4</v>
      </c>
      <c r="J4139" s="2" t="s">
        <v>4949</v>
      </c>
      <c r="K4139" s="2" t="s">
        <v>122</v>
      </c>
      <c r="L4139" s="2" t="s">
        <v>123</v>
      </c>
      <c r="M4139" s="2" t="s">
        <v>119</v>
      </c>
      <c r="N4139" s="4" t="str">
        <f t="shared" si="355"/>
        <v>TON</v>
      </c>
      <c r="O4139" s="5">
        <v>7.5225</v>
      </c>
    </row>
    <row r="4140" spans="2:15" x14ac:dyDescent="0.25">
      <c r="B4140" s="1" t="s">
        <v>1520</v>
      </c>
      <c r="C4140" s="2" t="s">
        <v>196</v>
      </c>
      <c r="D4140" s="2" t="s">
        <v>232</v>
      </c>
      <c r="E4140" s="2" t="s">
        <v>778</v>
      </c>
      <c r="F4140" s="3">
        <f t="shared" si="358"/>
        <v>45330</v>
      </c>
      <c r="G4140" s="4">
        <f t="shared" si="353"/>
        <v>2</v>
      </c>
      <c r="H4140" s="4">
        <f t="shared" si="354"/>
        <v>2024</v>
      </c>
      <c r="I4140" s="2" t="s">
        <v>4</v>
      </c>
      <c r="J4140" s="2" t="s">
        <v>4950</v>
      </c>
      <c r="K4140" s="2" t="s">
        <v>205</v>
      </c>
      <c r="L4140" s="2" t="s">
        <v>206</v>
      </c>
      <c r="M4140" s="2" t="s">
        <v>119</v>
      </c>
      <c r="N4140" s="4" t="str">
        <f t="shared" si="355"/>
        <v>TON</v>
      </c>
      <c r="O4140" s="5">
        <v>5</v>
      </c>
    </row>
    <row r="4141" spans="2:15" x14ac:dyDescent="0.25">
      <c r="B4141" s="1" t="s">
        <v>1520</v>
      </c>
      <c r="C4141" s="2" t="s">
        <v>196</v>
      </c>
      <c r="D4141" s="2" t="s">
        <v>248</v>
      </c>
      <c r="E4141" s="2" t="s">
        <v>3610</v>
      </c>
      <c r="F4141" s="3">
        <f t="shared" si="358"/>
        <v>45330</v>
      </c>
      <c r="G4141" s="4">
        <f t="shared" si="353"/>
        <v>2</v>
      </c>
      <c r="H4141" s="4">
        <f t="shared" si="354"/>
        <v>2024</v>
      </c>
      <c r="I4141" s="2" t="s">
        <v>4</v>
      </c>
      <c r="J4141" s="2" t="s">
        <v>4951</v>
      </c>
      <c r="K4141" s="2" t="s">
        <v>4911</v>
      </c>
      <c r="L4141" s="2" t="s">
        <v>4912</v>
      </c>
      <c r="M4141" s="2" t="s">
        <v>119</v>
      </c>
      <c r="N4141" s="4" t="str">
        <f t="shared" si="355"/>
        <v>TON</v>
      </c>
      <c r="O4141" s="5">
        <v>14.9975</v>
      </c>
    </row>
    <row r="4142" spans="2:15" x14ac:dyDescent="0.25">
      <c r="B4142" s="1" t="s">
        <v>1520</v>
      </c>
      <c r="C4142" s="2" t="s">
        <v>196</v>
      </c>
      <c r="D4142" s="2" t="s">
        <v>837</v>
      </c>
      <c r="E4142" s="2" t="s">
        <v>102</v>
      </c>
      <c r="F4142" s="3">
        <f t="shared" si="358"/>
        <v>45330</v>
      </c>
      <c r="G4142" s="4">
        <f t="shared" si="353"/>
        <v>2</v>
      </c>
      <c r="H4142" s="4">
        <f t="shared" si="354"/>
        <v>2024</v>
      </c>
      <c r="I4142" s="2" t="s">
        <v>4</v>
      </c>
      <c r="J4142" s="2" t="s">
        <v>4952</v>
      </c>
      <c r="K4142" s="2" t="s">
        <v>200</v>
      </c>
      <c r="L4142" s="2" t="s">
        <v>201</v>
      </c>
      <c r="M4142" s="2" t="s">
        <v>202</v>
      </c>
      <c r="N4142" s="4" t="str">
        <f t="shared" si="355"/>
        <v>GAL</v>
      </c>
      <c r="O4142" s="5">
        <v>5</v>
      </c>
    </row>
    <row r="4143" spans="2:15" x14ac:dyDescent="0.25">
      <c r="B4143" s="1" t="s">
        <v>1520</v>
      </c>
      <c r="C4143" s="2" t="s">
        <v>196</v>
      </c>
      <c r="D4143" s="2" t="s">
        <v>114</v>
      </c>
      <c r="E4143" s="2" t="s">
        <v>3751</v>
      </c>
      <c r="F4143" s="3">
        <f t="shared" si="358"/>
        <v>45330</v>
      </c>
      <c r="G4143" s="4">
        <f t="shared" si="353"/>
        <v>2</v>
      </c>
      <c r="H4143" s="4">
        <f t="shared" si="354"/>
        <v>2024</v>
      </c>
      <c r="I4143" s="2" t="s">
        <v>4</v>
      </c>
      <c r="J4143" s="2" t="s">
        <v>4953</v>
      </c>
      <c r="K4143" s="2" t="s">
        <v>117</v>
      </c>
      <c r="L4143" s="2" t="s">
        <v>118</v>
      </c>
      <c r="M4143" s="2" t="s">
        <v>119</v>
      </c>
      <c r="N4143" s="4" t="str">
        <f t="shared" si="355"/>
        <v>TON</v>
      </c>
      <c r="O4143" s="5">
        <v>4</v>
      </c>
    </row>
    <row r="4144" spans="2:15" x14ac:dyDescent="0.25">
      <c r="B4144" s="1" t="s">
        <v>1520</v>
      </c>
      <c r="C4144" s="2" t="s">
        <v>196</v>
      </c>
      <c r="D4144" s="2" t="s">
        <v>669</v>
      </c>
      <c r="E4144" s="2" t="s">
        <v>861</v>
      </c>
      <c r="F4144" s="3">
        <f t="shared" si="358"/>
        <v>45330</v>
      </c>
      <c r="G4144" s="4">
        <f t="shared" si="353"/>
        <v>2</v>
      </c>
      <c r="H4144" s="4">
        <f t="shared" si="354"/>
        <v>2024</v>
      </c>
      <c r="I4144" s="2" t="s">
        <v>4</v>
      </c>
      <c r="J4144" s="2" t="s">
        <v>4954</v>
      </c>
      <c r="K4144" s="2" t="s">
        <v>384</v>
      </c>
      <c r="L4144" s="2" t="s">
        <v>385</v>
      </c>
      <c r="M4144" s="2" t="s">
        <v>119</v>
      </c>
      <c r="N4144" s="4" t="str">
        <f t="shared" si="355"/>
        <v>TON</v>
      </c>
      <c r="O4144" s="5">
        <v>7.01</v>
      </c>
    </row>
    <row r="4145" spans="2:15" x14ac:dyDescent="0.25">
      <c r="B4145" s="6" t="s">
        <v>1520</v>
      </c>
      <c r="C4145" s="7" t="s">
        <v>196</v>
      </c>
      <c r="D4145" s="8" t="s">
        <v>440</v>
      </c>
      <c r="E4145" s="8" t="s">
        <v>1369</v>
      </c>
      <c r="F4145" s="9">
        <f t="shared" si="358"/>
        <v>45330</v>
      </c>
      <c r="G4145" s="10">
        <f t="shared" si="353"/>
        <v>2</v>
      </c>
      <c r="H4145" s="10">
        <f t="shared" si="354"/>
        <v>2024</v>
      </c>
      <c r="I4145" s="8" t="s">
        <v>4</v>
      </c>
      <c r="J4145" s="7" t="s">
        <v>4955</v>
      </c>
      <c r="K4145" s="8" t="s">
        <v>4222</v>
      </c>
      <c r="L4145" s="8" t="s">
        <v>4223</v>
      </c>
      <c r="M4145" s="8" t="s">
        <v>119</v>
      </c>
      <c r="N4145" s="10" t="str">
        <f t="shared" si="355"/>
        <v>TON</v>
      </c>
      <c r="O4145" s="11">
        <v>5</v>
      </c>
    </row>
    <row r="4146" spans="2:15" x14ac:dyDescent="0.25">
      <c r="B4146" s="1" t="s">
        <v>1520</v>
      </c>
      <c r="C4146" s="2" t="s">
        <v>196</v>
      </c>
      <c r="D4146" s="2" t="s">
        <v>232</v>
      </c>
      <c r="E4146" s="2" t="s">
        <v>233</v>
      </c>
      <c r="F4146" s="3">
        <f t="shared" si="358"/>
        <v>45330</v>
      </c>
      <c r="G4146" s="4">
        <f t="shared" si="353"/>
        <v>2</v>
      </c>
      <c r="H4146" s="4">
        <f t="shared" si="354"/>
        <v>2024</v>
      </c>
      <c r="I4146" s="2" t="s">
        <v>4</v>
      </c>
      <c r="J4146" s="2" t="s">
        <v>4956</v>
      </c>
      <c r="K4146" s="2" t="s">
        <v>205</v>
      </c>
      <c r="L4146" s="2" t="s">
        <v>206</v>
      </c>
      <c r="M4146" s="2" t="s">
        <v>119</v>
      </c>
      <c r="N4146" s="4" t="str">
        <f t="shared" si="355"/>
        <v>TON</v>
      </c>
      <c r="O4146" s="5">
        <v>5</v>
      </c>
    </row>
    <row r="4147" spans="2:15" x14ac:dyDescent="0.25">
      <c r="B4147" s="1" t="s">
        <v>1520</v>
      </c>
      <c r="C4147" s="2" t="s">
        <v>196</v>
      </c>
      <c r="D4147" s="2" t="s">
        <v>331</v>
      </c>
      <c r="E4147" s="2" t="s">
        <v>432</v>
      </c>
      <c r="F4147" s="3">
        <f t="shared" si="358"/>
        <v>45330</v>
      </c>
      <c r="G4147" s="4">
        <f t="shared" si="353"/>
        <v>2</v>
      </c>
      <c r="H4147" s="4">
        <f t="shared" si="354"/>
        <v>2024</v>
      </c>
      <c r="I4147" s="2" t="s">
        <v>4</v>
      </c>
      <c r="J4147" s="2" t="s">
        <v>4957</v>
      </c>
      <c r="K4147" s="2" t="s">
        <v>122</v>
      </c>
      <c r="L4147" s="2" t="s">
        <v>123</v>
      </c>
      <c r="M4147" s="2" t="s">
        <v>119</v>
      </c>
      <c r="N4147" s="4" t="str">
        <f t="shared" si="355"/>
        <v>TON</v>
      </c>
      <c r="O4147" s="5">
        <v>5</v>
      </c>
    </row>
    <row r="4148" spans="2:15" x14ac:dyDescent="0.25">
      <c r="B4148" s="1" t="s">
        <v>1520</v>
      </c>
      <c r="C4148" s="2" t="s">
        <v>196</v>
      </c>
      <c r="D4148" s="2" t="s">
        <v>4037</v>
      </c>
      <c r="E4148" s="2" t="s">
        <v>141</v>
      </c>
      <c r="F4148" s="3">
        <f t="shared" ref="F4148:F4155" si="359">DATE(2024,2,9)</f>
        <v>45331</v>
      </c>
      <c r="G4148" s="4">
        <f t="shared" si="353"/>
        <v>2</v>
      </c>
      <c r="H4148" s="4">
        <f t="shared" si="354"/>
        <v>2024</v>
      </c>
      <c r="I4148" s="2" t="s">
        <v>4</v>
      </c>
      <c r="J4148" s="2" t="s">
        <v>4958</v>
      </c>
      <c r="K4148" s="2" t="s">
        <v>25</v>
      </c>
      <c r="L4148" s="2" t="s">
        <v>541</v>
      </c>
      <c r="M4148" s="2" t="s">
        <v>27</v>
      </c>
      <c r="N4148" s="4" t="str">
        <f t="shared" si="355"/>
        <v>GAL</v>
      </c>
      <c r="O4148" s="5">
        <v>50</v>
      </c>
    </row>
    <row r="4149" spans="2:15" x14ac:dyDescent="0.25">
      <c r="B4149" s="1" t="s">
        <v>1520</v>
      </c>
      <c r="C4149" s="2" t="s">
        <v>196</v>
      </c>
      <c r="D4149" s="2" t="s">
        <v>660</v>
      </c>
      <c r="E4149" s="2" t="s">
        <v>699</v>
      </c>
      <c r="F4149" s="3">
        <f t="shared" si="359"/>
        <v>45331</v>
      </c>
      <c r="G4149" s="4">
        <f t="shared" si="353"/>
        <v>2</v>
      </c>
      <c r="H4149" s="4">
        <f t="shared" si="354"/>
        <v>2024</v>
      </c>
      <c r="I4149" s="2" t="s">
        <v>4</v>
      </c>
      <c r="J4149" s="2" t="s">
        <v>4959</v>
      </c>
      <c r="K4149" s="2" t="s">
        <v>447</v>
      </c>
      <c r="L4149" s="2" t="s">
        <v>448</v>
      </c>
      <c r="M4149" s="2" t="s">
        <v>119</v>
      </c>
      <c r="N4149" s="4" t="str">
        <f t="shared" si="355"/>
        <v>TON</v>
      </c>
      <c r="O4149" s="5">
        <v>2.4925000000000002</v>
      </c>
    </row>
    <row r="4150" spans="2:15" x14ac:dyDescent="0.25">
      <c r="B4150" s="6" t="s">
        <v>1520</v>
      </c>
      <c r="C4150" s="7" t="s">
        <v>196</v>
      </c>
      <c r="D4150" s="8" t="s">
        <v>440</v>
      </c>
      <c r="E4150" s="8" t="s">
        <v>441</v>
      </c>
      <c r="F4150" s="9">
        <f t="shared" si="359"/>
        <v>45331</v>
      </c>
      <c r="G4150" s="10">
        <f t="shared" si="353"/>
        <v>2</v>
      </c>
      <c r="H4150" s="10">
        <f t="shared" si="354"/>
        <v>2024</v>
      </c>
      <c r="I4150" s="8" t="s">
        <v>4</v>
      </c>
      <c r="J4150" s="7" t="s">
        <v>4960</v>
      </c>
      <c r="K4150" s="8" t="s">
        <v>4222</v>
      </c>
      <c r="L4150" s="8" t="s">
        <v>4223</v>
      </c>
      <c r="M4150" s="8" t="s">
        <v>119</v>
      </c>
      <c r="N4150" s="10" t="str">
        <f t="shared" si="355"/>
        <v>TON</v>
      </c>
      <c r="O4150" s="11">
        <v>5.01</v>
      </c>
    </row>
    <row r="4151" spans="2:15" x14ac:dyDescent="0.25">
      <c r="B4151" s="1" t="s">
        <v>1520</v>
      </c>
      <c r="C4151" s="2" t="s">
        <v>196</v>
      </c>
      <c r="D4151" s="2" t="s">
        <v>452</v>
      </c>
      <c r="E4151" s="2" t="s">
        <v>1167</v>
      </c>
      <c r="F4151" s="3">
        <f t="shared" si="359"/>
        <v>45331</v>
      </c>
      <c r="G4151" s="4">
        <f t="shared" si="353"/>
        <v>2</v>
      </c>
      <c r="H4151" s="4">
        <f t="shared" si="354"/>
        <v>2024</v>
      </c>
      <c r="I4151" s="2" t="s">
        <v>4</v>
      </c>
      <c r="J4151" s="2" t="s">
        <v>4961</v>
      </c>
      <c r="K4151" s="2" t="s">
        <v>117</v>
      </c>
      <c r="L4151" s="2" t="s">
        <v>118</v>
      </c>
      <c r="M4151" s="2" t="s">
        <v>119</v>
      </c>
      <c r="N4151" s="4" t="str">
        <f t="shared" si="355"/>
        <v>TON</v>
      </c>
      <c r="O4151" s="5">
        <v>1.51</v>
      </c>
    </row>
    <row r="4152" spans="2:15" x14ac:dyDescent="0.25">
      <c r="B4152" s="1" t="s">
        <v>1520</v>
      </c>
      <c r="C4152" s="2" t="s">
        <v>196</v>
      </c>
      <c r="D4152" s="2" t="s">
        <v>418</v>
      </c>
      <c r="E4152" s="2" t="s">
        <v>2027</v>
      </c>
      <c r="F4152" s="3">
        <f t="shared" si="359"/>
        <v>45331</v>
      </c>
      <c r="G4152" s="4">
        <f t="shared" si="353"/>
        <v>2</v>
      </c>
      <c r="H4152" s="4">
        <f t="shared" si="354"/>
        <v>2024</v>
      </c>
      <c r="I4152" s="2" t="s">
        <v>4</v>
      </c>
      <c r="J4152" s="2" t="s">
        <v>4962</v>
      </c>
      <c r="K4152" s="2" t="s">
        <v>334</v>
      </c>
      <c r="L4152" s="2" t="s">
        <v>335</v>
      </c>
      <c r="M4152" s="2" t="s">
        <v>119</v>
      </c>
      <c r="N4152" s="4" t="str">
        <f t="shared" si="355"/>
        <v>TON</v>
      </c>
      <c r="O4152" s="5">
        <v>14.02</v>
      </c>
    </row>
    <row r="4153" spans="2:15" x14ac:dyDescent="0.25">
      <c r="B4153" s="1" t="s">
        <v>1520</v>
      </c>
      <c r="C4153" s="2" t="s">
        <v>196</v>
      </c>
      <c r="D4153" s="2" t="s">
        <v>289</v>
      </c>
      <c r="E4153" s="2" t="s">
        <v>290</v>
      </c>
      <c r="F4153" s="3">
        <f t="shared" si="359"/>
        <v>45331</v>
      </c>
      <c r="G4153" s="4">
        <f t="shared" si="353"/>
        <v>2</v>
      </c>
      <c r="H4153" s="4">
        <f t="shared" si="354"/>
        <v>2024</v>
      </c>
      <c r="I4153" s="2" t="s">
        <v>4</v>
      </c>
      <c r="J4153" s="2" t="s">
        <v>4963</v>
      </c>
      <c r="K4153" s="2" t="s">
        <v>200</v>
      </c>
      <c r="L4153" s="2" t="s">
        <v>201</v>
      </c>
      <c r="M4153" s="2" t="s">
        <v>202</v>
      </c>
      <c r="N4153" s="4" t="str">
        <f t="shared" si="355"/>
        <v>GAL</v>
      </c>
      <c r="O4153" s="5">
        <v>5</v>
      </c>
    </row>
    <row r="4154" spans="2:15" x14ac:dyDescent="0.25">
      <c r="B4154" s="1" t="s">
        <v>1520</v>
      </c>
      <c r="C4154" s="2" t="s">
        <v>196</v>
      </c>
      <c r="D4154" s="2" t="s">
        <v>289</v>
      </c>
      <c r="E4154" s="2" t="s">
        <v>290</v>
      </c>
      <c r="F4154" s="3">
        <f t="shared" si="359"/>
        <v>45331</v>
      </c>
      <c r="G4154" s="4">
        <f t="shared" si="353"/>
        <v>2</v>
      </c>
      <c r="H4154" s="4">
        <f t="shared" si="354"/>
        <v>2024</v>
      </c>
      <c r="I4154" s="2" t="s">
        <v>4</v>
      </c>
      <c r="J4154" s="2" t="s">
        <v>4964</v>
      </c>
      <c r="K4154" s="2" t="s">
        <v>865</v>
      </c>
      <c r="L4154" s="2" t="s">
        <v>866</v>
      </c>
      <c r="M4154" s="2" t="s">
        <v>119</v>
      </c>
      <c r="N4154" s="4" t="str">
        <f t="shared" si="355"/>
        <v>TON</v>
      </c>
      <c r="O4154" s="5">
        <v>1</v>
      </c>
    </row>
    <row r="4155" spans="2:15" x14ac:dyDescent="0.25">
      <c r="B4155" s="1" t="s">
        <v>1520</v>
      </c>
      <c r="C4155" s="2" t="s">
        <v>196</v>
      </c>
      <c r="D4155" s="2" t="s">
        <v>468</v>
      </c>
      <c r="E4155" s="2" t="s">
        <v>141</v>
      </c>
      <c r="F4155" s="3">
        <f t="shared" si="359"/>
        <v>45331</v>
      </c>
      <c r="G4155" s="4">
        <f t="shared" si="353"/>
        <v>2</v>
      </c>
      <c r="H4155" s="4">
        <f t="shared" si="354"/>
        <v>2024</v>
      </c>
      <c r="I4155" s="2" t="s">
        <v>4</v>
      </c>
      <c r="J4155" s="2" t="s">
        <v>4965</v>
      </c>
      <c r="K4155" s="2" t="s">
        <v>268</v>
      </c>
      <c r="L4155" s="2" t="s">
        <v>269</v>
      </c>
      <c r="M4155" s="2" t="s">
        <v>119</v>
      </c>
      <c r="N4155" s="4" t="str">
        <f t="shared" si="355"/>
        <v>TON</v>
      </c>
      <c r="O4155" s="5">
        <v>0.15</v>
      </c>
    </row>
    <row r="4156" spans="2:15" x14ac:dyDescent="0.25">
      <c r="B4156" s="1" t="s">
        <v>1520</v>
      </c>
      <c r="C4156" s="2" t="s">
        <v>196</v>
      </c>
      <c r="D4156" s="2" t="s">
        <v>241</v>
      </c>
      <c r="E4156" s="2" t="s">
        <v>242</v>
      </c>
      <c r="F4156" s="3">
        <f>DATE(2024,2,12)</f>
        <v>45334</v>
      </c>
      <c r="G4156" s="4">
        <f t="shared" si="353"/>
        <v>2</v>
      </c>
      <c r="H4156" s="4">
        <f t="shared" si="354"/>
        <v>2024</v>
      </c>
      <c r="I4156" s="2" t="s">
        <v>4</v>
      </c>
      <c r="J4156" s="2" t="s">
        <v>4966</v>
      </c>
      <c r="K4156" s="2" t="s">
        <v>122</v>
      </c>
      <c r="L4156" s="2" t="s">
        <v>123</v>
      </c>
      <c r="M4156" s="2" t="s">
        <v>119</v>
      </c>
      <c r="N4156" s="4" t="str">
        <f t="shared" si="355"/>
        <v>TON</v>
      </c>
      <c r="O4156" s="5">
        <v>0.15</v>
      </c>
    </row>
    <row r="4157" spans="2:15" x14ac:dyDescent="0.25">
      <c r="B4157" s="6" t="s">
        <v>1520</v>
      </c>
      <c r="C4157" s="7" t="s">
        <v>196</v>
      </c>
      <c r="D4157" s="8" t="s">
        <v>387</v>
      </c>
      <c r="E4157" s="8" t="s">
        <v>797</v>
      </c>
      <c r="F4157" s="9">
        <f>DATE(2024,2,12)</f>
        <v>45334</v>
      </c>
      <c r="G4157" s="10">
        <f t="shared" si="353"/>
        <v>2</v>
      </c>
      <c r="H4157" s="10">
        <f t="shared" si="354"/>
        <v>2024</v>
      </c>
      <c r="I4157" s="8" t="s">
        <v>4</v>
      </c>
      <c r="J4157" s="7" t="s">
        <v>4967</v>
      </c>
      <c r="K4157" s="8" t="s">
        <v>4222</v>
      </c>
      <c r="L4157" s="8" t="s">
        <v>4223</v>
      </c>
      <c r="M4157" s="8" t="s">
        <v>119</v>
      </c>
      <c r="N4157" s="10" t="str">
        <f t="shared" si="355"/>
        <v>TON</v>
      </c>
      <c r="O4157" s="11">
        <v>10.012499999999999</v>
      </c>
    </row>
    <row r="4158" spans="2:15" x14ac:dyDescent="0.25">
      <c r="B4158" s="1" t="s">
        <v>1520</v>
      </c>
      <c r="C4158" s="2" t="s">
        <v>196</v>
      </c>
      <c r="D4158" s="2" t="s">
        <v>387</v>
      </c>
      <c r="E4158" s="2" t="s">
        <v>797</v>
      </c>
      <c r="F4158" s="3">
        <f>DATE(2024,2,12)</f>
        <v>45334</v>
      </c>
      <c r="G4158" s="4">
        <f t="shared" si="353"/>
        <v>2</v>
      </c>
      <c r="H4158" s="4">
        <f t="shared" si="354"/>
        <v>2024</v>
      </c>
      <c r="I4158" s="2" t="s">
        <v>4</v>
      </c>
      <c r="J4158" s="2" t="s">
        <v>4967</v>
      </c>
      <c r="K4158" s="2" t="s">
        <v>3726</v>
      </c>
      <c r="L4158" s="2" t="s">
        <v>3727</v>
      </c>
      <c r="M4158" s="2" t="s">
        <v>145</v>
      </c>
      <c r="N4158" s="4" t="str">
        <f t="shared" si="355"/>
        <v>GAL</v>
      </c>
      <c r="O4158" s="5">
        <v>3.75</v>
      </c>
    </row>
    <row r="4159" spans="2:15" x14ac:dyDescent="0.25">
      <c r="B4159" s="1" t="s">
        <v>1520</v>
      </c>
      <c r="C4159" s="2" t="s">
        <v>196</v>
      </c>
      <c r="D4159" s="2" t="s">
        <v>227</v>
      </c>
      <c r="E4159" s="2" t="s">
        <v>757</v>
      </c>
      <c r="F4159" s="3">
        <f>DATE(2024,2,12)</f>
        <v>45334</v>
      </c>
      <c r="G4159" s="4">
        <f t="shared" si="353"/>
        <v>2</v>
      </c>
      <c r="H4159" s="4">
        <f t="shared" si="354"/>
        <v>2024</v>
      </c>
      <c r="I4159" s="2" t="s">
        <v>4</v>
      </c>
      <c r="J4159" s="2" t="s">
        <v>4968</v>
      </c>
      <c r="K4159" s="2" t="s">
        <v>220</v>
      </c>
      <c r="L4159" s="2" t="s">
        <v>201</v>
      </c>
      <c r="M4159" s="2" t="s">
        <v>202</v>
      </c>
      <c r="N4159" s="4" t="str">
        <f t="shared" si="355"/>
        <v>GAL</v>
      </c>
      <c r="O4159" s="5">
        <v>500</v>
      </c>
    </row>
    <row r="4160" spans="2:15" x14ac:dyDescent="0.25">
      <c r="B4160" s="1" t="s">
        <v>1520</v>
      </c>
      <c r="C4160" s="2" t="s">
        <v>196</v>
      </c>
      <c r="D4160" s="2" t="s">
        <v>280</v>
      </c>
      <c r="E4160" s="2" t="s">
        <v>364</v>
      </c>
      <c r="F4160" s="3">
        <f t="shared" ref="F4160:F4170" si="360">DATE(2024,2,13)</f>
        <v>45335</v>
      </c>
      <c r="G4160" s="4">
        <f t="shared" si="353"/>
        <v>2</v>
      </c>
      <c r="H4160" s="4">
        <f t="shared" si="354"/>
        <v>2024</v>
      </c>
      <c r="I4160" s="2" t="s">
        <v>4</v>
      </c>
      <c r="J4160" s="2" t="s">
        <v>4969</v>
      </c>
      <c r="K4160" s="2" t="s">
        <v>117</v>
      </c>
      <c r="L4160" s="2" t="s">
        <v>118</v>
      </c>
      <c r="M4160" s="2" t="s">
        <v>119</v>
      </c>
      <c r="N4160" s="4" t="str">
        <f t="shared" si="355"/>
        <v>TON</v>
      </c>
      <c r="O4160" s="5">
        <v>10.02</v>
      </c>
    </row>
    <row r="4161" spans="2:15" x14ac:dyDescent="0.25">
      <c r="B4161" s="1" t="s">
        <v>1520</v>
      </c>
      <c r="C4161" s="2" t="s">
        <v>196</v>
      </c>
      <c r="D4161" s="2" t="s">
        <v>280</v>
      </c>
      <c r="E4161" s="2" t="s">
        <v>281</v>
      </c>
      <c r="F4161" s="3">
        <f t="shared" si="360"/>
        <v>45335</v>
      </c>
      <c r="G4161" s="4">
        <f t="shared" si="353"/>
        <v>2</v>
      </c>
      <c r="H4161" s="4">
        <f t="shared" si="354"/>
        <v>2024</v>
      </c>
      <c r="I4161" s="2" t="s">
        <v>4</v>
      </c>
      <c r="J4161" s="2" t="s">
        <v>4970</v>
      </c>
      <c r="K4161" s="2" t="s">
        <v>117</v>
      </c>
      <c r="L4161" s="2" t="s">
        <v>118</v>
      </c>
      <c r="M4161" s="2" t="s">
        <v>119</v>
      </c>
      <c r="N4161" s="4" t="str">
        <f t="shared" si="355"/>
        <v>TON</v>
      </c>
      <c r="O4161" s="5">
        <v>10.022500000000001</v>
      </c>
    </row>
    <row r="4162" spans="2:15" x14ac:dyDescent="0.25">
      <c r="B4162" s="1" t="s">
        <v>1520</v>
      </c>
      <c r="C4162" s="2" t="s">
        <v>196</v>
      </c>
      <c r="D4162" s="2" t="s">
        <v>672</v>
      </c>
      <c r="E4162" s="2" t="s">
        <v>699</v>
      </c>
      <c r="F4162" s="3">
        <f t="shared" si="360"/>
        <v>45335</v>
      </c>
      <c r="G4162" s="4">
        <f t="shared" si="353"/>
        <v>2</v>
      </c>
      <c r="H4162" s="4">
        <f t="shared" si="354"/>
        <v>2024</v>
      </c>
      <c r="I4162" s="2" t="s">
        <v>4</v>
      </c>
      <c r="J4162" s="2" t="s">
        <v>4971</v>
      </c>
      <c r="K4162" s="2" t="s">
        <v>251</v>
      </c>
      <c r="L4162" s="2" t="s">
        <v>252</v>
      </c>
      <c r="M4162" s="2" t="s">
        <v>119</v>
      </c>
      <c r="N4162" s="4" t="str">
        <f t="shared" si="355"/>
        <v>TON</v>
      </c>
      <c r="O4162" s="5">
        <v>9.9975000000000005</v>
      </c>
    </row>
    <row r="4163" spans="2:15" x14ac:dyDescent="0.25">
      <c r="B4163" s="1" t="s">
        <v>1520</v>
      </c>
      <c r="C4163" s="2" t="s">
        <v>196</v>
      </c>
      <c r="D4163" s="2" t="s">
        <v>114</v>
      </c>
      <c r="E4163" s="2" t="s">
        <v>274</v>
      </c>
      <c r="F4163" s="3">
        <f t="shared" si="360"/>
        <v>45335</v>
      </c>
      <c r="G4163" s="4">
        <f t="shared" si="353"/>
        <v>2</v>
      </c>
      <c r="H4163" s="4">
        <f t="shared" si="354"/>
        <v>2024</v>
      </c>
      <c r="I4163" s="2" t="s">
        <v>4</v>
      </c>
      <c r="J4163" s="2" t="s">
        <v>4972</v>
      </c>
      <c r="K4163" s="2" t="s">
        <v>117</v>
      </c>
      <c r="L4163" s="2" t="s">
        <v>118</v>
      </c>
      <c r="M4163" s="2" t="s">
        <v>119</v>
      </c>
      <c r="N4163" s="4" t="str">
        <f t="shared" si="355"/>
        <v>TON</v>
      </c>
      <c r="O4163" s="5">
        <v>5.0225</v>
      </c>
    </row>
    <row r="4164" spans="2:15" x14ac:dyDescent="0.25">
      <c r="B4164" s="1" t="s">
        <v>1520</v>
      </c>
      <c r="C4164" s="2" t="s">
        <v>196</v>
      </c>
      <c r="D4164" s="2" t="s">
        <v>374</v>
      </c>
      <c r="E4164" s="2" t="s">
        <v>375</v>
      </c>
      <c r="F4164" s="3">
        <f t="shared" si="360"/>
        <v>45335</v>
      </c>
      <c r="G4164" s="4">
        <f t="shared" si="353"/>
        <v>2</v>
      </c>
      <c r="H4164" s="4">
        <f t="shared" si="354"/>
        <v>2024</v>
      </c>
      <c r="I4164" s="2" t="s">
        <v>4</v>
      </c>
      <c r="J4164" s="2" t="s">
        <v>4973</v>
      </c>
      <c r="K4164" s="2" t="s">
        <v>122</v>
      </c>
      <c r="L4164" s="2" t="s">
        <v>123</v>
      </c>
      <c r="M4164" s="2" t="s">
        <v>119</v>
      </c>
      <c r="N4164" s="4" t="str">
        <f t="shared" si="355"/>
        <v>TON</v>
      </c>
      <c r="O4164" s="5">
        <v>15.0075</v>
      </c>
    </row>
    <row r="4165" spans="2:15" x14ac:dyDescent="0.25">
      <c r="B4165" s="1" t="s">
        <v>1520</v>
      </c>
      <c r="C4165" s="2" t="s">
        <v>196</v>
      </c>
      <c r="D4165" s="2" t="s">
        <v>1276</v>
      </c>
      <c r="E4165" s="2" t="s">
        <v>1277</v>
      </c>
      <c r="F4165" s="3">
        <f t="shared" si="360"/>
        <v>45335</v>
      </c>
      <c r="G4165" s="4">
        <f t="shared" si="353"/>
        <v>2</v>
      </c>
      <c r="H4165" s="4">
        <f t="shared" si="354"/>
        <v>2024</v>
      </c>
      <c r="I4165" s="2" t="s">
        <v>4</v>
      </c>
      <c r="J4165" s="2" t="s">
        <v>4974</v>
      </c>
      <c r="K4165" s="2" t="s">
        <v>117</v>
      </c>
      <c r="L4165" s="2" t="s">
        <v>118</v>
      </c>
      <c r="M4165" s="2" t="s">
        <v>119</v>
      </c>
      <c r="N4165" s="4" t="str">
        <f t="shared" si="355"/>
        <v>TON</v>
      </c>
      <c r="O4165" s="5">
        <v>7.4974999999999996</v>
      </c>
    </row>
    <row r="4166" spans="2:15" x14ac:dyDescent="0.25">
      <c r="B4166" s="1" t="s">
        <v>1520</v>
      </c>
      <c r="C4166" s="2" t="s">
        <v>196</v>
      </c>
      <c r="D4166" s="2" t="s">
        <v>4034</v>
      </c>
      <c r="E4166" s="2" t="s">
        <v>1346</v>
      </c>
      <c r="F4166" s="3">
        <f t="shared" si="360"/>
        <v>45335</v>
      </c>
      <c r="G4166" s="4">
        <f t="shared" si="353"/>
        <v>2</v>
      </c>
      <c r="H4166" s="4">
        <f t="shared" si="354"/>
        <v>2024</v>
      </c>
      <c r="I4166" s="2" t="s">
        <v>4</v>
      </c>
      <c r="J4166" s="2" t="s">
        <v>4975</v>
      </c>
      <c r="K4166" s="2" t="s">
        <v>117</v>
      </c>
      <c r="L4166" s="2" t="s">
        <v>118</v>
      </c>
      <c r="M4166" s="2" t="s">
        <v>119</v>
      </c>
      <c r="N4166" s="4" t="str">
        <f t="shared" si="355"/>
        <v>TON</v>
      </c>
      <c r="O4166" s="5">
        <v>3.7425000000000002</v>
      </c>
    </row>
    <row r="4167" spans="2:15" x14ac:dyDescent="0.25">
      <c r="B4167" s="1" t="s">
        <v>1520</v>
      </c>
      <c r="C4167" s="2" t="s">
        <v>196</v>
      </c>
      <c r="D4167" s="2" t="s">
        <v>321</v>
      </c>
      <c r="E4167" s="2" t="s">
        <v>353</v>
      </c>
      <c r="F4167" s="3">
        <f t="shared" si="360"/>
        <v>45335</v>
      </c>
      <c r="G4167" s="4">
        <f t="shared" si="353"/>
        <v>2</v>
      </c>
      <c r="H4167" s="4">
        <f t="shared" si="354"/>
        <v>2024</v>
      </c>
      <c r="I4167" s="2" t="s">
        <v>4</v>
      </c>
      <c r="J4167" s="2" t="s">
        <v>4976</v>
      </c>
      <c r="K4167" s="2" t="s">
        <v>394</v>
      </c>
      <c r="L4167" s="2" t="s">
        <v>395</v>
      </c>
      <c r="M4167" s="2" t="s">
        <v>119</v>
      </c>
      <c r="N4167" s="4" t="str">
        <f t="shared" si="355"/>
        <v>TON</v>
      </c>
      <c r="O4167" s="5">
        <v>10.0075</v>
      </c>
    </row>
    <row r="4168" spans="2:15" x14ac:dyDescent="0.25">
      <c r="B4168" s="1" t="s">
        <v>1520</v>
      </c>
      <c r="C4168" s="2" t="s">
        <v>196</v>
      </c>
      <c r="D4168" s="2" t="s">
        <v>303</v>
      </c>
      <c r="E4168" s="2" t="s">
        <v>981</v>
      </c>
      <c r="F4168" s="3">
        <f t="shared" si="360"/>
        <v>45335</v>
      </c>
      <c r="G4168" s="4">
        <f t="shared" si="353"/>
        <v>2</v>
      </c>
      <c r="H4168" s="4">
        <f t="shared" si="354"/>
        <v>2024</v>
      </c>
      <c r="I4168" s="2" t="s">
        <v>4</v>
      </c>
      <c r="J4168" s="2" t="s">
        <v>4977</v>
      </c>
      <c r="K4168" s="2" t="s">
        <v>4428</v>
      </c>
      <c r="L4168" s="2" t="s">
        <v>4429</v>
      </c>
      <c r="M4168" s="2" t="s">
        <v>119</v>
      </c>
      <c r="N4168" s="4" t="str">
        <f t="shared" si="355"/>
        <v>TON</v>
      </c>
      <c r="O4168" s="5">
        <v>10.0075</v>
      </c>
    </row>
    <row r="4169" spans="2:15" x14ac:dyDescent="0.25">
      <c r="B4169" s="1" t="s">
        <v>1520</v>
      </c>
      <c r="C4169" s="2" t="s">
        <v>196</v>
      </c>
      <c r="D4169" s="2" t="s">
        <v>303</v>
      </c>
      <c r="E4169" s="2" t="s">
        <v>981</v>
      </c>
      <c r="F4169" s="3">
        <f t="shared" si="360"/>
        <v>45335</v>
      </c>
      <c r="G4169" s="4">
        <f t="shared" si="353"/>
        <v>2</v>
      </c>
      <c r="H4169" s="4">
        <f t="shared" si="354"/>
        <v>2024</v>
      </c>
      <c r="I4169" s="2" t="s">
        <v>4</v>
      </c>
      <c r="J4169" s="2" t="s">
        <v>4977</v>
      </c>
      <c r="K4169" s="2" t="s">
        <v>3726</v>
      </c>
      <c r="L4169" s="2" t="s">
        <v>3727</v>
      </c>
      <c r="M4169" s="2" t="s">
        <v>145</v>
      </c>
      <c r="N4169" s="4" t="str">
        <f t="shared" si="355"/>
        <v>GAL</v>
      </c>
      <c r="O4169" s="5">
        <v>3.75</v>
      </c>
    </row>
    <row r="4170" spans="2:15" x14ac:dyDescent="0.25">
      <c r="B4170" s="1" t="s">
        <v>1520</v>
      </c>
      <c r="C4170" s="2" t="s">
        <v>196</v>
      </c>
      <c r="D4170" s="2" t="s">
        <v>321</v>
      </c>
      <c r="E4170" s="2" t="s">
        <v>1200</v>
      </c>
      <c r="F4170" s="3">
        <f t="shared" si="360"/>
        <v>45335</v>
      </c>
      <c r="G4170" s="4">
        <f t="shared" si="353"/>
        <v>2</v>
      </c>
      <c r="H4170" s="4">
        <f t="shared" si="354"/>
        <v>2024</v>
      </c>
      <c r="I4170" s="2" t="s">
        <v>4</v>
      </c>
      <c r="J4170" s="2" t="s">
        <v>4978</v>
      </c>
      <c r="K4170" s="2" t="s">
        <v>394</v>
      </c>
      <c r="L4170" s="2" t="s">
        <v>395</v>
      </c>
      <c r="M4170" s="2" t="s">
        <v>119</v>
      </c>
      <c r="N4170" s="4" t="str">
        <f t="shared" si="355"/>
        <v>TON</v>
      </c>
      <c r="O4170" s="5">
        <v>2.4950000000000001</v>
      </c>
    </row>
    <row r="4171" spans="2:15" x14ac:dyDescent="0.25">
      <c r="B4171" s="1" t="s">
        <v>1520</v>
      </c>
      <c r="C4171" s="2" t="s">
        <v>196</v>
      </c>
      <c r="D4171" s="2" t="s">
        <v>283</v>
      </c>
      <c r="E4171" s="2" t="s">
        <v>699</v>
      </c>
      <c r="F4171" s="3">
        <f t="shared" ref="F4171:F4180" si="361">DATE(2024,2,14)</f>
        <v>45336</v>
      </c>
      <c r="G4171" s="4">
        <f t="shared" si="353"/>
        <v>2</v>
      </c>
      <c r="H4171" s="4">
        <f t="shared" si="354"/>
        <v>2024</v>
      </c>
      <c r="I4171" s="2" t="s">
        <v>4</v>
      </c>
      <c r="J4171" s="2" t="s">
        <v>4979</v>
      </c>
      <c r="K4171" s="2" t="s">
        <v>307</v>
      </c>
      <c r="L4171" s="2" t="s">
        <v>308</v>
      </c>
      <c r="M4171" s="2" t="s">
        <v>119</v>
      </c>
      <c r="N4171" s="4" t="str">
        <f t="shared" si="355"/>
        <v>TON</v>
      </c>
      <c r="O4171" s="5">
        <v>1.5</v>
      </c>
    </row>
    <row r="4172" spans="2:15" x14ac:dyDescent="0.25">
      <c r="B4172" s="1" t="s">
        <v>1520</v>
      </c>
      <c r="C4172" s="2" t="s">
        <v>196</v>
      </c>
      <c r="D4172" s="2" t="s">
        <v>280</v>
      </c>
      <c r="E4172" s="2" t="s">
        <v>434</v>
      </c>
      <c r="F4172" s="3">
        <f t="shared" si="361"/>
        <v>45336</v>
      </c>
      <c r="G4172" s="4">
        <f t="shared" si="353"/>
        <v>2</v>
      </c>
      <c r="H4172" s="4">
        <f t="shared" si="354"/>
        <v>2024</v>
      </c>
      <c r="I4172" s="2" t="s">
        <v>4</v>
      </c>
      <c r="J4172" s="2" t="s">
        <v>4980</v>
      </c>
      <c r="K4172" s="2" t="s">
        <v>117</v>
      </c>
      <c r="L4172" s="2" t="s">
        <v>118</v>
      </c>
      <c r="M4172" s="2" t="s">
        <v>119</v>
      </c>
      <c r="N4172" s="4" t="str">
        <f t="shared" si="355"/>
        <v>TON</v>
      </c>
      <c r="O4172" s="5">
        <v>8.5</v>
      </c>
    </row>
    <row r="4173" spans="2:15" x14ac:dyDescent="0.25">
      <c r="B4173" s="1" t="s">
        <v>1520</v>
      </c>
      <c r="C4173" s="2" t="s">
        <v>196</v>
      </c>
      <c r="D4173" s="2" t="s">
        <v>3761</v>
      </c>
      <c r="E4173" s="2" t="s">
        <v>3762</v>
      </c>
      <c r="F4173" s="3">
        <f t="shared" si="361"/>
        <v>45336</v>
      </c>
      <c r="G4173" s="4">
        <f t="shared" si="353"/>
        <v>2</v>
      </c>
      <c r="H4173" s="4">
        <f t="shared" si="354"/>
        <v>2024</v>
      </c>
      <c r="I4173" s="2" t="s">
        <v>4</v>
      </c>
      <c r="J4173" s="2" t="s">
        <v>4981</v>
      </c>
      <c r="K4173" s="2" t="s">
        <v>329</v>
      </c>
      <c r="L4173" s="2" t="s">
        <v>330</v>
      </c>
      <c r="M4173" s="2" t="s">
        <v>119</v>
      </c>
      <c r="N4173" s="4" t="str">
        <f t="shared" si="355"/>
        <v>TON</v>
      </c>
      <c r="O4173" s="5">
        <v>7.5</v>
      </c>
    </row>
    <row r="4174" spans="2:15" x14ac:dyDescent="0.25">
      <c r="B4174" s="1" t="s">
        <v>1520</v>
      </c>
      <c r="C4174" s="2" t="s">
        <v>196</v>
      </c>
      <c r="D4174" s="2" t="s">
        <v>1343</v>
      </c>
      <c r="E4174" s="2" t="s">
        <v>4151</v>
      </c>
      <c r="F4174" s="3">
        <f t="shared" si="361"/>
        <v>45336</v>
      </c>
      <c r="G4174" s="4">
        <f t="shared" si="353"/>
        <v>2</v>
      </c>
      <c r="H4174" s="4">
        <f t="shared" si="354"/>
        <v>2024</v>
      </c>
      <c r="I4174" s="2" t="s">
        <v>4</v>
      </c>
      <c r="J4174" s="2" t="s">
        <v>4982</v>
      </c>
      <c r="K4174" s="2" t="s">
        <v>390</v>
      </c>
      <c r="L4174" s="2" t="s">
        <v>391</v>
      </c>
      <c r="M4174" s="2" t="s">
        <v>119</v>
      </c>
      <c r="N4174" s="4" t="str">
        <f t="shared" si="355"/>
        <v>TON</v>
      </c>
      <c r="O4174" s="5">
        <v>14.99</v>
      </c>
    </row>
    <row r="4175" spans="2:15" x14ac:dyDescent="0.25">
      <c r="B4175" s="1" t="s">
        <v>1520</v>
      </c>
      <c r="C4175" s="2" t="s">
        <v>196</v>
      </c>
      <c r="D4175" s="2" t="s">
        <v>1343</v>
      </c>
      <c r="E4175" s="2" t="s">
        <v>4151</v>
      </c>
      <c r="F4175" s="3">
        <f t="shared" si="361"/>
        <v>45336</v>
      </c>
      <c r="G4175" s="4">
        <f t="shared" si="353"/>
        <v>2</v>
      </c>
      <c r="H4175" s="4">
        <f t="shared" si="354"/>
        <v>2024</v>
      </c>
      <c r="I4175" s="2" t="s">
        <v>4</v>
      </c>
      <c r="J4175" s="2" t="s">
        <v>4982</v>
      </c>
      <c r="K4175" s="2" t="s">
        <v>3726</v>
      </c>
      <c r="L4175" s="2" t="s">
        <v>3727</v>
      </c>
      <c r="M4175" s="2" t="s">
        <v>145</v>
      </c>
      <c r="N4175" s="4" t="str">
        <f t="shared" si="355"/>
        <v>GAL</v>
      </c>
      <c r="O4175" s="5">
        <v>5.625</v>
      </c>
    </row>
    <row r="4176" spans="2:15" x14ac:dyDescent="0.25">
      <c r="B4176" s="1" t="s">
        <v>1520</v>
      </c>
      <c r="C4176" s="2" t="s">
        <v>196</v>
      </c>
      <c r="D4176" s="2" t="s">
        <v>1343</v>
      </c>
      <c r="E4176" s="2" t="s">
        <v>3729</v>
      </c>
      <c r="F4176" s="3">
        <f t="shared" si="361"/>
        <v>45336</v>
      </c>
      <c r="G4176" s="4">
        <f t="shared" si="353"/>
        <v>2</v>
      </c>
      <c r="H4176" s="4">
        <f t="shared" si="354"/>
        <v>2024</v>
      </c>
      <c r="I4176" s="2" t="s">
        <v>4</v>
      </c>
      <c r="J4176" s="2" t="s">
        <v>4983</v>
      </c>
      <c r="K4176" s="2" t="s">
        <v>390</v>
      </c>
      <c r="L4176" s="2" t="s">
        <v>391</v>
      </c>
      <c r="M4176" s="2" t="s">
        <v>119</v>
      </c>
      <c r="N4176" s="4" t="str">
        <f t="shared" si="355"/>
        <v>TON</v>
      </c>
      <c r="O4176" s="5">
        <v>15.01</v>
      </c>
    </row>
    <row r="4177" spans="2:15" x14ac:dyDescent="0.25">
      <c r="B4177" s="1" t="s">
        <v>1520</v>
      </c>
      <c r="C4177" s="2" t="s">
        <v>196</v>
      </c>
      <c r="D4177" s="2" t="s">
        <v>1343</v>
      </c>
      <c r="E4177" s="2" t="s">
        <v>3729</v>
      </c>
      <c r="F4177" s="3">
        <f t="shared" si="361"/>
        <v>45336</v>
      </c>
      <c r="G4177" s="4">
        <f t="shared" si="353"/>
        <v>2</v>
      </c>
      <c r="H4177" s="4">
        <f t="shared" si="354"/>
        <v>2024</v>
      </c>
      <c r="I4177" s="2" t="s">
        <v>4</v>
      </c>
      <c r="J4177" s="2" t="s">
        <v>4983</v>
      </c>
      <c r="K4177" s="2" t="s">
        <v>3726</v>
      </c>
      <c r="L4177" s="2" t="s">
        <v>3727</v>
      </c>
      <c r="M4177" s="2" t="s">
        <v>145</v>
      </c>
      <c r="N4177" s="4" t="str">
        <f t="shared" si="355"/>
        <v>GAL</v>
      </c>
      <c r="O4177" s="5">
        <v>5.625</v>
      </c>
    </row>
    <row r="4178" spans="2:15" x14ac:dyDescent="0.25">
      <c r="B4178" s="1" t="s">
        <v>1520</v>
      </c>
      <c r="C4178" s="2" t="s">
        <v>196</v>
      </c>
      <c r="D4178" s="2" t="s">
        <v>114</v>
      </c>
      <c r="E4178" s="2" t="s">
        <v>369</v>
      </c>
      <c r="F4178" s="3">
        <f t="shared" si="361"/>
        <v>45336</v>
      </c>
      <c r="G4178" s="4">
        <f t="shared" si="353"/>
        <v>2</v>
      </c>
      <c r="H4178" s="4">
        <f t="shared" si="354"/>
        <v>2024</v>
      </c>
      <c r="I4178" s="2" t="s">
        <v>4</v>
      </c>
      <c r="J4178" s="2" t="s">
        <v>4984</v>
      </c>
      <c r="K4178" s="2" t="s">
        <v>117</v>
      </c>
      <c r="L4178" s="2" t="s">
        <v>118</v>
      </c>
      <c r="M4178" s="2" t="s">
        <v>119</v>
      </c>
      <c r="N4178" s="4" t="str">
        <f t="shared" si="355"/>
        <v>TON</v>
      </c>
      <c r="O4178" s="5">
        <v>10.0025</v>
      </c>
    </row>
    <row r="4179" spans="2:15" x14ac:dyDescent="0.25">
      <c r="B4179" s="1" t="s">
        <v>1520</v>
      </c>
      <c r="C4179" s="2" t="s">
        <v>196</v>
      </c>
      <c r="D4179" s="2" t="s">
        <v>3767</v>
      </c>
      <c r="E4179" s="2" t="s">
        <v>271</v>
      </c>
      <c r="F4179" s="3">
        <f t="shared" si="361"/>
        <v>45336</v>
      </c>
      <c r="G4179" s="4">
        <f t="shared" si="353"/>
        <v>2</v>
      </c>
      <c r="H4179" s="4">
        <f t="shared" si="354"/>
        <v>2024</v>
      </c>
      <c r="I4179" s="2" t="s">
        <v>4</v>
      </c>
      <c r="J4179" s="2" t="s">
        <v>4985</v>
      </c>
      <c r="K4179" s="2" t="s">
        <v>329</v>
      </c>
      <c r="L4179" s="2" t="s">
        <v>330</v>
      </c>
      <c r="M4179" s="2" t="s">
        <v>119</v>
      </c>
      <c r="N4179" s="4" t="str">
        <f t="shared" si="355"/>
        <v>TON</v>
      </c>
      <c r="O4179" s="5">
        <v>2.4874999999999998</v>
      </c>
    </row>
    <row r="4180" spans="2:15" x14ac:dyDescent="0.25">
      <c r="B4180" s="1" t="s">
        <v>1520</v>
      </c>
      <c r="C4180" s="2" t="s">
        <v>196</v>
      </c>
      <c r="D4180" s="2" t="s">
        <v>114</v>
      </c>
      <c r="E4180" s="2" t="s">
        <v>369</v>
      </c>
      <c r="F4180" s="3">
        <f t="shared" si="361"/>
        <v>45336</v>
      </c>
      <c r="G4180" s="4">
        <f t="shared" si="353"/>
        <v>2</v>
      </c>
      <c r="H4180" s="4">
        <f t="shared" si="354"/>
        <v>2024</v>
      </c>
      <c r="I4180" s="2" t="s">
        <v>4</v>
      </c>
      <c r="J4180" s="2" t="s">
        <v>4986</v>
      </c>
      <c r="K4180" s="2" t="s">
        <v>117</v>
      </c>
      <c r="L4180" s="2" t="s">
        <v>118</v>
      </c>
      <c r="M4180" s="2" t="s">
        <v>119</v>
      </c>
      <c r="N4180" s="4" t="str">
        <f t="shared" si="355"/>
        <v>TON</v>
      </c>
      <c r="O4180" s="5">
        <v>2.0125000000000002</v>
      </c>
    </row>
    <row r="4181" spans="2:15" x14ac:dyDescent="0.25">
      <c r="B4181" s="1" t="s">
        <v>1520</v>
      </c>
      <c r="C4181" s="2" t="s">
        <v>196</v>
      </c>
      <c r="D4181" s="2" t="s">
        <v>321</v>
      </c>
      <c r="E4181" s="2" t="s">
        <v>392</v>
      </c>
      <c r="F4181" s="3">
        <f t="shared" ref="F4181:F4190" si="362">DATE(2024,2,15)</f>
        <v>45337</v>
      </c>
      <c r="G4181" s="4">
        <f t="shared" si="353"/>
        <v>2</v>
      </c>
      <c r="H4181" s="4">
        <f t="shared" si="354"/>
        <v>2024</v>
      </c>
      <c r="I4181" s="2" t="s">
        <v>4</v>
      </c>
      <c r="J4181" s="2" t="s">
        <v>4987</v>
      </c>
      <c r="K4181" s="2" t="s">
        <v>447</v>
      </c>
      <c r="L4181" s="2" t="s">
        <v>448</v>
      </c>
      <c r="M4181" s="2" t="s">
        <v>119</v>
      </c>
      <c r="N4181" s="4" t="str">
        <f t="shared" si="355"/>
        <v>TON</v>
      </c>
      <c r="O4181" s="5">
        <v>1.2549999999999999</v>
      </c>
    </row>
    <row r="4182" spans="2:15" x14ac:dyDescent="0.25">
      <c r="B4182" s="1" t="s">
        <v>1520</v>
      </c>
      <c r="C4182" s="2" t="s">
        <v>196</v>
      </c>
      <c r="D4182" s="2" t="s">
        <v>475</v>
      </c>
      <c r="E4182" s="2" t="s">
        <v>476</v>
      </c>
      <c r="F4182" s="3">
        <f t="shared" si="362"/>
        <v>45337</v>
      </c>
      <c r="G4182" s="4">
        <f t="shared" ref="G4182:G4245" si="363">MONTH(F4182)</f>
        <v>2</v>
      </c>
      <c r="H4182" s="4">
        <f t="shared" ref="H4182:H4245" si="364">YEAR(F4182)</f>
        <v>2024</v>
      </c>
      <c r="I4182" s="2" t="s">
        <v>4</v>
      </c>
      <c r="J4182" s="2" t="s">
        <v>4988</v>
      </c>
      <c r="K4182" s="2" t="s">
        <v>478</v>
      </c>
      <c r="L4182" s="2" t="s">
        <v>479</v>
      </c>
      <c r="M4182" s="2" t="s">
        <v>119</v>
      </c>
      <c r="N4182" s="4" t="str">
        <f t="shared" ref="N4182:N4245" si="365">LEFT(M4182,3)</f>
        <v>TON</v>
      </c>
      <c r="O4182" s="5">
        <v>15.012499999999999</v>
      </c>
    </row>
    <row r="4183" spans="2:15" x14ac:dyDescent="0.25">
      <c r="B4183" s="1" t="s">
        <v>1520</v>
      </c>
      <c r="C4183" s="2" t="s">
        <v>196</v>
      </c>
      <c r="D4183" s="2" t="s">
        <v>215</v>
      </c>
      <c r="E4183" s="2" t="s">
        <v>4113</v>
      </c>
      <c r="F4183" s="3">
        <f t="shared" si="362"/>
        <v>45337</v>
      </c>
      <c r="G4183" s="4">
        <f t="shared" si="363"/>
        <v>2</v>
      </c>
      <c r="H4183" s="4">
        <f t="shared" si="364"/>
        <v>2024</v>
      </c>
      <c r="I4183" s="2" t="s">
        <v>4</v>
      </c>
      <c r="J4183" s="2" t="s">
        <v>4989</v>
      </c>
      <c r="K4183" s="2" t="s">
        <v>447</v>
      </c>
      <c r="L4183" s="2" t="s">
        <v>448</v>
      </c>
      <c r="M4183" s="2" t="s">
        <v>119</v>
      </c>
      <c r="N4183" s="4" t="str">
        <f t="shared" si="365"/>
        <v>TON</v>
      </c>
      <c r="O4183" s="5">
        <v>10.012499999999999</v>
      </c>
    </row>
    <row r="4184" spans="2:15" x14ac:dyDescent="0.25">
      <c r="B4184" s="1" t="s">
        <v>1520</v>
      </c>
      <c r="C4184" s="2" t="s">
        <v>196</v>
      </c>
      <c r="D4184" s="2" t="s">
        <v>224</v>
      </c>
      <c r="E4184" s="2" t="s">
        <v>4990</v>
      </c>
      <c r="F4184" s="3">
        <f t="shared" si="362"/>
        <v>45337</v>
      </c>
      <c r="G4184" s="4">
        <f t="shared" si="363"/>
        <v>2</v>
      </c>
      <c r="H4184" s="4">
        <f t="shared" si="364"/>
        <v>2024</v>
      </c>
      <c r="I4184" s="2" t="s">
        <v>4</v>
      </c>
      <c r="J4184" s="2" t="s">
        <v>4991</v>
      </c>
      <c r="K4184" s="2" t="s">
        <v>329</v>
      </c>
      <c r="L4184" s="2" t="s">
        <v>330</v>
      </c>
      <c r="M4184" s="2" t="s">
        <v>119</v>
      </c>
      <c r="N4184" s="4" t="str">
        <f t="shared" si="365"/>
        <v>TON</v>
      </c>
      <c r="O4184" s="5">
        <v>1.25</v>
      </c>
    </row>
    <row r="4185" spans="2:15" x14ac:dyDescent="0.25">
      <c r="B4185" s="1" t="s">
        <v>1520</v>
      </c>
      <c r="C4185" s="2" t="s">
        <v>196</v>
      </c>
      <c r="D4185" s="2" t="s">
        <v>215</v>
      </c>
      <c r="E4185" s="2" t="s">
        <v>315</v>
      </c>
      <c r="F4185" s="3">
        <f t="shared" si="362"/>
        <v>45337</v>
      </c>
      <c r="G4185" s="4">
        <f t="shared" si="363"/>
        <v>2</v>
      </c>
      <c r="H4185" s="4">
        <f t="shared" si="364"/>
        <v>2024</v>
      </c>
      <c r="I4185" s="2" t="s">
        <v>4</v>
      </c>
      <c r="J4185" s="2" t="s">
        <v>4992</v>
      </c>
      <c r="K4185" s="2" t="s">
        <v>447</v>
      </c>
      <c r="L4185" s="2" t="s">
        <v>448</v>
      </c>
      <c r="M4185" s="2" t="s">
        <v>119</v>
      </c>
      <c r="N4185" s="4" t="str">
        <f t="shared" si="365"/>
        <v>TON</v>
      </c>
      <c r="O4185" s="5">
        <v>3.9950000000000001</v>
      </c>
    </row>
    <row r="4186" spans="2:15" x14ac:dyDescent="0.25">
      <c r="B4186" s="1" t="s">
        <v>1520</v>
      </c>
      <c r="C4186" s="2" t="s">
        <v>196</v>
      </c>
      <c r="D4186" s="2" t="s">
        <v>317</v>
      </c>
      <c r="E4186" s="2" t="s">
        <v>677</v>
      </c>
      <c r="F4186" s="3">
        <f t="shared" si="362"/>
        <v>45337</v>
      </c>
      <c r="G4186" s="4">
        <f t="shared" si="363"/>
        <v>2</v>
      </c>
      <c r="H4186" s="4">
        <f t="shared" si="364"/>
        <v>2024</v>
      </c>
      <c r="I4186" s="2" t="s">
        <v>4</v>
      </c>
      <c r="J4186" s="2" t="s">
        <v>4993</v>
      </c>
      <c r="K4186" s="2" t="s">
        <v>117</v>
      </c>
      <c r="L4186" s="2" t="s">
        <v>118</v>
      </c>
      <c r="M4186" s="2" t="s">
        <v>119</v>
      </c>
      <c r="N4186" s="4" t="str">
        <f t="shared" si="365"/>
        <v>TON</v>
      </c>
      <c r="O4186" s="5">
        <v>10.015000000000001</v>
      </c>
    </row>
    <row r="4187" spans="2:15" x14ac:dyDescent="0.25">
      <c r="B4187" s="1" t="s">
        <v>1520</v>
      </c>
      <c r="C4187" s="2" t="s">
        <v>196</v>
      </c>
      <c r="D4187" s="2" t="s">
        <v>679</v>
      </c>
      <c r="E4187" s="2" t="s">
        <v>680</v>
      </c>
      <c r="F4187" s="3">
        <f t="shared" si="362"/>
        <v>45337</v>
      </c>
      <c r="G4187" s="4">
        <f t="shared" si="363"/>
        <v>2</v>
      </c>
      <c r="H4187" s="4">
        <f t="shared" si="364"/>
        <v>2024</v>
      </c>
      <c r="I4187" s="2" t="s">
        <v>4</v>
      </c>
      <c r="J4187" s="2" t="s">
        <v>4994</v>
      </c>
      <c r="K4187" s="2" t="s">
        <v>329</v>
      </c>
      <c r="L4187" s="2" t="s">
        <v>330</v>
      </c>
      <c r="M4187" s="2" t="s">
        <v>119</v>
      </c>
      <c r="N4187" s="4" t="str">
        <f t="shared" si="365"/>
        <v>TON</v>
      </c>
      <c r="O4187" s="5">
        <v>2.5024999999999999</v>
      </c>
    </row>
    <row r="4188" spans="2:15" x14ac:dyDescent="0.25">
      <c r="B4188" s="1" t="s">
        <v>1520</v>
      </c>
      <c r="C4188" s="2" t="s">
        <v>196</v>
      </c>
      <c r="D4188" s="2" t="s">
        <v>679</v>
      </c>
      <c r="E4188" s="2" t="s">
        <v>680</v>
      </c>
      <c r="F4188" s="3">
        <f t="shared" si="362"/>
        <v>45337</v>
      </c>
      <c r="G4188" s="4">
        <f t="shared" si="363"/>
        <v>2</v>
      </c>
      <c r="H4188" s="4">
        <f t="shared" si="364"/>
        <v>2024</v>
      </c>
      <c r="I4188" s="2" t="s">
        <v>4</v>
      </c>
      <c r="J4188" s="2" t="s">
        <v>4994</v>
      </c>
      <c r="K4188" s="2" t="s">
        <v>3726</v>
      </c>
      <c r="L4188" s="2" t="s">
        <v>3727</v>
      </c>
      <c r="M4188" s="2" t="s">
        <v>145</v>
      </c>
      <c r="N4188" s="4" t="str">
        <f t="shared" si="365"/>
        <v>GAL</v>
      </c>
      <c r="O4188" s="5">
        <v>0.9375</v>
      </c>
    </row>
    <row r="4189" spans="2:15" x14ac:dyDescent="0.25">
      <c r="B4189" s="1" t="s">
        <v>1520</v>
      </c>
      <c r="C4189" s="2" t="s">
        <v>196</v>
      </c>
      <c r="D4189" s="2" t="s">
        <v>310</v>
      </c>
      <c r="E4189" s="2" t="s">
        <v>355</v>
      </c>
      <c r="F4189" s="3">
        <f t="shared" si="362"/>
        <v>45337</v>
      </c>
      <c r="G4189" s="4">
        <f t="shared" si="363"/>
        <v>2</v>
      </c>
      <c r="H4189" s="4">
        <f t="shared" si="364"/>
        <v>2024</v>
      </c>
      <c r="I4189" s="2" t="s">
        <v>4</v>
      </c>
      <c r="J4189" s="2" t="s">
        <v>4995</v>
      </c>
      <c r="K4189" s="2" t="s">
        <v>329</v>
      </c>
      <c r="L4189" s="2" t="s">
        <v>330</v>
      </c>
      <c r="M4189" s="2" t="s">
        <v>119</v>
      </c>
      <c r="N4189" s="4" t="str">
        <f t="shared" si="365"/>
        <v>TON</v>
      </c>
      <c r="O4189" s="5">
        <v>2.0099999999999998</v>
      </c>
    </row>
    <row r="4190" spans="2:15" x14ac:dyDescent="0.25">
      <c r="B4190" s="1" t="s">
        <v>1520</v>
      </c>
      <c r="C4190" s="2" t="s">
        <v>196</v>
      </c>
      <c r="D4190" s="2" t="s">
        <v>265</v>
      </c>
      <c r="E4190" s="2" t="s">
        <v>266</v>
      </c>
      <c r="F4190" s="3">
        <f t="shared" si="362"/>
        <v>45337</v>
      </c>
      <c r="G4190" s="4">
        <f t="shared" si="363"/>
        <v>2</v>
      </c>
      <c r="H4190" s="4">
        <f t="shared" si="364"/>
        <v>2024</v>
      </c>
      <c r="I4190" s="2" t="s">
        <v>4</v>
      </c>
      <c r="J4190" s="2" t="s">
        <v>4996</v>
      </c>
      <c r="K4190" s="2" t="s">
        <v>268</v>
      </c>
      <c r="L4190" s="2" t="s">
        <v>269</v>
      </c>
      <c r="M4190" s="2" t="s">
        <v>119</v>
      </c>
      <c r="N4190" s="4" t="str">
        <f t="shared" si="365"/>
        <v>TON</v>
      </c>
      <c r="O4190" s="5">
        <v>0.15</v>
      </c>
    </row>
    <row r="4191" spans="2:15" x14ac:dyDescent="0.25">
      <c r="B4191" s="6" t="s">
        <v>1520</v>
      </c>
      <c r="C4191" s="7" t="s">
        <v>196</v>
      </c>
      <c r="D4191" s="8" t="s">
        <v>341</v>
      </c>
      <c r="E4191" s="8" t="s">
        <v>91</v>
      </c>
      <c r="F4191" s="9">
        <f>DATE(2024,2,16)</f>
        <v>45338</v>
      </c>
      <c r="G4191" s="10">
        <f t="shared" si="363"/>
        <v>2</v>
      </c>
      <c r="H4191" s="10">
        <f t="shared" si="364"/>
        <v>2024</v>
      </c>
      <c r="I4191" s="8" t="s">
        <v>4</v>
      </c>
      <c r="J4191" s="7" t="s">
        <v>4997</v>
      </c>
      <c r="K4191" s="8" t="s">
        <v>344</v>
      </c>
      <c r="L4191" s="8" t="s">
        <v>345</v>
      </c>
      <c r="M4191" s="8" t="s">
        <v>346</v>
      </c>
      <c r="N4191" s="10" t="str">
        <f t="shared" si="365"/>
        <v>GAL</v>
      </c>
      <c r="O4191" s="11">
        <v>50</v>
      </c>
    </row>
    <row r="4192" spans="2:15" x14ac:dyDescent="0.25">
      <c r="B4192" s="1" t="s">
        <v>1520</v>
      </c>
      <c r="C4192" s="2" t="s">
        <v>196</v>
      </c>
      <c r="D4192" s="2" t="s">
        <v>280</v>
      </c>
      <c r="E4192" s="2" t="s">
        <v>254</v>
      </c>
      <c r="F4192" s="3">
        <f>DATE(2024,2,15)</f>
        <v>45337</v>
      </c>
      <c r="G4192" s="4">
        <f t="shared" si="363"/>
        <v>2</v>
      </c>
      <c r="H4192" s="4">
        <f t="shared" si="364"/>
        <v>2024</v>
      </c>
      <c r="I4192" s="2" t="s">
        <v>4</v>
      </c>
      <c r="J4192" s="2" t="s">
        <v>4998</v>
      </c>
      <c r="K4192" s="2" t="s">
        <v>117</v>
      </c>
      <c r="L4192" s="2" t="s">
        <v>118</v>
      </c>
      <c r="M4192" s="2" t="s">
        <v>119</v>
      </c>
      <c r="N4192" s="4" t="str">
        <f t="shared" si="365"/>
        <v>TON</v>
      </c>
      <c r="O4192" s="5">
        <v>10.0075</v>
      </c>
    </row>
    <row r="4193" spans="2:15" x14ac:dyDescent="0.25">
      <c r="B4193" s="1" t="s">
        <v>1520</v>
      </c>
      <c r="C4193" s="2" t="s">
        <v>196</v>
      </c>
      <c r="D4193" s="2" t="s">
        <v>4013</v>
      </c>
      <c r="E4193" s="2" t="s">
        <v>2868</v>
      </c>
      <c r="F4193" s="3">
        <f t="shared" ref="F4193:F4205" si="366">DATE(2024,2,16)</f>
        <v>45338</v>
      </c>
      <c r="G4193" s="4">
        <f t="shared" si="363"/>
        <v>2</v>
      </c>
      <c r="H4193" s="4">
        <f t="shared" si="364"/>
        <v>2024</v>
      </c>
      <c r="I4193" s="2" t="s">
        <v>4</v>
      </c>
      <c r="J4193" s="2" t="s">
        <v>4999</v>
      </c>
      <c r="K4193" s="2" t="s">
        <v>329</v>
      </c>
      <c r="L4193" s="2" t="s">
        <v>330</v>
      </c>
      <c r="M4193" s="2" t="s">
        <v>119</v>
      </c>
      <c r="N4193" s="4" t="str">
        <f t="shared" si="365"/>
        <v>TON</v>
      </c>
      <c r="O4193" s="5">
        <v>2</v>
      </c>
    </row>
    <row r="4194" spans="2:15" x14ac:dyDescent="0.25">
      <c r="B4194" s="1" t="s">
        <v>1520</v>
      </c>
      <c r="C4194" s="2" t="s">
        <v>196</v>
      </c>
      <c r="D4194" s="2" t="s">
        <v>197</v>
      </c>
      <c r="E4194" s="2" t="s">
        <v>198</v>
      </c>
      <c r="F4194" s="3">
        <f t="shared" si="366"/>
        <v>45338</v>
      </c>
      <c r="G4194" s="4">
        <f t="shared" si="363"/>
        <v>2</v>
      </c>
      <c r="H4194" s="4">
        <f t="shared" si="364"/>
        <v>2024</v>
      </c>
      <c r="I4194" s="2" t="s">
        <v>4</v>
      </c>
      <c r="J4194" s="2" t="s">
        <v>5000</v>
      </c>
      <c r="K4194" s="2" t="s">
        <v>307</v>
      </c>
      <c r="L4194" s="2" t="s">
        <v>308</v>
      </c>
      <c r="M4194" s="2" t="s">
        <v>119</v>
      </c>
      <c r="N4194" s="4" t="str">
        <f t="shared" si="365"/>
        <v>TON</v>
      </c>
      <c r="O4194" s="5">
        <v>3.5074999999999998</v>
      </c>
    </row>
    <row r="4195" spans="2:15" x14ac:dyDescent="0.25">
      <c r="B4195" s="1" t="s">
        <v>1520</v>
      </c>
      <c r="C4195" s="2" t="s">
        <v>196</v>
      </c>
      <c r="D4195" s="2" t="s">
        <v>215</v>
      </c>
      <c r="E4195" s="2" t="s">
        <v>4113</v>
      </c>
      <c r="F4195" s="3">
        <f t="shared" si="366"/>
        <v>45338</v>
      </c>
      <c r="G4195" s="4">
        <f t="shared" si="363"/>
        <v>2</v>
      </c>
      <c r="H4195" s="4">
        <f t="shared" si="364"/>
        <v>2024</v>
      </c>
      <c r="I4195" s="2" t="s">
        <v>4</v>
      </c>
      <c r="J4195" s="2" t="s">
        <v>5001</v>
      </c>
      <c r="K4195" s="2" t="s">
        <v>447</v>
      </c>
      <c r="L4195" s="2" t="s">
        <v>448</v>
      </c>
      <c r="M4195" s="2" t="s">
        <v>119</v>
      </c>
      <c r="N4195" s="4" t="str">
        <f t="shared" si="365"/>
        <v>TON</v>
      </c>
      <c r="O4195" s="5">
        <v>10.02</v>
      </c>
    </row>
    <row r="4196" spans="2:15" x14ac:dyDescent="0.25">
      <c r="B4196" s="1" t="s">
        <v>1520</v>
      </c>
      <c r="C4196" s="2" t="s">
        <v>196</v>
      </c>
      <c r="D4196" s="2" t="s">
        <v>331</v>
      </c>
      <c r="E4196" s="2" t="s">
        <v>332</v>
      </c>
      <c r="F4196" s="3">
        <f t="shared" si="366"/>
        <v>45338</v>
      </c>
      <c r="G4196" s="4">
        <f t="shared" si="363"/>
        <v>2</v>
      </c>
      <c r="H4196" s="4">
        <f t="shared" si="364"/>
        <v>2024</v>
      </c>
      <c r="I4196" s="2" t="s">
        <v>4</v>
      </c>
      <c r="J4196" s="2" t="s">
        <v>5002</v>
      </c>
      <c r="K4196" s="2" t="s">
        <v>122</v>
      </c>
      <c r="L4196" s="2" t="s">
        <v>123</v>
      </c>
      <c r="M4196" s="2" t="s">
        <v>119</v>
      </c>
      <c r="N4196" s="4" t="str">
        <f t="shared" si="365"/>
        <v>TON</v>
      </c>
      <c r="O4196" s="5">
        <v>9.9975000000000005</v>
      </c>
    </row>
    <row r="4197" spans="2:15" x14ac:dyDescent="0.25">
      <c r="B4197" s="1" t="s">
        <v>1520</v>
      </c>
      <c r="C4197" s="2" t="s">
        <v>196</v>
      </c>
      <c r="D4197" s="2" t="s">
        <v>4013</v>
      </c>
      <c r="E4197" s="2" t="s">
        <v>102</v>
      </c>
      <c r="F4197" s="3">
        <f t="shared" si="366"/>
        <v>45338</v>
      </c>
      <c r="G4197" s="4">
        <f t="shared" si="363"/>
        <v>2</v>
      </c>
      <c r="H4197" s="4">
        <f t="shared" si="364"/>
        <v>2024</v>
      </c>
      <c r="I4197" s="2" t="s">
        <v>4</v>
      </c>
      <c r="J4197" s="2" t="s">
        <v>5003</v>
      </c>
      <c r="K4197" s="2" t="s">
        <v>531</v>
      </c>
      <c r="L4197" s="2" t="s">
        <v>201</v>
      </c>
      <c r="M4197" s="2" t="s">
        <v>202</v>
      </c>
      <c r="N4197" s="4" t="str">
        <f t="shared" si="365"/>
        <v>GAL</v>
      </c>
      <c r="O4197" s="5">
        <v>30</v>
      </c>
    </row>
    <row r="4198" spans="2:15" x14ac:dyDescent="0.25">
      <c r="B4198" s="1" t="s">
        <v>1520</v>
      </c>
      <c r="C4198" s="2" t="s">
        <v>196</v>
      </c>
      <c r="D4198" s="2" t="s">
        <v>273</v>
      </c>
      <c r="E4198" s="2" t="s">
        <v>2295</v>
      </c>
      <c r="F4198" s="3">
        <f t="shared" si="366"/>
        <v>45338</v>
      </c>
      <c r="G4198" s="4">
        <f t="shared" si="363"/>
        <v>2</v>
      </c>
      <c r="H4198" s="4">
        <f t="shared" si="364"/>
        <v>2024</v>
      </c>
      <c r="I4198" s="2" t="s">
        <v>4</v>
      </c>
      <c r="J4198" s="2" t="s">
        <v>5004</v>
      </c>
      <c r="K4198" s="2" t="s">
        <v>384</v>
      </c>
      <c r="L4198" s="2" t="s">
        <v>385</v>
      </c>
      <c r="M4198" s="2" t="s">
        <v>119</v>
      </c>
      <c r="N4198" s="4" t="str">
        <f t="shared" si="365"/>
        <v>TON</v>
      </c>
      <c r="O4198" s="5">
        <v>5.0025000000000004</v>
      </c>
    </row>
    <row r="4199" spans="2:15" x14ac:dyDescent="0.25">
      <c r="B4199" s="1" t="s">
        <v>1520</v>
      </c>
      <c r="C4199" s="2" t="s">
        <v>196</v>
      </c>
      <c r="D4199" s="2" t="s">
        <v>317</v>
      </c>
      <c r="E4199" s="2" t="s">
        <v>677</v>
      </c>
      <c r="F4199" s="3">
        <f t="shared" si="366"/>
        <v>45338</v>
      </c>
      <c r="G4199" s="4">
        <f t="shared" si="363"/>
        <v>2</v>
      </c>
      <c r="H4199" s="4">
        <f t="shared" si="364"/>
        <v>2024</v>
      </c>
      <c r="I4199" s="2" t="s">
        <v>4</v>
      </c>
      <c r="J4199" s="2" t="s">
        <v>5005</v>
      </c>
      <c r="K4199" s="2" t="s">
        <v>117</v>
      </c>
      <c r="L4199" s="2" t="s">
        <v>118</v>
      </c>
      <c r="M4199" s="2" t="s">
        <v>119</v>
      </c>
      <c r="N4199" s="4" t="str">
        <f t="shared" si="365"/>
        <v>TON</v>
      </c>
      <c r="O4199" s="5">
        <v>15.0025</v>
      </c>
    </row>
    <row r="4200" spans="2:15" x14ac:dyDescent="0.25">
      <c r="B4200" s="1" t="s">
        <v>1520</v>
      </c>
      <c r="C4200" s="2" t="s">
        <v>196</v>
      </c>
      <c r="D4200" s="2" t="s">
        <v>679</v>
      </c>
      <c r="E4200" s="2" t="s">
        <v>359</v>
      </c>
      <c r="F4200" s="3">
        <f t="shared" si="366"/>
        <v>45338</v>
      </c>
      <c r="G4200" s="4">
        <f t="shared" si="363"/>
        <v>2</v>
      </c>
      <c r="H4200" s="4">
        <f t="shared" si="364"/>
        <v>2024</v>
      </c>
      <c r="I4200" s="2" t="s">
        <v>4</v>
      </c>
      <c r="J4200" s="2" t="s">
        <v>5006</v>
      </c>
      <c r="K4200" s="2" t="s">
        <v>329</v>
      </c>
      <c r="L4200" s="2" t="s">
        <v>330</v>
      </c>
      <c r="M4200" s="2" t="s">
        <v>119</v>
      </c>
      <c r="N4200" s="4" t="str">
        <f t="shared" si="365"/>
        <v>TON</v>
      </c>
      <c r="O4200" s="5">
        <v>2.0049999999999999</v>
      </c>
    </row>
    <row r="4201" spans="2:15" x14ac:dyDescent="0.25">
      <c r="B4201" s="1" t="s">
        <v>1520</v>
      </c>
      <c r="C4201" s="2" t="s">
        <v>196</v>
      </c>
      <c r="D4201" s="2" t="s">
        <v>679</v>
      </c>
      <c r="E4201" s="2" t="s">
        <v>359</v>
      </c>
      <c r="F4201" s="3">
        <f t="shared" si="366"/>
        <v>45338</v>
      </c>
      <c r="G4201" s="4">
        <f t="shared" si="363"/>
        <v>2</v>
      </c>
      <c r="H4201" s="4">
        <f t="shared" si="364"/>
        <v>2024</v>
      </c>
      <c r="I4201" s="2" t="s">
        <v>4</v>
      </c>
      <c r="J4201" s="2" t="s">
        <v>5006</v>
      </c>
      <c r="K4201" s="2" t="s">
        <v>3726</v>
      </c>
      <c r="L4201" s="2" t="s">
        <v>3727</v>
      </c>
      <c r="M4201" s="2" t="s">
        <v>145</v>
      </c>
      <c r="N4201" s="4" t="str">
        <f t="shared" si="365"/>
        <v>GAL</v>
      </c>
      <c r="O4201" s="5">
        <v>0.75</v>
      </c>
    </row>
    <row r="4202" spans="2:15" x14ac:dyDescent="0.25">
      <c r="B4202" s="1" t="s">
        <v>1520</v>
      </c>
      <c r="C4202" s="2" t="s">
        <v>196</v>
      </c>
      <c r="D4202" s="2" t="s">
        <v>299</v>
      </c>
      <c r="E4202" s="2" t="s">
        <v>300</v>
      </c>
      <c r="F4202" s="3">
        <f t="shared" si="366"/>
        <v>45338</v>
      </c>
      <c r="G4202" s="4">
        <f t="shared" si="363"/>
        <v>2</v>
      </c>
      <c r="H4202" s="4">
        <f t="shared" si="364"/>
        <v>2024</v>
      </c>
      <c r="I4202" s="2" t="s">
        <v>4</v>
      </c>
      <c r="J4202" s="2" t="s">
        <v>5007</v>
      </c>
      <c r="K4202" s="2" t="s">
        <v>117</v>
      </c>
      <c r="L4202" s="2" t="s">
        <v>118</v>
      </c>
      <c r="M4202" s="2" t="s">
        <v>119</v>
      </c>
      <c r="N4202" s="4" t="str">
        <f t="shared" si="365"/>
        <v>TON</v>
      </c>
      <c r="O4202" s="5">
        <v>14</v>
      </c>
    </row>
    <row r="4203" spans="2:15" x14ac:dyDescent="0.25">
      <c r="B4203" s="1" t="s">
        <v>1520</v>
      </c>
      <c r="C4203" s="2" t="s">
        <v>196</v>
      </c>
      <c r="D4203" s="2" t="s">
        <v>299</v>
      </c>
      <c r="E4203" s="2" t="s">
        <v>689</v>
      </c>
      <c r="F4203" s="3">
        <f t="shared" si="366"/>
        <v>45338</v>
      </c>
      <c r="G4203" s="4">
        <f t="shared" si="363"/>
        <v>2</v>
      </c>
      <c r="H4203" s="4">
        <f t="shared" si="364"/>
        <v>2024</v>
      </c>
      <c r="I4203" s="2" t="s">
        <v>4</v>
      </c>
      <c r="J4203" s="2" t="s">
        <v>5008</v>
      </c>
      <c r="K4203" s="2" t="s">
        <v>117</v>
      </c>
      <c r="L4203" s="2" t="s">
        <v>118</v>
      </c>
      <c r="M4203" s="2" t="s">
        <v>119</v>
      </c>
      <c r="N4203" s="4" t="str">
        <f t="shared" si="365"/>
        <v>TON</v>
      </c>
      <c r="O4203" s="5">
        <v>2.5</v>
      </c>
    </row>
    <row r="4204" spans="2:15" x14ac:dyDescent="0.25">
      <c r="B4204" s="1" t="s">
        <v>1520</v>
      </c>
      <c r="C4204" s="2" t="s">
        <v>196</v>
      </c>
      <c r="D4204" s="2" t="s">
        <v>458</v>
      </c>
      <c r="E4204" s="2" t="s">
        <v>459</v>
      </c>
      <c r="F4204" s="3">
        <f t="shared" si="366"/>
        <v>45338</v>
      </c>
      <c r="G4204" s="4">
        <f t="shared" si="363"/>
        <v>2</v>
      </c>
      <c r="H4204" s="4">
        <f t="shared" si="364"/>
        <v>2024</v>
      </c>
      <c r="I4204" s="2" t="s">
        <v>4</v>
      </c>
      <c r="J4204" s="2" t="s">
        <v>5009</v>
      </c>
      <c r="K4204" s="2" t="s">
        <v>122</v>
      </c>
      <c r="L4204" s="2" t="s">
        <v>123</v>
      </c>
      <c r="M4204" s="2" t="s">
        <v>119</v>
      </c>
      <c r="N4204" s="4" t="str">
        <f t="shared" si="365"/>
        <v>TON</v>
      </c>
      <c r="O4204" s="5">
        <v>7.5125000000000002</v>
      </c>
    </row>
    <row r="4205" spans="2:15" x14ac:dyDescent="0.25">
      <c r="B4205" s="1" t="s">
        <v>1520</v>
      </c>
      <c r="C4205" s="2" t="s">
        <v>196</v>
      </c>
      <c r="D4205" s="2" t="s">
        <v>299</v>
      </c>
      <c r="E4205" s="2" t="s">
        <v>713</v>
      </c>
      <c r="F4205" s="3">
        <f t="shared" si="366"/>
        <v>45338</v>
      </c>
      <c r="G4205" s="4">
        <f t="shared" si="363"/>
        <v>2</v>
      </c>
      <c r="H4205" s="4">
        <f t="shared" si="364"/>
        <v>2024</v>
      </c>
      <c r="I4205" s="2" t="s">
        <v>4</v>
      </c>
      <c r="J4205" s="2" t="s">
        <v>5010</v>
      </c>
      <c r="K4205" s="2" t="s">
        <v>117</v>
      </c>
      <c r="L4205" s="2" t="s">
        <v>118</v>
      </c>
      <c r="M4205" s="2" t="s">
        <v>119</v>
      </c>
      <c r="N4205" s="4" t="str">
        <f t="shared" si="365"/>
        <v>TON</v>
      </c>
      <c r="O4205" s="5">
        <v>15.0075</v>
      </c>
    </row>
    <row r="4206" spans="2:15" x14ac:dyDescent="0.25">
      <c r="B4206" s="1" t="s">
        <v>1520</v>
      </c>
      <c r="C4206" s="2" t="s">
        <v>196</v>
      </c>
      <c r="D4206" s="2" t="s">
        <v>458</v>
      </c>
      <c r="E4206" s="2" t="s">
        <v>2868</v>
      </c>
      <c r="F4206" s="3">
        <f t="shared" ref="F4206:F4214" si="367">DATE(2024,2,19)</f>
        <v>45341</v>
      </c>
      <c r="G4206" s="4">
        <f t="shared" si="363"/>
        <v>2</v>
      </c>
      <c r="H4206" s="4">
        <f t="shared" si="364"/>
        <v>2024</v>
      </c>
      <c r="I4206" s="2" t="s">
        <v>4</v>
      </c>
      <c r="J4206" s="2" t="s">
        <v>5011</v>
      </c>
      <c r="K4206" s="2" t="s">
        <v>122</v>
      </c>
      <c r="L4206" s="2" t="s">
        <v>123</v>
      </c>
      <c r="M4206" s="2" t="s">
        <v>119</v>
      </c>
      <c r="N4206" s="4" t="str">
        <f t="shared" si="365"/>
        <v>TON</v>
      </c>
      <c r="O4206" s="5">
        <v>5.01</v>
      </c>
    </row>
    <row r="4207" spans="2:15" x14ac:dyDescent="0.25">
      <c r="B4207" s="1" t="s">
        <v>1520</v>
      </c>
      <c r="C4207" s="2" t="s">
        <v>196</v>
      </c>
      <c r="D4207" s="2" t="s">
        <v>276</v>
      </c>
      <c r="E4207" s="2" t="s">
        <v>692</v>
      </c>
      <c r="F4207" s="3">
        <f t="shared" si="367"/>
        <v>45341</v>
      </c>
      <c r="G4207" s="4">
        <f t="shared" si="363"/>
        <v>2</v>
      </c>
      <c r="H4207" s="4">
        <f t="shared" si="364"/>
        <v>2024</v>
      </c>
      <c r="I4207" s="2" t="s">
        <v>4</v>
      </c>
      <c r="J4207" s="2" t="s">
        <v>5012</v>
      </c>
      <c r="K4207" s="2" t="s">
        <v>329</v>
      </c>
      <c r="L4207" s="2" t="s">
        <v>330</v>
      </c>
      <c r="M4207" s="2" t="s">
        <v>119</v>
      </c>
      <c r="N4207" s="4" t="str">
        <f t="shared" si="365"/>
        <v>TON</v>
      </c>
      <c r="O4207" s="5">
        <v>10</v>
      </c>
    </row>
    <row r="4208" spans="2:15" x14ac:dyDescent="0.25">
      <c r="B4208" s="1" t="s">
        <v>1520</v>
      </c>
      <c r="C4208" s="2" t="s">
        <v>196</v>
      </c>
      <c r="D4208" s="2" t="s">
        <v>276</v>
      </c>
      <c r="E4208" s="2" t="s">
        <v>692</v>
      </c>
      <c r="F4208" s="3">
        <f t="shared" si="367"/>
        <v>45341</v>
      </c>
      <c r="G4208" s="4">
        <f t="shared" si="363"/>
        <v>2</v>
      </c>
      <c r="H4208" s="4">
        <f t="shared" si="364"/>
        <v>2024</v>
      </c>
      <c r="I4208" s="2" t="s">
        <v>4</v>
      </c>
      <c r="J4208" s="2" t="s">
        <v>5012</v>
      </c>
      <c r="K4208" s="2" t="s">
        <v>3726</v>
      </c>
      <c r="L4208" s="2" t="s">
        <v>3727</v>
      </c>
      <c r="M4208" s="2" t="s">
        <v>145</v>
      </c>
      <c r="N4208" s="4" t="str">
        <f t="shared" si="365"/>
        <v>GAL</v>
      </c>
      <c r="O4208" s="5">
        <v>3.75</v>
      </c>
    </row>
    <row r="4209" spans="2:15" x14ac:dyDescent="0.25">
      <c r="B4209" s="1" t="s">
        <v>1520</v>
      </c>
      <c r="C4209" s="2" t="s">
        <v>196</v>
      </c>
      <c r="D4209" s="2" t="s">
        <v>241</v>
      </c>
      <c r="E4209" s="2" t="s">
        <v>242</v>
      </c>
      <c r="F4209" s="3">
        <f t="shared" si="367"/>
        <v>45341</v>
      </c>
      <c r="G4209" s="4">
        <f t="shared" si="363"/>
        <v>2</v>
      </c>
      <c r="H4209" s="4">
        <f t="shared" si="364"/>
        <v>2024</v>
      </c>
      <c r="I4209" s="2" t="s">
        <v>4</v>
      </c>
      <c r="J4209" s="2" t="s">
        <v>5013</v>
      </c>
      <c r="K4209" s="2" t="s">
        <v>200</v>
      </c>
      <c r="L4209" s="2" t="s">
        <v>201</v>
      </c>
      <c r="M4209" s="2" t="s">
        <v>202</v>
      </c>
      <c r="N4209" s="4" t="str">
        <f t="shared" si="365"/>
        <v>GAL</v>
      </c>
      <c r="O4209" s="5">
        <v>10</v>
      </c>
    </row>
    <row r="4210" spans="2:15" x14ac:dyDescent="0.25">
      <c r="B4210" s="1" t="s">
        <v>1520</v>
      </c>
      <c r="C4210" s="2" t="s">
        <v>196</v>
      </c>
      <c r="D4210" s="2" t="s">
        <v>2002</v>
      </c>
      <c r="E4210" s="2" t="s">
        <v>102</v>
      </c>
      <c r="F4210" s="3">
        <f t="shared" si="367"/>
        <v>45341</v>
      </c>
      <c r="G4210" s="4">
        <f t="shared" si="363"/>
        <v>2</v>
      </c>
      <c r="H4210" s="4">
        <f t="shared" si="364"/>
        <v>2024</v>
      </c>
      <c r="I4210" s="2" t="s">
        <v>4</v>
      </c>
      <c r="J4210" s="2" t="s">
        <v>5014</v>
      </c>
      <c r="K4210" s="2" t="s">
        <v>4675</v>
      </c>
      <c r="L4210" s="2" t="s">
        <v>1703</v>
      </c>
      <c r="M4210" s="2" t="s">
        <v>1071</v>
      </c>
      <c r="N4210" s="4" t="str">
        <f t="shared" si="365"/>
        <v>GAL</v>
      </c>
      <c r="O4210" s="5">
        <v>45</v>
      </c>
    </row>
    <row r="4211" spans="2:15" x14ac:dyDescent="0.25">
      <c r="B4211" s="1" t="s">
        <v>1520</v>
      </c>
      <c r="C4211" s="2" t="s">
        <v>196</v>
      </c>
      <c r="D4211" s="2" t="s">
        <v>280</v>
      </c>
      <c r="E4211" s="2" t="s">
        <v>254</v>
      </c>
      <c r="F4211" s="3">
        <f t="shared" si="367"/>
        <v>45341</v>
      </c>
      <c r="G4211" s="4">
        <f t="shared" si="363"/>
        <v>2</v>
      </c>
      <c r="H4211" s="4">
        <f t="shared" si="364"/>
        <v>2024</v>
      </c>
      <c r="I4211" s="2" t="s">
        <v>4</v>
      </c>
      <c r="J4211" s="2" t="s">
        <v>5015</v>
      </c>
      <c r="K4211" s="2" t="s">
        <v>117</v>
      </c>
      <c r="L4211" s="2" t="s">
        <v>118</v>
      </c>
      <c r="M4211" s="2" t="s">
        <v>119</v>
      </c>
      <c r="N4211" s="4" t="str">
        <f t="shared" si="365"/>
        <v>TON</v>
      </c>
      <c r="O4211" s="5">
        <v>9.9949999999999992</v>
      </c>
    </row>
    <row r="4212" spans="2:15" x14ac:dyDescent="0.25">
      <c r="B4212" s="1" t="s">
        <v>1520</v>
      </c>
      <c r="C4212" s="2" t="s">
        <v>196</v>
      </c>
      <c r="D4212" s="2" t="s">
        <v>280</v>
      </c>
      <c r="E4212" s="2" t="s">
        <v>254</v>
      </c>
      <c r="F4212" s="3">
        <f t="shared" si="367"/>
        <v>45341</v>
      </c>
      <c r="G4212" s="4">
        <f t="shared" si="363"/>
        <v>2</v>
      </c>
      <c r="H4212" s="4">
        <f t="shared" si="364"/>
        <v>2024</v>
      </c>
      <c r="I4212" s="2" t="s">
        <v>4</v>
      </c>
      <c r="J4212" s="2" t="s">
        <v>5016</v>
      </c>
      <c r="K4212" s="2" t="s">
        <v>117</v>
      </c>
      <c r="L4212" s="2" t="s">
        <v>118</v>
      </c>
      <c r="M4212" s="2" t="s">
        <v>119</v>
      </c>
      <c r="N4212" s="4" t="str">
        <f t="shared" si="365"/>
        <v>TON</v>
      </c>
      <c r="O4212" s="5">
        <v>4.9924999999999997</v>
      </c>
    </row>
    <row r="4213" spans="2:15" x14ac:dyDescent="0.25">
      <c r="B4213" s="1" t="s">
        <v>1520</v>
      </c>
      <c r="C4213" s="2" t="s">
        <v>196</v>
      </c>
      <c r="D4213" s="2" t="s">
        <v>207</v>
      </c>
      <c r="E4213" s="2" t="s">
        <v>208</v>
      </c>
      <c r="F4213" s="3">
        <f t="shared" si="367"/>
        <v>45341</v>
      </c>
      <c r="G4213" s="4">
        <f t="shared" si="363"/>
        <v>2</v>
      </c>
      <c r="H4213" s="4">
        <f t="shared" si="364"/>
        <v>2024</v>
      </c>
      <c r="I4213" s="2" t="s">
        <v>4</v>
      </c>
      <c r="J4213" s="2" t="s">
        <v>5017</v>
      </c>
      <c r="K4213" s="2" t="s">
        <v>236</v>
      </c>
      <c r="L4213" s="2" t="s">
        <v>237</v>
      </c>
      <c r="M4213" s="2" t="s">
        <v>119</v>
      </c>
      <c r="N4213" s="4" t="str">
        <f t="shared" si="365"/>
        <v>TON</v>
      </c>
      <c r="O4213" s="5">
        <v>7.0049999999999999</v>
      </c>
    </row>
    <row r="4214" spans="2:15" x14ac:dyDescent="0.25">
      <c r="B4214" s="1" t="s">
        <v>1520</v>
      </c>
      <c r="C4214" s="2" t="s">
        <v>196</v>
      </c>
      <c r="D4214" s="2" t="s">
        <v>207</v>
      </c>
      <c r="E4214" s="2" t="s">
        <v>208</v>
      </c>
      <c r="F4214" s="3">
        <f t="shared" si="367"/>
        <v>45341</v>
      </c>
      <c r="G4214" s="4">
        <f t="shared" si="363"/>
        <v>2</v>
      </c>
      <c r="H4214" s="4">
        <f t="shared" si="364"/>
        <v>2024</v>
      </c>
      <c r="I4214" s="2" t="s">
        <v>4</v>
      </c>
      <c r="J4214" s="2" t="s">
        <v>5018</v>
      </c>
      <c r="K4214" s="2" t="s">
        <v>205</v>
      </c>
      <c r="L4214" s="2" t="s">
        <v>206</v>
      </c>
      <c r="M4214" s="2" t="s">
        <v>119</v>
      </c>
      <c r="N4214" s="4" t="str">
        <f t="shared" si="365"/>
        <v>TON</v>
      </c>
      <c r="O4214" s="5">
        <v>2.4975000000000001</v>
      </c>
    </row>
    <row r="4215" spans="2:15" x14ac:dyDescent="0.25">
      <c r="B4215" s="1" t="s">
        <v>1520</v>
      </c>
      <c r="C4215" s="2" t="s">
        <v>196</v>
      </c>
      <c r="D4215" s="2" t="s">
        <v>1706</v>
      </c>
      <c r="E4215" s="2" t="s">
        <v>5019</v>
      </c>
      <c r="F4215" s="3">
        <f>DATE(2024,2,20)</f>
        <v>45342</v>
      </c>
      <c r="G4215" s="4">
        <f t="shared" si="363"/>
        <v>2</v>
      </c>
      <c r="H4215" s="4">
        <f t="shared" si="364"/>
        <v>2024</v>
      </c>
      <c r="I4215" s="2" t="s">
        <v>4</v>
      </c>
      <c r="J4215" s="2" t="s">
        <v>5020</v>
      </c>
      <c r="K4215" s="2" t="s">
        <v>205</v>
      </c>
      <c r="L4215" s="2" t="s">
        <v>206</v>
      </c>
      <c r="M4215" s="2" t="s">
        <v>119</v>
      </c>
      <c r="N4215" s="4" t="str">
        <f t="shared" si="365"/>
        <v>TON</v>
      </c>
      <c r="O4215" s="5">
        <v>1.25</v>
      </c>
    </row>
    <row r="4216" spans="2:15" x14ac:dyDescent="0.25">
      <c r="B4216" s="1" t="s">
        <v>1520</v>
      </c>
      <c r="C4216" s="2" t="s">
        <v>196</v>
      </c>
      <c r="D4216" s="2" t="s">
        <v>452</v>
      </c>
      <c r="E4216" s="2" t="s">
        <v>453</v>
      </c>
      <c r="F4216" s="3">
        <f>DATE(2024,2,20)</f>
        <v>45342</v>
      </c>
      <c r="G4216" s="4">
        <f t="shared" si="363"/>
        <v>2</v>
      </c>
      <c r="H4216" s="4">
        <f t="shared" si="364"/>
        <v>2024</v>
      </c>
      <c r="I4216" s="2" t="s">
        <v>4</v>
      </c>
      <c r="J4216" s="2" t="s">
        <v>5021</v>
      </c>
      <c r="K4216" s="2" t="s">
        <v>117</v>
      </c>
      <c r="L4216" s="2" t="s">
        <v>118</v>
      </c>
      <c r="M4216" s="2" t="s">
        <v>119</v>
      </c>
      <c r="N4216" s="4" t="str">
        <f t="shared" si="365"/>
        <v>TON</v>
      </c>
      <c r="O4216" s="5">
        <v>8.51</v>
      </c>
    </row>
    <row r="4217" spans="2:15" x14ac:dyDescent="0.25">
      <c r="B4217" s="1" t="s">
        <v>1520</v>
      </c>
      <c r="C4217" s="2" t="s">
        <v>196</v>
      </c>
      <c r="D4217" s="2" t="s">
        <v>721</v>
      </c>
      <c r="E4217" s="2" t="s">
        <v>721</v>
      </c>
      <c r="F4217" s="3">
        <f>DATE(2024,2,20)</f>
        <v>45342</v>
      </c>
      <c r="G4217" s="4">
        <f t="shared" si="363"/>
        <v>2</v>
      </c>
      <c r="H4217" s="4">
        <f t="shared" si="364"/>
        <v>2024</v>
      </c>
      <c r="I4217" s="2" t="s">
        <v>4</v>
      </c>
      <c r="J4217" s="2" t="s">
        <v>5022</v>
      </c>
      <c r="K4217" s="2" t="s">
        <v>531</v>
      </c>
      <c r="L4217" s="2" t="s">
        <v>201</v>
      </c>
      <c r="M4217" s="2" t="s">
        <v>202</v>
      </c>
      <c r="N4217" s="4" t="str">
        <f t="shared" si="365"/>
        <v>GAL</v>
      </c>
      <c r="O4217" s="5">
        <v>60</v>
      </c>
    </row>
    <row r="4218" spans="2:15" x14ac:dyDescent="0.25">
      <c r="B4218" s="1" t="s">
        <v>1520</v>
      </c>
      <c r="C4218" s="2" t="s">
        <v>196</v>
      </c>
      <c r="D4218" s="2" t="s">
        <v>114</v>
      </c>
      <c r="E4218" s="2" t="s">
        <v>336</v>
      </c>
      <c r="F4218" s="3">
        <f>DATE(2024,2,20)</f>
        <v>45342</v>
      </c>
      <c r="G4218" s="4">
        <f t="shared" si="363"/>
        <v>2</v>
      </c>
      <c r="H4218" s="4">
        <f t="shared" si="364"/>
        <v>2024</v>
      </c>
      <c r="I4218" s="2" t="s">
        <v>4</v>
      </c>
      <c r="J4218" s="2" t="s">
        <v>5023</v>
      </c>
      <c r="K4218" s="2" t="s">
        <v>117</v>
      </c>
      <c r="L4218" s="2" t="s">
        <v>118</v>
      </c>
      <c r="M4218" s="2" t="s">
        <v>119</v>
      </c>
      <c r="N4218" s="4" t="str">
        <f t="shared" si="365"/>
        <v>TON</v>
      </c>
      <c r="O4218" s="5">
        <v>15.005000000000001</v>
      </c>
    </row>
    <row r="4219" spans="2:15" x14ac:dyDescent="0.25">
      <c r="B4219" s="1" t="s">
        <v>1520</v>
      </c>
      <c r="C4219" s="2" t="s">
        <v>196</v>
      </c>
      <c r="D4219" s="2" t="s">
        <v>114</v>
      </c>
      <c r="E4219" s="2" t="s">
        <v>927</v>
      </c>
      <c r="F4219" s="3">
        <f>DATE(2024,2,20)</f>
        <v>45342</v>
      </c>
      <c r="G4219" s="4">
        <f t="shared" si="363"/>
        <v>2</v>
      </c>
      <c r="H4219" s="4">
        <f t="shared" si="364"/>
        <v>2024</v>
      </c>
      <c r="I4219" s="2" t="s">
        <v>4</v>
      </c>
      <c r="J4219" s="2" t="s">
        <v>5024</v>
      </c>
      <c r="K4219" s="2" t="s">
        <v>117</v>
      </c>
      <c r="L4219" s="2" t="s">
        <v>118</v>
      </c>
      <c r="M4219" s="2" t="s">
        <v>119</v>
      </c>
      <c r="N4219" s="4" t="str">
        <f t="shared" si="365"/>
        <v>TON</v>
      </c>
      <c r="O4219" s="5">
        <v>7.0025000000000004</v>
      </c>
    </row>
    <row r="4220" spans="2:15" x14ac:dyDescent="0.25">
      <c r="B4220" s="1" t="s">
        <v>1520</v>
      </c>
      <c r="C4220" s="2" t="s">
        <v>196</v>
      </c>
      <c r="D4220" s="2" t="s">
        <v>248</v>
      </c>
      <c r="E4220" s="2" t="s">
        <v>3610</v>
      </c>
      <c r="F4220" s="3">
        <f>DATE(2024,2,21)</f>
        <v>45343</v>
      </c>
      <c r="G4220" s="4">
        <f t="shared" si="363"/>
        <v>2</v>
      </c>
      <c r="H4220" s="4">
        <f t="shared" si="364"/>
        <v>2024</v>
      </c>
      <c r="I4220" s="2" t="s">
        <v>4</v>
      </c>
      <c r="J4220" s="2" t="s">
        <v>5025</v>
      </c>
      <c r="K4220" s="2" t="s">
        <v>4911</v>
      </c>
      <c r="L4220" s="2" t="s">
        <v>4912</v>
      </c>
      <c r="M4220" s="2" t="s">
        <v>119</v>
      </c>
      <c r="N4220" s="4" t="str">
        <f t="shared" si="365"/>
        <v>TON</v>
      </c>
      <c r="O4220" s="5">
        <v>15.0075</v>
      </c>
    </row>
    <row r="4221" spans="2:15" x14ac:dyDescent="0.25">
      <c r="B4221" s="1" t="s">
        <v>1520</v>
      </c>
      <c r="C4221" s="2" t="s">
        <v>196</v>
      </c>
      <c r="D4221" s="2" t="s">
        <v>114</v>
      </c>
      <c r="E4221" s="2" t="s">
        <v>402</v>
      </c>
      <c r="F4221" s="3">
        <f>DATE(2024,2,21)</f>
        <v>45343</v>
      </c>
      <c r="G4221" s="4">
        <f t="shared" si="363"/>
        <v>2</v>
      </c>
      <c r="H4221" s="4">
        <f t="shared" si="364"/>
        <v>2024</v>
      </c>
      <c r="I4221" s="2" t="s">
        <v>4</v>
      </c>
      <c r="J4221" s="2" t="s">
        <v>5026</v>
      </c>
      <c r="K4221" s="2" t="s">
        <v>117</v>
      </c>
      <c r="L4221" s="2" t="s">
        <v>118</v>
      </c>
      <c r="M4221" s="2" t="s">
        <v>119</v>
      </c>
      <c r="N4221" s="4" t="str">
        <f t="shared" si="365"/>
        <v>TON</v>
      </c>
      <c r="O4221" s="5">
        <v>4.4874999999999998</v>
      </c>
    </row>
    <row r="4222" spans="2:15" x14ac:dyDescent="0.25">
      <c r="B4222" s="1" t="s">
        <v>1520</v>
      </c>
      <c r="C4222" s="2" t="s">
        <v>196</v>
      </c>
      <c r="D4222" s="2" t="s">
        <v>276</v>
      </c>
      <c r="E4222" s="2" t="s">
        <v>682</v>
      </c>
      <c r="F4222" s="3">
        <f>DATE(2024,2,21)</f>
        <v>45343</v>
      </c>
      <c r="G4222" s="4">
        <f t="shared" si="363"/>
        <v>2</v>
      </c>
      <c r="H4222" s="4">
        <f t="shared" si="364"/>
        <v>2024</v>
      </c>
      <c r="I4222" s="2" t="s">
        <v>4</v>
      </c>
      <c r="J4222" s="2" t="s">
        <v>5027</v>
      </c>
      <c r="K4222" s="2" t="s">
        <v>329</v>
      </c>
      <c r="L4222" s="2" t="s">
        <v>330</v>
      </c>
      <c r="M4222" s="2" t="s">
        <v>119</v>
      </c>
      <c r="N4222" s="4" t="str">
        <f t="shared" si="365"/>
        <v>TON</v>
      </c>
      <c r="O4222" s="5">
        <v>15.0175</v>
      </c>
    </row>
    <row r="4223" spans="2:15" x14ac:dyDescent="0.25">
      <c r="B4223" s="1" t="s">
        <v>1520</v>
      </c>
      <c r="C4223" s="2" t="s">
        <v>196</v>
      </c>
      <c r="D4223" s="2" t="s">
        <v>280</v>
      </c>
      <c r="E4223" s="2" t="s">
        <v>699</v>
      </c>
      <c r="F4223" s="3">
        <f>DATE(2024,2,22)</f>
        <v>45344</v>
      </c>
      <c r="G4223" s="4">
        <f t="shared" si="363"/>
        <v>2</v>
      </c>
      <c r="H4223" s="4">
        <f t="shared" si="364"/>
        <v>2024</v>
      </c>
      <c r="I4223" s="2" t="s">
        <v>4</v>
      </c>
      <c r="J4223" s="2" t="s">
        <v>5028</v>
      </c>
      <c r="K4223" s="2" t="s">
        <v>117</v>
      </c>
      <c r="L4223" s="2" t="s">
        <v>118</v>
      </c>
      <c r="M4223" s="2" t="s">
        <v>119</v>
      </c>
      <c r="N4223" s="4" t="str">
        <f t="shared" si="365"/>
        <v>TON</v>
      </c>
      <c r="O4223" s="5">
        <v>9.9550000000000001</v>
      </c>
    </row>
    <row r="4224" spans="2:15" x14ac:dyDescent="0.25">
      <c r="B4224" s="1" t="s">
        <v>1520</v>
      </c>
      <c r="C4224" s="2" t="s">
        <v>196</v>
      </c>
      <c r="D4224" s="2" t="s">
        <v>227</v>
      </c>
      <c r="E4224" s="2" t="s">
        <v>757</v>
      </c>
      <c r="F4224" s="3">
        <f>DATE(2024,2,22)</f>
        <v>45344</v>
      </c>
      <c r="G4224" s="4">
        <f t="shared" si="363"/>
        <v>2</v>
      </c>
      <c r="H4224" s="4">
        <f t="shared" si="364"/>
        <v>2024</v>
      </c>
      <c r="I4224" s="2" t="s">
        <v>4</v>
      </c>
      <c r="J4224" s="2" t="s">
        <v>5029</v>
      </c>
      <c r="K4224" s="2" t="s">
        <v>1232</v>
      </c>
      <c r="L4224" s="2" t="s">
        <v>1233</v>
      </c>
      <c r="M4224" s="2" t="s">
        <v>119</v>
      </c>
      <c r="N4224" s="4" t="str">
        <f t="shared" si="365"/>
        <v>TON</v>
      </c>
      <c r="O4224" s="5">
        <v>8.01</v>
      </c>
    </row>
    <row r="4225" spans="2:15" x14ac:dyDescent="0.25">
      <c r="B4225" s="1" t="s">
        <v>1520</v>
      </c>
      <c r="C4225" s="2" t="s">
        <v>196</v>
      </c>
      <c r="D4225" s="2" t="s">
        <v>232</v>
      </c>
      <c r="E4225" s="2" t="s">
        <v>778</v>
      </c>
      <c r="F4225" s="3">
        <f t="shared" ref="F4225:F4236" si="368">DATE(2024,2,23)</f>
        <v>45345</v>
      </c>
      <c r="G4225" s="4">
        <f t="shared" si="363"/>
        <v>2</v>
      </c>
      <c r="H4225" s="4">
        <f t="shared" si="364"/>
        <v>2024</v>
      </c>
      <c r="I4225" s="2" t="s">
        <v>4</v>
      </c>
      <c r="J4225" s="2" t="s">
        <v>5030</v>
      </c>
      <c r="K4225" s="2" t="s">
        <v>822</v>
      </c>
      <c r="L4225" s="2" t="s">
        <v>565</v>
      </c>
      <c r="M4225" s="2" t="s">
        <v>21</v>
      </c>
      <c r="N4225" s="4" t="str">
        <f t="shared" si="365"/>
        <v>GAL</v>
      </c>
      <c r="O4225" s="5">
        <v>250</v>
      </c>
    </row>
    <row r="4226" spans="2:15" x14ac:dyDescent="0.25">
      <c r="B4226" s="1" t="s">
        <v>1520</v>
      </c>
      <c r="C4226" s="2" t="s">
        <v>196</v>
      </c>
      <c r="D4226" s="2" t="s">
        <v>232</v>
      </c>
      <c r="E4226" s="2" t="s">
        <v>778</v>
      </c>
      <c r="F4226" s="3">
        <f t="shared" si="368"/>
        <v>45345</v>
      </c>
      <c r="G4226" s="4">
        <f t="shared" si="363"/>
        <v>2</v>
      </c>
      <c r="H4226" s="4">
        <f t="shared" si="364"/>
        <v>2024</v>
      </c>
      <c r="I4226" s="2" t="s">
        <v>4</v>
      </c>
      <c r="J4226" s="2" t="s">
        <v>5030</v>
      </c>
      <c r="K4226" s="2" t="s">
        <v>823</v>
      </c>
      <c r="L4226" s="2" t="s">
        <v>776</v>
      </c>
      <c r="M4226" s="2" t="s">
        <v>82</v>
      </c>
      <c r="N4226" s="4" t="str">
        <f t="shared" si="365"/>
        <v>GAL</v>
      </c>
      <c r="O4226" s="5">
        <v>250</v>
      </c>
    </row>
    <row r="4227" spans="2:15" x14ac:dyDescent="0.25">
      <c r="B4227" s="1" t="s">
        <v>1520</v>
      </c>
      <c r="C4227" s="2" t="s">
        <v>196</v>
      </c>
      <c r="D4227" s="2" t="s">
        <v>280</v>
      </c>
      <c r="E4227" s="2" t="s">
        <v>462</v>
      </c>
      <c r="F4227" s="3">
        <f t="shared" si="368"/>
        <v>45345</v>
      </c>
      <c r="G4227" s="4">
        <f t="shared" si="363"/>
        <v>2</v>
      </c>
      <c r="H4227" s="4">
        <f t="shared" si="364"/>
        <v>2024</v>
      </c>
      <c r="I4227" s="2" t="s">
        <v>4</v>
      </c>
      <c r="J4227" s="2" t="s">
        <v>5031</v>
      </c>
      <c r="K4227" s="2" t="s">
        <v>117</v>
      </c>
      <c r="L4227" s="2" t="s">
        <v>118</v>
      </c>
      <c r="M4227" s="2" t="s">
        <v>119</v>
      </c>
      <c r="N4227" s="4" t="str">
        <f t="shared" si="365"/>
        <v>TON</v>
      </c>
      <c r="O4227" s="5">
        <v>13.9975</v>
      </c>
    </row>
    <row r="4228" spans="2:15" x14ac:dyDescent="0.25">
      <c r="B4228" s="1" t="s">
        <v>1520</v>
      </c>
      <c r="C4228" s="2" t="s">
        <v>196</v>
      </c>
      <c r="D4228" s="2" t="s">
        <v>248</v>
      </c>
      <c r="E4228" s="2" t="s">
        <v>1620</v>
      </c>
      <c r="F4228" s="3">
        <f t="shared" si="368"/>
        <v>45345</v>
      </c>
      <c r="G4228" s="4">
        <f t="shared" si="363"/>
        <v>2</v>
      </c>
      <c r="H4228" s="4">
        <f t="shared" si="364"/>
        <v>2024</v>
      </c>
      <c r="I4228" s="2" t="s">
        <v>4</v>
      </c>
      <c r="J4228" s="2" t="s">
        <v>5032</v>
      </c>
      <c r="K4228" s="2" t="s">
        <v>205</v>
      </c>
      <c r="L4228" s="2" t="s">
        <v>206</v>
      </c>
      <c r="M4228" s="2" t="s">
        <v>119</v>
      </c>
      <c r="N4228" s="4" t="str">
        <f t="shared" si="365"/>
        <v>TON</v>
      </c>
      <c r="O4228" s="5">
        <v>10</v>
      </c>
    </row>
    <row r="4229" spans="2:15" x14ac:dyDescent="0.25">
      <c r="B4229" s="1" t="s">
        <v>1520</v>
      </c>
      <c r="C4229" s="2" t="s">
        <v>196</v>
      </c>
      <c r="D4229" s="2" t="s">
        <v>672</v>
      </c>
      <c r="E4229" s="2" t="s">
        <v>699</v>
      </c>
      <c r="F4229" s="3">
        <f t="shared" si="368"/>
        <v>45345</v>
      </c>
      <c r="G4229" s="4">
        <f t="shared" si="363"/>
        <v>2</v>
      </c>
      <c r="H4229" s="4">
        <f t="shared" si="364"/>
        <v>2024</v>
      </c>
      <c r="I4229" s="2" t="s">
        <v>4</v>
      </c>
      <c r="J4229" s="2" t="s">
        <v>5033</v>
      </c>
      <c r="K4229" s="2" t="s">
        <v>251</v>
      </c>
      <c r="L4229" s="2" t="s">
        <v>252</v>
      </c>
      <c r="M4229" s="2" t="s">
        <v>119</v>
      </c>
      <c r="N4229" s="4" t="str">
        <f t="shared" si="365"/>
        <v>TON</v>
      </c>
      <c r="O4229" s="5">
        <v>4.0149999999999997</v>
      </c>
    </row>
    <row r="4230" spans="2:15" x14ac:dyDescent="0.25">
      <c r="B4230" s="1" t="s">
        <v>1520</v>
      </c>
      <c r="C4230" s="2" t="s">
        <v>196</v>
      </c>
      <c r="D4230" s="2" t="s">
        <v>280</v>
      </c>
      <c r="E4230" s="2" t="s">
        <v>811</v>
      </c>
      <c r="F4230" s="3">
        <f t="shared" si="368"/>
        <v>45345</v>
      </c>
      <c r="G4230" s="4">
        <f t="shared" si="363"/>
        <v>2</v>
      </c>
      <c r="H4230" s="4">
        <f t="shared" si="364"/>
        <v>2024</v>
      </c>
      <c r="I4230" s="2" t="s">
        <v>4</v>
      </c>
      <c r="J4230" s="2" t="s">
        <v>5034</v>
      </c>
      <c r="K4230" s="2" t="s">
        <v>117</v>
      </c>
      <c r="L4230" s="2" t="s">
        <v>118</v>
      </c>
      <c r="M4230" s="2" t="s">
        <v>119</v>
      </c>
      <c r="N4230" s="4" t="str">
        <f t="shared" si="365"/>
        <v>TON</v>
      </c>
      <c r="O4230" s="5">
        <v>7.4924999999999997</v>
      </c>
    </row>
    <row r="4231" spans="2:15" x14ac:dyDescent="0.25">
      <c r="B4231" s="1" t="s">
        <v>1520</v>
      </c>
      <c r="C4231" s="2" t="s">
        <v>196</v>
      </c>
      <c r="D4231" s="2" t="s">
        <v>387</v>
      </c>
      <c r="E4231" s="2" t="s">
        <v>797</v>
      </c>
      <c r="F4231" s="3">
        <f t="shared" si="368"/>
        <v>45345</v>
      </c>
      <c r="G4231" s="4">
        <f t="shared" si="363"/>
        <v>2</v>
      </c>
      <c r="H4231" s="4">
        <f t="shared" si="364"/>
        <v>2024</v>
      </c>
      <c r="I4231" s="2" t="s">
        <v>4</v>
      </c>
      <c r="J4231" s="2" t="s">
        <v>5035</v>
      </c>
      <c r="K4231" s="2" t="s">
        <v>390</v>
      </c>
      <c r="L4231" s="2" t="s">
        <v>391</v>
      </c>
      <c r="M4231" s="2" t="s">
        <v>119</v>
      </c>
      <c r="N4231" s="4" t="str">
        <f t="shared" si="365"/>
        <v>TON</v>
      </c>
      <c r="O4231" s="5">
        <v>10.01</v>
      </c>
    </row>
    <row r="4232" spans="2:15" x14ac:dyDescent="0.25">
      <c r="B4232" s="1" t="s">
        <v>645</v>
      </c>
      <c r="C4232" s="2" t="s">
        <v>196</v>
      </c>
      <c r="D4232" s="2" t="s">
        <v>790</v>
      </c>
      <c r="E4232" s="2" t="s">
        <v>1205</v>
      </c>
      <c r="F4232" s="3">
        <f t="shared" si="368"/>
        <v>45345</v>
      </c>
      <c r="G4232" s="4">
        <f t="shared" si="363"/>
        <v>2</v>
      </c>
      <c r="H4232" s="4">
        <f t="shared" si="364"/>
        <v>2024</v>
      </c>
      <c r="I4232" s="2" t="s">
        <v>4</v>
      </c>
      <c r="J4232" s="2" t="s">
        <v>5036</v>
      </c>
      <c r="K4232" s="2" t="s">
        <v>117</v>
      </c>
      <c r="L4232" s="2" t="s">
        <v>118</v>
      </c>
      <c r="M4232" s="2" t="s">
        <v>119</v>
      </c>
      <c r="N4232" s="4" t="str">
        <f t="shared" si="365"/>
        <v>TON</v>
      </c>
      <c r="O4232" s="5">
        <v>2.4950000000000001</v>
      </c>
    </row>
    <row r="4233" spans="2:15" x14ac:dyDescent="0.25">
      <c r="B4233" s="1" t="s">
        <v>1520</v>
      </c>
      <c r="C4233" s="2" t="s">
        <v>196</v>
      </c>
      <c r="D4233" s="2" t="s">
        <v>303</v>
      </c>
      <c r="E4233" s="2" t="s">
        <v>501</v>
      </c>
      <c r="F4233" s="3">
        <f t="shared" si="368"/>
        <v>45345</v>
      </c>
      <c r="G4233" s="4">
        <f t="shared" si="363"/>
        <v>2</v>
      </c>
      <c r="H4233" s="4">
        <f t="shared" si="364"/>
        <v>2024</v>
      </c>
      <c r="I4233" s="2" t="s">
        <v>4</v>
      </c>
      <c r="J4233" s="2" t="s">
        <v>5037</v>
      </c>
      <c r="K4233" s="2" t="s">
        <v>394</v>
      </c>
      <c r="L4233" s="2" t="s">
        <v>395</v>
      </c>
      <c r="M4233" s="2" t="s">
        <v>119</v>
      </c>
      <c r="N4233" s="4" t="str">
        <f t="shared" si="365"/>
        <v>TON</v>
      </c>
      <c r="O4233" s="5">
        <v>4.9775</v>
      </c>
    </row>
    <row r="4234" spans="2:15" x14ac:dyDescent="0.25">
      <c r="B4234" s="1" t="s">
        <v>1520</v>
      </c>
      <c r="C4234" s="2" t="s">
        <v>196</v>
      </c>
      <c r="D4234" s="2" t="s">
        <v>224</v>
      </c>
      <c r="E4234" s="2" t="s">
        <v>361</v>
      </c>
      <c r="F4234" s="3">
        <f t="shared" si="368"/>
        <v>45345</v>
      </c>
      <c r="G4234" s="4">
        <f t="shared" si="363"/>
        <v>2</v>
      </c>
      <c r="H4234" s="4">
        <f t="shared" si="364"/>
        <v>2024</v>
      </c>
      <c r="I4234" s="2" t="s">
        <v>4</v>
      </c>
      <c r="J4234" s="2" t="s">
        <v>5038</v>
      </c>
      <c r="K4234" s="2" t="s">
        <v>329</v>
      </c>
      <c r="L4234" s="2" t="s">
        <v>330</v>
      </c>
      <c r="M4234" s="2" t="s">
        <v>119</v>
      </c>
      <c r="N4234" s="4" t="str">
        <f t="shared" si="365"/>
        <v>TON</v>
      </c>
      <c r="O4234" s="5">
        <v>5.0049999999999999</v>
      </c>
    </row>
    <row r="4235" spans="2:15" x14ac:dyDescent="0.25">
      <c r="B4235" s="1" t="s">
        <v>645</v>
      </c>
      <c r="C4235" s="2" t="s">
        <v>196</v>
      </c>
      <c r="D4235" s="2" t="s">
        <v>790</v>
      </c>
      <c r="E4235" s="2" t="s">
        <v>791</v>
      </c>
      <c r="F4235" s="3">
        <f t="shared" si="368"/>
        <v>45345</v>
      </c>
      <c r="G4235" s="4">
        <f t="shared" si="363"/>
        <v>2</v>
      </c>
      <c r="H4235" s="4">
        <f t="shared" si="364"/>
        <v>2024</v>
      </c>
      <c r="I4235" s="2" t="s">
        <v>4</v>
      </c>
      <c r="J4235" s="2" t="s">
        <v>5039</v>
      </c>
      <c r="K4235" s="2" t="s">
        <v>117</v>
      </c>
      <c r="L4235" s="2" t="s">
        <v>118</v>
      </c>
      <c r="M4235" s="2" t="s">
        <v>119</v>
      </c>
      <c r="N4235" s="4" t="str">
        <f t="shared" si="365"/>
        <v>TON</v>
      </c>
      <c r="O4235" s="5">
        <v>4.9950000000000001</v>
      </c>
    </row>
    <row r="4236" spans="2:15" x14ac:dyDescent="0.25">
      <c r="B4236" s="1" t="s">
        <v>645</v>
      </c>
      <c r="C4236" s="2" t="s">
        <v>196</v>
      </c>
      <c r="D4236" s="2" t="s">
        <v>283</v>
      </c>
      <c r="E4236" s="2" t="s">
        <v>102</v>
      </c>
      <c r="F4236" s="3">
        <f t="shared" si="368"/>
        <v>45345</v>
      </c>
      <c r="G4236" s="4">
        <f t="shared" si="363"/>
        <v>2</v>
      </c>
      <c r="H4236" s="4">
        <f t="shared" si="364"/>
        <v>2024</v>
      </c>
      <c r="I4236" s="2" t="s">
        <v>4</v>
      </c>
      <c r="J4236" s="2" t="s">
        <v>5040</v>
      </c>
      <c r="K4236" s="2" t="s">
        <v>200</v>
      </c>
      <c r="L4236" s="2" t="s">
        <v>201</v>
      </c>
      <c r="M4236" s="2" t="s">
        <v>202</v>
      </c>
      <c r="N4236" s="4" t="str">
        <f t="shared" si="365"/>
        <v>GAL</v>
      </c>
      <c r="O4236" s="5">
        <v>5</v>
      </c>
    </row>
    <row r="4237" spans="2:15" x14ac:dyDescent="0.25">
      <c r="B4237" s="1" t="s">
        <v>1520</v>
      </c>
      <c r="C4237" s="2" t="s">
        <v>196</v>
      </c>
      <c r="D4237" s="2" t="s">
        <v>475</v>
      </c>
      <c r="E4237" s="2" t="s">
        <v>476</v>
      </c>
      <c r="F4237" s="3">
        <f>DATE(2024,2,26)</f>
        <v>45348</v>
      </c>
      <c r="G4237" s="4">
        <f t="shared" si="363"/>
        <v>2</v>
      </c>
      <c r="H4237" s="4">
        <f t="shared" si="364"/>
        <v>2024</v>
      </c>
      <c r="I4237" s="2" t="s">
        <v>4</v>
      </c>
      <c r="J4237" s="2" t="s">
        <v>5041</v>
      </c>
      <c r="K4237" s="2" t="s">
        <v>478</v>
      </c>
      <c r="L4237" s="2" t="s">
        <v>479</v>
      </c>
      <c r="M4237" s="2" t="s">
        <v>119</v>
      </c>
      <c r="N4237" s="4" t="str">
        <f t="shared" si="365"/>
        <v>TON</v>
      </c>
      <c r="O4237" s="5">
        <v>15.01</v>
      </c>
    </row>
    <row r="4238" spans="2:15" x14ac:dyDescent="0.25">
      <c r="B4238" s="1" t="s">
        <v>1520</v>
      </c>
      <c r="C4238" s="2" t="s">
        <v>196</v>
      </c>
      <c r="D4238" s="2" t="s">
        <v>210</v>
      </c>
      <c r="E4238" s="2" t="s">
        <v>962</v>
      </c>
      <c r="F4238" s="3">
        <f>DATE(2024,2,26)</f>
        <v>45348</v>
      </c>
      <c r="G4238" s="4">
        <f t="shared" si="363"/>
        <v>2</v>
      </c>
      <c r="H4238" s="4">
        <f t="shared" si="364"/>
        <v>2024</v>
      </c>
      <c r="I4238" s="2" t="s">
        <v>4</v>
      </c>
      <c r="J4238" s="2" t="s">
        <v>5042</v>
      </c>
      <c r="K4238" s="2" t="s">
        <v>1379</v>
      </c>
      <c r="L4238" s="2" t="s">
        <v>1380</v>
      </c>
      <c r="M4238" s="2" t="s">
        <v>119</v>
      </c>
      <c r="N4238" s="4" t="str">
        <f t="shared" si="365"/>
        <v>TON</v>
      </c>
      <c r="O4238" s="5">
        <v>15.01</v>
      </c>
    </row>
    <row r="4239" spans="2:15" x14ac:dyDescent="0.25">
      <c r="B4239" s="1" t="s">
        <v>1520</v>
      </c>
      <c r="C4239" s="2" t="s">
        <v>196</v>
      </c>
      <c r="D4239" s="2" t="s">
        <v>374</v>
      </c>
      <c r="E4239" s="2" t="s">
        <v>455</v>
      </c>
      <c r="F4239" s="3">
        <f>DATE(2024,2,26)</f>
        <v>45348</v>
      </c>
      <c r="G4239" s="4">
        <f t="shared" si="363"/>
        <v>2</v>
      </c>
      <c r="H4239" s="4">
        <f t="shared" si="364"/>
        <v>2024</v>
      </c>
      <c r="I4239" s="2" t="s">
        <v>4</v>
      </c>
      <c r="J4239" s="2" t="s">
        <v>5043</v>
      </c>
      <c r="K4239" s="2" t="s">
        <v>122</v>
      </c>
      <c r="L4239" s="2" t="s">
        <v>123</v>
      </c>
      <c r="M4239" s="2" t="s">
        <v>119</v>
      </c>
      <c r="N4239" s="4" t="str">
        <f t="shared" si="365"/>
        <v>TON</v>
      </c>
      <c r="O4239" s="5">
        <v>8.0124999999999993</v>
      </c>
    </row>
    <row r="4240" spans="2:15" x14ac:dyDescent="0.25">
      <c r="B4240" s="1" t="s">
        <v>1520</v>
      </c>
      <c r="C4240" s="2" t="s">
        <v>196</v>
      </c>
      <c r="D4240" s="2" t="s">
        <v>3761</v>
      </c>
      <c r="E4240" s="2" t="s">
        <v>3762</v>
      </c>
      <c r="F4240" s="3">
        <f>DATE(2024,2,26)</f>
        <v>45348</v>
      </c>
      <c r="G4240" s="4">
        <f t="shared" si="363"/>
        <v>2</v>
      </c>
      <c r="H4240" s="4">
        <f t="shared" si="364"/>
        <v>2024</v>
      </c>
      <c r="I4240" s="2" t="s">
        <v>4</v>
      </c>
      <c r="J4240" s="2" t="s">
        <v>5044</v>
      </c>
      <c r="K4240" s="2" t="s">
        <v>329</v>
      </c>
      <c r="L4240" s="2" t="s">
        <v>330</v>
      </c>
      <c r="M4240" s="2" t="s">
        <v>119</v>
      </c>
      <c r="N4240" s="4" t="str">
        <f t="shared" si="365"/>
        <v>TON</v>
      </c>
      <c r="O4240" s="5">
        <v>5</v>
      </c>
    </row>
    <row r="4241" spans="2:15" x14ac:dyDescent="0.25">
      <c r="B4241" s="1" t="s">
        <v>1520</v>
      </c>
      <c r="C4241" s="2" t="s">
        <v>196</v>
      </c>
      <c r="D4241" s="2" t="s">
        <v>276</v>
      </c>
      <c r="E4241" s="2" t="s">
        <v>277</v>
      </c>
      <c r="F4241" s="3">
        <f t="shared" ref="F4241:F4247" si="369">DATE(2024,2,27)</f>
        <v>45349</v>
      </c>
      <c r="G4241" s="4">
        <f t="shared" si="363"/>
        <v>2</v>
      </c>
      <c r="H4241" s="4">
        <f t="shared" si="364"/>
        <v>2024</v>
      </c>
      <c r="I4241" s="2" t="s">
        <v>4</v>
      </c>
      <c r="J4241" s="2" t="s">
        <v>5045</v>
      </c>
      <c r="K4241" s="2" t="s">
        <v>205</v>
      </c>
      <c r="L4241" s="2" t="s">
        <v>206</v>
      </c>
      <c r="M4241" s="2" t="s">
        <v>119</v>
      </c>
      <c r="N4241" s="4" t="str">
        <f t="shared" si="365"/>
        <v>TON</v>
      </c>
      <c r="O4241" s="5">
        <v>2.0024999999999999</v>
      </c>
    </row>
    <row r="4242" spans="2:15" x14ac:dyDescent="0.25">
      <c r="B4242" s="1" t="s">
        <v>1520</v>
      </c>
      <c r="C4242" s="2" t="s">
        <v>196</v>
      </c>
      <c r="D4242" s="2" t="s">
        <v>704</v>
      </c>
      <c r="E4242" s="2" t="s">
        <v>5046</v>
      </c>
      <c r="F4242" s="3">
        <f t="shared" si="369"/>
        <v>45349</v>
      </c>
      <c r="G4242" s="4">
        <f t="shared" si="363"/>
        <v>2</v>
      </c>
      <c r="H4242" s="4">
        <f t="shared" si="364"/>
        <v>2024</v>
      </c>
      <c r="I4242" s="2" t="s">
        <v>4</v>
      </c>
      <c r="J4242" s="2" t="s">
        <v>5047</v>
      </c>
      <c r="K4242" s="2" t="s">
        <v>1379</v>
      </c>
      <c r="L4242" s="2" t="s">
        <v>1380</v>
      </c>
      <c r="M4242" s="2" t="s">
        <v>119</v>
      </c>
      <c r="N4242" s="4" t="str">
        <f t="shared" si="365"/>
        <v>TON</v>
      </c>
      <c r="O4242" s="5">
        <v>4.0025000000000004</v>
      </c>
    </row>
    <row r="4243" spans="2:15" x14ac:dyDescent="0.25">
      <c r="B4243" s="1" t="s">
        <v>1520</v>
      </c>
      <c r="C4243" s="2" t="s">
        <v>196</v>
      </c>
      <c r="D4243" s="2" t="s">
        <v>241</v>
      </c>
      <c r="E4243" s="2" t="s">
        <v>258</v>
      </c>
      <c r="F4243" s="3">
        <f t="shared" si="369"/>
        <v>45349</v>
      </c>
      <c r="G4243" s="4">
        <f t="shared" si="363"/>
        <v>2</v>
      </c>
      <c r="H4243" s="4">
        <f t="shared" si="364"/>
        <v>2024</v>
      </c>
      <c r="I4243" s="2" t="s">
        <v>4</v>
      </c>
      <c r="J4243" s="2" t="s">
        <v>5048</v>
      </c>
      <c r="K4243" s="2" t="s">
        <v>3458</v>
      </c>
      <c r="L4243" s="2" t="s">
        <v>3459</v>
      </c>
      <c r="M4243" s="2" t="s">
        <v>119</v>
      </c>
      <c r="N4243" s="4" t="str">
        <f t="shared" si="365"/>
        <v>TON</v>
      </c>
      <c r="O4243" s="5">
        <v>2.0074999999999998</v>
      </c>
    </row>
    <row r="4244" spans="2:15" x14ac:dyDescent="0.25">
      <c r="B4244" s="1" t="s">
        <v>1520</v>
      </c>
      <c r="C4244" s="2" t="s">
        <v>196</v>
      </c>
      <c r="D4244" s="2" t="s">
        <v>273</v>
      </c>
      <c r="E4244" s="2" t="s">
        <v>274</v>
      </c>
      <c r="F4244" s="3">
        <f t="shared" si="369"/>
        <v>45349</v>
      </c>
      <c r="G4244" s="4">
        <f t="shared" si="363"/>
        <v>2</v>
      </c>
      <c r="H4244" s="4">
        <f t="shared" si="364"/>
        <v>2024</v>
      </c>
      <c r="I4244" s="2" t="s">
        <v>4</v>
      </c>
      <c r="J4244" s="2" t="s">
        <v>5049</v>
      </c>
      <c r="K4244" s="2" t="s">
        <v>384</v>
      </c>
      <c r="L4244" s="2" t="s">
        <v>385</v>
      </c>
      <c r="M4244" s="2" t="s">
        <v>119</v>
      </c>
      <c r="N4244" s="4" t="str">
        <f t="shared" si="365"/>
        <v>TON</v>
      </c>
      <c r="O4244" s="5">
        <v>2.5</v>
      </c>
    </row>
    <row r="4245" spans="2:15" x14ac:dyDescent="0.25">
      <c r="B4245" s="1" t="s">
        <v>1520</v>
      </c>
      <c r="C4245" s="2" t="s">
        <v>196</v>
      </c>
      <c r="D4245" s="2" t="s">
        <v>3767</v>
      </c>
      <c r="E4245" s="2" t="s">
        <v>3768</v>
      </c>
      <c r="F4245" s="3">
        <f t="shared" si="369"/>
        <v>45349</v>
      </c>
      <c r="G4245" s="4">
        <f t="shared" si="363"/>
        <v>2</v>
      </c>
      <c r="H4245" s="4">
        <f t="shared" si="364"/>
        <v>2024</v>
      </c>
      <c r="I4245" s="2" t="s">
        <v>4</v>
      </c>
      <c r="J4245" s="2" t="s">
        <v>5050</v>
      </c>
      <c r="K4245" s="2" t="s">
        <v>205</v>
      </c>
      <c r="L4245" s="2" t="s">
        <v>206</v>
      </c>
      <c r="M4245" s="2" t="s">
        <v>119</v>
      </c>
      <c r="N4245" s="4" t="str">
        <f t="shared" si="365"/>
        <v>TON</v>
      </c>
      <c r="O4245" s="5">
        <v>1.2549999999999999</v>
      </c>
    </row>
    <row r="4246" spans="2:15" x14ac:dyDescent="0.25">
      <c r="B4246" s="1" t="s">
        <v>1520</v>
      </c>
      <c r="C4246" s="2" t="s">
        <v>196</v>
      </c>
      <c r="D4246" s="2" t="s">
        <v>331</v>
      </c>
      <c r="E4246" s="2" t="s">
        <v>432</v>
      </c>
      <c r="F4246" s="3">
        <f t="shared" si="369"/>
        <v>45349</v>
      </c>
      <c r="G4246" s="4">
        <f t="shared" ref="G4246:G4309" si="370">MONTH(F4246)</f>
        <v>2</v>
      </c>
      <c r="H4246" s="4">
        <f t="shared" ref="H4246:H4309" si="371">YEAR(F4246)</f>
        <v>2024</v>
      </c>
      <c r="I4246" s="2" t="s">
        <v>4</v>
      </c>
      <c r="J4246" s="2" t="s">
        <v>5051</v>
      </c>
      <c r="K4246" s="2" t="s">
        <v>122</v>
      </c>
      <c r="L4246" s="2" t="s">
        <v>123</v>
      </c>
      <c r="M4246" s="2" t="s">
        <v>119</v>
      </c>
      <c r="N4246" s="4" t="str">
        <f t="shared" ref="N4246:N4309" si="372">LEFT(M4246,3)</f>
        <v>TON</v>
      </c>
      <c r="O4246" s="5">
        <v>4.9950000000000001</v>
      </c>
    </row>
    <row r="4247" spans="2:15" x14ac:dyDescent="0.25">
      <c r="B4247" s="1" t="s">
        <v>1520</v>
      </c>
      <c r="C4247" s="2" t="s">
        <v>196</v>
      </c>
      <c r="D4247" s="2" t="s">
        <v>227</v>
      </c>
      <c r="E4247" s="2" t="s">
        <v>228</v>
      </c>
      <c r="F4247" s="3">
        <f t="shared" si="369"/>
        <v>45349</v>
      </c>
      <c r="G4247" s="4">
        <f t="shared" si="370"/>
        <v>2</v>
      </c>
      <c r="H4247" s="4">
        <f t="shared" si="371"/>
        <v>2024</v>
      </c>
      <c r="I4247" s="2" t="s">
        <v>4</v>
      </c>
      <c r="J4247" s="2" t="s">
        <v>5052</v>
      </c>
      <c r="K4247" s="2" t="s">
        <v>205</v>
      </c>
      <c r="L4247" s="2" t="s">
        <v>206</v>
      </c>
      <c r="M4247" s="2" t="s">
        <v>119</v>
      </c>
      <c r="N4247" s="4" t="str">
        <f t="shared" si="372"/>
        <v>TON</v>
      </c>
      <c r="O4247" s="5">
        <v>10.02</v>
      </c>
    </row>
    <row r="4248" spans="2:15" x14ac:dyDescent="0.25">
      <c r="B4248" s="1" t="s">
        <v>1520</v>
      </c>
      <c r="C4248" s="2" t="s">
        <v>196</v>
      </c>
      <c r="D4248" s="2" t="s">
        <v>440</v>
      </c>
      <c r="E4248" s="2" t="s">
        <v>441</v>
      </c>
      <c r="F4248" s="3">
        <f>DATE(2024,2,28)</f>
        <v>45350</v>
      </c>
      <c r="G4248" s="4">
        <f t="shared" si="370"/>
        <v>2</v>
      </c>
      <c r="H4248" s="4">
        <f t="shared" si="371"/>
        <v>2024</v>
      </c>
      <c r="I4248" s="2" t="s">
        <v>4</v>
      </c>
      <c r="J4248" s="2" t="s">
        <v>5053</v>
      </c>
      <c r="K4248" s="2" t="s">
        <v>390</v>
      </c>
      <c r="L4248" s="2" t="s">
        <v>391</v>
      </c>
      <c r="M4248" s="2" t="s">
        <v>119</v>
      </c>
      <c r="N4248" s="4" t="str">
        <f t="shared" si="372"/>
        <v>TON</v>
      </c>
      <c r="O4248" s="5">
        <v>14.99</v>
      </c>
    </row>
    <row r="4249" spans="2:15" x14ac:dyDescent="0.25">
      <c r="B4249" s="1" t="s">
        <v>1520</v>
      </c>
      <c r="C4249" s="2" t="s">
        <v>196</v>
      </c>
      <c r="D4249" s="2" t="s">
        <v>114</v>
      </c>
      <c r="E4249" s="2" t="s">
        <v>5054</v>
      </c>
      <c r="F4249" s="3">
        <f>DATE(2024,2,28)</f>
        <v>45350</v>
      </c>
      <c r="G4249" s="4">
        <f t="shared" si="370"/>
        <v>2</v>
      </c>
      <c r="H4249" s="4">
        <f t="shared" si="371"/>
        <v>2024</v>
      </c>
      <c r="I4249" s="2" t="s">
        <v>4</v>
      </c>
      <c r="J4249" s="2" t="s">
        <v>5055</v>
      </c>
      <c r="K4249" s="2" t="s">
        <v>117</v>
      </c>
      <c r="L4249" s="2" t="s">
        <v>118</v>
      </c>
      <c r="M4249" s="2" t="s">
        <v>119</v>
      </c>
      <c r="N4249" s="4" t="str">
        <f t="shared" si="372"/>
        <v>TON</v>
      </c>
      <c r="O4249" s="5">
        <v>6.9824999999999999</v>
      </c>
    </row>
    <row r="4250" spans="2:15" x14ac:dyDescent="0.25">
      <c r="B4250" s="1" t="s">
        <v>1520</v>
      </c>
      <c r="C4250" s="2" t="s">
        <v>196</v>
      </c>
      <c r="D4250" s="2" t="s">
        <v>215</v>
      </c>
      <c r="E4250" s="2" t="s">
        <v>216</v>
      </c>
      <c r="F4250" s="3">
        <f>DATE(2024,2,28)</f>
        <v>45350</v>
      </c>
      <c r="G4250" s="4">
        <f t="shared" si="370"/>
        <v>2</v>
      </c>
      <c r="H4250" s="4">
        <f t="shared" si="371"/>
        <v>2024</v>
      </c>
      <c r="I4250" s="2" t="s">
        <v>4</v>
      </c>
      <c r="J4250" s="2" t="s">
        <v>5056</v>
      </c>
      <c r="K4250" s="2" t="s">
        <v>205</v>
      </c>
      <c r="L4250" s="2" t="s">
        <v>206</v>
      </c>
      <c r="M4250" s="2" t="s">
        <v>119</v>
      </c>
      <c r="N4250" s="4" t="str">
        <f t="shared" si="372"/>
        <v>TON</v>
      </c>
      <c r="O4250" s="5">
        <v>5.0075000000000003</v>
      </c>
    </row>
    <row r="4251" spans="2:15" x14ac:dyDescent="0.25">
      <c r="B4251" s="1" t="s">
        <v>1520</v>
      </c>
      <c r="C4251" s="2" t="s">
        <v>196</v>
      </c>
      <c r="D4251" s="2" t="s">
        <v>215</v>
      </c>
      <c r="E4251" s="2" t="s">
        <v>315</v>
      </c>
      <c r="F4251" s="3">
        <f>DATE(2024,2,28)</f>
        <v>45350</v>
      </c>
      <c r="G4251" s="4">
        <f t="shared" si="370"/>
        <v>2</v>
      </c>
      <c r="H4251" s="4">
        <f t="shared" si="371"/>
        <v>2024</v>
      </c>
      <c r="I4251" s="2" t="s">
        <v>4</v>
      </c>
      <c r="J4251" s="2" t="s">
        <v>5057</v>
      </c>
      <c r="K4251" s="2" t="s">
        <v>447</v>
      </c>
      <c r="L4251" s="2" t="s">
        <v>448</v>
      </c>
      <c r="M4251" s="2" t="s">
        <v>119</v>
      </c>
      <c r="N4251" s="4" t="str">
        <f t="shared" si="372"/>
        <v>TON</v>
      </c>
      <c r="O4251" s="5">
        <v>10.0075</v>
      </c>
    </row>
    <row r="4252" spans="2:15" x14ac:dyDescent="0.25">
      <c r="B4252" s="1" t="s">
        <v>645</v>
      </c>
      <c r="C4252" s="2" t="s">
        <v>196</v>
      </c>
      <c r="D4252" s="2" t="s">
        <v>270</v>
      </c>
      <c r="E4252" s="2" t="s">
        <v>270</v>
      </c>
      <c r="F4252" s="3">
        <f t="shared" ref="F4252:F4262" si="373">DATE(2024,2,29)</f>
        <v>45351</v>
      </c>
      <c r="G4252" s="4">
        <f t="shared" si="370"/>
        <v>2</v>
      </c>
      <c r="H4252" s="4">
        <f t="shared" si="371"/>
        <v>2024</v>
      </c>
      <c r="I4252" s="2" t="s">
        <v>4</v>
      </c>
      <c r="J4252" s="2" t="s">
        <v>5058</v>
      </c>
      <c r="K4252" s="2" t="s">
        <v>531</v>
      </c>
      <c r="L4252" s="2" t="s">
        <v>201</v>
      </c>
      <c r="M4252" s="2" t="s">
        <v>202</v>
      </c>
      <c r="N4252" s="4" t="str">
        <f t="shared" si="372"/>
        <v>GAL</v>
      </c>
      <c r="O4252" s="5">
        <v>90</v>
      </c>
    </row>
    <row r="4253" spans="2:15" x14ac:dyDescent="0.25">
      <c r="B4253" s="1" t="s">
        <v>1520</v>
      </c>
      <c r="C4253" s="2" t="s">
        <v>196</v>
      </c>
      <c r="D4253" s="2" t="s">
        <v>114</v>
      </c>
      <c r="E4253" s="2" t="s">
        <v>1304</v>
      </c>
      <c r="F4253" s="3">
        <f t="shared" si="373"/>
        <v>45351</v>
      </c>
      <c r="G4253" s="4">
        <f t="shared" si="370"/>
        <v>2</v>
      </c>
      <c r="H4253" s="4">
        <f t="shared" si="371"/>
        <v>2024</v>
      </c>
      <c r="I4253" s="2" t="s">
        <v>4</v>
      </c>
      <c r="J4253" s="2" t="s">
        <v>5059</v>
      </c>
      <c r="K4253" s="2" t="s">
        <v>117</v>
      </c>
      <c r="L4253" s="2" t="s">
        <v>118</v>
      </c>
      <c r="M4253" s="2" t="s">
        <v>119</v>
      </c>
      <c r="N4253" s="4" t="str">
        <f t="shared" si="372"/>
        <v>TON</v>
      </c>
      <c r="O4253" s="5">
        <v>1.9850000000000001</v>
      </c>
    </row>
    <row r="4254" spans="2:15" x14ac:dyDescent="0.25">
      <c r="B4254" s="1" t="s">
        <v>1520</v>
      </c>
      <c r="C4254" s="2" t="s">
        <v>196</v>
      </c>
      <c r="D4254" s="2" t="s">
        <v>114</v>
      </c>
      <c r="E4254" s="2" t="s">
        <v>402</v>
      </c>
      <c r="F4254" s="3">
        <f t="shared" si="373"/>
        <v>45351</v>
      </c>
      <c r="G4254" s="4">
        <f t="shared" si="370"/>
        <v>2</v>
      </c>
      <c r="H4254" s="4">
        <f t="shared" si="371"/>
        <v>2024</v>
      </c>
      <c r="I4254" s="2" t="s">
        <v>4</v>
      </c>
      <c r="J4254" s="2" t="s">
        <v>5060</v>
      </c>
      <c r="K4254" s="2" t="s">
        <v>117</v>
      </c>
      <c r="L4254" s="2" t="s">
        <v>118</v>
      </c>
      <c r="M4254" s="2" t="s">
        <v>119</v>
      </c>
      <c r="N4254" s="4" t="str">
        <f t="shared" si="372"/>
        <v>TON</v>
      </c>
      <c r="O4254" s="5">
        <v>5.0049999999999999</v>
      </c>
    </row>
    <row r="4255" spans="2:15" x14ac:dyDescent="0.25">
      <c r="B4255" s="1" t="s">
        <v>1520</v>
      </c>
      <c r="C4255" s="2" t="s">
        <v>196</v>
      </c>
      <c r="D4255" s="2" t="s">
        <v>890</v>
      </c>
      <c r="E4255" s="2" t="s">
        <v>891</v>
      </c>
      <c r="F4255" s="3">
        <f t="shared" si="373"/>
        <v>45351</v>
      </c>
      <c r="G4255" s="4">
        <f t="shared" si="370"/>
        <v>2</v>
      </c>
      <c r="H4255" s="4">
        <f t="shared" si="371"/>
        <v>2024</v>
      </c>
      <c r="I4255" s="2" t="s">
        <v>4</v>
      </c>
      <c r="J4255" s="2" t="s">
        <v>5061</v>
      </c>
      <c r="K4255" s="2" t="s">
        <v>205</v>
      </c>
      <c r="L4255" s="2" t="s">
        <v>206</v>
      </c>
      <c r="M4255" s="2" t="s">
        <v>119</v>
      </c>
      <c r="N4255" s="4" t="str">
        <f t="shared" si="372"/>
        <v>TON</v>
      </c>
      <c r="O4255" s="5">
        <v>4.99</v>
      </c>
    </row>
    <row r="4256" spans="2:15" x14ac:dyDescent="0.25">
      <c r="B4256" s="1" t="s">
        <v>1520</v>
      </c>
      <c r="C4256" s="2" t="s">
        <v>196</v>
      </c>
      <c r="D4256" s="2" t="s">
        <v>672</v>
      </c>
      <c r="E4256" s="2" t="s">
        <v>699</v>
      </c>
      <c r="F4256" s="3">
        <f t="shared" si="373"/>
        <v>45351</v>
      </c>
      <c r="G4256" s="4">
        <f t="shared" si="370"/>
        <v>2</v>
      </c>
      <c r="H4256" s="4">
        <f t="shared" si="371"/>
        <v>2024</v>
      </c>
      <c r="I4256" s="2" t="s">
        <v>4</v>
      </c>
      <c r="J4256" s="2" t="s">
        <v>5062</v>
      </c>
      <c r="K4256" s="2" t="s">
        <v>251</v>
      </c>
      <c r="L4256" s="2" t="s">
        <v>252</v>
      </c>
      <c r="M4256" s="2" t="s">
        <v>119</v>
      </c>
      <c r="N4256" s="4" t="str">
        <f t="shared" si="372"/>
        <v>TON</v>
      </c>
      <c r="O4256" s="5">
        <v>4.01</v>
      </c>
    </row>
    <row r="4257" spans="2:15" x14ac:dyDescent="0.25">
      <c r="B4257" s="1" t="s">
        <v>1520</v>
      </c>
      <c r="C4257" s="2" t="s">
        <v>196</v>
      </c>
      <c r="D4257" s="2" t="s">
        <v>1276</v>
      </c>
      <c r="E4257" s="2" t="s">
        <v>1277</v>
      </c>
      <c r="F4257" s="3">
        <f t="shared" si="373"/>
        <v>45351</v>
      </c>
      <c r="G4257" s="4">
        <f t="shared" si="370"/>
        <v>2</v>
      </c>
      <c r="H4257" s="4">
        <f t="shared" si="371"/>
        <v>2024</v>
      </c>
      <c r="I4257" s="2" t="s">
        <v>4</v>
      </c>
      <c r="J4257" s="2" t="s">
        <v>5063</v>
      </c>
      <c r="K4257" s="2" t="s">
        <v>117</v>
      </c>
      <c r="L4257" s="2" t="s">
        <v>118</v>
      </c>
      <c r="M4257" s="2" t="s">
        <v>119</v>
      </c>
      <c r="N4257" s="4" t="str">
        <f t="shared" si="372"/>
        <v>TON</v>
      </c>
      <c r="O4257" s="5">
        <v>3.7425000000000002</v>
      </c>
    </row>
    <row r="4258" spans="2:15" x14ac:dyDescent="0.25">
      <c r="B4258" s="1" t="s">
        <v>1520</v>
      </c>
      <c r="C4258" s="2" t="s">
        <v>196</v>
      </c>
      <c r="D4258" s="2" t="s">
        <v>4034</v>
      </c>
      <c r="E4258" s="2" t="s">
        <v>1346</v>
      </c>
      <c r="F4258" s="3">
        <f t="shared" si="373"/>
        <v>45351</v>
      </c>
      <c r="G4258" s="4">
        <f t="shared" si="370"/>
        <v>2</v>
      </c>
      <c r="H4258" s="4">
        <f t="shared" si="371"/>
        <v>2024</v>
      </c>
      <c r="I4258" s="2" t="s">
        <v>4</v>
      </c>
      <c r="J4258" s="2" t="s">
        <v>5064</v>
      </c>
      <c r="K4258" s="2" t="s">
        <v>117</v>
      </c>
      <c r="L4258" s="2" t="s">
        <v>118</v>
      </c>
      <c r="M4258" s="2" t="s">
        <v>119</v>
      </c>
      <c r="N4258" s="4" t="str">
        <f t="shared" si="372"/>
        <v>TON</v>
      </c>
      <c r="O4258" s="5">
        <v>5.0025000000000004</v>
      </c>
    </row>
    <row r="4259" spans="2:15" x14ac:dyDescent="0.25">
      <c r="B4259" s="1" t="s">
        <v>1520</v>
      </c>
      <c r="C4259" s="2" t="s">
        <v>196</v>
      </c>
      <c r="D4259" s="2" t="s">
        <v>1276</v>
      </c>
      <c r="E4259" s="2" t="s">
        <v>791</v>
      </c>
      <c r="F4259" s="3">
        <f t="shared" si="373"/>
        <v>45351</v>
      </c>
      <c r="G4259" s="4">
        <f t="shared" si="370"/>
        <v>2</v>
      </c>
      <c r="H4259" s="4">
        <f t="shared" si="371"/>
        <v>2024</v>
      </c>
      <c r="I4259" s="2" t="s">
        <v>4</v>
      </c>
      <c r="J4259" s="2" t="s">
        <v>5065</v>
      </c>
      <c r="K4259" s="2" t="s">
        <v>117</v>
      </c>
      <c r="L4259" s="2" t="s">
        <v>118</v>
      </c>
      <c r="M4259" s="2" t="s">
        <v>119</v>
      </c>
      <c r="N4259" s="4" t="str">
        <f t="shared" si="372"/>
        <v>TON</v>
      </c>
      <c r="O4259" s="5">
        <v>3.7524999999999999</v>
      </c>
    </row>
    <row r="4260" spans="2:15" x14ac:dyDescent="0.25">
      <c r="B4260" s="1" t="s">
        <v>1520</v>
      </c>
      <c r="C4260" s="2" t="s">
        <v>196</v>
      </c>
      <c r="D4260" s="2" t="s">
        <v>270</v>
      </c>
      <c r="E4260" s="2" t="s">
        <v>400</v>
      </c>
      <c r="F4260" s="3">
        <f t="shared" si="373"/>
        <v>45351</v>
      </c>
      <c r="G4260" s="4">
        <f t="shared" si="370"/>
        <v>2</v>
      </c>
      <c r="H4260" s="4">
        <f t="shared" si="371"/>
        <v>2024</v>
      </c>
      <c r="I4260" s="2" t="s">
        <v>4</v>
      </c>
      <c r="J4260" s="2" t="s">
        <v>5066</v>
      </c>
      <c r="K4260" s="2" t="s">
        <v>329</v>
      </c>
      <c r="L4260" s="2" t="s">
        <v>330</v>
      </c>
      <c r="M4260" s="2" t="s">
        <v>119</v>
      </c>
      <c r="N4260" s="4" t="str">
        <f t="shared" si="372"/>
        <v>TON</v>
      </c>
      <c r="O4260" s="5">
        <v>1.25</v>
      </c>
    </row>
    <row r="4261" spans="2:15" x14ac:dyDescent="0.25">
      <c r="B4261" s="1" t="s">
        <v>1520</v>
      </c>
      <c r="C4261" s="2" t="s">
        <v>196</v>
      </c>
      <c r="D4261" s="2" t="s">
        <v>452</v>
      </c>
      <c r="E4261" s="2" t="s">
        <v>1611</v>
      </c>
      <c r="F4261" s="3">
        <f t="shared" si="373"/>
        <v>45351</v>
      </c>
      <c r="G4261" s="4">
        <f t="shared" si="370"/>
        <v>2</v>
      </c>
      <c r="H4261" s="4">
        <f t="shared" si="371"/>
        <v>2024</v>
      </c>
      <c r="I4261" s="2" t="s">
        <v>4</v>
      </c>
      <c r="J4261" s="2" t="s">
        <v>5067</v>
      </c>
      <c r="K4261" s="2" t="s">
        <v>117</v>
      </c>
      <c r="L4261" s="2" t="s">
        <v>118</v>
      </c>
      <c r="M4261" s="2" t="s">
        <v>119</v>
      </c>
      <c r="N4261" s="4" t="str">
        <f t="shared" si="372"/>
        <v>TON</v>
      </c>
      <c r="O4261" s="5">
        <v>1.2575000000000001</v>
      </c>
    </row>
    <row r="4262" spans="2:15" x14ac:dyDescent="0.25">
      <c r="B4262" s="1" t="s">
        <v>1520</v>
      </c>
      <c r="C4262" s="2" t="s">
        <v>196</v>
      </c>
      <c r="D4262" s="2" t="s">
        <v>270</v>
      </c>
      <c r="E4262" s="2" t="s">
        <v>875</v>
      </c>
      <c r="F4262" s="3">
        <f t="shared" si="373"/>
        <v>45351</v>
      </c>
      <c r="G4262" s="4">
        <f t="shared" si="370"/>
        <v>2</v>
      </c>
      <c r="H4262" s="4">
        <f t="shared" si="371"/>
        <v>2024</v>
      </c>
      <c r="I4262" s="2" t="s">
        <v>4</v>
      </c>
      <c r="J4262" s="2" t="s">
        <v>5068</v>
      </c>
      <c r="K4262" s="2" t="s">
        <v>329</v>
      </c>
      <c r="L4262" s="2" t="s">
        <v>330</v>
      </c>
      <c r="M4262" s="2" t="s">
        <v>119</v>
      </c>
      <c r="N4262" s="4" t="str">
        <f t="shared" si="372"/>
        <v>TON</v>
      </c>
      <c r="O4262" s="5">
        <v>1.25</v>
      </c>
    </row>
    <row r="4263" spans="2:15" x14ac:dyDescent="0.25">
      <c r="B4263" s="1" t="s">
        <v>382</v>
      </c>
      <c r="C4263" s="2" t="s">
        <v>506</v>
      </c>
      <c r="D4263" s="2" t="s">
        <v>1006</v>
      </c>
      <c r="E4263" s="2" t="s">
        <v>1007</v>
      </c>
      <c r="F4263" s="3">
        <f>DATE(2024,2,2)</f>
        <v>45324</v>
      </c>
      <c r="G4263" s="4">
        <f t="shared" si="370"/>
        <v>2</v>
      </c>
      <c r="H4263" s="4">
        <f t="shared" si="371"/>
        <v>2024</v>
      </c>
      <c r="I4263" s="2" t="s">
        <v>4</v>
      </c>
      <c r="J4263" s="2" t="s">
        <v>5069</v>
      </c>
      <c r="K4263" s="2" t="s">
        <v>1009</v>
      </c>
      <c r="L4263" s="2" t="s">
        <v>1010</v>
      </c>
      <c r="M4263" s="2" t="s">
        <v>13</v>
      </c>
      <c r="N4263" s="4" t="str">
        <f t="shared" si="372"/>
        <v>GAL</v>
      </c>
      <c r="O4263" s="5">
        <v>180</v>
      </c>
    </row>
    <row r="4264" spans="2:15" x14ac:dyDescent="0.25">
      <c r="B4264" s="1" t="s">
        <v>382</v>
      </c>
      <c r="C4264" s="2" t="s">
        <v>506</v>
      </c>
      <c r="D4264" s="2" t="s">
        <v>521</v>
      </c>
      <c r="E4264" s="2" t="s">
        <v>522</v>
      </c>
      <c r="F4264" s="3">
        <f>DATE(2024,2,9)</f>
        <v>45331</v>
      </c>
      <c r="G4264" s="4">
        <f t="shared" si="370"/>
        <v>2</v>
      </c>
      <c r="H4264" s="4">
        <f t="shared" si="371"/>
        <v>2024</v>
      </c>
      <c r="I4264" s="2" t="s">
        <v>4</v>
      </c>
      <c r="J4264" s="2" t="s">
        <v>5070</v>
      </c>
      <c r="K4264" s="2" t="s">
        <v>1400</v>
      </c>
      <c r="L4264" s="2" t="s">
        <v>1396</v>
      </c>
      <c r="M4264" s="2" t="s">
        <v>1397</v>
      </c>
      <c r="N4264" s="4" t="str">
        <f t="shared" si="372"/>
        <v>GAL</v>
      </c>
      <c r="O4264" s="5">
        <v>500</v>
      </c>
    </row>
    <row r="4265" spans="2:15" x14ac:dyDescent="0.25">
      <c r="B4265" s="1" t="s">
        <v>382</v>
      </c>
      <c r="C4265" s="2" t="s">
        <v>506</v>
      </c>
      <c r="D4265" s="2" t="s">
        <v>521</v>
      </c>
      <c r="E4265" s="2" t="s">
        <v>522</v>
      </c>
      <c r="F4265" s="3">
        <f>DATE(2024,2,9)</f>
        <v>45331</v>
      </c>
      <c r="G4265" s="4">
        <f t="shared" si="370"/>
        <v>2</v>
      </c>
      <c r="H4265" s="4">
        <f t="shared" si="371"/>
        <v>2024</v>
      </c>
      <c r="I4265" s="2" t="s">
        <v>4</v>
      </c>
      <c r="J4265" s="2" t="s">
        <v>5070</v>
      </c>
      <c r="K4265" s="2" t="s">
        <v>244</v>
      </c>
      <c r="L4265" s="2" t="s">
        <v>182</v>
      </c>
      <c r="M4265" s="2" t="s">
        <v>183</v>
      </c>
      <c r="N4265" s="4" t="str">
        <f t="shared" si="372"/>
        <v>GAL</v>
      </c>
      <c r="O4265" s="5">
        <v>180</v>
      </c>
    </row>
    <row r="4266" spans="2:15" x14ac:dyDescent="0.25">
      <c r="B4266" s="1" t="s">
        <v>382</v>
      </c>
      <c r="C4266" s="2" t="s">
        <v>506</v>
      </c>
      <c r="D4266" s="2" t="s">
        <v>521</v>
      </c>
      <c r="E4266" s="2" t="s">
        <v>522</v>
      </c>
      <c r="F4266" s="3">
        <f>DATE(2024,2,21)</f>
        <v>45343</v>
      </c>
      <c r="G4266" s="4">
        <f t="shared" si="370"/>
        <v>2</v>
      </c>
      <c r="H4266" s="4">
        <f t="shared" si="371"/>
        <v>2024</v>
      </c>
      <c r="I4266" s="2" t="s">
        <v>4</v>
      </c>
      <c r="J4266" s="2" t="s">
        <v>5071</v>
      </c>
      <c r="K4266" s="2" t="s">
        <v>1400</v>
      </c>
      <c r="L4266" s="2" t="s">
        <v>1396</v>
      </c>
      <c r="M4266" s="2" t="s">
        <v>1397</v>
      </c>
      <c r="N4266" s="4" t="str">
        <f t="shared" si="372"/>
        <v>GAL</v>
      </c>
      <c r="O4266" s="5">
        <v>250</v>
      </c>
    </row>
    <row r="4267" spans="2:15" x14ac:dyDescent="0.25">
      <c r="B4267" s="1" t="s">
        <v>382</v>
      </c>
      <c r="C4267" s="2" t="s">
        <v>506</v>
      </c>
      <c r="D4267" s="2" t="s">
        <v>521</v>
      </c>
      <c r="E4267" s="2" t="s">
        <v>522</v>
      </c>
      <c r="F4267" s="3">
        <f>DATE(2024,2,21)</f>
        <v>45343</v>
      </c>
      <c r="G4267" s="4">
        <f t="shared" si="370"/>
        <v>2</v>
      </c>
      <c r="H4267" s="4">
        <f t="shared" si="371"/>
        <v>2024</v>
      </c>
      <c r="I4267" s="2" t="s">
        <v>4</v>
      </c>
      <c r="J4267" s="2" t="s">
        <v>5071</v>
      </c>
      <c r="K4267" s="2" t="s">
        <v>1266</v>
      </c>
      <c r="L4267" s="2" t="s">
        <v>1267</v>
      </c>
      <c r="M4267" s="2" t="s">
        <v>191</v>
      </c>
      <c r="N4267" s="4" t="str">
        <f t="shared" si="372"/>
        <v>GAL</v>
      </c>
      <c r="O4267" s="5">
        <v>180</v>
      </c>
    </row>
    <row r="4268" spans="2:15" x14ac:dyDescent="0.25">
      <c r="B4268" s="6" t="s">
        <v>382</v>
      </c>
      <c r="C4268" s="7" t="s">
        <v>506</v>
      </c>
      <c r="D4268" s="8" t="s">
        <v>995</v>
      </c>
      <c r="E4268" s="8" t="s">
        <v>1721</v>
      </c>
      <c r="F4268" s="9">
        <f>DATE(2024,2,22)</f>
        <v>45344</v>
      </c>
      <c r="G4268" s="10">
        <f t="shared" si="370"/>
        <v>2</v>
      </c>
      <c r="H4268" s="10">
        <f t="shared" si="371"/>
        <v>2024</v>
      </c>
      <c r="I4268" s="8" t="s">
        <v>4</v>
      </c>
      <c r="J4268" s="7" t="s">
        <v>5072</v>
      </c>
      <c r="K4268" s="8" t="s">
        <v>1723</v>
      </c>
      <c r="L4268" s="8" t="s">
        <v>1724</v>
      </c>
      <c r="M4268" s="8" t="s">
        <v>13</v>
      </c>
      <c r="N4268" s="10" t="str">
        <f t="shared" si="372"/>
        <v>GAL</v>
      </c>
      <c r="O4268" s="11">
        <v>250</v>
      </c>
    </row>
    <row r="4269" spans="2:15" x14ac:dyDescent="0.25">
      <c r="B4269" s="1" t="s">
        <v>645</v>
      </c>
      <c r="C4269" s="2" t="s">
        <v>1025</v>
      </c>
      <c r="D4269" s="2" t="s">
        <v>1401</v>
      </c>
      <c r="E4269" s="2" t="s">
        <v>1402</v>
      </c>
      <c r="F4269" s="3">
        <f>DATE(2024,2,8)</f>
        <v>45330</v>
      </c>
      <c r="G4269" s="4">
        <f t="shared" si="370"/>
        <v>2</v>
      </c>
      <c r="H4269" s="4">
        <f t="shared" si="371"/>
        <v>2024</v>
      </c>
      <c r="I4269" s="2" t="s">
        <v>4</v>
      </c>
      <c r="J4269" s="2" t="s">
        <v>5073</v>
      </c>
      <c r="K4269" s="2" t="s">
        <v>3880</v>
      </c>
      <c r="L4269" s="2" t="s">
        <v>3881</v>
      </c>
      <c r="M4269" s="2" t="s">
        <v>106</v>
      </c>
      <c r="N4269" s="4" t="str">
        <f t="shared" si="372"/>
        <v>LBS</v>
      </c>
      <c r="O4269" s="5">
        <v>41015</v>
      </c>
    </row>
    <row r="4270" spans="2:15" x14ac:dyDescent="0.25">
      <c r="B4270" s="1" t="s">
        <v>1742</v>
      </c>
      <c r="C4270" s="2" t="s">
        <v>1025</v>
      </c>
      <c r="D4270" s="2" t="s">
        <v>5074</v>
      </c>
      <c r="E4270" s="2" t="s">
        <v>5075</v>
      </c>
      <c r="F4270" s="3">
        <f>DATE(2024,2,9)</f>
        <v>45331</v>
      </c>
      <c r="G4270" s="4">
        <f t="shared" si="370"/>
        <v>2</v>
      </c>
      <c r="H4270" s="4">
        <f t="shared" si="371"/>
        <v>2024</v>
      </c>
      <c r="I4270" s="2" t="s">
        <v>4</v>
      </c>
      <c r="J4270" s="2" t="s">
        <v>5076</v>
      </c>
      <c r="K4270" s="2" t="s">
        <v>158</v>
      </c>
      <c r="L4270" s="2" t="s">
        <v>159</v>
      </c>
      <c r="M4270" s="2" t="s">
        <v>160</v>
      </c>
      <c r="N4270" s="4" t="str">
        <f t="shared" si="372"/>
        <v>GAL</v>
      </c>
      <c r="O4270" s="5">
        <v>55</v>
      </c>
    </row>
    <row r="4271" spans="2:15" x14ac:dyDescent="0.25">
      <c r="B4271" s="1" t="s">
        <v>1742</v>
      </c>
      <c r="C4271" s="2" t="s">
        <v>1025</v>
      </c>
      <c r="D4271" s="2" t="s">
        <v>5074</v>
      </c>
      <c r="E4271" s="2" t="s">
        <v>5075</v>
      </c>
      <c r="F4271" s="3">
        <f>DATE(2024,2,9)</f>
        <v>45331</v>
      </c>
      <c r="G4271" s="4">
        <f t="shared" si="370"/>
        <v>2</v>
      </c>
      <c r="H4271" s="4">
        <f t="shared" si="371"/>
        <v>2024</v>
      </c>
      <c r="I4271" s="2" t="s">
        <v>4</v>
      </c>
      <c r="J4271" s="2" t="s">
        <v>5076</v>
      </c>
      <c r="K4271" s="2" t="s">
        <v>171</v>
      </c>
      <c r="L4271" s="2" t="s">
        <v>172</v>
      </c>
      <c r="M4271" s="2" t="s">
        <v>27</v>
      </c>
      <c r="N4271" s="4" t="str">
        <f t="shared" si="372"/>
        <v>GAL</v>
      </c>
      <c r="O4271" s="5">
        <v>40</v>
      </c>
    </row>
    <row r="4272" spans="2:15" x14ac:dyDescent="0.25">
      <c r="B4272" s="1" t="s">
        <v>1742</v>
      </c>
      <c r="C4272" s="2" t="s">
        <v>1025</v>
      </c>
      <c r="D4272" s="2" t="s">
        <v>1746</v>
      </c>
      <c r="E4272" s="2" t="s">
        <v>102</v>
      </c>
      <c r="F4272" s="3">
        <f>DATE(2024,2,9)</f>
        <v>45331</v>
      </c>
      <c r="G4272" s="4">
        <f t="shared" si="370"/>
        <v>2</v>
      </c>
      <c r="H4272" s="4">
        <f t="shared" si="371"/>
        <v>2024</v>
      </c>
      <c r="I4272" s="2" t="s">
        <v>4</v>
      </c>
      <c r="J4272" s="2" t="s">
        <v>5077</v>
      </c>
      <c r="K4272" s="2" t="s">
        <v>1748</v>
      </c>
      <c r="L4272" s="2" t="s">
        <v>987</v>
      </c>
      <c r="M4272" s="2" t="s">
        <v>988</v>
      </c>
      <c r="N4272" s="4" t="str">
        <f t="shared" si="372"/>
        <v>GAL</v>
      </c>
      <c r="O4272" s="5">
        <v>250</v>
      </c>
    </row>
    <row r="4273" spans="2:15" x14ac:dyDescent="0.25">
      <c r="B4273" s="1" t="s">
        <v>1742</v>
      </c>
      <c r="C4273" s="2" t="s">
        <v>1025</v>
      </c>
      <c r="D4273" s="2" t="s">
        <v>496</v>
      </c>
      <c r="E4273" s="2" t="s">
        <v>497</v>
      </c>
      <c r="F4273" s="3">
        <f>DATE(2024,2,9)</f>
        <v>45331</v>
      </c>
      <c r="G4273" s="4">
        <f t="shared" si="370"/>
        <v>2</v>
      </c>
      <c r="H4273" s="4">
        <f t="shared" si="371"/>
        <v>2024</v>
      </c>
      <c r="I4273" s="2" t="s">
        <v>4</v>
      </c>
      <c r="J4273" s="2" t="s">
        <v>5078</v>
      </c>
      <c r="K4273" s="2" t="s">
        <v>122</v>
      </c>
      <c r="L4273" s="2" t="s">
        <v>123</v>
      </c>
      <c r="M4273" s="2" t="s">
        <v>119</v>
      </c>
      <c r="N4273" s="4" t="str">
        <f t="shared" si="372"/>
        <v>TON</v>
      </c>
      <c r="O4273" s="5">
        <v>1.2524999999999999</v>
      </c>
    </row>
    <row r="4274" spans="2:15" x14ac:dyDescent="0.25">
      <c r="B4274" s="1" t="s">
        <v>645</v>
      </c>
      <c r="C4274" s="2" t="s">
        <v>1025</v>
      </c>
      <c r="D4274" s="2" t="s">
        <v>1401</v>
      </c>
      <c r="E4274" s="2" t="s">
        <v>1402</v>
      </c>
      <c r="F4274" s="3">
        <f>DATE(2024,2,13)</f>
        <v>45335</v>
      </c>
      <c r="G4274" s="4">
        <f t="shared" si="370"/>
        <v>2</v>
      </c>
      <c r="H4274" s="4">
        <f t="shared" si="371"/>
        <v>2024</v>
      </c>
      <c r="I4274" s="2" t="s">
        <v>4</v>
      </c>
      <c r="J4274" s="2" t="s">
        <v>5079</v>
      </c>
      <c r="K4274" s="2" t="s">
        <v>2083</v>
      </c>
      <c r="L4274" s="2" t="s">
        <v>2084</v>
      </c>
      <c r="M4274" s="2" t="s">
        <v>119</v>
      </c>
      <c r="N4274" s="4" t="str">
        <f t="shared" si="372"/>
        <v>TON</v>
      </c>
      <c r="O4274" s="5">
        <v>5.0125000000000002</v>
      </c>
    </row>
    <row r="4275" spans="2:15" x14ac:dyDescent="0.25">
      <c r="B4275" s="1" t="s">
        <v>645</v>
      </c>
      <c r="C4275" s="2" t="s">
        <v>1025</v>
      </c>
      <c r="D4275" s="2" t="s">
        <v>2079</v>
      </c>
      <c r="E4275" s="2" t="s">
        <v>1402</v>
      </c>
      <c r="F4275" s="3">
        <f>DATE(2024,2,14)</f>
        <v>45336</v>
      </c>
      <c r="G4275" s="4">
        <f t="shared" si="370"/>
        <v>2</v>
      </c>
      <c r="H4275" s="4">
        <f t="shared" si="371"/>
        <v>2024</v>
      </c>
      <c r="I4275" s="2" t="s">
        <v>4</v>
      </c>
      <c r="J4275" s="2" t="s">
        <v>5080</v>
      </c>
      <c r="K4275" s="2" t="s">
        <v>1404</v>
      </c>
      <c r="L4275" s="2" t="s">
        <v>1405</v>
      </c>
      <c r="M4275" s="2" t="s">
        <v>1397</v>
      </c>
      <c r="N4275" s="4" t="str">
        <f t="shared" si="372"/>
        <v>GAL</v>
      </c>
      <c r="O4275" s="5">
        <v>720</v>
      </c>
    </row>
    <row r="4276" spans="2:15" x14ac:dyDescent="0.25">
      <c r="B4276" s="1" t="s">
        <v>645</v>
      </c>
      <c r="C4276" s="2" t="s">
        <v>1025</v>
      </c>
      <c r="D4276" s="2" t="s">
        <v>1026</v>
      </c>
      <c r="E4276" s="2" t="s">
        <v>102</v>
      </c>
      <c r="F4276" s="3">
        <f>DATE(2024,2,16)</f>
        <v>45338</v>
      </c>
      <c r="G4276" s="4">
        <f t="shared" si="370"/>
        <v>2</v>
      </c>
      <c r="H4276" s="4">
        <f t="shared" si="371"/>
        <v>2024</v>
      </c>
      <c r="I4276" s="2" t="s">
        <v>4</v>
      </c>
      <c r="J4276" s="2" t="s">
        <v>5081</v>
      </c>
      <c r="K4276" s="2" t="s">
        <v>1028</v>
      </c>
      <c r="L4276" s="2" t="s">
        <v>1029</v>
      </c>
      <c r="M4276" s="2" t="s">
        <v>106</v>
      </c>
      <c r="N4276" s="4" t="str">
        <f t="shared" si="372"/>
        <v>LBS</v>
      </c>
      <c r="O4276" s="5">
        <v>24620</v>
      </c>
    </row>
    <row r="4277" spans="2:15" x14ac:dyDescent="0.25">
      <c r="B4277" s="1" t="s">
        <v>645</v>
      </c>
      <c r="C4277" s="2" t="s">
        <v>1025</v>
      </c>
      <c r="D4277" s="2" t="s">
        <v>2079</v>
      </c>
      <c r="E4277" s="2" t="s">
        <v>1402</v>
      </c>
      <c r="F4277" s="3">
        <f>DATE(2024,2,20)</f>
        <v>45342</v>
      </c>
      <c r="G4277" s="4">
        <f t="shared" si="370"/>
        <v>2</v>
      </c>
      <c r="H4277" s="4">
        <f t="shared" si="371"/>
        <v>2024</v>
      </c>
      <c r="I4277" s="2" t="s">
        <v>4</v>
      </c>
      <c r="J4277" s="2" t="s">
        <v>5082</v>
      </c>
      <c r="K4277" s="2" t="s">
        <v>1404</v>
      </c>
      <c r="L4277" s="2" t="s">
        <v>1405</v>
      </c>
      <c r="M4277" s="2" t="s">
        <v>1397</v>
      </c>
      <c r="N4277" s="4" t="str">
        <f t="shared" si="372"/>
        <v>GAL</v>
      </c>
      <c r="O4277" s="5">
        <v>480</v>
      </c>
    </row>
    <row r="4278" spans="2:15" x14ac:dyDescent="0.25">
      <c r="B4278" s="1" t="s">
        <v>645</v>
      </c>
      <c r="C4278" s="2" t="s">
        <v>1025</v>
      </c>
      <c r="D4278" s="2" t="s">
        <v>2079</v>
      </c>
      <c r="E4278" s="2" t="s">
        <v>1402</v>
      </c>
      <c r="F4278" s="3">
        <f>DATE(2024,2,20)</f>
        <v>45342</v>
      </c>
      <c r="G4278" s="4">
        <f t="shared" si="370"/>
        <v>2</v>
      </c>
      <c r="H4278" s="4">
        <f t="shared" si="371"/>
        <v>2024</v>
      </c>
      <c r="I4278" s="2" t="s">
        <v>4</v>
      </c>
      <c r="J4278" s="2" t="s">
        <v>5082</v>
      </c>
      <c r="K4278" s="2" t="s">
        <v>2081</v>
      </c>
      <c r="L4278" s="2" t="s">
        <v>1405</v>
      </c>
      <c r="M4278" s="2" t="s">
        <v>1397</v>
      </c>
      <c r="N4278" s="4" t="str">
        <f t="shared" si="372"/>
        <v>GAL</v>
      </c>
      <c r="O4278" s="5">
        <v>250</v>
      </c>
    </row>
    <row r="4279" spans="2:15" x14ac:dyDescent="0.25">
      <c r="B4279" s="1" t="s">
        <v>645</v>
      </c>
      <c r="C4279" s="2" t="s">
        <v>1025</v>
      </c>
      <c r="D4279" s="2" t="s">
        <v>2079</v>
      </c>
      <c r="E4279" s="2" t="s">
        <v>1402</v>
      </c>
      <c r="F4279" s="3">
        <f>DATE(2024,2,20)</f>
        <v>45342</v>
      </c>
      <c r="G4279" s="4">
        <f t="shared" si="370"/>
        <v>2</v>
      </c>
      <c r="H4279" s="4">
        <f t="shared" si="371"/>
        <v>2024</v>
      </c>
      <c r="I4279" s="2" t="s">
        <v>4</v>
      </c>
      <c r="J4279" s="2" t="s">
        <v>5082</v>
      </c>
      <c r="K4279" s="2" t="s">
        <v>158</v>
      </c>
      <c r="L4279" s="2" t="s">
        <v>159</v>
      </c>
      <c r="M4279" s="2" t="s">
        <v>160</v>
      </c>
      <c r="N4279" s="4" t="str">
        <f t="shared" si="372"/>
        <v>GAL</v>
      </c>
      <c r="O4279" s="5">
        <v>180</v>
      </c>
    </row>
    <row r="4280" spans="2:15" x14ac:dyDescent="0.25">
      <c r="B4280" s="1" t="s">
        <v>645</v>
      </c>
      <c r="C4280" s="2" t="s">
        <v>1025</v>
      </c>
      <c r="D4280" s="2" t="s">
        <v>1401</v>
      </c>
      <c r="E4280" s="2" t="s">
        <v>1402</v>
      </c>
      <c r="F4280" s="3">
        <f>DATE(2024,2,20)</f>
        <v>45342</v>
      </c>
      <c r="G4280" s="4">
        <f t="shared" si="370"/>
        <v>2</v>
      </c>
      <c r="H4280" s="4">
        <f t="shared" si="371"/>
        <v>2024</v>
      </c>
      <c r="I4280" s="2" t="s">
        <v>4</v>
      </c>
      <c r="J4280" s="2" t="s">
        <v>5083</v>
      </c>
      <c r="K4280" s="2" t="s">
        <v>1404</v>
      </c>
      <c r="L4280" s="2" t="s">
        <v>1405</v>
      </c>
      <c r="M4280" s="2" t="s">
        <v>1397</v>
      </c>
      <c r="N4280" s="4" t="str">
        <f t="shared" si="372"/>
        <v>GAL</v>
      </c>
      <c r="O4280" s="5">
        <v>480</v>
      </c>
    </row>
    <row r="4281" spans="2:15" x14ac:dyDescent="0.25">
      <c r="B4281" s="1" t="s">
        <v>645</v>
      </c>
      <c r="C4281" s="2" t="s">
        <v>1025</v>
      </c>
      <c r="D4281" s="2" t="s">
        <v>1401</v>
      </c>
      <c r="E4281" s="2" t="s">
        <v>1402</v>
      </c>
      <c r="F4281" s="3">
        <f>DATE(2024,2,20)</f>
        <v>45342</v>
      </c>
      <c r="G4281" s="4">
        <f t="shared" si="370"/>
        <v>2</v>
      </c>
      <c r="H4281" s="4">
        <f t="shared" si="371"/>
        <v>2024</v>
      </c>
      <c r="I4281" s="2" t="s">
        <v>4</v>
      </c>
      <c r="J4281" s="2" t="s">
        <v>5083</v>
      </c>
      <c r="K4281" s="2" t="s">
        <v>2081</v>
      </c>
      <c r="L4281" s="2" t="s">
        <v>1405</v>
      </c>
      <c r="M4281" s="2" t="s">
        <v>1397</v>
      </c>
      <c r="N4281" s="4" t="str">
        <f t="shared" si="372"/>
        <v>GAL</v>
      </c>
      <c r="O4281" s="5">
        <v>1000</v>
      </c>
    </row>
    <row r="4282" spans="2:15" x14ac:dyDescent="0.25">
      <c r="B4282" s="1" t="s">
        <v>1742</v>
      </c>
      <c r="C4282" s="2" t="s">
        <v>1025</v>
      </c>
      <c r="D4282" s="2" t="s">
        <v>124</v>
      </c>
      <c r="E4282" s="2" t="s">
        <v>2475</v>
      </c>
      <c r="F4282" s="3">
        <f>DATE(2024,2,22)</f>
        <v>45344</v>
      </c>
      <c r="G4282" s="4">
        <f t="shared" si="370"/>
        <v>2</v>
      </c>
      <c r="H4282" s="4">
        <f t="shared" si="371"/>
        <v>2024</v>
      </c>
      <c r="I4282" s="2" t="s">
        <v>4</v>
      </c>
      <c r="J4282" s="2" t="s">
        <v>5084</v>
      </c>
      <c r="K4282" s="2" t="s">
        <v>158</v>
      </c>
      <c r="L4282" s="2" t="s">
        <v>159</v>
      </c>
      <c r="M4282" s="2" t="s">
        <v>160</v>
      </c>
      <c r="N4282" s="4" t="str">
        <f t="shared" si="372"/>
        <v>GAL</v>
      </c>
      <c r="O4282" s="5">
        <v>180</v>
      </c>
    </row>
    <row r="4283" spans="2:15" x14ac:dyDescent="0.25">
      <c r="B4283" s="1" t="s">
        <v>645</v>
      </c>
      <c r="C4283" s="2" t="s">
        <v>1025</v>
      </c>
      <c r="D4283" s="2" t="s">
        <v>2092</v>
      </c>
      <c r="E4283" s="2" t="s">
        <v>2093</v>
      </c>
      <c r="F4283" s="3">
        <f>DATE(2024,2,27)</f>
        <v>45349</v>
      </c>
      <c r="G4283" s="4">
        <f t="shared" si="370"/>
        <v>2</v>
      </c>
      <c r="H4283" s="4">
        <f t="shared" si="371"/>
        <v>2024</v>
      </c>
      <c r="I4283" s="2" t="s">
        <v>4</v>
      </c>
      <c r="J4283" s="2" t="s">
        <v>5085</v>
      </c>
      <c r="K4283" s="2" t="s">
        <v>2095</v>
      </c>
      <c r="L4283" s="2" t="s">
        <v>2096</v>
      </c>
      <c r="M4283" s="2" t="s">
        <v>119</v>
      </c>
      <c r="N4283" s="4" t="str">
        <f t="shared" si="372"/>
        <v>TON</v>
      </c>
      <c r="O4283" s="5">
        <v>15.005000000000001</v>
      </c>
    </row>
    <row r="4284" spans="2:15" x14ac:dyDescent="0.25">
      <c r="B4284" s="6" t="s">
        <v>1742</v>
      </c>
      <c r="C4284" s="7" t="s">
        <v>1025</v>
      </c>
      <c r="D4284" s="8" t="s">
        <v>496</v>
      </c>
      <c r="E4284" s="8" t="s">
        <v>497</v>
      </c>
      <c r="F4284" s="9">
        <f>DATE(2024,2,28)</f>
        <v>45350</v>
      </c>
      <c r="G4284" s="10">
        <f t="shared" si="370"/>
        <v>2</v>
      </c>
      <c r="H4284" s="10">
        <f t="shared" si="371"/>
        <v>2024</v>
      </c>
      <c r="I4284" s="8" t="s">
        <v>4</v>
      </c>
      <c r="J4284" s="7" t="s">
        <v>5086</v>
      </c>
      <c r="K4284" s="8" t="s">
        <v>2484</v>
      </c>
      <c r="L4284" s="8" t="s">
        <v>99</v>
      </c>
      <c r="M4284" s="8" t="s">
        <v>100</v>
      </c>
      <c r="N4284" s="10" t="str">
        <f t="shared" si="372"/>
        <v>GAL</v>
      </c>
      <c r="O4284" s="11">
        <v>500</v>
      </c>
    </row>
    <row r="4285" spans="2:15" x14ac:dyDescent="0.25">
      <c r="B4285" s="1" t="s">
        <v>645</v>
      </c>
      <c r="C4285" s="2" t="s">
        <v>1025</v>
      </c>
      <c r="D4285" s="2" t="s">
        <v>1401</v>
      </c>
      <c r="E4285" s="2" t="s">
        <v>1402</v>
      </c>
      <c r="F4285" s="3">
        <f>DATE(2024,2,28)</f>
        <v>45350</v>
      </c>
      <c r="G4285" s="4">
        <f t="shared" si="370"/>
        <v>2</v>
      </c>
      <c r="H4285" s="4">
        <f t="shared" si="371"/>
        <v>2024</v>
      </c>
      <c r="I4285" s="2" t="s">
        <v>4</v>
      </c>
      <c r="J4285" s="2" t="s">
        <v>5087</v>
      </c>
      <c r="K4285" s="2" t="s">
        <v>2083</v>
      </c>
      <c r="L4285" s="2" t="s">
        <v>2084</v>
      </c>
      <c r="M4285" s="2" t="s">
        <v>119</v>
      </c>
      <c r="N4285" s="4" t="str">
        <f t="shared" si="372"/>
        <v>TON</v>
      </c>
      <c r="O4285" s="5">
        <v>5.0025000000000004</v>
      </c>
    </row>
    <row r="4286" spans="2:15" x14ac:dyDescent="0.25">
      <c r="B4286" s="1" t="s">
        <v>1410</v>
      </c>
      <c r="C4286" s="2" t="s">
        <v>525</v>
      </c>
      <c r="D4286" s="2" t="s">
        <v>507</v>
      </c>
      <c r="E4286" s="2" t="s">
        <v>508</v>
      </c>
      <c r="F4286" s="3">
        <f>DATE(2024,2,1)</f>
        <v>45323</v>
      </c>
      <c r="G4286" s="4">
        <f t="shared" si="370"/>
        <v>2</v>
      </c>
      <c r="H4286" s="4">
        <f t="shared" si="371"/>
        <v>2024</v>
      </c>
      <c r="I4286" s="2" t="s">
        <v>4</v>
      </c>
      <c r="J4286" s="2" t="s">
        <v>5088</v>
      </c>
      <c r="K4286" s="2" t="s">
        <v>1189</v>
      </c>
      <c r="L4286" s="2" t="s">
        <v>1190</v>
      </c>
      <c r="M4286" s="2" t="s">
        <v>139</v>
      </c>
      <c r="N4286" s="4" t="str">
        <f t="shared" si="372"/>
        <v>GAL</v>
      </c>
      <c r="O4286" s="5">
        <v>250</v>
      </c>
    </row>
    <row r="4287" spans="2:15" x14ac:dyDescent="0.25">
      <c r="B4287" s="1" t="s">
        <v>1410</v>
      </c>
      <c r="C4287" s="2" t="s">
        <v>525</v>
      </c>
      <c r="D4287" s="2" t="s">
        <v>628</v>
      </c>
      <c r="E4287" s="2" t="s">
        <v>1036</v>
      </c>
      <c r="F4287" s="3">
        <f>DATE(2024,2,5)</f>
        <v>45327</v>
      </c>
      <c r="G4287" s="4">
        <f t="shared" si="370"/>
        <v>2</v>
      </c>
      <c r="H4287" s="4">
        <f t="shared" si="371"/>
        <v>2024</v>
      </c>
      <c r="I4287" s="2" t="s">
        <v>4</v>
      </c>
      <c r="J4287" s="2" t="s">
        <v>5089</v>
      </c>
      <c r="K4287" s="2" t="s">
        <v>25</v>
      </c>
      <c r="L4287" s="2" t="s">
        <v>541</v>
      </c>
      <c r="M4287" s="2" t="s">
        <v>27</v>
      </c>
      <c r="N4287" s="4" t="str">
        <f t="shared" si="372"/>
        <v>GAL</v>
      </c>
      <c r="O4287" s="5">
        <v>180</v>
      </c>
    </row>
    <row r="4288" spans="2:15" x14ac:dyDescent="0.25">
      <c r="B4288" s="1" t="s">
        <v>1410</v>
      </c>
      <c r="C4288" s="2" t="s">
        <v>525</v>
      </c>
      <c r="D4288" s="2" t="s">
        <v>628</v>
      </c>
      <c r="E4288" s="2" t="s">
        <v>1036</v>
      </c>
      <c r="F4288" s="3">
        <f>DATE(2024,2,5)</f>
        <v>45327</v>
      </c>
      <c r="G4288" s="4">
        <f t="shared" si="370"/>
        <v>2</v>
      </c>
      <c r="H4288" s="4">
        <f t="shared" si="371"/>
        <v>2024</v>
      </c>
      <c r="I4288" s="2" t="s">
        <v>4</v>
      </c>
      <c r="J4288" s="2" t="s">
        <v>5089</v>
      </c>
      <c r="K4288" s="2" t="s">
        <v>158</v>
      </c>
      <c r="L4288" s="2" t="s">
        <v>159</v>
      </c>
      <c r="M4288" s="2" t="s">
        <v>160</v>
      </c>
      <c r="N4288" s="4" t="str">
        <f t="shared" si="372"/>
        <v>GAL</v>
      </c>
      <c r="O4288" s="5">
        <v>360</v>
      </c>
    </row>
    <row r="4289" spans="2:15" x14ac:dyDescent="0.25">
      <c r="B4289" s="1" t="s">
        <v>1410</v>
      </c>
      <c r="C4289" s="2" t="s">
        <v>525</v>
      </c>
      <c r="D4289" s="2" t="s">
        <v>124</v>
      </c>
      <c r="E4289" s="2" t="s">
        <v>526</v>
      </c>
      <c r="F4289" s="3">
        <f>DATE(2024,2,9)</f>
        <v>45331</v>
      </c>
      <c r="G4289" s="4">
        <f t="shared" si="370"/>
        <v>2</v>
      </c>
      <c r="H4289" s="4">
        <f t="shared" si="371"/>
        <v>2024</v>
      </c>
      <c r="I4289" s="2" t="s">
        <v>4</v>
      </c>
      <c r="J4289" s="2" t="s">
        <v>5090</v>
      </c>
      <c r="K4289" s="2" t="s">
        <v>4788</v>
      </c>
      <c r="L4289" s="2" t="s">
        <v>4789</v>
      </c>
      <c r="M4289" s="2" t="s">
        <v>119</v>
      </c>
      <c r="N4289" s="4" t="str">
        <f t="shared" si="372"/>
        <v>TON</v>
      </c>
      <c r="O4289" s="5">
        <v>7.5075000000000003</v>
      </c>
    </row>
    <row r="4290" spans="2:15" x14ac:dyDescent="0.25">
      <c r="B4290" s="1" t="s">
        <v>1410</v>
      </c>
      <c r="C4290" s="2" t="s">
        <v>525</v>
      </c>
      <c r="D4290" s="2" t="s">
        <v>507</v>
      </c>
      <c r="E4290" s="2" t="s">
        <v>508</v>
      </c>
      <c r="F4290" s="3">
        <f>DATE(2024,2,12)</f>
        <v>45334</v>
      </c>
      <c r="G4290" s="4">
        <f t="shared" si="370"/>
        <v>2</v>
      </c>
      <c r="H4290" s="4">
        <f t="shared" si="371"/>
        <v>2024</v>
      </c>
      <c r="I4290" s="2" t="s">
        <v>4</v>
      </c>
      <c r="J4290" s="2" t="s">
        <v>5091</v>
      </c>
      <c r="K4290" s="2" t="s">
        <v>329</v>
      </c>
      <c r="L4290" s="2" t="s">
        <v>330</v>
      </c>
      <c r="M4290" s="2" t="s">
        <v>119</v>
      </c>
      <c r="N4290" s="4" t="str">
        <f t="shared" si="372"/>
        <v>TON</v>
      </c>
      <c r="O4290" s="5">
        <v>2.4950000000000001</v>
      </c>
    </row>
    <row r="4291" spans="2:15" x14ac:dyDescent="0.25">
      <c r="B4291" s="1" t="s">
        <v>1410</v>
      </c>
      <c r="C4291" s="2" t="s">
        <v>525</v>
      </c>
      <c r="D4291" s="2" t="s">
        <v>124</v>
      </c>
      <c r="E4291" s="2" t="s">
        <v>526</v>
      </c>
      <c r="F4291" s="3">
        <f>DATE(2024,2,14)</f>
        <v>45336</v>
      </c>
      <c r="G4291" s="4">
        <f t="shared" si="370"/>
        <v>2</v>
      </c>
      <c r="H4291" s="4">
        <f t="shared" si="371"/>
        <v>2024</v>
      </c>
      <c r="I4291" s="2" t="s">
        <v>4</v>
      </c>
      <c r="J4291" s="2" t="s">
        <v>5092</v>
      </c>
      <c r="K4291" s="2" t="s">
        <v>4788</v>
      </c>
      <c r="L4291" s="2" t="s">
        <v>4789</v>
      </c>
      <c r="M4291" s="2" t="s">
        <v>119</v>
      </c>
      <c r="N4291" s="4" t="str">
        <f t="shared" si="372"/>
        <v>TON</v>
      </c>
      <c r="O4291" s="5">
        <v>2.4975000000000001</v>
      </c>
    </row>
    <row r="4292" spans="2:15" x14ac:dyDescent="0.25">
      <c r="B4292" s="1" t="s">
        <v>1410</v>
      </c>
      <c r="C4292" s="2" t="s">
        <v>525</v>
      </c>
      <c r="D4292" s="2" t="s">
        <v>124</v>
      </c>
      <c r="E4292" s="2" t="s">
        <v>526</v>
      </c>
      <c r="F4292" s="3">
        <f>DATE(2024,2,15)</f>
        <v>45337</v>
      </c>
      <c r="G4292" s="4">
        <f t="shared" si="370"/>
        <v>2</v>
      </c>
      <c r="H4292" s="4">
        <f t="shared" si="371"/>
        <v>2024</v>
      </c>
      <c r="I4292" s="2" t="s">
        <v>4</v>
      </c>
      <c r="J4292" s="2" t="s">
        <v>5093</v>
      </c>
      <c r="K4292" s="2" t="s">
        <v>4788</v>
      </c>
      <c r="L4292" s="2" t="s">
        <v>4789</v>
      </c>
      <c r="M4292" s="2" t="s">
        <v>119</v>
      </c>
      <c r="N4292" s="4" t="str">
        <f t="shared" si="372"/>
        <v>TON</v>
      </c>
      <c r="O4292" s="5">
        <v>2.5125000000000002</v>
      </c>
    </row>
    <row r="4293" spans="2:15" x14ac:dyDescent="0.25">
      <c r="B4293" s="1" t="s">
        <v>1410</v>
      </c>
      <c r="C4293" s="2" t="s">
        <v>525</v>
      </c>
      <c r="D4293" s="2" t="s">
        <v>628</v>
      </c>
      <c r="E4293" s="2" t="s">
        <v>1036</v>
      </c>
      <c r="F4293" s="3">
        <f>DATE(2024,2,16)</f>
        <v>45338</v>
      </c>
      <c r="G4293" s="4">
        <f t="shared" si="370"/>
        <v>2</v>
      </c>
      <c r="H4293" s="4">
        <f t="shared" si="371"/>
        <v>2024</v>
      </c>
      <c r="I4293" s="2" t="s">
        <v>4</v>
      </c>
      <c r="J4293" s="2" t="s">
        <v>5094</v>
      </c>
      <c r="K4293" s="2" t="s">
        <v>609</v>
      </c>
      <c r="L4293" s="2" t="s">
        <v>610</v>
      </c>
      <c r="M4293" s="2" t="s">
        <v>611</v>
      </c>
      <c r="N4293" s="4" t="str">
        <f t="shared" si="372"/>
        <v>GAL</v>
      </c>
      <c r="O4293" s="5">
        <v>180</v>
      </c>
    </row>
    <row r="4294" spans="2:15" x14ac:dyDescent="0.25">
      <c r="B4294" s="1" t="s">
        <v>1410</v>
      </c>
      <c r="C4294" s="2" t="s">
        <v>525</v>
      </c>
      <c r="D4294" s="2" t="s">
        <v>628</v>
      </c>
      <c r="E4294" s="2" t="s">
        <v>1036</v>
      </c>
      <c r="F4294" s="3">
        <f>DATE(2024,2,16)</f>
        <v>45338</v>
      </c>
      <c r="G4294" s="4">
        <f t="shared" si="370"/>
        <v>2</v>
      </c>
      <c r="H4294" s="4">
        <f t="shared" si="371"/>
        <v>2024</v>
      </c>
      <c r="I4294" s="2" t="s">
        <v>4</v>
      </c>
      <c r="J4294" s="2" t="s">
        <v>5094</v>
      </c>
      <c r="K4294" s="2" t="s">
        <v>531</v>
      </c>
      <c r="L4294" s="2" t="s">
        <v>201</v>
      </c>
      <c r="M4294" s="2" t="s">
        <v>202</v>
      </c>
      <c r="N4294" s="4" t="str">
        <f t="shared" si="372"/>
        <v>GAL</v>
      </c>
      <c r="O4294" s="5">
        <v>300</v>
      </c>
    </row>
    <row r="4295" spans="2:15" x14ac:dyDescent="0.25">
      <c r="B4295" s="1" t="s">
        <v>1410</v>
      </c>
      <c r="C4295" s="2" t="s">
        <v>525</v>
      </c>
      <c r="D4295" s="2" t="s">
        <v>646</v>
      </c>
      <c r="E4295" s="2" t="s">
        <v>647</v>
      </c>
      <c r="F4295" s="3">
        <f>DATE(2024,2,21)</f>
        <v>45343</v>
      </c>
      <c r="G4295" s="4">
        <f t="shared" si="370"/>
        <v>2</v>
      </c>
      <c r="H4295" s="4">
        <f t="shared" si="371"/>
        <v>2024</v>
      </c>
      <c r="I4295" s="2" t="s">
        <v>4</v>
      </c>
      <c r="J4295" s="2" t="s">
        <v>5095</v>
      </c>
      <c r="K4295" s="2" t="s">
        <v>649</v>
      </c>
      <c r="L4295" s="2" t="s">
        <v>538</v>
      </c>
      <c r="M4295" s="2" t="s">
        <v>4243</v>
      </c>
      <c r="N4295" s="4" t="str">
        <f t="shared" si="372"/>
        <v>GAL</v>
      </c>
      <c r="O4295" s="5">
        <v>750</v>
      </c>
    </row>
    <row r="4296" spans="2:15" x14ac:dyDescent="0.25">
      <c r="B4296" s="1" t="s">
        <v>1410</v>
      </c>
      <c r="C4296" s="2" t="s">
        <v>525</v>
      </c>
      <c r="D4296" s="2" t="s">
        <v>646</v>
      </c>
      <c r="E4296" s="2" t="s">
        <v>647</v>
      </c>
      <c r="F4296" s="3">
        <f>DATE(2024,2,26)</f>
        <v>45348</v>
      </c>
      <c r="G4296" s="4">
        <f t="shared" si="370"/>
        <v>2</v>
      </c>
      <c r="H4296" s="4">
        <f t="shared" si="371"/>
        <v>2024</v>
      </c>
      <c r="I4296" s="2" t="s">
        <v>4</v>
      </c>
      <c r="J4296" s="2" t="s">
        <v>5096</v>
      </c>
      <c r="K4296" s="2" t="s">
        <v>649</v>
      </c>
      <c r="L4296" s="2" t="s">
        <v>538</v>
      </c>
      <c r="M4296" s="2" t="s">
        <v>4243</v>
      </c>
      <c r="N4296" s="4" t="str">
        <f t="shared" si="372"/>
        <v>GAL</v>
      </c>
      <c r="O4296" s="5">
        <v>750</v>
      </c>
    </row>
    <row r="4297" spans="2:15" x14ac:dyDescent="0.25">
      <c r="B4297" s="1" t="s">
        <v>1410</v>
      </c>
      <c r="C4297" s="2" t="s">
        <v>525</v>
      </c>
      <c r="D4297" s="2" t="s">
        <v>628</v>
      </c>
      <c r="E4297" s="2" t="s">
        <v>1036</v>
      </c>
      <c r="F4297" s="3">
        <f>DATE(2024,2,28)</f>
        <v>45350</v>
      </c>
      <c r="G4297" s="4">
        <f t="shared" si="370"/>
        <v>2</v>
      </c>
      <c r="H4297" s="4">
        <f t="shared" si="371"/>
        <v>2024</v>
      </c>
      <c r="I4297" s="2" t="s">
        <v>4</v>
      </c>
      <c r="J4297" s="2" t="s">
        <v>5097</v>
      </c>
      <c r="K4297" s="2" t="s">
        <v>25</v>
      </c>
      <c r="L4297" s="2" t="s">
        <v>541</v>
      </c>
      <c r="M4297" s="2" t="s">
        <v>27</v>
      </c>
      <c r="N4297" s="4" t="str">
        <f t="shared" si="372"/>
        <v>GAL</v>
      </c>
      <c r="O4297" s="5">
        <v>130</v>
      </c>
    </row>
    <row r="4298" spans="2:15" x14ac:dyDescent="0.25">
      <c r="B4298" s="1" t="s">
        <v>1410</v>
      </c>
      <c r="C4298" s="2" t="s">
        <v>525</v>
      </c>
      <c r="D4298" s="2" t="s">
        <v>124</v>
      </c>
      <c r="E4298" s="2" t="s">
        <v>526</v>
      </c>
      <c r="F4298" s="3">
        <f>DATE(2024,2,29)</f>
        <v>45351</v>
      </c>
      <c r="G4298" s="4">
        <f t="shared" si="370"/>
        <v>2</v>
      </c>
      <c r="H4298" s="4">
        <f t="shared" si="371"/>
        <v>2024</v>
      </c>
      <c r="I4298" s="2" t="s">
        <v>4</v>
      </c>
      <c r="J4298" s="2" t="s">
        <v>5098</v>
      </c>
      <c r="K4298" s="2" t="s">
        <v>4788</v>
      </c>
      <c r="L4298" s="2" t="s">
        <v>4789</v>
      </c>
      <c r="M4298" s="2" t="s">
        <v>119</v>
      </c>
      <c r="N4298" s="4" t="str">
        <f t="shared" si="372"/>
        <v>TON</v>
      </c>
      <c r="O4298" s="5">
        <v>10.0175</v>
      </c>
    </row>
    <row r="4299" spans="2:15" x14ac:dyDescent="0.25">
      <c r="B4299" s="1" t="s">
        <v>1410</v>
      </c>
      <c r="C4299" s="2" t="s">
        <v>525</v>
      </c>
      <c r="D4299" s="2" t="s">
        <v>507</v>
      </c>
      <c r="E4299" s="2" t="s">
        <v>508</v>
      </c>
      <c r="F4299" s="3">
        <f>DATE(2024,2,29)</f>
        <v>45351</v>
      </c>
      <c r="G4299" s="4">
        <f t="shared" si="370"/>
        <v>2</v>
      </c>
      <c r="H4299" s="4">
        <f t="shared" si="371"/>
        <v>2024</v>
      </c>
      <c r="I4299" s="2" t="s">
        <v>4</v>
      </c>
      <c r="J4299" s="2" t="s">
        <v>5099</v>
      </c>
      <c r="K4299" s="2" t="s">
        <v>329</v>
      </c>
      <c r="L4299" s="2" t="s">
        <v>330</v>
      </c>
      <c r="M4299" s="2" t="s">
        <v>119</v>
      </c>
      <c r="N4299" s="4" t="str">
        <f t="shared" si="372"/>
        <v>TON</v>
      </c>
      <c r="O4299" s="5">
        <v>2.5</v>
      </c>
    </row>
    <row r="4300" spans="2:15" x14ac:dyDescent="0.25">
      <c r="B4300" s="1" t="s">
        <v>1410</v>
      </c>
      <c r="C4300" s="2" t="s">
        <v>525</v>
      </c>
      <c r="D4300" s="2" t="s">
        <v>507</v>
      </c>
      <c r="E4300" s="2" t="s">
        <v>508</v>
      </c>
      <c r="F4300" s="3">
        <f>DATE(2024,2,29)</f>
        <v>45351</v>
      </c>
      <c r="G4300" s="4">
        <f t="shared" si="370"/>
        <v>2</v>
      </c>
      <c r="H4300" s="4">
        <f t="shared" si="371"/>
        <v>2024</v>
      </c>
      <c r="I4300" s="2" t="s">
        <v>4</v>
      </c>
      <c r="J4300" s="2" t="s">
        <v>5100</v>
      </c>
      <c r="K4300" s="2" t="s">
        <v>158</v>
      </c>
      <c r="L4300" s="2" t="s">
        <v>159</v>
      </c>
      <c r="M4300" s="2" t="s">
        <v>160</v>
      </c>
      <c r="N4300" s="4" t="str">
        <f t="shared" si="372"/>
        <v>GAL</v>
      </c>
      <c r="O4300" s="5">
        <v>360</v>
      </c>
    </row>
    <row r="4301" spans="2:15" x14ac:dyDescent="0.25">
      <c r="B4301" s="1" t="s">
        <v>1410</v>
      </c>
      <c r="C4301" s="2" t="s">
        <v>525</v>
      </c>
      <c r="D4301" s="2" t="s">
        <v>628</v>
      </c>
      <c r="E4301" s="2" t="s">
        <v>1036</v>
      </c>
      <c r="F4301" s="3">
        <f>DATE(2024,2,29)</f>
        <v>45351</v>
      </c>
      <c r="G4301" s="4">
        <f t="shared" si="370"/>
        <v>2</v>
      </c>
      <c r="H4301" s="4">
        <f t="shared" si="371"/>
        <v>2024</v>
      </c>
      <c r="I4301" s="2" t="s">
        <v>4</v>
      </c>
      <c r="J4301" s="2" t="s">
        <v>5101</v>
      </c>
      <c r="K4301" s="2" t="s">
        <v>25</v>
      </c>
      <c r="L4301" s="2" t="s">
        <v>541</v>
      </c>
      <c r="M4301" s="2" t="s">
        <v>27</v>
      </c>
      <c r="N4301" s="4" t="str">
        <f t="shared" si="372"/>
        <v>GAL</v>
      </c>
      <c r="O4301" s="5">
        <v>360</v>
      </c>
    </row>
    <row r="4302" spans="2:15" x14ac:dyDescent="0.25">
      <c r="B4302" s="1" t="s">
        <v>1410</v>
      </c>
      <c r="C4302" s="2" t="s">
        <v>525</v>
      </c>
      <c r="D4302" s="2" t="s">
        <v>507</v>
      </c>
      <c r="E4302" s="2" t="s">
        <v>508</v>
      </c>
      <c r="F4302" s="3">
        <f>DATE(2024,2,29)</f>
        <v>45351</v>
      </c>
      <c r="G4302" s="4">
        <f t="shared" si="370"/>
        <v>2</v>
      </c>
      <c r="H4302" s="4">
        <f t="shared" si="371"/>
        <v>2024</v>
      </c>
      <c r="I4302" s="2" t="s">
        <v>4</v>
      </c>
      <c r="J4302" s="2" t="s">
        <v>5102</v>
      </c>
      <c r="K4302" s="2" t="s">
        <v>137</v>
      </c>
      <c r="L4302" s="2" t="s">
        <v>1190</v>
      </c>
      <c r="M4302" s="2" t="s">
        <v>139</v>
      </c>
      <c r="N4302" s="4" t="str">
        <f t="shared" si="372"/>
        <v>GAL</v>
      </c>
      <c r="O4302" s="5">
        <v>180</v>
      </c>
    </row>
    <row r="4303" spans="2:15" x14ac:dyDescent="0.25">
      <c r="B4303" s="1" t="s">
        <v>645</v>
      </c>
      <c r="C4303" s="2" t="s">
        <v>533</v>
      </c>
      <c r="D4303" s="2" t="s">
        <v>562</v>
      </c>
      <c r="E4303" s="2" t="s">
        <v>2118</v>
      </c>
      <c r="F4303" s="3">
        <f>DATE(2024,2,6)</f>
        <v>45328</v>
      </c>
      <c r="G4303" s="4">
        <f t="shared" si="370"/>
        <v>2</v>
      </c>
      <c r="H4303" s="4">
        <f t="shared" si="371"/>
        <v>2024</v>
      </c>
      <c r="I4303" s="2" t="s">
        <v>4</v>
      </c>
      <c r="J4303" s="2" t="s">
        <v>5103</v>
      </c>
      <c r="K4303" s="2" t="s">
        <v>19</v>
      </c>
      <c r="L4303" s="2" t="s">
        <v>565</v>
      </c>
      <c r="M4303" s="2" t="s">
        <v>21</v>
      </c>
      <c r="N4303" s="4" t="str">
        <f t="shared" si="372"/>
        <v>GAL</v>
      </c>
      <c r="O4303" s="5">
        <v>360</v>
      </c>
    </row>
    <row r="4304" spans="2:15" x14ac:dyDescent="0.25">
      <c r="B4304" s="1" t="s">
        <v>1050</v>
      </c>
      <c r="C4304" s="2" t="s">
        <v>533</v>
      </c>
      <c r="D4304" s="2" t="s">
        <v>557</v>
      </c>
      <c r="E4304" s="2" t="s">
        <v>2509</v>
      </c>
      <c r="F4304" s="3">
        <f>DATE(2024,2,7)</f>
        <v>45329</v>
      </c>
      <c r="G4304" s="4">
        <f t="shared" si="370"/>
        <v>2</v>
      </c>
      <c r="H4304" s="4">
        <f t="shared" si="371"/>
        <v>2024</v>
      </c>
      <c r="I4304" s="2" t="s">
        <v>4</v>
      </c>
      <c r="J4304" s="2" t="s">
        <v>5104</v>
      </c>
      <c r="K4304" s="2" t="s">
        <v>2128</v>
      </c>
      <c r="L4304" s="2" t="s">
        <v>2129</v>
      </c>
      <c r="M4304" s="2" t="s">
        <v>106</v>
      </c>
      <c r="N4304" s="4" t="str">
        <f t="shared" si="372"/>
        <v>LBS</v>
      </c>
      <c r="O4304" s="5">
        <v>5000</v>
      </c>
    </row>
    <row r="4305" spans="2:15" x14ac:dyDescent="0.25">
      <c r="B4305" s="1" t="s">
        <v>1050</v>
      </c>
      <c r="C4305" s="2" t="s">
        <v>533</v>
      </c>
      <c r="D4305" s="2" t="s">
        <v>557</v>
      </c>
      <c r="E4305" s="2" t="s">
        <v>1059</v>
      </c>
      <c r="F4305" s="3">
        <f>DATE(2024,2,8)</f>
        <v>45330</v>
      </c>
      <c r="G4305" s="4">
        <f t="shared" si="370"/>
        <v>2</v>
      </c>
      <c r="H4305" s="4">
        <f t="shared" si="371"/>
        <v>2024</v>
      </c>
      <c r="I4305" s="2" t="s">
        <v>4</v>
      </c>
      <c r="J4305" s="2" t="s">
        <v>5105</v>
      </c>
      <c r="K4305" s="2" t="s">
        <v>1056</v>
      </c>
      <c r="L4305" s="2" t="s">
        <v>1057</v>
      </c>
      <c r="M4305" s="2" t="s">
        <v>1058</v>
      </c>
      <c r="N4305" s="4" t="str">
        <f t="shared" si="372"/>
        <v>GAL</v>
      </c>
      <c r="O4305" s="5">
        <v>3710</v>
      </c>
    </row>
    <row r="4306" spans="2:15" x14ac:dyDescent="0.25">
      <c r="B4306" s="1" t="s">
        <v>1050</v>
      </c>
      <c r="C4306" s="2" t="s">
        <v>533</v>
      </c>
      <c r="D4306" s="2" t="s">
        <v>557</v>
      </c>
      <c r="E4306" s="2" t="s">
        <v>3080</v>
      </c>
      <c r="F4306" s="3">
        <f>DATE(2024,2,8)</f>
        <v>45330</v>
      </c>
      <c r="G4306" s="4">
        <f t="shared" si="370"/>
        <v>2</v>
      </c>
      <c r="H4306" s="4">
        <f t="shared" si="371"/>
        <v>2024</v>
      </c>
      <c r="I4306" s="2" t="s">
        <v>4</v>
      </c>
      <c r="J4306" s="2" t="s">
        <v>5106</v>
      </c>
      <c r="K4306" s="2" t="s">
        <v>2123</v>
      </c>
      <c r="L4306" s="2" t="s">
        <v>2124</v>
      </c>
      <c r="M4306" s="2" t="s">
        <v>106</v>
      </c>
      <c r="N4306" s="4" t="str">
        <f t="shared" si="372"/>
        <v>LBS</v>
      </c>
      <c r="O4306" s="5">
        <v>1800</v>
      </c>
    </row>
    <row r="4307" spans="2:15" x14ac:dyDescent="0.25">
      <c r="B4307" s="1" t="s">
        <v>645</v>
      </c>
      <c r="C4307" s="2" t="s">
        <v>533</v>
      </c>
      <c r="D4307" s="2" t="s">
        <v>1047</v>
      </c>
      <c r="E4307" s="2" t="s">
        <v>2511</v>
      </c>
      <c r="F4307" s="3">
        <f>DATE(2024,2,9)</f>
        <v>45331</v>
      </c>
      <c r="G4307" s="4">
        <f t="shared" si="370"/>
        <v>2</v>
      </c>
      <c r="H4307" s="4">
        <f t="shared" si="371"/>
        <v>2024</v>
      </c>
      <c r="I4307" s="2" t="s">
        <v>4</v>
      </c>
      <c r="J4307" s="2" t="s">
        <v>5107</v>
      </c>
      <c r="K4307" s="2" t="s">
        <v>50</v>
      </c>
      <c r="L4307" s="2" t="s">
        <v>550</v>
      </c>
      <c r="M4307" s="2" t="s">
        <v>52</v>
      </c>
      <c r="N4307" s="4" t="str">
        <f t="shared" si="372"/>
        <v>GAL</v>
      </c>
      <c r="O4307" s="5">
        <v>80</v>
      </c>
    </row>
    <row r="4308" spans="2:15" x14ac:dyDescent="0.25">
      <c r="B4308" s="1" t="s">
        <v>1050</v>
      </c>
      <c r="C4308" s="2" t="s">
        <v>533</v>
      </c>
      <c r="D4308" s="2" t="s">
        <v>557</v>
      </c>
      <c r="E4308" s="2" t="s">
        <v>1767</v>
      </c>
      <c r="F4308" s="3">
        <f>DATE(2024,2,9)</f>
        <v>45331</v>
      </c>
      <c r="G4308" s="4">
        <f t="shared" si="370"/>
        <v>2</v>
      </c>
      <c r="H4308" s="4">
        <f t="shared" si="371"/>
        <v>2024</v>
      </c>
      <c r="I4308" s="2" t="s">
        <v>4</v>
      </c>
      <c r="J4308" s="2" t="s">
        <v>5108</v>
      </c>
      <c r="K4308" s="2" t="s">
        <v>1056</v>
      </c>
      <c r="L4308" s="2" t="s">
        <v>1057</v>
      </c>
      <c r="M4308" s="2" t="s">
        <v>1058</v>
      </c>
      <c r="N4308" s="4" t="str">
        <f t="shared" si="372"/>
        <v>GAL</v>
      </c>
      <c r="O4308" s="5">
        <v>3710</v>
      </c>
    </row>
    <row r="4309" spans="2:15" x14ac:dyDescent="0.25">
      <c r="B4309" s="1" t="s">
        <v>645</v>
      </c>
      <c r="C4309" s="2" t="s">
        <v>533</v>
      </c>
      <c r="D4309" s="2" t="s">
        <v>557</v>
      </c>
      <c r="E4309" s="2" t="s">
        <v>567</v>
      </c>
      <c r="F4309" s="3">
        <f>DATE(2024,2,12)</f>
        <v>45334</v>
      </c>
      <c r="G4309" s="4">
        <f t="shared" si="370"/>
        <v>2</v>
      </c>
      <c r="H4309" s="4">
        <f t="shared" si="371"/>
        <v>2024</v>
      </c>
      <c r="I4309" s="2" t="s">
        <v>4</v>
      </c>
      <c r="J4309" s="2" t="s">
        <v>5109</v>
      </c>
      <c r="K4309" s="2" t="s">
        <v>569</v>
      </c>
      <c r="L4309" s="2" t="s">
        <v>570</v>
      </c>
      <c r="M4309" s="2" t="s">
        <v>106</v>
      </c>
      <c r="N4309" s="4" t="str">
        <f t="shared" si="372"/>
        <v>LBS</v>
      </c>
      <c r="O4309" s="5">
        <v>2500</v>
      </c>
    </row>
    <row r="4310" spans="2:15" x14ac:dyDescent="0.25">
      <c r="B4310" s="1" t="s">
        <v>1050</v>
      </c>
      <c r="C4310" s="2" t="s">
        <v>533</v>
      </c>
      <c r="D4310" s="2" t="s">
        <v>557</v>
      </c>
      <c r="E4310" s="2" t="s">
        <v>5110</v>
      </c>
      <c r="F4310" s="3">
        <f>DATE(2024,2,13)</f>
        <v>45335</v>
      </c>
      <c r="G4310" s="4">
        <f t="shared" ref="G4310:G4344" si="374">MONTH(F4310)</f>
        <v>2</v>
      </c>
      <c r="H4310" s="4">
        <f t="shared" ref="H4310:H4344" si="375">YEAR(F4310)</f>
        <v>2024</v>
      </c>
      <c r="I4310" s="2" t="s">
        <v>4</v>
      </c>
      <c r="J4310" s="2" t="s">
        <v>5111</v>
      </c>
      <c r="K4310" s="2" t="s">
        <v>1424</v>
      </c>
      <c r="L4310" s="2" t="s">
        <v>1057</v>
      </c>
      <c r="M4310" s="2" t="s">
        <v>1058</v>
      </c>
      <c r="N4310" s="4" t="str">
        <f t="shared" ref="N4310:N4344" si="376">LEFT(M4310,3)</f>
        <v>GAL</v>
      </c>
      <c r="O4310" s="5">
        <v>3600</v>
      </c>
    </row>
    <row r="4311" spans="2:15" x14ac:dyDescent="0.25">
      <c r="B4311" s="1" t="s">
        <v>1050</v>
      </c>
      <c r="C4311" s="2" t="s">
        <v>533</v>
      </c>
      <c r="D4311" s="2" t="s">
        <v>557</v>
      </c>
      <c r="E4311" s="2" t="s">
        <v>1763</v>
      </c>
      <c r="F4311" s="3">
        <f>DATE(2024,2,15)</f>
        <v>45337</v>
      </c>
      <c r="G4311" s="4">
        <f t="shared" si="374"/>
        <v>2</v>
      </c>
      <c r="H4311" s="4">
        <f t="shared" si="375"/>
        <v>2024</v>
      </c>
      <c r="I4311" s="2" t="s">
        <v>4</v>
      </c>
      <c r="J4311" s="2" t="s">
        <v>5112</v>
      </c>
      <c r="K4311" s="2" t="s">
        <v>1424</v>
      </c>
      <c r="L4311" s="2" t="s">
        <v>1057</v>
      </c>
      <c r="M4311" s="2" t="s">
        <v>1058</v>
      </c>
      <c r="N4311" s="4" t="str">
        <f t="shared" si="376"/>
        <v>GAL</v>
      </c>
      <c r="O4311" s="5">
        <v>3600</v>
      </c>
    </row>
    <row r="4312" spans="2:15" x14ac:dyDescent="0.25">
      <c r="B4312" s="1" t="s">
        <v>645</v>
      </c>
      <c r="C4312" s="2" t="s">
        <v>533</v>
      </c>
      <c r="D4312" s="2" t="s">
        <v>557</v>
      </c>
      <c r="E4312" s="2" t="s">
        <v>2160</v>
      </c>
      <c r="F4312" s="3">
        <f>DATE(2024,2,15)</f>
        <v>45337</v>
      </c>
      <c r="G4312" s="4">
        <f t="shared" si="374"/>
        <v>2</v>
      </c>
      <c r="H4312" s="4">
        <f t="shared" si="375"/>
        <v>2024</v>
      </c>
      <c r="I4312" s="2" t="s">
        <v>4</v>
      </c>
      <c r="J4312" s="2" t="s">
        <v>5113</v>
      </c>
      <c r="K4312" s="2" t="s">
        <v>2516</v>
      </c>
      <c r="L4312" s="2" t="s">
        <v>2163</v>
      </c>
      <c r="M4312" s="2" t="s">
        <v>106</v>
      </c>
      <c r="N4312" s="4" t="str">
        <f t="shared" si="376"/>
        <v>LBS</v>
      </c>
      <c r="O4312" s="5">
        <v>28050</v>
      </c>
    </row>
    <row r="4313" spans="2:15" x14ac:dyDescent="0.25">
      <c r="B4313" s="1" t="s">
        <v>645</v>
      </c>
      <c r="C4313" s="2" t="s">
        <v>533</v>
      </c>
      <c r="D4313" s="2" t="s">
        <v>557</v>
      </c>
      <c r="E4313" s="2" t="s">
        <v>2160</v>
      </c>
      <c r="F4313" s="3">
        <f>DATE(2024,2,15)</f>
        <v>45337</v>
      </c>
      <c r="G4313" s="4">
        <f t="shared" si="374"/>
        <v>2</v>
      </c>
      <c r="H4313" s="4">
        <f t="shared" si="375"/>
        <v>2024</v>
      </c>
      <c r="I4313" s="2" t="s">
        <v>4</v>
      </c>
      <c r="J4313" s="2" t="s">
        <v>5113</v>
      </c>
      <c r="K4313" s="2" t="s">
        <v>2162</v>
      </c>
      <c r="L4313" s="2" t="s">
        <v>2163</v>
      </c>
      <c r="M4313" s="2" t="s">
        <v>106</v>
      </c>
      <c r="N4313" s="4" t="str">
        <f t="shared" si="376"/>
        <v>LBS</v>
      </c>
      <c r="O4313" s="5">
        <v>12600</v>
      </c>
    </row>
    <row r="4314" spans="2:15" x14ac:dyDescent="0.25">
      <c r="B4314" s="1" t="s">
        <v>1050</v>
      </c>
      <c r="C4314" s="2" t="s">
        <v>533</v>
      </c>
      <c r="D4314" s="2" t="s">
        <v>557</v>
      </c>
      <c r="E4314" s="2" t="s">
        <v>5114</v>
      </c>
      <c r="F4314" s="3">
        <f>DATE(2024,2,16)</f>
        <v>45338</v>
      </c>
      <c r="G4314" s="4">
        <f t="shared" si="374"/>
        <v>2</v>
      </c>
      <c r="H4314" s="4">
        <f t="shared" si="375"/>
        <v>2024</v>
      </c>
      <c r="I4314" s="2" t="s">
        <v>4</v>
      </c>
      <c r="J4314" s="2" t="s">
        <v>5115</v>
      </c>
      <c r="K4314" s="2" t="s">
        <v>3078</v>
      </c>
      <c r="L4314" s="2" t="s">
        <v>3079</v>
      </c>
      <c r="M4314" s="2" t="s">
        <v>13</v>
      </c>
      <c r="N4314" s="4" t="str">
        <f t="shared" si="376"/>
        <v>GAL</v>
      </c>
      <c r="O4314" s="5">
        <v>180</v>
      </c>
    </row>
    <row r="4315" spans="2:15" x14ac:dyDescent="0.25">
      <c r="B4315" s="1" t="s">
        <v>645</v>
      </c>
      <c r="C4315" s="2" t="s">
        <v>533</v>
      </c>
      <c r="D4315" s="2" t="s">
        <v>557</v>
      </c>
      <c r="E4315" s="2" t="s">
        <v>1090</v>
      </c>
      <c r="F4315" s="3">
        <f>DATE(2024,2,16)</f>
        <v>45338</v>
      </c>
      <c r="G4315" s="4">
        <f t="shared" si="374"/>
        <v>2</v>
      </c>
      <c r="H4315" s="4">
        <f t="shared" si="375"/>
        <v>2024</v>
      </c>
      <c r="I4315" s="2" t="s">
        <v>4</v>
      </c>
      <c r="J4315" s="2" t="s">
        <v>5116</v>
      </c>
      <c r="K4315" s="2" t="s">
        <v>2123</v>
      </c>
      <c r="L4315" s="2" t="s">
        <v>2124</v>
      </c>
      <c r="M4315" s="2" t="s">
        <v>106</v>
      </c>
      <c r="N4315" s="4" t="str">
        <f t="shared" si="376"/>
        <v>LBS</v>
      </c>
      <c r="O4315" s="5">
        <v>7200</v>
      </c>
    </row>
    <row r="4316" spans="2:15" x14ac:dyDescent="0.25">
      <c r="B4316" s="1" t="s">
        <v>1050</v>
      </c>
      <c r="C4316" s="2" t="s">
        <v>533</v>
      </c>
      <c r="D4316" s="2" t="s">
        <v>557</v>
      </c>
      <c r="E4316" s="2" t="s">
        <v>1059</v>
      </c>
      <c r="F4316" s="3">
        <f>DATE(2024,2,19)</f>
        <v>45341</v>
      </c>
      <c r="G4316" s="4">
        <f t="shared" si="374"/>
        <v>2</v>
      </c>
      <c r="H4316" s="4">
        <f t="shared" si="375"/>
        <v>2024</v>
      </c>
      <c r="I4316" s="2" t="s">
        <v>4</v>
      </c>
      <c r="J4316" s="2" t="s">
        <v>5117</v>
      </c>
      <c r="K4316" s="2" t="s">
        <v>1424</v>
      </c>
      <c r="L4316" s="2" t="s">
        <v>1057</v>
      </c>
      <c r="M4316" s="2" t="s">
        <v>1058</v>
      </c>
      <c r="N4316" s="4" t="str">
        <f t="shared" si="376"/>
        <v>GAL</v>
      </c>
      <c r="O4316" s="5">
        <v>3600</v>
      </c>
    </row>
    <row r="4317" spans="2:15" x14ac:dyDescent="0.25">
      <c r="B4317" s="1" t="s">
        <v>645</v>
      </c>
      <c r="C4317" s="2" t="s">
        <v>533</v>
      </c>
      <c r="D4317" s="2" t="s">
        <v>557</v>
      </c>
      <c r="E4317" s="2" t="s">
        <v>1090</v>
      </c>
      <c r="F4317" s="3">
        <f>DATE(2024,2,20)</f>
        <v>45342</v>
      </c>
      <c r="G4317" s="4">
        <f t="shared" si="374"/>
        <v>2</v>
      </c>
      <c r="H4317" s="4">
        <f t="shared" si="375"/>
        <v>2024</v>
      </c>
      <c r="I4317" s="2" t="s">
        <v>4</v>
      </c>
      <c r="J4317" s="2" t="s">
        <v>5118</v>
      </c>
      <c r="K4317" s="2" t="s">
        <v>2127</v>
      </c>
      <c r="L4317" s="2" t="s">
        <v>2126</v>
      </c>
      <c r="M4317" s="2" t="s">
        <v>106</v>
      </c>
      <c r="N4317" s="4" t="str">
        <f t="shared" si="376"/>
        <v>LBS</v>
      </c>
      <c r="O4317" s="5">
        <v>7200</v>
      </c>
    </row>
    <row r="4318" spans="2:15" x14ac:dyDescent="0.25">
      <c r="B4318" s="1" t="s">
        <v>1050</v>
      </c>
      <c r="C4318" s="2" t="s">
        <v>533</v>
      </c>
      <c r="D4318" s="2" t="s">
        <v>557</v>
      </c>
      <c r="E4318" s="2" t="s">
        <v>2140</v>
      </c>
      <c r="F4318" s="3">
        <f>DATE(2024,2,20)</f>
        <v>45342</v>
      </c>
      <c r="G4318" s="4">
        <f t="shared" si="374"/>
        <v>2</v>
      </c>
      <c r="H4318" s="4">
        <f t="shared" si="375"/>
        <v>2024</v>
      </c>
      <c r="I4318" s="2" t="s">
        <v>4</v>
      </c>
      <c r="J4318" s="2" t="s">
        <v>5119</v>
      </c>
      <c r="K4318" s="2" t="s">
        <v>2127</v>
      </c>
      <c r="L4318" s="2" t="s">
        <v>2126</v>
      </c>
      <c r="M4318" s="2" t="s">
        <v>106</v>
      </c>
      <c r="N4318" s="4" t="str">
        <f t="shared" si="376"/>
        <v>LBS</v>
      </c>
      <c r="O4318" s="5">
        <v>1800</v>
      </c>
    </row>
    <row r="4319" spans="2:15" x14ac:dyDescent="0.25">
      <c r="B4319" s="1" t="s">
        <v>1050</v>
      </c>
      <c r="C4319" s="2" t="s">
        <v>533</v>
      </c>
      <c r="D4319" s="2" t="s">
        <v>557</v>
      </c>
      <c r="E4319" s="2" t="s">
        <v>2140</v>
      </c>
      <c r="F4319" s="3">
        <f>DATE(2024,2,20)</f>
        <v>45342</v>
      </c>
      <c r="G4319" s="4">
        <f t="shared" si="374"/>
        <v>2</v>
      </c>
      <c r="H4319" s="4">
        <f t="shared" si="375"/>
        <v>2024</v>
      </c>
      <c r="I4319" s="2" t="s">
        <v>4</v>
      </c>
      <c r="J4319" s="2" t="s">
        <v>5119</v>
      </c>
      <c r="K4319" s="2" t="s">
        <v>5120</v>
      </c>
      <c r="L4319" s="2" t="s">
        <v>5121</v>
      </c>
      <c r="M4319" s="2" t="s">
        <v>106</v>
      </c>
      <c r="N4319" s="4" t="str">
        <f t="shared" si="376"/>
        <v>LBS</v>
      </c>
      <c r="O4319" s="5">
        <v>1800</v>
      </c>
    </row>
    <row r="4320" spans="2:15" x14ac:dyDescent="0.25">
      <c r="B4320" s="1" t="s">
        <v>645</v>
      </c>
      <c r="C4320" s="2" t="s">
        <v>533</v>
      </c>
      <c r="D4320" s="2" t="s">
        <v>557</v>
      </c>
      <c r="E4320" s="2" t="s">
        <v>567</v>
      </c>
      <c r="F4320" s="3">
        <f>DATE(2024,2,23)</f>
        <v>45345</v>
      </c>
      <c r="G4320" s="4">
        <f t="shared" si="374"/>
        <v>2</v>
      </c>
      <c r="H4320" s="4">
        <f t="shared" si="375"/>
        <v>2024</v>
      </c>
      <c r="I4320" s="2" t="s">
        <v>4</v>
      </c>
      <c r="J4320" s="2" t="s">
        <v>5122</v>
      </c>
      <c r="K4320" s="2" t="s">
        <v>569</v>
      </c>
      <c r="L4320" s="2" t="s">
        <v>570</v>
      </c>
      <c r="M4320" s="2" t="s">
        <v>106</v>
      </c>
      <c r="N4320" s="4" t="str">
        <f t="shared" si="376"/>
        <v>LBS</v>
      </c>
      <c r="O4320" s="5">
        <v>2700</v>
      </c>
    </row>
    <row r="4321" spans="2:15" x14ac:dyDescent="0.25">
      <c r="B4321" s="1" t="s">
        <v>645</v>
      </c>
      <c r="C4321" s="2" t="s">
        <v>533</v>
      </c>
      <c r="D4321" s="2" t="s">
        <v>557</v>
      </c>
      <c r="E4321" s="2" t="s">
        <v>1090</v>
      </c>
      <c r="F4321" s="3">
        <f>DATE(2024,2,23)</f>
        <v>45345</v>
      </c>
      <c r="G4321" s="4">
        <f t="shared" si="374"/>
        <v>2</v>
      </c>
      <c r="H4321" s="4">
        <f t="shared" si="375"/>
        <v>2024</v>
      </c>
      <c r="I4321" s="2" t="s">
        <v>4</v>
      </c>
      <c r="J4321" s="2" t="s">
        <v>5123</v>
      </c>
      <c r="K4321" s="2" t="s">
        <v>2125</v>
      </c>
      <c r="L4321" s="2" t="s">
        <v>2126</v>
      </c>
      <c r="M4321" s="2" t="s">
        <v>106</v>
      </c>
      <c r="N4321" s="4" t="str">
        <f t="shared" si="376"/>
        <v>LBS</v>
      </c>
      <c r="O4321" s="5">
        <v>10000</v>
      </c>
    </row>
    <row r="4322" spans="2:15" x14ac:dyDescent="0.25">
      <c r="B4322" s="1" t="s">
        <v>1050</v>
      </c>
      <c r="C4322" s="2" t="s">
        <v>533</v>
      </c>
      <c r="D4322" s="2" t="s">
        <v>557</v>
      </c>
      <c r="E4322" s="2" t="s">
        <v>2142</v>
      </c>
      <c r="F4322" s="3">
        <f>DATE(2024,2,27)</f>
        <v>45349</v>
      </c>
      <c r="G4322" s="4">
        <f t="shared" si="374"/>
        <v>2</v>
      </c>
      <c r="H4322" s="4">
        <f t="shared" si="375"/>
        <v>2024</v>
      </c>
      <c r="I4322" s="2" t="s">
        <v>4</v>
      </c>
      <c r="J4322" s="2" t="s">
        <v>5124</v>
      </c>
      <c r="K4322" s="2" t="s">
        <v>5125</v>
      </c>
      <c r="L4322" s="2" t="s">
        <v>2124</v>
      </c>
      <c r="M4322" s="2" t="s">
        <v>106</v>
      </c>
      <c r="N4322" s="4" t="str">
        <f t="shared" si="376"/>
        <v>LBS</v>
      </c>
      <c r="O4322" s="5">
        <v>2500</v>
      </c>
    </row>
    <row r="4323" spans="2:15" x14ac:dyDescent="0.25">
      <c r="B4323" s="1" t="s">
        <v>645</v>
      </c>
      <c r="C4323" s="2" t="s">
        <v>533</v>
      </c>
      <c r="D4323" s="2" t="s">
        <v>557</v>
      </c>
      <c r="E4323" s="2" t="s">
        <v>1090</v>
      </c>
      <c r="F4323" s="3">
        <f>DATE(2024,2,28)</f>
        <v>45350</v>
      </c>
      <c r="G4323" s="4">
        <f t="shared" si="374"/>
        <v>2</v>
      </c>
      <c r="H4323" s="4">
        <f t="shared" si="375"/>
        <v>2024</v>
      </c>
      <c r="I4323" s="2" t="s">
        <v>4</v>
      </c>
      <c r="J4323" s="2" t="s">
        <v>5126</v>
      </c>
      <c r="K4323" s="2" t="s">
        <v>5120</v>
      </c>
      <c r="L4323" s="2" t="s">
        <v>5121</v>
      </c>
      <c r="M4323" s="2" t="s">
        <v>106</v>
      </c>
      <c r="N4323" s="4" t="str">
        <f t="shared" si="376"/>
        <v>LBS</v>
      </c>
      <c r="O4323" s="5">
        <v>1800</v>
      </c>
    </row>
    <row r="4324" spans="2:15" x14ac:dyDescent="0.25">
      <c r="B4324" s="1" t="s">
        <v>3238</v>
      </c>
      <c r="C4324" s="2" t="s">
        <v>3239</v>
      </c>
      <c r="D4324" s="2" t="s">
        <v>3240</v>
      </c>
      <c r="E4324" s="2" t="s">
        <v>3393</v>
      </c>
      <c r="F4324" s="3">
        <f>DATE(2024,2,1)</f>
        <v>45323</v>
      </c>
      <c r="G4324" s="4">
        <f t="shared" si="374"/>
        <v>2</v>
      </c>
      <c r="H4324" s="4">
        <f t="shared" si="375"/>
        <v>2024</v>
      </c>
      <c r="I4324" s="2" t="s">
        <v>4</v>
      </c>
      <c r="J4324" s="2" t="s">
        <v>5127</v>
      </c>
      <c r="K4324" s="2" t="s">
        <v>3395</v>
      </c>
      <c r="L4324" s="2" t="s">
        <v>3396</v>
      </c>
      <c r="M4324" s="2" t="s">
        <v>844</v>
      </c>
      <c r="N4324" s="4" t="str">
        <f t="shared" si="376"/>
        <v>GAL</v>
      </c>
      <c r="O4324" s="5">
        <v>275</v>
      </c>
    </row>
    <row r="4325" spans="2:15" x14ac:dyDescent="0.25">
      <c r="B4325" s="1" t="s">
        <v>3238</v>
      </c>
      <c r="C4325" s="2" t="s">
        <v>3239</v>
      </c>
      <c r="D4325" s="2" t="s">
        <v>3240</v>
      </c>
      <c r="E4325" s="2" t="s">
        <v>102</v>
      </c>
      <c r="F4325" s="3">
        <f>DATE(2024,2,8)</f>
        <v>45330</v>
      </c>
      <c r="G4325" s="4">
        <f t="shared" si="374"/>
        <v>2</v>
      </c>
      <c r="H4325" s="4">
        <f t="shared" si="375"/>
        <v>2024</v>
      </c>
      <c r="I4325" s="2" t="s">
        <v>4</v>
      </c>
      <c r="J4325" s="2" t="s">
        <v>5128</v>
      </c>
      <c r="K4325" s="2" t="s">
        <v>5129</v>
      </c>
      <c r="L4325" s="2" t="s">
        <v>3654</v>
      </c>
      <c r="M4325" s="2" t="s">
        <v>1071</v>
      </c>
      <c r="N4325" s="4" t="str">
        <f t="shared" si="376"/>
        <v>GAL</v>
      </c>
      <c r="O4325" s="5">
        <v>5</v>
      </c>
    </row>
    <row r="4326" spans="2:15" x14ac:dyDescent="0.25">
      <c r="B4326" s="6" t="s">
        <v>3238</v>
      </c>
      <c r="C4326" s="7" t="s">
        <v>3239</v>
      </c>
      <c r="D4326" s="8" t="s">
        <v>3240</v>
      </c>
      <c r="E4326" s="8" t="s">
        <v>102</v>
      </c>
      <c r="F4326" s="9">
        <f>DATE(2024,2,8)</f>
        <v>45330</v>
      </c>
      <c r="G4326" s="10">
        <f t="shared" si="374"/>
        <v>2</v>
      </c>
      <c r="H4326" s="10">
        <f t="shared" si="375"/>
        <v>2024</v>
      </c>
      <c r="I4326" s="8" t="s">
        <v>4</v>
      </c>
      <c r="J4326" s="7" t="s">
        <v>5128</v>
      </c>
      <c r="K4326" s="8" t="s">
        <v>36</v>
      </c>
      <c r="L4326" s="8" t="s">
        <v>511</v>
      </c>
      <c r="M4326" s="8" t="s">
        <v>38</v>
      </c>
      <c r="N4326" s="10" t="str">
        <f t="shared" si="376"/>
        <v>GAL</v>
      </c>
      <c r="O4326" s="11">
        <v>5</v>
      </c>
    </row>
    <row r="4327" spans="2:15" x14ac:dyDescent="0.25">
      <c r="B4327" s="6" t="s">
        <v>3238</v>
      </c>
      <c r="C4327" s="7" t="s">
        <v>3239</v>
      </c>
      <c r="D4327" s="8" t="s">
        <v>3240</v>
      </c>
      <c r="E4327" s="8" t="s">
        <v>102</v>
      </c>
      <c r="F4327" s="9">
        <f>DATE(2024,2,8)</f>
        <v>45330</v>
      </c>
      <c r="G4327" s="10">
        <f t="shared" si="374"/>
        <v>2</v>
      </c>
      <c r="H4327" s="10">
        <f t="shared" si="375"/>
        <v>2024</v>
      </c>
      <c r="I4327" s="8" t="s">
        <v>4</v>
      </c>
      <c r="J4327" s="7" t="s">
        <v>5128</v>
      </c>
      <c r="K4327" s="8" t="s">
        <v>3510</v>
      </c>
      <c r="L4327" s="8" t="s">
        <v>3400</v>
      </c>
      <c r="M4327" s="8" t="s">
        <v>3401</v>
      </c>
      <c r="N4327" s="10" t="str">
        <f t="shared" si="376"/>
        <v>GAL</v>
      </c>
      <c r="O4327" s="11">
        <v>5</v>
      </c>
    </row>
    <row r="4328" spans="2:15" x14ac:dyDescent="0.25">
      <c r="B4328" s="1" t="s">
        <v>3238</v>
      </c>
      <c r="C4328" s="2" t="s">
        <v>3239</v>
      </c>
      <c r="D4328" s="2" t="s">
        <v>3240</v>
      </c>
      <c r="E4328" s="2" t="s">
        <v>3379</v>
      </c>
      <c r="F4328" s="3">
        <f>DATE(2024,2,9)</f>
        <v>45331</v>
      </c>
      <c r="G4328" s="4">
        <f t="shared" si="374"/>
        <v>2</v>
      </c>
      <c r="H4328" s="4">
        <f t="shared" si="375"/>
        <v>2024</v>
      </c>
      <c r="I4328" s="2" t="s">
        <v>4</v>
      </c>
      <c r="J4328" s="2" t="s">
        <v>5130</v>
      </c>
      <c r="K4328" s="2" t="s">
        <v>3937</v>
      </c>
      <c r="L4328" s="2" t="s">
        <v>4275</v>
      </c>
      <c r="M4328" s="2" t="s">
        <v>3939</v>
      </c>
      <c r="N4328" s="4" t="str">
        <f t="shared" si="376"/>
        <v>GAL</v>
      </c>
      <c r="O4328" s="5">
        <v>250</v>
      </c>
    </row>
    <row r="4329" spans="2:15" x14ac:dyDescent="0.25">
      <c r="B4329" s="1" t="s">
        <v>3238</v>
      </c>
      <c r="C4329" s="2" t="s">
        <v>3239</v>
      </c>
      <c r="D4329" s="2" t="s">
        <v>3240</v>
      </c>
      <c r="E4329" s="2" t="s">
        <v>102</v>
      </c>
      <c r="F4329" s="3">
        <f>DATE(2024,2,12)</f>
        <v>45334</v>
      </c>
      <c r="G4329" s="4">
        <f t="shared" si="374"/>
        <v>2</v>
      </c>
      <c r="H4329" s="4">
        <f t="shared" si="375"/>
        <v>2024</v>
      </c>
      <c r="I4329" s="2" t="s">
        <v>4</v>
      </c>
      <c r="J4329" s="2" t="s">
        <v>5131</v>
      </c>
      <c r="K4329" s="2" t="s">
        <v>4271</v>
      </c>
      <c r="L4329" s="2" t="s">
        <v>3911</v>
      </c>
      <c r="M4329" s="2" t="s">
        <v>2100</v>
      </c>
      <c r="N4329" s="4" t="str">
        <f t="shared" si="376"/>
        <v>GAL</v>
      </c>
      <c r="O4329" s="5">
        <v>60</v>
      </c>
    </row>
    <row r="4330" spans="2:15" x14ac:dyDescent="0.25">
      <c r="B4330" s="1" t="s">
        <v>3238</v>
      </c>
      <c r="C4330" s="2" t="s">
        <v>3239</v>
      </c>
      <c r="D4330" s="2" t="s">
        <v>3240</v>
      </c>
      <c r="E4330" s="2" t="s">
        <v>3397</v>
      </c>
      <c r="F4330" s="3">
        <f>DATE(2024,2,15)</f>
        <v>45337</v>
      </c>
      <c r="G4330" s="4">
        <f t="shared" si="374"/>
        <v>2</v>
      </c>
      <c r="H4330" s="4">
        <f t="shared" si="375"/>
        <v>2024</v>
      </c>
      <c r="I4330" s="2" t="s">
        <v>4</v>
      </c>
      <c r="J4330" s="2" t="s">
        <v>5132</v>
      </c>
      <c r="K4330" s="2" t="s">
        <v>3404</v>
      </c>
      <c r="L4330" s="2" t="s">
        <v>3405</v>
      </c>
      <c r="M4330" s="2" t="s">
        <v>3406</v>
      </c>
      <c r="N4330" s="4" t="str">
        <f t="shared" si="376"/>
        <v>GAL</v>
      </c>
      <c r="O4330" s="5">
        <v>250</v>
      </c>
    </row>
    <row r="4331" spans="2:15" x14ac:dyDescent="0.25">
      <c r="B4331" s="6" t="s">
        <v>3238</v>
      </c>
      <c r="C4331" s="7" t="s">
        <v>3239</v>
      </c>
      <c r="D4331" s="8" t="s">
        <v>3240</v>
      </c>
      <c r="E4331" s="8" t="s">
        <v>3397</v>
      </c>
      <c r="F4331" s="9">
        <f>DATE(2024,2,15)</f>
        <v>45337</v>
      </c>
      <c r="G4331" s="10">
        <f t="shared" si="374"/>
        <v>2</v>
      </c>
      <c r="H4331" s="10">
        <f t="shared" si="375"/>
        <v>2024</v>
      </c>
      <c r="I4331" s="8" t="s">
        <v>4</v>
      </c>
      <c r="J4331" s="7" t="s">
        <v>5132</v>
      </c>
      <c r="K4331" s="8" t="s">
        <v>3399</v>
      </c>
      <c r="L4331" s="8" t="s">
        <v>3400</v>
      </c>
      <c r="M4331" s="8" t="s">
        <v>3401</v>
      </c>
      <c r="N4331" s="10" t="str">
        <f t="shared" si="376"/>
        <v>GAL</v>
      </c>
      <c r="O4331" s="11">
        <v>250</v>
      </c>
    </row>
    <row r="4332" spans="2:15" x14ac:dyDescent="0.25">
      <c r="B4332" s="1" t="s">
        <v>3238</v>
      </c>
      <c r="C4332" s="2" t="s">
        <v>3239</v>
      </c>
      <c r="D4332" s="2" t="s">
        <v>3240</v>
      </c>
      <c r="E4332" s="2" t="s">
        <v>3908</v>
      </c>
      <c r="F4332" s="3">
        <f>DATE(2024,2,15)</f>
        <v>45337</v>
      </c>
      <c r="G4332" s="4">
        <f t="shared" si="374"/>
        <v>2</v>
      </c>
      <c r="H4332" s="4">
        <f t="shared" si="375"/>
        <v>2024</v>
      </c>
      <c r="I4332" s="2" t="s">
        <v>4</v>
      </c>
      <c r="J4332" s="2" t="s">
        <v>5133</v>
      </c>
      <c r="K4332" s="2" t="s">
        <v>998</v>
      </c>
      <c r="L4332" s="2" t="s">
        <v>3526</v>
      </c>
      <c r="M4332" s="2" t="s">
        <v>1000</v>
      </c>
      <c r="N4332" s="4" t="str">
        <f t="shared" si="376"/>
        <v>GAL</v>
      </c>
      <c r="O4332" s="5">
        <v>250</v>
      </c>
    </row>
    <row r="4333" spans="2:15" x14ac:dyDescent="0.25">
      <c r="B4333" s="1" t="s">
        <v>3238</v>
      </c>
      <c r="C4333" s="2" t="s">
        <v>3239</v>
      </c>
      <c r="D4333" s="2" t="s">
        <v>3240</v>
      </c>
      <c r="E4333" s="2" t="s">
        <v>102</v>
      </c>
      <c r="F4333" s="3">
        <f>DATE(2024,2,19)</f>
        <v>45341</v>
      </c>
      <c r="G4333" s="4">
        <f t="shared" si="374"/>
        <v>2</v>
      </c>
      <c r="H4333" s="4">
        <f t="shared" si="375"/>
        <v>2024</v>
      </c>
      <c r="I4333" s="2" t="s">
        <v>4</v>
      </c>
      <c r="J4333" s="2" t="s">
        <v>5134</v>
      </c>
      <c r="K4333" s="2" t="s">
        <v>5135</v>
      </c>
      <c r="L4333" s="2" t="s">
        <v>3503</v>
      </c>
      <c r="M4333" s="2" t="s">
        <v>2532</v>
      </c>
      <c r="N4333" s="4" t="str">
        <f t="shared" si="376"/>
        <v>GAL</v>
      </c>
      <c r="O4333" s="5">
        <v>30</v>
      </c>
    </row>
    <row r="4334" spans="2:15" x14ac:dyDescent="0.25">
      <c r="B4334" s="1" t="s">
        <v>3238</v>
      </c>
      <c r="C4334" s="2" t="s">
        <v>3239</v>
      </c>
      <c r="D4334" s="2" t="s">
        <v>3240</v>
      </c>
      <c r="E4334" s="2" t="s">
        <v>102</v>
      </c>
      <c r="F4334" s="3">
        <f>DATE(2024,2,19)</f>
        <v>45341</v>
      </c>
      <c r="G4334" s="4">
        <f t="shared" si="374"/>
        <v>2</v>
      </c>
      <c r="H4334" s="4">
        <f t="shared" si="375"/>
        <v>2024</v>
      </c>
      <c r="I4334" s="2" t="s">
        <v>4</v>
      </c>
      <c r="J4334" s="2" t="s">
        <v>5134</v>
      </c>
      <c r="K4334" s="2" t="s">
        <v>4271</v>
      </c>
      <c r="L4334" s="2" t="s">
        <v>3911</v>
      </c>
      <c r="M4334" s="2" t="s">
        <v>2100</v>
      </c>
      <c r="N4334" s="4" t="str">
        <f t="shared" si="376"/>
        <v>GAL</v>
      </c>
      <c r="O4334" s="5">
        <v>30</v>
      </c>
    </row>
    <row r="4335" spans="2:15" x14ac:dyDescent="0.25">
      <c r="B4335" s="1" t="s">
        <v>3238</v>
      </c>
      <c r="C4335" s="2" t="s">
        <v>3239</v>
      </c>
      <c r="D4335" s="2" t="s">
        <v>3240</v>
      </c>
      <c r="E4335" s="2" t="s">
        <v>3499</v>
      </c>
      <c r="F4335" s="3">
        <f>DATE(2024,2,19)</f>
        <v>45341</v>
      </c>
      <c r="G4335" s="4">
        <f t="shared" si="374"/>
        <v>2</v>
      </c>
      <c r="H4335" s="4">
        <f t="shared" si="375"/>
        <v>2024</v>
      </c>
      <c r="I4335" s="2" t="s">
        <v>4</v>
      </c>
      <c r="J4335" s="2" t="s">
        <v>5136</v>
      </c>
      <c r="K4335" s="2" t="s">
        <v>998</v>
      </c>
      <c r="L4335" s="2" t="s">
        <v>3526</v>
      </c>
      <c r="M4335" s="2" t="s">
        <v>1000</v>
      </c>
      <c r="N4335" s="4" t="str">
        <f t="shared" si="376"/>
        <v>GAL</v>
      </c>
      <c r="O4335" s="5">
        <v>250</v>
      </c>
    </row>
    <row r="4336" spans="2:15" x14ac:dyDescent="0.25">
      <c r="B4336" s="1" t="s">
        <v>3238</v>
      </c>
      <c r="C4336" s="2" t="s">
        <v>3239</v>
      </c>
      <c r="D4336" s="2" t="s">
        <v>3240</v>
      </c>
      <c r="E4336" s="2" t="s">
        <v>3499</v>
      </c>
      <c r="F4336" s="3">
        <f>DATE(2024,2,19)</f>
        <v>45341</v>
      </c>
      <c r="G4336" s="4">
        <f t="shared" si="374"/>
        <v>2</v>
      </c>
      <c r="H4336" s="4">
        <f t="shared" si="375"/>
        <v>2024</v>
      </c>
      <c r="I4336" s="2" t="s">
        <v>4</v>
      </c>
      <c r="J4336" s="2" t="s">
        <v>5136</v>
      </c>
      <c r="K4336" s="2" t="s">
        <v>3947</v>
      </c>
      <c r="L4336" s="2" t="s">
        <v>3948</v>
      </c>
      <c r="M4336" s="2" t="s">
        <v>3299</v>
      </c>
      <c r="N4336" s="4" t="str">
        <f t="shared" si="376"/>
        <v>GAL</v>
      </c>
      <c r="O4336" s="5">
        <v>250</v>
      </c>
    </row>
    <row r="4337" spans="2:15" x14ac:dyDescent="0.25">
      <c r="B4337" s="1" t="s">
        <v>3238</v>
      </c>
      <c r="C4337" s="2" t="s">
        <v>3239</v>
      </c>
      <c r="D4337" s="2" t="s">
        <v>3240</v>
      </c>
      <c r="E4337" s="2" t="s">
        <v>5137</v>
      </c>
      <c r="F4337" s="3">
        <f>DATE(2024,2,20)</f>
        <v>45342</v>
      </c>
      <c r="G4337" s="4">
        <f t="shared" si="374"/>
        <v>2</v>
      </c>
      <c r="H4337" s="4">
        <f t="shared" si="375"/>
        <v>2024</v>
      </c>
      <c r="I4337" s="2" t="s">
        <v>4</v>
      </c>
      <c r="J4337" s="2" t="s">
        <v>5138</v>
      </c>
      <c r="K4337" s="2" t="s">
        <v>3910</v>
      </c>
      <c r="L4337" s="2" t="s">
        <v>3911</v>
      </c>
      <c r="M4337" s="2" t="s">
        <v>2100</v>
      </c>
      <c r="N4337" s="4" t="str">
        <f t="shared" si="376"/>
        <v>GAL</v>
      </c>
      <c r="O4337" s="5">
        <v>250</v>
      </c>
    </row>
    <row r="4338" spans="2:15" x14ac:dyDescent="0.25">
      <c r="B4338" s="1" t="s">
        <v>3238</v>
      </c>
      <c r="C4338" s="2" t="s">
        <v>3239</v>
      </c>
      <c r="D4338" s="2" t="s">
        <v>3240</v>
      </c>
      <c r="E4338" s="2" t="s">
        <v>5139</v>
      </c>
      <c r="F4338" s="3">
        <f>DATE(2024,2,22)</f>
        <v>45344</v>
      </c>
      <c r="G4338" s="4">
        <f t="shared" si="374"/>
        <v>2</v>
      </c>
      <c r="H4338" s="4">
        <f t="shared" si="375"/>
        <v>2024</v>
      </c>
      <c r="I4338" s="2" t="s">
        <v>4</v>
      </c>
      <c r="J4338" s="2" t="s">
        <v>5140</v>
      </c>
      <c r="K4338" s="2" t="s">
        <v>3653</v>
      </c>
      <c r="L4338" s="2" t="s">
        <v>3654</v>
      </c>
      <c r="M4338" s="2" t="s">
        <v>1071</v>
      </c>
      <c r="N4338" s="4" t="str">
        <f t="shared" si="376"/>
        <v>GAL</v>
      </c>
      <c r="O4338" s="5">
        <v>250</v>
      </c>
    </row>
    <row r="4339" spans="2:15" x14ac:dyDescent="0.25">
      <c r="B4339" s="1" t="s">
        <v>3238</v>
      </c>
      <c r="C4339" s="2" t="s">
        <v>3239</v>
      </c>
      <c r="D4339" s="2" t="s">
        <v>3240</v>
      </c>
      <c r="E4339" s="2" t="s">
        <v>3402</v>
      </c>
      <c r="F4339" s="3">
        <f>DATE(2024,2,22)</f>
        <v>45344</v>
      </c>
      <c r="G4339" s="4">
        <f t="shared" si="374"/>
        <v>2</v>
      </c>
      <c r="H4339" s="4">
        <f t="shared" si="375"/>
        <v>2024</v>
      </c>
      <c r="I4339" s="2" t="s">
        <v>4</v>
      </c>
      <c r="J4339" s="2" t="s">
        <v>5141</v>
      </c>
      <c r="K4339" s="2" t="s">
        <v>3404</v>
      </c>
      <c r="L4339" s="2" t="s">
        <v>3405</v>
      </c>
      <c r="M4339" s="2" t="s">
        <v>3406</v>
      </c>
      <c r="N4339" s="4" t="str">
        <f t="shared" si="376"/>
        <v>GAL</v>
      </c>
      <c r="O4339" s="5">
        <v>500</v>
      </c>
    </row>
    <row r="4340" spans="2:15" x14ac:dyDescent="0.25">
      <c r="B4340" s="6" t="s">
        <v>3238</v>
      </c>
      <c r="C4340" s="7" t="s">
        <v>3239</v>
      </c>
      <c r="D4340" s="8" t="s">
        <v>3240</v>
      </c>
      <c r="E4340" s="8" t="s">
        <v>3902</v>
      </c>
      <c r="F4340" s="9">
        <f>DATE(2024,2,22)</f>
        <v>45344</v>
      </c>
      <c r="G4340" s="10">
        <f t="shared" si="374"/>
        <v>2</v>
      </c>
      <c r="H4340" s="10">
        <f t="shared" si="375"/>
        <v>2024</v>
      </c>
      <c r="I4340" s="8" t="s">
        <v>4</v>
      </c>
      <c r="J4340" s="7" t="s">
        <v>5142</v>
      </c>
      <c r="K4340" s="8" t="s">
        <v>5143</v>
      </c>
      <c r="L4340" s="8" t="s">
        <v>5144</v>
      </c>
      <c r="M4340" s="8" t="s">
        <v>119</v>
      </c>
      <c r="N4340" s="10" t="str">
        <f t="shared" si="376"/>
        <v>TON</v>
      </c>
      <c r="O4340" s="11">
        <v>5</v>
      </c>
    </row>
    <row r="4341" spans="2:15" x14ac:dyDescent="0.25">
      <c r="B4341" s="1" t="s">
        <v>3238</v>
      </c>
      <c r="C4341" s="2" t="s">
        <v>3239</v>
      </c>
      <c r="D4341" s="2" t="s">
        <v>3240</v>
      </c>
      <c r="E4341" s="2" t="s">
        <v>102</v>
      </c>
      <c r="F4341" s="3">
        <f>DATE(2024,2,23)</f>
        <v>45345</v>
      </c>
      <c r="G4341" s="4">
        <f t="shared" si="374"/>
        <v>2</v>
      </c>
      <c r="H4341" s="4">
        <f t="shared" si="375"/>
        <v>2024</v>
      </c>
      <c r="I4341" s="2" t="s">
        <v>4</v>
      </c>
      <c r="J4341" s="2" t="s">
        <v>5145</v>
      </c>
      <c r="K4341" s="2" t="s">
        <v>3914</v>
      </c>
      <c r="L4341" s="2" t="s">
        <v>3915</v>
      </c>
      <c r="M4341" s="2" t="s">
        <v>3916</v>
      </c>
      <c r="N4341" s="4" t="str">
        <f t="shared" si="376"/>
        <v>GAL</v>
      </c>
      <c r="O4341" s="5">
        <v>60</v>
      </c>
    </row>
    <row r="4342" spans="2:15" x14ac:dyDescent="0.25">
      <c r="B4342" s="1" t="s">
        <v>3238</v>
      </c>
      <c r="C4342" s="2" t="s">
        <v>3239</v>
      </c>
      <c r="D4342" s="2" t="s">
        <v>3240</v>
      </c>
      <c r="E4342" s="2" t="s">
        <v>102</v>
      </c>
      <c r="F4342" s="3">
        <f>DATE(2024,2,23)</f>
        <v>45345</v>
      </c>
      <c r="G4342" s="4">
        <f t="shared" si="374"/>
        <v>2</v>
      </c>
      <c r="H4342" s="4">
        <f t="shared" si="375"/>
        <v>2024</v>
      </c>
      <c r="I4342" s="2" t="s">
        <v>4</v>
      </c>
      <c r="J4342" s="2" t="s">
        <v>5145</v>
      </c>
      <c r="K4342" s="2" t="s">
        <v>2530</v>
      </c>
      <c r="L4342" s="2" t="s">
        <v>3503</v>
      </c>
      <c r="M4342" s="2" t="s">
        <v>2532</v>
      </c>
      <c r="N4342" s="4" t="str">
        <f t="shared" si="376"/>
        <v>GAL</v>
      </c>
      <c r="O4342" s="5">
        <v>120</v>
      </c>
    </row>
    <row r="4343" spans="2:15" x14ac:dyDescent="0.25">
      <c r="B4343" s="1" t="s">
        <v>3238</v>
      </c>
      <c r="C4343" s="2" t="s">
        <v>3239</v>
      </c>
      <c r="D4343" s="2" t="s">
        <v>3240</v>
      </c>
      <c r="E4343" s="2" t="s">
        <v>102</v>
      </c>
      <c r="F4343" s="3">
        <f>DATE(2024,2,23)</f>
        <v>45345</v>
      </c>
      <c r="G4343" s="4">
        <f t="shared" si="374"/>
        <v>2</v>
      </c>
      <c r="H4343" s="4">
        <f t="shared" si="375"/>
        <v>2024</v>
      </c>
      <c r="I4343" s="2" t="s">
        <v>4</v>
      </c>
      <c r="J4343" s="2" t="s">
        <v>5146</v>
      </c>
      <c r="K4343" s="2" t="s">
        <v>3524</v>
      </c>
      <c r="L4343" s="2" t="s">
        <v>3525</v>
      </c>
      <c r="M4343" s="2" t="s">
        <v>1397</v>
      </c>
      <c r="N4343" s="4" t="str">
        <f t="shared" si="376"/>
        <v>GAL</v>
      </c>
      <c r="O4343" s="5">
        <v>1375</v>
      </c>
    </row>
    <row r="4344" spans="2:15" x14ac:dyDescent="0.25">
      <c r="B4344" s="1" t="s">
        <v>3238</v>
      </c>
      <c r="C4344" s="2" t="s">
        <v>3239</v>
      </c>
      <c r="D4344" s="2" t="s">
        <v>3240</v>
      </c>
      <c r="E4344" s="2" t="s">
        <v>102</v>
      </c>
      <c r="F4344" s="3">
        <f>DATE(2024,2,23)</f>
        <v>45345</v>
      </c>
      <c r="G4344" s="4">
        <f t="shared" si="374"/>
        <v>2</v>
      </c>
      <c r="H4344" s="4">
        <f t="shared" si="375"/>
        <v>2024</v>
      </c>
      <c r="I4344" s="2" t="s">
        <v>4</v>
      </c>
      <c r="J4344" s="2" t="s">
        <v>5146</v>
      </c>
      <c r="K4344" s="2" t="s">
        <v>3390</v>
      </c>
      <c r="L4344" s="2" t="s">
        <v>3250</v>
      </c>
      <c r="M4344" s="2" t="s">
        <v>3251</v>
      </c>
      <c r="N4344" s="4" t="str">
        <f t="shared" si="376"/>
        <v>GAL</v>
      </c>
      <c r="O4344" s="5">
        <v>1375</v>
      </c>
    </row>
    <row r="4345" spans="2:15" x14ac:dyDescent="0.25">
      <c r="B4345" s="1" t="s">
        <v>0</v>
      </c>
      <c r="C4345" s="2" t="s">
        <v>1</v>
      </c>
      <c r="D4345" s="2" t="s">
        <v>2</v>
      </c>
      <c r="E4345" s="2" t="s">
        <v>42</v>
      </c>
      <c r="F4345" s="3">
        <f>DATE(2024,3,6)</f>
        <v>45357</v>
      </c>
      <c r="G4345" s="4">
        <f t="shared" ref="G4345:G4408" si="377">+MONTH(F4345)</f>
        <v>3</v>
      </c>
      <c r="H4345" s="4">
        <f t="shared" ref="H4345:H4408" si="378">+YEAR(F4345)</f>
        <v>2024</v>
      </c>
      <c r="I4345" s="2" t="s">
        <v>4</v>
      </c>
      <c r="J4345" s="2" t="s">
        <v>5147</v>
      </c>
      <c r="K4345" s="2" t="s">
        <v>19</v>
      </c>
      <c r="L4345" s="2" t="s">
        <v>20</v>
      </c>
      <c r="M4345" s="2" t="s">
        <v>21</v>
      </c>
      <c r="N4345" s="4" t="str">
        <f t="shared" ref="N4345:N4408" si="379">+LEFT(M4345,3)</f>
        <v>GAL</v>
      </c>
      <c r="O4345" s="5">
        <v>120</v>
      </c>
    </row>
    <row r="4346" spans="2:15" x14ac:dyDescent="0.25">
      <c r="B4346" s="1" t="s">
        <v>0</v>
      </c>
      <c r="C4346" s="2" t="s">
        <v>1</v>
      </c>
      <c r="D4346" s="2" t="s">
        <v>2</v>
      </c>
      <c r="E4346" s="2" t="s">
        <v>42</v>
      </c>
      <c r="F4346" s="3">
        <f>DATE(2024,3,6)</f>
        <v>45357</v>
      </c>
      <c r="G4346" s="4">
        <f t="shared" si="377"/>
        <v>3</v>
      </c>
      <c r="H4346" s="4">
        <f t="shared" si="378"/>
        <v>2024</v>
      </c>
      <c r="I4346" s="2" t="s">
        <v>4</v>
      </c>
      <c r="J4346" s="2" t="s">
        <v>5147</v>
      </c>
      <c r="K4346" s="2" t="s">
        <v>47</v>
      </c>
      <c r="L4346" s="2" t="s">
        <v>48</v>
      </c>
      <c r="M4346" s="2" t="s">
        <v>49</v>
      </c>
      <c r="N4346" s="4" t="str">
        <f t="shared" si="379"/>
        <v>GAL</v>
      </c>
      <c r="O4346" s="5">
        <v>60</v>
      </c>
    </row>
    <row r="4347" spans="2:15" x14ac:dyDescent="0.25">
      <c r="B4347" s="1" t="s">
        <v>0</v>
      </c>
      <c r="C4347" s="2" t="s">
        <v>1</v>
      </c>
      <c r="D4347" s="2" t="s">
        <v>2</v>
      </c>
      <c r="E4347" s="2" t="s">
        <v>42</v>
      </c>
      <c r="F4347" s="3">
        <f>DATE(2024,3,6)</f>
        <v>45357</v>
      </c>
      <c r="G4347" s="4">
        <f t="shared" si="377"/>
        <v>3</v>
      </c>
      <c r="H4347" s="4">
        <f t="shared" si="378"/>
        <v>2024</v>
      </c>
      <c r="I4347" s="2" t="s">
        <v>4</v>
      </c>
      <c r="J4347" s="2" t="s">
        <v>5147</v>
      </c>
      <c r="K4347" s="2" t="s">
        <v>25</v>
      </c>
      <c r="L4347" s="2" t="s">
        <v>26</v>
      </c>
      <c r="M4347" s="2" t="s">
        <v>27</v>
      </c>
      <c r="N4347" s="4" t="str">
        <f t="shared" si="379"/>
        <v>GAL</v>
      </c>
      <c r="O4347" s="5">
        <v>120</v>
      </c>
    </row>
    <row r="4348" spans="2:15" x14ac:dyDescent="0.25">
      <c r="B4348" s="1" t="s">
        <v>0</v>
      </c>
      <c r="C4348" s="2" t="s">
        <v>1</v>
      </c>
      <c r="D4348" s="2" t="s">
        <v>2</v>
      </c>
      <c r="E4348" s="2" t="s">
        <v>42</v>
      </c>
      <c r="F4348" s="3">
        <f>DATE(2024,3,6)</f>
        <v>45357</v>
      </c>
      <c r="G4348" s="4">
        <f t="shared" si="377"/>
        <v>3</v>
      </c>
      <c r="H4348" s="4">
        <f t="shared" si="378"/>
        <v>2024</v>
      </c>
      <c r="I4348" s="2" t="s">
        <v>4</v>
      </c>
      <c r="J4348" s="2" t="s">
        <v>5147</v>
      </c>
      <c r="K4348" s="2" t="s">
        <v>28</v>
      </c>
      <c r="L4348" s="2" t="s">
        <v>29</v>
      </c>
      <c r="M4348" s="2" t="s">
        <v>30</v>
      </c>
      <c r="N4348" s="4" t="str">
        <f t="shared" si="379"/>
        <v>GAL</v>
      </c>
      <c r="O4348" s="5">
        <v>60</v>
      </c>
    </row>
    <row r="4349" spans="2:15" x14ac:dyDescent="0.25">
      <c r="B4349" s="1" t="s">
        <v>0</v>
      </c>
      <c r="C4349" s="2" t="s">
        <v>1</v>
      </c>
      <c r="D4349" s="2" t="s">
        <v>2</v>
      </c>
      <c r="E4349" s="2" t="s">
        <v>42</v>
      </c>
      <c r="F4349" s="3">
        <f>DATE(2024,3,6)</f>
        <v>45357</v>
      </c>
      <c r="G4349" s="4">
        <f t="shared" si="377"/>
        <v>3</v>
      </c>
      <c r="H4349" s="4">
        <f t="shared" si="378"/>
        <v>2024</v>
      </c>
      <c r="I4349" s="2" t="s">
        <v>4</v>
      </c>
      <c r="J4349" s="2" t="s">
        <v>5147</v>
      </c>
      <c r="K4349" s="2" t="s">
        <v>16</v>
      </c>
      <c r="L4349" s="2" t="s">
        <v>7</v>
      </c>
      <c r="M4349" s="2" t="s">
        <v>8</v>
      </c>
      <c r="N4349" s="4" t="str">
        <f t="shared" si="379"/>
        <v>GAL</v>
      </c>
      <c r="O4349" s="5">
        <v>120</v>
      </c>
    </row>
    <row r="4350" spans="2:15" x14ac:dyDescent="0.25">
      <c r="B4350" s="1" t="s">
        <v>0</v>
      </c>
      <c r="C4350" s="2" t="s">
        <v>1</v>
      </c>
      <c r="D4350" s="2" t="s">
        <v>2</v>
      </c>
      <c r="E4350" s="2" t="s">
        <v>1784</v>
      </c>
      <c r="F4350" s="3">
        <f>DATE(2024,3,7)</f>
        <v>45358</v>
      </c>
      <c r="G4350" s="4">
        <f t="shared" si="377"/>
        <v>3</v>
      </c>
      <c r="H4350" s="4">
        <f t="shared" si="378"/>
        <v>2024</v>
      </c>
      <c r="I4350" s="2" t="s">
        <v>4</v>
      </c>
      <c r="J4350" s="2" t="s">
        <v>5148</v>
      </c>
      <c r="K4350" s="2" t="s">
        <v>28</v>
      </c>
      <c r="L4350" s="2" t="s">
        <v>29</v>
      </c>
      <c r="M4350" s="2" t="s">
        <v>30</v>
      </c>
      <c r="N4350" s="4" t="str">
        <f t="shared" si="379"/>
        <v>GAL</v>
      </c>
      <c r="O4350" s="5">
        <v>30</v>
      </c>
    </row>
    <row r="4351" spans="2:15" x14ac:dyDescent="0.25">
      <c r="B4351" s="1" t="s">
        <v>0</v>
      </c>
      <c r="C4351" s="2" t="s">
        <v>1</v>
      </c>
      <c r="D4351" s="2" t="s">
        <v>2</v>
      </c>
      <c r="E4351" s="2" t="s">
        <v>1784</v>
      </c>
      <c r="F4351" s="3">
        <f>DATE(2024,3,7)</f>
        <v>45358</v>
      </c>
      <c r="G4351" s="4">
        <f t="shared" si="377"/>
        <v>3</v>
      </c>
      <c r="H4351" s="4">
        <f t="shared" si="378"/>
        <v>2024</v>
      </c>
      <c r="I4351" s="2" t="s">
        <v>4</v>
      </c>
      <c r="J4351" s="2" t="s">
        <v>5148</v>
      </c>
      <c r="K4351" s="2" t="s">
        <v>16</v>
      </c>
      <c r="L4351" s="2" t="s">
        <v>7</v>
      </c>
      <c r="M4351" s="2" t="s">
        <v>8</v>
      </c>
      <c r="N4351" s="4" t="str">
        <f t="shared" si="379"/>
        <v>GAL</v>
      </c>
      <c r="O4351" s="5">
        <v>55</v>
      </c>
    </row>
    <row r="4352" spans="2:15" x14ac:dyDescent="0.25">
      <c r="B4352" s="1" t="s">
        <v>0</v>
      </c>
      <c r="C4352" s="2" t="s">
        <v>1</v>
      </c>
      <c r="D4352" s="2" t="s">
        <v>2</v>
      </c>
      <c r="E4352" s="2" t="s">
        <v>3</v>
      </c>
      <c r="F4352" s="3">
        <f>DATE(2024,3,19)</f>
        <v>45370</v>
      </c>
      <c r="G4352" s="4">
        <f t="shared" si="377"/>
        <v>3</v>
      </c>
      <c r="H4352" s="4">
        <f t="shared" si="378"/>
        <v>2024</v>
      </c>
      <c r="I4352" s="2" t="s">
        <v>4</v>
      </c>
      <c r="J4352" s="2" t="s">
        <v>5149</v>
      </c>
      <c r="K4352" s="2" t="s">
        <v>566</v>
      </c>
      <c r="L4352" s="2" t="s">
        <v>20</v>
      </c>
      <c r="M4352" s="2" t="s">
        <v>21</v>
      </c>
      <c r="N4352" s="4" t="str">
        <f t="shared" si="379"/>
        <v>GAL</v>
      </c>
      <c r="O4352" s="5">
        <v>55</v>
      </c>
    </row>
    <row r="4353" spans="2:15" x14ac:dyDescent="0.25">
      <c r="B4353" s="1" t="s">
        <v>0</v>
      </c>
      <c r="C4353" s="2" t="s">
        <v>1</v>
      </c>
      <c r="D4353" s="2" t="s">
        <v>2</v>
      </c>
      <c r="E4353" s="2" t="s">
        <v>3</v>
      </c>
      <c r="F4353" s="3">
        <f>DATE(2024,3,19)</f>
        <v>45370</v>
      </c>
      <c r="G4353" s="4">
        <f t="shared" si="377"/>
        <v>3</v>
      </c>
      <c r="H4353" s="4">
        <f t="shared" si="378"/>
        <v>2024</v>
      </c>
      <c r="I4353" s="2" t="s">
        <v>4</v>
      </c>
      <c r="J4353" s="2" t="s">
        <v>5149</v>
      </c>
      <c r="K4353" s="2" t="s">
        <v>6</v>
      </c>
      <c r="L4353" s="2" t="s">
        <v>7</v>
      </c>
      <c r="M4353" s="2" t="s">
        <v>8</v>
      </c>
      <c r="N4353" s="4" t="str">
        <f t="shared" si="379"/>
        <v>GAL</v>
      </c>
      <c r="O4353" s="5">
        <v>55</v>
      </c>
    </row>
    <row r="4354" spans="2:15" x14ac:dyDescent="0.25">
      <c r="B4354" s="1" t="s">
        <v>0</v>
      </c>
      <c r="C4354" s="2" t="s">
        <v>1</v>
      </c>
      <c r="D4354" s="2" t="s">
        <v>2</v>
      </c>
      <c r="E4354" s="2" t="s">
        <v>3952</v>
      </c>
      <c r="F4354" s="3">
        <f t="shared" ref="F4354:F4362" si="380">DATE(2024,3,21)</f>
        <v>45372</v>
      </c>
      <c r="G4354" s="4">
        <f t="shared" si="377"/>
        <v>3</v>
      </c>
      <c r="H4354" s="4">
        <f t="shared" si="378"/>
        <v>2024</v>
      </c>
      <c r="I4354" s="2" t="s">
        <v>4</v>
      </c>
      <c r="J4354" s="2" t="s">
        <v>5150</v>
      </c>
      <c r="K4354" s="2" t="s">
        <v>19</v>
      </c>
      <c r="L4354" s="2" t="s">
        <v>20</v>
      </c>
      <c r="M4354" s="2" t="s">
        <v>21</v>
      </c>
      <c r="N4354" s="4" t="str">
        <f t="shared" si="379"/>
        <v>GAL</v>
      </c>
      <c r="O4354" s="5">
        <v>25</v>
      </c>
    </row>
    <row r="4355" spans="2:15" x14ac:dyDescent="0.25">
      <c r="B4355" s="1" t="s">
        <v>0</v>
      </c>
      <c r="C4355" s="2" t="s">
        <v>1</v>
      </c>
      <c r="D4355" s="2" t="s">
        <v>2</v>
      </c>
      <c r="E4355" s="2" t="s">
        <v>3952</v>
      </c>
      <c r="F4355" s="3">
        <f t="shared" si="380"/>
        <v>45372</v>
      </c>
      <c r="G4355" s="4">
        <f t="shared" si="377"/>
        <v>3</v>
      </c>
      <c r="H4355" s="4">
        <f t="shared" si="378"/>
        <v>2024</v>
      </c>
      <c r="I4355" s="2" t="s">
        <v>4</v>
      </c>
      <c r="J4355" s="2" t="s">
        <v>5150</v>
      </c>
      <c r="K4355" s="2" t="s">
        <v>25</v>
      </c>
      <c r="L4355" s="2" t="s">
        <v>26</v>
      </c>
      <c r="M4355" s="2" t="s">
        <v>27</v>
      </c>
      <c r="N4355" s="4" t="str">
        <f t="shared" si="379"/>
        <v>GAL</v>
      </c>
      <c r="O4355" s="5">
        <v>50</v>
      </c>
    </row>
    <row r="4356" spans="2:15" x14ac:dyDescent="0.25">
      <c r="B4356" s="1" t="s">
        <v>0</v>
      </c>
      <c r="C4356" s="2" t="s">
        <v>1</v>
      </c>
      <c r="D4356" s="2" t="s">
        <v>2</v>
      </c>
      <c r="E4356" s="2" t="s">
        <v>3952</v>
      </c>
      <c r="F4356" s="3">
        <f t="shared" si="380"/>
        <v>45372</v>
      </c>
      <c r="G4356" s="4">
        <f t="shared" si="377"/>
        <v>3</v>
      </c>
      <c r="H4356" s="4">
        <f t="shared" si="378"/>
        <v>2024</v>
      </c>
      <c r="I4356" s="2" t="s">
        <v>4</v>
      </c>
      <c r="J4356" s="2" t="s">
        <v>5150</v>
      </c>
      <c r="K4356" s="2" t="s">
        <v>83</v>
      </c>
      <c r="L4356" s="2" t="s">
        <v>84</v>
      </c>
      <c r="M4356" s="2" t="s">
        <v>85</v>
      </c>
      <c r="N4356" s="4" t="str">
        <f t="shared" si="379"/>
        <v>GAL</v>
      </c>
      <c r="O4356" s="5">
        <v>50</v>
      </c>
    </row>
    <row r="4357" spans="2:15" x14ac:dyDescent="0.25">
      <c r="B4357" s="1" t="s">
        <v>0</v>
      </c>
      <c r="C4357" s="2" t="s">
        <v>1</v>
      </c>
      <c r="D4357" s="2" t="s">
        <v>2</v>
      </c>
      <c r="E4357" s="2" t="s">
        <v>3952</v>
      </c>
      <c r="F4357" s="3">
        <f t="shared" si="380"/>
        <v>45372</v>
      </c>
      <c r="G4357" s="4">
        <f t="shared" si="377"/>
        <v>3</v>
      </c>
      <c r="H4357" s="4">
        <f t="shared" si="378"/>
        <v>2024</v>
      </c>
      <c r="I4357" s="2" t="s">
        <v>4</v>
      </c>
      <c r="J4357" s="2" t="s">
        <v>5150</v>
      </c>
      <c r="K4357" s="2" t="s">
        <v>28</v>
      </c>
      <c r="L4357" s="2" t="s">
        <v>29</v>
      </c>
      <c r="M4357" s="2" t="s">
        <v>30</v>
      </c>
      <c r="N4357" s="4" t="str">
        <f t="shared" si="379"/>
        <v>GAL</v>
      </c>
      <c r="O4357" s="5">
        <v>25</v>
      </c>
    </row>
    <row r="4358" spans="2:15" x14ac:dyDescent="0.25">
      <c r="B4358" s="1" t="s">
        <v>0</v>
      </c>
      <c r="C4358" s="2" t="s">
        <v>1</v>
      </c>
      <c r="D4358" s="2" t="s">
        <v>2</v>
      </c>
      <c r="E4358" s="2" t="s">
        <v>3952</v>
      </c>
      <c r="F4358" s="3">
        <f t="shared" si="380"/>
        <v>45372</v>
      </c>
      <c r="G4358" s="4">
        <f t="shared" si="377"/>
        <v>3</v>
      </c>
      <c r="H4358" s="4">
        <f t="shared" si="378"/>
        <v>2024</v>
      </c>
      <c r="I4358" s="2" t="s">
        <v>4</v>
      </c>
      <c r="J4358" s="2" t="s">
        <v>5150</v>
      </c>
      <c r="K4358" s="2" t="s">
        <v>16</v>
      </c>
      <c r="L4358" s="2" t="s">
        <v>7</v>
      </c>
      <c r="M4358" s="2" t="s">
        <v>8</v>
      </c>
      <c r="N4358" s="4" t="str">
        <f t="shared" si="379"/>
        <v>GAL</v>
      </c>
      <c r="O4358" s="5">
        <v>50</v>
      </c>
    </row>
    <row r="4359" spans="2:15" x14ac:dyDescent="0.25">
      <c r="B4359" s="1" t="s">
        <v>0</v>
      </c>
      <c r="C4359" s="2" t="s">
        <v>1</v>
      </c>
      <c r="D4359" s="2" t="s">
        <v>2</v>
      </c>
      <c r="E4359" s="2" t="s">
        <v>5151</v>
      </c>
      <c r="F4359" s="3">
        <f t="shared" si="380"/>
        <v>45372</v>
      </c>
      <c r="G4359" s="4">
        <f t="shared" si="377"/>
        <v>3</v>
      </c>
      <c r="H4359" s="4">
        <f t="shared" si="378"/>
        <v>2024</v>
      </c>
      <c r="I4359" s="2" t="s">
        <v>4</v>
      </c>
      <c r="J4359" s="2" t="s">
        <v>5152</v>
      </c>
      <c r="K4359" s="2" t="s">
        <v>19</v>
      </c>
      <c r="L4359" s="2" t="s">
        <v>20</v>
      </c>
      <c r="M4359" s="2" t="s">
        <v>21</v>
      </c>
      <c r="N4359" s="4" t="str">
        <f t="shared" si="379"/>
        <v>GAL</v>
      </c>
      <c r="O4359" s="5">
        <v>10</v>
      </c>
    </row>
    <row r="4360" spans="2:15" x14ac:dyDescent="0.25">
      <c r="B4360" s="1" t="s">
        <v>0</v>
      </c>
      <c r="C4360" s="2" t="s">
        <v>1</v>
      </c>
      <c r="D4360" s="2" t="s">
        <v>2</v>
      </c>
      <c r="E4360" s="2" t="s">
        <v>5151</v>
      </c>
      <c r="F4360" s="3">
        <f t="shared" si="380"/>
        <v>45372</v>
      </c>
      <c r="G4360" s="4">
        <f t="shared" si="377"/>
        <v>3</v>
      </c>
      <c r="H4360" s="4">
        <f t="shared" si="378"/>
        <v>2024</v>
      </c>
      <c r="I4360" s="2" t="s">
        <v>4</v>
      </c>
      <c r="J4360" s="2" t="s">
        <v>5152</v>
      </c>
      <c r="K4360" s="2" t="s">
        <v>1069</v>
      </c>
      <c r="L4360" s="2" t="s">
        <v>1070</v>
      </c>
      <c r="M4360" s="2" t="s">
        <v>1071</v>
      </c>
      <c r="N4360" s="4" t="str">
        <f t="shared" si="379"/>
        <v>GAL</v>
      </c>
      <c r="O4360" s="5">
        <v>10</v>
      </c>
    </row>
    <row r="4361" spans="2:15" x14ac:dyDescent="0.25">
      <c r="B4361" s="1" t="s">
        <v>0</v>
      </c>
      <c r="C4361" s="2" t="s">
        <v>1</v>
      </c>
      <c r="D4361" s="2" t="s">
        <v>2</v>
      </c>
      <c r="E4361" s="2" t="s">
        <v>5151</v>
      </c>
      <c r="F4361" s="3">
        <f t="shared" si="380"/>
        <v>45372</v>
      </c>
      <c r="G4361" s="4">
        <f t="shared" si="377"/>
        <v>3</v>
      </c>
      <c r="H4361" s="4">
        <f t="shared" si="378"/>
        <v>2024</v>
      </c>
      <c r="I4361" s="2" t="s">
        <v>4</v>
      </c>
      <c r="J4361" s="2" t="s">
        <v>5152</v>
      </c>
      <c r="K4361" s="2" t="s">
        <v>28</v>
      </c>
      <c r="L4361" s="2" t="s">
        <v>29</v>
      </c>
      <c r="M4361" s="2" t="s">
        <v>30</v>
      </c>
      <c r="N4361" s="4" t="str">
        <f t="shared" si="379"/>
        <v>GAL</v>
      </c>
      <c r="O4361" s="5">
        <v>10</v>
      </c>
    </row>
    <row r="4362" spans="2:15" x14ac:dyDescent="0.25">
      <c r="B4362" s="1" t="s">
        <v>0</v>
      </c>
      <c r="C4362" s="2" t="s">
        <v>1</v>
      </c>
      <c r="D4362" s="2" t="s">
        <v>2</v>
      </c>
      <c r="E4362" s="2" t="s">
        <v>5151</v>
      </c>
      <c r="F4362" s="3">
        <f t="shared" si="380"/>
        <v>45372</v>
      </c>
      <c r="G4362" s="4">
        <f t="shared" si="377"/>
        <v>3</v>
      </c>
      <c r="H4362" s="4">
        <f t="shared" si="378"/>
        <v>2024</v>
      </c>
      <c r="I4362" s="2" t="s">
        <v>4</v>
      </c>
      <c r="J4362" s="2" t="s">
        <v>5152</v>
      </c>
      <c r="K4362" s="2" t="s">
        <v>16</v>
      </c>
      <c r="L4362" s="2" t="s">
        <v>7</v>
      </c>
      <c r="M4362" s="2" t="s">
        <v>8</v>
      </c>
      <c r="N4362" s="4" t="str">
        <f t="shared" si="379"/>
        <v>GAL</v>
      </c>
      <c r="O4362" s="5">
        <v>10</v>
      </c>
    </row>
    <row r="4363" spans="2:15" x14ac:dyDescent="0.25">
      <c r="B4363" s="1" t="s">
        <v>0</v>
      </c>
      <c r="C4363" s="2" t="s">
        <v>1</v>
      </c>
      <c r="D4363" s="2" t="s">
        <v>2</v>
      </c>
      <c r="E4363" s="2" t="s">
        <v>4287</v>
      </c>
      <c r="F4363" s="3">
        <f t="shared" ref="F4363:F4369" si="381">DATE(2024,3,26)</f>
        <v>45377</v>
      </c>
      <c r="G4363" s="4">
        <f t="shared" si="377"/>
        <v>3</v>
      </c>
      <c r="H4363" s="4">
        <f t="shared" si="378"/>
        <v>2024</v>
      </c>
      <c r="I4363" s="2" t="s">
        <v>4</v>
      </c>
      <c r="J4363" s="2" t="s">
        <v>5153</v>
      </c>
      <c r="K4363" s="2" t="s">
        <v>22</v>
      </c>
      <c r="L4363" s="2" t="s">
        <v>23</v>
      </c>
      <c r="M4363" s="2" t="s">
        <v>24</v>
      </c>
      <c r="N4363" s="4" t="str">
        <f t="shared" si="379"/>
        <v>GAL</v>
      </c>
      <c r="O4363" s="5">
        <v>40</v>
      </c>
    </row>
    <row r="4364" spans="2:15" x14ac:dyDescent="0.25">
      <c r="B4364" s="1" t="s">
        <v>0</v>
      </c>
      <c r="C4364" s="2" t="s">
        <v>1</v>
      </c>
      <c r="D4364" s="2" t="s">
        <v>2</v>
      </c>
      <c r="E4364" s="2" t="s">
        <v>4287</v>
      </c>
      <c r="F4364" s="3">
        <f t="shared" si="381"/>
        <v>45377</v>
      </c>
      <c r="G4364" s="4">
        <f t="shared" si="377"/>
        <v>3</v>
      </c>
      <c r="H4364" s="4">
        <f t="shared" si="378"/>
        <v>2024</v>
      </c>
      <c r="I4364" s="2" t="s">
        <v>4</v>
      </c>
      <c r="J4364" s="2" t="s">
        <v>5153</v>
      </c>
      <c r="K4364" s="2" t="s">
        <v>1069</v>
      </c>
      <c r="L4364" s="2" t="s">
        <v>1070</v>
      </c>
      <c r="M4364" s="2" t="s">
        <v>1071</v>
      </c>
      <c r="N4364" s="4" t="str">
        <f t="shared" si="379"/>
        <v>GAL</v>
      </c>
      <c r="O4364" s="5">
        <v>20</v>
      </c>
    </row>
    <row r="4365" spans="2:15" x14ac:dyDescent="0.25">
      <c r="B4365" s="1" t="s">
        <v>0</v>
      </c>
      <c r="C4365" s="2" t="s">
        <v>1</v>
      </c>
      <c r="D4365" s="2" t="s">
        <v>2</v>
      </c>
      <c r="E4365" s="2" t="s">
        <v>4287</v>
      </c>
      <c r="F4365" s="3">
        <f t="shared" si="381"/>
        <v>45377</v>
      </c>
      <c r="G4365" s="4">
        <f t="shared" si="377"/>
        <v>3</v>
      </c>
      <c r="H4365" s="4">
        <f t="shared" si="378"/>
        <v>2024</v>
      </c>
      <c r="I4365" s="2" t="s">
        <v>4</v>
      </c>
      <c r="J4365" s="2" t="s">
        <v>5153</v>
      </c>
      <c r="K4365" s="2" t="s">
        <v>25</v>
      </c>
      <c r="L4365" s="2" t="s">
        <v>26</v>
      </c>
      <c r="M4365" s="2" t="s">
        <v>27</v>
      </c>
      <c r="N4365" s="4" t="str">
        <f t="shared" si="379"/>
        <v>GAL</v>
      </c>
      <c r="O4365" s="5">
        <v>60</v>
      </c>
    </row>
    <row r="4366" spans="2:15" x14ac:dyDescent="0.25">
      <c r="B4366" s="1" t="s">
        <v>0</v>
      </c>
      <c r="C4366" s="2" t="s">
        <v>1</v>
      </c>
      <c r="D4366" s="2" t="s">
        <v>2</v>
      </c>
      <c r="E4366" s="2" t="s">
        <v>4287</v>
      </c>
      <c r="F4366" s="3">
        <f t="shared" si="381"/>
        <v>45377</v>
      </c>
      <c r="G4366" s="4">
        <f t="shared" si="377"/>
        <v>3</v>
      </c>
      <c r="H4366" s="4">
        <f t="shared" si="378"/>
        <v>2024</v>
      </c>
      <c r="I4366" s="2" t="s">
        <v>4</v>
      </c>
      <c r="J4366" s="2" t="s">
        <v>5153</v>
      </c>
      <c r="K4366" s="2" t="s">
        <v>83</v>
      </c>
      <c r="L4366" s="2" t="s">
        <v>84</v>
      </c>
      <c r="M4366" s="2" t="s">
        <v>85</v>
      </c>
      <c r="N4366" s="4" t="str">
        <f t="shared" si="379"/>
        <v>GAL</v>
      </c>
      <c r="O4366" s="5">
        <v>120</v>
      </c>
    </row>
    <row r="4367" spans="2:15" x14ac:dyDescent="0.25">
      <c r="B4367" s="1" t="s">
        <v>0</v>
      </c>
      <c r="C4367" s="2" t="s">
        <v>1</v>
      </c>
      <c r="D4367" s="2" t="s">
        <v>2</v>
      </c>
      <c r="E4367" s="2" t="s">
        <v>4287</v>
      </c>
      <c r="F4367" s="3">
        <f t="shared" si="381"/>
        <v>45377</v>
      </c>
      <c r="G4367" s="4">
        <f t="shared" si="377"/>
        <v>3</v>
      </c>
      <c r="H4367" s="4">
        <f t="shared" si="378"/>
        <v>2024</v>
      </c>
      <c r="I4367" s="2" t="s">
        <v>4</v>
      </c>
      <c r="J4367" s="2" t="s">
        <v>5153</v>
      </c>
      <c r="K4367" s="2" t="s">
        <v>50</v>
      </c>
      <c r="L4367" s="2" t="s">
        <v>51</v>
      </c>
      <c r="M4367" s="2" t="s">
        <v>52</v>
      </c>
      <c r="N4367" s="4" t="str">
        <f t="shared" si="379"/>
        <v>GAL</v>
      </c>
      <c r="O4367" s="5">
        <v>120</v>
      </c>
    </row>
    <row r="4368" spans="2:15" x14ac:dyDescent="0.25">
      <c r="B4368" s="1" t="s">
        <v>0</v>
      </c>
      <c r="C4368" s="2" t="s">
        <v>1</v>
      </c>
      <c r="D4368" s="2" t="s">
        <v>2</v>
      </c>
      <c r="E4368" s="2" t="s">
        <v>4287</v>
      </c>
      <c r="F4368" s="3">
        <f t="shared" si="381"/>
        <v>45377</v>
      </c>
      <c r="G4368" s="4">
        <f t="shared" si="377"/>
        <v>3</v>
      </c>
      <c r="H4368" s="4">
        <f t="shared" si="378"/>
        <v>2024</v>
      </c>
      <c r="I4368" s="2" t="s">
        <v>4</v>
      </c>
      <c r="J4368" s="2" t="s">
        <v>5153</v>
      </c>
      <c r="K4368" s="2" t="s">
        <v>28</v>
      </c>
      <c r="L4368" s="2" t="s">
        <v>29</v>
      </c>
      <c r="M4368" s="2" t="s">
        <v>30</v>
      </c>
      <c r="N4368" s="4" t="str">
        <f t="shared" si="379"/>
        <v>GAL</v>
      </c>
      <c r="O4368" s="5">
        <v>120</v>
      </c>
    </row>
    <row r="4369" spans="2:15" x14ac:dyDescent="0.25">
      <c r="B4369" s="1" t="s">
        <v>0</v>
      </c>
      <c r="C4369" s="2" t="s">
        <v>1</v>
      </c>
      <c r="D4369" s="2" t="s">
        <v>2</v>
      </c>
      <c r="E4369" s="2" t="s">
        <v>4287</v>
      </c>
      <c r="F4369" s="3">
        <f t="shared" si="381"/>
        <v>45377</v>
      </c>
      <c r="G4369" s="4">
        <f t="shared" si="377"/>
        <v>3</v>
      </c>
      <c r="H4369" s="4">
        <f t="shared" si="378"/>
        <v>2024</v>
      </c>
      <c r="I4369" s="2" t="s">
        <v>4</v>
      </c>
      <c r="J4369" s="2" t="s">
        <v>5153</v>
      </c>
      <c r="K4369" s="2" t="s">
        <v>16</v>
      </c>
      <c r="L4369" s="2" t="s">
        <v>7</v>
      </c>
      <c r="M4369" s="2" t="s">
        <v>8</v>
      </c>
      <c r="N4369" s="4" t="str">
        <f t="shared" si="379"/>
        <v>GAL</v>
      </c>
      <c r="O4369" s="5">
        <v>120</v>
      </c>
    </row>
    <row r="4370" spans="2:15" x14ac:dyDescent="0.25">
      <c r="B4370" s="1" t="s">
        <v>0</v>
      </c>
      <c r="C4370" s="2" t="s">
        <v>1</v>
      </c>
      <c r="D4370" s="2" t="s">
        <v>2</v>
      </c>
      <c r="E4370" s="2" t="s">
        <v>4287</v>
      </c>
      <c r="F4370" s="3">
        <f>DATE(2024,3,28)</f>
        <v>45379</v>
      </c>
      <c r="G4370" s="4">
        <f t="shared" si="377"/>
        <v>3</v>
      </c>
      <c r="H4370" s="4">
        <f t="shared" si="378"/>
        <v>2024</v>
      </c>
      <c r="I4370" s="2" t="s">
        <v>4</v>
      </c>
      <c r="J4370" s="2" t="s">
        <v>5154</v>
      </c>
      <c r="K4370" s="2" t="s">
        <v>28</v>
      </c>
      <c r="L4370" s="2" t="s">
        <v>29</v>
      </c>
      <c r="M4370" s="2" t="s">
        <v>30</v>
      </c>
      <c r="N4370" s="4" t="str">
        <f t="shared" si="379"/>
        <v>GAL</v>
      </c>
      <c r="O4370" s="5">
        <v>25</v>
      </c>
    </row>
    <row r="4371" spans="2:15" x14ac:dyDescent="0.25">
      <c r="B4371" s="1" t="s">
        <v>88</v>
      </c>
      <c r="C4371" s="2" t="s">
        <v>89</v>
      </c>
      <c r="D4371" s="2" t="s">
        <v>1111</v>
      </c>
      <c r="E4371" s="2" t="s">
        <v>1112</v>
      </c>
      <c r="F4371" s="3">
        <f>DATE(2024,3,1)</f>
        <v>45352</v>
      </c>
      <c r="G4371" s="4">
        <f t="shared" si="377"/>
        <v>3</v>
      </c>
      <c r="H4371" s="4">
        <f t="shared" si="378"/>
        <v>2024</v>
      </c>
      <c r="I4371" s="2" t="s">
        <v>4</v>
      </c>
      <c r="J4371" s="2" t="s">
        <v>5155</v>
      </c>
      <c r="K4371" s="2" t="s">
        <v>2629</v>
      </c>
      <c r="L4371" s="2" t="s">
        <v>2630</v>
      </c>
      <c r="M4371" s="2" t="s">
        <v>2631</v>
      </c>
      <c r="N4371" s="4" t="str">
        <f t="shared" si="379"/>
        <v>GAL</v>
      </c>
      <c r="O4371" s="5">
        <v>70</v>
      </c>
    </row>
    <row r="4372" spans="2:15" x14ac:dyDescent="0.25">
      <c r="B4372" s="1" t="s">
        <v>88</v>
      </c>
      <c r="C4372" s="2" t="s">
        <v>89</v>
      </c>
      <c r="D4372" s="2" t="s">
        <v>646</v>
      </c>
      <c r="E4372" s="2" t="s">
        <v>647</v>
      </c>
      <c r="F4372" s="3">
        <f>DATE(2024,3,4)</f>
        <v>45355</v>
      </c>
      <c r="G4372" s="4">
        <f t="shared" si="377"/>
        <v>3</v>
      </c>
      <c r="H4372" s="4">
        <f t="shared" si="378"/>
        <v>2024</v>
      </c>
      <c r="I4372" s="2" t="s">
        <v>4</v>
      </c>
      <c r="J4372" s="2" t="s">
        <v>5156</v>
      </c>
      <c r="K4372" s="2" t="s">
        <v>143</v>
      </c>
      <c r="L4372" s="2" t="s">
        <v>5157</v>
      </c>
      <c r="M4372" s="2" t="s">
        <v>145</v>
      </c>
      <c r="N4372" s="4" t="str">
        <f t="shared" si="379"/>
        <v>GAL</v>
      </c>
      <c r="O4372" s="5">
        <v>2975</v>
      </c>
    </row>
    <row r="4373" spans="2:15" x14ac:dyDescent="0.25">
      <c r="B4373" s="1" t="s">
        <v>88</v>
      </c>
      <c r="C4373" s="2" t="s">
        <v>89</v>
      </c>
      <c r="D4373" s="2" t="s">
        <v>1111</v>
      </c>
      <c r="E4373" s="2" t="s">
        <v>1112</v>
      </c>
      <c r="F4373" s="3">
        <f>DATE(2024,3,7)</f>
        <v>45358</v>
      </c>
      <c r="G4373" s="4">
        <f t="shared" si="377"/>
        <v>3</v>
      </c>
      <c r="H4373" s="4">
        <f t="shared" si="378"/>
        <v>2024</v>
      </c>
      <c r="I4373" s="2" t="s">
        <v>4</v>
      </c>
      <c r="J4373" s="2" t="s">
        <v>5158</v>
      </c>
      <c r="K4373" s="2" t="s">
        <v>2629</v>
      </c>
      <c r="L4373" s="2" t="s">
        <v>2630</v>
      </c>
      <c r="M4373" s="2" t="s">
        <v>2631</v>
      </c>
      <c r="N4373" s="4" t="str">
        <f t="shared" si="379"/>
        <v>GAL</v>
      </c>
      <c r="O4373" s="5">
        <v>70</v>
      </c>
    </row>
    <row r="4374" spans="2:15" x14ac:dyDescent="0.25">
      <c r="B4374" s="1" t="s">
        <v>88</v>
      </c>
      <c r="C4374" s="2" t="s">
        <v>89</v>
      </c>
      <c r="D4374" s="2" t="s">
        <v>1444</v>
      </c>
      <c r="E4374" s="2" t="s">
        <v>3965</v>
      </c>
      <c r="F4374" s="3">
        <f>DATE(2024,3,7)</f>
        <v>45358</v>
      </c>
      <c r="G4374" s="4">
        <f t="shared" si="377"/>
        <v>3</v>
      </c>
      <c r="H4374" s="4">
        <f t="shared" si="378"/>
        <v>2024</v>
      </c>
      <c r="I4374" s="2" t="s">
        <v>4</v>
      </c>
      <c r="J4374" s="2" t="s">
        <v>5159</v>
      </c>
      <c r="K4374" s="2" t="s">
        <v>3136</v>
      </c>
      <c r="L4374" s="2" t="s">
        <v>2581</v>
      </c>
      <c r="M4374" s="2" t="s">
        <v>1448</v>
      </c>
      <c r="N4374" s="4" t="str">
        <f t="shared" si="379"/>
        <v>GAL</v>
      </c>
      <c r="O4374" s="5">
        <v>150</v>
      </c>
    </row>
    <row r="4375" spans="2:15" x14ac:dyDescent="0.25">
      <c r="B4375" s="1" t="s">
        <v>88</v>
      </c>
      <c r="C4375" s="2" t="s">
        <v>89</v>
      </c>
      <c r="D4375" s="2" t="s">
        <v>1444</v>
      </c>
      <c r="E4375" s="2" t="s">
        <v>102</v>
      </c>
      <c r="F4375" s="3">
        <f>DATE(2024,3,7)</f>
        <v>45358</v>
      </c>
      <c r="G4375" s="4">
        <f t="shared" si="377"/>
        <v>3</v>
      </c>
      <c r="H4375" s="4">
        <f t="shared" si="378"/>
        <v>2024</v>
      </c>
      <c r="I4375" s="2" t="s">
        <v>4</v>
      </c>
      <c r="J4375" s="2" t="s">
        <v>5160</v>
      </c>
      <c r="K4375" s="2" t="s">
        <v>1446</v>
      </c>
      <c r="L4375" s="2" t="s">
        <v>2581</v>
      </c>
      <c r="M4375" s="2" t="s">
        <v>1448</v>
      </c>
      <c r="N4375" s="4" t="str">
        <f t="shared" si="379"/>
        <v>GAL</v>
      </c>
      <c r="O4375" s="5">
        <v>360</v>
      </c>
    </row>
    <row r="4376" spans="2:15" x14ac:dyDescent="0.25">
      <c r="B4376" s="1" t="s">
        <v>88</v>
      </c>
      <c r="C4376" s="2" t="s">
        <v>89</v>
      </c>
      <c r="D4376" s="2" t="s">
        <v>90</v>
      </c>
      <c r="E4376" s="2" t="s">
        <v>91</v>
      </c>
      <c r="F4376" s="3">
        <f>DATE(2024,3,7)</f>
        <v>45358</v>
      </c>
      <c r="G4376" s="4">
        <f t="shared" si="377"/>
        <v>3</v>
      </c>
      <c r="H4376" s="4">
        <f t="shared" si="378"/>
        <v>2024</v>
      </c>
      <c r="I4376" s="2" t="s">
        <v>4</v>
      </c>
      <c r="J4376" s="2" t="s">
        <v>5161</v>
      </c>
      <c r="K4376" s="2" t="s">
        <v>614</v>
      </c>
      <c r="L4376" s="2" t="s">
        <v>615</v>
      </c>
      <c r="M4376" s="2" t="s">
        <v>41</v>
      </c>
      <c r="N4376" s="4" t="str">
        <f t="shared" si="379"/>
        <v>GAL</v>
      </c>
      <c r="O4376" s="5">
        <v>250</v>
      </c>
    </row>
    <row r="4377" spans="2:15" x14ac:dyDescent="0.25">
      <c r="B4377" s="1" t="s">
        <v>88</v>
      </c>
      <c r="C4377" s="2" t="s">
        <v>89</v>
      </c>
      <c r="D4377" s="2" t="s">
        <v>90</v>
      </c>
      <c r="E4377" s="2" t="s">
        <v>91</v>
      </c>
      <c r="F4377" s="3">
        <f>DATE(2024,3,7)</f>
        <v>45358</v>
      </c>
      <c r="G4377" s="4">
        <f t="shared" si="377"/>
        <v>3</v>
      </c>
      <c r="H4377" s="4">
        <f t="shared" si="378"/>
        <v>2024</v>
      </c>
      <c r="I4377" s="2" t="s">
        <v>4</v>
      </c>
      <c r="J4377" s="2" t="s">
        <v>5161</v>
      </c>
      <c r="K4377" s="2" t="s">
        <v>50</v>
      </c>
      <c r="L4377" s="2" t="s">
        <v>550</v>
      </c>
      <c r="M4377" s="2" t="s">
        <v>52</v>
      </c>
      <c r="N4377" s="4" t="str">
        <f t="shared" si="379"/>
        <v>GAL</v>
      </c>
      <c r="O4377" s="5">
        <v>25</v>
      </c>
    </row>
    <row r="4378" spans="2:15" x14ac:dyDescent="0.25">
      <c r="B4378" s="1" t="s">
        <v>88</v>
      </c>
      <c r="C4378" s="2" t="s">
        <v>89</v>
      </c>
      <c r="D4378" s="2" t="s">
        <v>1111</v>
      </c>
      <c r="E4378" s="2" t="s">
        <v>1112</v>
      </c>
      <c r="F4378" s="3">
        <f>DATE(2024,3,13)</f>
        <v>45364</v>
      </c>
      <c r="G4378" s="4">
        <f t="shared" si="377"/>
        <v>3</v>
      </c>
      <c r="H4378" s="4">
        <f t="shared" si="378"/>
        <v>2024</v>
      </c>
      <c r="I4378" s="2" t="s">
        <v>4</v>
      </c>
      <c r="J4378" s="2" t="s">
        <v>5162</v>
      </c>
      <c r="K4378" s="2" t="s">
        <v>2629</v>
      </c>
      <c r="L4378" s="2" t="s">
        <v>2630</v>
      </c>
      <c r="M4378" s="2" t="s">
        <v>2631</v>
      </c>
      <c r="N4378" s="4" t="str">
        <f t="shared" si="379"/>
        <v>GAL</v>
      </c>
      <c r="O4378" s="5">
        <v>70</v>
      </c>
    </row>
    <row r="4379" spans="2:15" x14ac:dyDescent="0.25">
      <c r="B4379" s="1" t="s">
        <v>88</v>
      </c>
      <c r="C4379" s="2" t="s">
        <v>89</v>
      </c>
      <c r="D4379" s="2" t="s">
        <v>1111</v>
      </c>
      <c r="E4379" s="2" t="s">
        <v>1112</v>
      </c>
      <c r="F4379" s="3">
        <f>DATE(2024,3,14)</f>
        <v>45365</v>
      </c>
      <c r="G4379" s="4">
        <f t="shared" si="377"/>
        <v>3</v>
      </c>
      <c r="H4379" s="4">
        <f t="shared" si="378"/>
        <v>2024</v>
      </c>
      <c r="I4379" s="2" t="s">
        <v>4</v>
      </c>
      <c r="J4379" s="2" t="s">
        <v>5163</v>
      </c>
      <c r="K4379" s="2" t="s">
        <v>2629</v>
      </c>
      <c r="L4379" s="2" t="s">
        <v>2630</v>
      </c>
      <c r="M4379" s="2" t="s">
        <v>2631</v>
      </c>
      <c r="N4379" s="4" t="str">
        <f t="shared" si="379"/>
        <v>GAL</v>
      </c>
      <c r="O4379" s="5">
        <v>70</v>
      </c>
    </row>
    <row r="4380" spans="2:15" x14ac:dyDescent="0.25">
      <c r="B4380" s="1" t="s">
        <v>88</v>
      </c>
      <c r="C4380" s="2" t="s">
        <v>89</v>
      </c>
      <c r="D4380" s="2" t="s">
        <v>3265</v>
      </c>
      <c r="E4380" s="2" t="s">
        <v>3266</v>
      </c>
      <c r="F4380" s="3">
        <f>DATE(2024,3,25)</f>
        <v>45376</v>
      </c>
      <c r="G4380" s="4">
        <f t="shared" si="377"/>
        <v>3</v>
      </c>
      <c r="H4380" s="4">
        <f t="shared" si="378"/>
        <v>2024</v>
      </c>
      <c r="I4380" s="2" t="s">
        <v>4</v>
      </c>
      <c r="J4380" s="2" t="s">
        <v>5164</v>
      </c>
      <c r="K4380" s="2" t="s">
        <v>3268</v>
      </c>
      <c r="L4380" s="2" t="s">
        <v>3269</v>
      </c>
      <c r="M4380" s="2" t="s">
        <v>2576</v>
      </c>
      <c r="N4380" s="4" t="str">
        <f t="shared" si="379"/>
        <v>GAL</v>
      </c>
      <c r="O4380" s="5">
        <v>150</v>
      </c>
    </row>
    <row r="4381" spans="2:15" x14ac:dyDescent="0.25">
      <c r="B4381" s="1" t="s">
        <v>88</v>
      </c>
      <c r="C4381" s="2" t="s">
        <v>89</v>
      </c>
      <c r="D4381" s="2" t="s">
        <v>1444</v>
      </c>
      <c r="E4381" s="2" t="s">
        <v>102</v>
      </c>
      <c r="F4381" s="3">
        <f>DATE(2024,3,26)</f>
        <v>45377</v>
      </c>
      <c r="G4381" s="4">
        <f t="shared" si="377"/>
        <v>3</v>
      </c>
      <c r="H4381" s="4">
        <f t="shared" si="378"/>
        <v>2024</v>
      </c>
      <c r="I4381" s="2" t="s">
        <v>4</v>
      </c>
      <c r="J4381" s="2" t="s">
        <v>5165</v>
      </c>
      <c r="K4381" s="2" t="s">
        <v>1446</v>
      </c>
      <c r="L4381" s="2" t="s">
        <v>2581</v>
      </c>
      <c r="M4381" s="2" t="s">
        <v>1448</v>
      </c>
      <c r="N4381" s="4" t="str">
        <f t="shared" si="379"/>
        <v>GAL</v>
      </c>
      <c r="O4381" s="5">
        <v>360</v>
      </c>
    </row>
    <row r="4382" spans="2:15" x14ac:dyDescent="0.25">
      <c r="B4382" s="1" t="s">
        <v>88</v>
      </c>
      <c r="C4382" s="2" t="s">
        <v>89</v>
      </c>
      <c r="D4382" s="2" t="s">
        <v>134</v>
      </c>
      <c r="E4382" s="2" t="s">
        <v>135</v>
      </c>
      <c r="F4382" s="3">
        <f>DATE(2024,3,27)</f>
        <v>45378</v>
      </c>
      <c r="G4382" s="4">
        <f t="shared" si="377"/>
        <v>3</v>
      </c>
      <c r="H4382" s="4">
        <f t="shared" si="378"/>
        <v>2024</v>
      </c>
      <c r="I4382" s="2" t="s">
        <v>4</v>
      </c>
      <c r="J4382" s="2" t="s">
        <v>5166</v>
      </c>
      <c r="K4382" s="2" t="s">
        <v>137</v>
      </c>
      <c r="L4382" s="2" t="s">
        <v>138</v>
      </c>
      <c r="M4382" s="2" t="s">
        <v>139</v>
      </c>
      <c r="N4382" s="4" t="str">
        <f t="shared" si="379"/>
        <v>GAL</v>
      </c>
      <c r="O4382" s="5">
        <v>100</v>
      </c>
    </row>
    <row r="4383" spans="2:15" x14ac:dyDescent="0.25">
      <c r="B4383" s="1" t="s">
        <v>154</v>
      </c>
      <c r="C4383" s="2" t="s">
        <v>155</v>
      </c>
      <c r="D4383" s="2" t="s">
        <v>167</v>
      </c>
      <c r="E4383" s="2" t="s">
        <v>168</v>
      </c>
      <c r="F4383" s="3">
        <f>DATE(2024,3,1)</f>
        <v>45352</v>
      </c>
      <c r="G4383" s="4">
        <f t="shared" si="377"/>
        <v>3</v>
      </c>
      <c r="H4383" s="4">
        <f t="shared" si="378"/>
        <v>2024</v>
      </c>
      <c r="I4383" s="2" t="s">
        <v>4</v>
      </c>
      <c r="J4383" s="2" t="s">
        <v>5167</v>
      </c>
      <c r="K4383" s="2" t="s">
        <v>158</v>
      </c>
      <c r="L4383" s="2" t="s">
        <v>159</v>
      </c>
      <c r="M4383" s="2" t="s">
        <v>160</v>
      </c>
      <c r="N4383" s="4" t="str">
        <f t="shared" si="379"/>
        <v>GAL</v>
      </c>
      <c r="O4383" s="5">
        <v>360</v>
      </c>
    </row>
    <row r="4384" spans="2:15" x14ac:dyDescent="0.25">
      <c r="B4384" s="1" t="s">
        <v>154</v>
      </c>
      <c r="C4384" s="2" t="s">
        <v>155</v>
      </c>
      <c r="D4384" s="2" t="s">
        <v>167</v>
      </c>
      <c r="E4384" s="2" t="s">
        <v>168</v>
      </c>
      <c r="F4384" s="3">
        <f>DATE(2024,3,4)</f>
        <v>45355</v>
      </c>
      <c r="G4384" s="4">
        <f t="shared" si="377"/>
        <v>3</v>
      </c>
      <c r="H4384" s="4">
        <f t="shared" si="378"/>
        <v>2024</v>
      </c>
      <c r="I4384" s="2" t="s">
        <v>4</v>
      </c>
      <c r="J4384" s="2" t="s">
        <v>5168</v>
      </c>
      <c r="K4384" s="2" t="s">
        <v>1496</v>
      </c>
      <c r="L4384" s="2" t="s">
        <v>159</v>
      </c>
      <c r="M4384" s="2" t="s">
        <v>160</v>
      </c>
      <c r="N4384" s="4" t="str">
        <f t="shared" si="379"/>
        <v>GAL</v>
      </c>
      <c r="O4384" s="5">
        <v>500</v>
      </c>
    </row>
    <row r="4385" spans="2:15" x14ac:dyDescent="0.25">
      <c r="B4385" s="1" t="s">
        <v>154</v>
      </c>
      <c r="C4385" s="2" t="s">
        <v>155</v>
      </c>
      <c r="D4385" s="2" t="s">
        <v>161</v>
      </c>
      <c r="E4385" s="2" t="s">
        <v>162</v>
      </c>
      <c r="F4385" s="3">
        <f>DATE(2024,3,4)</f>
        <v>45355</v>
      </c>
      <c r="G4385" s="4">
        <f t="shared" si="377"/>
        <v>3</v>
      </c>
      <c r="H4385" s="4">
        <f t="shared" si="378"/>
        <v>2024</v>
      </c>
      <c r="I4385" s="2" t="s">
        <v>4</v>
      </c>
      <c r="J4385" s="2" t="s">
        <v>5169</v>
      </c>
      <c r="K4385" s="2" t="s">
        <v>25</v>
      </c>
      <c r="L4385" s="2" t="s">
        <v>541</v>
      </c>
      <c r="M4385" s="2" t="s">
        <v>27</v>
      </c>
      <c r="N4385" s="4" t="str">
        <f t="shared" si="379"/>
        <v>GAL</v>
      </c>
      <c r="O4385" s="5">
        <v>360</v>
      </c>
    </row>
    <row r="4386" spans="2:15" x14ac:dyDescent="0.25">
      <c r="B4386" s="1" t="s">
        <v>154</v>
      </c>
      <c r="C4386" s="2" t="s">
        <v>155</v>
      </c>
      <c r="D4386" s="2" t="s">
        <v>167</v>
      </c>
      <c r="E4386" s="2" t="s">
        <v>168</v>
      </c>
      <c r="F4386" s="3">
        <f>DATE(2024,3,4)</f>
        <v>45355</v>
      </c>
      <c r="G4386" s="4">
        <f t="shared" si="377"/>
        <v>3</v>
      </c>
      <c r="H4386" s="4">
        <f t="shared" si="378"/>
        <v>2024</v>
      </c>
      <c r="I4386" s="2" t="s">
        <v>4</v>
      </c>
      <c r="J4386" s="2" t="s">
        <v>5170</v>
      </c>
      <c r="K4386" s="2" t="s">
        <v>1853</v>
      </c>
      <c r="L4386" s="2" t="s">
        <v>1854</v>
      </c>
      <c r="M4386" s="2" t="s">
        <v>1816</v>
      </c>
      <c r="N4386" s="4" t="str">
        <f t="shared" si="379"/>
        <v>GAL</v>
      </c>
      <c r="O4386" s="5">
        <v>180</v>
      </c>
    </row>
    <row r="4387" spans="2:15" x14ac:dyDescent="0.25">
      <c r="B4387" s="1" t="s">
        <v>154</v>
      </c>
      <c r="C4387" s="2" t="s">
        <v>155</v>
      </c>
      <c r="D4387" s="2" t="s">
        <v>623</v>
      </c>
      <c r="E4387" s="2" t="s">
        <v>624</v>
      </c>
      <c r="F4387" s="3">
        <f>DATE(2024,3,5)</f>
        <v>45356</v>
      </c>
      <c r="G4387" s="4">
        <f t="shared" si="377"/>
        <v>3</v>
      </c>
      <c r="H4387" s="4">
        <f t="shared" si="378"/>
        <v>2024</v>
      </c>
      <c r="I4387" s="2" t="s">
        <v>4</v>
      </c>
      <c r="J4387" s="2" t="s">
        <v>5171</v>
      </c>
      <c r="K4387" s="2" t="s">
        <v>1824</v>
      </c>
      <c r="L4387" s="2" t="s">
        <v>1825</v>
      </c>
      <c r="M4387" s="2" t="s">
        <v>119</v>
      </c>
      <c r="N4387" s="4" t="str">
        <f t="shared" si="379"/>
        <v>TON</v>
      </c>
      <c r="O4387" s="5">
        <v>15.005000000000001</v>
      </c>
    </row>
    <row r="4388" spans="2:15" x14ac:dyDescent="0.25">
      <c r="B4388" s="1" t="s">
        <v>154</v>
      </c>
      <c r="C4388" s="2" t="s">
        <v>155</v>
      </c>
      <c r="D4388" s="2" t="s">
        <v>167</v>
      </c>
      <c r="E4388" s="2" t="s">
        <v>168</v>
      </c>
      <c r="F4388" s="3">
        <f>DATE(2024,3,5)</f>
        <v>45356</v>
      </c>
      <c r="G4388" s="4">
        <f t="shared" si="377"/>
        <v>3</v>
      </c>
      <c r="H4388" s="4">
        <f t="shared" si="378"/>
        <v>2024</v>
      </c>
      <c r="I4388" s="2" t="s">
        <v>4</v>
      </c>
      <c r="J4388" s="2" t="s">
        <v>5172</v>
      </c>
      <c r="K4388" s="2" t="s">
        <v>1496</v>
      </c>
      <c r="L4388" s="2" t="s">
        <v>159</v>
      </c>
      <c r="M4388" s="2" t="s">
        <v>160</v>
      </c>
      <c r="N4388" s="4" t="str">
        <f t="shared" si="379"/>
        <v>GAL</v>
      </c>
      <c r="O4388" s="5">
        <v>500</v>
      </c>
    </row>
    <row r="4389" spans="2:15" x14ac:dyDescent="0.25">
      <c r="B4389" s="1" t="s">
        <v>154</v>
      </c>
      <c r="C4389" s="2" t="s">
        <v>155</v>
      </c>
      <c r="D4389" s="2" t="s">
        <v>5173</v>
      </c>
      <c r="E4389" s="2" t="s">
        <v>5174</v>
      </c>
      <c r="F4389" s="3">
        <f>DATE(2024,3,5)</f>
        <v>45356</v>
      </c>
      <c r="G4389" s="4">
        <f t="shared" si="377"/>
        <v>3</v>
      </c>
      <c r="H4389" s="4">
        <f t="shared" si="378"/>
        <v>2024</v>
      </c>
      <c r="I4389" s="2" t="s">
        <v>4</v>
      </c>
      <c r="J4389" s="2" t="s">
        <v>5175</v>
      </c>
      <c r="K4389" s="2" t="s">
        <v>5176</v>
      </c>
      <c r="L4389" s="2" t="s">
        <v>5177</v>
      </c>
      <c r="M4389" s="2" t="s">
        <v>119</v>
      </c>
      <c r="N4389" s="4" t="str">
        <f t="shared" si="379"/>
        <v>TON</v>
      </c>
      <c r="O4389" s="5">
        <v>1.25</v>
      </c>
    </row>
    <row r="4390" spans="2:15" x14ac:dyDescent="0.25">
      <c r="B4390" s="6" t="s">
        <v>154</v>
      </c>
      <c r="C4390" s="7" t="s">
        <v>155</v>
      </c>
      <c r="D4390" s="8" t="s">
        <v>178</v>
      </c>
      <c r="E4390" s="8" t="s">
        <v>179</v>
      </c>
      <c r="F4390" s="9">
        <f>DATE(2024,3,5)</f>
        <v>45356</v>
      </c>
      <c r="G4390" s="10">
        <f t="shared" si="377"/>
        <v>3</v>
      </c>
      <c r="H4390" s="10">
        <f t="shared" si="378"/>
        <v>2024</v>
      </c>
      <c r="I4390" s="8" t="s">
        <v>4</v>
      </c>
      <c r="J4390" s="7" t="s">
        <v>5178</v>
      </c>
      <c r="K4390" s="8" t="s">
        <v>510</v>
      </c>
      <c r="L4390" s="8" t="s">
        <v>511</v>
      </c>
      <c r="M4390" s="8" t="s">
        <v>38</v>
      </c>
      <c r="N4390" s="10" t="str">
        <f t="shared" si="379"/>
        <v>GAL</v>
      </c>
      <c r="O4390" s="11">
        <v>500</v>
      </c>
    </row>
    <row r="4391" spans="2:15" x14ac:dyDescent="0.25">
      <c r="B4391" s="1" t="s">
        <v>154</v>
      </c>
      <c r="C4391" s="2" t="s">
        <v>155</v>
      </c>
      <c r="D4391" s="2" t="s">
        <v>167</v>
      </c>
      <c r="E4391" s="2" t="s">
        <v>168</v>
      </c>
      <c r="F4391" s="3">
        <f>DATE(2024,3,5)</f>
        <v>45356</v>
      </c>
      <c r="G4391" s="4">
        <f t="shared" si="377"/>
        <v>3</v>
      </c>
      <c r="H4391" s="4">
        <f t="shared" si="378"/>
        <v>2024</v>
      </c>
      <c r="I4391" s="2" t="s">
        <v>4</v>
      </c>
      <c r="J4391" s="2" t="s">
        <v>5179</v>
      </c>
      <c r="K4391" s="2" t="s">
        <v>158</v>
      </c>
      <c r="L4391" s="2" t="s">
        <v>159</v>
      </c>
      <c r="M4391" s="2" t="s">
        <v>160</v>
      </c>
      <c r="N4391" s="4" t="str">
        <f t="shared" si="379"/>
        <v>GAL</v>
      </c>
      <c r="O4391" s="5">
        <v>360</v>
      </c>
    </row>
    <row r="4392" spans="2:15" x14ac:dyDescent="0.25">
      <c r="B4392" s="1" t="s">
        <v>154</v>
      </c>
      <c r="C4392" s="2" t="s">
        <v>155</v>
      </c>
      <c r="D4392" s="2" t="s">
        <v>1111</v>
      </c>
      <c r="E4392" s="2" t="s">
        <v>1112</v>
      </c>
      <c r="F4392" s="3">
        <f>DATE(2024,3,6)</f>
        <v>45357</v>
      </c>
      <c r="G4392" s="4">
        <f t="shared" si="377"/>
        <v>3</v>
      </c>
      <c r="H4392" s="4">
        <f t="shared" si="378"/>
        <v>2024</v>
      </c>
      <c r="I4392" s="2" t="s">
        <v>4</v>
      </c>
      <c r="J4392" s="2" t="s">
        <v>5180</v>
      </c>
      <c r="K4392" s="2" t="s">
        <v>1098</v>
      </c>
      <c r="L4392" s="2" t="s">
        <v>632</v>
      </c>
      <c r="M4392" s="2" t="s">
        <v>633</v>
      </c>
      <c r="N4392" s="4" t="str">
        <f t="shared" si="379"/>
        <v>GAL</v>
      </c>
      <c r="O4392" s="5">
        <v>2426.5403000000001</v>
      </c>
    </row>
    <row r="4393" spans="2:15" x14ac:dyDescent="0.25">
      <c r="B4393" s="1" t="s">
        <v>154</v>
      </c>
      <c r="C4393" s="2" t="s">
        <v>155</v>
      </c>
      <c r="D4393" s="2" t="s">
        <v>628</v>
      </c>
      <c r="E4393" s="2" t="s">
        <v>629</v>
      </c>
      <c r="F4393" s="3">
        <f>DATE(2024,3,7)</f>
        <v>45358</v>
      </c>
      <c r="G4393" s="4">
        <f t="shared" si="377"/>
        <v>3</v>
      </c>
      <c r="H4393" s="4">
        <f t="shared" si="378"/>
        <v>2024</v>
      </c>
      <c r="I4393" s="2" t="s">
        <v>4</v>
      </c>
      <c r="J4393" s="2" t="s">
        <v>5181</v>
      </c>
      <c r="K4393" s="2" t="s">
        <v>631</v>
      </c>
      <c r="L4393" s="2" t="s">
        <v>632</v>
      </c>
      <c r="M4393" s="2" t="s">
        <v>633</v>
      </c>
      <c r="N4393" s="4" t="str">
        <f t="shared" si="379"/>
        <v>GAL</v>
      </c>
      <c r="O4393" s="5">
        <v>750</v>
      </c>
    </row>
    <row r="4394" spans="2:15" x14ac:dyDescent="0.25">
      <c r="B4394" s="1" t="s">
        <v>154</v>
      </c>
      <c r="C4394" s="2" t="s">
        <v>155</v>
      </c>
      <c r="D4394" s="2" t="s">
        <v>2195</v>
      </c>
      <c r="E4394" s="2" t="s">
        <v>2196</v>
      </c>
      <c r="F4394" s="3">
        <f>DATE(2024,3,7)</f>
        <v>45358</v>
      </c>
      <c r="G4394" s="4">
        <f t="shared" si="377"/>
        <v>3</v>
      </c>
      <c r="H4394" s="4">
        <f t="shared" si="378"/>
        <v>2024</v>
      </c>
      <c r="I4394" s="2" t="s">
        <v>4</v>
      </c>
      <c r="J4394" s="2" t="s">
        <v>5182</v>
      </c>
      <c r="K4394" s="2" t="s">
        <v>1028</v>
      </c>
      <c r="L4394" s="2" t="s">
        <v>1029</v>
      </c>
      <c r="M4394" s="2" t="s">
        <v>106</v>
      </c>
      <c r="N4394" s="4" t="str">
        <f t="shared" si="379"/>
        <v>LBS</v>
      </c>
      <c r="O4394" s="5">
        <v>21020</v>
      </c>
    </row>
    <row r="4395" spans="2:15" x14ac:dyDescent="0.25">
      <c r="B4395" s="1" t="s">
        <v>154</v>
      </c>
      <c r="C4395" s="2" t="s">
        <v>155</v>
      </c>
      <c r="D4395" s="2" t="s">
        <v>161</v>
      </c>
      <c r="E4395" s="2" t="s">
        <v>162</v>
      </c>
      <c r="F4395" s="3">
        <f>DATE(2024,3,8)</f>
        <v>45359</v>
      </c>
      <c r="G4395" s="4">
        <f t="shared" si="377"/>
        <v>3</v>
      </c>
      <c r="H4395" s="4">
        <f t="shared" si="378"/>
        <v>2024</v>
      </c>
      <c r="I4395" s="2" t="s">
        <v>4</v>
      </c>
      <c r="J4395" s="2" t="s">
        <v>5183</v>
      </c>
      <c r="K4395" s="2" t="s">
        <v>25</v>
      </c>
      <c r="L4395" s="2" t="s">
        <v>541</v>
      </c>
      <c r="M4395" s="2" t="s">
        <v>27</v>
      </c>
      <c r="N4395" s="4" t="str">
        <f t="shared" si="379"/>
        <v>GAL</v>
      </c>
      <c r="O4395" s="5">
        <v>180</v>
      </c>
    </row>
    <row r="4396" spans="2:15" x14ac:dyDescent="0.25">
      <c r="B4396" s="1" t="s">
        <v>154</v>
      </c>
      <c r="C4396" s="2" t="s">
        <v>155</v>
      </c>
      <c r="D4396" s="2" t="s">
        <v>1111</v>
      </c>
      <c r="E4396" s="2" t="s">
        <v>1112</v>
      </c>
      <c r="F4396" s="3">
        <f>DATE(2024,3,8)</f>
        <v>45359</v>
      </c>
      <c r="G4396" s="4">
        <f t="shared" si="377"/>
        <v>3</v>
      </c>
      <c r="H4396" s="4">
        <f t="shared" si="378"/>
        <v>2024</v>
      </c>
      <c r="I4396" s="2" t="s">
        <v>4</v>
      </c>
      <c r="J4396" s="2" t="s">
        <v>5184</v>
      </c>
      <c r="K4396" s="2" t="s">
        <v>1869</v>
      </c>
      <c r="L4396" s="2" t="s">
        <v>172</v>
      </c>
      <c r="M4396" s="2" t="s">
        <v>27</v>
      </c>
      <c r="N4396" s="4" t="str">
        <f t="shared" si="379"/>
        <v>GAL</v>
      </c>
      <c r="O4396" s="5">
        <v>1750</v>
      </c>
    </row>
    <row r="4397" spans="2:15" x14ac:dyDescent="0.25">
      <c r="B4397" s="1" t="s">
        <v>154</v>
      </c>
      <c r="C4397" s="2" t="s">
        <v>155</v>
      </c>
      <c r="D4397" s="2" t="s">
        <v>623</v>
      </c>
      <c r="E4397" s="2" t="s">
        <v>624</v>
      </c>
      <c r="F4397" s="3">
        <f>DATE(2024,3,8)</f>
        <v>45359</v>
      </c>
      <c r="G4397" s="4">
        <f t="shared" si="377"/>
        <v>3</v>
      </c>
      <c r="H4397" s="4">
        <f t="shared" si="378"/>
        <v>2024</v>
      </c>
      <c r="I4397" s="2" t="s">
        <v>4</v>
      </c>
      <c r="J4397" s="2" t="s">
        <v>5185</v>
      </c>
      <c r="K4397" s="2" t="s">
        <v>1824</v>
      </c>
      <c r="L4397" s="2" t="s">
        <v>1825</v>
      </c>
      <c r="M4397" s="2" t="s">
        <v>119</v>
      </c>
      <c r="N4397" s="4" t="str">
        <f t="shared" si="379"/>
        <v>TON</v>
      </c>
      <c r="O4397" s="5">
        <v>15.022500000000001</v>
      </c>
    </row>
    <row r="4398" spans="2:15" x14ac:dyDescent="0.25">
      <c r="B4398" s="1" t="s">
        <v>154</v>
      </c>
      <c r="C4398" s="2" t="s">
        <v>155</v>
      </c>
      <c r="D4398" s="2" t="s">
        <v>623</v>
      </c>
      <c r="E4398" s="2" t="s">
        <v>624</v>
      </c>
      <c r="F4398" s="3">
        <f>DATE(2024,3,12)</f>
        <v>45363</v>
      </c>
      <c r="G4398" s="4">
        <f t="shared" si="377"/>
        <v>3</v>
      </c>
      <c r="H4398" s="4">
        <f t="shared" si="378"/>
        <v>2024</v>
      </c>
      <c r="I4398" s="2" t="s">
        <v>4</v>
      </c>
      <c r="J4398" s="2" t="s">
        <v>5186</v>
      </c>
      <c r="K4398" s="2" t="s">
        <v>1824</v>
      </c>
      <c r="L4398" s="2" t="s">
        <v>1825</v>
      </c>
      <c r="M4398" s="2" t="s">
        <v>119</v>
      </c>
      <c r="N4398" s="4" t="str">
        <f t="shared" si="379"/>
        <v>TON</v>
      </c>
      <c r="O4398" s="5">
        <v>15</v>
      </c>
    </row>
    <row r="4399" spans="2:15" x14ac:dyDescent="0.25">
      <c r="B4399" s="1" t="s">
        <v>154</v>
      </c>
      <c r="C4399" s="2" t="s">
        <v>155</v>
      </c>
      <c r="D4399" s="2" t="s">
        <v>107</v>
      </c>
      <c r="E4399" s="2" t="s">
        <v>108</v>
      </c>
      <c r="F4399" s="3">
        <f>DATE(2024,3,15)</f>
        <v>45366</v>
      </c>
      <c r="G4399" s="4">
        <f t="shared" si="377"/>
        <v>3</v>
      </c>
      <c r="H4399" s="4">
        <f t="shared" si="378"/>
        <v>2024</v>
      </c>
      <c r="I4399" s="2" t="s">
        <v>4</v>
      </c>
      <c r="J4399" s="2" t="s">
        <v>5187</v>
      </c>
      <c r="K4399" s="2" t="s">
        <v>158</v>
      </c>
      <c r="L4399" s="2" t="s">
        <v>159</v>
      </c>
      <c r="M4399" s="2" t="s">
        <v>160</v>
      </c>
      <c r="N4399" s="4" t="str">
        <f t="shared" si="379"/>
        <v>GAL</v>
      </c>
      <c r="O4399" s="5">
        <v>180</v>
      </c>
    </row>
    <row r="4400" spans="2:15" x14ac:dyDescent="0.25">
      <c r="B4400" s="1" t="s">
        <v>154</v>
      </c>
      <c r="C4400" s="2" t="s">
        <v>155</v>
      </c>
      <c r="D4400" s="2" t="s">
        <v>107</v>
      </c>
      <c r="E4400" s="2" t="s">
        <v>108</v>
      </c>
      <c r="F4400" s="3">
        <f>DATE(2024,3,15)</f>
        <v>45366</v>
      </c>
      <c r="G4400" s="4">
        <f t="shared" si="377"/>
        <v>3</v>
      </c>
      <c r="H4400" s="4">
        <f t="shared" si="378"/>
        <v>2024</v>
      </c>
      <c r="I4400" s="2" t="s">
        <v>4</v>
      </c>
      <c r="J4400" s="2" t="s">
        <v>5187</v>
      </c>
      <c r="K4400" s="2" t="s">
        <v>189</v>
      </c>
      <c r="L4400" s="2" t="s">
        <v>190</v>
      </c>
      <c r="M4400" s="2" t="s">
        <v>191</v>
      </c>
      <c r="N4400" s="4" t="str">
        <f t="shared" si="379"/>
        <v>GAL</v>
      </c>
      <c r="O4400" s="5">
        <v>180</v>
      </c>
    </row>
    <row r="4401" spans="2:15" x14ac:dyDescent="0.25">
      <c r="B4401" s="1" t="s">
        <v>154</v>
      </c>
      <c r="C4401" s="2" t="s">
        <v>155</v>
      </c>
      <c r="D4401" s="2" t="s">
        <v>167</v>
      </c>
      <c r="E4401" s="2" t="s">
        <v>168</v>
      </c>
      <c r="F4401" s="3">
        <f>DATE(2024,3,15)</f>
        <v>45366</v>
      </c>
      <c r="G4401" s="4">
        <f t="shared" si="377"/>
        <v>3</v>
      </c>
      <c r="H4401" s="4">
        <f t="shared" si="378"/>
        <v>2024</v>
      </c>
      <c r="I4401" s="2" t="s">
        <v>4</v>
      </c>
      <c r="J4401" s="2" t="s">
        <v>5188</v>
      </c>
      <c r="K4401" s="2" t="s">
        <v>158</v>
      </c>
      <c r="L4401" s="2" t="s">
        <v>159</v>
      </c>
      <c r="M4401" s="2" t="s">
        <v>160</v>
      </c>
      <c r="N4401" s="4" t="str">
        <f t="shared" si="379"/>
        <v>GAL</v>
      </c>
      <c r="O4401" s="5">
        <v>720</v>
      </c>
    </row>
    <row r="4402" spans="2:15" x14ac:dyDescent="0.25">
      <c r="B4402" s="1" t="s">
        <v>154</v>
      </c>
      <c r="C4402" s="2" t="s">
        <v>155</v>
      </c>
      <c r="D4402" s="2" t="s">
        <v>623</v>
      </c>
      <c r="E4402" s="2" t="s">
        <v>624</v>
      </c>
      <c r="F4402" s="3">
        <f>DATE(2024,3,15)</f>
        <v>45366</v>
      </c>
      <c r="G4402" s="4">
        <f t="shared" si="377"/>
        <v>3</v>
      </c>
      <c r="H4402" s="4">
        <f t="shared" si="378"/>
        <v>2024</v>
      </c>
      <c r="I4402" s="2" t="s">
        <v>4</v>
      </c>
      <c r="J4402" s="2" t="s">
        <v>5189</v>
      </c>
      <c r="K4402" s="2" t="s">
        <v>1824</v>
      </c>
      <c r="L4402" s="2" t="s">
        <v>1825</v>
      </c>
      <c r="M4402" s="2" t="s">
        <v>119</v>
      </c>
      <c r="N4402" s="4" t="str">
        <f t="shared" si="379"/>
        <v>TON</v>
      </c>
      <c r="O4402" s="5">
        <v>14.9975</v>
      </c>
    </row>
    <row r="4403" spans="2:15" x14ac:dyDescent="0.25">
      <c r="B4403" s="1" t="s">
        <v>154</v>
      </c>
      <c r="C4403" s="2" t="s">
        <v>155</v>
      </c>
      <c r="D4403" s="2" t="s">
        <v>628</v>
      </c>
      <c r="E4403" s="2" t="s">
        <v>629</v>
      </c>
      <c r="F4403" s="3">
        <f>DATE(2024,3,19)</f>
        <v>45370</v>
      </c>
      <c r="G4403" s="4">
        <f t="shared" si="377"/>
        <v>3</v>
      </c>
      <c r="H4403" s="4">
        <f t="shared" si="378"/>
        <v>2024</v>
      </c>
      <c r="I4403" s="2" t="s">
        <v>4</v>
      </c>
      <c r="J4403" s="2" t="s">
        <v>5190</v>
      </c>
      <c r="K4403" s="2" t="s">
        <v>631</v>
      </c>
      <c r="L4403" s="2" t="s">
        <v>632</v>
      </c>
      <c r="M4403" s="2" t="s">
        <v>633</v>
      </c>
      <c r="N4403" s="4" t="str">
        <f t="shared" si="379"/>
        <v>GAL</v>
      </c>
      <c r="O4403" s="5">
        <v>1300</v>
      </c>
    </row>
    <row r="4404" spans="2:15" x14ac:dyDescent="0.25">
      <c r="B4404" s="1" t="s">
        <v>154</v>
      </c>
      <c r="C4404" s="2" t="s">
        <v>155</v>
      </c>
      <c r="D4404" s="2" t="s">
        <v>623</v>
      </c>
      <c r="E4404" s="2" t="s">
        <v>624</v>
      </c>
      <c r="F4404" s="3">
        <f>DATE(2024,3,19)</f>
        <v>45370</v>
      </c>
      <c r="G4404" s="4">
        <f t="shared" si="377"/>
        <v>3</v>
      </c>
      <c r="H4404" s="4">
        <f t="shared" si="378"/>
        <v>2024</v>
      </c>
      <c r="I4404" s="2" t="s">
        <v>4</v>
      </c>
      <c r="J4404" s="2" t="s">
        <v>5191</v>
      </c>
      <c r="K4404" s="2" t="s">
        <v>1824</v>
      </c>
      <c r="L4404" s="2" t="s">
        <v>1825</v>
      </c>
      <c r="M4404" s="2" t="s">
        <v>119</v>
      </c>
      <c r="N4404" s="4" t="str">
        <f t="shared" si="379"/>
        <v>TON</v>
      </c>
      <c r="O4404" s="5">
        <v>15.005000000000001</v>
      </c>
    </row>
    <row r="4405" spans="2:15" x14ac:dyDescent="0.25">
      <c r="B4405" s="1" t="s">
        <v>154</v>
      </c>
      <c r="C4405" s="2" t="s">
        <v>155</v>
      </c>
      <c r="D4405" s="2" t="s">
        <v>178</v>
      </c>
      <c r="E4405" s="2" t="s">
        <v>179</v>
      </c>
      <c r="F4405" s="3">
        <f>DATE(2024,3,20)</f>
        <v>45371</v>
      </c>
      <c r="G4405" s="4">
        <f t="shared" si="377"/>
        <v>3</v>
      </c>
      <c r="H4405" s="4">
        <f t="shared" si="378"/>
        <v>2024</v>
      </c>
      <c r="I4405" s="2" t="s">
        <v>4</v>
      </c>
      <c r="J4405" s="2" t="s">
        <v>5192</v>
      </c>
      <c r="K4405" s="2" t="s">
        <v>164</v>
      </c>
      <c r="L4405" s="2" t="s">
        <v>165</v>
      </c>
      <c r="M4405" s="2" t="s">
        <v>166</v>
      </c>
      <c r="N4405" s="4" t="str">
        <f t="shared" si="379"/>
        <v>GAL</v>
      </c>
      <c r="O4405" s="5">
        <v>180</v>
      </c>
    </row>
    <row r="4406" spans="2:15" x14ac:dyDescent="0.25">
      <c r="B4406" s="1" t="s">
        <v>154</v>
      </c>
      <c r="C4406" s="2" t="s">
        <v>155</v>
      </c>
      <c r="D4406" s="2" t="s">
        <v>628</v>
      </c>
      <c r="E4406" s="2" t="s">
        <v>2488</v>
      </c>
      <c r="F4406" s="3">
        <f>DATE(2024,3,20)</f>
        <v>45371</v>
      </c>
      <c r="G4406" s="4">
        <f t="shared" si="377"/>
        <v>3</v>
      </c>
      <c r="H4406" s="4">
        <f t="shared" si="378"/>
        <v>2024</v>
      </c>
      <c r="I4406" s="2" t="s">
        <v>4</v>
      </c>
      <c r="J4406" s="2" t="s">
        <v>5193</v>
      </c>
      <c r="K4406" s="2" t="s">
        <v>1496</v>
      </c>
      <c r="L4406" s="2" t="s">
        <v>159</v>
      </c>
      <c r="M4406" s="2" t="s">
        <v>160</v>
      </c>
      <c r="N4406" s="4" t="str">
        <f t="shared" si="379"/>
        <v>GAL</v>
      </c>
      <c r="O4406" s="5">
        <v>250</v>
      </c>
    </row>
    <row r="4407" spans="2:15" x14ac:dyDescent="0.25">
      <c r="B4407" s="1" t="s">
        <v>154</v>
      </c>
      <c r="C4407" s="2" t="s">
        <v>155</v>
      </c>
      <c r="D4407" s="2" t="s">
        <v>628</v>
      </c>
      <c r="E4407" s="2" t="s">
        <v>2200</v>
      </c>
      <c r="F4407" s="3">
        <f>DATE(2024,3,21)</f>
        <v>45372</v>
      </c>
      <c r="G4407" s="4">
        <f t="shared" si="377"/>
        <v>3</v>
      </c>
      <c r="H4407" s="4">
        <f t="shared" si="378"/>
        <v>2024</v>
      </c>
      <c r="I4407" s="2" t="s">
        <v>4</v>
      </c>
      <c r="J4407" s="2" t="s">
        <v>5194</v>
      </c>
      <c r="K4407" s="2" t="s">
        <v>2587</v>
      </c>
      <c r="L4407" s="2" t="s">
        <v>2588</v>
      </c>
      <c r="M4407" s="2" t="s">
        <v>119</v>
      </c>
      <c r="N4407" s="4" t="str">
        <f t="shared" si="379"/>
        <v>TON</v>
      </c>
      <c r="O4407" s="5">
        <v>20</v>
      </c>
    </row>
    <row r="4408" spans="2:15" x14ac:dyDescent="0.25">
      <c r="B4408" s="1" t="s">
        <v>154</v>
      </c>
      <c r="C4408" s="2" t="s">
        <v>155</v>
      </c>
      <c r="D4408" s="2" t="s">
        <v>591</v>
      </c>
      <c r="E4408" s="2" t="s">
        <v>592</v>
      </c>
      <c r="F4408" s="3">
        <f>DATE(2024,3,22)</f>
        <v>45373</v>
      </c>
      <c r="G4408" s="4">
        <f t="shared" si="377"/>
        <v>3</v>
      </c>
      <c r="H4408" s="4">
        <f t="shared" si="378"/>
        <v>2024</v>
      </c>
      <c r="I4408" s="2" t="s">
        <v>4</v>
      </c>
      <c r="J4408" s="2" t="s">
        <v>5195</v>
      </c>
      <c r="K4408" s="2" t="s">
        <v>1098</v>
      </c>
      <c r="L4408" s="2" t="s">
        <v>632</v>
      </c>
      <c r="M4408" s="2" t="s">
        <v>633</v>
      </c>
      <c r="N4408" s="4" t="str">
        <f t="shared" si="379"/>
        <v>GAL</v>
      </c>
      <c r="O4408" s="5">
        <v>2165</v>
      </c>
    </row>
    <row r="4409" spans="2:15" x14ac:dyDescent="0.25">
      <c r="B4409" s="1" t="s">
        <v>645</v>
      </c>
      <c r="C4409" s="2" t="s">
        <v>155</v>
      </c>
      <c r="D4409" s="2" t="s">
        <v>646</v>
      </c>
      <c r="E4409" s="2" t="s">
        <v>647</v>
      </c>
      <c r="F4409" s="3">
        <f>DATE(2024,3,22)</f>
        <v>45373</v>
      </c>
      <c r="G4409" s="4">
        <f t="shared" ref="G4409:G4472" si="382">+MONTH(F4409)</f>
        <v>3</v>
      </c>
      <c r="H4409" s="4">
        <f t="shared" ref="H4409:H4472" si="383">+YEAR(F4409)</f>
        <v>2024</v>
      </c>
      <c r="I4409" s="2" t="s">
        <v>4</v>
      </c>
      <c r="J4409" s="2" t="s">
        <v>5196</v>
      </c>
      <c r="K4409" s="2" t="s">
        <v>143</v>
      </c>
      <c r="L4409" s="2" t="s">
        <v>5197</v>
      </c>
      <c r="M4409" s="2" t="s">
        <v>145</v>
      </c>
      <c r="N4409" s="4" t="str">
        <f t="shared" ref="N4409:N4472" si="384">+LEFT(M4409,3)</f>
        <v>GAL</v>
      </c>
      <c r="O4409" s="5">
        <v>3890</v>
      </c>
    </row>
    <row r="4410" spans="2:15" x14ac:dyDescent="0.25">
      <c r="B4410" s="6" t="s">
        <v>154</v>
      </c>
      <c r="C4410" s="7" t="s">
        <v>155</v>
      </c>
      <c r="D4410" s="8" t="s">
        <v>156</v>
      </c>
      <c r="E4410" s="8" t="s">
        <v>5198</v>
      </c>
      <c r="F4410" s="9">
        <f>DATE(2024,3,22)</f>
        <v>45373</v>
      </c>
      <c r="G4410" s="10">
        <f t="shared" si="382"/>
        <v>3</v>
      </c>
      <c r="H4410" s="10">
        <f t="shared" si="383"/>
        <v>2024</v>
      </c>
      <c r="I4410" s="8" t="s">
        <v>4</v>
      </c>
      <c r="J4410" s="7" t="s">
        <v>5199</v>
      </c>
      <c r="K4410" s="8" t="s">
        <v>5200</v>
      </c>
      <c r="L4410" s="8" t="s">
        <v>5201</v>
      </c>
      <c r="M4410" s="8" t="s">
        <v>5202</v>
      </c>
      <c r="N4410" s="10" t="str">
        <f t="shared" si="384"/>
        <v>GAL</v>
      </c>
      <c r="O4410" s="11">
        <v>2.5</v>
      </c>
    </row>
    <row r="4411" spans="2:15" x14ac:dyDescent="0.25">
      <c r="B4411" s="1" t="s">
        <v>154</v>
      </c>
      <c r="C4411" s="2" t="s">
        <v>155</v>
      </c>
      <c r="D4411" s="2" t="s">
        <v>623</v>
      </c>
      <c r="E4411" s="2" t="s">
        <v>624</v>
      </c>
      <c r="F4411" s="3">
        <f>DATE(2024,3,26)</f>
        <v>45377</v>
      </c>
      <c r="G4411" s="4">
        <f t="shared" si="382"/>
        <v>3</v>
      </c>
      <c r="H4411" s="4">
        <f t="shared" si="383"/>
        <v>2024</v>
      </c>
      <c r="I4411" s="2" t="s">
        <v>4</v>
      </c>
      <c r="J4411" s="2" t="s">
        <v>5203</v>
      </c>
      <c r="K4411" s="2" t="s">
        <v>1824</v>
      </c>
      <c r="L4411" s="2" t="s">
        <v>1825</v>
      </c>
      <c r="M4411" s="2" t="s">
        <v>119</v>
      </c>
      <c r="N4411" s="4" t="str">
        <f t="shared" si="384"/>
        <v>TON</v>
      </c>
      <c r="O4411" s="5">
        <v>15.03</v>
      </c>
    </row>
    <row r="4412" spans="2:15" x14ac:dyDescent="0.25">
      <c r="B4412" s="1" t="s">
        <v>154</v>
      </c>
      <c r="C4412" s="2" t="s">
        <v>155</v>
      </c>
      <c r="D4412" s="2" t="s">
        <v>107</v>
      </c>
      <c r="E4412" s="2" t="s">
        <v>108</v>
      </c>
      <c r="F4412" s="3">
        <f>DATE(2024,3,26)</f>
        <v>45377</v>
      </c>
      <c r="G4412" s="4">
        <f t="shared" si="382"/>
        <v>3</v>
      </c>
      <c r="H4412" s="4">
        <f t="shared" si="383"/>
        <v>2024</v>
      </c>
      <c r="I4412" s="2" t="s">
        <v>4</v>
      </c>
      <c r="J4412" s="2" t="s">
        <v>5204</v>
      </c>
      <c r="K4412" s="2" t="s">
        <v>158</v>
      </c>
      <c r="L4412" s="2" t="s">
        <v>159</v>
      </c>
      <c r="M4412" s="2" t="s">
        <v>160</v>
      </c>
      <c r="N4412" s="4" t="str">
        <f t="shared" si="384"/>
        <v>GAL</v>
      </c>
      <c r="O4412" s="5">
        <v>180</v>
      </c>
    </row>
    <row r="4413" spans="2:15" x14ac:dyDescent="0.25">
      <c r="B4413" s="1" t="s">
        <v>154</v>
      </c>
      <c r="C4413" s="2" t="s">
        <v>155</v>
      </c>
      <c r="D4413" s="2" t="s">
        <v>107</v>
      </c>
      <c r="E4413" s="2" t="s">
        <v>108</v>
      </c>
      <c r="F4413" s="3">
        <f>DATE(2024,3,26)</f>
        <v>45377</v>
      </c>
      <c r="G4413" s="4">
        <f t="shared" si="382"/>
        <v>3</v>
      </c>
      <c r="H4413" s="4">
        <f t="shared" si="383"/>
        <v>2024</v>
      </c>
      <c r="I4413" s="2" t="s">
        <v>4</v>
      </c>
      <c r="J4413" s="2" t="s">
        <v>5204</v>
      </c>
      <c r="K4413" s="2" t="s">
        <v>189</v>
      </c>
      <c r="L4413" s="2" t="s">
        <v>190</v>
      </c>
      <c r="M4413" s="2" t="s">
        <v>191</v>
      </c>
      <c r="N4413" s="4" t="str">
        <f t="shared" si="384"/>
        <v>GAL</v>
      </c>
      <c r="O4413" s="5">
        <v>180</v>
      </c>
    </row>
    <row r="4414" spans="2:15" x14ac:dyDescent="0.25">
      <c r="B4414" s="1" t="s">
        <v>154</v>
      </c>
      <c r="C4414" s="2" t="s">
        <v>155</v>
      </c>
      <c r="D4414" s="2" t="s">
        <v>628</v>
      </c>
      <c r="E4414" s="2" t="s">
        <v>2200</v>
      </c>
      <c r="F4414" s="3">
        <f>DATE(2024,3,26)</f>
        <v>45377</v>
      </c>
      <c r="G4414" s="4">
        <f t="shared" si="382"/>
        <v>3</v>
      </c>
      <c r="H4414" s="4">
        <f t="shared" si="383"/>
        <v>2024</v>
      </c>
      <c r="I4414" s="2" t="s">
        <v>4</v>
      </c>
      <c r="J4414" s="2" t="s">
        <v>5205</v>
      </c>
      <c r="K4414" s="2" t="s">
        <v>2587</v>
      </c>
      <c r="L4414" s="2" t="s">
        <v>2588</v>
      </c>
      <c r="M4414" s="2" t="s">
        <v>119</v>
      </c>
      <c r="N4414" s="4" t="str">
        <f t="shared" si="384"/>
        <v>TON</v>
      </c>
      <c r="O4414" s="5">
        <v>20.012499999999999</v>
      </c>
    </row>
    <row r="4415" spans="2:15" x14ac:dyDescent="0.25">
      <c r="B4415" s="1" t="s">
        <v>154</v>
      </c>
      <c r="C4415" s="2" t="s">
        <v>155</v>
      </c>
      <c r="D4415" s="2" t="s">
        <v>167</v>
      </c>
      <c r="E4415" s="2" t="s">
        <v>168</v>
      </c>
      <c r="F4415" s="3">
        <f>DATE(2024,3,26)</f>
        <v>45377</v>
      </c>
      <c r="G4415" s="4">
        <f t="shared" si="382"/>
        <v>3</v>
      </c>
      <c r="H4415" s="4">
        <f t="shared" si="383"/>
        <v>2024</v>
      </c>
      <c r="I4415" s="2" t="s">
        <v>4</v>
      </c>
      <c r="J4415" s="2" t="s">
        <v>5206</v>
      </c>
      <c r="K4415" s="2" t="s">
        <v>158</v>
      </c>
      <c r="L4415" s="2" t="s">
        <v>159</v>
      </c>
      <c r="M4415" s="2" t="s">
        <v>160</v>
      </c>
      <c r="N4415" s="4" t="str">
        <f t="shared" si="384"/>
        <v>GAL</v>
      </c>
      <c r="O4415" s="5">
        <v>180</v>
      </c>
    </row>
    <row r="4416" spans="2:15" x14ac:dyDescent="0.25">
      <c r="B4416" s="1" t="s">
        <v>154</v>
      </c>
      <c r="C4416" s="2" t="s">
        <v>155</v>
      </c>
      <c r="D4416" s="2" t="s">
        <v>628</v>
      </c>
      <c r="E4416" s="2" t="s">
        <v>2200</v>
      </c>
      <c r="F4416" s="3">
        <f t="shared" ref="F4416:F4422" si="385">DATE(2024,3,27)</f>
        <v>45378</v>
      </c>
      <c r="G4416" s="4">
        <f t="shared" si="382"/>
        <v>3</v>
      </c>
      <c r="H4416" s="4">
        <f t="shared" si="383"/>
        <v>2024</v>
      </c>
      <c r="I4416" s="2" t="s">
        <v>4</v>
      </c>
      <c r="J4416" s="2" t="s">
        <v>5207</v>
      </c>
      <c r="K4416" s="2" t="s">
        <v>2587</v>
      </c>
      <c r="L4416" s="2" t="s">
        <v>2588</v>
      </c>
      <c r="M4416" s="2" t="s">
        <v>119</v>
      </c>
      <c r="N4416" s="4" t="str">
        <f t="shared" si="384"/>
        <v>TON</v>
      </c>
      <c r="O4416" s="5">
        <v>20.017499999999998</v>
      </c>
    </row>
    <row r="4417" spans="2:15" x14ac:dyDescent="0.25">
      <c r="B4417" s="1" t="s">
        <v>154</v>
      </c>
      <c r="C4417" s="2" t="s">
        <v>155</v>
      </c>
      <c r="D4417" s="2" t="s">
        <v>1103</v>
      </c>
      <c r="E4417" s="2" t="s">
        <v>1104</v>
      </c>
      <c r="F4417" s="3">
        <f t="shared" si="385"/>
        <v>45378</v>
      </c>
      <c r="G4417" s="4">
        <f t="shared" si="382"/>
        <v>3</v>
      </c>
      <c r="H4417" s="4">
        <f t="shared" si="383"/>
        <v>2024</v>
      </c>
      <c r="I4417" s="2" t="s">
        <v>4</v>
      </c>
      <c r="J4417" s="2" t="s">
        <v>5208</v>
      </c>
      <c r="K4417" s="2" t="s">
        <v>126</v>
      </c>
      <c r="L4417" s="2" t="s">
        <v>127</v>
      </c>
      <c r="M4417" s="2" t="s">
        <v>106</v>
      </c>
      <c r="N4417" s="4" t="str">
        <f t="shared" si="384"/>
        <v>LBS</v>
      </c>
      <c r="O4417" s="5">
        <v>500</v>
      </c>
    </row>
    <row r="4418" spans="2:15" x14ac:dyDescent="0.25">
      <c r="B4418" s="1" t="s">
        <v>154</v>
      </c>
      <c r="C4418" s="2" t="s">
        <v>155</v>
      </c>
      <c r="D4418" s="2" t="s">
        <v>167</v>
      </c>
      <c r="E4418" s="2" t="s">
        <v>168</v>
      </c>
      <c r="F4418" s="3">
        <f t="shared" si="385"/>
        <v>45378</v>
      </c>
      <c r="G4418" s="4">
        <f t="shared" si="382"/>
        <v>3</v>
      </c>
      <c r="H4418" s="4">
        <f t="shared" si="383"/>
        <v>2024</v>
      </c>
      <c r="I4418" s="2" t="s">
        <v>4</v>
      </c>
      <c r="J4418" s="2" t="s">
        <v>5209</v>
      </c>
      <c r="K4418" s="2" t="s">
        <v>3436</v>
      </c>
      <c r="L4418" s="2" t="s">
        <v>3437</v>
      </c>
      <c r="M4418" s="2" t="s">
        <v>67</v>
      </c>
      <c r="N4418" s="4" t="str">
        <f t="shared" si="384"/>
        <v>GAL</v>
      </c>
      <c r="O4418" s="5">
        <v>750</v>
      </c>
    </row>
    <row r="4419" spans="2:15" x14ac:dyDescent="0.25">
      <c r="B4419" s="1" t="s">
        <v>154</v>
      </c>
      <c r="C4419" s="2" t="s">
        <v>155</v>
      </c>
      <c r="D4419" s="2" t="s">
        <v>161</v>
      </c>
      <c r="E4419" s="2" t="s">
        <v>162</v>
      </c>
      <c r="F4419" s="3">
        <f t="shared" si="385"/>
        <v>45378</v>
      </c>
      <c r="G4419" s="4">
        <f t="shared" si="382"/>
        <v>3</v>
      </c>
      <c r="H4419" s="4">
        <f t="shared" si="383"/>
        <v>2024</v>
      </c>
      <c r="I4419" s="2" t="s">
        <v>4</v>
      </c>
      <c r="J4419" s="2" t="s">
        <v>5210</v>
      </c>
      <c r="K4419" s="2" t="s">
        <v>25</v>
      </c>
      <c r="L4419" s="2" t="s">
        <v>541</v>
      </c>
      <c r="M4419" s="2" t="s">
        <v>27</v>
      </c>
      <c r="N4419" s="4" t="str">
        <f t="shared" si="384"/>
        <v>GAL</v>
      </c>
      <c r="O4419" s="5">
        <v>180</v>
      </c>
    </row>
    <row r="4420" spans="2:15" x14ac:dyDescent="0.25">
      <c r="B4420" s="1" t="s">
        <v>154</v>
      </c>
      <c r="C4420" s="2" t="s">
        <v>155</v>
      </c>
      <c r="D4420" s="2" t="s">
        <v>161</v>
      </c>
      <c r="E4420" s="2" t="s">
        <v>162</v>
      </c>
      <c r="F4420" s="3">
        <f t="shared" si="385"/>
        <v>45378</v>
      </c>
      <c r="G4420" s="4">
        <f t="shared" si="382"/>
        <v>3</v>
      </c>
      <c r="H4420" s="4">
        <f t="shared" si="383"/>
        <v>2024</v>
      </c>
      <c r="I4420" s="2" t="s">
        <v>4</v>
      </c>
      <c r="J4420" s="2" t="s">
        <v>5210</v>
      </c>
      <c r="K4420" s="2" t="s">
        <v>1119</v>
      </c>
      <c r="L4420" s="2" t="s">
        <v>1023</v>
      </c>
      <c r="M4420" s="2" t="s">
        <v>1024</v>
      </c>
      <c r="N4420" s="4" t="str">
        <f t="shared" si="384"/>
        <v>GAL</v>
      </c>
      <c r="O4420" s="5">
        <v>180</v>
      </c>
    </row>
    <row r="4421" spans="2:15" x14ac:dyDescent="0.25">
      <c r="B4421" s="1" t="s">
        <v>154</v>
      </c>
      <c r="C4421" s="2" t="s">
        <v>155</v>
      </c>
      <c r="D4421" s="2" t="s">
        <v>161</v>
      </c>
      <c r="E4421" s="2" t="s">
        <v>162</v>
      </c>
      <c r="F4421" s="3">
        <f t="shared" si="385"/>
        <v>45378</v>
      </c>
      <c r="G4421" s="4">
        <f t="shared" si="382"/>
        <v>3</v>
      </c>
      <c r="H4421" s="4">
        <f t="shared" si="383"/>
        <v>2024</v>
      </c>
      <c r="I4421" s="2" t="s">
        <v>4</v>
      </c>
      <c r="J4421" s="2" t="s">
        <v>5210</v>
      </c>
      <c r="K4421" s="2" t="s">
        <v>1814</v>
      </c>
      <c r="L4421" s="2" t="s">
        <v>1815</v>
      </c>
      <c r="M4421" s="2" t="s">
        <v>1816</v>
      </c>
      <c r="N4421" s="4" t="str">
        <f t="shared" si="384"/>
        <v>GAL</v>
      </c>
      <c r="O4421" s="5">
        <v>180</v>
      </c>
    </row>
    <row r="4422" spans="2:15" x14ac:dyDescent="0.25">
      <c r="B4422" s="1" t="s">
        <v>154</v>
      </c>
      <c r="C4422" s="2" t="s">
        <v>155</v>
      </c>
      <c r="D4422" s="2" t="s">
        <v>161</v>
      </c>
      <c r="E4422" s="2" t="s">
        <v>162</v>
      </c>
      <c r="F4422" s="3">
        <f t="shared" si="385"/>
        <v>45378</v>
      </c>
      <c r="G4422" s="4">
        <f t="shared" si="382"/>
        <v>3</v>
      </c>
      <c r="H4422" s="4">
        <f t="shared" si="383"/>
        <v>2024</v>
      </c>
      <c r="I4422" s="2" t="s">
        <v>4</v>
      </c>
      <c r="J4422" s="2" t="s">
        <v>5211</v>
      </c>
      <c r="K4422" s="2" t="s">
        <v>5212</v>
      </c>
      <c r="L4422" s="2" t="s">
        <v>190</v>
      </c>
      <c r="M4422" s="2" t="s">
        <v>191</v>
      </c>
      <c r="N4422" s="4" t="str">
        <f t="shared" si="384"/>
        <v>GAL</v>
      </c>
      <c r="O4422" s="5">
        <v>750</v>
      </c>
    </row>
    <row r="4423" spans="2:15" x14ac:dyDescent="0.25">
      <c r="B4423" s="1" t="s">
        <v>154</v>
      </c>
      <c r="C4423" s="2" t="s">
        <v>155</v>
      </c>
      <c r="D4423" s="2" t="s">
        <v>628</v>
      </c>
      <c r="E4423" s="2" t="s">
        <v>2145</v>
      </c>
      <c r="F4423" s="3">
        <f t="shared" ref="F4423:F4430" si="386">DATE(2024,3,28)</f>
        <v>45379</v>
      </c>
      <c r="G4423" s="4">
        <f t="shared" si="382"/>
        <v>3</v>
      </c>
      <c r="H4423" s="4">
        <f t="shared" si="383"/>
        <v>2024</v>
      </c>
      <c r="I4423" s="2" t="s">
        <v>4</v>
      </c>
      <c r="J4423" s="2" t="s">
        <v>5213</v>
      </c>
      <c r="K4423" s="2" t="s">
        <v>2147</v>
      </c>
      <c r="L4423" s="2" t="s">
        <v>2148</v>
      </c>
      <c r="M4423" s="2" t="s">
        <v>41</v>
      </c>
      <c r="N4423" s="4" t="str">
        <f t="shared" si="384"/>
        <v>GAL</v>
      </c>
      <c r="O4423" s="5">
        <v>1080</v>
      </c>
    </row>
    <row r="4424" spans="2:15" x14ac:dyDescent="0.25">
      <c r="B4424" s="1" t="s">
        <v>154</v>
      </c>
      <c r="C4424" s="2" t="s">
        <v>155</v>
      </c>
      <c r="D4424" s="2" t="s">
        <v>1103</v>
      </c>
      <c r="E4424" s="2" t="s">
        <v>1104</v>
      </c>
      <c r="F4424" s="3">
        <f t="shared" si="386"/>
        <v>45379</v>
      </c>
      <c r="G4424" s="4">
        <f t="shared" si="382"/>
        <v>3</v>
      </c>
      <c r="H4424" s="4">
        <f t="shared" si="383"/>
        <v>2024</v>
      </c>
      <c r="I4424" s="2" t="s">
        <v>4</v>
      </c>
      <c r="J4424" s="2" t="s">
        <v>5214</v>
      </c>
      <c r="K4424" s="2" t="s">
        <v>1106</v>
      </c>
      <c r="L4424" s="2" t="s">
        <v>1107</v>
      </c>
      <c r="M4424" s="2" t="s">
        <v>1108</v>
      </c>
      <c r="N4424" s="4" t="str">
        <f t="shared" si="384"/>
        <v>GAL</v>
      </c>
      <c r="O4424" s="5">
        <v>1500</v>
      </c>
    </row>
    <row r="4425" spans="2:15" x14ac:dyDescent="0.25">
      <c r="B4425" s="1" t="s">
        <v>154</v>
      </c>
      <c r="C4425" s="2" t="s">
        <v>155</v>
      </c>
      <c r="D4425" s="2" t="s">
        <v>1111</v>
      </c>
      <c r="E4425" s="2" t="s">
        <v>1112</v>
      </c>
      <c r="F4425" s="3">
        <f t="shared" si="386"/>
        <v>45379</v>
      </c>
      <c r="G4425" s="4">
        <f t="shared" si="382"/>
        <v>3</v>
      </c>
      <c r="H4425" s="4">
        <f t="shared" si="383"/>
        <v>2024</v>
      </c>
      <c r="I4425" s="2" t="s">
        <v>4</v>
      </c>
      <c r="J4425" s="2" t="s">
        <v>5215</v>
      </c>
      <c r="K4425" s="2" t="s">
        <v>171</v>
      </c>
      <c r="L4425" s="2" t="s">
        <v>172</v>
      </c>
      <c r="M4425" s="2" t="s">
        <v>27</v>
      </c>
      <c r="N4425" s="4" t="str">
        <f t="shared" si="384"/>
        <v>GAL</v>
      </c>
      <c r="O4425" s="5">
        <v>180</v>
      </c>
    </row>
    <row r="4426" spans="2:15" x14ac:dyDescent="0.25">
      <c r="B4426" s="1" t="s">
        <v>154</v>
      </c>
      <c r="C4426" s="2" t="s">
        <v>155</v>
      </c>
      <c r="D4426" s="2" t="s">
        <v>1103</v>
      </c>
      <c r="E4426" s="2" t="s">
        <v>1104</v>
      </c>
      <c r="F4426" s="3">
        <f t="shared" si="386"/>
        <v>45379</v>
      </c>
      <c r="G4426" s="4">
        <f t="shared" si="382"/>
        <v>3</v>
      </c>
      <c r="H4426" s="4">
        <f t="shared" si="383"/>
        <v>2024</v>
      </c>
      <c r="I4426" s="2" t="s">
        <v>4</v>
      </c>
      <c r="J4426" s="2" t="s">
        <v>5216</v>
      </c>
      <c r="K4426" s="2" t="s">
        <v>5217</v>
      </c>
      <c r="L4426" s="2" t="s">
        <v>5218</v>
      </c>
      <c r="M4426" s="2" t="s">
        <v>5219</v>
      </c>
      <c r="N4426" s="4" t="str">
        <f t="shared" si="384"/>
        <v>GAL</v>
      </c>
      <c r="O4426" s="5">
        <v>750</v>
      </c>
    </row>
    <row r="4427" spans="2:15" x14ac:dyDescent="0.25">
      <c r="B4427" s="1" t="s">
        <v>154</v>
      </c>
      <c r="C4427" s="2" t="s">
        <v>155</v>
      </c>
      <c r="D4427" s="2" t="s">
        <v>1103</v>
      </c>
      <c r="E4427" s="2" t="s">
        <v>1104</v>
      </c>
      <c r="F4427" s="3">
        <f t="shared" si="386"/>
        <v>45379</v>
      </c>
      <c r="G4427" s="4">
        <f t="shared" si="382"/>
        <v>3</v>
      </c>
      <c r="H4427" s="4">
        <f t="shared" si="383"/>
        <v>2024</v>
      </c>
      <c r="I4427" s="2" t="s">
        <v>4</v>
      </c>
      <c r="J4427" s="2" t="s">
        <v>5220</v>
      </c>
      <c r="K4427" s="2" t="s">
        <v>5217</v>
      </c>
      <c r="L4427" s="2" t="s">
        <v>5218</v>
      </c>
      <c r="M4427" s="2" t="s">
        <v>5219</v>
      </c>
      <c r="N4427" s="4" t="str">
        <f t="shared" si="384"/>
        <v>GAL</v>
      </c>
      <c r="O4427" s="5">
        <v>413</v>
      </c>
    </row>
    <row r="4428" spans="2:15" x14ac:dyDescent="0.25">
      <c r="B4428" s="1" t="s">
        <v>154</v>
      </c>
      <c r="C4428" s="2" t="s">
        <v>155</v>
      </c>
      <c r="D4428" s="2" t="s">
        <v>178</v>
      </c>
      <c r="E4428" s="2" t="s">
        <v>179</v>
      </c>
      <c r="F4428" s="3">
        <f t="shared" si="386"/>
        <v>45379</v>
      </c>
      <c r="G4428" s="4">
        <f t="shared" si="382"/>
        <v>3</v>
      </c>
      <c r="H4428" s="4">
        <f t="shared" si="383"/>
        <v>2024</v>
      </c>
      <c r="I4428" s="2" t="s">
        <v>4</v>
      </c>
      <c r="J4428" s="2" t="s">
        <v>5221</v>
      </c>
      <c r="K4428" s="2" t="s">
        <v>158</v>
      </c>
      <c r="L4428" s="2" t="s">
        <v>159</v>
      </c>
      <c r="M4428" s="2" t="s">
        <v>160</v>
      </c>
      <c r="N4428" s="4" t="str">
        <f t="shared" si="384"/>
        <v>GAL</v>
      </c>
      <c r="O4428" s="5">
        <v>180</v>
      </c>
    </row>
    <row r="4429" spans="2:15" x14ac:dyDescent="0.25">
      <c r="B4429" s="1" t="s">
        <v>154</v>
      </c>
      <c r="C4429" s="2" t="s">
        <v>155</v>
      </c>
      <c r="D4429" s="2" t="s">
        <v>178</v>
      </c>
      <c r="E4429" s="2" t="s">
        <v>179</v>
      </c>
      <c r="F4429" s="3">
        <f t="shared" si="386"/>
        <v>45379</v>
      </c>
      <c r="G4429" s="4">
        <f t="shared" si="382"/>
        <v>3</v>
      </c>
      <c r="H4429" s="4">
        <f t="shared" si="383"/>
        <v>2024</v>
      </c>
      <c r="I4429" s="2" t="s">
        <v>4</v>
      </c>
      <c r="J4429" s="2" t="s">
        <v>5221</v>
      </c>
      <c r="K4429" s="2" t="s">
        <v>189</v>
      </c>
      <c r="L4429" s="2" t="s">
        <v>190</v>
      </c>
      <c r="M4429" s="2" t="s">
        <v>191</v>
      </c>
      <c r="N4429" s="4" t="str">
        <f t="shared" si="384"/>
        <v>GAL</v>
      </c>
      <c r="O4429" s="5">
        <v>180</v>
      </c>
    </row>
    <row r="4430" spans="2:15" x14ac:dyDescent="0.25">
      <c r="B4430" s="1" t="s">
        <v>154</v>
      </c>
      <c r="C4430" s="2" t="s">
        <v>155</v>
      </c>
      <c r="D4430" s="2" t="s">
        <v>167</v>
      </c>
      <c r="E4430" s="2" t="s">
        <v>168</v>
      </c>
      <c r="F4430" s="3">
        <f t="shared" si="386"/>
        <v>45379</v>
      </c>
      <c r="G4430" s="4">
        <f t="shared" si="382"/>
        <v>3</v>
      </c>
      <c r="H4430" s="4">
        <f t="shared" si="383"/>
        <v>2024</v>
      </c>
      <c r="I4430" s="2" t="s">
        <v>4</v>
      </c>
      <c r="J4430" s="2" t="s">
        <v>5222</v>
      </c>
      <c r="K4430" s="2" t="s">
        <v>158</v>
      </c>
      <c r="L4430" s="2" t="s">
        <v>159</v>
      </c>
      <c r="M4430" s="2" t="s">
        <v>160</v>
      </c>
      <c r="N4430" s="4" t="str">
        <f t="shared" si="384"/>
        <v>GAL</v>
      </c>
      <c r="O4430" s="5">
        <v>180</v>
      </c>
    </row>
    <row r="4431" spans="2:15" x14ac:dyDescent="0.25">
      <c r="B4431" s="1" t="s">
        <v>1520</v>
      </c>
      <c r="C4431" s="2" t="s">
        <v>196</v>
      </c>
      <c r="D4431" s="2" t="s">
        <v>265</v>
      </c>
      <c r="E4431" s="2" t="s">
        <v>266</v>
      </c>
      <c r="F4431" s="3">
        <f t="shared" ref="F4431:F4436" si="387">DATE(2024,3,1)</f>
        <v>45352</v>
      </c>
      <c r="G4431" s="4">
        <f t="shared" si="382"/>
        <v>3</v>
      </c>
      <c r="H4431" s="4">
        <f t="shared" si="383"/>
        <v>2024</v>
      </c>
      <c r="I4431" s="2" t="s">
        <v>4</v>
      </c>
      <c r="J4431" s="2" t="s">
        <v>5223</v>
      </c>
      <c r="K4431" s="2" t="s">
        <v>268</v>
      </c>
      <c r="L4431" s="2" t="s">
        <v>269</v>
      </c>
      <c r="M4431" s="2" t="s">
        <v>119</v>
      </c>
      <c r="N4431" s="4" t="str">
        <f t="shared" si="384"/>
        <v>TON</v>
      </c>
      <c r="O4431" s="5">
        <v>0.15</v>
      </c>
    </row>
    <row r="4432" spans="2:15" x14ac:dyDescent="0.25">
      <c r="B4432" s="1" t="s">
        <v>1520</v>
      </c>
      <c r="C4432" s="2" t="s">
        <v>196</v>
      </c>
      <c r="D4432" s="2" t="s">
        <v>3761</v>
      </c>
      <c r="E4432" s="2" t="s">
        <v>3762</v>
      </c>
      <c r="F4432" s="3">
        <f t="shared" si="387"/>
        <v>45352</v>
      </c>
      <c r="G4432" s="4">
        <f t="shared" si="382"/>
        <v>3</v>
      </c>
      <c r="H4432" s="4">
        <f t="shared" si="383"/>
        <v>2024</v>
      </c>
      <c r="I4432" s="2" t="s">
        <v>4</v>
      </c>
      <c r="J4432" s="2" t="s">
        <v>5224</v>
      </c>
      <c r="K4432" s="2" t="s">
        <v>5225</v>
      </c>
      <c r="L4432" s="2" t="s">
        <v>5226</v>
      </c>
      <c r="M4432" s="2" t="s">
        <v>119</v>
      </c>
      <c r="N4432" s="4" t="str">
        <f t="shared" si="384"/>
        <v>TON</v>
      </c>
      <c r="O4432" s="5">
        <v>4.2575000000000003</v>
      </c>
    </row>
    <row r="4433" spans="2:15" x14ac:dyDescent="0.25">
      <c r="B4433" s="1" t="s">
        <v>1520</v>
      </c>
      <c r="C4433" s="2" t="s">
        <v>196</v>
      </c>
      <c r="D4433" s="2" t="s">
        <v>374</v>
      </c>
      <c r="E4433" s="2" t="s">
        <v>424</v>
      </c>
      <c r="F4433" s="3">
        <f t="shared" si="387"/>
        <v>45352</v>
      </c>
      <c r="G4433" s="4">
        <f t="shared" si="382"/>
        <v>3</v>
      </c>
      <c r="H4433" s="4">
        <f t="shared" si="383"/>
        <v>2024</v>
      </c>
      <c r="I4433" s="2" t="s">
        <v>4</v>
      </c>
      <c r="J4433" s="2" t="s">
        <v>5227</v>
      </c>
      <c r="K4433" s="2" t="s">
        <v>329</v>
      </c>
      <c r="L4433" s="2" t="s">
        <v>330</v>
      </c>
      <c r="M4433" s="2" t="s">
        <v>119</v>
      </c>
      <c r="N4433" s="4" t="str">
        <f t="shared" si="384"/>
        <v>TON</v>
      </c>
      <c r="O4433" s="5">
        <v>2.5099999999999998</v>
      </c>
    </row>
    <row r="4434" spans="2:15" x14ac:dyDescent="0.25">
      <c r="B4434" s="1" t="s">
        <v>1520</v>
      </c>
      <c r="C4434" s="2" t="s">
        <v>196</v>
      </c>
      <c r="D4434" s="2" t="s">
        <v>1343</v>
      </c>
      <c r="E4434" s="2" t="s">
        <v>4151</v>
      </c>
      <c r="F4434" s="3">
        <f t="shared" si="387"/>
        <v>45352</v>
      </c>
      <c r="G4434" s="4">
        <f t="shared" si="382"/>
        <v>3</v>
      </c>
      <c r="H4434" s="4">
        <f t="shared" si="383"/>
        <v>2024</v>
      </c>
      <c r="I4434" s="2" t="s">
        <v>4</v>
      </c>
      <c r="J4434" s="2" t="s">
        <v>5228</v>
      </c>
      <c r="K4434" s="2" t="s">
        <v>390</v>
      </c>
      <c r="L4434" s="2" t="s">
        <v>391</v>
      </c>
      <c r="M4434" s="2" t="s">
        <v>119</v>
      </c>
      <c r="N4434" s="4" t="str">
        <f t="shared" si="384"/>
        <v>TON</v>
      </c>
      <c r="O4434" s="5">
        <v>15.01</v>
      </c>
    </row>
    <row r="4435" spans="2:15" x14ac:dyDescent="0.25">
      <c r="B4435" s="1" t="s">
        <v>1520</v>
      </c>
      <c r="C4435" s="2" t="s">
        <v>196</v>
      </c>
      <c r="D4435" s="2" t="s">
        <v>1343</v>
      </c>
      <c r="E4435" s="2" t="s">
        <v>4151</v>
      </c>
      <c r="F4435" s="3">
        <f t="shared" si="387"/>
        <v>45352</v>
      </c>
      <c r="G4435" s="4">
        <f t="shared" si="382"/>
        <v>3</v>
      </c>
      <c r="H4435" s="4">
        <f t="shared" si="383"/>
        <v>2024</v>
      </c>
      <c r="I4435" s="2" t="s">
        <v>4</v>
      </c>
      <c r="J4435" s="2" t="s">
        <v>5228</v>
      </c>
      <c r="K4435" s="2" t="s">
        <v>3726</v>
      </c>
      <c r="L4435" s="2" t="s">
        <v>3727</v>
      </c>
      <c r="M4435" s="2" t="s">
        <v>145</v>
      </c>
      <c r="N4435" s="4" t="str">
        <f t="shared" si="384"/>
        <v>GAL</v>
      </c>
      <c r="O4435" s="5">
        <v>5.625</v>
      </c>
    </row>
    <row r="4436" spans="2:15" x14ac:dyDescent="0.25">
      <c r="B4436" s="1" t="s">
        <v>1520</v>
      </c>
      <c r="C4436" s="2" t="s">
        <v>196</v>
      </c>
      <c r="D4436" s="2" t="s">
        <v>444</v>
      </c>
      <c r="E4436" s="2" t="s">
        <v>445</v>
      </c>
      <c r="F4436" s="3">
        <f t="shared" si="387"/>
        <v>45352</v>
      </c>
      <c r="G4436" s="4">
        <f t="shared" si="382"/>
        <v>3</v>
      </c>
      <c r="H4436" s="4">
        <f t="shared" si="383"/>
        <v>2024</v>
      </c>
      <c r="I4436" s="2" t="s">
        <v>4</v>
      </c>
      <c r="J4436" s="2" t="s">
        <v>5229</v>
      </c>
      <c r="K4436" s="2" t="s">
        <v>394</v>
      </c>
      <c r="L4436" s="2" t="s">
        <v>395</v>
      </c>
      <c r="M4436" s="2" t="s">
        <v>119</v>
      </c>
      <c r="N4436" s="4" t="str">
        <f t="shared" si="384"/>
        <v>TON</v>
      </c>
      <c r="O4436" s="5">
        <v>6.0049999999999999</v>
      </c>
    </row>
    <row r="4437" spans="2:15" x14ac:dyDescent="0.25">
      <c r="B4437" s="1" t="s">
        <v>1520</v>
      </c>
      <c r="C4437" s="2" t="s">
        <v>196</v>
      </c>
      <c r="D4437" s="2" t="s">
        <v>1343</v>
      </c>
      <c r="E4437" s="2" t="s">
        <v>3729</v>
      </c>
      <c r="F4437" s="3">
        <f t="shared" ref="F4437:F4453" si="388">DATE(2024,3,4)</f>
        <v>45355</v>
      </c>
      <c r="G4437" s="4">
        <f t="shared" si="382"/>
        <v>3</v>
      </c>
      <c r="H4437" s="4">
        <f t="shared" si="383"/>
        <v>2024</v>
      </c>
      <c r="I4437" s="2" t="s">
        <v>4</v>
      </c>
      <c r="J4437" s="2" t="s">
        <v>5230</v>
      </c>
      <c r="K4437" s="2" t="s">
        <v>390</v>
      </c>
      <c r="L4437" s="2" t="s">
        <v>391</v>
      </c>
      <c r="M4437" s="2" t="s">
        <v>119</v>
      </c>
      <c r="N4437" s="4" t="str">
        <f t="shared" si="384"/>
        <v>TON</v>
      </c>
      <c r="O4437" s="5">
        <v>15.02</v>
      </c>
    </row>
    <row r="4438" spans="2:15" x14ac:dyDescent="0.25">
      <c r="B4438" s="1" t="s">
        <v>1520</v>
      </c>
      <c r="C4438" s="2" t="s">
        <v>196</v>
      </c>
      <c r="D4438" s="2" t="s">
        <v>1343</v>
      </c>
      <c r="E4438" s="2" t="s">
        <v>3729</v>
      </c>
      <c r="F4438" s="3">
        <f t="shared" si="388"/>
        <v>45355</v>
      </c>
      <c r="G4438" s="4">
        <f t="shared" si="382"/>
        <v>3</v>
      </c>
      <c r="H4438" s="4">
        <f t="shared" si="383"/>
        <v>2024</v>
      </c>
      <c r="I4438" s="2" t="s">
        <v>4</v>
      </c>
      <c r="J4438" s="2" t="s">
        <v>5230</v>
      </c>
      <c r="K4438" s="2" t="s">
        <v>3726</v>
      </c>
      <c r="L4438" s="2" t="s">
        <v>3727</v>
      </c>
      <c r="M4438" s="2" t="s">
        <v>145</v>
      </c>
      <c r="N4438" s="4" t="str">
        <f t="shared" si="384"/>
        <v>GAL</v>
      </c>
      <c r="O4438" s="5">
        <v>5.625</v>
      </c>
    </row>
    <row r="4439" spans="2:15" x14ac:dyDescent="0.25">
      <c r="B4439" s="1" t="s">
        <v>1520</v>
      </c>
      <c r="C4439" s="2" t="s">
        <v>196</v>
      </c>
      <c r="D4439" s="2" t="s">
        <v>800</v>
      </c>
      <c r="E4439" s="2" t="s">
        <v>801</v>
      </c>
      <c r="F4439" s="3">
        <f t="shared" si="388"/>
        <v>45355</v>
      </c>
      <c r="G4439" s="4">
        <f t="shared" si="382"/>
        <v>3</v>
      </c>
      <c r="H4439" s="4">
        <f t="shared" si="383"/>
        <v>2024</v>
      </c>
      <c r="I4439" s="2" t="s">
        <v>4</v>
      </c>
      <c r="J4439" s="2" t="s">
        <v>5231</v>
      </c>
      <c r="K4439" s="2" t="s">
        <v>122</v>
      </c>
      <c r="L4439" s="2" t="s">
        <v>123</v>
      </c>
      <c r="M4439" s="2" t="s">
        <v>119</v>
      </c>
      <c r="N4439" s="4" t="str">
        <f t="shared" si="384"/>
        <v>TON</v>
      </c>
      <c r="O4439" s="5">
        <v>4.5</v>
      </c>
    </row>
    <row r="4440" spans="2:15" x14ac:dyDescent="0.25">
      <c r="B4440" s="1" t="s">
        <v>1520</v>
      </c>
      <c r="C4440" s="2" t="s">
        <v>196</v>
      </c>
      <c r="D4440" s="2" t="s">
        <v>280</v>
      </c>
      <c r="E4440" s="2" t="s">
        <v>254</v>
      </c>
      <c r="F4440" s="3">
        <f t="shared" si="388"/>
        <v>45355</v>
      </c>
      <c r="G4440" s="4">
        <f t="shared" si="382"/>
        <v>3</v>
      </c>
      <c r="H4440" s="4">
        <f t="shared" si="383"/>
        <v>2024</v>
      </c>
      <c r="I4440" s="2" t="s">
        <v>4</v>
      </c>
      <c r="J4440" s="2" t="s">
        <v>5232</v>
      </c>
      <c r="K4440" s="2" t="s">
        <v>117</v>
      </c>
      <c r="L4440" s="2" t="s">
        <v>118</v>
      </c>
      <c r="M4440" s="2" t="s">
        <v>119</v>
      </c>
      <c r="N4440" s="4" t="str">
        <f t="shared" si="384"/>
        <v>TON</v>
      </c>
      <c r="O4440" s="5">
        <v>19.997499999999999</v>
      </c>
    </row>
    <row r="4441" spans="2:15" x14ac:dyDescent="0.25">
      <c r="B4441" s="1" t="s">
        <v>1520</v>
      </c>
      <c r="C4441" s="2" t="s">
        <v>196</v>
      </c>
      <c r="D4441" s="2" t="s">
        <v>303</v>
      </c>
      <c r="E4441" s="2" t="s">
        <v>3744</v>
      </c>
      <c r="F4441" s="3">
        <f t="shared" si="388"/>
        <v>45355</v>
      </c>
      <c r="G4441" s="4">
        <f t="shared" si="382"/>
        <v>3</v>
      </c>
      <c r="H4441" s="4">
        <f t="shared" si="383"/>
        <v>2024</v>
      </c>
      <c r="I4441" s="2" t="s">
        <v>4</v>
      </c>
      <c r="J4441" s="2" t="s">
        <v>5233</v>
      </c>
      <c r="K4441" s="2" t="s">
        <v>394</v>
      </c>
      <c r="L4441" s="2" t="s">
        <v>395</v>
      </c>
      <c r="M4441" s="2" t="s">
        <v>119</v>
      </c>
      <c r="N4441" s="4" t="str">
        <f t="shared" si="384"/>
        <v>TON</v>
      </c>
      <c r="O4441" s="5">
        <v>10</v>
      </c>
    </row>
    <row r="4442" spans="2:15" x14ac:dyDescent="0.25">
      <c r="B4442" s="1" t="s">
        <v>1520</v>
      </c>
      <c r="C4442" s="2" t="s">
        <v>196</v>
      </c>
      <c r="D4442" s="2" t="s">
        <v>303</v>
      </c>
      <c r="E4442" s="2" t="s">
        <v>3744</v>
      </c>
      <c r="F4442" s="3">
        <f t="shared" si="388"/>
        <v>45355</v>
      </c>
      <c r="G4442" s="4">
        <f t="shared" si="382"/>
        <v>3</v>
      </c>
      <c r="H4442" s="4">
        <f t="shared" si="383"/>
        <v>2024</v>
      </c>
      <c r="I4442" s="2" t="s">
        <v>4</v>
      </c>
      <c r="J4442" s="2" t="s">
        <v>5233</v>
      </c>
      <c r="K4442" s="2" t="s">
        <v>3726</v>
      </c>
      <c r="L4442" s="2" t="s">
        <v>3727</v>
      </c>
      <c r="M4442" s="2" t="s">
        <v>145</v>
      </c>
      <c r="N4442" s="4" t="str">
        <f t="shared" si="384"/>
        <v>GAL</v>
      </c>
      <c r="O4442" s="5">
        <v>3.75</v>
      </c>
    </row>
    <row r="4443" spans="2:15" x14ac:dyDescent="0.25">
      <c r="B4443" s="1" t="s">
        <v>1520</v>
      </c>
      <c r="C4443" s="2" t="s">
        <v>196</v>
      </c>
      <c r="D4443" s="2" t="s">
        <v>452</v>
      </c>
      <c r="E4443" s="2" t="s">
        <v>222</v>
      </c>
      <c r="F4443" s="3">
        <f t="shared" si="388"/>
        <v>45355</v>
      </c>
      <c r="G4443" s="4">
        <f t="shared" si="382"/>
        <v>3</v>
      </c>
      <c r="H4443" s="4">
        <f t="shared" si="383"/>
        <v>2024</v>
      </c>
      <c r="I4443" s="2" t="s">
        <v>4</v>
      </c>
      <c r="J4443" s="2" t="s">
        <v>5234</v>
      </c>
      <c r="K4443" s="2" t="s">
        <v>117</v>
      </c>
      <c r="L4443" s="2" t="s">
        <v>118</v>
      </c>
      <c r="M4443" s="2" t="s">
        <v>119</v>
      </c>
      <c r="N4443" s="4" t="str">
        <f t="shared" si="384"/>
        <v>TON</v>
      </c>
      <c r="O4443" s="5">
        <v>4</v>
      </c>
    </row>
    <row r="4444" spans="2:15" x14ac:dyDescent="0.25">
      <c r="B4444" s="1" t="s">
        <v>1520</v>
      </c>
      <c r="C4444" s="2" t="s">
        <v>196</v>
      </c>
      <c r="D4444" s="2" t="s">
        <v>452</v>
      </c>
      <c r="E4444" s="2" t="s">
        <v>453</v>
      </c>
      <c r="F4444" s="3">
        <f t="shared" si="388"/>
        <v>45355</v>
      </c>
      <c r="G4444" s="4">
        <f t="shared" si="382"/>
        <v>3</v>
      </c>
      <c r="H4444" s="4">
        <f t="shared" si="383"/>
        <v>2024</v>
      </c>
      <c r="I4444" s="2" t="s">
        <v>4</v>
      </c>
      <c r="J4444" s="2" t="s">
        <v>5235</v>
      </c>
      <c r="K4444" s="2" t="s">
        <v>117</v>
      </c>
      <c r="L4444" s="2" t="s">
        <v>118</v>
      </c>
      <c r="M4444" s="2" t="s">
        <v>119</v>
      </c>
      <c r="N4444" s="4" t="str">
        <f t="shared" si="384"/>
        <v>TON</v>
      </c>
      <c r="O4444" s="5">
        <v>3.5</v>
      </c>
    </row>
    <row r="4445" spans="2:15" x14ac:dyDescent="0.25">
      <c r="B4445" s="1" t="s">
        <v>1520</v>
      </c>
      <c r="C4445" s="2" t="s">
        <v>196</v>
      </c>
      <c r="D4445" s="2" t="s">
        <v>387</v>
      </c>
      <c r="E4445" s="2" t="s">
        <v>797</v>
      </c>
      <c r="F4445" s="3">
        <f t="shared" si="388"/>
        <v>45355</v>
      </c>
      <c r="G4445" s="4">
        <f t="shared" si="382"/>
        <v>3</v>
      </c>
      <c r="H4445" s="4">
        <f t="shared" si="383"/>
        <v>2024</v>
      </c>
      <c r="I4445" s="2" t="s">
        <v>4</v>
      </c>
      <c r="J4445" s="2" t="s">
        <v>5236</v>
      </c>
      <c r="K4445" s="2" t="s">
        <v>422</v>
      </c>
      <c r="L4445" s="2" t="s">
        <v>423</v>
      </c>
      <c r="M4445" s="2" t="s">
        <v>119</v>
      </c>
      <c r="N4445" s="4" t="str">
        <f t="shared" si="384"/>
        <v>TON</v>
      </c>
      <c r="O4445" s="5">
        <v>10</v>
      </c>
    </row>
    <row r="4446" spans="2:15" x14ac:dyDescent="0.25">
      <c r="B4446" s="1" t="s">
        <v>1520</v>
      </c>
      <c r="C4446" s="2" t="s">
        <v>196</v>
      </c>
      <c r="D4446" s="2" t="s">
        <v>387</v>
      </c>
      <c r="E4446" s="2" t="s">
        <v>797</v>
      </c>
      <c r="F4446" s="3">
        <f t="shared" si="388"/>
        <v>45355</v>
      </c>
      <c r="G4446" s="4">
        <f t="shared" si="382"/>
        <v>3</v>
      </c>
      <c r="H4446" s="4">
        <f t="shared" si="383"/>
        <v>2024</v>
      </c>
      <c r="I4446" s="2" t="s">
        <v>4</v>
      </c>
      <c r="J4446" s="2" t="s">
        <v>5236</v>
      </c>
      <c r="K4446" s="2" t="s">
        <v>3726</v>
      </c>
      <c r="L4446" s="2" t="s">
        <v>3727</v>
      </c>
      <c r="M4446" s="2" t="s">
        <v>145</v>
      </c>
      <c r="N4446" s="4" t="str">
        <f t="shared" si="384"/>
        <v>GAL</v>
      </c>
      <c r="O4446" s="5">
        <v>3.75</v>
      </c>
    </row>
    <row r="4447" spans="2:15" x14ac:dyDescent="0.25">
      <c r="B4447" s="1" t="s">
        <v>1520</v>
      </c>
      <c r="C4447" s="2" t="s">
        <v>196</v>
      </c>
      <c r="D4447" s="2" t="s">
        <v>437</v>
      </c>
      <c r="E4447" s="2" t="s">
        <v>738</v>
      </c>
      <c r="F4447" s="3">
        <f t="shared" si="388"/>
        <v>45355</v>
      </c>
      <c r="G4447" s="4">
        <f t="shared" si="382"/>
        <v>3</v>
      </c>
      <c r="H4447" s="4">
        <f t="shared" si="383"/>
        <v>2024</v>
      </c>
      <c r="I4447" s="2" t="s">
        <v>4</v>
      </c>
      <c r="J4447" s="2" t="s">
        <v>5237</v>
      </c>
      <c r="K4447" s="2" t="s">
        <v>531</v>
      </c>
      <c r="L4447" s="2" t="s">
        <v>201</v>
      </c>
      <c r="M4447" s="2" t="s">
        <v>202</v>
      </c>
      <c r="N4447" s="4" t="str">
        <f t="shared" si="384"/>
        <v>GAL</v>
      </c>
      <c r="O4447" s="5">
        <v>120</v>
      </c>
    </row>
    <row r="4448" spans="2:15" x14ac:dyDescent="0.25">
      <c r="B4448" s="1" t="s">
        <v>1520</v>
      </c>
      <c r="C4448" s="2" t="s">
        <v>196</v>
      </c>
      <c r="D4448" s="2" t="s">
        <v>374</v>
      </c>
      <c r="E4448" s="2" t="s">
        <v>375</v>
      </c>
      <c r="F4448" s="3">
        <f t="shared" si="388"/>
        <v>45355</v>
      </c>
      <c r="G4448" s="4">
        <f t="shared" si="382"/>
        <v>3</v>
      </c>
      <c r="H4448" s="4">
        <f t="shared" si="383"/>
        <v>2024</v>
      </c>
      <c r="I4448" s="2" t="s">
        <v>4</v>
      </c>
      <c r="J4448" s="2" t="s">
        <v>5238</v>
      </c>
      <c r="K4448" s="2" t="s">
        <v>122</v>
      </c>
      <c r="L4448" s="2" t="s">
        <v>123</v>
      </c>
      <c r="M4448" s="2" t="s">
        <v>119</v>
      </c>
      <c r="N4448" s="4" t="str">
        <f t="shared" si="384"/>
        <v>TON</v>
      </c>
      <c r="O4448" s="5">
        <v>5.0149999999999997</v>
      </c>
    </row>
    <row r="4449" spans="2:15" x14ac:dyDescent="0.25">
      <c r="B4449" s="1" t="s">
        <v>1520</v>
      </c>
      <c r="C4449" s="2" t="s">
        <v>196</v>
      </c>
      <c r="D4449" s="2" t="s">
        <v>294</v>
      </c>
      <c r="E4449" s="2" t="s">
        <v>295</v>
      </c>
      <c r="F4449" s="3">
        <f t="shared" si="388"/>
        <v>45355</v>
      </c>
      <c r="G4449" s="4">
        <f t="shared" si="382"/>
        <v>3</v>
      </c>
      <c r="H4449" s="4">
        <f t="shared" si="383"/>
        <v>2024</v>
      </c>
      <c r="I4449" s="2" t="s">
        <v>4</v>
      </c>
      <c r="J4449" s="2" t="s">
        <v>5239</v>
      </c>
      <c r="K4449" s="2" t="s">
        <v>122</v>
      </c>
      <c r="L4449" s="2" t="s">
        <v>123</v>
      </c>
      <c r="M4449" s="2" t="s">
        <v>119</v>
      </c>
      <c r="N4449" s="4" t="str">
        <f t="shared" si="384"/>
        <v>TON</v>
      </c>
      <c r="O4449" s="5">
        <v>7.48</v>
      </c>
    </row>
    <row r="4450" spans="2:15" x14ac:dyDescent="0.25">
      <c r="B4450" s="1" t="s">
        <v>1520</v>
      </c>
      <c r="C4450" s="2" t="s">
        <v>196</v>
      </c>
      <c r="D4450" s="2" t="s">
        <v>679</v>
      </c>
      <c r="E4450" s="2" t="s">
        <v>359</v>
      </c>
      <c r="F4450" s="3">
        <f t="shared" si="388"/>
        <v>45355</v>
      </c>
      <c r="G4450" s="4">
        <f t="shared" si="382"/>
        <v>3</v>
      </c>
      <c r="H4450" s="4">
        <f t="shared" si="383"/>
        <v>2024</v>
      </c>
      <c r="I4450" s="2" t="s">
        <v>4</v>
      </c>
      <c r="J4450" s="2" t="s">
        <v>5240</v>
      </c>
      <c r="K4450" s="2" t="s">
        <v>329</v>
      </c>
      <c r="L4450" s="2" t="s">
        <v>330</v>
      </c>
      <c r="M4450" s="2" t="s">
        <v>119</v>
      </c>
      <c r="N4450" s="4" t="str">
        <f t="shared" si="384"/>
        <v>TON</v>
      </c>
      <c r="O4450" s="5">
        <v>2.0024999999999999</v>
      </c>
    </row>
    <row r="4451" spans="2:15" x14ac:dyDescent="0.25">
      <c r="B4451" s="1" t="s">
        <v>1520</v>
      </c>
      <c r="C4451" s="2" t="s">
        <v>196</v>
      </c>
      <c r="D4451" s="2" t="s">
        <v>679</v>
      </c>
      <c r="E4451" s="2" t="s">
        <v>359</v>
      </c>
      <c r="F4451" s="3">
        <f t="shared" si="388"/>
        <v>45355</v>
      </c>
      <c r="G4451" s="4">
        <f t="shared" si="382"/>
        <v>3</v>
      </c>
      <c r="H4451" s="4">
        <f t="shared" si="383"/>
        <v>2024</v>
      </c>
      <c r="I4451" s="2" t="s">
        <v>4</v>
      </c>
      <c r="J4451" s="2" t="s">
        <v>5240</v>
      </c>
      <c r="K4451" s="2" t="s">
        <v>3726</v>
      </c>
      <c r="L4451" s="2" t="s">
        <v>3727</v>
      </c>
      <c r="M4451" s="2" t="s">
        <v>145</v>
      </c>
      <c r="N4451" s="4" t="str">
        <f t="shared" si="384"/>
        <v>GAL</v>
      </c>
      <c r="O4451" s="5">
        <v>0.75</v>
      </c>
    </row>
    <row r="4452" spans="2:15" x14ac:dyDescent="0.25">
      <c r="B4452" s="1" t="s">
        <v>1520</v>
      </c>
      <c r="C4452" s="2" t="s">
        <v>196</v>
      </c>
      <c r="D4452" s="2" t="s">
        <v>114</v>
      </c>
      <c r="E4452" s="2" t="s">
        <v>115</v>
      </c>
      <c r="F4452" s="3">
        <f t="shared" si="388"/>
        <v>45355</v>
      </c>
      <c r="G4452" s="4">
        <f t="shared" si="382"/>
        <v>3</v>
      </c>
      <c r="H4452" s="4">
        <f t="shared" si="383"/>
        <v>2024</v>
      </c>
      <c r="I4452" s="2" t="s">
        <v>4</v>
      </c>
      <c r="J4452" s="2" t="s">
        <v>5241</v>
      </c>
      <c r="K4452" s="2" t="s">
        <v>117</v>
      </c>
      <c r="L4452" s="2" t="s">
        <v>118</v>
      </c>
      <c r="M4452" s="2" t="s">
        <v>119</v>
      </c>
      <c r="N4452" s="4" t="str">
        <f t="shared" si="384"/>
        <v>TON</v>
      </c>
      <c r="O4452" s="5">
        <v>2.4900000000000002</v>
      </c>
    </row>
    <row r="4453" spans="2:15" x14ac:dyDescent="0.25">
      <c r="B4453" s="1" t="s">
        <v>1520</v>
      </c>
      <c r="C4453" s="2" t="s">
        <v>196</v>
      </c>
      <c r="D4453" s="2" t="s">
        <v>114</v>
      </c>
      <c r="E4453" s="2" t="s">
        <v>274</v>
      </c>
      <c r="F4453" s="3">
        <f t="shared" si="388"/>
        <v>45355</v>
      </c>
      <c r="G4453" s="4">
        <f t="shared" si="382"/>
        <v>3</v>
      </c>
      <c r="H4453" s="4">
        <f t="shared" si="383"/>
        <v>2024</v>
      </c>
      <c r="I4453" s="2" t="s">
        <v>4</v>
      </c>
      <c r="J4453" s="2" t="s">
        <v>5242</v>
      </c>
      <c r="K4453" s="2" t="s">
        <v>117</v>
      </c>
      <c r="L4453" s="2" t="s">
        <v>118</v>
      </c>
      <c r="M4453" s="2" t="s">
        <v>119</v>
      </c>
      <c r="N4453" s="4" t="str">
        <f t="shared" si="384"/>
        <v>TON</v>
      </c>
      <c r="O4453" s="5">
        <v>9.02</v>
      </c>
    </row>
    <row r="4454" spans="2:15" x14ac:dyDescent="0.25">
      <c r="B4454" s="1" t="s">
        <v>1520</v>
      </c>
      <c r="C4454" s="2" t="s">
        <v>196</v>
      </c>
      <c r="D4454" s="2" t="s">
        <v>289</v>
      </c>
      <c r="E4454" s="2" t="s">
        <v>290</v>
      </c>
      <c r="F4454" s="3">
        <f t="shared" ref="F4454:F4461" si="389">DATE(2024,3,5)</f>
        <v>45356</v>
      </c>
      <c r="G4454" s="4">
        <f t="shared" si="382"/>
        <v>3</v>
      </c>
      <c r="H4454" s="4">
        <f t="shared" si="383"/>
        <v>2024</v>
      </c>
      <c r="I4454" s="2" t="s">
        <v>4</v>
      </c>
      <c r="J4454" s="2" t="s">
        <v>5243</v>
      </c>
      <c r="K4454" s="2" t="s">
        <v>865</v>
      </c>
      <c r="L4454" s="2" t="s">
        <v>866</v>
      </c>
      <c r="M4454" s="2" t="s">
        <v>119</v>
      </c>
      <c r="N4454" s="4" t="str">
        <f t="shared" si="384"/>
        <v>TON</v>
      </c>
      <c r="O4454" s="5">
        <v>1</v>
      </c>
    </row>
    <row r="4455" spans="2:15" x14ac:dyDescent="0.25">
      <c r="B4455" s="1" t="s">
        <v>1520</v>
      </c>
      <c r="C4455" s="2" t="s">
        <v>196</v>
      </c>
      <c r="D4455" s="2" t="s">
        <v>299</v>
      </c>
      <c r="E4455" s="2" t="s">
        <v>689</v>
      </c>
      <c r="F4455" s="3">
        <f t="shared" si="389"/>
        <v>45356</v>
      </c>
      <c r="G4455" s="4">
        <f t="shared" si="382"/>
        <v>3</v>
      </c>
      <c r="H4455" s="4">
        <f t="shared" si="383"/>
        <v>2024</v>
      </c>
      <c r="I4455" s="2" t="s">
        <v>4</v>
      </c>
      <c r="J4455" s="2" t="s">
        <v>5244</v>
      </c>
      <c r="K4455" s="2" t="s">
        <v>117</v>
      </c>
      <c r="L4455" s="2" t="s">
        <v>118</v>
      </c>
      <c r="M4455" s="2" t="s">
        <v>119</v>
      </c>
      <c r="N4455" s="4" t="str">
        <f t="shared" si="384"/>
        <v>TON</v>
      </c>
      <c r="O4455" s="5">
        <v>2.0074999999999998</v>
      </c>
    </row>
    <row r="4456" spans="2:15" x14ac:dyDescent="0.25">
      <c r="B4456" s="1" t="s">
        <v>1520</v>
      </c>
      <c r="C4456" s="2" t="s">
        <v>196</v>
      </c>
      <c r="D4456" s="2" t="s">
        <v>317</v>
      </c>
      <c r="E4456" s="2" t="s">
        <v>677</v>
      </c>
      <c r="F4456" s="3">
        <f t="shared" si="389"/>
        <v>45356</v>
      </c>
      <c r="G4456" s="4">
        <f t="shared" si="382"/>
        <v>3</v>
      </c>
      <c r="H4456" s="4">
        <f t="shared" si="383"/>
        <v>2024</v>
      </c>
      <c r="I4456" s="2" t="s">
        <v>4</v>
      </c>
      <c r="J4456" s="2" t="s">
        <v>5245</v>
      </c>
      <c r="K4456" s="2" t="s">
        <v>117</v>
      </c>
      <c r="L4456" s="2" t="s">
        <v>118</v>
      </c>
      <c r="M4456" s="2" t="s">
        <v>119</v>
      </c>
      <c r="N4456" s="4" t="str">
        <f t="shared" si="384"/>
        <v>TON</v>
      </c>
      <c r="O4456" s="5">
        <v>15</v>
      </c>
    </row>
    <row r="4457" spans="2:15" x14ac:dyDescent="0.25">
      <c r="B4457" s="1" t="s">
        <v>1520</v>
      </c>
      <c r="C4457" s="2" t="s">
        <v>196</v>
      </c>
      <c r="D4457" s="2" t="s">
        <v>4098</v>
      </c>
      <c r="E4457" s="2" t="s">
        <v>695</v>
      </c>
      <c r="F4457" s="3">
        <f t="shared" si="389"/>
        <v>45356</v>
      </c>
      <c r="G4457" s="4">
        <f t="shared" si="382"/>
        <v>3</v>
      </c>
      <c r="H4457" s="4">
        <f t="shared" si="383"/>
        <v>2024</v>
      </c>
      <c r="I4457" s="2" t="s">
        <v>4</v>
      </c>
      <c r="J4457" s="2" t="s">
        <v>5246</v>
      </c>
      <c r="K4457" s="2" t="s">
        <v>329</v>
      </c>
      <c r="L4457" s="2" t="s">
        <v>330</v>
      </c>
      <c r="M4457" s="2" t="s">
        <v>119</v>
      </c>
      <c r="N4457" s="4" t="str">
        <f t="shared" si="384"/>
        <v>TON</v>
      </c>
      <c r="O4457" s="5">
        <v>2.99</v>
      </c>
    </row>
    <row r="4458" spans="2:15" x14ac:dyDescent="0.25">
      <c r="B4458" s="1" t="s">
        <v>1520</v>
      </c>
      <c r="C4458" s="2" t="s">
        <v>196</v>
      </c>
      <c r="D4458" s="2" t="s">
        <v>669</v>
      </c>
      <c r="E4458" s="2" t="s">
        <v>1633</v>
      </c>
      <c r="F4458" s="3">
        <f t="shared" si="389"/>
        <v>45356</v>
      </c>
      <c r="G4458" s="4">
        <f t="shared" si="382"/>
        <v>3</v>
      </c>
      <c r="H4458" s="4">
        <f t="shared" si="383"/>
        <v>2024</v>
      </c>
      <c r="I4458" s="2" t="s">
        <v>4</v>
      </c>
      <c r="J4458" s="2" t="s">
        <v>5247</v>
      </c>
      <c r="K4458" s="2" t="s">
        <v>384</v>
      </c>
      <c r="L4458" s="2" t="s">
        <v>385</v>
      </c>
      <c r="M4458" s="2" t="s">
        <v>119</v>
      </c>
      <c r="N4458" s="4" t="str">
        <f t="shared" si="384"/>
        <v>TON</v>
      </c>
      <c r="O4458" s="5">
        <v>6.5025000000000004</v>
      </c>
    </row>
    <row r="4459" spans="2:15" x14ac:dyDescent="0.25">
      <c r="B4459" s="1" t="s">
        <v>1520</v>
      </c>
      <c r="C4459" s="2" t="s">
        <v>196</v>
      </c>
      <c r="D4459" s="2" t="s">
        <v>310</v>
      </c>
      <c r="E4459" s="2" t="s">
        <v>426</v>
      </c>
      <c r="F4459" s="3">
        <f t="shared" si="389"/>
        <v>45356</v>
      </c>
      <c r="G4459" s="4">
        <f t="shared" si="382"/>
        <v>3</v>
      </c>
      <c r="H4459" s="4">
        <f t="shared" si="383"/>
        <v>2024</v>
      </c>
      <c r="I4459" s="2" t="s">
        <v>4</v>
      </c>
      <c r="J4459" s="2" t="s">
        <v>5248</v>
      </c>
      <c r="K4459" s="2" t="s">
        <v>428</v>
      </c>
      <c r="L4459" s="2" t="s">
        <v>429</v>
      </c>
      <c r="M4459" s="2" t="s">
        <v>119</v>
      </c>
      <c r="N4459" s="4" t="str">
        <f t="shared" si="384"/>
        <v>TON</v>
      </c>
      <c r="O4459" s="5">
        <v>3.01</v>
      </c>
    </row>
    <row r="4460" spans="2:15" x14ac:dyDescent="0.25">
      <c r="B4460" s="1" t="s">
        <v>1520</v>
      </c>
      <c r="C4460" s="2" t="s">
        <v>196</v>
      </c>
      <c r="D4460" s="2" t="s">
        <v>310</v>
      </c>
      <c r="E4460" s="2" t="s">
        <v>355</v>
      </c>
      <c r="F4460" s="3">
        <f t="shared" si="389"/>
        <v>45356</v>
      </c>
      <c r="G4460" s="4">
        <f t="shared" si="382"/>
        <v>3</v>
      </c>
      <c r="H4460" s="4">
        <f t="shared" si="383"/>
        <v>2024</v>
      </c>
      <c r="I4460" s="2" t="s">
        <v>4</v>
      </c>
      <c r="J4460" s="2" t="s">
        <v>5249</v>
      </c>
      <c r="K4460" s="2" t="s">
        <v>329</v>
      </c>
      <c r="L4460" s="2" t="s">
        <v>330</v>
      </c>
      <c r="M4460" s="2" t="s">
        <v>119</v>
      </c>
      <c r="N4460" s="4" t="str">
        <f t="shared" si="384"/>
        <v>TON</v>
      </c>
      <c r="O4460" s="5">
        <v>2.0024999999999999</v>
      </c>
    </row>
    <row r="4461" spans="2:15" x14ac:dyDescent="0.25">
      <c r="B4461" s="1" t="s">
        <v>1520</v>
      </c>
      <c r="C4461" s="2" t="s">
        <v>196</v>
      </c>
      <c r="D4461" s="2" t="s">
        <v>317</v>
      </c>
      <c r="E4461" s="2" t="s">
        <v>829</v>
      </c>
      <c r="F4461" s="3">
        <f t="shared" si="389"/>
        <v>45356</v>
      </c>
      <c r="G4461" s="4">
        <f t="shared" si="382"/>
        <v>3</v>
      </c>
      <c r="H4461" s="4">
        <f t="shared" si="383"/>
        <v>2024</v>
      </c>
      <c r="I4461" s="2" t="s">
        <v>4</v>
      </c>
      <c r="J4461" s="2" t="s">
        <v>5250</v>
      </c>
      <c r="K4461" s="2" t="s">
        <v>117</v>
      </c>
      <c r="L4461" s="2" t="s">
        <v>118</v>
      </c>
      <c r="M4461" s="2" t="s">
        <v>119</v>
      </c>
      <c r="N4461" s="4" t="str">
        <f t="shared" si="384"/>
        <v>TON</v>
      </c>
      <c r="O4461" s="5">
        <v>12.51</v>
      </c>
    </row>
    <row r="4462" spans="2:15" x14ac:dyDescent="0.25">
      <c r="B4462" s="1" t="s">
        <v>1520</v>
      </c>
      <c r="C4462" s="2" t="s">
        <v>196</v>
      </c>
      <c r="D4462" s="2" t="s">
        <v>299</v>
      </c>
      <c r="E4462" s="2" t="s">
        <v>713</v>
      </c>
      <c r="F4462" s="3">
        <f>DATE(2024,3,6)</f>
        <v>45357</v>
      </c>
      <c r="G4462" s="4">
        <f t="shared" si="382"/>
        <v>3</v>
      </c>
      <c r="H4462" s="4">
        <f t="shared" si="383"/>
        <v>2024</v>
      </c>
      <c r="I4462" s="2" t="s">
        <v>4</v>
      </c>
      <c r="J4462" s="2" t="s">
        <v>5251</v>
      </c>
      <c r="K4462" s="2" t="s">
        <v>117</v>
      </c>
      <c r="L4462" s="2" t="s">
        <v>118</v>
      </c>
      <c r="M4462" s="2" t="s">
        <v>119</v>
      </c>
      <c r="N4462" s="4" t="str">
        <f t="shared" si="384"/>
        <v>TON</v>
      </c>
      <c r="O4462" s="5">
        <v>14.9925</v>
      </c>
    </row>
    <row r="4463" spans="2:15" x14ac:dyDescent="0.25">
      <c r="B4463" s="1" t="s">
        <v>1520</v>
      </c>
      <c r="C4463" s="2" t="s">
        <v>196</v>
      </c>
      <c r="D4463" s="2" t="s">
        <v>3764</v>
      </c>
      <c r="E4463" s="2" t="s">
        <v>3765</v>
      </c>
      <c r="F4463" s="3">
        <f>DATE(2024,3,6)</f>
        <v>45357</v>
      </c>
      <c r="G4463" s="4">
        <f t="shared" si="382"/>
        <v>3</v>
      </c>
      <c r="H4463" s="4">
        <f t="shared" si="383"/>
        <v>2024</v>
      </c>
      <c r="I4463" s="2" t="s">
        <v>4</v>
      </c>
      <c r="J4463" s="2" t="s">
        <v>5252</v>
      </c>
      <c r="K4463" s="2" t="s">
        <v>205</v>
      </c>
      <c r="L4463" s="2" t="s">
        <v>206</v>
      </c>
      <c r="M4463" s="2" t="s">
        <v>119</v>
      </c>
      <c r="N4463" s="4" t="str">
        <f t="shared" si="384"/>
        <v>TON</v>
      </c>
      <c r="O4463" s="5">
        <v>1.25</v>
      </c>
    </row>
    <row r="4464" spans="2:15" x14ac:dyDescent="0.25">
      <c r="B4464" s="1" t="s">
        <v>1520</v>
      </c>
      <c r="C4464" s="2" t="s">
        <v>196</v>
      </c>
      <c r="D4464" s="2" t="s">
        <v>299</v>
      </c>
      <c r="E4464" s="2" t="s">
        <v>300</v>
      </c>
      <c r="F4464" s="3">
        <f>DATE(2024,3,6)</f>
        <v>45357</v>
      </c>
      <c r="G4464" s="4">
        <f t="shared" si="382"/>
        <v>3</v>
      </c>
      <c r="H4464" s="4">
        <f t="shared" si="383"/>
        <v>2024</v>
      </c>
      <c r="I4464" s="2" t="s">
        <v>4</v>
      </c>
      <c r="J4464" s="2" t="s">
        <v>5253</v>
      </c>
      <c r="K4464" s="2" t="s">
        <v>117</v>
      </c>
      <c r="L4464" s="2" t="s">
        <v>118</v>
      </c>
      <c r="M4464" s="2" t="s">
        <v>119</v>
      </c>
      <c r="N4464" s="4" t="str">
        <f t="shared" si="384"/>
        <v>TON</v>
      </c>
      <c r="O4464" s="5">
        <v>14.5</v>
      </c>
    </row>
    <row r="4465" spans="2:15" x14ac:dyDescent="0.25">
      <c r="B4465" s="1" t="s">
        <v>1520</v>
      </c>
      <c r="C4465" s="2" t="s">
        <v>196</v>
      </c>
      <c r="D4465" s="2" t="s">
        <v>215</v>
      </c>
      <c r="E4465" s="2" t="s">
        <v>4113</v>
      </c>
      <c r="F4465" s="3">
        <f>DATE(2024,3,6)</f>
        <v>45357</v>
      </c>
      <c r="G4465" s="4">
        <f t="shared" si="382"/>
        <v>3</v>
      </c>
      <c r="H4465" s="4">
        <f t="shared" si="383"/>
        <v>2024</v>
      </c>
      <c r="I4465" s="2" t="s">
        <v>4</v>
      </c>
      <c r="J4465" s="2" t="s">
        <v>5254</v>
      </c>
      <c r="K4465" s="2" t="s">
        <v>447</v>
      </c>
      <c r="L4465" s="2" t="s">
        <v>448</v>
      </c>
      <c r="M4465" s="2" t="s">
        <v>119</v>
      </c>
      <c r="N4465" s="4" t="str">
        <f t="shared" si="384"/>
        <v>TON</v>
      </c>
      <c r="O4465" s="5">
        <v>2.5099999999999998</v>
      </c>
    </row>
    <row r="4466" spans="2:15" x14ac:dyDescent="0.25">
      <c r="B4466" s="1" t="s">
        <v>1520</v>
      </c>
      <c r="C4466" s="2" t="s">
        <v>196</v>
      </c>
      <c r="D4466" s="2" t="s">
        <v>262</v>
      </c>
      <c r="E4466" s="2" t="s">
        <v>1563</v>
      </c>
      <c r="F4466" s="3">
        <f>DATE(2024,3,6)</f>
        <v>45357</v>
      </c>
      <c r="G4466" s="4">
        <f t="shared" si="382"/>
        <v>3</v>
      </c>
      <c r="H4466" s="4">
        <f t="shared" si="383"/>
        <v>2024</v>
      </c>
      <c r="I4466" s="2" t="s">
        <v>4</v>
      </c>
      <c r="J4466" s="2" t="s">
        <v>5255</v>
      </c>
      <c r="K4466" s="2" t="s">
        <v>447</v>
      </c>
      <c r="L4466" s="2" t="s">
        <v>448</v>
      </c>
      <c r="M4466" s="2" t="s">
        <v>119</v>
      </c>
      <c r="N4466" s="4" t="str">
        <f t="shared" si="384"/>
        <v>TON</v>
      </c>
      <c r="O4466" s="5">
        <v>14.9925</v>
      </c>
    </row>
    <row r="4467" spans="2:15" x14ac:dyDescent="0.25">
      <c r="B4467" s="1" t="s">
        <v>645</v>
      </c>
      <c r="C4467" s="2" t="s">
        <v>196</v>
      </c>
      <c r="D4467" s="2" t="s">
        <v>5256</v>
      </c>
      <c r="E4467" s="2" t="s">
        <v>141</v>
      </c>
      <c r="F4467" s="3">
        <f t="shared" ref="F4467:F4472" si="390">DATE(2024,3,7)</f>
        <v>45358</v>
      </c>
      <c r="G4467" s="4">
        <f t="shared" si="382"/>
        <v>3</v>
      </c>
      <c r="H4467" s="4">
        <f t="shared" si="383"/>
        <v>2024</v>
      </c>
      <c r="I4467" s="2" t="s">
        <v>4</v>
      </c>
      <c r="J4467" s="2" t="s">
        <v>5257</v>
      </c>
      <c r="K4467" s="2" t="s">
        <v>3421</v>
      </c>
      <c r="L4467" s="2" t="s">
        <v>3422</v>
      </c>
      <c r="M4467" s="2" t="s">
        <v>3423</v>
      </c>
      <c r="N4467" s="4" t="str">
        <f t="shared" si="384"/>
        <v>GAL</v>
      </c>
      <c r="O4467" s="5">
        <v>15</v>
      </c>
    </row>
    <row r="4468" spans="2:15" x14ac:dyDescent="0.25">
      <c r="B4468" s="1" t="s">
        <v>1520</v>
      </c>
      <c r="C4468" s="2" t="s">
        <v>196</v>
      </c>
      <c r="D4468" s="2" t="s">
        <v>374</v>
      </c>
      <c r="E4468" s="2" t="s">
        <v>379</v>
      </c>
      <c r="F4468" s="3">
        <f t="shared" si="390"/>
        <v>45358</v>
      </c>
      <c r="G4468" s="4">
        <f t="shared" si="382"/>
        <v>3</v>
      </c>
      <c r="H4468" s="4">
        <f t="shared" si="383"/>
        <v>2024</v>
      </c>
      <c r="I4468" s="2" t="s">
        <v>4</v>
      </c>
      <c r="J4468" s="2" t="s">
        <v>5258</v>
      </c>
      <c r="K4468" s="2" t="s">
        <v>5259</v>
      </c>
      <c r="L4468" s="2" t="s">
        <v>5260</v>
      </c>
      <c r="M4468" s="2" t="s">
        <v>119</v>
      </c>
      <c r="N4468" s="4" t="str">
        <f t="shared" si="384"/>
        <v>TON</v>
      </c>
      <c r="O4468" s="5">
        <v>5</v>
      </c>
    </row>
    <row r="4469" spans="2:15" x14ac:dyDescent="0.25">
      <c r="B4469" s="1" t="s">
        <v>1520</v>
      </c>
      <c r="C4469" s="2" t="s">
        <v>196</v>
      </c>
      <c r="D4469" s="2" t="s">
        <v>262</v>
      </c>
      <c r="E4469" s="2" t="s">
        <v>1226</v>
      </c>
      <c r="F4469" s="3">
        <f t="shared" si="390"/>
        <v>45358</v>
      </c>
      <c r="G4469" s="4">
        <f t="shared" si="382"/>
        <v>3</v>
      </c>
      <c r="H4469" s="4">
        <f t="shared" si="383"/>
        <v>2024</v>
      </c>
      <c r="I4469" s="2" t="s">
        <v>4</v>
      </c>
      <c r="J4469" s="2" t="s">
        <v>5261</v>
      </c>
      <c r="K4469" s="2" t="s">
        <v>447</v>
      </c>
      <c r="L4469" s="2" t="s">
        <v>448</v>
      </c>
      <c r="M4469" s="2" t="s">
        <v>119</v>
      </c>
      <c r="N4469" s="4" t="str">
        <f t="shared" si="384"/>
        <v>TON</v>
      </c>
      <c r="O4469" s="5">
        <v>5.9924999999999997</v>
      </c>
    </row>
    <row r="4470" spans="2:15" x14ac:dyDescent="0.25">
      <c r="B4470" s="1" t="s">
        <v>1520</v>
      </c>
      <c r="C4470" s="2" t="s">
        <v>196</v>
      </c>
      <c r="D4470" s="2" t="s">
        <v>374</v>
      </c>
      <c r="E4470" s="2" t="s">
        <v>717</v>
      </c>
      <c r="F4470" s="3">
        <f t="shared" si="390"/>
        <v>45358</v>
      </c>
      <c r="G4470" s="4">
        <f t="shared" si="382"/>
        <v>3</v>
      </c>
      <c r="H4470" s="4">
        <f t="shared" si="383"/>
        <v>2024</v>
      </c>
      <c r="I4470" s="2" t="s">
        <v>4</v>
      </c>
      <c r="J4470" s="2" t="s">
        <v>5262</v>
      </c>
      <c r="K4470" s="2" t="s">
        <v>122</v>
      </c>
      <c r="L4470" s="2" t="s">
        <v>123</v>
      </c>
      <c r="M4470" s="2" t="s">
        <v>119</v>
      </c>
      <c r="N4470" s="4" t="str">
        <f t="shared" si="384"/>
        <v>TON</v>
      </c>
      <c r="O4470" s="5">
        <v>2.9750000000000001</v>
      </c>
    </row>
    <row r="4471" spans="2:15" x14ac:dyDescent="0.25">
      <c r="B4471" s="1" t="s">
        <v>1520</v>
      </c>
      <c r="C4471" s="2" t="s">
        <v>196</v>
      </c>
      <c r="D4471" s="2" t="s">
        <v>221</v>
      </c>
      <c r="E4471" s="2" t="s">
        <v>332</v>
      </c>
      <c r="F4471" s="3">
        <f t="shared" si="390"/>
        <v>45358</v>
      </c>
      <c r="G4471" s="4">
        <f t="shared" si="382"/>
        <v>3</v>
      </c>
      <c r="H4471" s="4">
        <f t="shared" si="383"/>
        <v>2024</v>
      </c>
      <c r="I4471" s="2" t="s">
        <v>4</v>
      </c>
      <c r="J4471" s="2" t="s">
        <v>5263</v>
      </c>
      <c r="K4471" s="2" t="s">
        <v>334</v>
      </c>
      <c r="L4471" s="2" t="s">
        <v>335</v>
      </c>
      <c r="M4471" s="2" t="s">
        <v>119</v>
      </c>
      <c r="N4471" s="4" t="str">
        <f t="shared" si="384"/>
        <v>TON</v>
      </c>
      <c r="O4471" s="5">
        <v>5.0125000000000002</v>
      </c>
    </row>
    <row r="4472" spans="2:15" x14ac:dyDescent="0.25">
      <c r="B4472" s="1" t="s">
        <v>1520</v>
      </c>
      <c r="C4472" s="2" t="s">
        <v>196</v>
      </c>
      <c r="D4472" s="2" t="s">
        <v>374</v>
      </c>
      <c r="E4472" s="2" t="s">
        <v>717</v>
      </c>
      <c r="F4472" s="3">
        <f t="shared" si="390"/>
        <v>45358</v>
      </c>
      <c r="G4472" s="4">
        <f t="shared" si="382"/>
        <v>3</v>
      </c>
      <c r="H4472" s="4">
        <f t="shared" si="383"/>
        <v>2024</v>
      </c>
      <c r="I4472" s="2" t="s">
        <v>4</v>
      </c>
      <c r="J4472" s="2" t="s">
        <v>5264</v>
      </c>
      <c r="K4472" s="2" t="s">
        <v>329</v>
      </c>
      <c r="L4472" s="2" t="s">
        <v>330</v>
      </c>
      <c r="M4472" s="2" t="s">
        <v>119</v>
      </c>
      <c r="N4472" s="4" t="str">
        <f t="shared" si="384"/>
        <v>TON</v>
      </c>
      <c r="O4472" s="5">
        <v>5.0049999999999999</v>
      </c>
    </row>
    <row r="4473" spans="2:15" x14ac:dyDescent="0.25">
      <c r="B4473" s="1" t="s">
        <v>1520</v>
      </c>
      <c r="C4473" s="2" t="s">
        <v>196</v>
      </c>
      <c r="D4473" s="2" t="s">
        <v>215</v>
      </c>
      <c r="E4473" s="2" t="s">
        <v>4113</v>
      </c>
      <c r="F4473" s="3">
        <f t="shared" ref="F4473:F4479" si="391">DATE(2024,3,8)</f>
        <v>45359</v>
      </c>
      <c r="G4473" s="4">
        <f t="shared" ref="G4473:G4536" si="392">+MONTH(F4473)</f>
        <v>3</v>
      </c>
      <c r="H4473" s="4">
        <f t="shared" ref="H4473:H4536" si="393">+YEAR(F4473)</f>
        <v>2024</v>
      </c>
      <c r="I4473" s="2" t="s">
        <v>4</v>
      </c>
      <c r="J4473" s="2" t="s">
        <v>5265</v>
      </c>
      <c r="K4473" s="2" t="s">
        <v>447</v>
      </c>
      <c r="L4473" s="2" t="s">
        <v>448</v>
      </c>
      <c r="M4473" s="2" t="s">
        <v>119</v>
      </c>
      <c r="N4473" s="4" t="str">
        <f t="shared" ref="N4473:N4536" si="394">+LEFT(M4473,3)</f>
        <v>TON</v>
      </c>
      <c r="O4473" s="5">
        <v>15.0075</v>
      </c>
    </row>
    <row r="4474" spans="2:15" x14ac:dyDescent="0.25">
      <c r="B4474" s="1" t="s">
        <v>1520</v>
      </c>
      <c r="C4474" s="2" t="s">
        <v>196</v>
      </c>
      <c r="D4474" s="2" t="s">
        <v>276</v>
      </c>
      <c r="E4474" s="2" t="s">
        <v>692</v>
      </c>
      <c r="F4474" s="3">
        <f t="shared" si="391"/>
        <v>45359</v>
      </c>
      <c r="G4474" s="4">
        <f t="shared" si="392"/>
        <v>3</v>
      </c>
      <c r="H4474" s="4">
        <f t="shared" si="393"/>
        <v>2024</v>
      </c>
      <c r="I4474" s="2" t="s">
        <v>4</v>
      </c>
      <c r="J4474" s="2" t="s">
        <v>5266</v>
      </c>
      <c r="K4474" s="2" t="s">
        <v>329</v>
      </c>
      <c r="L4474" s="2" t="s">
        <v>330</v>
      </c>
      <c r="M4474" s="2" t="s">
        <v>119</v>
      </c>
      <c r="N4474" s="4" t="str">
        <f t="shared" si="394"/>
        <v>TON</v>
      </c>
      <c r="O4474" s="5">
        <v>10.0075</v>
      </c>
    </row>
    <row r="4475" spans="2:15" x14ac:dyDescent="0.25">
      <c r="B4475" s="1" t="s">
        <v>1520</v>
      </c>
      <c r="C4475" s="2" t="s">
        <v>196</v>
      </c>
      <c r="D4475" s="2" t="s">
        <v>276</v>
      </c>
      <c r="E4475" s="2" t="s">
        <v>692</v>
      </c>
      <c r="F4475" s="3">
        <f t="shared" si="391"/>
        <v>45359</v>
      </c>
      <c r="G4475" s="4">
        <f t="shared" si="392"/>
        <v>3</v>
      </c>
      <c r="H4475" s="4">
        <f t="shared" si="393"/>
        <v>2024</v>
      </c>
      <c r="I4475" s="2" t="s">
        <v>4</v>
      </c>
      <c r="J4475" s="2" t="s">
        <v>5266</v>
      </c>
      <c r="K4475" s="2" t="s">
        <v>3726</v>
      </c>
      <c r="L4475" s="2" t="s">
        <v>3727</v>
      </c>
      <c r="M4475" s="2" t="s">
        <v>145</v>
      </c>
      <c r="N4475" s="4" t="str">
        <f t="shared" si="394"/>
        <v>GAL</v>
      </c>
      <c r="O4475" s="5">
        <v>3.75</v>
      </c>
    </row>
    <row r="4476" spans="2:15" x14ac:dyDescent="0.25">
      <c r="B4476" s="1" t="s">
        <v>1520</v>
      </c>
      <c r="C4476" s="2" t="s">
        <v>196</v>
      </c>
      <c r="D4476" s="2" t="s">
        <v>458</v>
      </c>
      <c r="E4476" s="2" t="s">
        <v>2868</v>
      </c>
      <c r="F4476" s="3">
        <f t="shared" si="391"/>
        <v>45359</v>
      </c>
      <c r="G4476" s="4">
        <f t="shared" si="392"/>
        <v>3</v>
      </c>
      <c r="H4476" s="4">
        <f t="shared" si="393"/>
        <v>2024</v>
      </c>
      <c r="I4476" s="2" t="s">
        <v>4</v>
      </c>
      <c r="J4476" s="2" t="s">
        <v>5267</v>
      </c>
      <c r="K4476" s="2" t="s">
        <v>122</v>
      </c>
      <c r="L4476" s="2" t="s">
        <v>123</v>
      </c>
      <c r="M4476" s="2" t="s">
        <v>119</v>
      </c>
      <c r="N4476" s="4" t="str">
        <f t="shared" si="394"/>
        <v>TON</v>
      </c>
      <c r="O4476" s="5">
        <v>5.01</v>
      </c>
    </row>
    <row r="4477" spans="2:15" x14ac:dyDescent="0.25">
      <c r="B4477" s="1" t="s">
        <v>1520</v>
      </c>
      <c r="C4477" s="2" t="s">
        <v>196</v>
      </c>
      <c r="D4477" s="2" t="s">
        <v>197</v>
      </c>
      <c r="E4477" s="2" t="s">
        <v>198</v>
      </c>
      <c r="F4477" s="3">
        <f t="shared" si="391"/>
        <v>45359</v>
      </c>
      <c r="G4477" s="4">
        <f t="shared" si="392"/>
        <v>3</v>
      </c>
      <c r="H4477" s="4">
        <f t="shared" si="393"/>
        <v>2024</v>
      </c>
      <c r="I4477" s="2" t="s">
        <v>4</v>
      </c>
      <c r="J4477" s="2" t="s">
        <v>5268</v>
      </c>
      <c r="K4477" s="2" t="s">
        <v>307</v>
      </c>
      <c r="L4477" s="2" t="s">
        <v>308</v>
      </c>
      <c r="M4477" s="2" t="s">
        <v>119</v>
      </c>
      <c r="N4477" s="4" t="str">
        <f t="shared" si="394"/>
        <v>TON</v>
      </c>
      <c r="O4477" s="5">
        <v>3.98</v>
      </c>
    </row>
    <row r="4478" spans="2:15" x14ac:dyDescent="0.25">
      <c r="B4478" s="1" t="s">
        <v>1520</v>
      </c>
      <c r="C4478" s="2" t="s">
        <v>196</v>
      </c>
      <c r="D4478" s="2" t="s">
        <v>207</v>
      </c>
      <c r="E4478" s="2" t="s">
        <v>208</v>
      </c>
      <c r="F4478" s="3">
        <f t="shared" si="391"/>
        <v>45359</v>
      </c>
      <c r="G4478" s="4">
        <f t="shared" si="392"/>
        <v>3</v>
      </c>
      <c r="H4478" s="4">
        <f t="shared" si="393"/>
        <v>2024</v>
      </c>
      <c r="I4478" s="2" t="s">
        <v>4</v>
      </c>
      <c r="J4478" s="2" t="s">
        <v>5269</v>
      </c>
      <c r="K4478" s="2" t="s">
        <v>236</v>
      </c>
      <c r="L4478" s="2" t="s">
        <v>237</v>
      </c>
      <c r="M4478" s="2" t="s">
        <v>119</v>
      </c>
      <c r="N4478" s="4" t="str">
        <f t="shared" si="394"/>
        <v>TON</v>
      </c>
      <c r="O4478" s="5">
        <v>5.0125000000000002</v>
      </c>
    </row>
    <row r="4479" spans="2:15" x14ac:dyDescent="0.25">
      <c r="B4479" s="1" t="s">
        <v>1520</v>
      </c>
      <c r="C4479" s="2" t="s">
        <v>196</v>
      </c>
      <c r="D4479" s="2" t="s">
        <v>207</v>
      </c>
      <c r="E4479" s="2" t="s">
        <v>208</v>
      </c>
      <c r="F4479" s="3">
        <f t="shared" si="391"/>
        <v>45359</v>
      </c>
      <c r="G4479" s="4">
        <f t="shared" si="392"/>
        <v>3</v>
      </c>
      <c r="H4479" s="4">
        <f t="shared" si="393"/>
        <v>2024</v>
      </c>
      <c r="I4479" s="2" t="s">
        <v>4</v>
      </c>
      <c r="J4479" s="2" t="s">
        <v>5270</v>
      </c>
      <c r="K4479" s="2" t="s">
        <v>205</v>
      </c>
      <c r="L4479" s="2" t="s">
        <v>206</v>
      </c>
      <c r="M4479" s="2" t="s">
        <v>119</v>
      </c>
      <c r="N4479" s="4" t="str">
        <f t="shared" si="394"/>
        <v>TON</v>
      </c>
      <c r="O4479" s="5">
        <v>3.7574999999999998</v>
      </c>
    </row>
    <row r="4480" spans="2:15" x14ac:dyDescent="0.25">
      <c r="B4480" s="1" t="s">
        <v>1520</v>
      </c>
      <c r="C4480" s="2" t="s">
        <v>196</v>
      </c>
      <c r="D4480" s="2" t="s">
        <v>114</v>
      </c>
      <c r="E4480" s="2" t="s">
        <v>115</v>
      </c>
      <c r="F4480" s="3">
        <f>DATE(2024,3,9)</f>
        <v>45360</v>
      </c>
      <c r="G4480" s="4">
        <f t="shared" si="392"/>
        <v>3</v>
      </c>
      <c r="H4480" s="4">
        <f t="shared" si="393"/>
        <v>2024</v>
      </c>
      <c r="I4480" s="2" t="s">
        <v>4</v>
      </c>
      <c r="J4480" s="2" t="s">
        <v>5271</v>
      </c>
      <c r="K4480" s="2" t="s">
        <v>117</v>
      </c>
      <c r="L4480" s="2" t="s">
        <v>118</v>
      </c>
      <c r="M4480" s="2" t="s">
        <v>119</v>
      </c>
      <c r="N4480" s="4" t="str">
        <f t="shared" si="394"/>
        <v>TON</v>
      </c>
      <c r="O4480" s="5">
        <v>12.5</v>
      </c>
    </row>
    <row r="4481" spans="2:15" x14ac:dyDescent="0.25">
      <c r="B4481" s="1" t="s">
        <v>1520</v>
      </c>
      <c r="C4481" s="2" t="s">
        <v>196</v>
      </c>
      <c r="D4481" s="2" t="s">
        <v>475</v>
      </c>
      <c r="E4481" s="2" t="s">
        <v>476</v>
      </c>
      <c r="F4481" s="3">
        <f>DATE(2024,3,8)</f>
        <v>45359</v>
      </c>
      <c r="G4481" s="4">
        <f t="shared" si="392"/>
        <v>3</v>
      </c>
      <c r="H4481" s="4">
        <f t="shared" si="393"/>
        <v>2024</v>
      </c>
      <c r="I4481" s="2" t="s">
        <v>4</v>
      </c>
      <c r="J4481" s="2" t="s">
        <v>5272</v>
      </c>
      <c r="K4481" s="2" t="s">
        <v>478</v>
      </c>
      <c r="L4481" s="2" t="s">
        <v>479</v>
      </c>
      <c r="M4481" s="2" t="s">
        <v>119</v>
      </c>
      <c r="N4481" s="4" t="str">
        <f t="shared" si="394"/>
        <v>TON</v>
      </c>
      <c r="O4481" s="5">
        <v>15.015000000000001</v>
      </c>
    </row>
    <row r="4482" spans="2:15" x14ac:dyDescent="0.25">
      <c r="B4482" s="1" t="s">
        <v>1520</v>
      </c>
      <c r="C4482" s="2" t="s">
        <v>196</v>
      </c>
      <c r="D4482" s="2" t="s">
        <v>374</v>
      </c>
      <c r="E4482" s="2" t="s">
        <v>4935</v>
      </c>
      <c r="F4482" s="3">
        <f t="shared" ref="F4482:F4488" si="395">DATE(2024,3,11)</f>
        <v>45362</v>
      </c>
      <c r="G4482" s="4">
        <f t="shared" si="392"/>
        <v>3</v>
      </c>
      <c r="H4482" s="4">
        <f t="shared" si="393"/>
        <v>2024</v>
      </c>
      <c r="I4482" s="2" t="s">
        <v>4</v>
      </c>
      <c r="J4482" s="2" t="s">
        <v>5273</v>
      </c>
      <c r="K4482" s="2" t="s">
        <v>329</v>
      </c>
      <c r="L4482" s="2" t="s">
        <v>330</v>
      </c>
      <c r="M4482" s="2" t="s">
        <v>119</v>
      </c>
      <c r="N4482" s="4" t="str">
        <f t="shared" si="394"/>
        <v>TON</v>
      </c>
      <c r="O4482" s="5">
        <v>15.0175</v>
      </c>
    </row>
    <row r="4483" spans="2:15" x14ac:dyDescent="0.25">
      <c r="B4483" s="1" t="s">
        <v>1520</v>
      </c>
      <c r="C4483" s="2" t="s">
        <v>196</v>
      </c>
      <c r="D4483" s="2" t="s">
        <v>248</v>
      </c>
      <c r="E4483" s="2" t="s">
        <v>249</v>
      </c>
      <c r="F4483" s="3">
        <f t="shared" si="395"/>
        <v>45362</v>
      </c>
      <c r="G4483" s="4">
        <f t="shared" si="392"/>
        <v>3</v>
      </c>
      <c r="H4483" s="4">
        <f t="shared" si="393"/>
        <v>2024</v>
      </c>
      <c r="I4483" s="2" t="s">
        <v>4</v>
      </c>
      <c r="J4483" s="2" t="s">
        <v>5274</v>
      </c>
      <c r="K4483" s="2" t="s">
        <v>4911</v>
      </c>
      <c r="L4483" s="2" t="s">
        <v>4912</v>
      </c>
      <c r="M4483" s="2" t="s">
        <v>119</v>
      </c>
      <c r="N4483" s="4" t="str">
        <f t="shared" si="394"/>
        <v>TON</v>
      </c>
      <c r="O4483" s="5">
        <v>12.5</v>
      </c>
    </row>
    <row r="4484" spans="2:15" x14ac:dyDescent="0.25">
      <c r="B4484" s="1" t="s">
        <v>1520</v>
      </c>
      <c r="C4484" s="2" t="s">
        <v>196</v>
      </c>
      <c r="D4484" s="2" t="s">
        <v>387</v>
      </c>
      <c r="E4484" s="2" t="s">
        <v>388</v>
      </c>
      <c r="F4484" s="3">
        <f t="shared" si="395"/>
        <v>45362</v>
      </c>
      <c r="G4484" s="4">
        <f t="shared" si="392"/>
        <v>3</v>
      </c>
      <c r="H4484" s="4">
        <f t="shared" si="393"/>
        <v>2024</v>
      </c>
      <c r="I4484" s="2" t="s">
        <v>4</v>
      </c>
      <c r="J4484" s="2" t="s">
        <v>5275</v>
      </c>
      <c r="K4484" s="2" t="s">
        <v>213</v>
      </c>
      <c r="L4484" s="2" t="s">
        <v>214</v>
      </c>
      <c r="M4484" s="2" t="s">
        <v>119</v>
      </c>
      <c r="N4484" s="4" t="str">
        <f t="shared" si="394"/>
        <v>TON</v>
      </c>
      <c r="O4484" s="5">
        <v>4.9950000000000001</v>
      </c>
    </row>
    <row r="4485" spans="2:15" x14ac:dyDescent="0.25">
      <c r="B4485" s="1" t="s">
        <v>1520</v>
      </c>
      <c r="C4485" s="2" t="s">
        <v>196</v>
      </c>
      <c r="D4485" s="2" t="s">
        <v>387</v>
      </c>
      <c r="E4485" s="2" t="s">
        <v>388</v>
      </c>
      <c r="F4485" s="3">
        <f t="shared" si="395"/>
        <v>45362</v>
      </c>
      <c r="G4485" s="4">
        <f t="shared" si="392"/>
        <v>3</v>
      </c>
      <c r="H4485" s="4">
        <f t="shared" si="393"/>
        <v>2024</v>
      </c>
      <c r="I4485" s="2" t="s">
        <v>4</v>
      </c>
      <c r="J4485" s="2" t="s">
        <v>5275</v>
      </c>
      <c r="K4485" s="2" t="s">
        <v>3726</v>
      </c>
      <c r="L4485" s="2" t="s">
        <v>3727</v>
      </c>
      <c r="M4485" s="2" t="s">
        <v>145</v>
      </c>
      <c r="N4485" s="4" t="str">
        <f t="shared" si="394"/>
        <v>GAL</v>
      </c>
      <c r="O4485" s="5">
        <v>1.875</v>
      </c>
    </row>
    <row r="4486" spans="2:15" x14ac:dyDescent="0.25">
      <c r="B4486" s="1" t="s">
        <v>1520</v>
      </c>
      <c r="C4486" s="2" t="s">
        <v>196</v>
      </c>
      <c r="D4486" s="2" t="s">
        <v>280</v>
      </c>
      <c r="E4486" s="2" t="s">
        <v>1308</v>
      </c>
      <c r="F4486" s="3">
        <f t="shared" si="395"/>
        <v>45362</v>
      </c>
      <c r="G4486" s="4">
        <f t="shared" si="392"/>
        <v>3</v>
      </c>
      <c r="H4486" s="4">
        <f t="shared" si="393"/>
        <v>2024</v>
      </c>
      <c r="I4486" s="2" t="s">
        <v>4</v>
      </c>
      <c r="J4486" s="2" t="s">
        <v>5276</v>
      </c>
      <c r="K4486" s="2" t="s">
        <v>117</v>
      </c>
      <c r="L4486" s="2" t="s">
        <v>118</v>
      </c>
      <c r="M4486" s="2" t="s">
        <v>119</v>
      </c>
      <c r="N4486" s="4" t="str">
        <f t="shared" si="394"/>
        <v>TON</v>
      </c>
      <c r="O4486" s="5">
        <v>10</v>
      </c>
    </row>
    <row r="4487" spans="2:15" x14ac:dyDescent="0.25">
      <c r="B4487" s="1" t="s">
        <v>1520</v>
      </c>
      <c r="C4487" s="2" t="s">
        <v>196</v>
      </c>
      <c r="D4487" s="2" t="s">
        <v>321</v>
      </c>
      <c r="E4487" s="2" t="s">
        <v>697</v>
      </c>
      <c r="F4487" s="3">
        <f t="shared" si="395"/>
        <v>45362</v>
      </c>
      <c r="G4487" s="4">
        <f t="shared" si="392"/>
        <v>3</v>
      </c>
      <c r="H4487" s="4">
        <f t="shared" si="393"/>
        <v>2024</v>
      </c>
      <c r="I4487" s="2" t="s">
        <v>4</v>
      </c>
      <c r="J4487" s="2" t="s">
        <v>5277</v>
      </c>
      <c r="K4487" s="2" t="s">
        <v>394</v>
      </c>
      <c r="L4487" s="2" t="s">
        <v>395</v>
      </c>
      <c r="M4487" s="2" t="s">
        <v>119</v>
      </c>
      <c r="N4487" s="4" t="str">
        <f t="shared" si="394"/>
        <v>TON</v>
      </c>
      <c r="O4487" s="5">
        <v>7.5049999999999999</v>
      </c>
    </row>
    <row r="4488" spans="2:15" x14ac:dyDescent="0.25">
      <c r="B4488" s="1" t="s">
        <v>1520</v>
      </c>
      <c r="C4488" s="2" t="s">
        <v>196</v>
      </c>
      <c r="D4488" s="2" t="s">
        <v>321</v>
      </c>
      <c r="E4488" s="2" t="s">
        <v>353</v>
      </c>
      <c r="F4488" s="3">
        <f t="shared" si="395"/>
        <v>45362</v>
      </c>
      <c r="G4488" s="4">
        <f t="shared" si="392"/>
        <v>3</v>
      </c>
      <c r="H4488" s="4">
        <f t="shared" si="393"/>
        <v>2024</v>
      </c>
      <c r="I4488" s="2" t="s">
        <v>4</v>
      </c>
      <c r="J4488" s="2" t="s">
        <v>5278</v>
      </c>
      <c r="K4488" s="2" t="s">
        <v>394</v>
      </c>
      <c r="L4488" s="2" t="s">
        <v>395</v>
      </c>
      <c r="M4488" s="2" t="s">
        <v>119</v>
      </c>
      <c r="N4488" s="4" t="str">
        <f t="shared" si="394"/>
        <v>TON</v>
      </c>
      <c r="O4488" s="5">
        <v>10.005000000000001</v>
      </c>
    </row>
    <row r="4489" spans="2:15" x14ac:dyDescent="0.25">
      <c r="B4489" s="1" t="s">
        <v>1520</v>
      </c>
      <c r="C4489" s="2" t="s">
        <v>196</v>
      </c>
      <c r="D4489" s="2" t="s">
        <v>270</v>
      </c>
      <c r="E4489" s="2" t="s">
        <v>271</v>
      </c>
      <c r="F4489" s="3">
        <f>DATE(2024,3,12)</f>
        <v>45363</v>
      </c>
      <c r="G4489" s="4">
        <f t="shared" si="392"/>
        <v>3</v>
      </c>
      <c r="H4489" s="4">
        <f t="shared" si="393"/>
        <v>2024</v>
      </c>
      <c r="I4489" s="2" t="s">
        <v>4</v>
      </c>
      <c r="J4489" s="2" t="s">
        <v>5279</v>
      </c>
      <c r="K4489" s="2" t="s">
        <v>205</v>
      </c>
      <c r="L4489" s="2" t="s">
        <v>206</v>
      </c>
      <c r="M4489" s="2" t="s">
        <v>119</v>
      </c>
      <c r="N4489" s="4" t="str">
        <f t="shared" si="394"/>
        <v>TON</v>
      </c>
      <c r="O4489" s="5">
        <v>1.25</v>
      </c>
    </row>
    <row r="4490" spans="2:15" x14ac:dyDescent="0.25">
      <c r="B4490" s="1" t="s">
        <v>1520</v>
      </c>
      <c r="C4490" s="2" t="s">
        <v>196</v>
      </c>
      <c r="D4490" s="2" t="s">
        <v>280</v>
      </c>
      <c r="E4490" s="2" t="s">
        <v>699</v>
      </c>
      <c r="F4490" s="3">
        <f>DATE(2024,3,11)</f>
        <v>45362</v>
      </c>
      <c r="G4490" s="4">
        <f t="shared" si="392"/>
        <v>3</v>
      </c>
      <c r="H4490" s="4">
        <f t="shared" si="393"/>
        <v>2024</v>
      </c>
      <c r="I4490" s="2" t="s">
        <v>4</v>
      </c>
      <c r="J4490" s="2" t="s">
        <v>5280</v>
      </c>
      <c r="K4490" s="2" t="s">
        <v>117</v>
      </c>
      <c r="L4490" s="2" t="s">
        <v>118</v>
      </c>
      <c r="M4490" s="2" t="s">
        <v>119</v>
      </c>
      <c r="N4490" s="4" t="str">
        <f t="shared" si="394"/>
        <v>TON</v>
      </c>
      <c r="O4490" s="5">
        <v>10.012499999999999</v>
      </c>
    </row>
    <row r="4491" spans="2:15" x14ac:dyDescent="0.25">
      <c r="B4491" s="1" t="s">
        <v>1520</v>
      </c>
      <c r="C4491" s="2" t="s">
        <v>196</v>
      </c>
      <c r="D4491" s="2" t="s">
        <v>3761</v>
      </c>
      <c r="E4491" s="2" t="s">
        <v>3762</v>
      </c>
      <c r="F4491" s="3">
        <f>DATE(2024,3,11)</f>
        <v>45362</v>
      </c>
      <c r="G4491" s="4">
        <f t="shared" si="392"/>
        <v>3</v>
      </c>
      <c r="H4491" s="4">
        <f t="shared" si="393"/>
        <v>2024</v>
      </c>
      <c r="I4491" s="2" t="s">
        <v>4</v>
      </c>
      <c r="J4491" s="2" t="s">
        <v>5281</v>
      </c>
      <c r="K4491" s="2" t="s">
        <v>329</v>
      </c>
      <c r="L4491" s="2" t="s">
        <v>330</v>
      </c>
      <c r="M4491" s="2" t="s">
        <v>119</v>
      </c>
      <c r="N4491" s="4" t="str">
        <f t="shared" si="394"/>
        <v>TON</v>
      </c>
      <c r="O4491" s="5">
        <v>7.5</v>
      </c>
    </row>
    <row r="4492" spans="2:15" x14ac:dyDescent="0.25">
      <c r="B4492" s="1" t="s">
        <v>1520</v>
      </c>
      <c r="C4492" s="2" t="s">
        <v>196</v>
      </c>
      <c r="D4492" s="2" t="s">
        <v>215</v>
      </c>
      <c r="E4492" s="2" t="s">
        <v>313</v>
      </c>
      <c r="F4492" s="3">
        <f>DATE(2024,3,11)</f>
        <v>45362</v>
      </c>
      <c r="G4492" s="4">
        <f t="shared" si="392"/>
        <v>3</v>
      </c>
      <c r="H4492" s="4">
        <f t="shared" si="393"/>
        <v>2024</v>
      </c>
      <c r="I4492" s="2" t="s">
        <v>4</v>
      </c>
      <c r="J4492" s="2" t="s">
        <v>5282</v>
      </c>
      <c r="K4492" s="2" t="s">
        <v>205</v>
      </c>
      <c r="L4492" s="2" t="s">
        <v>206</v>
      </c>
      <c r="M4492" s="2" t="s">
        <v>119</v>
      </c>
      <c r="N4492" s="4" t="str">
        <f t="shared" si="394"/>
        <v>TON</v>
      </c>
      <c r="O4492" s="5">
        <v>4.0025000000000004</v>
      </c>
    </row>
    <row r="4493" spans="2:15" x14ac:dyDescent="0.25">
      <c r="B4493" s="1" t="s">
        <v>1520</v>
      </c>
      <c r="C4493" s="2" t="s">
        <v>196</v>
      </c>
      <c r="D4493" s="2" t="s">
        <v>5283</v>
      </c>
      <c r="E4493" s="2" t="s">
        <v>102</v>
      </c>
      <c r="F4493" s="3">
        <f t="shared" ref="F4493:F4501" si="396">DATE(2024,3,12)</f>
        <v>45363</v>
      </c>
      <c r="G4493" s="4">
        <f t="shared" si="392"/>
        <v>3</v>
      </c>
      <c r="H4493" s="4">
        <f t="shared" si="393"/>
        <v>2024</v>
      </c>
      <c r="I4493" s="2" t="s">
        <v>4</v>
      </c>
      <c r="J4493" s="2" t="s">
        <v>5284</v>
      </c>
      <c r="K4493" s="2" t="s">
        <v>158</v>
      </c>
      <c r="L4493" s="2" t="s">
        <v>159</v>
      </c>
      <c r="M4493" s="2" t="s">
        <v>160</v>
      </c>
      <c r="N4493" s="4" t="str">
        <f t="shared" si="394"/>
        <v>GAL</v>
      </c>
      <c r="O4493" s="5">
        <v>10</v>
      </c>
    </row>
    <row r="4494" spans="2:15" x14ac:dyDescent="0.25">
      <c r="B4494" s="1" t="s">
        <v>1520</v>
      </c>
      <c r="C4494" s="2" t="s">
        <v>196</v>
      </c>
      <c r="D4494" s="2" t="s">
        <v>679</v>
      </c>
      <c r="E4494" s="2" t="s">
        <v>680</v>
      </c>
      <c r="F4494" s="3">
        <f t="shared" si="396"/>
        <v>45363</v>
      </c>
      <c r="G4494" s="4">
        <f t="shared" si="392"/>
        <v>3</v>
      </c>
      <c r="H4494" s="4">
        <f t="shared" si="393"/>
        <v>2024</v>
      </c>
      <c r="I4494" s="2" t="s">
        <v>4</v>
      </c>
      <c r="J4494" s="2" t="s">
        <v>5285</v>
      </c>
      <c r="K4494" s="2" t="s">
        <v>329</v>
      </c>
      <c r="L4494" s="2" t="s">
        <v>330</v>
      </c>
      <c r="M4494" s="2" t="s">
        <v>119</v>
      </c>
      <c r="N4494" s="4" t="str">
        <f t="shared" si="394"/>
        <v>TON</v>
      </c>
      <c r="O4494" s="5">
        <v>2.0024999999999999</v>
      </c>
    </row>
    <row r="4495" spans="2:15" x14ac:dyDescent="0.25">
      <c r="B4495" s="1" t="s">
        <v>1520</v>
      </c>
      <c r="C4495" s="2" t="s">
        <v>196</v>
      </c>
      <c r="D4495" s="2" t="s">
        <v>679</v>
      </c>
      <c r="E4495" s="2" t="s">
        <v>680</v>
      </c>
      <c r="F4495" s="3">
        <f t="shared" si="396"/>
        <v>45363</v>
      </c>
      <c r="G4495" s="4">
        <f t="shared" si="392"/>
        <v>3</v>
      </c>
      <c r="H4495" s="4">
        <f t="shared" si="393"/>
        <v>2024</v>
      </c>
      <c r="I4495" s="2" t="s">
        <v>4</v>
      </c>
      <c r="J4495" s="2" t="s">
        <v>5285</v>
      </c>
      <c r="K4495" s="2" t="s">
        <v>3726</v>
      </c>
      <c r="L4495" s="2" t="s">
        <v>3727</v>
      </c>
      <c r="M4495" s="2" t="s">
        <v>145</v>
      </c>
      <c r="N4495" s="4" t="str">
        <f t="shared" si="394"/>
        <v>GAL</v>
      </c>
      <c r="O4495" s="5">
        <v>0.75</v>
      </c>
    </row>
    <row r="4496" spans="2:15" x14ac:dyDescent="0.25">
      <c r="B4496" s="1" t="s">
        <v>1520</v>
      </c>
      <c r="C4496" s="2" t="s">
        <v>196</v>
      </c>
      <c r="D4496" s="2" t="s">
        <v>224</v>
      </c>
      <c r="E4496" s="2" t="s">
        <v>361</v>
      </c>
      <c r="F4496" s="3">
        <f t="shared" si="396"/>
        <v>45363</v>
      </c>
      <c r="G4496" s="4">
        <f t="shared" si="392"/>
        <v>3</v>
      </c>
      <c r="H4496" s="4">
        <f t="shared" si="393"/>
        <v>2024</v>
      </c>
      <c r="I4496" s="2" t="s">
        <v>4</v>
      </c>
      <c r="J4496" s="2" t="s">
        <v>5286</v>
      </c>
      <c r="K4496" s="2" t="s">
        <v>205</v>
      </c>
      <c r="L4496" s="2" t="s">
        <v>206</v>
      </c>
      <c r="M4496" s="2" t="s">
        <v>119</v>
      </c>
      <c r="N4496" s="4" t="str">
        <f t="shared" si="394"/>
        <v>TON</v>
      </c>
      <c r="O4496" s="5">
        <v>10.0075</v>
      </c>
    </row>
    <row r="4497" spans="2:15" x14ac:dyDescent="0.25">
      <c r="B4497" s="1" t="s">
        <v>645</v>
      </c>
      <c r="C4497" s="2" t="s">
        <v>196</v>
      </c>
      <c r="D4497" s="2" t="s">
        <v>790</v>
      </c>
      <c r="E4497" s="2" t="s">
        <v>1205</v>
      </c>
      <c r="F4497" s="3">
        <f t="shared" si="396"/>
        <v>45363</v>
      </c>
      <c r="G4497" s="4">
        <f t="shared" si="392"/>
        <v>3</v>
      </c>
      <c r="H4497" s="4">
        <f t="shared" si="393"/>
        <v>2024</v>
      </c>
      <c r="I4497" s="2" t="s">
        <v>4</v>
      </c>
      <c r="J4497" s="2" t="s">
        <v>5287</v>
      </c>
      <c r="K4497" s="2" t="s">
        <v>122</v>
      </c>
      <c r="L4497" s="2" t="s">
        <v>123</v>
      </c>
      <c r="M4497" s="2" t="s">
        <v>119</v>
      </c>
      <c r="N4497" s="4" t="str">
        <f t="shared" si="394"/>
        <v>TON</v>
      </c>
      <c r="O4497" s="5">
        <v>2.9824999999999999</v>
      </c>
    </row>
    <row r="4498" spans="2:15" x14ac:dyDescent="0.25">
      <c r="B4498" s="1" t="s">
        <v>1520</v>
      </c>
      <c r="C4498" s="2" t="s">
        <v>196</v>
      </c>
      <c r="D4498" s="2" t="s">
        <v>303</v>
      </c>
      <c r="E4498" s="2" t="s">
        <v>942</v>
      </c>
      <c r="F4498" s="3">
        <f t="shared" si="396"/>
        <v>45363</v>
      </c>
      <c r="G4498" s="4">
        <f t="shared" si="392"/>
        <v>3</v>
      </c>
      <c r="H4498" s="4">
        <f t="shared" si="393"/>
        <v>2024</v>
      </c>
      <c r="I4498" s="2" t="s">
        <v>4</v>
      </c>
      <c r="J4498" s="2" t="s">
        <v>5288</v>
      </c>
      <c r="K4498" s="2" t="s">
        <v>394</v>
      </c>
      <c r="L4498" s="2" t="s">
        <v>395</v>
      </c>
      <c r="M4498" s="2" t="s">
        <v>119</v>
      </c>
      <c r="N4498" s="4" t="str">
        <f t="shared" si="394"/>
        <v>TON</v>
      </c>
      <c r="O4498" s="5">
        <v>2.5099999999999998</v>
      </c>
    </row>
    <row r="4499" spans="2:15" x14ac:dyDescent="0.25">
      <c r="B4499" s="1" t="s">
        <v>1520</v>
      </c>
      <c r="C4499" s="2" t="s">
        <v>196</v>
      </c>
      <c r="D4499" s="2" t="s">
        <v>303</v>
      </c>
      <c r="E4499" s="2" t="s">
        <v>942</v>
      </c>
      <c r="F4499" s="3">
        <f t="shared" si="396"/>
        <v>45363</v>
      </c>
      <c r="G4499" s="4">
        <f t="shared" si="392"/>
        <v>3</v>
      </c>
      <c r="H4499" s="4">
        <f t="shared" si="393"/>
        <v>2024</v>
      </c>
      <c r="I4499" s="2" t="s">
        <v>4</v>
      </c>
      <c r="J4499" s="2" t="s">
        <v>5288</v>
      </c>
      <c r="K4499" s="2" t="s">
        <v>3726</v>
      </c>
      <c r="L4499" s="2" t="s">
        <v>3727</v>
      </c>
      <c r="M4499" s="2" t="s">
        <v>145</v>
      </c>
      <c r="N4499" s="4" t="str">
        <f t="shared" si="394"/>
        <v>GAL</v>
      </c>
      <c r="O4499" s="5">
        <v>0.9375</v>
      </c>
    </row>
    <row r="4500" spans="2:15" x14ac:dyDescent="0.25">
      <c r="B4500" s="1" t="s">
        <v>1520</v>
      </c>
      <c r="C4500" s="2" t="s">
        <v>196</v>
      </c>
      <c r="D4500" s="2" t="s">
        <v>114</v>
      </c>
      <c r="E4500" s="2" t="s">
        <v>402</v>
      </c>
      <c r="F4500" s="3">
        <f t="shared" si="396"/>
        <v>45363</v>
      </c>
      <c r="G4500" s="4">
        <f t="shared" si="392"/>
        <v>3</v>
      </c>
      <c r="H4500" s="4">
        <f t="shared" si="393"/>
        <v>2024</v>
      </c>
      <c r="I4500" s="2" t="s">
        <v>4</v>
      </c>
      <c r="J4500" s="2" t="s">
        <v>5289</v>
      </c>
      <c r="K4500" s="2" t="s">
        <v>117</v>
      </c>
      <c r="L4500" s="2" t="s">
        <v>118</v>
      </c>
      <c r="M4500" s="2" t="s">
        <v>119</v>
      </c>
      <c r="N4500" s="4" t="str">
        <f t="shared" si="394"/>
        <v>TON</v>
      </c>
      <c r="O4500" s="5">
        <v>3.4950000000000001</v>
      </c>
    </row>
    <row r="4501" spans="2:15" x14ac:dyDescent="0.25">
      <c r="B4501" s="1" t="s">
        <v>1520</v>
      </c>
      <c r="C4501" s="2" t="s">
        <v>196</v>
      </c>
      <c r="D4501" s="2" t="s">
        <v>114</v>
      </c>
      <c r="E4501" s="2" t="s">
        <v>5054</v>
      </c>
      <c r="F4501" s="3">
        <f t="shared" si="396"/>
        <v>45363</v>
      </c>
      <c r="G4501" s="4">
        <f t="shared" si="392"/>
        <v>3</v>
      </c>
      <c r="H4501" s="4">
        <f t="shared" si="393"/>
        <v>2024</v>
      </c>
      <c r="I4501" s="2" t="s">
        <v>4</v>
      </c>
      <c r="J4501" s="2" t="s">
        <v>5290</v>
      </c>
      <c r="K4501" s="2" t="s">
        <v>117</v>
      </c>
      <c r="L4501" s="2" t="s">
        <v>118</v>
      </c>
      <c r="M4501" s="2" t="s">
        <v>119</v>
      </c>
      <c r="N4501" s="4" t="str">
        <f t="shared" si="394"/>
        <v>TON</v>
      </c>
      <c r="O4501" s="5">
        <v>5.5</v>
      </c>
    </row>
    <row r="4502" spans="2:15" x14ac:dyDescent="0.25">
      <c r="B4502" s="1" t="s">
        <v>1520</v>
      </c>
      <c r="C4502" s="2" t="s">
        <v>196</v>
      </c>
      <c r="D4502" s="2" t="s">
        <v>276</v>
      </c>
      <c r="E4502" s="2" t="s">
        <v>277</v>
      </c>
      <c r="F4502" s="3">
        <f t="shared" ref="F4502:F4507" si="397">DATE(2024,3,13)</f>
        <v>45364</v>
      </c>
      <c r="G4502" s="4">
        <f t="shared" si="392"/>
        <v>3</v>
      </c>
      <c r="H4502" s="4">
        <f t="shared" si="393"/>
        <v>2024</v>
      </c>
      <c r="I4502" s="2" t="s">
        <v>4</v>
      </c>
      <c r="J4502" s="2" t="s">
        <v>5291</v>
      </c>
      <c r="K4502" s="2" t="s">
        <v>205</v>
      </c>
      <c r="L4502" s="2" t="s">
        <v>206</v>
      </c>
      <c r="M4502" s="2" t="s">
        <v>119</v>
      </c>
      <c r="N4502" s="4" t="str">
        <f t="shared" si="394"/>
        <v>TON</v>
      </c>
      <c r="O4502" s="5">
        <v>2</v>
      </c>
    </row>
    <row r="4503" spans="2:15" x14ac:dyDescent="0.25">
      <c r="B4503" s="1" t="s">
        <v>1520</v>
      </c>
      <c r="C4503" s="2" t="s">
        <v>196</v>
      </c>
      <c r="D4503" s="2" t="s">
        <v>265</v>
      </c>
      <c r="E4503" s="2" t="s">
        <v>266</v>
      </c>
      <c r="F4503" s="3">
        <f t="shared" si="397"/>
        <v>45364</v>
      </c>
      <c r="G4503" s="4">
        <f t="shared" si="392"/>
        <v>3</v>
      </c>
      <c r="H4503" s="4">
        <f t="shared" si="393"/>
        <v>2024</v>
      </c>
      <c r="I4503" s="2" t="s">
        <v>4</v>
      </c>
      <c r="J4503" s="2" t="s">
        <v>5292</v>
      </c>
      <c r="K4503" s="2" t="s">
        <v>268</v>
      </c>
      <c r="L4503" s="2" t="s">
        <v>269</v>
      </c>
      <c r="M4503" s="2" t="s">
        <v>119</v>
      </c>
      <c r="N4503" s="4" t="str">
        <f t="shared" si="394"/>
        <v>TON</v>
      </c>
      <c r="O4503" s="5">
        <v>0.3</v>
      </c>
    </row>
    <row r="4504" spans="2:15" x14ac:dyDescent="0.25">
      <c r="B4504" s="1" t="s">
        <v>1520</v>
      </c>
      <c r="C4504" s="2" t="s">
        <v>196</v>
      </c>
      <c r="D4504" s="2" t="s">
        <v>374</v>
      </c>
      <c r="E4504" s="2" t="s">
        <v>710</v>
      </c>
      <c r="F4504" s="3">
        <f t="shared" si="397"/>
        <v>45364</v>
      </c>
      <c r="G4504" s="4">
        <f t="shared" si="392"/>
        <v>3</v>
      </c>
      <c r="H4504" s="4">
        <f t="shared" si="393"/>
        <v>2024</v>
      </c>
      <c r="I4504" s="2" t="s">
        <v>4</v>
      </c>
      <c r="J4504" s="2" t="s">
        <v>5293</v>
      </c>
      <c r="K4504" s="2" t="s">
        <v>122</v>
      </c>
      <c r="L4504" s="2" t="s">
        <v>123</v>
      </c>
      <c r="M4504" s="2" t="s">
        <v>119</v>
      </c>
      <c r="N4504" s="4" t="str">
        <f t="shared" si="394"/>
        <v>TON</v>
      </c>
      <c r="O4504" s="5">
        <v>2.9950000000000001</v>
      </c>
    </row>
    <row r="4505" spans="2:15" x14ac:dyDescent="0.25">
      <c r="B4505" s="1" t="s">
        <v>1520</v>
      </c>
      <c r="C4505" s="2" t="s">
        <v>196</v>
      </c>
      <c r="D4505" s="2" t="s">
        <v>210</v>
      </c>
      <c r="E4505" s="2" t="s">
        <v>827</v>
      </c>
      <c r="F4505" s="3">
        <f t="shared" si="397"/>
        <v>45364</v>
      </c>
      <c r="G4505" s="4">
        <f t="shared" si="392"/>
        <v>3</v>
      </c>
      <c r="H4505" s="4">
        <f t="shared" si="393"/>
        <v>2024</v>
      </c>
      <c r="I4505" s="2" t="s">
        <v>4</v>
      </c>
      <c r="J4505" s="2" t="s">
        <v>5294</v>
      </c>
      <c r="K4505" s="2" t="s">
        <v>351</v>
      </c>
      <c r="L4505" s="2" t="s">
        <v>352</v>
      </c>
      <c r="M4505" s="2" t="s">
        <v>119</v>
      </c>
      <c r="N4505" s="4" t="str">
        <f t="shared" si="394"/>
        <v>TON</v>
      </c>
      <c r="O4505" s="5">
        <v>15</v>
      </c>
    </row>
    <row r="4506" spans="2:15" x14ac:dyDescent="0.25">
      <c r="B4506" s="1" t="s">
        <v>1520</v>
      </c>
      <c r="C4506" s="2" t="s">
        <v>196</v>
      </c>
      <c r="D4506" s="2" t="s">
        <v>418</v>
      </c>
      <c r="E4506" s="2" t="s">
        <v>419</v>
      </c>
      <c r="F4506" s="3">
        <f t="shared" si="397"/>
        <v>45364</v>
      </c>
      <c r="G4506" s="4">
        <f t="shared" si="392"/>
        <v>3</v>
      </c>
      <c r="H4506" s="4">
        <f t="shared" si="393"/>
        <v>2024</v>
      </c>
      <c r="I4506" s="2" t="s">
        <v>4</v>
      </c>
      <c r="J4506" s="2" t="s">
        <v>5295</v>
      </c>
      <c r="K4506" s="2" t="s">
        <v>205</v>
      </c>
      <c r="L4506" s="2" t="s">
        <v>206</v>
      </c>
      <c r="M4506" s="2" t="s">
        <v>119</v>
      </c>
      <c r="N4506" s="4" t="str">
        <f t="shared" si="394"/>
        <v>TON</v>
      </c>
      <c r="O4506" s="5">
        <v>10.02</v>
      </c>
    </row>
    <row r="4507" spans="2:15" x14ac:dyDescent="0.25">
      <c r="B4507" s="1" t="s">
        <v>1520</v>
      </c>
      <c r="C4507" s="2" t="s">
        <v>196</v>
      </c>
      <c r="D4507" s="2" t="s">
        <v>227</v>
      </c>
      <c r="E4507" s="2" t="s">
        <v>357</v>
      </c>
      <c r="F4507" s="3">
        <f t="shared" si="397"/>
        <v>45364</v>
      </c>
      <c r="G4507" s="4">
        <f t="shared" si="392"/>
        <v>3</v>
      </c>
      <c r="H4507" s="4">
        <f t="shared" si="393"/>
        <v>2024</v>
      </c>
      <c r="I4507" s="2" t="s">
        <v>4</v>
      </c>
      <c r="J4507" s="2" t="s">
        <v>5296</v>
      </c>
      <c r="K4507" s="2" t="s">
        <v>1232</v>
      </c>
      <c r="L4507" s="2" t="s">
        <v>1233</v>
      </c>
      <c r="M4507" s="2" t="s">
        <v>119</v>
      </c>
      <c r="N4507" s="4" t="str">
        <f t="shared" si="394"/>
        <v>TON</v>
      </c>
      <c r="O4507" s="5">
        <v>7.5049999999999999</v>
      </c>
    </row>
    <row r="4508" spans="2:15" x14ac:dyDescent="0.25">
      <c r="B4508" s="1" t="s">
        <v>1520</v>
      </c>
      <c r="C4508" s="2" t="s">
        <v>196</v>
      </c>
      <c r="D4508" s="2" t="s">
        <v>276</v>
      </c>
      <c r="E4508" s="2" t="s">
        <v>682</v>
      </c>
      <c r="F4508" s="3">
        <f t="shared" ref="F4508:F4515" si="398">DATE(2024,3,14)</f>
        <v>45365</v>
      </c>
      <c r="G4508" s="4">
        <f t="shared" si="392"/>
        <v>3</v>
      </c>
      <c r="H4508" s="4">
        <f t="shared" si="393"/>
        <v>2024</v>
      </c>
      <c r="I4508" s="2" t="s">
        <v>4</v>
      </c>
      <c r="J4508" s="2" t="s">
        <v>5297</v>
      </c>
      <c r="K4508" s="2" t="s">
        <v>329</v>
      </c>
      <c r="L4508" s="2" t="s">
        <v>330</v>
      </c>
      <c r="M4508" s="2" t="s">
        <v>119</v>
      </c>
      <c r="N4508" s="4" t="str">
        <f t="shared" si="394"/>
        <v>TON</v>
      </c>
      <c r="O4508" s="5">
        <v>5.99</v>
      </c>
    </row>
    <row r="4509" spans="2:15" x14ac:dyDescent="0.25">
      <c r="B4509" s="1" t="s">
        <v>1520</v>
      </c>
      <c r="C4509" s="2" t="s">
        <v>196</v>
      </c>
      <c r="D4509" s="2" t="s">
        <v>660</v>
      </c>
      <c r="E4509" s="2" t="s">
        <v>699</v>
      </c>
      <c r="F4509" s="3">
        <f t="shared" si="398"/>
        <v>45365</v>
      </c>
      <c r="G4509" s="4">
        <f t="shared" si="392"/>
        <v>3</v>
      </c>
      <c r="H4509" s="4">
        <f t="shared" si="393"/>
        <v>2024</v>
      </c>
      <c r="I4509" s="2" t="s">
        <v>4</v>
      </c>
      <c r="J4509" s="2" t="s">
        <v>5298</v>
      </c>
      <c r="K4509" s="2" t="s">
        <v>205</v>
      </c>
      <c r="L4509" s="2" t="s">
        <v>206</v>
      </c>
      <c r="M4509" s="2" t="s">
        <v>119</v>
      </c>
      <c r="N4509" s="4" t="str">
        <f t="shared" si="394"/>
        <v>TON</v>
      </c>
      <c r="O4509" s="5">
        <v>2.5024999999999999</v>
      </c>
    </row>
    <row r="4510" spans="2:15" x14ac:dyDescent="0.25">
      <c r="B4510" s="1" t="s">
        <v>1520</v>
      </c>
      <c r="C4510" s="2" t="s">
        <v>196</v>
      </c>
      <c r="D4510" s="2" t="s">
        <v>280</v>
      </c>
      <c r="E4510" s="2" t="s">
        <v>371</v>
      </c>
      <c r="F4510" s="3">
        <f t="shared" si="398"/>
        <v>45365</v>
      </c>
      <c r="G4510" s="4">
        <f t="shared" si="392"/>
        <v>3</v>
      </c>
      <c r="H4510" s="4">
        <f t="shared" si="393"/>
        <v>2024</v>
      </c>
      <c r="I4510" s="2" t="s">
        <v>4</v>
      </c>
      <c r="J4510" s="2" t="s">
        <v>5299</v>
      </c>
      <c r="K4510" s="2" t="s">
        <v>2350</v>
      </c>
      <c r="L4510" s="2" t="s">
        <v>2351</v>
      </c>
      <c r="M4510" s="2" t="s">
        <v>119</v>
      </c>
      <c r="N4510" s="4" t="str">
        <f t="shared" si="394"/>
        <v>TON</v>
      </c>
      <c r="O4510" s="5">
        <v>12.5</v>
      </c>
    </row>
    <row r="4511" spans="2:15" x14ac:dyDescent="0.25">
      <c r="B4511" s="1" t="s">
        <v>1520</v>
      </c>
      <c r="C4511" s="2" t="s">
        <v>196</v>
      </c>
      <c r="D4511" s="2" t="s">
        <v>331</v>
      </c>
      <c r="E4511" s="2" t="s">
        <v>332</v>
      </c>
      <c r="F4511" s="3">
        <f t="shared" si="398"/>
        <v>45365</v>
      </c>
      <c r="G4511" s="4">
        <f t="shared" si="392"/>
        <v>3</v>
      </c>
      <c r="H4511" s="4">
        <f t="shared" si="393"/>
        <v>2024</v>
      </c>
      <c r="I4511" s="2" t="s">
        <v>4</v>
      </c>
      <c r="J4511" s="2" t="s">
        <v>5300</v>
      </c>
      <c r="K4511" s="2" t="s">
        <v>122</v>
      </c>
      <c r="L4511" s="2" t="s">
        <v>123</v>
      </c>
      <c r="M4511" s="2" t="s">
        <v>119</v>
      </c>
      <c r="N4511" s="4" t="str">
        <f t="shared" si="394"/>
        <v>TON</v>
      </c>
      <c r="O4511" s="5">
        <v>10.01</v>
      </c>
    </row>
    <row r="4512" spans="2:15" x14ac:dyDescent="0.25">
      <c r="B4512" s="1" t="s">
        <v>1520</v>
      </c>
      <c r="C4512" s="2" t="s">
        <v>196</v>
      </c>
      <c r="D4512" s="2" t="s">
        <v>440</v>
      </c>
      <c r="E4512" s="2" t="s">
        <v>441</v>
      </c>
      <c r="F4512" s="3">
        <f t="shared" si="398"/>
        <v>45365</v>
      </c>
      <c r="G4512" s="4">
        <f t="shared" si="392"/>
        <v>3</v>
      </c>
      <c r="H4512" s="4">
        <f t="shared" si="393"/>
        <v>2024</v>
      </c>
      <c r="I4512" s="2" t="s">
        <v>4</v>
      </c>
      <c r="J4512" s="2" t="s">
        <v>5301</v>
      </c>
      <c r="K4512" s="2" t="s">
        <v>422</v>
      </c>
      <c r="L4512" s="2" t="s">
        <v>423</v>
      </c>
      <c r="M4512" s="2" t="s">
        <v>119</v>
      </c>
      <c r="N4512" s="4" t="str">
        <f t="shared" si="394"/>
        <v>TON</v>
      </c>
      <c r="O4512" s="5">
        <v>10.0025</v>
      </c>
    </row>
    <row r="4513" spans="2:15" x14ac:dyDescent="0.25">
      <c r="B4513" s="1" t="s">
        <v>1520</v>
      </c>
      <c r="C4513" s="2" t="s">
        <v>196</v>
      </c>
      <c r="D4513" s="2" t="s">
        <v>374</v>
      </c>
      <c r="E4513" s="2" t="s">
        <v>717</v>
      </c>
      <c r="F4513" s="3">
        <f t="shared" si="398"/>
        <v>45365</v>
      </c>
      <c r="G4513" s="4">
        <f t="shared" si="392"/>
        <v>3</v>
      </c>
      <c r="H4513" s="4">
        <f t="shared" si="393"/>
        <v>2024</v>
      </c>
      <c r="I4513" s="2" t="s">
        <v>4</v>
      </c>
      <c r="J4513" s="2" t="s">
        <v>5302</v>
      </c>
      <c r="K4513" s="2" t="s">
        <v>649</v>
      </c>
      <c r="L4513" s="2" t="s">
        <v>538</v>
      </c>
      <c r="M4513" s="2" t="s">
        <v>4243</v>
      </c>
      <c r="N4513" s="4" t="str">
        <f t="shared" si="394"/>
        <v>GAL</v>
      </c>
      <c r="O4513" s="5">
        <v>500</v>
      </c>
    </row>
    <row r="4514" spans="2:15" x14ac:dyDescent="0.25">
      <c r="B4514" s="1" t="s">
        <v>1520</v>
      </c>
      <c r="C4514" s="2" t="s">
        <v>196</v>
      </c>
      <c r="D4514" s="2" t="s">
        <v>387</v>
      </c>
      <c r="E4514" s="2" t="s">
        <v>797</v>
      </c>
      <c r="F4514" s="3">
        <f t="shared" si="398"/>
        <v>45365</v>
      </c>
      <c r="G4514" s="4">
        <f t="shared" si="392"/>
        <v>3</v>
      </c>
      <c r="H4514" s="4">
        <f t="shared" si="393"/>
        <v>2024</v>
      </c>
      <c r="I4514" s="2" t="s">
        <v>4</v>
      </c>
      <c r="J4514" s="2" t="s">
        <v>5303</v>
      </c>
      <c r="K4514" s="2" t="s">
        <v>213</v>
      </c>
      <c r="L4514" s="2" t="s">
        <v>214</v>
      </c>
      <c r="M4514" s="2" t="s">
        <v>119</v>
      </c>
      <c r="N4514" s="4" t="str">
        <f t="shared" si="394"/>
        <v>TON</v>
      </c>
      <c r="O4514" s="5">
        <v>10.0025</v>
      </c>
    </row>
    <row r="4515" spans="2:15" x14ac:dyDescent="0.25">
      <c r="B4515" s="1" t="s">
        <v>1520</v>
      </c>
      <c r="C4515" s="2" t="s">
        <v>196</v>
      </c>
      <c r="D4515" s="2" t="s">
        <v>387</v>
      </c>
      <c r="E4515" s="2" t="s">
        <v>797</v>
      </c>
      <c r="F4515" s="3">
        <f t="shared" si="398"/>
        <v>45365</v>
      </c>
      <c r="G4515" s="4">
        <f t="shared" si="392"/>
        <v>3</v>
      </c>
      <c r="H4515" s="4">
        <f t="shared" si="393"/>
        <v>2024</v>
      </c>
      <c r="I4515" s="2" t="s">
        <v>4</v>
      </c>
      <c r="J4515" s="2" t="s">
        <v>5303</v>
      </c>
      <c r="K4515" s="2" t="s">
        <v>3726</v>
      </c>
      <c r="L4515" s="2" t="s">
        <v>3727</v>
      </c>
      <c r="M4515" s="2" t="s">
        <v>145</v>
      </c>
      <c r="N4515" s="4" t="str">
        <f t="shared" si="394"/>
        <v>GAL</v>
      </c>
      <c r="O4515" s="5">
        <v>3.75</v>
      </c>
    </row>
    <row r="4516" spans="2:15" x14ac:dyDescent="0.25">
      <c r="B4516" s="1" t="s">
        <v>1520</v>
      </c>
      <c r="C4516" s="2" t="s">
        <v>196</v>
      </c>
      <c r="D4516" s="2" t="s">
        <v>280</v>
      </c>
      <c r="E4516" s="2" t="s">
        <v>364</v>
      </c>
      <c r="F4516" s="3">
        <f>DATE(2024,3,15)</f>
        <v>45366</v>
      </c>
      <c r="G4516" s="4">
        <f t="shared" si="392"/>
        <v>3</v>
      </c>
      <c r="H4516" s="4">
        <f t="shared" si="393"/>
        <v>2024</v>
      </c>
      <c r="I4516" s="2" t="s">
        <v>4</v>
      </c>
      <c r="J4516" s="2" t="s">
        <v>5304</v>
      </c>
      <c r="K4516" s="2" t="s">
        <v>2350</v>
      </c>
      <c r="L4516" s="2" t="s">
        <v>2351</v>
      </c>
      <c r="M4516" s="2" t="s">
        <v>119</v>
      </c>
      <c r="N4516" s="4" t="str">
        <f t="shared" si="394"/>
        <v>TON</v>
      </c>
      <c r="O4516" s="5">
        <v>13</v>
      </c>
    </row>
    <row r="4517" spans="2:15" x14ac:dyDescent="0.25">
      <c r="B4517" s="1" t="s">
        <v>1520</v>
      </c>
      <c r="C4517" s="2" t="s">
        <v>196</v>
      </c>
      <c r="D4517" s="2" t="s">
        <v>114</v>
      </c>
      <c r="E4517" s="2" t="s">
        <v>369</v>
      </c>
      <c r="F4517" s="3">
        <f>DATE(2024,3,15)</f>
        <v>45366</v>
      </c>
      <c r="G4517" s="4">
        <f t="shared" si="392"/>
        <v>3</v>
      </c>
      <c r="H4517" s="4">
        <f t="shared" si="393"/>
        <v>2024</v>
      </c>
      <c r="I4517" s="2" t="s">
        <v>4</v>
      </c>
      <c r="J4517" s="2" t="s">
        <v>5305</v>
      </c>
      <c r="K4517" s="2" t="s">
        <v>2350</v>
      </c>
      <c r="L4517" s="2" t="s">
        <v>2351</v>
      </c>
      <c r="M4517" s="2" t="s">
        <v>119</v>
      </c>
      <c r="N4517" s="4" t="str">
        <f t="shared" si="394"/>
        <v>TON</v>
      </c>
      <c r="O4517" s="5">
        <v>2</v>
      </c>
    </row>
    <row r="4518" spans="2:15" x14ac:dyDescent="0.25">
      <c r="B4518" s="1" t="s">
        <v>1520</v>
      </c>
      <c r="C4518" s="2" t="s">
        <v>196</v>
      </c>
      <c r="D4518" s="2" t="s">
        <v>289</v>
      </c>
      <c r="E4518" s="2" t="s">
        <v>2380</v>
      </c>
      <c r="F4518" s="3">
        <f>DATE(2024,3,15)</f>
        <v>45366</v>
      </c>
      <c r="G4518" s="4">
        <f t="shared" si="392"/>
        <v>3</v>
      </c>
      <c r="H4518" s="4">
        <f t="shared" si="393"/>
        <v>2024</v>
      </c>
      <c r="I4518" s="2" t="s">
        <v>4</v>
      </c>
      <c r="J4518" s="2" t="s">
        <v>5306</v>
      </c>
      <c r="K4518" s="2" t="s">
        <v>292</v>
      </c>
      <c r="L4518" s="2" t="s">
        <v>293</v>
      </c>
      <c r="M4518" s="2" t="s">
        <v>119</v>
      </c>
      <c r="N4518" s="4" t="str">
        <f t="shared" si="394"/>
        <v>TON</v>
      </c>
      <c r="O4518" s="5">
        <v>1</v>
      </c>
    </row>
    <row r="4519" spans="2:15" x14ac:dyDescent="0.25">
      <c r="B4519" s="1" t="s">
        <v>1520</v>
      </c>
      <c r="C4519" s="2" t="s">
        <v>196</v>
      </c>
      <c r="D4519" s="2" t="s">
        <v>232</v>
      </c>
      <c r="E4519" s="2" t="s">
        <v>778</v>
      </c>
      <c r="F4519" s="3">
        <f>DATE(2024,3,18)</f>
        <v>45369</v>
      </c>
      <c r="G4519" s="4">
        <f t="shared" si="392"/>
        <v>3</v>
      </c>
      <c r="H4519" s="4">
        <f t="shared" si="393"/>
        <v>2024</v>
      </c>
      <c r="I4519" s="2" t="s">
        <v>4</v>
      </c>
      <c r="J4519" s="2" t="s">
        <v>5307</v>
      </c>
      <c r="K4519" s="2" t="s">
        <v>205</v>
      </c>
      <c r="L4519" s="2" t="s">
        <v>206</v>
      </c>
      <c r="M4519" s="2" t="s">
        <v>119</v>
      </c>
      <c r="N4519" s="4" t="str">
        <f t="shared" si="394"/>
        <v>TON</v>
      </c>
      <c r="O4519" s="5">
        <v>2.5</v>
      </c>
    </row>
    <row r="4520" spans="2:15" x14ac:dyDescent="0.25">
      <c r="B4520" s="1" t="s">
        <v>1520</v>
      </c>
      <c r="C4520" s="2" t="s">
        <v>196</v>
      </c>
      <c r="D4520" s="2" t="s">
        <v>1343</v>
      </c>
      <c r="E4520" s="2" t="s">
        <v>3724</v>
      </c>
      <c r="F4520" s="3">
        <f>DATE(2024,3,15)</f>
        <v>45366</v>
      </c>
      <c r="G4520" s="4">
        <f t="shared" si="392"/>
        <v>3</v>
      </c>
      <c r="H4520" s="4">
        <f t="shared" si="393"/>
        <v>2024</v>
      </c>
      <c r="I4520" s="2" t="s">
        <v>4</v>
      </c>
      <c r="J4520" s="2" t="s">
        <v>5308</v>
      </c>
      <c r="K4520" s="2" t="s">
        <v>394</v>
      </c>
      <c r="L4520" s="2" t="s">
        <v>395</v>
      </c>
      <c r="M4520" s="2" t="s">
        <v>119</v>
      </c>
      <c r="N4520" s="4" t="str">
        <f t="shared" si="394"/>
        <v>TON</v>
      </c>
      <c r="O4520" s="5">
        <v>15.012499999999999</v>
      </c>
    </row>
    <row r="4521" spans="2:15" x14ac:dyDescent="0.25">
      <c r="B4521" s="1" t="s">
        <v>1520</v>
      </c>
      <c r="C4521" s="2" t="s">
        <v>196</v>
      </c>
      <c r="D4521" s="2" t="s">
        <v>1343</v>
      </c>
      <c r="E4521" s="2" t="s">
        <v>3724</v>
      </c>
      <c r="F4521" s="3">
        <f>DATE(2024,3,15)</f>
        <v>45366</v>
      </c>
      <c r="G4521" s="4">
        <f t="shared" si="392"/>
        <v>3</v>
      </c>
      <c r="H4521" s="4">
        <f t="shared" si="393"/>
        <v>2024</v>
      </c>
      <c r="I4521" s="2" t="s">
        <v>4</v>
      </c>
      <c r="J4521" s="2" t="s">
        <v>5308</v>
      </c>
      <c r="K4521" s="2" t="s">
        <v>3726</v>
      </c>
      <c r="L4521" s="2" t="s">
        <v>3727</v>
      </c>
      <c r="M4521" s="2" t="s">
        <v>145</v>
      </c>
      <c r="N4521" s="4" t="str">
        <f t="shared" si="394"/>
        <v>GAL</v>
      </c>
      <c r="O4521" s="5">
        <v>5.625</v>
      </c>
    </row>
    <row r="4522" spans="2:15" x14ac:dyDescent="0.25">
      <c r="B4522" s="1" t="s">
        <v>1520</v>
      </c>
      <c r="C4522" s="2" t="s">
        <v>196</v>
      </c>
      <c r="D4522" s="2" t="s">
        <v>374</v>
      </c>
      <c r="E4522" s="2" t="s">
        <v>5309</v>
      </c>
      <c r="F4522" s="3">
        <f t="shared" ref="F4522:F4528" si="399">DATE(2024,3,19)</f>
        <v>45370</v>
      </c>
      <c r="G4522" s="4">
        <f t="shared" si="392"/>
        <v>3</v>
      </c>
      <c r="H4522" s="4">
        <f t="shared" si="393"/>
        <v>2024</v>
      </c>
      <c r="I4522" s="2" t="s">
        <v>4</v>
      </c>
      <c r="J4522" s="2" t="s">
        <v>5310</v>
      </c>
      <c r="K4522" s="2" t="s">
        <v>329</v>
      </c>
      <c r="L4522" s="2" t="s">
        <v>330</v>
      </c>
      <c r="M4522" s="2" t="s">
        <v>119</v>
      </c>
      <c r="N4522" s="4" t="str">
        <f t="shared" si="394"/>
        <v>TON</v>
      </c>
      <c r="O4522" s="5">
        <v>9</v>
      </c>
    </row>
    <row r="4523" spans="2:15" x14ac:dyDescent="0.25">
      <c r="B4523" s="1" t="s">
        <v>1520</v>
      </c>
      <c r="C4523" s="2" t="s">
        <v>196</v>
      </c>
      <c r="D4523" s="2" t="s">
        <v>114</v>
      </c>
      <c r="E4523" s="2" t="s">
        <v>274</v>
      </c>
      <c r="F4523" s="3">
        <f t="shared" si="399"/>
        <v>45370</v>
      </c>
      <c r="G4523" s="4">
        <f t="shared" si="392"/>
        <v>3</v>
      </c>
      <c r="H4523" s="4">
        <f t="shared" si="393"/>
        <v>2024</v>
      </c>
      <c r="I4523" s="2" t="s">
        <v>4</v>
      </c>
      <c r="J4523" s="2" t="s">
        <v>5311</v>
      </c>
      <c r="K4523" s="2" t="s">
        <v>2350</v>
      </c>
      <c r="L4523" s="2" t="s">
        <v>2351</v>
      </c>
      <c r="M4523" s="2" t="s">
        <v>119</v>
      </c>
      <c r="N4523" s="4" t="str">
        <f t="shared" si="394"/>
        <v>TON</v>
      </c>
      <c r="O4523" s="5">
        <v>11.487500000000001</v>
      </c>
    </row>
    <row r="4524" spans="2:15" x14ac:dyDescent="0.25">
      <c r="B4524" s="1" t="s">
        <v>1520</v>
      </c>
      <c r="C4524" s="2" t="s">
        <v>196</v>
      </c>
      <c r="D4524" s="2" t="s">
        <v>241</v>
      </c>
      <c r="E4524" s="2" t="s">
        <v>242</v>
      </c>
      <c r="F4524" s="3">
        <f t="shared" si="399"/>
        <v>45370</v>
      </c>
      <c r="G4524" s="4">
        <f t="shared" si="392"/>
        <v>3</v>
      </c>
      <c r="H4524" s="4">
        <f t="shared" si="393"/>
        <v>2024</v>
      </c>
      <c r="I4524" s="2" t="s">
        <v>4</v>
      </c>
      <c r="J4524" s="2" t="s">
        <v>5312</v>
      </c>
      <c r="K4524" s="2" t="s">
        <v>260</v>
      </c>
      <c r="L4524" s="2" t="s">
        <v>261</v>
      </c>
      <c r="M4524" s="2" t="s">
        <v>119</v>
      </c>
      <c r="N4524" s="4" t="str">
        <f t="shared" si="394"/>
        <v>TON</v>
      </c>
      <c r="O4524" s="5">
        <v>1.01</v>
      </c>
    </row>
    <row r="4525" spans="2:15" x14ac:dyDescent="0.25">
      <c r="B4525" s="1" t="s">
        <v>1520</v>
      </c>
      <c r="C4525" s="2" t="s">
        <v>196</v>
      </c>
      <c r="D4525" s="2" t="s">
        <v>280</v>
      </c>
      <c r="E4525" s="2" t="s">
        <v>462</v>
      </c>
      <c r="F4525" s="3">
        <f t="shared" si="399"/>
        <v>45370</v>
      </c>
      <c r="G4525" s="4">
        <f t="shared" si="392"/>
        <v>3</v>
      </c>
      <c r="H4525" s="4">
        <f t="shared" si="393"/>
        <v>2024</v>
      </c>
      <c r="I4525" s="2" t="s">
        <v>4</v>
      </c>
      <c r="J4525" s="2" t="s">
        <v>5313</v>
      </c>
      <c r="K4525" s="2" t="s">
        <v>2350</v>
      </c>
      <c r="L4525" s="2" t="s">
        <v>2351</v>
      </c>
      <c r="M4525" s="2" t="s">
        <v>119</v>
      </c>
      <c r="N4525" s="4" t="str">
        <f t="shared" si="394"/>
        <v>TON</v>
      </c>
      <c r="O4525" s="5">
        <v>9.9924999999999997</v>
      </c>
    </row>
    <row r="4526" spans="2:15" x14ac:dyDescent="0.25">
      <c r="B4526" s="1" t="s">
        <v>1520</v>
      </c>
      <c r="C4526" s="2" t="s">
        <v>196</v>
      </c>
      <c r="D4526" s="2" t="s">
        <v>294</v>
      </c>
      <c r="E4526" s="2" t="s">
        <v>295</v>
      </c>
      <c r="F4526" s="3">
        <f t="shared" si="399"/>
        <v>45370</v>
      </c>
      <c r="G4526" s="4">
        <f t="shared" si="392"/>
        <v>3</v>
      </c>
      <c r="H4526" s="4">
        <f t="shared" si="393"/>
        <v>2024</v>
      </c>
      <c r="I4526" s="2" t="s">
        <v>4</v>
      </c>
      <c r="J4526" s="2" t="s">
        <v>5314</v>
      </c>
      <c r="K4526" s="2" t="s">
        <v>122</v>
      </c>
      <c r="L4526" s="2" t="s">
        <v>123</v>
      </c>
      <c r="M4526" s="2" t="s">
        <v>119</v>
      </c>
      <c r="N4526" s="4" t="str">
        <f t="shared" si="394"/>
        <v>TON</v>
      </c>
      <c r="O4526" s="5">
        <v>7.5</v>
      </c>
    </row>
    <row r="4527" spans="2:15" x14ac:dyDescent="0.25">
      <c r="B4527" s="1" t="s">
        <v>1520</v>
      </c>
      <c r="C4527" s="2" t="s">
        <v>196</v>
      </c>
      <c r="D4527" s="2" t="s">
        <v>321</v>
      </c>
      <c r="E4527" s="2" t="s">
        <v>392</v>
      </c>
      <c r="F4527" s="3">
        <f t="shared" si="399"/>
        <v>45370</v>
      </c>
      <c r="G4527" s="4">
        <f t="shared" si="392"/>
        <v>3</v>
      </c>
      <c r="H4527" s="4">
        <f t="shared" si="393"/>
        <v>2024</v>
      </c>
      <c r="I4527" s="2" t="s">
        <v>4</v>
      </c>
      <c r="J4527" s="2" t="s">
        <v>5315</v>
      </c>
      <c r="K4527" s="2" t="s">
        <v>394</v>
      </c>
      <c r="L4527" s="2" t="s">
        <v>395</v>
      </c>
      <c r="M4527" s="2" t="s">
        <v>119</v>
      </c>
      <c r="N4527" s="4" t="str">
        <f t="shared" si="394"/>
        <v>TON</v>
      </c>
      <c r="O4527" s="5">
        <v>1.25</v>
      </c>
    </row>
    <row r="4528" spans="2:15" x14ac:dyDescent="0.25">
      <c r="B4528" s="1" t="s">
        <v>1520</v>
      </c>
      <c r="C4528" s="2" t="s">
        <v>196</v>
      </c>
      <c r="D4528" s="2" t="s">
        <v>276</v>
      </c>
      <c r="E4528" s="2" t="s">
        <v>878</v>
      </c>
      <c r="F4528" s="3">
        <f t="shared" si="399"/>
        <v>45370</v>
      </c>
      <c r="G4528" s="4">
        <f t="shared" si="392"/>
        <v>3</v>
      </c>
      <c r="H4528" s="4">
        <f t="shared" si="393"/>
        <v>2024</v>
      </c>
      <c r="I4528" s="2" t="s">
        <v>4</v>
      </c>
      <c r="J4528" s="2" t="s">
        <v>5316</v>
      </c>
      <c r="K4528" s="2" t="s">
        <v>205</v>
      </c>
      <c r="L4528" s="2" t="s">
        <v>206</v>
      </c>
      <c r="M4528" s="2" t="s">
        <v>119</v>
      </c>
      <c r="N4528" s="4" t="str">
        <f t="shared" si="394"/>
        <v>TON</v>
      </c>
      <c r="O4528" s="5">
        <v>6.0075000000000003</v>
      </c>
    </row>
    <row r="4529" spans="2:15" x14ac:dyDescent="0.25">
      <c r="B4529" s="1" t="s">
        <v>1520</v>
      </c>
      <c r="C4529" s="2" t="s">
        <v>196</v>
      </c>
      <c r="D4529" s="2" t="s">
        <v>374</v>
      </c>
      <c r="E4529" s="2" t="s">
        <v>5309</v>
      </c>
      <c r="F4529" s="3">
        <f>DATE(2024,3,20)</f>
        <v>45371</v>
      </c>
      <c r="G4529" s="4">
        <f t="shared" si="392"/>
        <v>3</v>
      </c>
      <c r="H4529" s="4">
        <f t="shared" si="393"/>
        <v>2024</v>
      </c>
      <c r="I4529" s="2" t="s">
        <v>4</v>
      </c>
      <c r="J4529" s="2" t="s">
        <v>5317</v>
      </c>
      <c r="K4529" s="2" t="s">
        <v>220</v>
      </c>
      <c r="L4529" s="2" t="s">
        <v>201</v>
      </c>
      <c r="M4529" s="2" t="s">
        <v>202</v>
      </c>
      <c r="N4529" s="4" t="str">
        <f t="shared" si="394"/>
        <v>GAL</v>
      </c>
      <c r="O4529" s="5">
        <v>250</v>
      </c>
    </row>
    <row r="4530" spans="2:15" x14ac:dyDescent="0.25">
      <c r="B4530" s="1" t="s">
        <v>1520</v>
      </c>
      <c r="C4530" s="2" t="s">
        <v>196</v>
      </c>
      <c r="D4530" s="2" t="s">
        <v>114</v>
      </c>
      <c r="E4530" s="2" t="s">
        <v>402</v>
      </c>
      <c r="F4530" s="3">
        <f>DATE(2024,3,20)</f>
        <v>45371</v>
      </c>
      <c r="G4530" s="4">
        <f t="shared" si="392"/>
        <v>3</v>
      </c>
      <c r="H4530" s="4">
        <f t="shared" si="393"/>
        <v>2024</v>
      </c>
      <c r="I4530" s="2" t="s">
        <v>4</v>
      </c>
      <c r="J4530" s="2" t="s">
        <v>5318</v>
      </c>
      <c r="K4530" s="2" t="s">
        <v>2350</v>
      </c>
      <c r="L4530" s="2" t="s">
        <v>2351</v>
      </c>
      <c r="M4530" s="2" t="s">
        <v>119</v>
      </c>
      <c r="N4530" s="4" t="str">
        <f t="shared" si="394"/>
        <v>TON</v>
      </c>
      <c r="O4530" s="5">
        <v>4</v>
      </c>
    </row>
    <row r="4531" spans="2:15" x14ac:dyDescent="0.25">
      <c r="B4531" s="1" t="s">
        <v>1520</v>
      </c>
      <c r="C4531" s="2" t="s">
        <v>196</v>
      </c>
      <c r="D4531" s="2" t="s">
        <v>273</v>
      </c>
      <c r="E4531" s="2" t="s">
        <v>2295</v>
      </c>
      <c r="F4531" s="3">
        <f>DATE(2024,3,20)</f>
        <v>45371</v>
      </c>
      <c r="G4531" s="4">
        <f t="shared" si="392"/>
        <v>3</v>
      </c>
      <c r="H4531" s="4">
        <f t="shared" si="393"/>
        <v>2024</v>
      </c>
      <c r="I4531" s="2" t="s">
        <v>4</v>
      </c>
      <c r="J4531" s="2" t="s">
        <v>5319</v>
      </c>
      <c r="K4531" s="2" t="s">
        <v>205</v>
      </c>
      <c r="L4531" s="2" t="s">
        <v>206</v>
      </c>
      <c r="M4531" s="2" t="s">
        <v>119</v>
      </c>
      <c r="N4531" s="4" t="str">
        <f t="shared" si="394"/>
        <v>TON</v>
      </c>
      <c r="O4531" s="5">
        <v>5.0199999999999996</v>
      </c>
    </row>
    <row r="4532" spans="2:15" x14ac:dyDescent="0.25">
      <c r="B4532" s="1" t="s">
        <v>1520</v>
      </c>
      <c r="C4532" s="2" t="s">
        <v>196</v>
      </c>
      <c r="D4532" s="2" t="s">
        <v>449</v>
      </c>
      <c r="E4532" s="2" t="s">
        <v>450</v>
      </c>
      <c r="F4532" s="3">
        <f>DATE(2024,3,20)</f>
        <v>45371</v>
      </c>
      <c r="G4532" s="4">
        <f t="shared" si="392"/>
        <v>3</v>
      </c>
      <c r="H4532" s="4">
        <f t="shared" si="393"/>
        <v>2024</v>
      </c>
      <c r="I4532" s="2" t="s">
        <v>4</v>
      </c>
      <c r="J4532" s="2" t="s">
        <v>5320</v>
      </c>
      <c r="K4532" s="2" t="s">
        <v>205</v>
      </c>
      <c r="L4532" s="2" t="s">
        <v>206</v>
      </c>
      <c r="M4532" s="2" t="s">
        <v>119</v>
      </c>
      <c r="N4532" s="4" t="str">
        <f t="shared" si="394"/>
        <v>TON</v>
      </c>
      <c r="O4532" s="5">
        <v>5.5</v>
      </c>
    </row>
    <row r="4533" spans="2:15" x14ac:dyDescent="0.25">
      <c r="B4533" s="1" t="s">
        <v>1520</v>
      </c>
      <c r="C4533" s="2" t="s">
        <v>196</v>
      </c>
      <c r="D4533" s="2" t="s">
        <v>317</v>
      </c>
      <c r="E4533" s="2" t="s">
        <v>366</v>
      </c>
      <c r="F4533" s="3">
        <f>DATE(2024,3,21)</f>
        <v>45372</v>
      </c>
      <c r="G4533" s="4">
        <f t="shared" si="392"/>
        <v>3</v>
      </c>
      <c r="H4533" s="4">
        <f t="shared" si="393"/>
        <v>2024</v>
      </c>
      <c r="I4533" s="2" t="s">
        <v>4</v>
      </c>
      <c r="J4533" s="2" t="s">
        <v>5321</v>
      </c>
      <c r="K4533" s="2" t="s">
        <v>2350</v>
      </c>
      <c r="L4533" s="2" t="s">
        <v>2351</v>
      </c>
      <c r="M4533" s="2" t="s">
        <v>119</v>
      </c>
      <c r="N4533" s="4" t="str">
        <f t="shared" si="394"/>
        <v>TON</v>
      </c>
      <c r="O4533" s="5">
        <v>3.4824999999999999</v>
      </c>
    </row>
    <row r="4534" spans="2:15" x14ac:dyDescent="0.25">
      <c r="B4534" s="1" t="s">
        <v>1520</v>
      </c>
      <c r="C4534" s="2" t="s">
        <v>196</v>
      </c>
      <c r="D4534" s="2" t="s">
        <v>215</v>
      </c>
      <c r="E4534" s="2" t="s">
        <v>4113</v>
      </c>
      <c r="F4534" s="3">
        <f>DATE(2024,3,21)</f>
        <v>45372</v>
      </c>
      <c r="G4534" s="4">
        <f t="shared" si="392"/>
        <v>3</v>
      </c>
      <c r="H4534" s="4">
        <f t="shared" si="393"/>
        <v>2024</v>
      </c>
      <c r="I4534" s="2" t="s">
        <v>4</v>
      </c>
      <c r="J4534" s="2" t="s">
        <v>5322</v>
      </c>
      <c r="K4534" s="2" t="s">
        <v>205</v>
      </c>
      <c r="L4534" s="2" t="s">
        <v>206</v>
      </c>
      <c r="M4534" s="2" t="s">
        <v>119</v>
      </c>
      <c r="N4534" s="4" t="str">
        <f t="shared" si="394"/>
        <v>TON</v>
      </c>
      <c r="O4534" s="5">
        <v>12.505000000000001</v>
      </c>
    </row>
    <row r="4535" spans="2:15" x14ac:dyDescent="0.25">
      <c r="B4535" s="1" t="s">
        <v>1520</v>
      </c>
      <c r="C4535" s="2" t="s">
        <v>196</v>
      </c>
      <c r="D4535" s="2" t="s">
        <v>215</v>
      </c>
      <c r="E4535" s="2" t="s">
        <v>4113</v>
      </c>
      <c r="F4535" s="3">
        <f>DATE(2024,3,21)</f>
        <v>45372</v>
      </c>
      <c r="G4535" s="4">
        <f t="shared" si="392"/>
        <v>3</v>
      </c>
      <c r="H4535" s="4">
        <f t="shared" si="393"/>
        <v>2024</v>
      </c>
      <c r="I4535" s="2" t="s">
        <v>4</v>
      </c>
      <c r="J4535" s="2" t="s">
        <v>5323</v>
      </c>
      <c r="K4535" s="2" t="s">
        <v>329</v>
      </c>
      <c r="L4535" s="2" t="s">
        <v>330</v>
      </c>
      <c r="M4535" s="2" t="s">
        <v>119</v>
      </c>
      <c r="N4535" s="4" t="str">
        <f t="shared" si="394"/>
        <v>TON</v>
      </c>
      <c r="O4535" s="5">
        <v>10.02</v>
      </c>
    </row>
    <row r="4536" spans="2:15" x14ac:dyDescent="0.25">
      <c r="B4536" s="1" t="s">
        <v>1520</v>
      </c>
      <c r="C4536" s="2" t="s">
        <v>196</v>
      </c>
      <c r="D4536" s="2" t="s">
        <v>4046</v>
      </c>
      <c r="E4536" s="2" t="s">
        <v>102</v>
      </c>
      <c r="F4536" s="3">
        <f t="shared" ref="F4536:F4541" si="400">DATE(2024,3,22)</f>
        <v>45373</v>
      </c>
      <c r="G4536" s="4">
        <f t="shared" si="392"/>
        <v>3</v>
      </c>
      <c r="H4536" s="4">
        <f t="shared" si="393"/>
        <v>2024</v>
      </c>
      <c r="I4536" s="2" t="s">
        <v>4</v>
      </c>
      <c r="J4536" s="2" t="s">
        <v>5324</v>
      </c>
      <c r="K4536" s="2" t="s">
        <v>268</v>
      </c>
      <c r="L4536" s="2" t="s">
        <v>269</v>
      </c>
      <c r="M4536" s="2" t="s">
        <v>119</v>
      </c>
      <c r="N4536" s="4" t="str">
        <f t="shared" si="394"/>
        <v>TON</v>
      </c>
      <c r="O4536" s="5">
        <v>1.25</v>
      </c>
    </row>
    <row r="4537" spans="2:15" x14ac:dyDescent="0.25">
      <c r="B4537" s="1" t="s">
        <v>1520</v>
      </c>
      <c r="C4537" s="2" t="s">
        <v>196</v>
      </c>
      <c r="D4537" s="2" t="s">
        <v>114</v>
      </c>
      <c r="E4537" s="2" t="s">
        <v>115</v>
      </c>
      <c r="F4537" s="3">
        <f t="shared" si="400"/>
        <v>45373</v>
      </c>
      <c r="G4537" s="4">
        <f t="shared" ref="G4537:G4600" si="401">+MONTH(F4537)</f>
        <v>3</v>
      </c>
      <c r="H4537" s="4">
        <f t="shared" ref="H4537:H4600" si="402">+YEAR(F4537)</f>
        <v>2024</v>
      </c>
      <c r="I4537" s="2" t="s">
        <v>4</v>
      </c>
      <c r="J4537" s="2" t="s">
        <v>5325</v>
      </c>
      <c r="K4537" s="2" t="s">
        <v>2350</v>
      </c>
      <c r="L4537" s="2" t="s">
        <v>2351</v>
      </c>
      <c r="M4537" s="2" t="s">
        <v>119</v>
      </c>
      <c r="N4537" s="4" t="str">
        <f t="shared" ref="N4537:N4600" si="403">+LEFT(M4537,3)</f>
        <v>TON</v>
      </c>
      <c r="O4537" s="5">
        <v>2.5</v>
      </c>
    </row>
    <row r="4538" spans="2:15" x14ac:dyDescent="0.25">
      <c r="B4538" s="1" t="s">
        <v>1520</v>
      </c>
      <c r="C4538" s="2" t="s">
        <v>196</v>
      </c>
      <c r="D4538" s="2" t="s">
        <v>265</v>
      </c>
      <c r="E4538" s="2" t="s">
        <v>266</v>
      </c>
      <c r="F4538" s="3">
        <f t="shared" si="400"/>
        <v>45373</v>
      </c>
      <c r="G4538" s="4">
        <f t="shared" si="401"/>
        <v>3</v>
      </c>
      <c r="H4538" s="4">
        <f t="shared" si="402"/>
        <v>2024</v>
      </c>
      <c r="I4538" s="2" t="s">
        <v>4</v>
      </c>
      <c r="J4538" s="2" t="s">
        <v>5326</v>
      </c>
      <c r="K4538" s="2" t="s">
        <v>268</v>
      </c>
      <c r="L4538" s="2" t="s">
        <v>269</v>
      </c>
      <c r="M4538" s="2" t="s">
        <v>119</v>
      </c>
      <c r="N4538" s="4" t="str">
        <f t="shared" si="403"/>
        <v>TON</v>
      </c>
      <c r="O4538" s="5">
        <v>0.15</v>
      </c>
    </row>
    <row r="4539" spans="2:15" x14ac:dyDescent="0.25">
      <c r="B4539" s="1" t="s">
        <v>1520</v>
      </c>
      <c r="C4539" s="2" t="s">
        <v>196</v>
      </c>
      <c r="D4539" s="2" t="s">
        <v>299</v>
      </c>
      <c r="E4539" s="2" t="s">
        <v>300</v>
      </c>
      <c r="F4539" s="3">
        <f t="shared" si="400"/>
        <v>45373</v>
      </c>
      <c r="G4539" s="4">
        <f t="shared" si="401"/>
        <v>3</v>
      </c>
      <c r="H4539" s="4">
        <f t="shared" si="402"/>
        <v>2024</v>
      </c>
      <c r="I4539" s="2" t="s">
        <v>4</v>
      </c>
      <c r="J4539" s="2" t="s">
        <v>5327</v>
      </c>
      <c r="K4539" s="2" t="s">
        <v>2350</v>
      </c>
      <c r="L4539" s="2" t="s">
        <v>2351</v>
      </c>
      <c r="M4539" s="2" t="s">
        <v>119</v>
      </c>
      <c r="N4539" s="4" t="str">
        <f t="shared" si="403"/>
        <v>TON</v>
      </c>
      <c r="O4539" s="5">
        <v>11.5</v>
      </c>
    </row>
    <row r="4540" spans="2:15" x14ac:dyDescent="0.25">
      <c r="B4540" s="1" t="s">
        <v>1520</v>
      </c>
      <c r="C4540" s="2" t="s">
        <v>196</v>
      </c>
      <c r="D4540" s="2" t="s">
        <v>197</v>
      </c>
      <c r="E4540" s="2" t="s">
        <v>198</v>
      </c>
      <c r="F4540" s="3">
        <f t="shared" si="400"/>
        <v>45373</v>
      </c>
      <c r="G4540" s="4">
        <f t="shared" si="401"/>
        <v>3</v>
      </c>
      <c r="H4540" s="4">
        <f t="shared" si="402"/>
        <v>2024</v>
      </c>
      <c r="I4540" s="2" t="s">
        <v>4</v>
      </c>
      <c r="J4540" s="2" t="s">
        <v>5328</v>
      </c>
      <c r="K4540" s="2" t="s">
        <v>307</v>
      </c>
      <c r="L4540" s="2" t="s">
        <v>308</v>
      </c>
      <c r="M4540" s="2" t="s">
        <v>119</v>
      </c>
      <c r="N4540" s="4" t="str">
        <f t="shared" si="403"/>
        <v>TON</v>
      </c>
      <c r="O4540" s="5">
        <v>3.4975000000000001</v>
      </c>
    </row>
    <row r="4541" spans="2:15" x14ac:dyDescent="0.25">
      <c r="B4541" s="1" t="s">
        <v>1520</v>
      </c>
      <c r="C4541" s="2" t="s">
        <v>196</v>
      </c>
      <c r="D4541" s="2" t="s">
        <v>289</v>
      </c>
      <c r="E4541" s="2" t="s">
        <v>290</v>
      </c>
      <c r="F4541" s="3">
        <f t="shared" si="400"/>
        <v>45373</v>
      </c>
      <c r="G4541" s="4">
        <f t="shared" si="401"/>
        <v>3</v>
      </c>
      <c r="H4541" s="4">
        <f t="shared" si="402"/>
        <v>2024</v>
      </c>
      <c r="I4541" s="2" t="s">
        <v>4</v>
      </c>
      <c r="J4541" s="2" t="s">
        <v>5329</v>
      </c>
      <c r="K4541" s="2" t="s">
        <v>268</v>
      </c>
      <c r="L4541" s="2" t="s">
        <v>269</v>
      </c>
      <c r="M4541" s="2" t="s">
        <v>119</v>
      </c>
      <c r="N4541" s="4" t="str">
        <f t="shared" si="403"/>
        <v>TON</v>
      </c>
      <c r="O4541" s="5">
        <v>1</v>
      </c>
    </row>
    <row r="4542" spans="2:15" x14ac:dyDescent="0.25">
      <c r="B4542" s="1" t="s">
        <v>1520</v>
      </c>
      <c r="C4542" s="2" t="s">
        <v>196</v>
      </c>
      <c r="D4542" s="2" t="s">
        <v>1343</v>
      </c>
      <c r="E4542" s="2" t="s">
        <v>3729</v>
      </c>
      <c r="F4542" s="3">
        <f>DATE(2024,3,25)</f>
        <v>45376</v>
      </c>
      <c r="G4542" s="4">
        <f t="shared" si="401"/>
        <v>3</v>
      </c>
      <c r="H4542" s="4">
        <f t="shared" si="402"/>
        <v>2024</v>
      </c>
      <c r="I4542" s="2" t="s">
        <v>4</v>
      </c>
      <c r="J4542" s="2" t="s">
        <v>5330</v>
      </c>
      <c r="K4542" s="2" t="s">
        <v>205</v>
      </c>
      <c r="L4542" s="2" t="s">
        <v>206</v>
      </c>
      <c r="M4542" s="2" t="s">
        <v>119</v>
      </c>
      <c r="N4542" s="4" t="str">
        <f t="shared" si="403"/>
        <v>TON</v>
      </c>
      <c r="O4542" s="5">
        <v>15.0025</v>
      </c>
    </row>
    <row r="4543" spans="2:15" x14ac:dyDescent="0.25">
      <c r="B4543" s="1" t="s">
        <v>1520</v>
      </c>
      <c r="C4543" s="2" t="s">
        <v>196</v>
      </c>
      <c r="D4543" s="2" t="s">
        <v>387</v>
      </c>
      <c r="E4543" s="2" t="s">
        <v>797</v>
      </c>
      <c r="F4543" s="3">
        <f>DATE(2024,3,25)</f>
        <v>45376</v>
      </c>
      <c r="G4543" s="4">
        <f t="shared" si="401"/>
        <v>3</v>
      </c>
      <c r="H4543" s="4">
        <f t="shared" si="402"/>
        <v>2024</v>
      </c>
      <c r="I4543" s="2" t="s">
        <v>4</v>
      </c>
      <c r="J4543" s="2" t="s">
        <v>5331</v>
      </c>
      <c r="K4543" s="2" t="s">
        <v>213</v>
      </c>
      <c r="L4543" s="2" t="s">
        <v>214</v>
      </c>
      <c r="M4543" s="2" t="s">
        <v>119</v>
      </c>
      <c r="N4543" s="4" t="str">
        <f t="shared" si="403"/>
        <v>TON</v>
      </c>
      <c r="O4543" s="5">
        <v>10.005000000000001</v>
      </c>
    </row>
    <row r="4544" spans="2:15" x14ac:dyDescent="0.25">
      <c r="B4544" s="1" t="s">
        <v>1520</v>
      </c>
      <c r="C4544" s="2" t="s">
        <v>196</v>
      </c>
      <c r="D4544" s="2" t="s">
        <v>387</v>
      </c>
      <c r="E4544" s="2" t="s">
        <v>797</v>
      </c>
      <c r="F4544" s="3">
        <f>DATE(2024,3,25)</f>
        <v>45376</v>
      </c>
      <c r="G4544" s="4">
        <f t="shared" si="401"/>
        <v>3</v>
      </c>
      <c r="H4544" s="4">
        <f t="shared" si="402"/>
        <v>2024</v>
      </c>
      <c r="I4544" s="2" t="s">
        <v>4</v>
      </c>
      <c r="J4544" s="2" t="s">
        <v>5331</v>
      </c>
      <c r="K4544" s="2" t="s">
        <v>3726</v>
      </c>
      <c r="L4544" s="2" t="s">
        <v>3727</v>
      </c>
      <c r="M4544" s="2" t="s">
        <v>145</v>
      </c>
      <c r="N4544" s="4" t="str">
        <f t="shared" si="403"/>
        <v>GAL</v>
      </c>
      <c r="O4544" s="5">
        <v>3.75</v>
      </c>
    </row>
    <row r="4545" spans="2:15" x14ac:dyDescent="0.25">
      <c r="B4545" s="1" t="s">
        <v>645</v>
      </c>
      <c r="C4545" s="2" t="s">
        <v>196</v>
      </c>
      <c r="D4545" s="2" t="s">
        <v>790</v>
      </c>
      <c r="E4545" s="2" t="s">
        <v>1205</v>
      </c>
      <c r="F4545" s="3">
        <f>DATE(2024,3,25)</f>
        <v>45376</v>
      </c>
      <c r="G4545" s="4">
        <f t="shared" si="401"/>
        <v>3</v>
      </c>
      <c r="H4545" s="4">
        <f t="shared" si="402"/>
        <v>2024</v>
      </c>
      <c r="I4545" s="2" t="s">
        <v>4</v>
      </c>
      <c r="J4545" s="2" t="s">
        <v>5332</v>
      </c>
      <c r="K4545" s="2" t="s">
        <v>5333</v>
      </c>
      <c r="L4545" s="2" t="s">
        <v>5334</v>
      </c>
      <c r="M4545" s="2" t="s">
        <v>119</v>
      </c>
      <c r="N4545" s="4" t="str">
        <f t="shared" si="403"/>
        <v>TON</v>
      </c>
      <c r="O4545" s="5">
        <v>4.9950000000000001</v>
      </c>
    </row>
    <row r="4546" spans="2:15" x14ac:dyDescent="0.25">
      <c r="B4546" s="1" t="s">
        <v>1520</v>
      </c>
      <c r="C4546" s="2" t="s">
        <v>196</v>
      </c>
      <c r="D4546" s="2" t="s">
        <v>1343</v>
      </c>
      <c r="E4546" s="2" t="s">
        <v>3724</v>
      </c>
      <c r="F4546" s="3">
        <f>DATE(2024,3,25)</f>
        <v>45376</v>
      </c>
      <c r="G4546" s="4">
        <f t="shared" si="401"/>
        <v>3</v>
      </c>
      <c r="H4546" s="4">
        <f t="shared" si="402"/>
        <v>2024</v>
      </c>
      <c r="I4546" s="2" t="s">
        <v>4</v>
      </c>
      <c r="J4546" s="2" t="s">
        <v>5335</v>
      </c>
      <c r="K4546" s="2" t="s">
        <v>205</v>
      </c>
      <c r="L4546" s="2" t="s">
        <v>206</v>
      </c>
      <c r="M4546" s="2" t="s">
        <v>119</v>
      </c>
      <c r="N4546" s="4" t="str">
        <f t="shared" si="403"/>
        <v>TON</v>
      </c>
      <c r="O4546" s="5">
        <v>14.9925</v>
      </c>
    </row>
    <row r="4547" spans="2:15" x14ac:dyDescent="0.25">
      <c r="B4547" s="1" t="s">
        <v>1520</v>
      </c>
      <c r="C4547" s="2" t="s">
        <v>196</v>
      </c>
      <c r="D4547" s="2" t="s">
        <v>224</v>
      </c>
      <c r="E4547" s="2" t="s">
        <v>361</v>
      </c>
      <c r="F4547" s="3">
        <f t="shared" ref="F4547:F4554" si="404">DATE(2024,3,26)</f>
        <v>45377</v>
      </c>
      <c r="G4547" s="4">
        <f t="shared" si="401"/>
        <v>3</v>
      </c>
      <c r="H4547" s="4">
        <f t="shared" si="402"/>
        <v>2024</v>
      </c>
      <c r="I4547" s="2" t="s">
        <v>4</v>
      </c>
      <c r="J4547" s="2" t="s">
        <v>5336</v>
      </c>
      <c r="K4547" s="2" t="s">
        <v>205</v>
      </c>
      <c r="L4547" s="2" t="s">
        <v>206</v>
      </c>
      <c r="M4547" s="2" t="s">
        <v>119</v>
      </c>
      <c r="N4547" s="4" t="str">
        <f t="shared" si="403"/>
        <v>TON</v>
      </c>
      <c r="O4547" s="5">
        <v>5.0149999999999997</v>
      </c>
    </row>
    <row r="4548" spans="2:15" x14ac:dyDescent="0.25">
      <c r="B4548" s="1" t="s">
        <v>1520</v>
      </c>
      <c r="C4548" s="2" t="s">
        <v>196</v>
      </c>
      <c r="D4548" s="2" t="s">
        <v>317</v>
      </c>
      <c r="E4548" s="2" t="s">
        <v>677</v>
      </c>
      <c r="F4548" s="3">
        <f t="shared" si="404"/>
        <v>45377</v>
      </c>
      <c r="G4548" s="4">
        <f t="shared" si="401"/>
        <v>3</v>
      </c>
      <c r="H4548" s="4">
        <f t="shared" si="402"/>
        <v>2024</v>
      </c>
      <c r="I4548" s="2" t="s">
        <v>4</v>
      </c>
      <c r="J4548" s="2" t="s">
        <v>5337</v>
      </c>
      <c r="K4548" s="2" t="s">
        <v>2350</v>
      </c>
      <c r="L4548" s="2" t="s">
        <v>2351</v>
      </c>
      <c r="M4548" s="2" t="s">
        <v>119</v>
      </c>
      <c r="N4548" s="4" t="str">
        <f t="shared" si="403"/>
        <v>TON</v>
      </c>
      <c r="O4548" s="5">
        <v>4.9824999999999999</v>
      </c>
    </row>
    <row r="4549" spans="2:15" x14ac:dyDescent="0.25">
      <c r="B4549" s="1" t="s">
        <v>1520</v>
      </c>
      <c r="C4549" s="2" t="s">
        <v>196</v>
      </c>
      <c r="D4549" s="2" t="s">
        <v>440</v>
      </c>
      <c r="E4549" s="2" t="s">
        <v>1369</v>
      </c>
      <c r="F4549" s="3">
        <f t="shared" si="404"/>
        <v>45377</v>
      </c>
      <c r="G4549" s="4">
        <f t="shared" si="401"/>
        <v>3</v>
      </c>
      <c r="H4549" s="4">
        <f t="shared" si="402"/>
        <v>2024</v>
      </c>
      <c r="I4549" s="2" t="s">
        <v>4</v>
      </c>
      <c r="J4549" s="2" t="s">
        <v>5338</v>
      </c>
      <c r="K4549" s="2" t="s">
        <v>205</v>
      </c>
      <c r="L4549" s="2" t="s">
        <v>206</v>
      </c>
      <c r="M4549" s="2" t="s">
        <v>119</v>
      </c>
      <c r="N4549" s="4" t="str">
        <f t="shared" si="403"/>
        <v>TON</v>
      </c>
      <c r="O4549" s="5">
        <v>5.01</v>
      </c>
    </row>
    <row r="4550" spans="2:15" x14ac:dyDescent="0.25">
      <c r="B4550" s="1" t="s">
        <v>1520</v>
      </c>
      <c r="C4550" s="2" t="s">
        <v>196</v>
      </c>
      <c r="D4550" s="2" t="s">
        <v>904</v>
      </c>
      <c r="E4550" s="2" t="s">
        <v>5339</v>
      </c>
      <c r="F4550" s="3">
        <f t="shared" si="404"/>
        <v>45377</v>
      </c>
      <c r="G4550" s="4">
        <f t="shared" si="401"/>
        <v>3</v>
      </c>
      <c r="H4550" s="4">
        <f t="shared" si="402"/>
        <v>2024</v>
      </c>
      <c r="I4550" s="2" t="s">
        <v>4</v>
      </c>
      <c r="J4550" s="2" t="s">
        <v>5340</v>
      </c>
      <c r="K4550" s="2" t="s">
        <v>649</v>
      </c>
      <c r="L4550" s="2" t="s">
        <v>538</v>
      </c>
      <c r="M4550" s="2" t="s">
        <v>4243</v>
      </c>
      <c r="N4550" s="4" t="str">
        <f t="shared" si="403"/>
        <v>GAL</v>
      </c>
      <c r="O4550" s="5">
        <v>250</v>
      </c>
    </row>
    <row r="4551" spans="2:15" x14ac:dyDescent="0.25">
      <c r="B4551" s="1" t="s">
        <v>1520</v>
      </c>
      <c r="C4551" s="2" t="s">
        <v>196</v>
      </c>
      <c r="D4551" s="2" t="s">
        <v>5283</v>
      </c>
      <c r="E4551" s="2" t="s">
        <v>102</v>
      </c>
      <c r="F4551" s="3">
        <f t="shared" si="404"/>
        <v>45377</v>
      </c>
      <c r="G4551" s="4">
        <f t="shared" si="401"/>
        <v>3</v>
      </c>
      <c r="H4551" s="4">
        <f t="shared" si="402"/>
        <v>2024</v>
      </c>
      <c r="I4551" s="2" t="s">
        <v>4</v>
      </c>
      <c r="J4551" s="2" t="s">
        <v>5341</v>
      </c>
      <c r="K4551" s="2" t="s">
        <v>3321</v>
      </c>
      <c r="L4551" s="2" t="s">
        <v>3322</v>
      </c>
      <c r="M4551" s="2" t="s">
        <v>106</v>
      </c>
      <c r="N4551" s="4" t="str">
        <f t="shared" si="403"/>
        <v>LBS</v>
      </c>
      <c r="O4551" s="5">
        <v>2700</v>
      </c>
    </row>
    <row r="4552" spans="2:15" x14ac:dyDescent="0.25">
      <c r="B4552" s="1" t="s">
        <v>1520</v>
      </c>
      <c r="C4552" s="2" t="s">
        <v>196</v>
      </c>
      <c r="D4552" s="2" t="s">
        <v>1276</v>
      </c>
      <c r="E4552" s="2" t="s">
        <v>1277</v>
      </c>
      <c r="F4552" s="3">
        <f t="shared" si="404"/>
        <v>45377</v>
      </c>
      <c r="G4552" s="4">
        <f t="shared" si="401"/>
        <v>3</v>
      </c>
      <c r="H4552" s="4">
        <f t="shared" si="402"/>
        <v>2024</v>
      </c>
      <c r="I4552" s="2" t="s">
        <v>4</v>
      </c>
      <c r="J4552" s="2" t="s">
        <v>5342</v>
      </c>
      <c r="K4552" s="2" t="s">
        <v>117</v>
      </c>
      <c r="L4552" s="2" t="s">
        <v>118</v>
      </c>
      <c r="M4552" s="2" t="s">
        <v>119</v>
      </c>
      <c r="N4552" s="4" t="str">
        <f t="shared" si="403"/>
        <v>TON</v>
      </c>
      <c r="O4552" s="5">
        <v>1.25</v>
      </c>
    </row>
    <row r="4553" spans="2:15" x14ac:dyDescent="0.25">
      <c r="B4553" s="1" t="s">
        <v>1520</v>
      </c>
      <c r="C4553" s="2" t="s">
        <v>196</v>
      </c>
      <c r="D4553" s="2" t="s">
        <v>4034</v>
      </c>
      <c r="E4553" s="2" t="s">
        <v>1346</v>
      </c>
      <c r="F4553" s="3">
        <f t="shared" si="404"/>
        <v>45377</v>
      </c>
      <c r="G4553" s="4">
        <f t="shared" si="401"/>
        <v>3</v>
      </c>
      <c r="H4553" s="4">
        <f t="shared" si="402"/>
        <v>2024</v>
      </c>
      <c r="I4553" s="2" t="s">
        <v>4</v>
      </c>
      <c r="J4553" s="2" t="s">
        <v>5343</v>
      </c>
      <c r="K4553" s="2" t="s">
        <v>117</v>
      </c>
      <c r="L4553" s="2" t="s">
        <v>118</v>
      </c>
      <c r="M4553" s="2" t="s">
        <v>119</v>
      </c>
      <c r="N4553" s="4" t="str">
        <f t="shared" si="403"/>
        <v>TON</v>
      </c>
      <c r="O4553" s="5">
        <v>2.5</v>
      </c>
    </row>
    <row r="4554" spans="2:15" x14ac:dyDescent="0.25">
      <c r="B4554" s="1" t="s">
        <v>1520</v>
      </c>
      <c r="C4554" s="2" t="s">
        <v>196</v>
      </c>
      <c r="D4554" s="2" t="s">
        <v>1276</v>
      </c>
      <c r="E4554" s="2" t="s">
        <v>791</v>
      </c>
      <c r="F4554" s="3">
        <f t="shared" si="404"/>
        <v>45377</v>
      </c>
      <c r="G4554" s="4">
        <f t="shared" si="401"/>
        <v>3</v>
      </c>
      <c r="H4554" s="4">
        <f t="shared" si="402"/>
        <v>2024</v>
      </c>
      <c r="I4554" s="2" t="s">
        <v>4</v>
      </c>
      <c r="J4554" s="2" t="s">
        <v>5344</v>
      </c>
      <c r="K4554" s="2" t="s">
        <v>5333</v>
      </c>
      <c r="L4554" s="2" t="s">
        <v>5334</v>
      </c>
      <c r="M4554" s="2" t="s">
        <v>119</v>
      </c>
      <c r="N4554" s="4" t="str">
        <f t="shared" si="403"/>
        <v>TON</v>
      </c>
      <c r="O4554" s="5">
        <v>5</v>
      </c>
    </row>
    <row r="4555" spans="2:15" x14ac:dyDescent="0.25">
      <c r="B4555" s="1" t="s">
        <v>1520</v>
      </c>
      <c r="C4555" s="2" t="s">
        <v>196</v>
      </c>
      <c r="D4555" s="2" t="s">
        <v>3767</v>
      </c>
      <c r="E4555" s="2" t="s">
        <v>3768</v>
      </c>
      <c r="F4555" s="3">
        <f t="shared" ref="F4555:F4563" si="405">DATE(2024,3,27)</f>
        <v>45378</v>
      </c>
      <c r="G4555" s="4">
        <f t="shared" si="401"/>
        <v>3</v>
      </c>
      <c r="H4555" s="4">
        <f t="shared" si="402"/>
        <v>2024</v>
      </c>
      <c r="I4555" s="2" t="s">
        <v>4</v>
      </c>
      <c r="J4555" s="2" t="s">
        <v>5345</v>
      </c>
      <c r="K4555" s="2" t="s">
        <v>205</v>
      </c>
      <c r="L4555" s="2" t="s">
        <v>206</v>
      </c>
      <c r="M4555" s="2" t="s">
        <v>119</v>
      </c>
      <c r="N4555" s="4" t="str">
        <f t="shared" si="403"/>
        <v>TON</v>
      </c>
      <c r="O4555" s="5">
        <v>3.78</v>
      </c>
    </row>
    <row r="4556" spans="2:15" x14ac:dyDescent="0.25">
      <c r="B4556" s="1" t="s">
        <v>1520</v>
      </c>
      <c r="C4556" s="2" t="s">
        <v>196</v>
      </c>
      <c r="D4556" s="2" t="s">
        <v>721</v>
      </c>
      <c r="E4556" s="2" t="s">
        <v>721</v>
      </c>
      <c r="F4556" s="3">
        <f t="shared" si="405"/>
        <v>45378</v>
      </c>
      <c r="G4556" s="4">
        <f t="shared" si="401"/>
        <v>3</v>
      </c>
      <c r="H4556" s="4">
        <f t="shared" si="402"/>
        <v>2024</v>
      </c>
      <c r="I4556" s="2" t="s">
        <v>4</v>
      </c>
      <c r="J4556" s="2" t="s">
        <v>5346</v>
      </c>
      <c r="K4556" s="2" t="s">
        <v>531</v>
      </c>
      <c r="L4556" s="2" t="s">
        <v>201</v>
      </c>
      <c r="M4556" s="2" t="s">
        <v>202</v>
      </c>
      <c r="N4556" s="4" t="str">
        <f t="shared" si="403"/>
        <v>GAL</v>
      </c>
      <c r="O4556" s="5">
        <v>60</v>
      </c>
    </row>
    <row r="4557" spans="2:15" x14ac:dyDescent="0.25">
      <c r="B4557" s="1" t="s">
        <v>1520</v>
      </c>
      <c r="C4557" s="2" t="s">
        <v>196</v>
      </c>
      <c r="D4557" s="2" t="s">
        <v>800</v>
      </c>
      <c r="E4557" s="2" t="s">
        <v>907</v>
      </c>
      <c r="F4557" s="3">
        <f t="shared" si="405"/>
        <v>45378</v>
      </c>
      <c r="G4557" s="4">
        <f t="shared" si="401"/>
        <v>3</v>
      </c>
      <c r="H4557" s="4">
        <f t="shared" si="402"/>
        <v>2024</v>
      </c>
      <c r="I4557" s="2" t="s">
        <v>4</v>
      </c>
      <c r="J4557" s="2" t="s">
        <v>5347</v>
      </c>
      <c r="K4557" s="2" t="s">
        <v>205</v>
      </c>
      <c r="L4557" s="2" t="s">
        <v>206</v>
      </c>
      <c r="M4557" s="2" t="s">
        <v>119</v>
      </c>
      <c r="N4557" s="4" t="str">
        <f t="shared" si="403"/>
        <v>TON</v>
      </c>
      <c r="O4557" s="5">
        <v>2.4975000000000001</v>
      </c>
    </row>
    <row r="4558" spans="2:15" x14ac:dyDescent="0.25">
      <c r="B4558" s="1" t="s">
        <v>1520</v>
      </c>
      <c r="C4558" s="2" t="s">
        <v>196</v>
      </c>
      <c r="D4558" s="2" t="s">
        <v>374</v>
      </c>
      <c r="E4558" s="2" t="s">
        <v>424</v>
      </c>
      <c r="F4558" s="3">
        <f t="shared" si="405"/>
        <v>45378</v>
      </c>
      <c r="G4558" s="4">
        <f t="shared" si="401"/>
        <v>3</v>
      </c>
      <c r="H4558" s="4">
        <f t="shared" si="402"/>
        <v>2024</v>
      </c>
      <c r="I4558" s="2" t="s">
        <v>4</v>
      </c>
      <c r="J4558" s="2" t="s">
        <v>5348</v>
      </c>
      <c r="K4558" s="2" t="s">
        <v>329</v>
      </c>
      <c r="L4558" s="2" t="s">
        <v>330</v>
      </c>
      <c r="M4558" s="2" t="s">
        <v>119</v>
      </c>
      <c r="N4558" s="4" t="str">
        <f t="shared" si="403"/>
        <v>TON</v>
      </c>
      <c r="O4558" s="5">
        <v>2.5024999999999999</v>
      </c>
    </row>
    <row r="4559" spans="2:15" x14ac:dyDescent="0.25">
      <c r="B4559" s="1" t="s">
        <v>1520</v>
      </c>
      <c r="C4559" s="2" t="s">
        <v>196</v>
      </c>
      <c r="D4559" s="2" t="s">
        <v>114</v>
      </c>
      <c r="E4559" s="2" t="s">
        <v>369</v>
      </c>
      <c r="F4559" s="3">
        <f t="shared" si="405"/>
        <v>45378</v>
      </c>
      <c r="G4559" s="4">
        <f t="shared" si="401"/>
        <v>3</v>
      </c>
      <c r="H4559" s="4">
        <f t="shared" si="402"/>
        <v>2024</v>
      </c>
      <c r="I4559" s="2" t="s">
        <v>4</v>
      </c>
      <c r="J4559" s="2" t="s">
        <v>5349</v>
      </c>
      <c r="K4559" s="2" t="s">
        <v>117</v>
      </c>
      <c r="L4559" s="2" t="s">
        <v>118</v>
      </c>
      <c r="M4559" s="2" t="s">
        <v>119</v>
      </c>
      <c r="N4559" s="4" t="str">
        <f t="shared" si="403"/>
        <v>TON</v>
      </c>
      <c r="O4559" s="5">
        <v>2</v>
      </c>
    </row>
    <row r="4560" spans="2:15" x14ac:dyDescent="0.25">
      <c r="B4560" s="1" t="s">
        <v>1520</v>
      </c>
      <c r="C4560" s="2" t="s">
        <v>196</v>
      </c>
      <c r="D4560" s="2" t="s">
        <v>321</v>
      </c>
      <c r="E4560" s="2" t="s">
        <v>697</v>
      </c>
      <c r="F4560" s="3">
        <f t="shared" si="405"/>
        <v>45378</v>
      </c>
      <c r="G4560" s="4">
        <f t="shared" si="401"/>
        <v>3</v>
      </c>
      <c r="H4560" s="4">
        <f t="shared" si="402"/>
        <v>2024</v>
      </c>
      <c r="I4560" s="2" t="s">
        <v>4</v>
      </c>
      <c r="J4560" s="2" t="s">
        <v>5350</v>
      </c>
      <c r="K4560" s="2" t="s">
        <v>447</v>
      </c>
      <c r="L4560" s="2" t="s">
        <v>448</v>
      </c>
      <c r="M4560" s="2" t="s">
        <v>119</v>
      </c>
      <c r="N4560" s="4" t="str">
        <f t="shared" si="403"/>
        <v>TON</v>
      </c>
      <c r="O4560" s="5">
        <v>10.015000000000001</v>
      </c>
    </row>
    <row r="4561" spans="2:15" x14ac:dyDescent="0.25">
      <c r="B4561" s="1" t="s">
        <v>1520</v>
      </c>
      <c r="C4561" s="2" t="s">
        <v>196</v>
      </c>
      <c r="D4561" s="2" t="s">
        <v>800</v>
      </c>
      <c r="E4561" s="2" t="s">
        <v>141</v>
      </c>
      <c r="F4561" s="3">
        <f t="shared" si="405"/>
        <v>45378</v>
      </c>
      <c r="G4561" s="4">
        <f t="shared" si="401"/>
        <v>3</v>
      </c>
      <c r="H4561" s="4">
        <f t="shared" si="402"/>
        <v>2024</v>
      </c>
      <c r="I4561" s="2" t="s">
        <v>4</v>
      </c>
      <c r="J4561" s="2" t="s">
        <v>5351</v>
      </c>
      <c r="K4561" s="2" t="s">
        <v>205</v>
      </c>
      <c r="L4561" s="2" t="s">
        <v>206</v>
      </c>
      <c r="M4561" s="2" t="s">
        <v>119</v>
      </c>
      <c r="N4561" s="4" t="str">
        <f t="shared" si="403"/>
        <v>TON</v>
      </c>
      <c r="O4561" s="5">
        <v>1.51</v>
      </c>
    </row>
    <row r="4562" spans="2:15" x14ac:dyDescent="0.25">
      <c r="B4562" s="1" t="s">
        <v>1520</v>
      </c>
      <c r="C4562" s="2" t="s">
        <v>196</v>
      </c>
      <c r="D4562" s="2" t="s">
        <v>215</v>
      </c>
      <c r="E4562" s="2" t="s">
        <v>313</v>
      </c>
      <c r="F4562" s="3">
        <f t="shared" si="405"/>
        <v>45378</v>
      </c>
      <c r="G4562" s="4">
        <f t="shared" si="401"/>
        <v>3</v>
      </c>
      <c r="H4562" s="4">
        <f t="shared" si="402"/>
        <v>2024</v>
      </c>
      <c r="I4562" s="2" t="s">
        <v>4</v>
      </c>
      <c r="J4562" s="2" t="s">
        <v>5352</v>
      </c>
      <c r="K4562" s="2" t="s">
        <v>205</v>
      </c>
      <c r="L4562" s="2" t="s">
        <v>206</v>
      </c>
      <c r="M4562" s="2" t="s">
        <v>119</v>
      </c>
      <c r="N4562" s="4" t="str">
        <f t="shared" si="403"/>
        <v>TON</v>
      </c>
      <c r="O4562" s="5">
        <v>3.4950000000000001</v>
      </c>
    </row>
    <row r="4563" spans="2:15" x14ac:dyDescent="0.25">
      <c r="B4563" s="1" t="s">
        <v>1520</v>
      </c>
      <c r="C4563" s="2" t="s">
        <v>196</v>
      </c>
      <c r="D4563" s="2" t="s">
        <v>452</v>
      </c>
      <c r="E4563" s="2" t="s">
        <v>453</v>
      </c>
      <c r="F4563" s="3">
        <f t="shared" si="405"/>
        <v>45378</v>
      </c>
      <c r="G4563" s="4">
        <f t="shared" si="401"/>
        <v>3</v>
      </c>
      <c r="H4563" s="4">
        <f t="shared" si="402"/>
        <v>2024</v>
      </c>
      <c r="I4563" s="2" t="s">
        <v>4</v>
      </c>
      <c r="J4563" s="2" t="s">
        <v>5353</v>
      </c>
      <c r="K4563" s="2" t="s">
        <v>447</v>
      </c>
      <c r="L4563" s="2" t="s">
        <v>448</v>
      </c>
      <c r="M4563" s="2" t="s">
        <v>119</v>
      </c>
      <c r="N4563" s="4" t="str">
        <f t="shared" si="403"/>
        <v>TON</v>
      </c>
      <c r="O4563" s="5">
        <v>6.5049999999999999</v>
      </c>
    </row>
    <row r="4564" spans="2:15" x14ac:dyDescent="0.25">
      <c r="B4564" s="1" t="s">
        <v>1520</v>
      </c>
      <c r="C4564" s="2" t="s">
        <v>196</v>
      </c>
      <c r="D4564" s="2" t="s">
        <v>276</v>
      </c>
      <c r="E4564" s="2" t="s">
        <v>277</v>
      </c>
      <c r="F4564" s="3">
        <f t="shared" ref="F4564:F4570" si="406">DATE(2024,3,28)</f>
        <v>45379</v>
      </c>
      <c r="G4564" s="4">
        <f t="shared" si="401"/>
        <v>3</v>
      </c>
      <c r="H4564" s="4">
        <f t="shared" si="402"/>
        <v>2024</v>
      </c>
      <c r="I4564" s="2" t="s">
        <v>4</v>
      </c>
      <c r="J4564" s="2" t="s">
        <v>5354</v>
      </c>
      <c r="K4564" s="2" t="s">
        <v>292</v>
      </c>
      <c r="L4564" s="2" t="s">
        <v>293</v>
      </c>
      <c r="M4564" s="2" t="s">
        <v>119</v>
      </c>
      <c r="N4564" s="4" t="str">
        <f t="shared" si="403"/>
        <v>TON</v>
      </c>
      <c r="O4564" s="5">
        <v>2</v>
      </c>
    </row>
    <row r="4565" spans="2:15" x14ac:dyDescent="0.25">
      <c r="B4565" s="1" t="s">
        <v>1520</v>
      </c>
      <c r="C4565" s="2" t="s">
        <v>196</v>
      </c>
      <c r="D4565" s="2" t="s">
        <v>265</v>
      </c>
      <c r="E4565" s="2" t="s">
        <v>266</v>
      </c>
      <c r="F4565" s="3">
        <f t="shared" si="406"/>
        <v>45379</v>
      </c>
      <c r="G4565" s="4">
        <f t="shared" si="401"/>
        <v>3</v>
      </c>
      <c r="H4565" s="4">
        <f t="shared" si="402"/>
        <v>2024</v>
      </c>
      <c r="I4565" s="2" t="s">
        <v>4</v>
      </c>
      <c r="J4565" s="2" t="s">
        <v>5355</v>
      </c>
      <c r="K4565" s="2" t="s">
        <v>268</v>
      </c>
      <c r="L4565" s="2" t="s">
        <v>269</v>
      </c>
      <c r="M4565" s="2" t="s">
        <v>119</v>
      </c>
      <c r="N4565" s="4" t="str">
        <f t="shared" si="403"/>
        <v>TON</v>
      </c>
      <c r="O4565" s="5">
        <v>0.3</v>
      </c>
    </row>
    <row r="4566" spans="2:15" x14ac:dyDescent="0.25">
      <c r="B4566" s="1" t="s">
        <v>1520</v>
      </c>
      <c r="C4566" s="2" t="s">
        <v>196</v>
      </c>
      <c r="D4566" s="2" t="s">
        <v>248</v>
      </c>
      <c r="E4566" s="2" t="s">
        <v>1620</v>
      </c>
      <c r="F4566" s="3">
        <f t="shared" si="406"/>
        <v>45379</v>
      </c>
      <c r="G4566" s="4">
        <f t="shared" si="401"/>
        <v>3</v>
      </c>
      <c r="H4566" s="4">
        <f t="shared" si="402"/>
        <v>2024</v>
      </c>
      <c r="I4566" s="2" t="s">
        <v>4</v>
      </c>
      <c r="J4566" s="2" t="s">
        <v>5356</v>
      </c>
      <c r="K4566" s="2" t="s">
        <v>205</v>
      </c>
      <c r="L4566" s="2" t="s">
        <v>206</v>
      </c>
      <c r="M4566" s="2" t="s">
        <v>119</v>
      </c>
      <c r="N4566" s="4" t="str">
        <f t="shared" si="403"/>
        <v>TON</v>
      </c>
      <c r="O4566" s="5">
        <v>5.0175000000000001</v>
      </c>
    </row>
    <row r="4567" spans="2:15" x14ac:dyDescent="0.25">
      <c r="B4567" s="1" t="s">
        <v>1520</v>
      </c>
      <c r="C4567" s="2" t="s">
        <v>196</v>
      </c>
      <c r="D4567" s="2" t="s">
        <v>440</v>
      </c>
      <c r="E4567" s="2" t="s">
        <v>441</v>
      </c>
      <c r="F4567" s="3">
        <f t="shared" si="406"/>
        <v>45379</v>
      </c>
      <c r="G4567" s="4">
        <f t="shared" si="401"/>
        <v>3</v>
      </c>
      <c r="H4567" s="4">
        <f t="shared" si="402"/>
        <v>2024</v>
      </c>
      <c r="I4567" s="2" t="s">
        <v>4</v>
      </c>
      <c r="J4567" s="2" t="s">
        <v>5357</v>
      </c>
      <c r="K4567" s="2" t="s">
        <v>205</v>
      </c>
      <c r="L4567" s="2" t="s">
        <v>206</v>
      </c>
      <c r="M4567" s="2" t="s">
        <v>119</v>
      </c>
      <c r="N4567" s="4" t="str">
        <f t="shared" si="403"/>
        <v>TON</v>
      </c>
      <c r="O4567" s="5">
        <v>10.220000000000001</v>
      </c>
    </row>
    <row r="4568" spans="2:15" x14ac:dyDescent="0.25">
      <c r="B4568" s="1" t="s">
        <v>1520</v>
      </c>
      <c r="C4568" s="2" t="s">
        <v>196</v>
      </c>
      <c r="D4568" s="2" t="s">
        <v>114</v>
      </c>
      <c r="E4568" s="2" t="s">
        <v>336</v>
      </c>
      <c r="F4568" s="3">
        <f t="shared" si="406"/>
        <v>45379</v>
      </c>
      <c r="G4568" s="4">
        <f t="shared" si="401"/>
        <v>3</v>
      </c>
      <c r="H4568" s="4">
        <f t="shared" si="402"/>
        <v>2024</v>
      </c>
      <c r="I4568" s="2" t="s">
        <v>4</v>
      </c>
      <c r="J4568" s="2" t="s">
        <v>5358</v>
      </c>
      <c r="K4568" s="2" t="s">
        <v>2350</v>
      </c>
      <c r="L4568" s="2" t="s">
        <v>2351</v>
      </c>
      <c r="M4568" s="2" t="s">
        <v>119</v>
      </c>
      <c r="N4568" s="4" t="str">
        <f t="shared" si="403"/>
        <v>TON</v>
      </c>
      <c r="O4568" s="5">
        <v>3.7524999999999999</v>
      </c>
    </row>
    <row r="4569" spans="2:15" x14ac:dyDescent="0.25">
      <c r="B4569" s="1" t="s">
        <v>1520</v>
      </c>
      <c r="C4569" s="2" t="s">
        <v>196</v>
      </c>
      <c r="D4569" s="2" t="s">
        <v>273</v>
      </c>
      <c r="E4569" s="2" t="s">
        <v>274</v>
      </c>
      <c r="F4569" s="3">
        <f t="shared" si="406"/>
        <v>45379</v>
      </c>
      <c r="G4569" s="4">
        <f t="shared" si="401"/>
        <v>3</v>
      </c>
      <c r="H4569" s="4">
        <f t="shared" si="402"/>
        <v>2024</v>
      </c>
      <c r="I4569" s="2" t="s">
        <v>4</v>
      </c>
      <c r="J4569" s="2" t="s">
        <v>5359</v>
      </c>
      <c r="K4569" s="2" t="s">
        <v>205</v>
      </c>
      <c r="L4569" s="2" t="s">
        <v>206</v>
      </c>
      <c r="M4569" s="2" t="s">
        <v>119</v>
      </c>
      <c r="N4569" s="4" t="str">
        <f t="shared" si="403"/>
        <v>TON</v>
      </c>
      <c r="O4569" s="5">
        <v>2.4950000000000001</v>
      </c>
    </row>
    <row r="4570" spans="2:15" x14ac:dyDescent="0.25">
      <c r="B4570" s="1" t="s">
        <v>1520</v>
      </c>
      <c r="C4570" s="2" t="s">
        <v>196</v>
      </c>
      <c r="D4570" s="2" t="s">
        <v>241</v>
      </c>
      <c r="E4570" s="2" t="s">
        <v>258</v>
      </c>
      <c r="F4570" s="3">
        <f t="shared" si="406"/>
        <v>45379</v>
      </c>
      <c r="G4570" s="4">
        <f t="shared" si="401"/>
        <v>3</v>
      </c>
      <c r="H4570" s="4">
        <f t="shared" si="402"/>
        <v>2024</v>
      </c>
      <c r="I4570" s="2" t="s">
        <v>4</v>
      </c>
      <c r="J4570" s="2" t="s">
        <v>5360</v>
      </c>
      <c r="K4570" s="2" t="s">
        <v>3458</v>
      </c>
      <c r="L4570" s="2" t="s">
        <v>3459</v>
      </c>
      <c r="M4570" s="2" t="s">
        <v>119</v>
      </c>
      <c r="N4570" s="4" t="str">
        <f t="shared" si="403"/>
        <v>TON</v>
      </c>
      <c r="O4570" s="5">
        <v>2.2725</v>
      </c>
    </row>
    <row r="4571" spans="2:15" x14ac:dyDescent="0.25">
      <c r="B4571" s="1" t="s">
        <v>1520</v>
      </c>
      <c r="C4571" s="2" t="s">
        <v>196</v>
      </c>
      <c r="D4571" s="2" t="s">
        <v>387</v>
      </c>
      <c r="E4571" s="2" t="s">
        <v>797</v>
      </c>
      <c r="F4571" s="3">
        <f t="shared" ref="F4571:F4576" si="407">DATE(2024,3,29)</f>
        <v>45380</v>
      </c>
      <c r="G4571" s="4">
        <f t="shared" si="401"/>
        <v>3</v>
      </c>
      <c r="H4571" s="4">
        <f t="shared" si="402"/>
        <v>2024</v>
      </c>
      <c r="I4571" s="2" t="s">
        <v>4</v>
      </c>
      <c r="J4571" s="2" t="s">
        <v>5361</v>
      </c>
      <c r="K4571" s="2" t="s">
        <v>205</v>
      </c>
      <c r="L4571" s="2" t="s">
        <v>206</v>
      </c>
      <c r="M4571" s="2" t="s">
        <v>119</v>
      </c>
      <c r="N4571" s="4" t="str">
        <f t="shared" si="403"/>
        <v>TON</v>
      </c>
      <c r="O4571" s="14">
        <v>8.0124999999999993</v>
      </c>
    </row>
    <row r="4572" spans="2:15" x14ac:dyDescent="0.25">
      <c r="B4572" s="1" t="s">
        <v>1520</v>
      </c>
      <c r="C4572" s="2" t="s">
        <v>196</v>
      </c>
      <c r="D4572" s="2" t="s">
        <v>262</v>
      </c>
      <c r="E4572" s="2" t="s">
        <v>290</v>
      </c>
      <c r="F4572" s="3">
        <f t="shared" si="407"/>
        <v>45380</v>
      </c>
      <c r="G4572" s="4">
        <f t="shared" si="401"/>
        <v>3</v>
      </c>
      <c r="H4572" s="4">
        <f t="shared" si="402"/>
        <v>2024</v>
      </c>
      <c r="I4572" s="2" t="s">
        <v>4</v>
      </c>
      <c r="J4572" s="2" t="s">
        <v>5362</v>
      </c>
      <c r="K4572" s="2" t="s">
        <v>329</v>
      </c>
      <c r="L4572" s="2" t="s">
        <v>330</v>
      </c>
      <c r="M4572" s="2" t="s">
        <v>119</v>
      </c>
      <c r="N4572" s="4" t="str">
        <f t="shared" si="403"/>
        <v>TON</v>
      </c>
      <c r="O4572" s="14">
        <v>6.0175000000000001</v>
      </c>
    </row>
    <row r="4573" spans="2:15" x14ac:dyDescent="0.25">
      <c r="B4573" s="1" t="s">
        <v>1520</v>
      </c>
      <c r="C4573" s="2" t="s">
        <v>196</v>
      </c>
      <c r="D4573" s="2" t="s">
        <v>276</v>
      </c>
      <c r="E4573" s="2" t="s">
        <v>682</v>
      </c>
      <c r="F4573" s="3">
        <f t="shared" si="407"/>
        <v>45380</v>
      </c>
      <c r="G4573" s="4">
        <f t="shared" si="401"/>
        <v>3</v>
      </c>
      <c r="H4573" s="4">
        <f t="shared" si="402"/>
        <v>2024</v>
      </c>
      <c r="I4573" s="2" t="s">
        <v>4</v>
      </c>
      <c r="J4573" s="2" t="s">
        <v>5363</v>
      </c>
      <c r="K4573" s="2" t="s">
        <v>205</v>
      </c>
      <c r="L4573" s="2" t="s">
        <v>206</v>
      </c>
      <c r="M4573" s="2" t="s">
        <v>119</v>
      </c>
      <c r="N4573" s="4" t="str">
        <f t="shared" si="403"/>
        <v>TON</v>
      </c>
      <c r="O4573" s="14">
        <v>3.0125000000000002</v>
      </c>
    </row>
    <row r="4574" spans="2:15" x14ac:dyDescent="0.25">
      <c r="B4574" s="1" t="s">
        <v>1520</v>
      </c>
      <c r="C4574" s="2" t="s">
        <v>196</v>
      </c>
      <c r="D4574" s="2" t="s">
        <v>283</v>
      </c>
      <c r="E4574" s="2" t="s">
        <v>699</v>
      </c>
      <c r="F4574" s="3">
        <f t="shared" si="407"/>
        <v>45380</v>
      </c>
      <c r="G4574" s="4">
        <f t="shared" si="401"/>
        <v>3</v>
      </c>
      <c r="H4574" s="4">
        <f t="shared" si="402"/>
        <v>2024</v>
      </c>
      <c r="I4574" s="2" t="s">
        <v>4</v>
      </c>
      <c r="J4574" s="2" t="s">
        <v>5364</v>
      </c>
      <c r="K4574" s="2" t="s">
        <v>384</v>
      </c>
      <c r="L4574" s="2" t="s">
        <v>385</v>
      </c>
      <c r="M4574" s="2" t="s">
        <v>119</v>
      </c>
      <c r="N4574" s="4" t="str">
        <f t="shared" si="403"/>
        <v>TON</v>
      </c>
      <c r="O4574" s="14">
        <v>1</v>
      </c>
    </row>
    <row r="4575" spans="2:15" x14ac:dyDescent="0.25">
      <c r="B4575" s="1" t="s">
        <v>1520</v>
      </c>
      <c r="C4575" s="2" t="s">
        <v>196</v>
      </c>
      <c r="D4575" s="2" t="s">
        <v>276</v>
      </c>
      <c r="E4575" s="2" t="s">
        <v>682</v>
      </c>
      <c r="F4575" s="3">
        <f t="shared" si="407"/>
        <v>45380</v>
      </c>
      <c r="G4575" s="4">
        <f t="shared" si="401"/>
        <v>3</v>
      </c>
      <c r="H4575" s="4">
        <f t="shared" si="402"/>
        <v>2024</v>
      </c>
      <c r="I4575" s="2" t="s">
        <v>4</v>
      </c>
      <c r="J4575" s="2" t="s">
        <v>5365</v>
      </c>
      <c r="K4575" s="2" t="s">
        <v>292</v>
      </c>
      <c r="L4575" s="2" t="s">
        <v>293</v>
      </c>
      <c r="M4575" s="2" t="s">
        <v>119</v>
      </c>
      <c r="N4575" s="4" t="str">
        <f t="shared" si="403"/>
        <v>TON</v>
      </c>
      <c r="O4575" s="14">
        <v>6.0125000000000002</v>
      </c>
    </row>
    <row r="4576" spans="2:15" x14ac:dyDescent="0.25">
      <c r="B4576" s="1" t="s">
        <v>1520</v>
      </c>
      <c r="C4576" s="2" t="s">
        <v>196</v>
      </c>
      <c r="D4576" s="2" t="s">
        <v>207</v>
      </c>
      <c r="E4576" s="2" t="s">
        <v>208</v>
      </c>
      <c r="F4576" s="3">
        <f t="shared" si="407"/>
        <v>45380</v>
      </c>
      <c r="G4576" s="4">
        <f t="shared" si="401"/>
        <v>3</v>
      </c>
      <c r="H4576" s="4">
        <f t="shared" si="402"/>
        <v>2024</v>
      </c>
      <c r="I4576" s="2" t="s">
        <v>4</v>
      </c>
      <c r="J4576" s="2" t="s">
        <v>5366</v>
      </c>
      <c r="K4576" s="2" t="s">
        <v>205</v>
      </c>
      <c r="L4576" s="2" t="s">
        <v>206</v>
      </c>
      <c r="M4576" s="2" t="s">
        <v>119</v>
      </c>
      <c r="N4576" s="4" t="str">
        <f t="shared" si="403"/>
        <v>TON</v>
      </c>
      <c r="O4576" s="14">
        <v>6.2450000000000001</v>
      </c>
    </row>
    <row r="4577" spans="2:15" x14ac:dyDescent="0.25">
      <c r="B4577" s="1" t="s">
        <v>382</v>
      </c>
      <c r="C4577" s="2" t="s">
        <v>506</v>
      </c>
      <c r="D4577" s="2" t="s">
        <v>1006</v>
      </c>
      <c r="E4577" s="2" t="s">
        <v>1007</v>
      </c>
      <c r="F4577" s="3">
        <f>DATE(2024,3,4)</f>
        <v>45355</v>
      </c>
      <c r="G4577" s="4">
        <f t="shared" si="401"/>
        <v>3</v>
      </c>
      <c r="H4577" s="4">
        <f t="shared" si="402"/>
        <v>2024</v>
      </c>
      <c r="I4577" s="2" t="s">
        <v>4</v>
      </c>
      <c r="J4577" s="2" t="s">
        <v>5367</v>
      </c>
      <c r="K4577" s="2" t="s">
        <v>642</v>
      </c>
      <c r="L4577" s="2" t="s">
        <v>111</v>
      </c>
      <c r="M4577" s="2" t="s">
        <v>112</v>
      </c>
      <c r="N4577" s="4" t="str">
        <f t="shared" si="403"/>
        <v>GAL</v>
      </c>
      <c r="O4577" s="5">
        <v>180</v>
      </c>
    </row>
    <row r="4578" spans="2:15" x14ac:dyDescent="0.25">
      <c r="B4578" s="1" t="s">
        <v>382</v>
      </c>
      <c r="C4578" s="2" t="s">
        <v>506</v>
      </c>
      <c r="D4578" s="2" t="s">
        <v>521</v>
      </c>
      <c r="E4578" s="2" t="s">
        <v>522</v>
      </c>
      <c r="F4578" s="3">
        <f>DATE(2024,3,4)</f>
        <v>45355</v>
      </c>
      <c r="G4578" s="4">
        <f t="shared" si="401"/>
        <v>3</v>
      </c>
      <c r="H4578" s="4">
        <f t="shared" si="402"/>
        <v>2024</v>
      </c>
      <c r="I4578" s="2" t="s">
        <v>4</v>
      </c>
      <c r="J4578" s="2" t="s">
        <v>5368</v>
      </c>
      <c r="K4578" s="2" t="s">
        <v>1400</v>
      </c>
      <c r="L4578" s="2" t="s">
        <v>1396</v>
      </c>
      <c r="M4578" s="2" t="s">
        <v>1397</v>
      </c>
      <c r="N4578" s="4" t="str">
        <f t="shared" si="403"/>
        <v>GAL</v>
      </c>
      <c r="O4578" s="5">
        <v>1000</v>
      </c>
    </row>
    <row r="4579" spans="2:15" x14ac:dyDescent="0.25">
      <c r="B4579" s="1" t="s">
        <v>382</v>
      </c>
      <c r="C4579" s="2" t="s">
        <v>506</v>
      </c>
      <c r="D4579" s="2" t="s">
        <v>515</v>
      </c>
      <c r="E4579" s="2" t="s">
        <v>516</v>
      </c>
      <c r="F4579" s="3">
        <f>DATE(2024,3,5)</f>
        <v>45356</v>
      </c>
      <c r="G4579" s="4">
        <f t="shared" si="401"/>
        <v>3</v>
      </c>
      <c r="H4579" s="4">
        <f t="shared" si="402"/>
        <v>2024</v>
      </c>
      <c r="I4579" s="2" t="s">
        <v>4</v>
      </c>
      <c r="J4579" s="2" t="s">
        <v>5369</v>
      </c>
      <c r="K4579" s="2" t="s">
        <v>609</v>
      </c>
      <c r="L4579" s="2" t="s">
        <v>610</v>
      </c>
      <c r="M4579" s="2" t="s">
        <v>611</v>
      </c>
      <c r="N4579" s="4" t="str">
        <f t="shared" si="403"/>
        <v>GAL</v>
      </c>
      <c r="O4579" s="5">
        <v>60</v>
      </c>
    </row>
    <row r="4580" spans="2:15" x14ac:dyDescent="0.25">
      <c r="B4580" s="1" t="s">
        <v>382</v>
      </c>
      <c r="C4580" s="2" t="s">
        <v>506</v>
      </c>
      <c r="D4580" s="2" t="s">
        <v>515</v>
      </c>
      <c r="E4580" s="2" t="s">
        <v>516</v>
      </c>
      <c r="F4580" s="3">
        <f>DATE(2024,3,8)</f>
        <v>45359</v>
      </c>
      <c r="G4580" s="4">
        <f t="shared" si="401"/>
        <v>3</v>
      </c>
      <c r="H4580" s="4">
        <f t="shared" si="402"/>
        <v>2024</v>
      </c>
      <c r="I4580" s="2" t="s">
        <v>4</v>
      </c>
      <c r="J4580" s="2" t="s">
        <v>5370</v>
      </c>
      <c r="K4580" s="2" t="s">
        <v>3877</v>
      </c>
      <c r="L4580" s="2" t="s">
        <v>94</v>
      </c>
      <c r="M4580" s="2" t="s">
        <v>95</v>
      </c>
      <c r="N4580" s="4" t="str">
        <f t="shared" si="403"/>
        <v>GAL</v>
      </c>
      <c r="O4580" s="5">
        <v>60</v>
      </c>
    </row>
    <row r="4581" spans="2:15" x14ac:dyDescent="0.25">
      <c r="B4581" s="1" t="s">
        <v>382</v>
      </c>
      <c r="C4581" s="2" t="s">
        <v>506</v>
      </c>
      <c r="D4581" s="2" t="s">
        <v>515</v>
      </c>
      <c r="E4581" s="2" t="s">
        <v>516</v>
      </c>
      <c r="F4581" s="3">
        <f>DATE(2024,3,15)</f>
        <v>45366</v>
      </c>
      <c r="G4581" s="4">
        <f t="shared" si="401"/>
        <v>3</v>
      </c>
      <c r="H4581" s="4">
        <f t="shared" si="402"/>
        <v>2024</v>
      </c>
      <c r="I4581" s="2" t="s">
        <v>4</v>
      </c>
      <c r="J4581" s="2" t="s">
        <v>5371</v>
      </c>
      <c r="K4581" s="2" t="s">
        <v>986</v>
      </c>
      <c r="L4581" s="2" t="s">
        <v>987</v>
      </c>
      <c r="M4581" s="2" t="s">
        <v>988</v>
      </c>
      <c r="N4581" s="4" t="str">
        <f t="shared" si="403"/>
        <v>GAL</v>
      </c>
      <c r="O4581" s="5">
        <v>30</v>
      </c>
    </row>
    <row r="4582" spans="2:15" x14ac:dyDescent="0.25">
      <c r="B4582" s="1" t="s">
        <v>382</v>
      </c>
      <c r="C4582" s="2" t="s">
        <v>506</v>
      </c>
      <c r="D4582" s="2" t="s">
        <v>515</v>
      </c>
      <c r="E4582" s="2" t="s">
        <v>516</v>
      </c>
      <c r="F4582" s="3">
        <f>DATE(2024,3,15)</f>
        <v>45366</v>
      </c>
      <c r="G4582" s="4">
        <f t="shared" si="401"/>
        <v>3</v>
      </c>
      <c r="H4582" s="4">
        <f t="shared" si="402"/>
        <v>2024</v>
      </c>
      <c r="I4582" s="2" t="s">
        <v>4</v>
      </c>
      <c r="J4582" s="2" t="s">
        <v>5371</v>
      </c>
      <c r="K4582" s="2" t="s">
        <v>1266</v>
      </c>
      <c r="L4582" s="2" t="s">
        <v>1267</v>
      </c>
      <c r="M4582" s="2" t="s">
        <v>191</v>
      </c>
      <c r="N4582" s="4" t="str">
        <f t="shared" si="403"/>
        <v>GAL</v>
      </c>
      <c r="O4582" s="5">
        <v>30</v>
      </c>
    </row>
    <row r="4583" spans="2:15" x14ac:dyDescent="0.25">
      <c r="B4583" s="1" t="s">
        <v>382</v>
      </c>
      <c r="C4583" s="2" t="s">
        <v>506</v>
      </c>
      <c r="D4583" s="2" t="s">
        <v>515</v>
      </c>
      <c r="E4583" s="2" t="s">
        <v>516</v>
      </c>
      <c r="F4583" s="3">
        <f>DATE(2024,3,15)</f>
        <v>45366</v>
      </c>
      <c r="G4583" s="4">
        <f t="shared" si="401"/>
        <v>3</v>
      </c>
      <c r="H4583" s="4">
        <f t="shared" si="402"/>
        <v>2024</v>
      </c>
      <c r="I4583" s="2" t="s">
        <v>4</v>
      </c>
      <c r="J4583" s="2" t="s">
        <v>5371</v>
      </c>
      <c r="K4583" s="2" t="s">
        <v>244</v>
      </c>
      <c r="L4583" s="2" t="s">
        <v>182</v>
      </c>
      <c r="M4583" s="2" t="s">
        <v>183</v>
      </c>
      <c r="N4583" s="4" t="str">
        <f t="shared" si="403"/>
        <v>GAL</v>
      </c>
      <c r="O4583" s="5">
        <v>60</v>
      </c>
    </row>
    <row r="4584" spans="2:15" x14ac:dyDescent="0.25">
      <c r="B4584" s="1" t="s">
        <v>382</v>
      </c>
      <c r="C4584" s="2" t="s">
        <v>506</v>
      </c>
      <c r="D4584" s="2" t="s">
        <v>515</v>
      </c>
      <c r="E4584" s="2" t="s">
        <v>516</v>
      </c>
      <c r="F4584" s="3">
        <f>DATE(2024,3,15)</f>
        <v>45366</v>
      </c>
      <c r="G4584" s="4">
        <f t="shared" si="401"/>
        <v>3</v>
      </c>
      <c r="H4584" s="4">
        <f t="shared" si="402"/>
        <v>2024</v>
      </c>
      <c r="I4584" s="2" t="s">
        <v>4</v>
      </c>
      <c r="J4584" s="2" t="s">
        <v>5371</v>
      </c>
      <c r="K4584" s="2" t="s">
        <v>83</v>
      </c>
      <c r="L4584" s="2" t="s">
        <v>518</v>
      </c>
      <c r="M4584" s="2" t="s">
        <v>85</v>
      </c>
      <c r="N4584" s="4" t="str">
        <f t="shared" si="403"/>
        <v>GAL</v>
      </c>
      <c r="O4584" s="5">
        <v>180</v>
      </c>
    </row>
    <row r="4585" spans="2:15" x14ac:dyDescent="0.25">
      <c r="B4585" s="1" t="s">
        <v>382</v>
      </c>
      <c r="C4585" s="2" t="s">
        <v>506</v>
      </c>
      <c r="D4585" s="2" t="s">
        <v>515</v>
      </c>
      <c r="E4585" s="2" t="s">
        <v>516</v>
      </c>
      <c r="F4585" s="3">
        <f>DATE(2024,3,15)</f>
        <v>45366</v>
      </c>
      <c r="G4585" s="4">
        <f t="shared" si="401"/>
        <v>3</v>
      </c>
      <c r="H4585" s="4">
        <f t="shared" si="402"/>
        <v>2024</v>
      </c>
      <c r="I4585" s="2" t="s">
        <v>4</v>
      </c>
      <c r="J4585" s="2" t="s">
        <v>5372</v>
      </c>
      <c r="K4585" s="2" t="s">
        <v>2447</v>
      </c>
      <c r="L4585" s="2" t="s">
        <v>547</v>
      </c>
      <c r="M4585" s="2" t="s">
        <v>160</v>
      </c>
      <c r="N4585" s="4" t="str">
        <f t="shared" si="403"/>
        <v>GAL</v>
      </c>
      <c r="O4585" s="5">
        <v>40</v>
      </c>
    </row>
    <row r="4586" spans="2:15" x14ac:dyDescent="0.25">
      <c r="B4586" s="1" t="s">
        <v>382</v>
      </c>
      <c r="C4586" s="2" t="s">
        <v>506</v>
      </c>
      <c r="D4586" s="2" t="s">
        <v>521</v>
      </c>
      <c r="E4586" s="2" t="s">
        <v>522</v>
      </c>
      <c r="F4586" s="3">
        <f>DATE(2024,3,19)</f>
        <v>45370</v>
      </c>
      <c r="G4586" s="4">
        <f t="shared" si="401"/>
        <v>3</v>
      </c>
      <c r="H4586" s="4">
        <f t="shared" si="402"/>
        <v>2024</v>
      </c>
      <c r="I4586" s="2" t="s">
        <v>4</v>
      </c>
      <c r="J4586" s="2" t="s">
        <v>5373</v>
      </c>
      <c r="K4586" s="2" t="s">
        <v>1395</v>
      </c>
      <c r="L4586" s="2" t="s">
        <v>1396</v>
      </c>
      <c r="M4586" s="2" t="s">
        <v>1397</v>
      </c>
      <c r="N4586" s="4" t="str">
        <f t="shared" si="403"/>
        <v>GAL</v>
      </c>
      <c r="O4586" s="5">
        <v>180</v>
      </c>
    </row>
    <row r="4587" spans="2:15" x14ac:dyDescent="0.25">
      <c r="B4587" s="1" t="s">
        <v>382</v>
      </c>
      <c r="C4587" s="2" t="s">
        <v>506</v>
      </c>
      <c r="D4587" s="2" t="s">
        <v>521</v>
      </c>
      <c r="E4587" s="2" t="s">
        <v>522</v>
      </c>
      <c r="F4587" s="3">
        <f>DATE(2024,3,19)</f>
        <v>45370</v>
      </c>
      <c r="G4587" s="4">
        <f t="shared" si="401"/>
        <v>3</v>
      </c>
      <c r="H4587" s="4">
        <f t="shared" si="402"/>
        <v>2024</v>
      </c>
      <c r="I4587" s="2" t="s">
        <v>4</v>
      </c>
      <c r="J4587" s="2" t="s">
        <v>5373</v>
      </c>
      <c r="K4587" s="2" t="s">
        <v>244</v>
      </c>
      <c r="L4587" s="2" t="s">
        <v>182</v>
      </c>
      <c r="M4587" s="2" t="s">
        <v>183</v>
      </c>
      <c r="N4587" s="4" t="str">
        <f t="shared" si="403"/>
        <v>GAL</v>
      </c>
      <c r="O4587" s="5">
        <v>180</v>
      </c>
    </row>
    <row r="4588" spans="2:15" x14ac:dyDescent="0.25">
      <c r="B4588" s="1" t="s">
        <v>382</v>
      </c>
      <c r="C4588" s="2" t="s">
        <v>506</v>
      </c>
      <c r="D4588" s="2" t="s">
        <v>515</v>
      </c>
      <c r="E4588" s="2" t="s">
        <v>516</v>
      </c>
      <c r="F4588" s="3">
        <f>DATE(2024,3,22)</f>
        <v>45373</v>
      </c>
      <c r="G4588" s="4">
        <f t="shared" si="401"/>
        <v>3</v>
      </c>
      <c r="H4588" s="4">
        <f t="shared" si="402"/>
        <v>2024</v>
      </c>
      <c r="I4588" s="2" t="s">
        <v>4</v>
      </c>
      <c r="J4588" s="2" t="s">
        <v>5374</v>
      </c>
      <c r="K4588" s="2" t="s">
        <v>2447</v>
      </c>
      <c r="L4588" s="2" t="s">
        <v>547</v>
      </c>
      <c r="M4588" s="2" t="s">
        <v>160</v>
      </c>
      <c r="N4588" s="4" t="str">
        <f t="shared" si="403"/>
        <v>GAL</v>
      </c>
      <c r="O4588" s="5">
        <v>50</v>
      </c>
    </row>
    <row r="4589" spans="2:15" x14ac:dyDescent="0.25">
      <c r="B4589" s="1" t="s">
        <v>382</v>
      </c>
      <c r="C4589" s="2" t="s">
        <v>506</v>
      </c>
      <c r="D4589" s="2" t="s">
        <v>515</v>
      </c>
      <c r="E4589" s="2" t="s">
        <v>516</v>
      </c>
      <c r="F4589" s="3">
        <f>DATE(2024,3,22)</f>
        <v>45373</v>
      </c>
      <c r="G4589" s="4">
        <f t="shared" si="401"/>
        <v>3</v>
      </c>
      <c r="H4589" s="4">
        <f t="shared" si="402"/>
        <v>2024</v>
      </c>
      <c r="I4589" s="2" t="s">
        <v>4</v>
      </c>
      <c r="J4589" s="2" t="s">
        <v>5375</v>
      </c>
      <c r="K4589" s="2" t="s">
        <v>609</v>
      </c>
      <c r="L4589" s="2" t="s">
        <v>610</v>
      </c>
      <c r="M4589" s="2" t="s">
        <v>611</v>
      </c>
      <c r="N4589" s="4" t="str">
        <f t="shared" si="403"/>
        <v>GAL</v>
      </c>
      <c r="O4589" s="5">
        <v>180</v>
      </c>
    </row>
    <row r="4590" spans="2:15" x14ac:dyDescent="0.25">
      <c r="B4590" s="1" t="s">
        <v>645</v>
      </c>
      <c r="C4590" s="2" t="s">
        <v>1025</v>
      </c>
      <c r="D4590" s="2" t="s">
        <v>2478</v>
      </c>
      <c r="E4590" s="2" t="s">
        <v>124</v>
      </c>
      <c r="F4590" s="3">
        <f t="shared" ref="F4590:F4595" si="408">DATE(2024,3,7)</f>
        <v>45358</v>
      </c>
      <c r="G4590" s="4">
        <f t="shared" si="401"/>
        <v>3</v>
      </c>
      <c r="H4590" s="4">
        <f t="shared" si="402"/>
        <v>2024</v>
      </c>
      <c r="I4590" s="2" t="s">
        <v>4</v>
      </c>
      <c r="J4590" s="2" t="s">
        <v>5376</v>
      </c>
      <c r="K4590" s="2" t="s">
        <v>551</v>
      </c>
      <c r="L4590" s="2" t="s">
        <v>2426</v>
      </c>
      <c r="M4590" s="2" t="s">
        <v>553</v>
      </c>
      <c r="N4590" s="4" t="str">
        <f t="shared" si="403"/>
        <v>GAL</v>
      </c>
      <c r="O4590" s="5">
        <v>15</v>
      </c>
    </row>
    <row r="4591" spans="2:15" x14ac:dyDescent="0.25">
      <c r="B4591" s="1" t="s">
        <v>645</v>
      </c>
      <c r="C4591" s="2" t="s">
        <v>1025</v>
      </c>
      <c r="D4591" s="2" t="s">
        <v>2478</v>
      </c>
      <c r="E4591" s="2" t="s">
        <v>124</v>
      </c>
      <c r="F4591" s="3">
        <f t="shared" si="408"/>
        <v>45358</v>
      </c>
      <c r="G4591" s="4">
        <f t="shared" si="401"/>
        <v>3</v>
      </c>
      <c r="H4591" s="4">
        <f t="shared" si="402"/>
        <v>2024</v>
      </c>
      <c r="I4591" s="2" t="s">
        <v>4</v>
      </c>
      <c r="J4591" s="2" t="s">
        <v>5376</v>
      </c>
      <c r="K4591" s="2" t="s">
        <v>158</v>
      </c>
      <c r="L4591" s="2" t="s">
        <v>159</v>
      </c>
      <c r="M4591" s="2" t="s">
        <v>160</v>
      </c>
      <c r="N4591" s="4" t="str">
        <f t="shared" si="403"/>
        <v>GAL</v>
      </c>
      <c r="O4591" s="5">
        <v>40</v>
      </c>
    </row>
    <row r="4592" spans="2:15" x14ac:dyDescent="0.25">
      <c r="B4592" s="1" t="s">
        <v>645</v>
      </c>
      <c r="C4592" s="2" t="s">
        <v>1025</v>
      </c>
      <c r="D4592" s="2" t="s">
        <v>1401</v>
      </c>
      <c r="E4592" s="2" t="s">
        <v>1402</v>
      </c>
      <c r="F4592" s="3">
        <f t="shared" si="408"/>
        <v>45358</v>
      </c>
      <c r="G4592" s="4">
        <f t="shared" si="401"/>
        <v>3</v>
      </c>
      <c r="H4592" s="4">
        <f t="shared" si="402"/>
        <v>2024</v>
      </c>
      <c r="I4592" s="2" t="s">
        <v>4</v>
      </c>
      <c r="J4592" s="2" t="s">
        <v>5377</v>
      </c>
      <c r="K4592" s="2" t="s">
        <v>1404</v>
      </c>
      <c r="L4592" s="2" t="s">
        <v>1405</v>
      </c>
      <c r="M4592" s="2" t="s">
        <v>1397</v>
      </c>
      <c r="N4592" s="4" t="str">
        <f t="shared" si="403"/>
        <v>GAL</v>
      </c>
      <c r="O4592" s="5">
        <v>720</v>
      </c>
    </row>
    <row r="4593" spans="2:15" x14ac:dyDescent="0.25">
      <c r="B4593" s="1" t="s">
        <v>645</v>
      </c>
      <c r="C4593" s="2" t="s">
        <v>1025</v>
      </c>
      <c r="D4593" s="2" t="s">
        <v>1401</v>
      </c>
      <c r="E4593" s="2" t="s">
        <v>1402</v>
      </c>
      <c r="F4593" s="3">
        <f t="shared" si="408"/>
        <v>45358</v>
      </c>
      <c r="G4593" s="4">
        <f t="shared" si="401"/>
        <v>3</v>
      </c>
      <c r="H4593" s="4">
        <f t="shared" si="402"/>
        <v>2024</v>
      </c>
      <c r="I4593" s="2" t="s">
        <v>4</v>
      </c>
      <c r="J4593" s="2" t="s">
        <v>5377</v>
      </c>
      <c r="K4593" s="2" t="s">
        <v>2081</v>
      </c>
      <c r="L4593" s="2" t="s">
        <v>1405</v>
      </c>
      <c r="M4593" s="2" t="s">
        <v>1397</v>
      </c>
      <c r="N4593" s="4" t="str">
        <f t="shared" si="403"/>
        <v>GAL</v>
      </c>
      <c r="O4593" s="5">
        <v>500</v>
      </c>
    </row>
    <row r="4594" spans="2:15" x14ac:dyDescent="0.25">
      <c r="B4594" s="1" t="s">
        <v>1742</v>
      </c>
      <c r="C4594" s="2" t="s">
        <v>1025</v>
      </c>
      <c r="D4594" s="2" t="s">
        <v>496</v>
      </c>
      <c r="E4594" s="2" t="s">
        <v>497</v>
      </c>
      <c r="F4594" s="3">
        <f t="shared" si="408"/>
        <v>45358</v>
      </c>
      <c r="G4594" s="4">
        <f t="shared" si="401"/>
        <v>3</v>
      </c>
      <c r="H4594" s="4">
        <f t="shared" si="402"/>
        <v>2024</v>
      </c>
      <c r="I4594" s="2" t="s">
        <v>4</v>
      </c>
      <c r="J4594" s="2" t="s">
        <v>5378</v>
      </c>
      <c r="K4594" s="2" t="s">
        <v>2481</v>
      </c>
      <c r="L4594" s="2" t="s">
        <v>2482</v>
      </c>
      <c r="M4594" s="2" t="s">
        <v>119</v>
      </c>
      <c r="N4594" s="4" t="str">
        <f t="shared" si="403"/>
        <v>TON</v>
      </c>
      <c r="O4594" s="5">
        <v>1.2649999999999999</v>
      </c>
    </row>
    <row r="4595" spans="2:15" x14ac:dyDescent="0.25">
      <c r="B4595" s="6" t="s">
        <v>645</v>
      </c>
      <c r="C4595" s="7" t="s">
        <v>1025</v>
      </c>
      <c r="D4595" s="8" t="s">
        <v>2478</v>
      </c>
      <c r="E4595" s="8" t="s">
        <v>124</v>
      </c>
      <c r="F4595" s="9">
        <f t="shared" si="408"/>
        <v>45358</v>
      </c>
      <c r="G4595" s="10">
        <f t="shared" si="401"/>
        <v>3</v>
      </c>
      <c r="H4595" s="10">
        <f t="shared" si="402"/>
        <v>2024</v>
      </c>
      <c r="I4595" s="8" t="s">
        <v>4</v>
      </c>
      <c r="J4595" s="7" t="s">
        <v>5379</v>
      </c>
      <c r="K4595" s="8" t="s">
        <v>2486</v>
      </c>
      <c r="L4595" s="8" t="s">
        <v>2487</v>
      </c>
      <c r="M4595" s="8" t="s">
        <v>119</v>
      </c>
      <c r="N4595" s="10" t="str">
        <f t="shared" si="403"/>
        <v>TON</v>
      </c>
      <c r="O4595" s="11">
        <v>5.0075000000000003</v>
      </c>
    </row>
    <row r="4596" spans="2:15" x14ac:dyDescent="0.25">
      <c r="B4596" s="1" t="s">
        <v>645</v>
      </c>
      <c r="C4596" s="2" t="s">
        <v>1025</v>
      </c>
      <c r="D4596" s="2" t="s">
        <v>1401</v>
      </c>
      <c r="E4596" s="2" t="s">
        <v>1402</v>
      </c>
      <c r="F4596" s="3">
        <f>DATE(2024,3,11)</f>
        <v>45362</v>
      </c>
      <c r="G4596" s="4">
        <f t="shared" si="401"/>
        <v>3</v>
      </c>
      <c r="H4596" s="4">
        <f t="shared" si="402"/>
        <v>2024</v>
      </c>
      <c r="I4596" s="2" t="s">
        <v>4</v>
      </c>
      <c r="J4596" s="2" t="s">
        <v>5380</v>
      </c>
      <c r="K4596" s="2" t="s">
        <v>4772</v>
      </c>
      <c r="L4596" s="2" t="s">
        <v>4773</v>
      </c>
      <c r="M4596" s="2" t="s">
        <v>4774</v>
      </c>
      <c r="N4596" s="4" t="str">
        <f t="shared" si="403"/>
        <v>GAL</v>
      </c>
      <c r="O4596" s="5">
        <v>180</v>
      </c>
    </row>
    <row r="4597" spans="2:15" x14ac:dyDescent="0.25">
      <c r="B4597" s="1" t="s">
        <v>645</v>
      </c>
      <c r="C4597" s="2" t="s">
        <v>1025</v>
      </c>
      <c r="D4597" s="2" t="s">
        <v>2079</v>
      </c>
      <c r="E4597" s="2" t="s">
        <v>1402</v>
      </c>
      <c r="F4597" s="3">
        <f>DATE(2024,3,11)</f>
        <v>45362</v>
      </c>
      <c r="G4597" s="4">
        <f t="shared" si="401"/>
        <v>3</v>
      </c>
      <c r="H4597" s="4">
        <f t="shared" si="402"/>
        <v>2024</v>
      </c>
      <c r="I4597" s="2" t="s">
        <v>4</v>
      </c>
      <c r="J4597" s="2" t="s">
        <v>5381</v>
      </c>
      <c r="K4597" s="2" t="s">
        <v>609</v>
      </c>
      <c r="L4597" s="2" t="s">
        <v>610</v>
      </c>
      <c r="M4597" s="2" t="s">
        <v>611</v>
      </c>
      <c r="N4597" s="4" t="str">
        <f t="shared" si="403"/>
        <v>GAL</v>
      </c>
      <c r="O4597" s="5">
        <v>180</v>
      </c>
    </row>
    <row r="4598" spans="2:15" x14ac:dyDescent="0.25">
      <c r="B4598" s="1" t="s">
        <v>645</v>
      </c>
      <c r="C4598" s="2" t="s">
        <v>1025</v>
      </c>
      <c r="D4598" s="2" t="s">
        <v>2079</v>
      </c>
      <c r="E4598" s="2" t="s">
        <v>1402</v>
      </c>
      <c r="F4598" s="3">
        <f>DATE(2024,3,11)</f>
        <v>45362</v>
      </c>
      <c r="G4598" s="4">
        <f t="shared" si="401"/>
        <v>3</v>
      </c>
      <c r="H4598" s="4">
        <f t="shared" si="402"/>
        <v>2024</v>
      </c>
      <c r="I4598" s="2" t="s">
        <v>4</v>
      </c>
      <c r="J4598" s="2" t="s">
        <v>5382</v>
      </c>
      <c r="K4598" s="2" t="s">
        <v>2081</v>
      </c>
      <c r="L4598" s="2" t="s">
        <v>1405</v>
      </c>
      <c r="M4598" s="2" t="s">
        <v>1397</v>
      </c>
      <c r="N4598" s="4" t="str">
        <f t="shared" si="403"/>
        <v>GAL</v>
      </c>
      <c r="O4598" s="5">
        <v>750</v>
      </c>
    </row>
    <row r="4599" spans="2:15" x14ac:dyDescent="0.25">
      <c r="B4599" s="1" t="s">
        <v>645</v>
      </c>
      <c r="C4599" s="2" t="s">
        <v>1025</v>
      </c>
      <c r="D4599" s="2" t="s">
        <v>2079</v>
      </c>
      <c r="E4599" s="2" t="s">
        <v>1402</v>
      </c>
      <c r="F4599" s="3">
        <f>DATE(2024,3,14)</f>
        <v>45365</v>
      </c>
      <c r="G4599" s="4">
        <f t="shared" si="401"/>
        <v>3</v>
      </c>
      <c r="H4599" s="4">
        <f t="shared" si="402"/>
        <v>2024</v>
      </c>
      <c r="I4599" s="2" t="s">
        <v>4</v>
      </c>
      <c r="J4599" s="2" t="s">
        <v>5383</v>
      </c>
      <c r="K4599" s="2" t="s">
        <v>2081</v>
      </c>
      <c r="L4599" s="2" t="s">
        <v>1405</v>
      </c>
      <c r="M4599" s="2" t="s">
        <v>1397</v>
      </c>
      <c r="N4599" s="4" t="str">
        <f t="shared" si="403"/>
        <v>GAL</v>
      </c>
      <c r="O4599" s="5">
        <v>1000</v>
      </c>
    </row>
    <row r="4600" spans="2:15" x14ac:dyDescent="0.25">
      <c r="B4600" s="1" t="s">
        <v>645</v>
      </c>
      <c r="C4600" s="2" t="s">
        <v>1025</v>
      </c>
      <c r="D4600" s="2" t="s">
        <v>1401</v>
      </c>
      <c r="E4600" s="2" t="s">
        <v>1402</v>
      </c>
      <c r="F4600" s="3">
        <f>DATE(2024,3,18)</f>
        <v>45369</v>
      </c>
      <c r="G4600" s="4">
        <f t="shared" si="401"/>
        <v>3</v>
      </c>
      <c r="H4600" s="4">
        <f t="shared" si="402"/>
        <v>2024</v>
      </c>
      <c r="I4600" s="2" t="s">
        <v>4</v>
      </c>
      <c r="J4600" s="2" t="s">
        <v>5384</v>
      </c>
      <c r="K4600" s="2" t="s">
        <v>2081</v>
      </c>
      <c r="L4600" s="2" t="s">
        <v>1405</v>
      </c>
      <c r="M4600" s="2" t="s">
        <v>1397</v>
      </c>
      <c r="N4600" s="4" t="str">
        <f t="shared" si="403"/>
        <v>GAL</v>
      </c>
      <c r="O4600" s="5">
        <v>500</v>
      </c>
    </row>
    <row r="4601" spans="2:15" x14ac:dyDescent="0.25">
      <c r="B4601" s="1" t="s">
        <v>1742</v>
      </c>
      <c r="C4601" s="2" t="s">
        <v>1025</v>
      </c>
      <c r="D4601" s="2" t="s">
        <v>5385</v>
      </c>
      <c r="E4601" s="2" t="s">
        <v>102</v>
      </c>
      <c r="F4601" s="3">
        <f>DATE(2024,3,19)</f>
        <v>45370</v>
      </c>
      <c r="G4601" s="4">
        <f t="shared" ref="G4601:G4664" si="409">+MONTH(F4601)</f>
        <v>3</v>
      </c>
      <c r="H4601" s="4">
        <f t="shared" ref="H4601:H4664" si="410">+YEAR(F4601)</f>
        <v>2024</v>
      </c>
      <c r="I4601" s="2" t="s">
        <v>4</v>
      </c>
      <c r="J4601" s="2" t="s">
        <v>5386</v>
      </c>
      <c r="K4601" s="2" t="s">
        <v>551</v>
      </c>
      <c r="L4601" s="2" t="s">
        <v>2426</v>
      </c>
      <c r="M4601" s="2" t="s">
        <v>553</v>
      </c>
      <c r="N4601" s="4" t="str">
        <f t="shared" ref="N4601:N4664" si="411">+LEFT(M4601,3)</f>
        <v>GAL</v>
      </c>
      <c r="O4601" s="5">
        <v>20</v>
      </c>
    </row>
    <row r="4602" spans="2:15" x14ac:dyDescent="0.25">
      <c r="B4602" s="1" t="s">
        <v>1742</v>
      </c>
      <c r="C4602" s="2" t="s">
        <v>1025</v>
      </c>
      <c r="D4602" s="2" t="s">
        <v>2456</v>
      </c>
      <c r="E4602" s="2" t="s">
        <v>5387</v>
      </c>
      <c r="F4602" s="3">
        <f>DATE(2024,3,19)</f>
        <v>45370</v>
      </c>
      <c r="G4602" s="4">
        <f t="shared" si="409"/>
        <v>3</v>
      </c>
      <c r="H4602" s="4">
        <f t="shared" si="410"/>
        <v>2024</v>
      </c>
      <c r="I4602" s="2" t="s">
        <v>4</v>
      </c>
      <c r="J4602" s="2" t="s">
        <v>5388</v>
      </c>
      <c r="K4602" s="2" t="s">
        <v>189</v>
      </c>
      <c r="L4602" s="2" t="s">
        <v>190</v>
      </c>
      <c r="M4602" s="2" t="s">
        <v>191</v>
      </c>
      <c r="N4602" s="4" t="str">
        <f t="shared" si="411"/>
        <v>GAL</v>
      </c>
      <c r="O4602" s="5">
        <v>180</v>
      </c>
    </row>
    <row r="4603" spans="2:15" x14ac:dyDescent="0.25">
      <c r="B4603" s="1" t="s">
        <v>645</v>
      </c>
      <c r="C4603" s="2" t="s">
        <v>1025</v>
      </c>
      <c r="D4603" s="2" t="s">
        <v>1401</v>
      </c>
      <c r="E4603" s="2" t="s">
        <v>1402</v>
      </c>
      <c r="F4603" s="3">
        <f>DATE(2024,3,20)</f>
        <v>45371</v>
      </c>
      <c r="G4603" s="4">
        <f t="shared" si="409"/>
        <v>3</v>
      </c>
      <c r="H4603" s="4">
        <f t="shared" si="410"/>
        <v>2024</v>
      </c>
      <c r="I4603" s="2" t="s">
        <v>4</v>
      </c>
      <c r="J4603" s="2" t="s">
        <v>5389</v>
      </c>
      <c r="K4603" s="2" t="s">
        <v>2083</v>
      </c>
      <c r="L4603" s="2" t="s">
        <v>2084</v>
      </c>
      <c r="M4603" s="2" t="s">
        <v>119</v>
      </c>
      <c r="N4603" s="4" t="str">
        <f t="shared" si="411"/>
        <v>TON</v>
      </c>
      <c r="O4603" s="5">
        <v>5.0049999999999999</v>
      </c>
    </row>
    <row r="4604" spans="2:15" x14ac:dyDescent="0.25">
      <c r="B4604" s="1" t="s">
        <v>645</v>
      </c>
      <c r="C4604" s="2" t="s">
        <v>1025</v>
      </c>
      <c r="D4604" s="2" t="s">
        <v>1401</v>
      </c>
      <c r="E4604" s="2" t="s">
        <v>1402</v>
      </c>
      <c r="F4604" s="3">
        <f>DATE(2024,3,20)</f>
        <v>45371</v>
      </c>
      <c r="G4604" s="4">
        <f t="shared" si="409"/>
        <v>3</v>
      </c>
      <c r="H4604" s="4">
        <f t="shared" si="410"/>
        <v>2024</v>
      </c>
      <c r="I4604" s="2" t="s">
        <v>4</v>
      </c>
      <c r="J4604" s="2" t="s">
        <v>5390</v>
      </c>
      <c r="K4604" s="2" t="s">
        <v>3627</v>
      </c>
      <c r="L4604" s="2" t="s">
        <v>3628</v>
      </c>
      <c r="M4604" s="2" t="s">
        <v>3629</v>
      </c>
      <c r="N4604" s="4" t="str">
        <f t="shared" si="411"/>
        <v>GAL</v>
      </c>
      <c r="O4604" s="5">
        <v>360</v>
      </c>
    </row>
    <row r="4605" spans="2:15" x14ac:dyDescent="0.25">
      <c r="B4605" s="6" t="s">
        <v>645</v>
      </c>
      <c r="C4605" s="7" t="s">
        <v>1025</v>
      </c>
      <c r="D4605" s="8" t="s">
        <v>1401</v>
      </c>
      <c r="E4605" s="8" t="s">
        <v>1402</v>
      </c>
      <c r="F4605" s="9">
        <f>DATE(2024,3,21)</f>
        <v>45372</v>
      </c>
      <c r="G4605" s="10">
        <f t="shared" si="409"/>
        <v>3</v>
      </c>
      <c r="H4605" s="10">
        <f t="shared" si="410"/>
        <v>2024</v>
      </c>
      <c r="I4605" s="8" t="s">
        <v>4</v>
      </c>
      <c r="J4605" s="8" t="s">
        <v>5391</v>
      </c>
      <c r="K4605" s="8" t="s">
        <v>5392</v>
      </c>
      <c r="L4605" s="8" t="s">
        <v>5393</v>
      </c>
      <c r="M4605" s="8" t="s">
        <v>2168</v>
      </c>
      <c r="N4605" s="10" t="str">
        <f t="shared" si="411"/>
        <v>GAL</v>
      </c>
      <c r="O4605" s="11">
        <v>180</v>
      </c>
    </row>
    <row r="4606" spans="2:15" x14ac:dyDescent="0.25">
      <c r="B4606" s="1" t="s">
        <v>645</v>
      </c>
      <c r="C4606" s="2" t="s">
        <v>1025</v>
      </c>
      <c r="D4606" s="2" t="s">
        <v>1401</v>
      </c>
      <c r="E4606" s="2" t="s">
        <v>1402</v>
      </c>
      <c r="F4606" s="3">
        <f>DATE(2024,3,21)</f>
        <v>45372</v>
      </c>
      <c r="G4606" s="4">
        <f t="shared" si="409"/>
        <v>3</v>
      </c>
      <c r="H4606" s="4">
        <f t="shared" si="410"/>
        <v>2024</v>
      </c>
      <c r="I4606" s="2" t="s">
        <v>4</v>
      </c>
      <c r="J4606" s="2" t="s">
        <v>5391</v>
      </c>
      <c r="K4606" s="2" t="s">
        <v>3627</v>
      </c>
      <c r="L4606" s="2" t="s">
        <v>3628</v>
      </c>
      <c r="M4606" s="2" t="s">
        <v>3629</v>
      </c>
      <c r="N4606" s="4" t="str">
        <f t="shared" si="411"/>
        <v>GAL</v>
      </c>
      <c r="O4606" s="5">
        <v>360</v>
      </c>
    </row>
    <row r="4607" spans="2:15" x14ac:dyDescent="0.25">
      <c r="B4607" s="1" t="s">
        <v>645</v>
      </c>
      <c r="C4607" s="2" t="s">
        <v>1025</v>
      </c>
      <c r="D4607" s="2" t="s">
        <v>1401</v>
      </c>
      <c r="E4607" s="2" t="s">
        <v>1402</v>
      </c>
      <c r="F4607" s="3">
        <f>DATE(2024,3,21)</f>
        <v>45372</v>
      </c>
      <c r="G4607" s="4">
        <f t="shared" si="409"/>
        <v>3</v>
      </c>
      <c r="H4607" s="4">
        <f t="shared" si="410"/>
        <v>2024</v>
      </c>
      <c r="I4607" s="2" t="s">
        <v>4</v>
      </c>
      <c r="J4607" s="2" t="s">
        <v>5391</v>
      </c>
      <c r="K4607" s="2" t="s">
        <v>1404</v>
      </c>
      <c r="L4607" s="2" t="s">
        <v>1405</v>
      </c>
      <c r="M4607" s="2" t="s">
        <v>1397</v>
      </c>
      <c r="N4607" s="4" t="str">
        <f t="shared" si="411"/>
        <v>GAL</v>
      </c>
      <c r="O4607" s="5">
        <v>480</v>
      </c>
    </row>
    <row r="4608" spans="2:15" x14ac:dyDescent="0.25">
      <c r="B4608" s="1" t="s">
        <v>1742</v>
      </c>
      <c r="C4608" s="2" t="s">
        <v>1025</v>
      </c>
      <c r="D4608" s="2" t="s">
        <v>628</v>
      </c>
      <c r="E4608" s="2" t="s">
        <v>2179</v>
      </c>
      <c r="F4608" s="3">
        <f>DATE(2024,3,26)</f>
        <v>45377</v>
      </c>
      <c r="G4608" s="4">
        <f t="shared" si="409"/>
        <v>3</v>
      </c>
      <c r="H4608" s="4">
        <f t="shared" si="410"/>
        <v>2024</v>
      </c>
      <c r="I4608" s="2" t="s">
        <v>4</v>
      </c>
      <c r="J4608" s="2" t="s">
        <v>5394</v>
      </c>
      <c r="K4608" s="2" t="s">
        <v>2181</v>
      </c>
      <c r="L4608" s="2" t="s">
        <v>2182</v>
      </c>
      <c r="M4608" s="2" t="s">
        <v>119</v>
      </c>
      <c r="N4608" s="4" t="str">
        <f t="shared" si="411"/>
        <v>TON</v>
      </c>
      <c r="O4608" s="5">
        <v>5</v>
      </c>
    </row>
    <row r="4609" spans="2:15" x14ac:dyDescent="0.25">
      <c r="B4609" s="1" t="s">
        <v>645</v>
      </c>
      <c r="C4609" s="2" t="s">
        <v>1025</v>
      </c>
      <c r="D4609" s="2" t="s">
        <v>2079</v>
      </c>
      <c r="E4609" s="2" t="s">
        <v>1402</v>
      </c>
      <c r="F4609" s="3">
        <f>DATE(2024,3,27)</f>
        <v>45378</v>
      </c>
      <c r="G4609" s="4">
        <f t="shared" si="409"/>
        <v>3</v>
      </c>
      <c r="H4609" s="4">
        <f t="shared" si="410"/>
        <v>2024</v>
      </c>
      <c r="I4609" s="2" t="s">
        <v>4</v>
      </c>
      <c r="J4609" s="2" t="s">
        <v>5395</v>
      </c>
      <c r="K4609" s="2" t="s">
        <v>1404</v>
      </c>
      <c r="L4609" s="2" t="s">
        <v>1405</v>
      </c>
      <c r="M4609" s="2" t="s">
        <v>1397</v>
      </c>
      <c r="N4609" s="4" t="str">
        <f t="shared" si="411"/>
        <v>GAL</v>
      </c>
      <c r="O4609" s="5">
        <v>480</v>
      </c>
    </row>
    <row r="4610" spans="2:15" x14ac:dyDescent="0.25">
      <c r="B4610" s="1" t="s">
        <v>645</v>
      </c>
      <c r="C4610" s="2" t="s">
        <v>1025</v>
      </c>
      <c r="D4610" s="2" t="s">
        <v>2079</v>
      </c>
      <c r="E4610" s="2" t="s">
        <v>1402</v>
      </c>
      <c r="F4610" s="3">
        <f>DATE(2024,3,27)</f>
        <v>45378</v>
      </c>
      <c r="G4610" s="4">
        <f t="shared" si="409"/>
        <v>3</v>
      </c>
      <c r="H4610" s="4">
        <f t="shared" si="410"/>
        <v>2024</v>
      </c>
      <c r="I4610" s="2" t="s">
        <v>4</v>
      </c>
      <c r="J4610" s="2" t="s">
        <v>5395</v>
      </c>
      <c r="K4610" s="2" t="s">
        <v>2081</v>
      </c>
      <c r="L4610" s="2" t="s">
        <v>1405</v>
      </c>
      <c r="M4610" s="2" t="s">
        <v>1397</v>
      </c>
      <c r="N4610" s="4" t="str">
        <f t="shared" si="411"/>
        <v>GAL</v>
      </c>
      <c r="O4610" s="5">
        <v>250</v>
      </c>
    </row>
    <row r="4611" spans="2:15" x14ac:dyDescent="0.25">
      <c r="B4611" s="1" t="s">
        <v>1742</v>
      </c>
      <c r="C4611" s="2" t="s">
        <v>1025</v>
      </c>
      <c r="D4611" s="2" t="s">
        <v>124</v>
      </c>
      <c r="E4611" s="2" t="s">
        <v>2475</v>
      </c>
      <c r="F4611" s="3">
        <f>DATE(2024,3,27)</f>
        <v>45378</v>
      </c>
      <c r="G4611" s="4">
        <f t="shared" si="409"/>
        <v>3</v>
      </c>
      <c r="H4611" s="4">
        <f t="shared" si="410"/>
        <v>2024</v>
      </c>
      <c r="I4611" s="2" t="s">
        <v>4</v>
      </c>
      <c r="J4611" s="2" t="s">
        <v>5396</v>
      </c>
      <c r="K4611" s="2" t="s">
        <v>158</v>
      </c>
      <c r="L4611" s="2" t="s">
        <v>159</v>
      </c>
      <c r="M4611" s="2" t="s">
        <v>160</v>
      </c>
      <c r="N4611" s="4" t="str">
        <f t="shared" si="411"/>
        <v>GAL</v>
      </c>
      <c r="O4611" s="5">
        <v>180</v>
      </c>
    </row>
    <row r="4612" spans="2:15" x14ac:dyDescent="0.25">
      <c r="B4612" s="1" t="s">
        <v>645</v>
      </c>
      <c r="C4612" s="2" t="s">
        <v>1025</v>
      </c>
      <c r="D4612" s="2" t="s">
        <v>2079</v>
      </c>
      <c r="E4612" s="2" t="s">
        <v>1402</v>
      </c>
      <c r="F4612" s="3">
        <f>DATE(2024,3,27)</f>
        <v>45378</v>
      </c>
      <c r="G4612" s="4">
        <f t="shared" si="409"/>
        <v>3</v>
      </c>
      <c r="H4612" s="4">
        <f t="shared" si="410"/>
        <v>2024</v>
      </c>
      <c r="I4612" s="2" t="s">
        <v>4</v>
      </c>
      <c r="J4612" s="2" t="s">
        <v>5397</v>
      </c>
      <c r="K4612" s="2" t="s">
        <v>2081</v>
      </c>
      <c r="L4612" s="2" t="s">
        <v>1405</v>
      </c>
      <c r="M4612" s="2" t="s">
        <v>1397</v>
      </c>
      <c r="N4612" s="4" t="str">
        <f t="shared" si="411"/>
        <v>GAL</v>
      </c>
      <c r="O4612" s="5">
        <v>1000</v>
      </c>
    </row>
    <row r="4613" spans="2:15" x14ac:dyDescent="0.25">
      <c r="B4613" s="1" t="s">
        <v>1410</v>
      </c>
      <c r="C4613" s="2" t="s">
        <v>525</v>
      </c>
      <c r="D4613" s="2" t="s">
        <v>507</v>
      </c>
      <c r="E4613" s="2" t="s">
        <v>508</v>
      </c>
      <c r="F4613" s="3">
        <f>DATE(2024,3,5)</f>
        <v>45356</v>
      </c>
      <c r="G4613" s="4">
        <f t="shared" si="409"/>
        <v>3</v>
      </c>
      <c r="H4613" s="4">
        <f t="shared" si="410"/>
        <v>2024</v>
      </c>
      <c r="I4613" s="2" t="s">
        <v>4</v>
      </c>
      <c r="J4613" s="2" t="s">
        <v>5398</v>
      </c>
      <c r="K4613" s="2" t="s">
        <v>25</v>
      </c>
      <c r="L4613" s="2" t="s">
        <v>541</v>
      </c>
      <c r="M4613" s="2" t="s">
        <v>27</v>
      </c>
      <c r="N4613" s="4" t="str">
        <f t="shared" si="411"/>
        <v>GAL</v>
      </c>
      <c r="O4613" s="5">
        <v>180</v>
      </c>
    </row>
    <row r="4614" spans="2:15" x14ac:dyDescent="0.25">
      <c r="B4614" s="1" t="s">
        <v>1410</v>
      </c>
      <c r="C4614" s="2" t="s">
        <v>525</v>
      </c>
      <c r="D4614" s="2" t="s">
        <v>507</v>
      </c>
      <c r="E4614" s="2" t="s">
        <v>508</v>
      </c>
      <c r="F4614" s="3">
        <f>DATE(2024,3,6)</f>
        <v>45357</v>
      </c>
      <c r="G4614" s="4">
        <f t="shared" si="409"/>
        <v>3</v>
      </c>
      <c r="H4614" s="4">
        <f t="shared" si="410"/>
        <v>2024</v>
      </c>
      <c r="I4614" s="2" t="s">
        <v>4</v>
      </c>
      <c r="J4614" s="2" t="s">
        <v>5399</v>
      </c>
      <c r="K4614" s="2" t="s">
        <v>25</v>
      </c>
      <c r="L4614" s="2" t="s">
        <v>541</v>
      </c>
      <c r="M4614" s="2" t="s">
        <v>27</v>
      </c>
      <c r="N4614" s="4" t="str">
        <f t="shared" si="411"/>
        <v>GAL</v>
      </c>
      <c r="O4614" s="5">
        <v>30</v>
      </c>
    </row>
    <row r="4615" spans="2:15" x14ac:dyDescent="0.25">
      <c r="B4615" s="1" t="s">
        <v>1410</v>
      </c>
      <c r="C4615" s="2" t="s">
        <v>525</v>
      </c>
      <c r="D4615" s="2" t="s">
        <v>124</v>
      </c>
      <c r="E4615" s="2" t="s">
        <v>526</v>
      </c>
      <c r="F4615" s="3">
        <f>DATE(2024,3,6)</f>
        <v>45357</v>
      </c>
      <c r="G4615" s="4">
        <f t="shared" si="409"/>
        <v>3</v>
      </c>
      <c r="H4615" s="4">
        <f t="shared" si="410"/>
        <v>2024</v>
      </c>
      <c r="I4615" s="2" t="s">
        <v>4</v>
      </c>
      <c r="J4615" s="2" t="s">
        <v>5400</v>
      </c>
      <c r="K4615" s="2" t="s">
        <v>4788</v>
      </c>
      <c r="L4615" s="2" t="s">
        <v>4789</v>
      </c>
      <c r="M4615" s="2" t="s">
        <v>119</v>
      </c>
      <c r="N4615" s="4" t="str">
        <f t="shared" si="411"/>
        <v>TON</v>
      </c>
      <c r="O4615" s="5">
        <v>10</v>
      </c>
    </row>
    <row r="4616" spans="2:15" x14ac:dyDescent="0.25">
      <c r="B4616" s="1" t="s">
        <v>1410</v>
      </c>
      <c r="C4616" s="2" t="s">
        <v>525</v>
      </c>
      <c r="D4616" s="2" t="s">
        <v>507</v>
      </c>
      <c r="E4616" s="2" t="s">
        <v>508</v>
      </c>
      <c r="F4616" s="3">
        <f>DATE(2024,3,7)</f>
        <v>45358</v>
      </c>
      <c r="G4616" s="4">
        <f t="shared" si="409"/>
        <v>3</v>
      </c>
      <c r="H4616" s="4">
        <f t="shared" si="410"/>
        <v>2024</v>
      </c>
      <c r="I4616" s="2" t="s">
        <v>4</v>
      </c>
      <c r="J4616" s="2" t="s">
        <v>5401</v>
      </c>
      <c r="K4616" s="2" t="s">
        <v>25</v>
      </c>
      <c r="L4616" s="2" t="s">
        <v>541</v>
      </c>
      <c r="M4616" s="2" t="s">
        <v>27</v>
      </c>
      <c r="N4616" s="4" t="str">
        <f t="shared" si="411"/>
        <v>GAL</v>
      </c>
      <c r="O4616" s="5">
        <v>150</v>
      </c>
    </row>
    <row r="4617" spans="2:15" x14ac:dyDescent="0.25">
      <c r="B4617" s="1" t="s">
        <v>1410</v>
      </c>
      <c r="C4617" s="2" t="s">
        <v>525</v>
      </c>
      <c r="D4617" s="2" t="s">
        <v>507</v>
      </c>
      <c r="E4617" s="2" t="s">
        <v>508</v>
      </c>
      <c r="F4617" s="3">
        <f>DATE(2024,3,7)</f>
        <v>45358</v>
      </c>
      <c r="G4617" s="4">
        <f t="shared" si="409"/>
        <v>3</v>
      </c>
      <c r="H4617" s="4">
        <f t="shared" si="410"/>
        <v>2024</v>
      </c>
      <c r="I4617" s="2" t="s">
        <v>4</v>
      </c>
      <c r="J4617" s="2" t="s">
        <v>5402</v>
      </c>
      <c r="K4617" s="2" t="s">
        <v>1505</v>
      </c>
      <c r="L4617" s="2" t="s">
        <v>182</v>
      </c>
      <c r="M4617" s="2" t="s">
        <v>183</v>
      </c>
      <c r="N4617" s="4" t="str">
        <f t="shared" si="411"/>
        <v>GAL</v>
      </c>
      <c r="O4617" s="5">
        <v>500</v>
      </c>
    </row>
    <row r="4618" spans="2:15" x14ac:dyDescent="0.25">
      <c r="B4618" s="1" t="s">
        <v>1410</v>
      </c>
      <c r="C4618" s="2" t="s">
        <v>525</v>
      </c>
      <c r="D4618" s="2" t="s">
        <v>507</v>
      </c>
      <c r="E4618" s="2" t="s">
        <v>141</v>
      </c>
      <c r="F4618" s="3">
        <f>DATE(2024,3,8)</f>
        <v>45359</v>
      </c>
      <c r="G4618" s="4">
        <f t="shared" si="409"/>
        <v>3</v>
      </c>
      <c r="H4618" s="4">
        <f t="shared" si="410"/>
        <v>2024</v>
      </c>
      <c r="I4618" s="2" t="s">
        <v>4</v>
      </c>
      <c r="J4618" s="2" t="s">
        <v>5403</v>
      </c>
      <c r="K4618" s="2" t="s">
        <v>25</v>
      </c>
      <c r="L4618" s="2" t="s">
        <v>541</v>
      </c>
      <c r="M4618" s="2" t="s">
        <v>27</v>
      </c>
      <c r="N4618" s="4" t="str">
        <f t="shared" si="411"/>
        <v>GAL</v>
      </c>
      <c r="O4618" s="5">
        <v>180</v>
      </c>
    </row>
    <row r="4619" spans="2:15" x14ac:dyDescent="0.25">
      <c r="B4619" s="1" t="s">
        <v>1410</v>
      </c>
      <c r="C4619" s="2" t="s">
        <v>525</v>
      </c>
      <c r="D4619" s="2" t="s">
        <v>507</v>
      </c>
      <c r="E4619" s="2" t="s">
        <v>508</v>
      </c>
      <c r="F4619" s="3">
        <f>DATE(2024,3,12)</f>
        <v>45363</v>
      </c>
      <c r="G4619" s="4">
        <f t="shared" si="409"/>
        <v>3</v>
      </c>
      <c r="H4619" s="4">
        <f t="shared" si="410"/>
        <v>2024</v>
      </c>
      <c r="I4619" s="2" t="s">
        <v>4</v>
      </c>
      <c r="J4619" s="2" t="s">
        <v>5404</v>
      </c>
      <c r="K4619" s="2" t="s">
        <v>1119</v>
      </c>
      <c r="L4619" s="2" t="s">
        <v>1023</v>
      </c>
      <c r="M4619" s="2" t="s">
        <v>1024</v>
      </c>
      <c r="N4619" s="4" t="str">
        <f t="shared" si="411"/>
        <v>GAL</v>
      </c>
      <c r="O4619" s="5">
        <v>180</v>
      </c>
    </row>
    <row r="4620" spans="2:15" x14ac:dyDescent="0.25">
      <c r="B4620" s="1" t="s">
        <v>1410</v>
      </c>
      <c r="C4620" s="2" t="s">
        <v>525</v>
      </c>
      <c r="D4620" s="2" t="s">
        <v>507</v>
      </c>
      <c r="E4620" s="2" t="s">
        <v>508</v>
      </c>
      <c r="F4620" s="3">
        <f>DATE(2024,3,14)</f>
        <v>45365</v>
      </c>
      <c r="G4620" s="4">
        <f t="shared" si="409"/>
        <v>3</v>
      </c>
      <c r="H4620" s="4">
        <f t="shared" si="410"/>
        <v>2024</v>
      </c>
      <c r="I4620" s="2" t="s">
        <v>4</v>
      </c>
      <c r="J4620" s="2" t="s">
        <v>5405</v>
      </c>
      <c r="K4620" s="2" t="s">
        <v>164</v>
      </c>
      <c r="L4620" s="2" t="s">
        <v>165</v>
      </c>
      <c r="M4620" s="2" t="s">
        <v>166</v>
      </c>
      <c r="N4620" s="4" t="str">
        <f t="shared" si="411"/>
        <v>GAL</v>
      </c>
      <c r="O4620" s="5">
        <v>540</v>
      </c>
    </row>
    <row r="4621" spans="2:15" x14ac:dyDescent="0.25">
      <c r="B4621" s="1" t="s">
        <v>1410</v>
      </c>
      <c r="C4621" s="2" t="s">
        <v>525</v>
      </c>
      <c r="D4621" s="2" t="s">
        <v>628</v>
      </c>
      <c r="E4621" s="2" t="s">
        <v>1036</v>
      </c>
      <c r="F4621" s="3">
        <f>DATE(2024,3,19)</f>
        <v>45370</v>
      </c>
      <c r="G4621" s="4">
        <f t="shared" si="409"/>
        <v>3</v>
      </c>
      <c r="H4621" s="4">
        <f t="shared" si="410"/>
        <v>2024</v>
      </c>
      <c r="I4621" s="2" t="s">
        <v>4</v>
      </c>
      <c r="J4621" s="2" t="s">
        <v>5406</v>
      </c>
      <c r="K4621" s="2" t="s">
        <v>158</v>
      </c>
      <c r="L4621" s="2" t="s">
        <v>159</v>
      </c>
      <c r="M4621" s="2" t="s">
        <v>160</v>
      </c>
      <c r="N4621" s="4" t="str">
        <f t="shared" si="411"/>
        <v>GAL</v>
      </c>
      <c r="O4621" s="5">
        <v>360</v>
      </c>
    </row>
    <row r="4622" spans="2:15" x14ac:dyDescent="0.25">
      <c r="B4622" s="1" t="s">
        <v>1410</v>
      </c>
      <c r="C4622" s="2" t="s">
        <v>525</v>
      </c>
      <c r="D4622" s="2" t="s">
        <v>507</v>
      </c>
      <c r="E4622" s="2" t="s">
        <v>508</v>
      </c>
      <c r="F4622" s="3">
        <f>DATE(2024,3,21)</f>
        <v>45372</v>
      </c>
      <c r="G4622" s="4">
        <f t="shared" si="409"/>
        <v>3</v>
      </c>
      <c r="H4622" s="4">
        <f t="shared" si="410"/>
        <v>2024</v>
      </c>
      <c r="I4622" s="2" t="s">
        <v>4</v>
      </c>
      <c r="J4622" s="2" t="s">
        <v>5407</v>
      </c>
      <c r="K4622" s="2" t="s">
        <v>2147</v>
      </c>
      <c r="L4622" s="2" t="s">
        <v>2148</v>
      </c>
      <c r="M4622" s="2" t="s">
        <v>41</v>
      </c>
      <c r="N4622" s="4" t="str">
        <f t="shared" si="411"/>
        <v>GAL</v>
      </c>
      <c r="O4622" s="5">
        <v>180</v>
      </c>
    </row>
    <row r="4623" spans="2:15" x14ac:dyDescent="0.25">
      <c r="B4623" s="1" t="s">
        <v>1410</v>
      </c>
      <c r="C4623" s="2" t="s">
        <v>525</v>
      </c>
      <c r="D4623" s="2" t="s">
        <v>507</v>
      </c>
      <c r="E4623" s="2" t="s">
        <v>508</v>
      </c>
      <c r="F4623" s="3">
        <f>DATE(2024,3,21)</f>
        <v>45372</v>
      </c>
      <c r="G4623" s="4">
        <f t="shared" si="409"/>
        <v>3</v>
      </c>
      <c r="H4623" s="4">
        <f t="shared" si="410"/>
        <v>2024</v>
      </c>
      <c r="I4623" s="2" t="s">
        <v>4</v>
      </c>
      <c r="J4623" s="2" t="s">
        <v>5408</v>
      </c>
      <c r="K4623" s="2" t="s">
        <v>513</v>
      </c>
      <c r="L4623" s="2" t="s">
        <v>514</v>
      </c>
      <c r="M4623" s="2" t="s">
        <v>119</v>
      </c>
      <c r="N4623" s="4" t="str">
        <f t="shared" si="411"/>
        <v>TON</v>
      </c>
      <c r="O4623" s="5">
        <v>1.2424999999999999</v>
      </c>
    </row>
    <row r="4624" spans="2:15" x14ac:dyDescent="0.25">
      <c r="B4624" s="1" t="s">
        <v>1050</v>
      </c>
      <c r="C4624" s="2" t="s">
        <v>533</v>
      </c>
      <c r="D4624" s="2" t="s">
        <v>557</v>
      </c>
      <c r="E4624" s="2" t="s">
        <v>1767</v>
      </c>
      <c r="F4624" s="3">
        <f>DATE(2024,3,4)</f>
        <v>45355</v>
      </c>
      <c r="G4624" s="4">
        <f t="shared" si="409"/>
        <v>3</v>
      </c>
      <c r="H4624" s="4">
        <f t="shared" si="410"/>
        <v>2024</v>
      </c>
      <c r="I4624" s="2" t="s">
        <v>4</v>
      </c>
      <c r="J4624" s="2" t="s">
        <v>5409</v>
      </c>
      <c r="K4624" s="2" t="s">
        <v>1424</v>
      </c>
      <c r="L4624" s="2" t="s">
        <v>1057</v>
      </c>
      <c r="M4624" s="2" t="s">
        <v>1058</v>
      </c>
      <c r="N4624" s="4" t="str">
        <f t="shared" si="411"/>
        <v>GAL</v>
      </c>
      <c r="O4624" s="5">
        <v>3600</v>
      </c>
    </row>
    <row r="4625" spans="2:15" x14ac:dyDescent="0.25">
      <c r="B4625" s="1" t="s">
        <v>1050</v>
      </c>
      <c r="C4625" s="2" t="s">
        <v>533</v>
      </c>
      <c r="D4625" s="2" t="s">
        <v>557</v>
      </c>
      <c r="E4625" s="2" t="s">
        <v>1767</v>
      </c>
      <c r="F4625" s="3">
        <f>DATE(2024,3,6)</f>
        <v>45357</v>
      </c>
      <c r="G4625" s="4">
        <f t="shared" si="409"/>
        <v>3</v>
      </c>
      <c r="H4625" s="4">
        <f t="shared" si="410"/>
        <v>2024</v>
      </c>
      <c r="I4625" s="2" t="s">
        <v>4</v>
      </c>
      <c r="J4625" s="2" t="s">
        <v>5410</v>
      </c>
      <c r="K4625" s="2" t="s">
        <v>1056</v>
      </c>
      <c r="L4625" s="2" t="s">
        <v>1057</v>
      </c>
      <c r="M4625" s="2" t="s">
        <v>1058</v>
      </c>
      <c r="N4625" s="4" t="str">
        <f t="shared" si="411"/>
        <v>GAL</v>
      </c>
      <c r="O4625" s="5">
        <v>3710</v>
      </c>
    </row>
    <row r="4626" spans="2:15" x14ac:dyDescent="0.25">
      <c r="B4626" s="1" t="s">
        <v>645</v>
      </c>
      <c r="C4626" s="2" t="s">
        <v>533</v>
      </c>
      <c r="D4626" s="2" t="s">
        <v>557</v>
      </c>
      <c r="E4626" s="2" t="s">
        <v>567</v>
      </c>
      <c r="F4626" s="3">
        <f>DATE(2024,3,8)</f>
        <v>45359</v>
      </c>
      <c r="G4626" s="4">
        <f t="shared" si="409"/>
        <v>3</v>
      </c>
      <c r="H4626" s="4">
        <f t="shared" si="410"/>
        <v>2024</v>
      </c>
      <c r="I4626" s="2" t="s">
        <v>4</v>
      </c>
      <c r="J4626" s="2" t="s">
        <v>5411</v>
      </c>
      <c r="K4626" s="2" t="s">
        <v>569</v>
      </c>
      <c r="L4626" s="2" t="s">
        <v>570</v>
      </c>
      <c r="M4626" s="2" t="s">
        <v>106</v>
      </c>
      <c r="N4626" s="4" t="str">
        <f t="shared" si="411"/>
        <v>LBS</v>
      </c>
      <c r="O4626" s="5">
        <v>2700</v>
      </c>
    </row>
    <row r="4627" spans="2:15" x14ac:dyDescent="0.25">
      <c r="B4627" s="1" t="s">
        <v>1050</v>
      </c>
      <c r="C4627" s="2" t="s">
        <v>533</v>
      </c>
      <c r="D4627" s="2" t="s">
        <v>557</v>
      </c>
      <c r="E4627" s="2" t="s">
        <v>1767</v>
      </c>
      <c r="F4627" s="3">
        <f>DATE(2024,3,11)</f>
        <v>45362</v>
      </c>
      <c r="G4627" s="4">
        <f t="shared" si="409"/>
        <v>3</v>
      </c>
      <c r="H4627" s="4">
        <f t="shared" si="410"/>
        <v>2024</v>
      </c>
      <c r="I4627" s="2" t="s">
        <v>4</v>
      </c>
      <c r="J4627" s="2" t="s">
        <v>5412</v>
      </c>
      <c r="K4627" s="2" t="s">
        <v>1056</v>
      </c>
      <c r="L4627" s="2" t="s">
        <v>1057</v>
      </c>
      <c r="M4627" s="2" t="s">
        <v>1058</v>
      </c>
      <c r="N4627" s="4" t="str">
        <f t="shared" si="411"/>
        <v>GAL</v>
      </c>
      <c r="O4627" s="5">
        <v>3710</v>
      </c>
    </row>
    <row r="4628" spans="2:15" x14ac:dyDescent="0.25">
      <c r="B4628" s="1" t="s">
        <v>645</v>
      </c>
      <c r="C4628" s="2" t="s">
        <v>533</v>
      </c>
      <c r="D4628" s="2" t="s">
        <v>1047</v>
      </c>
      <c r="E4628" s="2" t="s">
        <v>2522</v>
      </c>
      <c r="F4628" s="3">
        <f>DATE(2024,3,11)</f>
        <v>45362</v>
      </c>
      <c r="G4628" s="4">
        <f t="shared" si="409"/>
        <v>3</v>
      </c>
      <c r="H4628" s="4">
        <f t="shared" si="410"/>
        <v>2024</v>
      </c>
      <c r="I4628" s="2" t="s">
        <v>4</v>
      </c>
      <c r="J4628" s="2" t="s">
        <v>5413</v>
      </c>
      <c r="K4628" s="2" t="s">
        <v>549</v>
      </c>
      <c r="L4628" s="2" t="s">
        <v>550</v>
      </c>
      <c r="M4628" s="2" t="s">
        <v>52</v>
      </c>
      <c r="N4628" s="4" t="str">
        <f t="shared" si="411"/>
        <v>GAL</v>
      </c>
      <c r="O4628" s="5">
        <v>55</v>
      </c>
    </row>
    <row r="4629" spans="2:15" x14ac:dyDescent="0.25">
      <c r="B4629" s="1" t="s">
        <v>1050</v>
      </c>
      <c r="C4629" s="2" t="s">
        <v>533</v>
      </c>
      <c r="D4629" s="2" t="s">
        <v>557</v>
      </c>
      <c r="E4629" s="2" t="s">
        <v>2507</v>
      </c>
      <c r="F4629" s="3">
        <f>DATE(2024,3,11)</f>
        <v>45362</v>
      </c>
      <c r="G4629" s="4">
        <f t="shared" si="409"/>
        <v>3</v>
      </c>
      <c r="H4629" s="4">
        <f t="shared" si="410"/>
        <v>2024</v>
      </c>
      <c r="I4629" s="2" t="s">
        <v>4</v>
      </c>
      <c r="J4629" s="2" t="s">
        <v>5414</v>
      </c>
      <c r="K4629" s="2" t="s">
        <v>2155</v>
      </c>
      <c r="L4629" s="2" t="s">
        <v>2156</v>
      </c>
      <c r="M4629" s="2" t="s">
        <v>106</v>
      </c>
      <c r="N4629" s="4" t="str">
        <f t="shared" si="411"/>
        <v>LBS</v>
      </c>
      <c r="O4629" s="5">
        <v>1800</v>
      </c>
    </row>
    <row r="4630" spans="2:15" x14ac:dyDescent="0.25">
      <c r="B4630" s="1" t="s">
        <v>1050</v>
      </c>
      <c r="C4630" s="2" t="s">
        <v>533</v>
      </c>
      <c r="D4630" s="2" t="s">
        <v>557</v>
      </c>
      <c r="E4630" s="2" t="s">
        <v>2507</v>
      </c>
      <c r="F4630" s="3">
        <f>DATE(2024,3,11)</f>
        <v>45362</v>
      </c>
      <c r="G4630" s="4">
        <f t="shared" si="409"/>
        <v>3</v>
      </c>
      <c r="H4630" s="4">
        <f t="shared" si="410"/>
        <v>2024</v>
      </c>
      <c r="I4630" s="2" t="s">
        <v>4</v>
      </c>
      <c r="J4630" s="2" t="s">
        <v>5414</v>
      </c>
      <c r="K4630" s="2" t="s">
        <v>2155</v>
      </c>
      <c r="L4630" s="2" t="s">
        <v>2156</v>
      </c>
      <c r="M4630" s="2" t="s">
        <v>106</v>
      </c>
      <c r="N4630" s="4" t="str">
        <f t="shared" si="411"/>
        <v>LBS</v>
      </c>
      <c r="O4630" s="5">
        <v>200</v>
      </c>
    </row>
    <row r="4631" spans="2:15" x14ac:dyDescent="0.25">
      <c r="B4631" s="1" t="s">
        <v>645</v>
      </c>
      <c r="C4631" s="2" t="s">
        <v>533</v>
      </c>
      <c r="D4631" s="2" t="s">
        <v>557</v>
      </c>
      <c r="E4631" s="2" t="s">
        <v>5415</v>
      </c>
      <c r="F4631" s="3">
        <f>DATE(2024,3,11)</f>
        <v>45362</v>
      </c>
      <c r="G4631" s="4">
        <f t="shared" si="409"/>
        <v>3</v>
      </c>
      <c r="H4631" s="4">
        <f t="shared" si="410"/>
        <v>2024</v>
      </c>
      <c r="I4631" s="2" t="s">
        <v>4</v>
      </c>
      <c r="J4631" s="2" t="s">
        <v>5416</v>
      </c>
      <c r="K4631" s="2" t="s">
        <v>2164</v>
      </c>
      <c r="L4631" s="2" t="s">
        <v>2156</v>
      </c>
      <c r="M4631" s="2" t="s">
        <v>106</v>
      </c>
      <c r="N4631" s="4" t="str">
        <f t="shared" si="411"/>
        <v>LBS</v>
      </c>
      <c r="O4631" s="5">
        <v>2500</v>
      </c>
    </row>
    <row r="4632" spans="2:15" x14ac:dyDescent="0.25">
      <c r="B4632" s="1" t="s">
        <v>1050</v>
      </c>
      <c r="C4632" s="2" t="s">
        <v>533</v>
      </c>
      <c r="D4632" s="2" t="s">
        <v>562</v>
      </c>
      <c r="E4632" s="2" t="s">
        <v>1101</v>
      </c>
      <c r="F4632" s="3">
        <f>DATE(2024,3,12)</f>
        <v>45363</v>
      </c>
      <c r="G4632" s="4">
        <f t="shared" si="409"/>
        <v>3</v>
      </c>
      <c r="H4632" s="4">
        <f t="shared" si="410"/>
        <v>2024</v>
      </c>
      <c r="I4632" s="2" t="s">
        <v>4</v>
      </c>
      <c r="J4632" s="2" t="s">
        <v>5417</v>
      </c>
      <c r="K4632" s="2" t="s">
        <v>83</v>
      </c>
      <c r="L4632" s="2" t="s">
        <v>518</v>
      </c>
      <c r="M4632" s="2" t="s">
        <v>85</v>
      </c>
      <c r="N4632" s="4" t="str">
        <f t="shared" si="411"/>
        <v>GAL</v>
      </c>
      <c r="O4632" s="5">
        <v>180</v>
      </c>
    </row>
    <row r="4633" spans="2:15" x14ac:dyDescent="0.25">
      <c r="B4633" s="1" t="s">
        <v>645</v>
      </c>
      <c r="C4633" s="2" t="s">
        <v>533</v>
      </c>
      <c r="D4633" s="2" t="s">
        <v>534</v>
      </c>
      <c r="E4633" s="2" t="s">
        <v>535</v>
      </c>
      <c r="F4633" s="3">
        <f t="shared" ref="F4633:F4655" si="412">DATE(2024,3,13)</f>
        <v>45364</v>
      </c>
      <c r="G4633" s="4">
        <f t="shared" si="409"/>
        <v>3</v>
      </c>
      <c r="H4633" s="4">
        <f t="shared" si="410"/>
        <v>2024</v>
      </c>
      <c r="I4633" s="2" t="s">
        <v>4</v>
      </c>
      <c r="J4633" s="2" t="s">
        <v>5418</v>
      </c>
      <c r="K4633" s="2" t="s">
        <v>2477</v>
      </c>
      <c r="L4633" s="2" t="s">
        <v>538</v>
      </c>
      <c r="M4633" s="2" t="s">
        <v>4243</v>
      </c>
      <c r="N4633" s="4" t="str">
        <f t="shared" si="411"/>
        <v>GAL</v>
      </c>
      <c r="O4633" s="5">
        <v>30</v>
      </c>
    </row>
    <row r="4634" spans="2:15" x14ac:dyDescent="0.25">
      <c r="B4634" s="1" t="s">
        <v>645</v>
      </c>
      <c r="C4634" s="2" t="s">
        <v>533</v>
      </c>
      <c r="D4634" s="2" t="s">
        <v>534</v>
      </c>
      <c r="E4634" s="2" t="s">
        <v>535</v>
      </c>
      <c r="F4634" s="3">
        <f t="shared" si="412"/>
        <v>45364</v>
      </c>
      <c r="G4634" s="4">
        <f t="shared" si="409"/>
        <v>3</v>
      </c>
      <c r="H4634" s="4">
        <f t="shared" si="410"/>
        <v>2024</v>
      </c>
      <c r="I4634" s="2" t="s">
        <v>4</v>
      </c>
      <c r="J4634" s="2" t="s">
        <v>5418</v>
      </c>
      <c r="K4634" s="2" t="s">
        <v>537</v>
      </c>
      <c r="L4634" s="2" t="s">
        <v>538</v>
      </c>
      <c r="M4634" s="2" t="s">
        <v>4243</v>
      </c>
      <c r="N4634" s="4" t="str">
        <f t="shared" si="411"/>
        <v>GAL</v>
      </c>
      <c r="O4634" s="5">
        <v>165</v>
      </c>
    </row>
    <row r="4635" spans="2:15" x14ac:dyDescent="0.25">
      <c r="B4635" s="1" t="s">
        <v>645</v>
      </c>
      <c r="C4635" s="2" t="s">
        <v>533</v>
      </c>
      <c r="D4635" s="2" t="s">
        <v>534</v>
      </c>
      <c r="E4635" s="2" t="s">
        <v>535</v>
      </c>
      <c r="F4635" s="3">
        <f t="shared" si="412"/>
        <v>45364</v>
      </c>
      <c r="G4635" s="4">
        <f t="shared" si="409"/>
        <v>3</v>
      </c>
      <c r="H4635" s="4">
        <f t="shared" si="410"/>
        <v>2024</v>
      </c>
      <c r="I4635" s="2" t="s">
        <v>4</v>
      </c>
      <c r="J4635" s="2" t="s">
        <v>5418</v>
      </c>
      <c r="K4635" s="2" t="s">
        <v>2539</v>
      </c>
      <c r="L4635" s="2" t="s">
        <v>150</v>
      </c>
      <c r="M4635" s="2" t="s">
        <v>21</v>
      </c>
      <c r="N4635" s="4" t="str">
        <f t="shared" si="411"/>
        <v>GAL</v>
      </c>
      <c r="O4635" s="5">
        <v>55</v>
      </c>
    </row>
    <row r="4636" spans="2:15" x14ac:dyDescent="0.25">
      <c r="B4636" s="1" t="s">
        <v>645</v>
      </c>
      <c r="C4636" s="2" t="s">
        <v>533</v>
      </c>
      <c r="D4636" s="2" t="s">
        <v>534</v>
      </c>
      <c r="E4636" s="2" t="s">
        <v>535</v>
      </c>
      <c r="F4636" s="3">
        <f t="shared" si="412"/>
        <v>45364</v>
      </c>
      <c r="G4636" s="4">
        <f t="shared" si="409"/>
        <v>3</v>
      </c>
      <c r="H4636" s="4">
        <f t="shared" si="410"/>
        <v>2024</v>
      </c>
      <c r="I4636" s="2" t="s">
        <v>4</v>
      </c>
      <c r="J4636" s="2" t="s">
        <v>5418</v>
      </c>
      <c r="K4636" s="2" t="s">
        <v>1482</v>
      </c>
      <c r="L4636" s="2" t="s">
        <v>1483</v>
      </c>
      <c r="M4636" s="2" t="s">
        <v>1484</v>
      </c>
      <c r="N4636" s="4" t="str">
        <f t="shared" si="411"/>
        <v>GAL</v>
      </c>
      <c r="O4636" s="5">
        <v>30</v>
      </c>
    </row>
    <row r="4637" spans="2:15" x14ac:dyDescent="0.25">
      <c r="B4637" s="1" t="s">
        <v>645</v>
      </c>
      <c r="C4637" s="2" t="s">
        <v>533</v>
      </c>
      <c r="D4637" s="2" t="s">
        <v>534</v>
      </c>
      <c r="E4637" s="2" t="s">
        <v>535</v>
      </c>
      <c r="F4637" s="3">
        <f t="shared" si="412"/>
        <v>45364</v>
      </c>
      <c r="G4637" s="4">
        <f t="shared" si="409"/>
        <v>3</v>
      </c>
      <c r="H4637" s="4">
        <f t="shared" si="410"/>
        <v>2024</v>
      </c>
      <c r="I4637" s="2" t="s">
        <v>4</v>
      </c>
      <c r="J4637" s="2" t="s">
        <v>5418</v>
      </c>
      <c r="K4637" s="2" t="s">
        <v>5419</v>
      </c>
      <c r="L4637" s="2" t="s">
        <v>1483</v>
      </c>
      <c r="M4637" s="2" t="s">
        <v>1484</v>
      </c>
      <c r="N4637" s="4" t="str">
        <f t="shared" si="411"/>
        <v>GAL</v>
      </c>
      <c r="O4637" s="5">
        <v>250</v>
      </c>
    </row>
    <row r="4638" spans="2:15" x14ac:dyDescent="0.25">
      <c r="B4638" s="1" t="s">
        <v>645</v>
      </c>
      <c r="C4638" s="2" t="s">
        <v>533</v>
      </c>
      <c r="D4638" s="2" t="s">
        <v>534</v>
      </c>
      <c r="E4638" s="2" t="s">
        <v>535</v>
      </c>
      <c r="F4638" s="3">
        <f t="shared" si="412"/>
        <v>45364</v>
      </c>
      <c r="G4638" s="4">
        <f t="shared" si="409"/>
        <v>3</v>
      </c>
      <c r="H4638" s="4">
        <f t="shared" si="410"/>
        <v>2024</v>
      </c>
      <c r="I4638" s="2" t="s">
        <v>4</v>
      </c>
      <c r="J4638" s="2" t="s">
        <v>5418</v>
      </c>
      <c r="K4638" s="2" t="s">
        <v>5420</v>
      </c>
      <c r="L4638" s="2" t="s">
        <v>1483</v>
      </c>
      <c r="M4638" s="2" t="s">
        <v>1484</v>
      </c>
      <c r="N4638" s="4" t="str">
        <f t="shared" si="411"/>
        <v>GAL</v>
      </c>
      <c r="O4638" s="5">
        <v>55</v>
      </c>
    </row>
    <row r="4639" spans="2:15" x14ac:dyDescent="0.25">
      <c r="B4639" s="1" t="s">
        <v>645</v>
      </c>
      <c r="C4639" s="2" t="s">
        <v>533</v>
      </c>
      <c r="D4639" s="2" t="s">
        <v>534</v>
      </c>
      <c r="E4639" s="2" t="s">
        <v>535</v>
      </c>
      <c r="F4639" s="3">
        <f t="shared" si="412"/>
        <v>45364</v>
      </c>
      <c r="G4639" s="4">
        <f t="shared" si="409"/>
        <v>3</v>
      </c>
      <c r="H4639" s="4">
        <f t="shared" si="410"/>
        <v>2024</v>
      </c>
      <c r="I4639" s="2" t="s">
        <v>4</v>
      </c>
      <c r="J4639" s="2" t="s">
        <v>5418</v>
      </c>
      <c r="K4639" s="2" t="s">
        <v>44</v>
      </c>
      <c r="L4639" s="2" t="s">
        <v>3023</v>
      </c>
      <c r="M4639" s="2" t="s">
        <v>46</v>
      </c>
      <c r="N4639" s="4" t="str">
        <f t="shared" si="411"/>
        <v>GAL</v>
      </c>
      <c r="O4639" s="5">
        <v>20</v>
      </c>
    </row>
    <row r="4640" spans="2:15" x14ac:dyDescent="0.25">
      <c r="B4640" s="1" t="s">
        <v>645</v>
      </c>
      <c r="C4640" s="2" t="s">
        <v>533</v>
      </c>
      <c r="D4640" s="2" t="s">
        <v>534</v>
      </c>
      <c r="E4640" s="2" t="s">
        <v>535</v>
      </c>
      <c r="F4640" s="3">
        <f t="shared" si="412"/>
        <v>45364</v>
      </c>
      <c r="G4640" s="4">
        <f t="shared" si="409"/>
        <v>3</v>
      </c>
      <c r="H4640" s="4">
        <f t="shared" si="410"/>
        <v>2024</v>
      </c>
      <c r="I4640" s="2" t="s">
        <v>4</v>
      </c>
      <c r="J4640" s="2" t="s">
        <v>5418</v>
      </c>
      <c r="K4640" s="2" t="s">
        <v>25</v>
      </c>
      <c r="L4640" s="2" t="s">
        <v>541</v>
      </c>
      <c r="M4640" s="2" t="s">
        <v>27</v>
      </c>
      <c r="N4640" s="4" t="str">
        <f t="shared" si="411"/>
        <v>GAL</v>
      </c>
      <c r="O4640" s="5">
        <v>20</v>
      </c>
    </row>
    <row r="4641" spans="2:15" x14ac:dyDescent="0.25">
      <c r="B4641" s="1" t="s">
        <v>645</v>
      </c>
      <c r="C4641" s="2" t="s">
        <v>533</v>
      </c>
      <c r="D4641" s="2" t="s">
        <v>534</v>
      </c>
      <c r="E4641" s="2" t="s">
        <v>535</v>
      </c>
      <c r="F4641" s="3">
        <f t="shared" si="412"/>
        <v>45364</v>
      </c>
      <c r="G4641" s="4">
        <f t="shared" si="409"/>
        <v>3</v>
      </c>
      <c r="H4641" s="4">
        <f t="shared" si="410"/>
        <v>2024</v>
      </c>
      <c r="I4641" s="2" t="s">
        <v>4</v>
      </c>
      <c r="J4641" s="2" t="s">
        <v>5418</v>
      </c>
      <c r="K4641" s="2" t="s">
        <v>1188</v>
      </c>
      <c r="L4641" s="2" t="s">
        <v>541</v>
      </c>
      <c r="M4641" s="2" t="s">
        <v>27</v>
      </c>
      <c r="N4641" s="4" t="str">
        <f t="shared" si="411"/>
        <v>GAL</v>
      </c>
      <c r="O4641" s="5">
        <v>250</v>
      </c>
    </row>
    <row r="4642" spans="2:15" x14ac:dyDescent="0.25">
      <c r="B4642" s="1" t="s">
        <v>645</v>
      </c>
      <c r="C4642" s="2" t="s">
        <v>533</v>
      </c>
      <c r="D4642" s="2" t="s">
        <v>534</v>
      </c>
      <c r="E4642" s="2" t="s">
        <v>535</v>
      </c>
      <c r="F4642" s="3">
        <f t="shared" si="412"/>
        <v>45364</v>
      </c>
      <c r="G4642" s="4">
        <f t="shared" si="409"/>
        <v>3</v>
      </c>
      <c r="H4642" s="4">
        <f t="shared" si="410"/>
        <v>2024</v>
      </c>
      <c r="I4642" s="2" t="s">
        <v>4</v>
      </c>
      <c r="J4642" s="2" t="s">
        <v>5418</v>
      </c>
      <c r="K4642" s="2" t="s">
        <v>542</v>
      </c>
      <c r="L4642" s="2" t="s">
        <v>543</v>
      </c>
      <c r="M4642" s="2" t="s">
        <v>27</v>
      </c>
      <c r="N4642" s="4" t="str">
        <f t="shared" si="411"/>
        <v>GAL</v>
      </c>
      <c r="O4642" s="5">
        <v>55</v>
      </c>
    </row>
    <row r="4643" spans="2:15" x14ac:dyDescent="0.25">
      <c r="B4643" s="1" t="s">
        <v>645</v>
      </c>
      <c r="C4643" s="2" t="s">
        <v>533</v>
      </c>
      <c r="D4643" s="2" t="s">
        <v>534</v>
      </c>
      <c r="E4643" s="2" t="s">
        <v>535</v>
      </c>
      <c r="F4643" s="3">
        <f t="shared" si="412"/>
        <v>45364</v>
      </c>
      <c r="G4643" s="4">
        <f t="shared" si="409"/>
        <v>3</v>
      </c>
      <c r="H4643" s="4">
        <f t="shared" si="410"/>
        <v>2024</v>
      </c>
      <c r="I4643" s="2" t="s">
        <v>4</v>
      </c>
      <c r="J4643" s="2" t="s">
        <v>5418</v>
      </c>
      <c r="K4643" s="2" t="s">
        <v>816</v>
      </c>
      <c r="L4643" s="2" t="s">
        <v>545</v>
      </c>
      <c r="M4643" s="2" t="s">
        <v>67</v>
      </c>
      <c r="N4643" s="4" t="str">
        <f t="shared" si="411"/>
        <v>GAL</v>
      </c>
      <c r="O4643" s="5">
        <v>15</v>
      </c>
    </row>
    <row r="4644" spans="2:15" x14ac:dyDescent="0.25">
      <c r="B4644" s="1" t="s">
        <v>645</v>
      </c>
      <c r="C4644" s="2" t="s">
        <v>533</v>
      </c>
      <c r="D4644" s="2" t="s">
        <v>534</v>
      </c>
      <c r="E4644" s="2" t="s">
        <v>535</v>
      </c>
      <c r="F4644" s="3">
        <f t="shared" si="412"/>
        <v>45364</v>
      </c>
      <c r="G4644" s="4">
        <f t="shared" si="409"/>
        <v>3</v>
      </c>
      <c r="H4644" s="4">
        <f t="shared" si="410"/>
        <v>2024</v>
      </c>
      <c r="I4644" s="2" t="s">
        <v>4</v>
      </c>
      <c r="J4644" s="2" t="s">
        <v>5418</v>
      </c>
      <c r="K4644" s="2" t="s">
        <v>2543</v>
      </c>
      <c r="L4644" s="2" t="s">
        <v>545</v>
      </c>
      <c r="M4644" s="2" t="s">
        <v>67</v>
      </c>
      <c r="N4644" s="4" t="str">
        <f t="shared" si="411"/>
        <v>GAL</v>
      </c>
      <c r="O4644" s="5">
        <v>250</v>
      </c>
    </row>
    <row r="4645" spans="2:15" x14ac:dyDescent="0.25">
      <c r="B4645" s="1" t="s">
        <v>645</v>
      </c>
      <c r="C4645" s="2" t="s">
        <v>533</v>
      </c>
      <c r="D4645" s="2" t="s">
        <v>534</v>
      </c>
      <c r="E4645" s="2" t="s">
        <v>535</v>
      </c>
      <c r="F4645" s="3">
        <f t="shared" si="412"/>
        <v>45364</v>
      </c>
      <c r="G4645" s="4">
        <f t="shared" si="409"/>
        <v>3</v>
      </c>
      <c r="H4645" s="4">
        <f t="shared" si="410"/>
        <v>2024</v>
      </c>
      <c r="I4645" s="2" t="s">
        <v>4</v>
      </c>
      <c r="J4645" s="2" t="s">
        <v>5418</v>
      </c>
      <c r="K4645" s="2" t="s">
        <v>2447</v>
      </c>
      <c r="L4645" s="2" t="s">
        <v>547</v>
      </c>
      <c r="M4645" s="2" t="s">
        <v>160</v>
      </c>
      <c r="N4645" s="4" t="str">
        <f t="shared" si="411"/>
        <v>GAL</v>
      </c>
      <c r="O4645" s="5">
        <v>15</v>
      </c>
    </row>
    <row r="4646" spans="2:15" x14ac:dyDescent="0.25">
      <c r="B4646" s="1" t="s">
        <v>645</v>
      </c>
      <c r="C4646" s="2" t="s">
        <v>533</v>
      </c>
      <c r="D4646" s="2" t="s">
        <v>534</v>
      </c>
      <c r="E4646" s="2" t="s">
        <v>535</v>
      </c>
      <c r="F4646" s="3">
        <f t="shared" si="412"/>
        <v>45364</v>
      </c>
      <c r="G4646" s="4">
        <f t="shared" si="409"/>
        <v>3</v>
      </c>
      <c r="H4646" s="4">
        <f t="shared" si="410"/>
        <v>2024</v>
      </c>
      <c r="I4646" s="2" t="s">
        <v>4</v>
      </c>
      <c r="J4646" s="2" t="s">
        <v>5418</v>
      </c>
      <c r="K4646" s="2" t="s">
        <v>2544</v>
      </c>
      <c r="L4646" s="2" t="s">
        <v>547</v>
      </c>
      <c r="M4646" s="2" t="s">
        <v>160</v>
      </c>
      <c r="N4646" s="4" t="str">
        <f t="shared" si="411"/>
        <v>GAL</v>
      </c>
      <c r="O4646" s="5">
        <v>250</v>
      </c>
    </row>
    <row r="4647" spans="2:15" x14ac:dyDescent="0.25">
      <c r="B4647" s="1" t="s">
        <v>645</v>
      </c>
      <c r="C4647" s="2" t="s">
        <v>533</v>
      </c>
      <c r="D4647" s="2" t="s">
        <v>534</v>
      </c>
      <c r="E4647" s="2" t="s">
        <v>535</v>
      </c>
      <c r="F4647" s="3">
        <f t="shared" si="412"/>
        <v>45364</v>
      </c>
      <c r="G4647" s="4">
        <f t="shared" si="409"/>
        <v>3</v>
      </c>
      <c r="H4647" s="4">
        <f t="shared" si="410"/>
        <v>2024</v>
      </c>
      <c r="I4647" s="2" t="s">
        <v>4</v>
      </c>
      <c r="J4647" s="2" t="s">
        <v>5418</v>
      </c>
      <c r="K4647" s="2" t="s">
        <v>1779</v>
      </c>
      <c r="L4647" s="2" t="s">
        <v>2545</v>
      </c>
      <c r="M4647" s="2" t="s">
        <v>67</v>
      </c>
      <c r="N4647" s="4" t="str">
        <f t="shared" si="411"/>
        <v>GAL</v>
      </c>
      <c r="O4647" s="5">
        <v>110</v>
      </c>
    </row>
    <row r="4648" spans="2:15" x14ac:dyDescent="0.25">
      <c r="B4648" s="1" t="s">
        <v>645</v>
      </c>
      <c r="C4648" s="2" t="s">
        <v>533</v>
      </c>
      <c r="D4648" s="2" t="s">
        <v>534</v>
      </c>
      <c r="E4648" s="2" t="s">
        <v>535</v>
      </c>
      <c r="F4648" s="3">
        <f t="shared" si="412"/>
        <v>45364</v>
      </c>
      <c r="G4648" s="4">
        <f t="shared" si="409"/>
        <v>3</v>
      </c>
      <c r="H4648" s="4">
        <f t="shared" si="410"/>
        <v>2024</v>
      </c>
      <c r="I4648" s="2" t="s">
        <v>4</v>
      </c>
      <c r="J4648" s="2" t="s">
        <v>5418</v>
      </c>
      <c r="K4648" s="2" t="s">
        <v>83</v>
      </c>
      <c r="L4648" s="2" t="s">
        <v>518</v>
      </c>
      <c r="M4648" s="2" t="s">
        <v>85</v>
      </c>
      <c r="N4648" s="4" t="str">
        <f t="shared" si="411"/>
        <v>GAL</v>
      </c>
      <c r="O4648" s="5">
        <v>60</v>
      </c>
    </row>
    <row r="4649" spans="2:15" x14ac:dyDescent="0.25">
      <c r="B4649" s="1" t="s">
        <v>645</v>
      </c>
      <c r="C4649" s="2" t="s">
        <v>533</v>
      </c>
      <c r="D4649" s="2" t="s">
        <v>534</v>
      </c>
      <c r="E4649" s="2" t="s">
        <v>535</v>
      </c>
      <c r="F4649" s="3">
        <f t="shared" si="412"/>
        <v>45364</v>
      </c>
      <c r="G4649" s="4">
        <f t="shared" si="409"/>
        <v>3</v>
      </c>
      <c r="H4649" s="4">
        <f t="shared" si="410"/>
        <v>2024</v>
      </c>
      <c r="I4649" s="2" t="s">
        <v>4</v>
      </c>
      <c r="J4649" s="2" t="s">
        <v>5418</v>
      </c>
      <c r="K4649" s="2" t="s">
        <v>548</v>
      </c>
      <c r="L4649" s="2" t="s">
        <v>518</v>
      </c>
      <c r="M4649" s="2" t="s">
        <v>85</v>
      </c>
      <c r="N4649" s="4" t="str">
        <f t="shared" si="411"/>
        <v>GAL</v>
      </c>
      <c r="O4649" s="5">
        <v>250</v>
      </c>
    </row>
    <row r="4650" spans="2:15" x14ac:dyDescent="0.25">
      <c r="B4650" s="1" t="s">
        <v>645</v>
      </c>
      <c r="C4650" s="2" t="s">
        <v>533</v>
      </c>
      <c r="D4650" s="2" t="s">
        <v>534</v>
      </c>
      <c r="E4650" s="2" t="s">
        <v>535</v>
      </c>
      <c r="F4650" s="3">
        <f t="shared" si="412"/>
        <v>45364</v>
      </c>
      <c r="G4650" s="4">
        <f t="shared" si="409"/>
        <v>3</v>
      </c>
      <c r="H4650" s="4">
        <f t="shared" si="410"/>
        <v>2024</v>
      </c>
      <c r="I4650" s="2" t="s">
        <v>4</v>
      </c>
      <c r="J4650" s="2" t="s">
        <v>5418</v>
      </c>
      <c r="K4650" s="2" t="s">
        <v>2519</v>
      </c>
      <c r="L4650" s="2" t="s">
        <v>550</v>
      </c>
      <c r="M4650" s="2" t="s">
        <v>52</v>
      </c>
      <c r="N4650" s="4" t="str">
        <f t="shared" si="411"/>
        <v>GAL</v>
      </c>
      <c r="O4650" s="5">
        <v>500</v>
      </c>
    </row>
    <row r="4651" spans="2:15" x14ac:dyDescent="0.25">
      <c r="B4651" s="1" t="s">
        <v>645</v>
      </c>
      <c r="C4651" s="2" t="s">
        <v>533</v>
      </c>
      <c r="D4651" s="2" t="s">
        <v>534</v>
      </c>
      <c r="E4651" s="2" t="s">
        <v>535</v>
      </c>
      <c r="F4651" s="3">
        <f t="shared" si="412"/>
        <v>45364</v>
      </c>
      <c r="G4651" s="4">
        <f t="shared" si="409"/>
        <v>3</v>
      </c>
      <c r="H4651" s="4">
        <f t="shared" si="410"/>
        <v>2024</v>
      </c>
      <c r="I4651" s="2" t="s">
        <v>4</v>
      </c>
      <c r="J4651" s="2" t="s">
        <v>5418</v>
      </c>
      <c r="K4651" s="2" t="s">
        <v>1009</v>
      </c>
      <c r="L4651" s="2" t="s">
        <v>1010</v>
      </c>
      <c r="M4651" s="2" t="s">
        <v>13</v>
      </c>
      <c r="N4651" s="4" t="str">
        <f t="shared" si="411"/>
        <v>GAL</v>
      </c>
      <c r="O4651" s="5">
        <v>10</v>
      </c>
    </row>
    <row r="4652" spans="2:15" x14ac:dyDescent="0.25">
      <c r="B4652" s="1" t="s">
        <v>645</v>
      </c>
      <c r="C4652" s="2" t="s">
        <v>533</v>
      </c>
      <c r="D4652" s="2" t="s">
        <v>534</v>
      </c>
      <c r="E4652" s="2" t="s">
        <v>535</v>
      </c>
      <c r="F4652" s="3">
        <f t="shared" si="412"/>
        <v>45364</v>
      </c>
      <c r="G4652" s="4">
        <f t="shared" si="409"/>
        <v>3</v>
      </c>
      <c r="H4652" s="4">
        <f t="shared" si="410"/>
        <v>2024</v>
      </c>
      <c r="I4652" s="2" t="s">
        <v>4</v>
      </c>
      <c r="J4652" s="2" t="s">
        <v>5418</v>
      </c>
      <c r="K4652" s="2" t="s">
        <v>11</v>
      </c>
      <c r="L4652" s="2" t="s">
        <v>1010</v>
      </c>
      <c r="M4652" s="2" t="s">
        <v>13</v>
      </c>
      <c r="N4652" s="4" t="str">
        <f t="shared" si="411"/>
        <v>GAL</v>
      </c>
      <c r="O4652" s="5">
        <v>165</v>
      </c>
    </row>
    <row r="4653" spans="2:15" x14ac:dyDescent="0.25">
      <c r="B4653" s="1" t="s">
        <v>645</v>
      </c>
      <c r="C4653" s="2" t="s">
        <v>533</v>
      </c>
      <c r="D4653" s="2" t="s">
        <v>534</v>
      </c>
      <c r="E4653" s="2" t="s">
        <v>535</v>
      </c>
      <c r="F4653" s="3">
        <f t="shared" si="412"/>
        <v>45364</v>
      </c>
      <c r="G4653" s="4">
        <f t="shared" si="409"/>
        <v>3</v>
      </c>
      <c r="H4653" s="4">
        <f t="shared" si="410"/>
        <v>2024</v>
      </c>
      <c r="I4653" s="2" t="s">
        <v>4</v>
      </c>
      <c r="J4653" s="2" t="s">
        <v>5418</v>
      </c>
      <c r="K4653" s="2" t="s">
        <v>5421</v>
      </c>
      <c r="L4653" s="2" t="s">
        <v>176</v>
      </c>
      <c r="M4653" s="2" t="s">
        <v>24</v>
      </c>
      <c r="N4653" s="4" t="str">
        <f t="shared" si="411"/>
        <v>GAL</v>
      </c>
      <c r="O4653" s="5">
        <v>55</v>
      </c>
    </row>
    <row r="4654" spans="2:15" x14ac:dyDescent="0.25">
      <c r="B4654" s="1" t="s">
        <v>645</v>
      </c>
      <c r="C4654" s="2" t="s">
        <v>533</v>
      </c>
      <c r="D4654" s="2" t="s">
        <v>534</v>
      </c>
      <c r="E4654" s="2" t="s">
        <v>535</v>
      </c>
      <c r="F4654" s="3">
        <f t="shared" si="412"/>
        <v>45364</v>
      </c>
      <c r="G4654" s="4">
        <f t="shared" si="409"/>
        <v>3</v>
      </c>
      <c r="H4654" s="4">
        <f t="shared" si="410"/>
        <v>2024</v>
      </c>
      <c r="I4654" s="2" t="s">
        <v>4</v>
      </c>
      <c r="J4654" s="2" t="s">
        <v>5418</v>
      </c>
      <c r="K4654" s="2" t="s">
        <v>4873</v>
      </c>
      <c r="L4654" s="2" t="s">
        <v>555</v>
      </c>
      <c r="M4654" s="2" t="s">
        <v>556</v>
      </c>
      <c r="N4654" s="4" t="str">
        <f t="shared" si="411"/>
        <v>GAL</v>
      </c>
      <c r="O4654" s="5">
        <v>25</v>
      </c>
    </row>
    <row r="4655" spans="2:15" x14ac:dyDescent="0.25">
      <c r="B4655" s="1" t="s">
        <v>645</v>
      </c>
      <c r="C4655" s="2" t="s">
        <v>533</v>
      </c>
      <c r="D4655" s="2" t="s">
        <v>534</v>
      </c>
      <c r="E4655" s="2" t="s">
        <v>535</v>
      </c>
      <c r="F4655" s="3">
        <f t="shared" si="412"/>
        <v>45364</v>
      </c>
      <c r="G4655" s="4">
        <f t="shared" si="409"/>
        <v>3</v>
      </c>
      <c r="H4655" s="4">
        <f t="shared" si="410"/>
        <v>2024</v>
      </c>
      <c r="I4655" s="2" t="s">
        <v>4</v>
      </c>
      <c r="J4655" s="2" t="s">
        <v>5418</v>
      </c>
      <c r="K4655" s="2" t="s">
        <v>554</v>
      </c>
      <c r="L4655" s="2" t="s">
        <v>555</v>
      </c>
      <c r="M4655" s="2" t="s">
        <v>556</v>
      </c>
      <c r="N4655" s="4" t="str">
        <f t="shared" si="411"/>
        <v>GAL</v>
      </c>
      <c r="O4655" s="5">
        <v>500</v>
      </c>
    </row>
    <row r="4656" spans="2:15" x14ac:dyDescent="0.25">
      <c r="B4656" s="1" t="s">
        <v>645</v>
      </c>
      <c r="C4656" s="2" t="s">
        <v>533</v>
      </c>
      <c r="D4656" s="2" t="s">
        <v>534</v>
      </c>
      <c r="E4656" s="2" t="s">
        <v>535</v>
      </c>
      <c r="F4656" s="3">
        <f>DATE(2024,3,12)</f>
        <v>45363</v>
      </c>
      <c r="G4656" s="4">
        <f t="shared" si="409"/>
        <v>3</v>
      </c>
      <c r="H4656" s="4">
        <f t="shared" si="410"/>
        <v>2024</v>
      </c>
      <c r="I4656" s="2" t="s">
        <v>4</v>
      </c>
      <c r="J4656" s="2" t="s">
        <v>5422</v>
      </c>
      <c r="K4656" s="2" t="s">
        <v>5423</v>
      </c>
      <c r="L4656" s="2" t="s">
        <v>602</v>
      </c>
      <c r="M4656" s="2" t="s">
        <v>41</v>
      </c>
      <c r="N4656" s="4" t="str">
        <f t="shared" si="411"/>
        <v>GAL</v>
      </c>
      <c r="O4656" s="5">
        <v>55</v>
      </c>
    </row>
    <row r="4657" spans="2:15" x14ac:dyDescent="0.25">
      <c r="B4657" s="1" t="s">
        <v>645</v>
      </c>
      <c r="C4657" s="2" t="s">
        <v>533</v>
      </c>
      <c r="D4657" s="2" t="s">
        <v>534</v>
      </c>
      <c r="E4657" s="2" t="s">
        <v>535</v>
      </c>
      <c r="F4657" s="3">
        <f>DATE(2024,3,12)</f>
        <v>45363</v>
      </c>
      <c r="G4657" s="4">
        <f t="shared" si="409"/>
        <v>3</v>
      </c>
      <c r="H4657" s="4">
        <f t="shared" si="410"/>
        <v>2024</v>
      </c>
      <c r="I4657" s="2" t="s">
        <v>4</v>
      </c>
      <c r="J4657" s="2" t="s">
        <v>5422</v>
      </c>
      <c r="K4657" s="2" t="s">
        <v>2539</v>
      </c>
      <c r="L4657" s="2" t="s">
        <v>150</v>
      </c>
      <c r="M4657" s="2" t="s">
        <v>21</v>
      </c>
      <c r="N4657" s="4" t="str">
        <f t="shared" si="411"/>
        <v>GAL</v>
      </c>
      <c r="O4657" s="5">
        <v>55</v>
      </c>
    </row>
    <row r="4658" spans="2:15" x14ac:dyDescent="0.25">
      <c r="B4658" s="6" t="s">
        <v>645</v>
      </c>
      <c r="C4658" s="7" t="s">
        <v>533</v>
      </c>
      <c r="D4658" s="8" t="s">
        <v>534</v>
      </c>
      <c r="E4658" s="8" t="s">
        <v>535</v>
      </c>
      <c r="F4658" s="9">
        <f>DATE(2024,3,12)</f>
        <v>45363</v>
      </c>
      <c r="G4658" s="10">
        <f t="shared" si="409"/>
        <v>3</v>
      </c>
      <c r="H4658" s="10">
        <f t="shared" si="410"/>
        <v>2024</v>
      </c>
      <c r="I4658" s="8" t="s">
        <v>4</v>
      </c>
      <c r="J4658" s="7" t="s">
        <v>5422</v>
      </c>
      <c r="K4658" s="8" t="s">
        <v>1723</v>
      </c>
      <c r="L4658" s="8" t="s">
        <v>1724</v>
      </c>
      <c r="M4658" s="8" t="s">
        <v>13</v>
      </c>
      <c r="N4658" s="10" t="str">
        <f t="shared" si="411"/>
        <v>GAL</v>
      </c>
      <c r="O4658" s="11">
        <v>250</v>
      </c>
    </row>
    <row r="4659" spans="2:15" x14ac:dyDescent="0.25">
      <c r="B4659" s="1" t="s">
        <v>1050</v>
      </c>
      <c r="C4659" s="2" t="s">
        <v>533</v>
      </c>
      <c r="D4659" s="2" t="s">
        <v>557</v>
      </c>
      <c r="E4659" s="2" t="s">
        <v>1767</v>
      </c>
      <c r="F4659" s="3">
        <f>DATE(2024,3,13)</f>
        <v>45364</v>
      </c>
      <c r="G4659" s="4">
        <f t="shared" si="409"/>
        <v>3</v>
      </c>
      <c r="H4659" s="4">
        <f t="shared" si="410"/>
        <v>2024</v>
      </c>
      <c r="I4659" s="2" t="s">
        <v>4</v>
      </c>
      <c r="J4659" s="2" t="s">
        <v>5424</v>
      </c>
      <c r="K4659" s="2" t="s">
        <v>1056</v>
      </c>
      <c r="L4659" s="2" t="s">
        <v>1057</v>
      </c>
      <c r="M4659" s="2" t="s">
        <v>1058</v>
      </c>
      <c r="N4659" s="4" t="str">
        <f t="shared" si="411"/>
        <v>GAL</v>
      </c>
      <c r="O4659" s="5">
        <v>3710</v>
      </c>
    </row>
    <row r="4660" spans="2:15" x14ac:dyDescent="0.25">
      <c r="B4660" s="1" t="s">
        <v>645</v>
      </c>
      <c r="C4660" s="2" t="s">
        <v>533</v>
      </c>
      <c r="D4660" s="2" t="s">
        <v>1047</v>
      </c>
      <c r="E4660" s="2" t="s">
        <v>2136</v>
      </c>
      <c r="F4660" s="3">
        <f>DATE(2024,3,13)</f>
        <v>45364</v>
      </c>
      <c r="G4660" s="4">
        <f t="shared" si="409"/>
        <v>3</v>
      </c>
      <c r="H4660" s="4">
        <f t="shared" si="410"/>
        <v>2024</v>
      </c>
      <c r="I4660" s="2" t="s">
        <v>4</v>
      </c>
      <c r="J4660" s="2" t="s">
        <v>5425</v>
      </c>
      <c r="K4660" s="2" t="s">
        <v>2138</v>
      </c>
      <c r="L4660" s="2" t="s">
        <v>2139</v>
      </c>
      <c r="M4660" s="2" t="s">
        <v>1472</v>
      </c>
      <c r="N4660" s="4" t="str">
        <f t="shared" si="411"/>
        <v>GAL</v>
      </c>
      <c r="O4660" s="5">
        <v>500</v>
      </c>
    </row>
    <row r="4661" spans="2:15" x14ac:dyDescent="0.25">
      <c r="B4661" s="1" t="s">
        <v>645</v>
      </c>
      <c r="C4661" s="2" t="s">
        <v>533</v>
      </c>
      <c r="D4661" s="2" t="s">
        <v>562</v>
      </c>
      <c r="E4661" s="2" t="s">
        <v>2151</v>
      </c>
      <c r="F4661" s="3">
        <f>DATE(2024,3,13)</f>
        <v>45364</v>
      </c>
      <c r="G4661" s="4">
        <f t="shared" si="409"/>
        <v>3</v>
      </c>
      <c r="H4661" s="4">
        <f t="shared" si="410"/>
        <v>2024</v>
      </c>
      <c r="I4661" s="2" t="s">
        <v>4</v>
      </c>
      <c r="J4661" s="2" t="s">
        <v>5426</v>
      </c>
      <c r="K4661" s="2" t="s">
        <v>2098</v>
      </c>
      <c r="L4661" s="2" t="s">
        <v>2099</v>
      </c>
      <c r="M4661" s="2" t="s">
        <v>2100</v>
      </c>
      <c r="N4661" s="4" t="str">
        <f t="shared" si="411"/>
        <v>GAL</v>
      </c>
      <c r="O4661" s="5">
        <v>540</v>
      </c>
    </row>
    <row r="4662" spans="2:15" x14ac:dyDescent="0.25">
      <c r="B4662" s="1" t="s">
        <v>645</v>
      </c>
      <c r="C4662" s="2" t="s">
        <v>533</v>
      </c>
      <c r="D4662" s="2" t="s">
        <v>562</v>
      </c>
      <c r="E4662" s="2" t="s">
        <v>2151</v>
      </c>
      <c r="F4662" s="3">
        <f>DATE(2024,3,13)</f>
        <v>45364</v>
      </c>
      <c r="G4662" s="4">
        <f t="shared" si="409"/>
        <v>3</v>
      </c>
      <c r="H4662" s="4">
        <f t="shared" si="410"/>
        <v>2024</v>
      </c>
      <c r="I4662" s="2" t="s">
        <v>4</v>
      </c>
      <c r="J4662" s="2" t="s">
        <v>5426</v>
      </c>
      <c r="K4662" s="2" t="s">
        <v>5427</v>
      </c>
      <c r="L4662" s="2" t="s">
        <v>2099</v>
      </c>
      <c r="M4662" s="2" t="s">
        <v>2100</v>
      </c>
      <c r="N4662" s="4" t="str">
        <f t="shared" si="411"/>
        <v>GAL</v>
      </c>
      <c r="O4662" s="5">
        <v>180</v>
      </c>
    </row>
    <row r="4663" spans="2:15" x14ac:dyDescent="0.25">
      <c r="B4663" s="1" t="s">
        <v>1050</v>
      </c>
      <c r="C4663" s="2" t="s">
        <v>533</v>
      </c>
      <c r="D4663" s="2" t="s">
        <v>1047</v>
      </c>
      <c r="E4663" s="2" t="s">
        <v>5428</v>
      </c>
      <c r="F4663" s="3">
        <f>DATE(2024,3,13)</f>
        <v>45364</v>
      </c>
      <c r="G4663" s="4">
        <f t="shared" si="409"/>
        <v>3</v>
      </c>
      <c r="H4663" s="4">
        <f t="shared" si="410"/>
        <v>2024</v>
      </c>
      <c r="I4663" s="2" t="s">
        <v>4</v>
      </c>
      <c r="J4663" s="2" t="s">
        <v>5429</v>
      </c>
      <c r="K4663" s="2" t="s">
        <v>5430</v>
      </c>
      <c r="L4663" s="2" t="s">
        <v>5431</v>
      </c>
      <c r="M4663" s="2" t="s">
        <v>5432</v>
      </c>
      <c r="N4663" s="4" t="str">
        <f t="shared" si="411"/>
        <v>GAL</v>
      </c>
      <c r="O4663" s="5">
        <v>10</v>
      </c>
    </row>
    <row r="4664" spans="2:15" x14ac:dyDescent="0.25">
      <c r="B4664" s="1" t="s">
        <v>1050</v>
      </c>
      <c r="C4664" s="2" t="s">
        <v>533</v>
      </c>
      <c r="D4664" s="2" t="s">
        <v>2133</v>
      </c>
      <c r="E4664" s="2" t="s">
        <v>2134</v>
      </c>
      <c r="F4664" s="3">
        <f t="shared" ref="F4664:F4670" si="413">DATE(2024,3,18)</f>
        <v>45369</v>
      </c>
      <c r="G4664" s="4">
        <f t="shared" si="409"/>
        <v>3</v>
      </c>
      <c r="H4664" s="4">
        <f t="shared" si="410"/>
        <v>2024</v>
      </c>
      <c r="I4664" s="2" t="s">
        <v>4</v>
      </c>
      <c r="J4664" s="2" t="s">
        <v>5433</v>
      </c>
      <c r="K4664" s="2" t="s">
        <v>44</v>
      </c>
      <c r="L4664" s="2" t="s">
        <v>3023</v>
      </c>
      <c r="M4664" s="2" t="s">
        <v>46</v>
      </c>
      <c r="N4664" s="4" t="str">
        <f t="shared" si="411"/>
        <v>GAL</v>
      </c>
      <c r="O4664" s="5">
        <v>300</v>
      </c>
    </row>
    <row r="4665" spans="2:15" x14ac:dyDescent="0.25">
      <c r="B4665" s="1" t="s">
        <v>1050</v>
      </c>
      <c r="C4665" s="2" t="s">
        <v>533</v>
      </c>
      <c r="D4665" s="2" t="s">
        <v>2133</v>
      </c>
      <c r="E4665" s="2" t="s">
        <v>2134</v>
      </c>
      <c r="F4665" s="3">
        <f t="shared" si="413"/>
        <v>45369</v>
      </c>
      <c r="G4665" s="4">
        <f t="shared" ref="G4665:G4713" si="414">+MONTH(F4665)</f>
        <v>3</v>
      </c>
      <c r="H4665" s="4">
        <f t="shared" ref="H4665:H4713" si="415">+YEAR(F4665)</f>
        <v>2024</v>
      </c>
      <c r="I4665" s="2" t="s">
        <v>4</v>
      </c>
      <c r="J4665" s="2" t="s">
        <v>5433</v>
      </c>
      <c r="K4665" s="2" t="s">
        <v>25</v>
      </c>
      <c r="L4665" s="2" t="s">
        <v>541</v>
      </c>
      <c r="M4665" s="2" t="s">
        <v>27</v>
      </c>
      <c r="N4665" s="4" t="str">
        <f t="shared" ref="N4665:N4713" si="416">+LEFT(M4665,3)</f>
        <v>GAL</v>
      </c>
      <c r="O4665" s="5">
        <v>720</v>
      </c>
    </row>
    <row r="4666" spans="2:15" x14ac:dyDescent="0.25">
      <c r="B4666" s="1" t="s">
        <v>1050</v>
      </c>
      <c r="C4666" s="2" t="s">
        <v>533</v>
      </c>
      <c r="D4666" s="2" t="s">
        <v>2133</v>
      </c>
      <c r="E4666" s="2" t="s">
        <v>2134</v>
      </c>
      <c r="F4666" s="3">
        <f t="shared" si="413"/>
        <v>45369</v>
      </c>
      <c r="G4666" s="4">
        <f t="shared" si="414"/>
        <v>3</v>
      </c>
      <c r="H4666" s="4">
        <f t="shared" si="415"/>
        <v>2024</v>
      </c>
      <c r="I4666" s="2" t="s">
        <v>4</v>
      </c>
      <c r="J4666" s="2" t="s">
        <v>5433</v>
      </c>
      <c r="K4666" s="2" t="s">
        <v>244</v>
      </c>
      <c r="L4666" s="2" t="s">
        <v>182</v>
      </c>
      <c r="M4666" s="2" t="s">
        <v>183</v>
      </c>
      <c r="N4666" s="4" t="str">
        <f t="shared" si="416"/>
        <v>GAL</v>
      </c>
      <c r="O4666" s="5">
        <v>60</v>
      </c>
    </row>
    <row r="4667" spans="2:15" x14ac:dyDescent="0.25">
      <c r="B4667" s="1" t="s">
        <v>1050</v>
      </c>
      <c r="C4667" s="2" t="s">
        <v>533</v>
      </c>
      <c r="D4667" s="2" t="s">
        <v>2133</v>
      </c>
      <c r="E4667" s="2" t="s">
        <v>2134</v>
      </c>
      <c r="F4667" s="3">
        <f t="shared" si="413"/>
        <v>45369</v>
      </c>
      <c r="G4667" s="4">
        <f t="shared" si="414"/>
        <v>3</v>
      </c>
      <c r="H4667" s="4">
        <f t="shared" si="415"/>
        <v>2024</v>
      </c>
      <c r="I4667" s="2" t="s">
        <v>4</v>
      </c>
      <c r="J4667" s="2" t="s">
        <v>5433</v>
      </c>
      <c r="K4667" s="2" t="s">
        <v>33</v>
      </c>
      <c r="L4667" s="2" t="s">
        <v>2786</v>
      </c>
      <c r="M4667" s="2" t="s">
        <v>35</v>
      </c>
      <c r="N4667" s="4" t="str">
        <f t="shared" si="416"/>
        <v>GAL</v>
      </c>
      <c r="O4667" s="5">
        <v>60</v>
      </c>
    </row>
    <row r="4668" spans="2:15" x14ac:dyDescent="0.25">
      <c r="B4668" s="1" t="s">
        <v>1050</v>
      </c>
      <c r="C4668" s="2" t="s">
        <v>533</v>
      </c>
      <c r="D4668" s="2" t="s">
        <v>2133</v>
      </c>
      <c r="E4668" s="2" t="s">
        <v>2134</v>
      </c>
      <c r="F4668" s="3">
        <f t="shared" si="413"/>
        <v>45369</v>
      </c>
      <c r="G4668" s="4">
        <f t="shared" si="414"/>
        <v>3</v>
      </c>
      <c r="H4668" s="4">
        <f t="shared" si="415"/>
        <v>2024</v>
      </c>
      <c r="I4668" s="2" t="s">
        <v>4</v>
      </c>
      <c r="J4668" s="2" t="s">
        <v>5433</v>
      </c>
      <c r="K4668" s="2" t="s">
        <v>83</v>
      </c>
      <c r="L4668" s="2" t="s">
        <v>518</v>
      </c>
      <c r="M4668" s="2" t="s">
        <v>85</v>
      </c>
      <c r="N4668" s="4" t="str">
        <f t="shared" si="416"/>
        <v>GAL</v>
      </c>
      <c r="O4668" s="5">
        <v>900</v>
      </c>
    </row>
    <row r="4669" spans="2:15" x14ac:dyDescent="0.25">
      <c r="B4669" s="1" t="s">
        <v>1050</v>
      </c>
      <c r="C4669" s="2" t="s">
        <v>533</v>
      </c>
      <c r="D4669" s="2" t="s">
        <v>2133</v>
      </c>
      <c r="E4669" s="2" t="s">
        <v>2134</v>
      </c>
      <c r="F4669" s="3">
        <f t="shared" si="413"/>
        <v>45369</v>
      </c>
      <c r="G4669" s="4">
        <f t="shared" si="414"/>
        <v>3</v>
      </c>
      <c r="H4669" s="4">
        <f t="shared" si="415"/>
        <v>2024</v>
      </c>
      <c r="I4669" s="2" t="s">
        <v>4</v>
      </c>
      <c r="J4669" s="2" t="s">
        <v>5433</v>
      </c>
      <c r="K4669" s="2" t="s">
        <v>609</v>
      </c>
      <c r="L4669" s="2" t="s">
        <v>610</v>
      </c>
      <c r="M4669" s="2" t="s">
        <v>611</v>
      </c>
      <c r="N4669" s="4" t="str">
        <f t="shared" si="416"/>
        <v>GAL</v>
      </c>
      <c r="O4669" s="5">
        <v>900</v>
      </c>
    </row>
    <row r="4670" spans="2:15" x14ac:dyDescent="0.25">
      <c r="B4670" s="1" t="s">
        <v>1050</v>
      </c>
      <c r="C4670" s="2" t="s">
        <v>533</v>
      </c>
      <c r="D4670" s="2" t="s">
        <v>557</v>
      </c>
      <c r="E4670" s="2" t="s">
        <v>2142</v>
      </c>
      <c r="F4670" s="3">
        <f t="shared" si="413"/>
        <v>45369</v>
      </c>
      <c r="G4670" s="4">
        <f t="shared" si="414"/>
        <v>3</v>
      </c>
      <c r="H4670" s="4">
        <f t="shared" si="415"/>
        <v>2024</v>
      </c>
      <c r="I4670" s="2" t="s">
        <v>4</v>
      </c>
      <c r="J4670" s="2" t="s">
        <v>5434</v>
      </c>
      <c r="K4670" s="2" t="s">
        <v>5125</v>
      </c>
      <c r="L4670" s="2" t="s">
        <v>2124</v>
      </c>
      <c r="M4670" s="2" t="s">
        <v>106</v>
      </c>
      <c r="N4670" s="4" t="str">
        <f t="shared" si="416"/>
        <v>LBS</v>
      </c>
      <c r="O4670" s="5">
        <v>2500</v>
      </c>
    </row>
    <row r="4671" spans="2:15" x14ac:dyDescent="0.25">
      <c r="B4671" s="1" t="s">
        <v>1050</v>
      </c>
      <c r="C4671" s="2" t="s">
        <v>533</v>
      </c>
      <c r="D4671" s="2" t="s">
        <v>3091</v>
      </c>
      <c r="E4671" s="2" t="s">
        <v>5435</v>
      </c>
      <c r="F4671" s="3">
        <f>DATE(2024,3,19)</f>
        <v>45370</v>
      </c>
      <c r="G4671" s="4">
        <f t="shared" si="414"/>
        <v>3</v>
      </c>
      <c r="H4671" s="4">
        <f t="shared" si="415"/>
        <v>2024</v>
      </c>
      <c r="I4671" s="2" t="s">
        <v>4</v>
      </c>
      <c r="J4671" s="2" t="s">
        <v>5436</v>
      </c>
      <c r="K4671" s="2" t="s">
        <v>642</v>
      </c>
      <c r="L4671" s="2" t="s">
        <v>111</v>
      </c>
      <c r="M4671" s="2" t="s">
        <v>112</v>
      </c>
      <c r="N4671" s="4" t="str">
        <f t="shared" si="416"/>
        <v>GAL</v>
      </c>
      <c r="O4671" s="5">
        <v>360</v>
      </c>
    </row>
    <row r="4672" spans="2:15" x14ac:dyDescent="0.25">
      <c r="B4672" s="1" t="s">
        <v>1050</v>
      </c>
      <c r="C4672" s="2" t="s">
        <v>533</v>
      </c>
      <c r="D4672" s="2" t="s">
        <v>628</v>
      </c>
      <c r="E4672" s="2" t="s">
        <v>3232</v>
      </c>
      <c r="F4672" s="3">
        <f>DATE(2024,3,19)</f>
        <v>45370</v>
      </c>
      <c r="G4672" s="4">
        <f t="shared" si="414"/>
        <v>3</v>
      </c>
      <c r="H4672" s="4">
        <f t="shared" si="415"/>
        <v>2024</v>
      </c>
      <c r="I4672" s="2" t="s">
        <v>4</v>
      </c>
      <c r="J4672" s="2" t="s">
        <v>5437</v>
      </c>
      <c r="K4672" s="2" t="s">
        <v>1734</v>
      </c>
      <c r="L4672" s="2" t="s">
        <v>2521</v>
      </c>
      <c r="M4672" s="2" t="s">
        <v>1736</v>
      </c>
      <c r="N4672" s="4" t="str">
        <f t="shared" si="416"/>
        <v>GAL</v>
      </c>
      <c r="O4672" s="5">
        <v>2160</v>
      </c>
    </row>
    <row r="4673" spans="2:15" x14ac:dyDescent="0.25">
      <c r="B4673" s="1" t="s">
        <v>1050</v>
      </c>
      <c r="C4673" s="2" t="s">
        <v>533</v>
      </c>
      <c r="D4673" s="2" t="s">
        <v>557</v>
      </c>
      <c r="E4673" s="2" t="s">
        <v>3080</v>
      </c>
      <c r="F4673" s="3">
        <f>DATE(2024,3,22)</f>
        <v>45373</v>
      </c>
      <c r="G4673" s="4">
        <f t="shared" si="414"/>
        <v>3</v>
      </c>
      <c r="H4673" s="4">
        <f t="shared" si="415"/>
        <v>2024</v>
      </c>
      <c r="I4673" s="2" t="s">
        <v>4</v>
      </c>
      <c r="J4673" s="2" t="s">
        <v>5438</v>
      </c>
      <c r="K4673" s="2" t="s">
        <v>2123</v>
      </c>
      <c r="L4673" s="2" t="s">
        <v>2124</v>
      </c>
      <c r="M4673" s="2" t="s">
        <v>106</v>
      </c>
      <c r="N4673" s="4" t="str">
        <f t="shared" si="416"/>
        <v>LBS</v>
      </c>
      <c r="O4673" s="5">
        <v>1800</v>
      </c>
    </row>
    <row r="4674" spans="2:15" x14ac:dyDescent="0.25">
      <c r="B4674" s="1" t="s">
        <v>645</v>
      </c>
      <c r="C4674" s="2" t="s">
        <v>533</v>
      </c>
      <c r="D4674" s="2" t="s">
        <v>557</v>
      </c>
      <c r="E4674" s="2" t="s">
        <v>1090</v>
      </c>
      <c r="F4674" s="3">
        <f>DATE(2024,3,22)</f>
        <v>45373</v>
      </c>
      <c r="G4674" s="4">
        <f t="shared" si="414"/>
        <v>3</v>
      </c>
      <c r="H4674" s="4">
        <f t="shared" si="415"/>
        <v>2024</v>
      </c>
      <c r="I4674" s="2" t="s">
        <v>4</v>
      </c>
      <c r="J4674" s="2" t="s">
        <v>5439</v>
      </c>
      <c r="K4674" s="2" t="s">
        <v>2123</v>
      </c>
      <c r="L4674" s="2" t="s">
        <v>2124</v>
      </c>
      <c r="M4674" s="2" t="s">
        <v>106</v>
      </c>
      <c r="N4674" s="4" t="str">
        <f t="shared" si="416"/>
        <v>LBS</v>
      </c>
      <c r="O4674" s="5">
        <v>1800</v>
      </c>
    </row>
    <row r="4675" spans="2:15" x14ac:dyDescent="0.25">
      <c r="B4675" s="1" t="s">
        <v>1050</v>
      </c>
      <c r="C4675" s="2" t="s">
        <v>533</v>
      </c>
      <c r="D4675" s="2" t="s">
        <v>628</v>
      </c>
      <c r="E4675" s="2" t="s">
        <v>3232</v>
      </c>
      <c r="F4675" s="3">
        <f>DATE(2024,3,25)</f>
        <v>45376</v>
      </c>
      <c r="G4675" s="4">
        <f t="shared" si="414"/>
        <v>3</v>
      </c>
      <c r="H4675" s="4">
        <f t="shared" si="415"/>
        <v>2024</v>
      </c>
      <c r="I4675" s="2" t="s">
        <v>4</v>
      </c>
      <c r="J4675" s="2" t="s">
        <v>5440</v>
      </c>
      <c r="K4675" s="2" t="s">
        <v>1734</v>
      </c>
      <c r="L4675" s="2" t="s">
        <v>2521</v>
      </c>
      <c r="M4675" s="2" t="s">
        <v>1736</v>
      </c>
      <c r="N4675" s="4" t="str">
        <f t="shared" si="416"/>
        <v>GAL</v>
      </c>
      <c r="O4675" s="5">
        <v>1800</v>
      </c>
    </row>
    <row r="4676" spans="2:15" x14ac:dyDescent="0.25">
      <c r="B4676" s="1" t="s">
        <v>1050</v>
      </c>
      <c r="C4676" s="2" t="s">
        <v>533</v>
      </c>
      <c r="D4676" s="2" t="s">
        <v>1047</v>
      </c>
      <c r="E4676" s="2" t="s">
        <v>5441</v>
      </c>
      <c r="F4676" s="3">
        <f>DATE(2024,3,25)</f>
        <v>45376</v>
      </c>
      <c r="G4676" s="4">
        <f t="shared" si="414"/>
        <v>3</v>
      </c>
      <c r="H4676" s="4">
        <f t="shared" si="415"/>
        <v>2024</v>
      </c>
      <c r="I4676" s="2" t="s">
        <v>4</v>
      </c>
      <c r="J4676" s="2" t="s">
        <v>5442</v>
      </c>
      <c r="K4676" s="2" t="s">
        <v>5443</v>
      </c>
      <c r="L4676" s="2" t="s">
        <v>2139</v>
      </c>
      <c r="M4676" s="2" t="s">
        <v>1472</v>
      </c>
      <c r="N4676" s="4" t="str">
        <f t="shared" si="416"/>
        <v>GAL</v>
      </c>
      <c r="O4676" s="5">
        <v>75</v>
      </c>
    </row>
    <row r="4677" spans="2:15" x14ac:dyDescent="0.25">
      <c r="B4677" s="1" t="s">
        <v>1050</v>
      </c>
      <c r="C4677" s="2" t="s">
        <v>533</v>
      </c>
      <c r="D4677" s="2" t="s">
        <v>1047</v>
      </c>
      <c r="E4677" s="2" t="s">
        <v>2554</v>
      </c>
      <c r="F4677" s="3">
        <f>DATE(2024,3,26)</f>
        <v>45377</v>
      </c>
      <c r="G4677" s="4">
        <f t="shared" si="414"/>
        <v>3</v>
      </c>
      <c r="H4677" s="4">
        <f t="shared" si="415"/>
        <v>2024</v>
      </c>
      <c r="I4677" s="2" t="s">
        <v>4</v>
      </c>
      <c r="J4677" s="2" t="s">
        <v>5444</v>
      </c>
      <c r="K4677" s="2" t="s">
        <v>2530</v>
      </c>
      <c r="L4677" s="2" t="s">
        <v>2531</v>
      </c>
      <c r="M4677" s="2" t="s">
        <v>2532</v>
      </c>
      <c r="N4677" s="4" t="str">
        <f t="shared" si="416"/>
        <v>GAL</v>
      </c>
      <c r="O4677" s="5">
        <v>50</v>
      </c>
    </row>
    <row r="4678" spans="2:15" x14ac:dyDescent="0.25">
      <c r="B4678" s="1" t="s">
        <v>1050</v>
      </c>
      <c r="C4678" s="2" t="s">
        <v>533</v>
      </c>
      <c r="D4678" s="2" t="s">
        <v>1047</v>
      </c>
      <c r="E4678" s="2" t="s">
        <v>2554</v>
      </c>
      <c r="F4678" s="3">
        <f>DATE(2024,3,26)</f>
        <v>45377</v>
      </c>
      <c r="G4678" s="4">
        <f t="shared" si="414"/>
        <v>3</v>
      </c>
      <c r="H4678" s="4">
        <f t="shared" si="415"/>
        <v>2024</v>
      </c>
      <c r="I4678" s="2" t="s">
        <v>4</v>
      </c>
      <c r="J4678" s="2" t="s">
        <v>5444</v>
      </c>
      <c r="K4678" s="2" t="s">
        <v>2556</v>
      </c>
      <c r="L4678" s="2" t="s">
        <v>2557</v>
      </c>
      <c r="M4678" s="2" t="s">
        <v>1472</v>
      </c>
      <c r="N4678" s="4" t="str">
        <f t="shared" si="416"/>
        <v>GAL</v>
      </c>
      <c r="O4678" s="5">
        <v>90</v>
      </c>
    </row>
    <row r="4679" spans="2:15" x14ac:dyDescent="0.25">
      <c r="B4679" s="1" t="s">
        <v>1050</v>
      </c>
      <c r="C4679" s="2" t="s">
        <v>533</v>
      </c>
      <c r="D4679" s="2" t="s">
        <v>1047</v>
      </c>
      <c r="E4679" s="2" t="s">
        <v>2554</v>
      </c>
      <c r="F4679" s="3">
        <f>DATE(2024,3,26)</f>
        <v>45377</v>
      </c>
      <c r="G4679" s="4">
        <f t="shared" si="414"/>
        <v>3</v>
      </c>
      <c r="H4679" s="4">
        <f t="shared" si="415"/>
        <v>2024</v>
      </c>
      <c r="I4679" s="2" t="s">
        <v>4</v>
      </c>
      <c r="J4679" s="2" t="s">
        <v>5444</v>
      </c>
      <c r="K4679" s="2" t="s">
        <v>1470</v>
      </c>
      <c r="L4679" s="2" t="s">
        <v>2558</v>
      </c>
      <c r="M4679" s="2" t="s">
        <v>1472</v>
      </c>
      <c r="N4679" s="4" t="str">
        <f t="shared" si="416"/>
        <v>GAL</v>
      </c>
      <c r="O4679" s="5">
        <v>40</v>
      </c>
    </row>
    <row r="4680" spans="2:15" x14ac:dyDescent="0.25">
      <c r="B4680" s="1" t="s">
        <v>645</v>
      </c>
      <c r="C4680" s="2" t="s">
        <v>533</v>
      </c>
      <c r="D4680" s="2" t="s">
        <v>534</v>
      </c>
      <c r="E4680" s="2" t="s">
        <v>535</v>
      </c>
      <c r="F4680" s="3">
        <f>DATE(2024,3,27)</f>
        <v>45378</v>
      </c>
      <c r="G4680" s="4">
        <f t="shared" si="414"/>
        <v>3</v>
      </c>
      <c r="H4680" s="4">
        <f t="shared" si="415"/>
        <v>2024</v>
      </c>
      <c r="I4680" s="2" t="s">
        <v>4</v>
      </c>
      <c r="J4680" s="2" t="s">
        <v>5445</v>
      </c>
      <c r="K4680" s="2" t="s">
        <v>548</v>
      </c>
      <c r="L4680" s="2" t="s">
        <v>518</v>
      </c>
      <c r="M4680" s="2" t="s">
        <v>85</v>
      </c>
      <c r="N4680" s="4" t="str">
        <f t="shared" si="416"/>
        <v>GAL</v>
      </c>
      <c r="O4680" s="5">
        <v>250</v>
      </c>
    </row>
    <row r="4681" spans="2:15" x14ac:dyDescent="0.25">
      <c r="B4681" s="1" t="s">
        <v>645</v>
      </c>
      <c r="C4681" s="2" t="s">
        <v>533</v>
      </c>
      <c r="D4681" s="2" t="s">
        <v>534</v>
      </c>
      <c r="E4681" s="2" t="s">
        <v>535</v>
      </c>
      <c r="F4681" s="3">
        <f>DATE(2024,3,27)</f>
        <v>45378</v>
      </c>
      <c r="G4681" s="4">
        <f t="shared" si="414"/>
        <v>3</v>
      </c>
      <c r="H4681" s="4">
        <f t="shared" si="415"/>
        <v>2024</v>
      </c>
      <c r="I4681" s="2" t="s">
        <v>4</v>
      </c>
      <c r="J4681" s="2" t="s">
        <v>5445</v>
      </c>
      <c r="K4681" s="2" t="s">
        <v>2548</v>
      </c>
      <c r="L4681" s="2" t="s">
        <v>5446</v>
      </c>
      <c r="M4681" s="2" t="s">
        <v>24</v>
      </c>
      <c r="N4681" s="4" t="str">
        <f t="shared" si="416"/>
        <v>GAL</v>
      </c>
      <c r="O4681" s="5">
        <v>250</v>
      </c>
    </row>
    <row r="4682" spans="2:15" x14ac:dyDescent="0.25">
      <c r="B4682" s="1" t="s">
        <v>1050</v>
      </c>
      <c r="C4682" s="2" t="s">
        <v>533</v>
      </c>
      <c r="D4682" s="2" t="s">
        <v>562</v>
      </c>
      <c r="E4682" s="2" t="s">
        <v>563</v>
      </c>
      <c r="F4682" s="3">
        <f>DATE(2024,3,27)</f>
        <v>45378</v>
      </c>
      <c r="G4682" s="4">
        <f t="shared" si="414"/>
        <v>3</v>
      </c>
      <c r="H4682" s="4">
        <f t="shared" si="415"/>
        <v>2024</v>
      </c>
      <c r="I4682" s="2" t="s">
        <v>4</v>
      </c>
      <c r="J4682" s="2" t="s">
        <v>5447</v>
      </c>
      <c r="K4682" s="2" t="s">
        <v>986</v>
      </c>
      <c r="L4682" s="2" t="s">
        <v>987</v>
      </c>
      <c r="M4682" s="2" t="s">
        <v>988</v>
      </c>
      <c r="N4682" s="4" t="str">
        <f t="shared" si="416"/>
        <v>GAL</v>
      </c>
      <c r="O4682" s="5">
        <v>90</v>
      </c>
    </row>
    <row r="4683" spans="2:15" x14ac:dyDescent="0.25">
      <c r="B4683" s="1" t="s">
        <v>1050</v>
      </c>
      <c r="C4683" s="2" t="s">
        <v>533</v>
      </c>
      <c r="D4683" s="2" t="s">
        <v>562</v>
      </c>
      <c r="E4683" s="2" t="s">
        <v>563</v>
      </c>
      <c r="F4683" s="3">
        <f>DATE(2024,3,27)</f>
        <v>45378</v>
      </c>
      <c r="G4683" s="4">
        <f t="shared" si="414"/>
        <v>3</v>
      </c>
      <c r="H4683" s="4">
        <f t="shared" si="415"/>
        <v>2024</v>
      </c>
      <c r="I4683" s="2" t="s">
        <v>4</v>
      </c>
      <c r="J4683" s="2" t="s">
        <v>5447</v>
      </c>
      <c r="K4683" s="2" t="s">
        <v>44</v>
      </c>
      <c r="L4683" s="2" t="s">
        <v>3023</v>
      </c>
      <c r="M4683" s="2" t="s">
        <v>46</v>
      </c>
      <c r="N4683" s="4" t="str">
        <f t="shared" si="416"/>
        <v>GAL</v>
      </c>
      <c r="O4683" s="5">
        <v>90</v>
      </c>
    </row>
    <row r="4684" spans="2:15" x14ac:dyDescent="0.25">
      <c r="B4684" s="1" t="s">
        <v>1050</v>
      </c>
      <c r="C4684" s="2" t="s">
        <v>533</v>
      </c>
      <c r="D4684" s="2" t="s">
        <v>562</v>
      </c>
      <c r="E4684" s="2" t="s">
        <v>563</v>
      </c>
      <c r="F4684" s="3">
        <f>DATE(2024,3,27)</f>
        <v>45378</v>
      </c>
      <c r="G4684" s="4">
        <f t="shared" si="414"/>
        <v>3</v>
      </c>
      <c r="H4684" s="4">
        <f t="shared" si="415"/>
        <v>2024</v>
      </c>
      <c r="I4684" s="2" t="s">
        <v>4</v>
      </c>
      <c r="J4684" s="2" t="s">
        <v>5447</v>
      </c>
      <c r="K4684" s="2" t="s">
        <v>2519</v>
      </c>
      <c r="L4684" s="2" t="s">
        <v>550</v>
      </c>
      <c r="M4684" s="2" t="s">
        <v>52</v>
      </c>
      <c r="N4684" s="4" t="str">
        <f t="shared" si="416"/>
        <v>GAL</v>
      </c>
      <c r="O4684" s="5">
        <v>500</v>
      </c>
    </row>
    <row r="4685" spans="2:15" x14ac:dyDescent="0.25">
      <c r="B4685" s="1" t="s">
        <v>2837</v>
      </c>
      <c r="C4685" s="2" t="s">
        <v>2838</v>
      </c>
      <c r="D4685" s="2" t="s">
        <v>2839</v>
      </c>
      <c r="E4685" s="2" t="s">
        <v>102</v>
      </c>
      <c r="F4685" s="3">
        <f>DATE(2024,3,26)</f>
        <v>45377</v>
      </c>
      <c r="G4685" s="4">
        <f t="shared" si="414"/>
        <v>3</v>
      </c>
      <c r="H4685" s="4">
        <f t="shared" si="415"/>
        <v>2024</v>
      </c>
      <c r="I4685" s="2" t="s">
        <v>4</v>
      </c>
      <c r="J4685" s="2" t="s">
        <v>5448</v>
      </c>
      <c r="K4685" s="2" t="s">
        <v>2548</v>
      </c>
      <c r="L4685" s="2" t="s">
        <v>5446</v>
      </c>
      <c r="M4685" s="2" t="s">
        <v>24</v>
      </c>
      <c r="N4685" s="4" t="str">
        <f t="shared" si="416"/>
        <v>GAL</v>
      </c>
      <c r="O4685" s="5">
        <v>2000</v>
      </c>
    </row>
    <row r="4686" spans="2:15" x14ac:dyDescent="0.25">
      <c r="B4686" s="1" t="s">
        <v>3238</v>
      </c>
      <c r="C4686" s="2" t="s">
        <v>3239</v>
      </c>
      <c r="D4686" s="2" t="s">
        <v>3240</v>
      </c>
      <c r="E4686" s="2" t="s">
        <v>3904</v>
      </c>
      <c r="F4686" s="3">
        <f>DATE(2024,3,1)</f>
        <v>45352</v>
      </c>
      <c r="G4686" s="4">
        <f t="shared" si="414"/>
        <v>3</v>
      </c>
      <c r="H4686" s="4">
        <f t="shared" si="415"/>
        <v>2024</v>
      </c>
      <c r="I4686" s="2" t="s">
        <v>4</v>
      </c>
      <c r="J4686" s="2" t="s">
        <v>5449</v>
      </c>
      <c r="K4686" s="2" t="s">
        <v>3395</v>
      </c>
      <c r="L4686" s="2" t="s">
        <v>3396</v>
      </c>
      <c r="M4686" s="2" t="s">
        <v>844</v>
      </c>
      <c r="N4686" s="4" t="str">
        <f t="shared" si="416"/>
        <v>GAL</v>
      </c>
      <c r="O4686" s="5">
        <v>250</v>
      </c>
    </row>
    <row r="4687" spans="2:15" x14ac:dyDescent="0.25">
      <c r="B4687" s="1" t="s">
        <v>3238</v>
      </c>
      <c r="C4687" s="2" t="s">
        <v>3239</v>
      </c>
      <c r="D4687" s="2" t="s">
        <v>3240</v>
      </c>
      <c r="E4687" s="2" t="s">
        <v>102</v>
      </c>
      <c r="F4687" s="3">
        <f>DATE(2024,3,5)</f>
        <v>45356</v>
      </c>
      <c r="G4687" s="4">
        <f t="shared" si="414"/>
        <v>3</v>
      </c>
      <c r="H4687" s="4">
        <f t="shared" si="415"/>
        <v>2024</v>
      </c>
      <c r="I4687" s="2" t="s">
        <v>4</v>
      </c>
      <c r="J4687" s="2" t="s">
        <v>5450</v>
      </c>
      <c r="K4687" s="2" t="s">
        <v>19</v>
      </c>
      <c r="L4687" s="2" t="s">
        <v>565</v>
      </c>
      <c r="M4687" s="2" t="s">
        <v>21</v>
      </c>
      <c r="N4687" s="4" t="str">
        <f t="shared" si="416"/>
        <v>GAL</v>
      </c>
      <c r="O4687" s="5">
        <v>10</v>
      </c>
    </row>
    <row r="4688" spans="2:15" x14ac:dyDescent="0.25">
      <c r="B4688" s="6" t="s">
        <v>3238</v>
      </c>
      <c r="C4688" s="7" t="s">
        <v>3239</v>
      </c>
      <c r="D4688" s="8" t="s">
        <v>3240</v>
      </c>
      <c r="E4688" s="8" t="s">
        <v>102</v>
      </c>
      <c r="F4688" s="9">
        <f>DATE(2024,3,5)</f>
        <v>45356</v>
      </c>
      <c r="G4688" s="10">
        <f t="shared" si="414"/>
        <v>3</v>
      </c>
      <c r="H4688" s="10">
        <f t="shared" si="415"/>
        <v>2024</v>
      </c>
      <c r="I4688" s="8" t="s">
        <v>4</v>
      </c>
      <c r="J4688" s="7" t="s">
        <v>5450</v>
      </c>
      <c r="K4688" s="8" t="s">
        <v>3521</v>
      </c>
      <c r="L4688" s="8" t="s">
        <v>3498</v>
      </c>
      <c r="M4688" s="8" t="s">
        <v>556</v>
      </c>
      <c r="N4688" s="10" t="str">
        <f t="shared" si="416"/>
        <v>GAL</v>
      </c>
      <c r="O4688" s="11">
        <v>170</v>
      </c>
    </row>
    <row r="4689" spans="2:15" x14ac:dyDescent="0.25">
      <c r="B4689" s="1" t="s">
        <v>3238</v>
      </c>
      <c r="C4689" s="2" t="s">
        <v>3239</v>
      </c>
      <c r="D4689" s="2" t="s">
        <v>3240</v>
      </c>
      <c r="E4689" s="2" t="s">
        <v>102</v>
      </c>
      <c r="F4689" s="3">
        <f>DATE(2024,3,6)</f>
        <v>45357</v>
      </c>
      <c r="G4689" s="4">
        <f t="shared" si="414"/>
        <v>3</v>
      </c>
      <c r="H4689" s="4">
        <f t="shared" si="415"/>
        <v>2024</v>
      </c>
      <c r="I4689" s="2" t="s">
        <v>4</v>
      </c>
      <c r="J4689" s="2" t="s">
        <v>5451</v>
      </c>
      <c r="K4689" s="2" t="s">
        <v>5452</v>
      </c>
      <c r="L4689" s="2" t="s">
        <v>3532</v>
      </c>
      <c r="M4689" s="2" t="s">
        <v>119</v>
      </c>
      <c r="N4689" s="4" t="str">
        <f t="shared" si="416"/>
        <v>TON</v>
      </c>
      <c r="O4689" s="5">
        <v>0.3</v>
      </c>
    </row>
    <row r="4690" spans="2:15" x14ac:dyDescent="0.25">
      <c r="B4690" s="1" t="s">
        <v>3238</v>
      </c>
      <c r="C4690" s="2" t="s">
        <v>3239</v>
      </c>
      <c r="D4690" s="2" t="s">
        <v>3240</v>
      </c>
      <c r="E4690" s="2" t="s">
        <v>5453</v>
      </c>
      <c r="F4690" s="3">
        <f>DATE(2024,3,8)</f>
        <v>45359</v>
      </c>
      <c r="G4690" s="4">
        <f t="shared" si="414"/>
        <v>3</v>
      </c>
      <c r="H4690" s="4">
        <f t="shared" si="415"/>
        <v>2024</v>
      </c>
      <c r="I4690" s="2" t="s">
        <v>4</v>
      </c>
      <c r="J4690" s="2" t="s">
        <v>5454</v>
      </c>
      <c r="K4690" s="2" t="s">
        <v>5452</v>
      </c>
      <c r="L4690" s="2" t="s">
        <v>3532</v>
      </c>
      <c r="M4690" s="2" t="s">
        <v>119</v>
      </c>
      <c r="N4690" s="4" t="str">
        <f t="shared" si="416"/>
        <v>TON</v>
      </c>
      <c r="O4690" s="5">
        <v>1.38</v>
      </c>
    </row>
    <row r="4691" spans="2:15" x14ac:dyDescent="0.25">
      <c r="B4691" s="1" t="s">
        <v>3238</v>
      </c>
      <c r="C4691" s="2" t="s">
        <v>3239</v>
      </c>
      <c r="D4691" s="2" t="s">
        <v>3240</v>
      </c>
      <c r="E4691" s="2" t="s">
        <v>4272</v>
      </c>
      <c r="F4691" s="3">
        <f>DATE(2024,3,8)</f>
        <v>45359</v>
      </c>
      <c r="G4691" s="4">
        <f t="shared" si="414"/>
        <v>3</v>
      </c>
      <c r="H4691" s="4">
        <f t="shared" si="415"/>
        <v>2024</v>
      </c>
      <c r="I4691" s="2" t="s">
        <v>4</v>
      </c>
      <c r="J4691" s="2" t="s">
        <v>5455</v>
      </c>
      <c r="K4691" s="2" t="s">
        <v>3910</v>
      </c>
      <c r="L4691" s="2" t="s">
        <v>3911</v>
      </c>
      <c r="M4691" s="2" t="s">
        <v>2100</v>
      </c>
      <c r="N4691" s="4" t="str">
        <f t="shared" si="416"/>
        <v>GAL</v>
      </c>
      <c r="O4691" s="5">
        <v>275</v>
      </c>
    </row>
    <row r="4692" spans="2:15" x14ac:dyDescent="0.25">
      <c r="B4692" s="1" t="s">
        <v>3238</v>
      </c>
      <c r="C4692" s="2" t="s">
        <v>3239</v>
      </c>
      <c r="D4692" s="2" t="s">
        <v>3240</v>
      </c>
      <c r="E4692" s="2" t="s">
        <v>5453</v>
      </c>
      <c r="F4692" s="3">
        <f>DATE(2024,3,8)</f>
        <v>45359</v>
      </c>
      <c r="G4692" s="4">
        <f t="shared" si="414"/>
        <v>3</v>
      </c>
      <c r="H4692" s="4">
        <f t="shared" si="415"/>
        <v>2024</v>
      </c>
      <c r="I4692" s="2" t="s">
        <v>4</v>
      </c>
      <c r="J4692" s="2" t="s">
        <v>5456</v>
      </c>
      <c r="K4692" s="2" t="s">
        <v>5452</v>
      </c>
      <c r="L4692" s="2" t="s">
        <v>3532</v>
      </c>
      <c r="M4692" s="2" t="s">
        <v>119</v>
      </c>
      <c r="N4692" s="4" t="str">
        <f t="shared" si="416"/>
        <v>TON</v>
      </c>
      <c r="O4692" s="5">
        <v>1.3812500000000001</v>
      </c>
    </row>
    <row r="4693" spans="2:15" x14ac:dyDescent="0.25">
      <c r="B4693" s="1" t="s">
        <v>3238</v>
      </c>
      <c r="C4693" s="2" t="s">
        <v>3239</v>
      </c>
      <c r="D4693" s="2" t="s">
        <v>3240</v>
      </c>
      <c r="E4693" s="2" t="s">
        <v>3657</v>
      </c>
      <c r="F4693" s="3">
        <f>DATE(2024,3,8)</f>
        <v>45359</v>
      </c>
      <c r="G4693" s="4">
        <f t="shared" si="414"/>
        <v>3</v>
      </c>
      <c r="H4693" s="4">
        <f t="shared" si="415"/>
        <v>2024</v>
      </c>
      <c r="I4693" s="2" t="s">
        <v>4</v>
      </c>
      <c r="J4693" s="2" t="s">
        <v>5457</v>
      </c>
      <c r="K4693" s="2" t="s">
        <v>998</v>
      </c>
      <c r="L4693" s="2" t="s">
        <v>3526</v>
      </c>
      <c r="M4693" s="2" t="s">
        <v>1000</v>
      </c>
      <c r="N4693" s="4" t="str">
        <f t="shared" si="416"/>
        <v>GAL</v>
      </c>
      <c r="O4693" s="5">
        <v>250</v>
      </c>
    </row>
    <row r="4694" spans="2:15" x14ac:dyDescent="0.25">
      <c r="B4694" s="1" t="s">
        <v>3238</v>
      </c>
      <c r="C4694" s="2" t="s">
        <v>3239</v>
      </c>
      <c r="D4694" s="2" t="s">
        <v>3240</v>
      </c>
      <c r="E4694" s="2" t="s">
        <v>102</v>
      </c>
      <c r="F4694" s="3">
        <f>DATE(2024,3,8)</f>
        <v>45359</v>
      </c>
      <c r="G4694" s="4">
        <f t="shared" si="414"/>
        <v>3</v>
      </c>
      <c r="H4694" s="4">
        <f t="shared" si="415"/>
        <v>2024</v>
      </c>
      <c r="I4694" s="2" t="s">
        <v>4</v>
      </c>
      <c r="J4694" s="2" t="s">
        <v>5458</v>
      </c>
      <c r="K4694" s="2" t="s">
        <v>39</v>
      </c>
      <c r="L4694" s="2" t="s">
        <v>3532</v>
      </c>
      <c r="M4694" s="2" t="s">
        <v>41</v>
      </c>
      <c r="N4694" s="4" t="str">
        <f t="shared" si="416"/>
        <v>GAL</v>
      </c>
      <c r="O4694" s="5">
        <v>50</v>
      </c>
    </row>
    <row r="4695" spans="2:15" x14ac:dyDescent="0.25">
      <c r="B4695" s="1" t="s">
        <v>3238</v>
      </c>
      <c r="C4695" s="2" t="s">
        <v>3239</v>
      </c>
      <c r="D4695" s="2" t="s">
        <v>3240</v>
      </c>
      <c r="E4695" s="2" t="s">
        <v>102</v>
      </c>
      <c r="F4695" s="3">
        <f>DATE(2024,3,12)</f>
        <v>45363</v>
      </c>
      <c r="G4695" s="4">
        <f t="shared" si="414"/>
        <v>3</v>
      </c>
      <c r="H4695" s="4">
        <f t="shared" si="415"/>
        <v>2024</v>
      </c>
      <c r="I4695" s="2" t="s">
        <v>4</v>
      </c>
      <c r="J4695" s="2" t="s">
        <v>5459</v>
      </c>
      <c r="K4695" s="2" t="s">
        <v>3188</v>
      </c>
      <c r="L4695" s="2" t="s">
        <v>3501</v>
      </c>
      <c r="M4695" s="2" t="s">
        <v>1000</v>
      </c>
      <c r="N4695" s="4" t="str">
        <f t="shared" si="416"/>
        <v>GAL</v>
      </c>
      <c r="O4695" s="5">
        <v>55</v>
      </c>
    </row>
    <row r="4696" spans="2:15" x14ac:dyDescent="0.25">
      <c r="B4696" s="1" t="s">
        <v>3238</v>
      </c>
      <c r="C4696" s="2" t="s">
        <v>3239</v>
      </c>
      <c r="D4696" s="2" t="s">
        <v>3240</v>
      </c>
      <c r="E4696" s="2" t="s">
        <v>5139</v>
      </c>
      <c r="F4696" s="3">
        <f>DATE(2024,3,13)</f>
        <v>45364</v>
      </c>
      <c r="G4696" s="4">
        <f t="shared" si="414"/>
        <v>3</v>
      </c>
      <c r="H4696" s="4">
        <f t="shared" si="415"/>
        <v>2024</v>
      </c>
      <c r="I4696" s="2" t="s">
        <v>4</v>
      </c>
      <c r="J4696" s="2" t="s">
        <v>5460</v>
      </c>
      <c r="K4696" s="2" t="s">
        <v>3653</v>
      </c>
      <c r="L4696" s="2" t="s">
        <v>3654</v>
      </c>
      <c r="M4696" s="2" t="s">
        <v>1071</v>
      </c>
      <c r="N4696" s="4" t="str">
        <f t="shared" si="416"/>
        <v>GAL</v>
      </c>
      <c r="O4696" s="5">
        <v>250</v>
      </c>
    </row>
    <row r="4697" spans="2:15" x14ac:dyDescent="0.25">
      <c r="B4697" s="1" t="s">
        <v>3238</v>
      </c>
      <c r="C4697" s="2" t="s">
        <v>3239</v>
      </c>
      <c r="D4697" s="2" t="s">
        <v>3240</v>
      </c>
      <c r="E4697" s="2" t="s">
        <v>3944</v>
      </c>
      <c r="F4697" s="3">
        <f t="shared" ref="F4697:F4703" si="417">DATE(2024,3,18)</f>
        <v>45369</v>
      </c>
      <c r="G4697" s="4">
        <f t="shared" si="414"/>
        <v>3</v>
      </c>
      <c r="H4697" s="4">
        <f t="shared" si="415"/>
        <v>2024</v>
      </c>
      <c r="I4697" s="2" t="s">
        <v>4</v>
      </c>
      <c r="J4697" s="2" t="s">
        <v>5461</v>
      </c>
      <c r="K4697" s="2" t="s">
        <v>4260</v>
      </c>
      <c r="L4697" s="2" t="s">
        <v>4261</v>
      </c>
      <c r="M4697" s="2" t="s">
        <v>119</v>
      </c>
      <c r="N4697" s="4" t="str">
        <f t="shared" si="416"/>
        <v>TON</v>
      </c>
      <c r="O4697" s="5">
        <v>1.25</v>
      </c>
    </row>
    <row r="4698" spans="2:15" x14ac:dyDescent="0.25">
      <c r="B4698" s="1" t="s">
        <v>3238</v>
      </c>
      <c r="C4698" s="2" t="s">
        <v>3239</v>
      </c>
      <c r="D4698" s="2" t="s">
        <v>3240</v>
      </c>
      <c r="E4698" s="2" t="s">
        <v>3944</v>
      </c>
      <c r="F4698" s="3">
        <f t="shared" si="417"/>
        <v>45369</v>
      </c>
      <c r="G4698" s="4">
        <f t="shared" si="414"/>
        <v>3</v>
      </c>
      <c r="H4698" s="4">
        <f t="shared" si="415"/>
        <v>2024</v>
      </c>
      <c r="I4698" s="2" t="s">
        <v>4</v>
      </c>
      <c r="J4698" s="2" t="s">
        <v>5462</v>
      </c>
      <c r="K4698" s="2" t="s">
        <v>4267</v>
      </c>
      <c r="L4698" s="2" t="s">
        <v>4268</v>
      </c>
      <c r="M4698" s="2" t="s">
        <v>119</v>
      </c>
      <c r="N4698" s="4" t="str">
        <f t="shared" si="416"/>
        <v>TON</v>
      </c>
      <c r="O4698" s="5">
        <v>1.25</v>
      </c>
    </row>
    <row r="4699" spans="2:15" x14ac:dyDescent="0.25">
      <c r="B4699" s="1" t="s">
        <v>3238</v>
      </c>
      <c r="C4699" s="2" t="s">
        <v>3239</v>
      </c>
      <c r="D4699" s="2" t="s">
        <v>3240</v>
      </c>
      <c r="E4699" s="2" t="s">
        <v>3402</v>
      </c>
      <c r="F4699" s="3">
        <f t="shared" si="417"/>
        <v>45369</v>
      </c>
      <c r="G4699" s="4">
        <f t="shared" si="414"/>
        <v>3</v>
      </c>
      <c r="H4699" s="4">
        <f t="shared" si="415"/>
        <v>2024</v>
      </c>
      <c r="I4699" s="2" t="s">
        <v>4</v>
      </c>
      <c r="J4699" s="2" t="s">
        <v>5463</v>
      </c>
      <c r="K4699" s="2" t="s">
        <v>3404</v>
      </c>
      <c r="L4699" s="2" t="s">
        <v>3405</v>
      </c>
      <c r="M4699" s="2" t="s">
        <v>3406</v>
      </c>
      <c r="N4699" s="4" t="str">
        <f t="shared" si="416"/>
        <v>GAL</v>
      </c>
      <c r="O4699" s="5">
        <v>500</v>
      </c>
    </row>
    <row r="4700" spans="2:15" x14ac:dyDescent="0.25">
      <c r="B4700" s="1" t="s">
        <v>3238</v>
      </c>
      <c r="C4700" s="2" t="s">
        <v>3239</v>
      </c>
      <c r="D4700" s="2" t="s">
        <v>3240</v>
      </c>
      <c r="E4700" s="2" t="s">
        <v>3944</v>
      </c>
      <c r="F4700" s="3">
        <f t="shared" si="417"/>
        <v>45369</v>
      </c>
      <c r="G4700" s="4">
        <f t="shared" si="414"/>
        <v>3</v>
      </c>
      <c r="H4700" s="4">
        <f t="shared" si="415"/>
        <v>2024</v>
      </c>
      <c r="I4700" s="2" t="s">
        <v>4</v>
      </c>
      <c r="J4700" s="2" t="s">
        <v>5464</v>
      </c>
      <c r="K4700" s="2" t="s">
        <v>3925</v>
      </c>
      <c r="L4700" s="2" t="s">
        <v>4264</v>
      </c>
      <c r="M4700" s="2" t="s">
        <v>119</v>
      </c>
      <c r="N4700" s="4" t="str">
        <f t="shared" si="416"/>
        <v>TON</v>
      </c>
      <c r="O4700" s="5">
        <v>1.25</v>
      </c>
    </row>
    <row r="4701" spans="2:15" x14ac:dyDescent="0.25">
      <c r="B4701" s="1" t="s">
        <v>3238</v>
      </c>
      <c r="C4701" s="2" t="s">
        <v>3239</v>
      </c>
      <c r="D4701" s="2" t="s">
        <v>3240</v>
      </c>
      <c r="E4701" s="2" t="s">
        <v>3944</v>
      </c>
      <c r="F4701" s="3">
        <f t="shared" si="417"/>
        <v>45369</v>
      </c>
      <c r="G4701" s="4">
        <f t="shared" si="414"/>
        <v>3</v>
      </c>
      <c r="H4701" s="4">
        <f t="shared" si="415"/>
        <v>2024</v>
      </c>
      <c r="I4701" s="2" t="s">
        <v>4</v>
      </c>
      <c r="J4701" s="2" t="s">
        <v>5465</v>
      </c>
      <c r="K4701" s="2" t="s">
        <v>3947</v>
      </c>
      <c r="L4701" s="2" t="s">
        <v>3948</v>
      </c>
      <c r="M4701" s="2" t="s">
        <v>3299</v>
      </c>
      <c r="N4701" s="4" t="str">
        <f t="shared" si="416"/>
        <v>GAL</v>
      </c>
      <c r="O4701" s="5">
        <v>250</v>
      </c>
    </row>
    <row r="4702" spans="2:15" x14ac:dyDescent="0.25">
      <c r="B4702" s="6" t="s">
        <v>3238</v>
      </c>
      <c r="C4702" s="7" t="s">
        <v>3239</v>
      </c>
      <c r="D4702" s="8" t="s">
        <v>3240</v>
      </c>
      <c r="E4702" s="8" t="s">
        <v>3944</v>
      </c>
      <c r="F4702" s="9">
        <f t="shared" si="417"/>
        <v>45369</v>
      </c>
      <c r="G4702" s="10">
        <f t="shared" si="414"/>
        <v>3</v>
      </c>
      <c r="H4702" s="10">
        <f t="shared" si="415"/>
        <v>2024</v>
      </c>
      <c r="I4702" s="8" t="s">
        <v>4</v>
      </c>
      <c r="J4702" s="7" t="s">
        <v>5465</v>
      </c>
      <c r="K4702" s="8" t="s">
        <v>3399</v>
      </c>
      <c r="L4702" s="8" t="s">
        <v>3400</v>
      </c>
      <c r="M4702" s="8" t="s">
        <v>3401</v>
      </c>
      <c r="N4702" s="10" t="str">
        <f t="shared" si="416"/>
        <v>GAL</v>
      </c>
      <c r="O4702" s="11">
        <v>250</v>
      </c>
    </row>
    <row r="4703" spans="2:15" x14ac:dyDescent="0.25">
      <c r="B4703" s="1" t="s">
        <v>3238</v>
      </c>
      <c r="C4703" s="2" t="s">
        <v>3239</v>
      </c>
      <c r="D4703" s="2" t="s">
        <v>3240</v>
      </c>
      <c r="E4703" s="2" t="s">
        <v>5466</v>
      </c>
      <c r="F4703" s="3">
        <f t="shared" si="417"/>
        <v>45369</v>
      </c>
      <c r="G4703" s="4">
        <f t="shared" si="414"/>
        <v>3</v>
      </c>
      <c r="H4703" s="4">
        <f t="shared" si="415"/>
        <v>2024</v>
      </c>
      <c r="I4703" s="2" t="s">
        <v>4</v>
      </c>
      <c r="J4703" s="2" t="s">
        <v>5467</v>
      </c>
      <c r="K4703" s="2" t="s">
        <v>5452</v>
      </c>
      <c r="L4703" s="2" t="s">
        <v>3532</v>
      </c>
      <c r="M4703" s="2" t="s">
        <v>119</v>
      </c>
      <c r="N4703" s="4" t="str">
        <f t="shared" si="416"/>
        <v>TON</v>
      </c>
      <c r="O4703" s="5">
        <v>4.3975</v>
      </c>
    </row>
    <row r="4704" spans="2:15" x14ac:dyDescent="0.25">
      <c r="B4704" s="1" t="s">
        <v>3238</v>
      </c>
      <c r="C4704" s="2" t="s">
        <v>3239</v>
      </c>
      <c r="D4704" s="2" t="s">
        <v>3240</v>
      </c>
      <c r="E4704" s="2" t="s">
        <v>102</v>
      </c>
      <c r="F4704" s="3">
        <f t="shared" ref="F4704:F4709" si="418">DATE(2024,3,26)</f>
        <v>45377</v>
      </c>
      <c r="G4704" s="4">
        <f t="shared" si="414"/>
        <v>3</v>
      </c>
      <c r="H4704" s="4">
        <f t="shared" si="415"/>
        <v>2024</v>
      </c>
      <c r="I4704" s="2" t="s">
        <v>4</v>
      </c>
      <c r="J4704" s="2" t="s">
        <v>5468</v>
      </c>
      <c r="K4704" s="2" t="s">
        <v>5469</v>
      </c>
      <c r="L4704" s="2" t="s">
        <v>5470</v>
      </c>
      <c r="M4704" s="2" t="s">
        <v>1046</v>
      </c>
      <c r="N4704" s="4" t="str">
        <f t="shared" si="416"/>
        <v>GAL</v>
      </c>
      <c r="O4704" s="5">
        <v>90</v>
      </c>
    </row>
    <row r="4705" spans="2:15" x14ac:dyDescent="0.25">
      <c r="B4705" s="6" t="s">
        <v>3238</v>
      </c>
      <c r="C4705" s="7" t="s">
        <v>3239</v>
      </c>
      <c r="D4705" s="8" t="s">
        <v>3240</v>
      </c>
      <c r="E4705" s="8" t="s">
        <v>102</v>
      </c>
      <c r="F4705" s="9">
        <f t="shared" si="418"/>
        <v>45377</v>
      </c>
      <c r="G4705" s="10">
        <f t="shared" si="414"/>
        <v>3</v>
      </c>
      <c r="H4705" s="10">
        <f t="shared" si="415"/>
        <v>2024</v>
      </c>
      <c r="I4705" s="8" t="s">
        <v>4</v>
      </c>
      <c r="J4705" s="7" t="s">
        <v>5468</v>
      </c>
      <c r="K4705" s="8" t="s">
        <v>36</v>
      </c>
      <c r="L4705" s="8" t="s">
        <v>511</v>
      </c>
      <c r="M4705" s="8" t="s">
        <v>38</v>
      </c>
      <c r="N4705" s="10" t="str">
        <f t="shared" si="416"/>
        <v>GAL</v>
      </c>
      <c r="O4705" s="11">
        <v>90</v>
      </c>
    </row>
    <row r="4706" spans="2:15" x14ac:dyDescent="0.25">
      <c r="B4706" s="1" t="s">
        <v>3238</v>
      </c>
      <c r="C4706" s="2" t="s">
        <v>3239</v>
      </c>
      <c r="D4706" s="2" t="s">
        <v>3240</v>
      </c>
      <c r="E4706" s="2" t="s">
        <v>102</v>
      </c>
      <c r="F4706" s="3">
        <f t="shared" si="418"/>
        <v>45377</v>
      </c>
      <c r="G4706" s="4">
        <f t="shared" si="414"/>
        <v>3</v>
      </c>
      <c r="H4706" s="4">
        <f t="shared" si="415"/>
        <v>2024</v>
      </c>
      <c r="I4706" s="2" t="s">
        <v>4</v>
      </c>
      <c r="J4706" s="2" t="s">
        <v>5471</v>
      </c>
      <c r="K4706" s="2" t="s">
        <v>2530</v>
      </c>
      <c r="L4706" s="2" t="s">
        <v>3503</v>
      </c>
      <c r="M4706" s="2" t="s">
        <v>2532</v>
      </c>
      <c r="N4706" s="4" t="str">
        <f t="shared" si="416"/>
        <v>GAL</v>
      </c>
      <c r="O4706" s="5">
        <v>210</v>
      </c>
    </row>
    <row r="4707" spans="2:15" x14ac:dyDescent="0.25">
      <c r="B4707" s="1" t="s">
        <v>3238</v>
      </c>
      <c r="C4707" s="2" t="s">
        <v>3239</v>
      </c>
      <c r="D4707" s="2" t="s">
        <v>3240</v>
      </c>
      <c r="E4707" s="2" t="s">
        <v>102</v>
      </c>
      <c r="F4707" s="3">
        <f t="shared" si="418"/>
        <v>45377</v>
      </c>
      <c r="G4707" s="4">
        <f t="shared" si="414"/>
        <v>3</v>
      </c>
      <c r="H4707" s="4">
        <f t="shared" si="415"/>
        <v>2024</v>
      </c>
      <c r="I4707" s="2" t="s">
        <v>4</v>
      </c>
      <c r="J4707" s="2" t="s">
        <v>5471</v>
      </c>
      <c r="K4707" s="2" t="s">
        <v>3249</v>
      </c>
      <c r="L4707" s="2" t="s">
        <v>3250</v>
      </c>
      <c r="M4707" s="2" t="s">
        <v>3251</v>
      </c>
      <c r="N4707" s="4" t="str">
        <f t="shared" si="416"/>
        <v>GAL</v>
      </c>
      <c r="O4707" s="5">
        <v>420</v>
      </c>
    </row>
    <row r="4708" spans="2:15" x14ac:dyDescent="0.25">
      <c r="B4708" s="1" t="s">
        <v>3238</v>
      </c>
      <c r="C4708" s="2" t="s">
        <v>3239</v>
      </c>
      <c r="D4708" s="2" t="s">
        <v>3240</v>
      </c>
      <c r="E4708" s="2" t="s">
        <v>102</v>
      </c>
      <c r="F4708" s="3">
        <f t="shared" si="418"/>
        <v>45377</v>
      </c>
      <c r="G4708" s="4">
        <f t="shared" si="414"/>
        <v>3</v>
      </c>
      <c r="H4708" s="4">
        <f t="shared" si="415"/>
        <v>2024</v>
      </c>
      <c r="I4708" s="2" t="s">
        <v>4</v>
      </c>
      <c r="J4708" s="2" t="s">
        <v>5472</v>
      </c>
      <c r="K4708" s="2" t="s">
        <v>3524</v>
      </c>
      <c r="L4708" s="2" t="s">
        <v>3525</v>
      </c>
      <c r="M4708" s="2" t="s">
        <v>1397</v>
      </c>
      <c r="N4708" s="4" t="str">
        <f t="shared" si="416"/>
        <v>GAL</v>
      </c>
      <c r="O4708" s="5">
        <v>250</v>
      </c>
    </row>
    <row r="4709" spans="2:15" x14ac:dyDescent="0.25">
      <c r="B4709" s="1" t="s">
        <v>3238</v>
      </c>
      <c r="C4709" s="2" t="s">
        <v>3239</v>
      </c>
      <c r="D4709" s="2" t="s">
        <v>3240</v>
      </c>
      <c r="E4709" s="2" t="s">
        <v>5473</v>
      </c>
      <c r="F4709" s="3">
        <f t="shared" si="418"/>
        <v>45377</v>
      </c>
      <c r="G4709" s="4">
        <f t="shared" si="414"/>
        <v>3</v>
      </c>
      <c r="H4709" s="4">
        <f t="shared" si="415"/>
        <v>2024</v>
      </c>
      <c r="I4709" s="2" t="s">
        <v>4</v>
      </c>
      <c r="J4709" s="2" t="s">
        <v>5474</v>
      </c>
      <c r="K4709" s="2" t="s">
        <v>3243</v>
      </c>
      <c r="L4709" s="2" t="s">
        <v>3244</v>
      </c>
      <c r="M4709" s="2" t="s">
        <v>3245</v>
      </c>
      <c r="N4709" s="4" t="str">
        <f t="shared" si="416"/>
        <v>GAL</v>
      </c>
      <c r="O4709" s="5">
        <v>550</v>
      </c>
    </row>
    <row r="4710" spans="2:15" x14ac:dyDescent="0.25">
      <c r="B4710" s="1" t="s">
        <v>3238</v>
      </c>
      <c r="C4710" s="2" t="s">
        <v>3239</v>
      </c>
      <c r="D4710" s="2" t="s">
        <v>3240</v>
      </c>
      <c r="E4710" s="2" t="s">
        <v>3920</v>
      </c>
      <c r="F4710" s="3">
        <f>DATE(2024,3,28)</f>
        <v>45379</v>
      </c>
      <c r="G4710" s="4">
        <f t="shared" si="414"/>
        <v>3</v>
      </c>
      <c r="H4710" s="4">
        <f t="shared" si="415"/>
        <v>2024</v>
      </c>
      <c r="I4710" s="2" t="s">
        <v>4</v>
      </c>
      <c r="J4710" s="2" t="s">
        <v>5475</v>
      </c>
      <c r="K4710" s="2" t="s">
        <v>998</v>
      </c>
      <c r="L4710" s="2" t="s">
        <v>3526</v>
      </c>
      <c r="M4710" s="2" t="s">
        <v>1000</v>
      </c>
      <c r="N4710" s="4" t="str">
        <f t="shared" si="416"/>
        <v>GAL</v>
      </c>
      <c r="O4710" s="5">
        <v>250</v>
      </c>
    </row>
    <row r="4711" spans="2:15" x14ac:dyDescent="0.25">
      <c r="B4711" s="1" t="s">
        <v>3238</v>
      </c>
      <c r="C4711" s="2" t="s">
        <v>3239</v>
      </c>
      <c r="D4711" s="2" t="s">
        <v>3240</v>
      </c>
      <c r="E4711" s="2" t="s">
        <v>3241</v>
      </c>
      <c r="F4711" s="3">
        <f>DATE(2024,3,28)</f>
        <v>45379</v>
      </c>
      <c r="G4711" s="4">
        <f t="shared" si="414"/>
        <v>3</v>
      </c>
      <c r="H4711" s="4">
        <f t="shared" si="415"/>
        <v>2024</v>
      </c>
      <c r="I4711" s="2" t="s">
        <v>4</v>
      </c>
      <c r="J4711" s="2" t="s">
        <v>5476</v>
      </c>
      <c r="K4711" s="2" t="s">
        <v>3524</v>
      </c>
      <c r="L4711" s="2" t="s">
        <v>3525</v>
      </c>
      <c r="M4711" s="2" t="s">
        <v>1397</v>
      </c>
      <c r="N4711" s="4" t="str">
        <f t="shared" si="416"/>
        <v>GAL</v>
      </c>
      <c r="O4711" s="5">
        <v>250</v>
      </c>
    </row>
    <row r="4712" spans="2:15" x14ac:dyDescent="0.25">
      <c r="B4712" s="1" t="s">
        <v>3238</v>
      </c>
      <c r="C4712" s="2" t="s">
        <v>3239</v>
      </c>
      <c r="D4712" s="2" t="s">
        <v>3240</v>
      </c>
      <c r="E4712" s="2" t="s">
        <v>5477</v>
      </c>
      <c r="F4712" s="3">
        <f>DATE(2024,3,29)</f>
        <v>45380</v>
      </c>
      <c r="G4712" s="4">
        <f t="shared" si="414"/>
        <v>3</v>
      </c>
      <c r="H4712" s="4">
        <f t="shared" si="415"/>
        <v>2024</v>
      </c>
      <c r="I4712" s="2" t="s">
        <v>4</v>
      </c>
      <c r="J4712" s="2" t="s">
        <v>5478</v>
      </c>
      <c r="K4712" s="2" t="s">
        <v>3933</v>
      </c>
      <c r="L4712" s="2" t="s">
        <v>3934</v>
      </c>
      <c r="M4712" s="2" t="s">
        <v>556</v>
      </c>
      <c r="N4712" s="4" t="str">
        <f t="shared" si="416"/>
        <v>GAL</v>
      </c>
      <c r="O4712" s="14">
        <v>55</v>
      </c>
    </row>
    <row r="4713" spans="2:15" x14ac:dyDescent="0.25">
      <c r="B4713" s="6" t="s">
        <v>3238</v>
      </c>
      <c r="C4713" s="7" t="s">
        <v>3239</v>
      </c>
      <c r="D4713" s="8" t="s">
        <v>3240</v>
      </c>
      <c r="E4713" s="8" t="s">
        <v>5477</v>
      </c>
      <c r="F4713" s="9">
        <f>DATE(2024,3,29)</f>
        <v>45380</v>
      </c>
      <c r="G4713" s="10">
        <f t="shared" si="414"/>
        <v>3</v>
      </c>
      <c r="H4713" s="10">
        <f t="shared" si="415"/>
        <v>2024</v>
      </c>
      <c r="I4713" s="8" t="s">
        <v>4</v>
      </c>
      <c r="J4713" s="7" t="s">
        <v>5479</v>
      </c>
      <c r="K4713" s="8" t="s">
        <v>3930</v>
      </c>
      <c r="L4713" s="8" t="s">
        <v>3931</v>
      </c>
      <c r="M4713" s="8" t="s">
        <v>119</v>
      </c>
      <c r="N4713" s="10" t="str">
        <f t="shared" si="416"/>
        <v>TON</v>
      </c>
      <c r="O4713" s="15">
        <v>0.27500000000000002</v>
      </c>
    </row>
    <row r="4714" spans="2:15" x14ac:dyDescent="0.25">
      <c r="B4714" s="1" t="s">
        <v>0</v>
      </c>
      <c r="C4714" s="2" t="s">
        <v>1</v>
      </c>
      <c r="D4714" s="2" t="s">
        <v>2</v>
      </c>
      <c r="E4714" s="2" t="s">
        <v>1784</v>
      </c>
      <c r="F4714" s="3">
        <f>DATE(2024,4,2)</f>
        <v>45384</v>
      </c>
      <c r="G4714" s="4">
        <f t="shared" ref="G4714:G4777" si="419">MONTH(F4714)</f>
        <v>4</v>
      </c>
      <c r="H4714" s="4">
        <f t="shared" ref="H4714:H4777" si="420">YEAR(F4714)</f>
        <v>2024</v>
      </c>
      <c r="I4714" s="2" t="s">
        <v>4</v>
      </c>
      <c r="J4714" s="2" t="s">
        <v>5480</v>
      </c>
      <c r="K4714" s="2" t="s">
        <v>1786</v>
      </c>
      <c r="L4714" s="2" t="s">
        <v>84</v>
      </c>
      <c r="M4714" s="2" t="s">
        <v>85</v>
      </c>
      <c r="N4714" s="4" t="str">
        <f t="shared" ref="N4714:N4777" si="421">LEFT(M4714,3)</f>
        <v>GAL</v>
      </c>
      <c r="O4714" s="14">
        <v>55</v>
      </c>
    </row>
    <row r="4715" spans="2:15" x14ac:dyDescent="0.25">
      <c r="B4715" s="1" t="s">
        <v>0</v>
      </c>
      <c r="C4715" s="2" t="s">
        <v>1</v>
      </c>
      <c r="D4715" s="2" t="s">
        <v>2</v>
      </c>
      <c r="E4715" s="2" t="s">
        <v>3</v>
      </c>
      <c r="F4715" s="3">
        <f>DATE(2024,4,2)</f>
        <v>45384</v>
      </c>
      <c r="G4715" s="4">
        <f t="shared" si="419"/>
        <v>4</v>
      </c>
      <c r="H4715" s="4">
        <f t="shared" si="420"/>
        <v>2024</v>
      </c>
      <c r="I4715" s="2" t="s">
        <v>4</v>
      </c>
      <c r="J4715" s="2" t="s">
        <v>5481</v>
      </c>
      <c r="K4715" s="2" t="s">
        <v>540</v>
      </c>
      <c r="L4715" s="2" t="s">
        <v>26</v>
      </c>
      <c r="M4715" s="2" t="s">
        <v>27</v>
      </c>
      <c r="N4715" s="4" t="str">
        <f t="shared" si="421"/>
        <v>GAL</v>
      </c>
      <c r="O4715" s="14">
        <v>55</v>
      </c>
    </row>
    <row r="4716" spans="2:15" x14ac:dyDescent="0.25">
      <c r="B4716" s="1" t="s">
        <v>0</v>
      </c>
      <c r="C4716" s="2" t="s">
        <v>1</v>
      </c>
      <c r="D4716" s="2" t="s">
        <v>2</v>
      </c>
      <c r="E4716" s="2" t="s">
        <v>1787</v>
      </c>
      <c r="F4716" s="3">
        <f>DATE(2024,4,4)</f>
        <v>45386</v>
      </c>
      <c r="G4716" s="4">
        <f t="shared" si="419"/>
        <v>4</v>
      </c>
      <c r="H4716" s="4">
        <f t="shared" si="420"/>
        <v>2024</v>
      </c>
      <c r="I4716" s="2" t="s">
        <v>4</v>
      </c>
      <c r="J4716" s="2" t="s">
        <v>5482</v>
      </c>
      <c r="K4716" s="2" t="s">
        <v>566</v>
      </c>
      <c r="L4716" s="2" t="s">
        <v>20</v>
      </c>
      <c r="M4716" s="2" t="s">
        <v>21</v>
      </c>
      <c r="N4716" s="4" t="str">
        <f t="shared" si="421"/>
        <v>GAL</v>
      </c>
      <c r="O4716" s="14">
        <v>55</v>
      </c>
    </row>
    <row r="4717" spans="2:15" x14ac:dyDescent="0.25">
      <c r="B4717" s="1" t="s">
        <v>0</v>
      </c>
      <c r="C4717" s="2" t="s">
        <v>1</v>
      </c>
      <c r="D4717" s="2" t="s">
        <v>2</v>
      </c>
      <c r="E4717" s="2" t="s">
        <v>1787</v>
      </c>
      <c r="F4717" s="3">
        <f>DATE(2024,4,4)</f>
        <v>45386</v>
      </c>
      <c r="G4717" s="4">
        <f t="shared" si="419"/>
        <v>4</v>
      </c>
      <c r="H4717" s="4">
        <f t="shared" si="420"/>
        <v>2024</v>
      </c>
      <c r="I4717" s="2" t="s">
        <v>4</v>
      </c>
      <c r="J4717" s="2" t="s">
        <v>5482</v>
      </c>
      <c r="K4717" s="2" t="s">
        <v>1786</v>
      </c>
      <c r="L4717" s="2" t="s">
        <v>84</v>
      </c>
      <c r="M4717" s="2" t="s">
        <v>85</v>
      </c>
      <c r="N4717" s="4" t="str">
        <f t="shared" si="421"/>
        <v>GAL</v>
      </c>
      <c r="O4717" s="14">
        <v>55</v>
      </c>
    </row>
    <row r="4718" spans="2:15" x14ac:dyDescent="0.25">
      <c r="B4718" s="1" t="s">
        <v>0</v>
      </c>
      <c r="C4718" s="2" t="s">
        <v>1</v>
      </c>
      <c r="D4718" s="2" t="s">
        <v>2</v>
      </c>
      <c r="E4718" s="2" t="s">
        <v>1787</v>
      </c>
      <c r="F4718" s="3">
        <f>DATE(2024,4,4)</f>
        <v>45386</v>
      </c>
      <c r="G4718" s="4">
        <f t="shared" si="419"/>
        <v>4</v>
      </c>
      <c r="H4718" s="4">
        <f t="shared" si="420"/>
        <v>2024</v>
      </c>
      <c r="I4718" s="2" t="s">
        <v>4</v>
      </c>
      <c r="J4718" s="2" t="s">
        <v>5482</v>
      </c>
      <c r="K4718" s="2" t="s">
        <v>6</v>
      </c>
      <c r="L4718" s="2" t="s">
        <v>7</v>
      </c>
      <c r="M4718" s="2" t="s">
        <v>8</v>
      </c>
      <c r="N4718" s="4" t="str">
        <f t="shared" si="421"/>
        <v>GAL</v>
      </c>
      <c r="O4718" s="14">
        <v>55</v>
      </c>
    </row>
    <row r="4719" spans="2:15" x14ac:dyDescent="0.25">
      <c r="B4719" s="1" t="s">
        <v>0</v>
      </c>
      <c r="C4719" s="2" t="s">
        <v>1</v>
      </c>
      <c r="D4719" s="2" t="s">
        <v>2</v>
      </c>
      <c r="E4719" s="2" t="s">
        <v>3</v>
      </c>
      <c r="F4719" s="3">
        <f>DATE(2024,4,12)</f>
        <v>45394</v>
      </c>
      <c r="G4719" s="4">
        <f t="shared" si="419"/>
        <v>4</v>
      </c>
      <c r="H4719" s="4">
        <f t="shared" si="420"/>
        <v>2024</v>
      </c>
      <c r="I4719" s="2" t="s">
        <v>4</v>
      </c>
      <c r="J4719" s="2" t="s">
        <v>5483</v>
      </c>
      <c r="K4719" s="2" t="s">
        <v>22</v>
      </c>
      <c r="L4719" s="2" t="s">
        <v>23</v>
      </c>
      <c r="M4719" s="2" t="s">
        <v>24</v>
      </c>
      <c r="N4719" s="4" t="str">
        <f t="shared" si="421"/>
        <v>GAL</v>
      </c>
      <c r="O4719" s="14">
        <v>20</v>
      </c>
    </row>
    <row r="4720" spans="2:15" x14ac:dyDescent="0.25">
      <c r="B4720" s="1" t="s">
        <v>0</v>
      </c>
      <c r="C4720" s="2" t="s">
        <v>1</v>
      </c>
      <c r="D4720" s="2" t="s">
        <v>2</v>
      </c>
      <c r="E4720" s="2" t="s">
        <v>1432</v>
      </c>
      <c r="F4720" s="3">
        <f>DATE(2024,4,15)</f>
        <v>45397</v>
      </c>
      <c r="G4720" s="4">
        <f t="shared" si="419"/>
        <v>4</v>
      </c>
      <c r="H4720" s="4">
        <f t="shared" si="420"/>
        <v>2024</v>
      </c>
      <c r="I4720" s="2" t="s">
        <v>4</v>
      </c>
      <c r="J4720" s="2" t="s">
        <v>5484</v>
      </c>
      <c r="K4720" s="2" t="s">
        <v>19</v>
      </c>
      <c r="L4720" s="2" t="s">
        <v>20</v>
      </c>
      <c r="M4720" s="2" t="s">
        <v>21</v>
      </c>
      <c r="N4720" s="4" t="str">
        <f t="shared" si="421"/>
        <v>GAL</v>
      </c>
      <c r="O4720" s="14">
        <v>40</v>
      </c>
    </row>
    <row r="4721" spans="2:15" x14ac:dyDescent="0.25">
      <c r="B4721" s="1" t="s">
        <v>0</v>
      </c>
      <c r="C4721" s="2" t="s">
        <v>1</v>
      </c>
      <c r="D4721" s="2" t="s">
        <v>2</v>
      </c>
      <c r="E4721" s="2" t="s">
        <v>1432</v>
      </c>
      <c r="F4721" s="3">
        <f>DATE(2024,4,15)</f>
        <v>45397</v>
      </c>
      <c r="G4721" s="4">
        <f t="shared" si="419"/>
        <v>4</v>
      </c>
      <c r="H4721" s="4">
        <f t="shared" si="420"/>
        <v>2024</v>
      </c>
      <c r="I4721" s="2" t="s">
        <v>4</v>
      </c>
      <c r="J4721" s="2" t="s">
        <v>5484</v>
      </c>
      <c r="K4721" s="2" t="s">
        <v>25</v>
      </c>
      <c r="L4721" s="2" t="s">
        <v>26</v>
      </c>
      <c r="M4721" s="2" t="s">
        <v>27</v>
      </c>
      <c r="N4721" s="4" t="str">
        <f t="shared" si="421"/>
        <v>GAL</v>
      </c>
      <c r="O4721" s="14">
        <v>40</v>
      </c>
    </row>
    <row r="4722" spans="2:15" x14ac:dyDescent="0.25">
      <c r="B4722" s="1" t="s">
        <v>0</v>
      </c>
      <c r="C4722" s="2" t="s">
        <v>1</v>
      </c>
      <c r="D4722" s="2" t="s">
        <v>2</v>
      </c>
      <c r="E4722" s="2" t="s">
        <v>1432</v>
      </c>
      <c r="F4722" s="3">
        <f>DATE(2024,4,15)</f>
        <v>45397</v>
      </c>
      <c r="G4722" s="4">
        <f t="shared" si="419"/>
        <v>4</v>
      </c>
      <c r="H4722" s="4">
        <f t="shared" si="420"/>
        <v>2024</v>
      </c>
      <c r="I4722" s="2" t="s">
        <v>4</v>
      </c>
      <c r="J4722" s="2" t="s">
        <v>5484</v>
      </c>
      <c r="K4722" s="2" t="s">
        <v>28</v>
      </c>
      <c r="L4722" s="2" t="s">
        <v>29</v>
      </c>
      <c r="M4722" s="2" t="s">
        <v>30</v>
      </c>
      <c r="N4722" s="4" t="str">
        <f t="shared" si="421"/>
        <v>GAL</v>
      </c>
      <c r="O4722" s="14">
        <v>40</v>
      </c>
    </row>
    <row r="4723" spans="2:15" x14ac:dyDescent="0.25">
      <c r="B4723" s="1" t="s">
        <v>0</v>
      </c>
      <c r="C4723" s="2" t="s">
        <v>1</v>
      </c>
      <c r="D4723" s="2" t="s">
        <v>2</v>
      </c>
      <c r="E4723" s="2" t="s">
        <v>1432</v>
      </c>
      <c r="F4723" s="3">
        <f>DATE(2024,4,15)</f>
        <v>45397</v>
      </c>
      <c r="G4723" s="4">
        <f t="shared" si="419"/>
        <v>4</v>
      </c>
      <c r="H4723" s="4">
        <f t="shared" si="420"/>
        <v>2024</v>
      </c>
      <c r="I4723" s="2" t="s">
        <v>4</v>
      </c>
      <c r="J4723" s="2" t="s">
        <v>5484</v>
      </c>
      <c r="K4723" s="2" t="s">
        <v>16</v>
      </c>
      <c r="L4723" s="2" t="s">
        <v>7</v>
      </c>
      <c r="M4723" s="2" t="s">
        <v>8</v>
      </c>
      <c r="N4723" s="4" t="str">
        <f t="shared" si="421"/>
        <v>GAL</v>
      </c>
      <c r="O4723" s="14">
        <v>40</v>
      </c>
    </row>
    <row r="4724" spans="2:15" x14ac:dyDescent="0.25">
      <c r="B4724" s="1" t="s">
        <v>0</v>
      </c>
      <c r="C4724" s="2" t="s">
        <v>1</v>
      </c>
      <c r="D4724" s="2" t="s">
        <v>55</v>
      </c>
      <c r="E4724" s="2" t="s">
        <v>56</v>
      </c>
      <c r="F4724" s="3">
        <f>DATE(2024,4,16)</f>
        <v>45398</v>
      </c>
      <c r="G4724" s="4">
        <f t="shared" si="419"/>
        <v>4</v>
      </c>
      <c r="H4724" s="4">
        <f t="shared" si="420"/>
        <v>2024</v>
      </c>
      <c r="I4724" s="2" t="s">
        <v>4</v>
      </c>
      <c r="J4724" s="2" t="s">
        <v>5485</v>
      </c>
      <c r="K4724" s="2" t="s">
        <v>582</v>
      </c>
      <c r="L4724" s="2" t="s">
        <v>583</v>
      </c>
      <c r="M4724" s="2" t="s">
        <v>553</v>
      </c>
      <c r="N4724" s="4" t="str">
        <f t="shared" si="421"/>
        <v>GAL</v>
      </c>
      <c r="O4724" s="14">
        <v>90</v>
      </c>
    </row>
    <row r="4725" spans="2:15" x14ac:dyDescent="0.25">
      <c r="B4725" s="1" t="s">
        <v>0</v>
      </c>
      <c r="C4725" s="2" t="s">
        <v>1</v>
      </c>
      <c r="D4725" s="2" t="s">
        <v>55</v>
      </c>
      <c r="E4725" s="2" t="s">
        <v>56</v>
      </c>
      <c r="F4725" s="3">
        <f>DATE(2024,4,16)</f>
        <v>45398</v>
      </c>
      <c r="G4725" s="4">
        <f t="shared" si="419"/>
        <v>4</v>
      </c>
      <c r="H4725" s="4">
        <f t="shared" si="420"/>
        <v>2024</v>
      </c>
      <c r="I4725" s="2" t="s">
        <v>4</v>
      </c>
      <c r="J4725" s="2" t="s">
        <v>5485</v>
      </c>
      <c r="K4725" s="2" t="s">
        <v>83</v>
      </c>
      <c r="L4725" s="2" t="s">
        <v>584</v>
      </c>
      <c r="M4725" s="2" t="s">
        <v>85</v>
      </c>
      <c r="N4725" s="4" t="str">
        <f t="shared" si="421"/>
        <v>GAL</v>
      </c>
      <c r="O4725" s="14">
        <v>90</v>
      </c>
    </row>
    <row r="4726" spans="2:15" x14ac:dyDescent="0.25">
      <c r="B4726" s="1" t="s">
        <v>0</v>
      </c>
      <c r="C4726" s="2" t="s">
        <v>1</v>
      </c>
      <c r="D4726" s="2" t="s">
        <v>55</v>
      </c>
      <c r="E4726" s="2" t="s">
        <v>56</v>
      </c>
      <c r="F4726" s="3">
        <f>DATE(2024,4,16)</f>
        <v>45398</v>
      </c>
      <c r="G4726" s="4">
        <f t="shared" si="419"/>
        <v>4</v>
      </c>
      <c r="H4726" s="4">
        <f t="shared" si="420"/>
        <v>2024</v>
      </c>
      <c r="I4726" s="2" t="s">
        <v>4</v>
      </c>
      <c r="J4726" s="2" t="s">
        <v>5485</v>
      </c>
      <c r="K4726" s="2" t="s">
        <v>585</v>
      </c>
      <c r="L4726" s="2" t="s">
        <v>586</v>
      </c>
      <c r="M4726" s="2" t="s">
        <v>587</v>
      </c>
      <c r="N4726" s="4" t="str">
        <f t="shared" si="421"/>
        <v>GAL</v>
      </c>
      <c r="O4726" s="14">
        <v>90</v>
      </c>
    </row>
    <row r="4727" spans="2:15" x14ac:dyDescent="0.25">
      <c r="B4727" s="1" t="s">
        <v>0</v>
      </c>
      <c r="C4727" s="2" t="s">
        <v>1</v>
      </c>
      <c r="D4727" s="2" t="s">
        <v>2</v>
      </c>
      <c r="E4727" s="2" t="s">
        <v>1432</v>
      </c>
      <c r="F4727" s="3">
        <f>DATE(2024,4,17)</f>
        <v>45399</v>
      </c>
      <c r="G4727" s="4">
        <f t="shared" si="419"/>
        <v>4</v>
      </c>
      <c r="H4727" s="4">
        <f t="shared" si="420"/>
        <v>2024</v>
      </c>
      <c r="I4727" s="2" t="s">
        <v>4</v>
      </c>
      <c r="J4727" s="2" t="s">
        <v>5486</v>
      </c>
      <c r="K4727" s="2" t="s">
        <v>566</v>
      </c>
      <c r="L4727" s="2" t="s">
        <v>20</v>
      </c>
      <c r="M4727" s="2" t="s">
        <v>21</v>
      </c>
      <c r="N4727" s="4" t="str">
        <f t="shared" si="421"/>
        <v>GAL</v>
      </c>
      <c r="O4727" s="14">
        <v>55</v>
      </c>
    </row>
    <row r="4728" spans="2:15" x14ac:dyDescent="0.25">
      <c r="B4728" s="1" t="s">
        <v>0</v>
      </c>
      <c r="C4728" s="2" t="s">
        <v>1</v>
      </c>
      <c r="D4728" s="2" t="s">
        <v>2</v>
      </c>
      <c r="E4728" s="2" t="s">
        <v>1432</v>
      </c>
      <c r="F4728" s="3">
        <f>DATE(2024,4,17)</f>
        <v>45399</v>
      </c>
      <c r="G4728" s="4">
        <f t="shared" si="419"/>
        <v>4</v>
      </c>
      <c r="H4728" s="4">
        <f t="shared" si="420"/>
        <v>2024</v>
      </c>
      <c r="I4728" s="2" t="s">
        <v>4</v>
      </c>
      <c r="J4728" s="2" t="s">
        <v>5486</v>
      </c>
      <c r="K4728" s="2" t="s">
        <v>4540</v>
      </c>
      <c r="L4728" s="2" t="s">
        <v>81</v>
      </c>
      <c r="M4728" s="2" t="s">
        <v>82</v>
      </c>
      <c r="N4728" s="4" t="str">
        <f t="shared" si="421"/>
        <v>GAL</v>
      </c>
      <c r="O4728" s="14">
        <v>55</v>
      </c>
    </row>
    <row r="4729" spans="2:15" x14ac:dyDescent="0.25">
      <c r="B4729" s="1" t="s">
        <v>0</v>
      </c>
      <c r="C4729" s="2" t="s">
        <v>1</v>
      </c>
      <c r="D4729" s="2" t="s">
        <v>2</v>
      </c>
      <c r="E4729" s="2" t="s">
        <v>1432</v>
      </c>
      <c r="F4729" s="3">
        <f>DATE(2024,4,17)</f>
        <v>45399</v>
      </c>
      <c r="G4729" s="4">
        <f t="shared" si="419"/>
        <v>4</v>
      </c>
      <c r="H4729" s="4">
        <f t="shared" si="420"/>
        <v>2024</v>
      </c>
      <c r="I4729" s="2" t="s">
        <v>4</v>
      </c>
      <c r="J4729" s="2" t="s">
        <v>5486</v>
      </c>
      <c r="K4729" s="2" t="s">
        <v>549</v>
      </c>
      <c r="L4729" s="2" t="s">
        <v>51</v>
      </c>
      <c r="M4729" s="2" t="s">
        <v>52</v>
      </c>
      <c r="N4729" s="4" t="str">
        <f t="shared" si="421"/>
        <v>GAL</v>
      </c>
      <c r="O4729" s="14">
        <v>55</v>
      </c>
    </row>
    <row r="4730" spans="2:15" x14ac:dyDescent="0.25">
      <c r="B4730" s="1" t="s">
        <v>0</v>
      </c>
      <c r="C4730" s="2" t="s">
        <v>1</v>
      </c>
      <c r="D4730" s="2" t="s">
        <v>2</v>
      </c>
      <c r="E4730" s="2" t="s">
        <v>61</v>
      </c>
      <c r="F4730" s="3">
        <f>DATE(2024,4,22)</f>
        <v>45404</v>
      </c>
      <c r="G4730" s="4">
        <f t="shared" si="419"/>
        <v>4</v>
      </c>
      <c r="H4730" s="4">
        <f t="shared" si="420"/>
        <v>2024</v>
      </c>
      <c r="I4730" s="2" t="s">
        <v>4</v>
      </c>
      <c r="J4730" s="2" t="s">
        <v>5487</v>
      </c>
      <c r="K4730" s="2" t="s">
        <v>19</v>
      </c>
      <c r="L4730" s="2" t="s">
        <v>20</v>
      </c>
      <c r="M4730" s="2" t="s">
        <v>21</v>
      </c>
      <c r="N4730" s="4" t="str">
        <f t="shared" si="421"/>
        <v>GAL</v>
      </c>
      <c r="O4730" s="14">
        <v>50</v>
      </c>
    </row>
    <row r="4731" spans="2:15" x14ac:dyDescent="0.25">
      <c r="B4731" s="1" t="s">
        <v>0</v>
      </c>
      <c r="C4731" s="2" t="s">
        <v>1</v>
      </c>
      <c r="D4731" s="2" t="s">
        <v>2</v>
      </c>
      <c r="E4731" s="2" t="s">
        <v>61</v>
      </c>
      <c r="F4731" s="3">
        <f>DATE(2024,4,22)</f>
        <v>45404</v>
      </c>
      <c r="G4731" s="4">
        <f t="shared" si="419"/>
        <v>4</v>
      </c>
      <c r="H4731" s="4">
        <f t="shared" si="420"/>
        <v>2024</v>
      </c>
      <c r="I4731" s="2" t="s">
        <v>4</v>
      </c>
      <c r="J4731" s="2" t="s">
        <v>5487</v>
      </c>
      <c r="K4731" s="2" t="s">
        <v>25</v>
      </c>
      <c r="L4731" s="2" t="s">
        <v>26</v>
      </c>
      <c r="M4731" s="2" t="s">
        <v>27</v>
      </c>
      <c r="N4731" s="4" t="str">
        <f t="shared" si="421"/>
        <v>GAL</v>
      </c>
      <c r="O4731" s="14">
        <v>100</v>
      </c>
    </row>
    <row r="4732" spans="2:15" x14ac:dyDescent="0.25">
      <c r="B4732" s="1" t="s">
        <v>0</v>
      </c>
      <c r="C4732" s="2" t="s">
        <v>1</v>
      </c>
      <c r="D4732" s="2" t="s">
        <v>2</v>
      </c>
      <c r="E4732" s="2" t="s">
        <v>61</v>
      </c>
      <c r="F4732" s="3">
        <f>DATE(2024,4,22)</f>
        <v>45404</v>
      </c>
      <c r="G4732" s="4">
        <f t="shared" si="419"/>
        <v>4</v>
      </c>
      <c r="H4732" s="4">
        <f t="shared" si="420"/>
        <v>2024</v>
      </c>
      <c r="I4732" s="2" t="s">
        <v>4</v>
      </c>
      <c r="J4732" s="2" t="s">
        <v>5487</v>
      </c>
      <c r="K4732" s="2" t="s">
        <v>28</v>
      </c>
      <c r="L4732" s="2" t="s">
        <v>29</v>
      </c>
      <c r="M4732" s="2" t="s">
        <v>30</v>
      </c>
      <c r="N4732" s="4" t="str">
        <f t="shared" si="421"/>
        <v>GAL</v>
      </c>
      <c r="O4732" s="14">
        <v>50</v>
      </c>
    </row>
    <row r="4733" spans="2:15" x14ac:dyDescent="0.25">
      <c r="B4733" s="1" t="s">
        <v>0</v>
      </c>
      <c r="C4733" s="2" t="s">
        <v>1</v>
      </c>
      <c r="D4733" s="2" t="s">
        <v>2</v>
      </c>
      <c r="E4733" s="2" t="s">
        <v>61</v>
      </c>
      <c r="F4733" s="3">
        <f>DATE(2024,4,22)</f>
        <v>45404</v>
      </c>
      <c r="G4733" s="4">
        <f t="shared" si="419"/>
        <v>4</v>
      </c>
      <c r="H4733" s="4">
        <f t="shared" si="420"/>
        <v>2024</v>
      </c>
      <c r="I4733" s="2" t="s">
        <v>4</v>
      </c>
      <c r="J4733" s="2" t="s">
        <v>5487</v>
      </c>
      <c r="K4733" s="2" t="s">
        <v>16</v>
      </c>
      <c r="L4733" s="2" t="s">
        <v>7</v>
      </c>
      <c r="M4733" s="2" t="s">
        <v>8</v>
      </c>
      <c r="N4733" s="4" t="str">
        <f t="shared" si="421"/>
        <v>GAL</v>
      </c>
      <c r="O4733" s="14">
        <v>100</v>
      </c>
    </row>
    <row r="4734" spans="2:15" x14ac:dyDescent="0.25">
      <c r="B4734" s="1" t="s">
        <v>0</v>
      </c>
      <c r="C4734" s="2" t="s">
        <v>1</v>
      </c>
      <c r="D4734" s="2" t="s">
        <v>2</v>
      </c>
      <c r="E4734" s="2" t="s">
        <v>1784</v>
      </c>
      <c r="F4734" s="3">
        <f>DATE(2024,4,24)</f>
        <v>45406</v>
      </c>
      <c r="G4734" s="4">
        <f t="shared" si="419"/>
        <v>4</v>
      </c>
      <c r="H4734" s="4">
        <f t="shared" si="420"/>
        <v>2024</v>
      </c>
      <c r="I4734" s="2" t="s">
        <v>4</v>
      </c>
      <c r="J4734" s="2" t="s">
        <v>5488</v>
      </c>
      <c r="K4734" s="2" t="s">
        <v>28</v>
      </c>
      <c r="L4734" s="2" t="s">
        <v>29</v>
      </c>
      <c r="M4734" s="2" t="s">
        <v>30</v>
      </c>
      <c r="N4734" s="4" t="str">
        <f t="shared" si="421"/>
        <v>GAL</v>
      </c>
      <c r="O4734" s="14">
        <v>30</v>
      </c>
    </row>
    <row r="4735" spans="2:15" x14ac:dyDescent="0.25">
      <c r="B4735" s="1" t="s">
        <v>0</v>
      </c>
      <c r="C4735" s="2" t="s">
        <v>1</v>
      </c>
      <c r="D4735" s="2" t="s">
        <v>2</v>
      </c>
      <c r="E4735" s="2" t="s">
        <v>1784</v>
      </c>
      <c r="F4735" s="3">
        <f>DATE(2024,4,24)</f>
        <v>45406</v>
      </c>
      <c r="G4735" s="4">
        <f t="shared" si="419"/>
        <v>4</v>
      </c>
      <c r="H4735" s="4">
        <f t="shared" si="420"/>
        <v>2024</v>
      </c>
      <c r="I4735" s="2" t="s">
        <v>4</v>
      </c>
      <c r="J4735" s="2" t="s">
        <v>5488</v>
      </c>
      <c r="K4735" s="2" t="s">
        <v>16</v>
      </c>
      <c r="L4735" s="2" t="s">
        <v>7</v>
      </c>
      <c r="M4735" s="2" t="s">
        <v>8</v>
      </c>
      <c r="N4735" s="4" t="str">
        <f t="shared" si="421"/>
        <v>GAL</v>
      </c>
      <c r="O4735" s="14">
        <v>55</v>
      </c>
    </row>
    <row r="4736" spans="2:15" x14ac:dyDescent="0.25">
      <c r="B4736" s="1" t="s">
        <v>0</v>
      </c>
      <c r="C4736" s="2" t="s">
        <v>1</v>
      </c>
      <c r="D4736" s="2" t="s">
        <v>2</v>
      </c>
      <c r="E4736" s="2" t="s">
        <v>3</v>
      </c>
      <c r="F4736" s="3">
        <f>DATE(2024,4,24)</f>
        <v>45406</v>
      </c>
      <c r="G4736" s="4">
        <f t="shared" si="419"/>
        <v>4</v>
      </c>
      <c r="H4736" s="4">
        <f t="shared" si="420"/>
        <v>2024</v>
      </c>
      <c r="I4736" s="2" t="s">
        <v>4</v>
      </c>
      <c r="J4736" s="2" t="s">
        <v>5489</v>
      </c>
      <c r="K4736" s="2" t="s">
        <v>566</v>
      </c>
      <c r="L4736" s="2" t="s">
        <v>20</v>
      </c>
      <c r="M4736" s="2" t="s">
        <v>21</v>
      </c>
      <c r="N4736" s="4" t="str">
        <f t="shared" si="421"/>
        <v>GAL</v>
      </c>
      <c r="O4736" s="14">
        <v>55</v>
      </c>
    </row>
    <row r="4737" spans="2:15" x14ac:dyDescent="0.25">
      <c r="B4737" s="1" t="s">
        <v>0</v>
      </c>
      <c r="C4737" s="2" t="s">
        <v>1</v>
      </c>
      <c r="D4737" s="2" t="s">
        <v>2</v>
      </c>
      <c r="E4737" s="2" t="s">
        <v>3</v>
      </c>
      <c r="F4737" s="3">
        <f>DATE(2024,4,24)</f>
        <v>45406</v>
      </c>
      <c r="G4737" s="4">
        <f t="shared" si="419"/>
        <v>4</v>
      </c>
      <c r="H4737" s="4">
        <f t="shared" si="420"/>
        <v>2024</v>
      </c>
      <c r="I4737" s="2" t="s">
        <v>4</v>
      </c>
      <c r="J4737" s="2" t="s">
        <v>5489</v>
      </c>
      <c r="K4737" s="2" t="s">
        <v>22</v>
      </c>
      <c r="L4737" s="2" t="s">
        <v>23</v>
      </c>
      <c r="M4737" s="2" t="s">
        <v>24</v>
      </c>
      <c r="N4737" s="4" t="str">
        <f t="shared" si="421"/>
        <v>GAL</v>
      </c>
      <c r="O4737" s="14">
        <v>20</v>
      </c>
    </row>
    <row r="4738" spans="2:15" x14ac:dyDescent="0.25">
      <c r="B4738" s="1" t="s">
        <v>0</v>
      </c>
      <c r="C4738" s="2" t="s">
        <v>1</v>
      </c>
      <c r="D4738" s="2" t="s">
        <v>2</v>
      </c>
      <c r="E4738" s="2" t="s">
        <v>3</v>
      </c>
      <c r="F4738" s="3">
        <f>DATE(2024,4,24)</f>
        <v>45406</v>
      </c>
      <c r="G4738" s="4">
        <f t="shared" si="419"/>
        <v>4</v>
      </c>
      <c r="H4738" s="4">
        <f t="shared" si="420"/>
        <v>2024</v>
      </c>
      <c r="I4738" s="2" t="s">
        <v>4</v>
      </c>
      <c r="J4738" s="2" t="s">
        <v>5489</v>
      </c>
      <c r="K4738" s="2" t="s">
        <v>6</v>
      </c>
      <c r="L4738" s="2" t="s">
        <v>7</v>
      </c>
      <c r="M4738" s="2" t="s">
        <v>8</v>
      </c>
      <c r="N4738" s="4" t="str">
        <f t="shared" si="421"/>
        <v>GAL</v>
      </c>
      <c r="O4738" s="14">
        <v>55</v>
      </c>
    </row>
    <row r="4739" spans="2:15" x14ac:dyDescent="0.25">
      <c r="B4739" s="1" t="s">
        <v>0</v>
      </c>
      <c r="C4739" s="2" t="s">
        <v>1</v>
      </c>
      <c r="D4739" s="2" t="s">
        <v>2</v>
      </c>
      <c r="E4739" s="2" t="s">
        <v>4287</v>
      </c>
      <c r="F4739" s="3">
        <f t="shared" ref="F4739:F4746" si="422">DATE(2024,4,25)</f>
        <v>45407</v>
      </c>
      <c r="G4739" s="4">
        <f t="shared" si="419"/>
        <v>4</v>
      </c>
      <c r="H4739" s="4">
        <f t="shared" si="420"/>
        <v>2024</v>
      </c>
      <c r="I4739" s="2" t="s">
        <v>4</v>
      </c>
      <c r="J4739" s="2" t="s">
        <v>5490</v>
      </c>
      <c r="K4739" s="2" t="s">
        <v>33</v>
      </c>
      <c r="L4739" s="2" t="s">
        <v>34</v>
      </c>
      <c r="M4739" s="2" t="s">
        <v>35</v>
      </c>
      <c r="N4739" s="4" t="str">
        <f t="shared" si="421"/>
        <v>GAL</v>
      </c>
      <c r="O4739" s="14">
        <v>30</v>
      </c>
    </row>
    <row r="4740" spans="2:15" x14ac:dyDescent="0.25">
      <c r="B4740" s="1" t="s">
        <v>0</v>
      </c>
      <c r="C4740" s="2" t="s">
        <v>1</v>
      </c>
      <c r="D4740" s="2" t="s">
        <v>2</v>
      </c>
      <c r="E4740" s="2" t="s">
        <v>4287</v>
      </c>
      <c r="F4740" s="3">
        <f t="shared" si="422"/>
        <v>45407</v>
      </c>
      <c r="G4740" s="4">
        <f t="shared" si="419"/>
        <v>4</v>
      </c>
      <c r="H4740" s="4">
        <f t="shared" si="420"/>
        <v>2024</v>
      </c>
      <c r="I4740" s="2" t="s">
        <v>4</v>
      </c>
      <c r="J4740" s="2" t="s">
        <v>5490</v>
      </c>
      <c r="K4740" s="2" t="s">
        <v>19</v>
      </c>
      <c r="L4740" s="2" t="s">
        <v>20</v>
      </c>
      <c r="M4740" s="2" t="s">
        <v>21</v>
      </c>
      <c r="N4740" s="4" t="str">
        <f t="shared" si="421"/>
        <v>GAL</v>
      </c>
      <c r="O4740" s="14">
        <v>120</v>
      </c>
    </row>
    <row r="4741" spans="2:15" x14ac:dyDescent="0.25">
      <c r="B4741" s="1" t="s">
        <v>0</v>
      </c>
      <c r="C4741" s="2" t="s">
        <v>1</v>
      </c>
      <c r="D4741" s="2" t="s">
        <v>2</v>
      </c>
      <c r="E4741" s="2" t="s">
        <v>4287</v>
      </c>
      <c r="F4741" s="3">
        <f t="shared" si="422"/>
        <v>45407</v>
      </c>
      <c r="G4741" s="4">
        <f t="shared" si="419"/>
        <v>4</v>
      </c>
      <c r="H4741" s="4">
        <f t="shared" si="420"/>
        <v>2024</v>
      </c>
      <c r="I4741" s="2" t="s">
        <v>4</v>
      </c>
      <c r="J4741" s="2" t="s">
        <v>5490</v>
      </c>
      <c r="K4741" s="2" t="s">
        <v>22</v>
      </c>
      <c r="L4741" s="2" t="s">
        <v>23</v>
      </c>
      <c r="M4741" s="2" t="s">
        <v>24</v>
      </c>
      <c r="N4741" s="4" t="str">
        <f t="shared" si="421"/>
        <v>GAL</v>
      </c>
      <c r="O4741" s="14">
        <v>60</v>
      </c>
    </row>
    <row r="4742" spans="2:15" x14ac:dyDescent="0.25">
      <c r="B4742" s="1" t="s">
        <v>0</v>
      </c>
      <c r="C4742" s="2" t="s">
        <v>1</v>
      </c>
      <c r="D4742" s="2" t="s">
        <v>2</v>
      </c>
      <c r="E4742" s="2" t="s">
        <v>4287</v>
      </c>
      <c r="F4742" s="3">
        <f t="shared" si="422"/>
        <v>45407</v>
      </c>
      <c r="G4742" s="4">
        <f t="shared" si="419"/>
        <v>4</v>
      </c>
      <c r="H4742" s="4">
        <f t="shared" si="420"/>
        <v>2024</v>
      </c>
      <c r="I4742" s="2" t="s">
        <v>4</v>
      </c>
      <c r="J4742" s="2" t="s">
        <v>5490</v>
      </c>
      <c r="K4742" s="2" t="s">
        <v>36</v>
      </c>
      <c r="L4742" s="2" t="s">
        <v>37</v>
      </c>
      <c r="M4742" s="2" t="s">
        <v>38</v>
      </c>
      <c r="N4742" s="4" t="str">
        <f t="shared" si="421"/>
        <v>GAL</v>
      </c>
      <c r="O4742" s="14">
        <v>30</v>
      </c>
    </row>
    <row r="4743" spans="2:15" x14ac:dyDescent="0.25">
      <c r="B4743" s="1" t="s">
        <v>0</v>
      </c>
      <c r="C4743" s="2" t="s">
        <v>1</v>
      </c>
      <c r="D4743" s="2" t="s">
        <v>2</v>
      </c>
      <c r="E4743" s="2" t="s">
        <v>4287</v>
      </c>
      <c r="F4743" s="3">
        <f t="shared" si="422"/>
        <v>45407</v>
      </c>
      <c r="G4743" s="4">
        <f t="shared" si="419"/>
        <v>4</v>
      </c>
      <c r="H4743" s="4">
        <f t="shared" si="420"/>
        <v>2024</v>
      </c>
      <c r="I4743" s="2" t="s">
        <v>4</v>
      </c>
      <c r="J4743" s="2" t="s">
        <v>5490</v>
      </c>
      <c r="K4743" s="2" t="s">
        <v>80</v>
      </c>
      <c r="L4743" s="2" t="s">
        <v>81</v>
      </c>
      <c r="M4743" s="2" t="s">
        <v>82</v>
      </c>
      <c r="N4743" s="4" t="str">
        <f t="shared" si="421"/>
        <v>GAL</v>
      </c>
      <c r="O4743" s="14">
        <v>120</v>
      </c>
    </row>
    <row r="4744" spans="2:15" x14ac:dyDescent="0.25">
      <c r="B4744" s="1" t="s">
        <v>0</v>
      </c>
      <c r="C4744" s="2" t="s">
        <v>1</v>
      </c>
      <c r="D4744" s="2" t="s">
        <v>2</v>
      </c>
      <c r="E4744" s="2" t="s">
        <v>4287</v>
      </c>
      <c r="F4744" s="3">
        <f t="shared" si="422"/>
        <v>45407</v>
      </c>
      <c r="G4744" s="4">
        <f t="shared" si="419"/>
        <v>4</v>
      </c>
      <c r="H4744" s="4">
        <f t="shared" si="420"/>
        <v>2024</v>
      </c>
      <c r="I4744" s="2" t="s">
        <v>4</v>
      </c>
      <c r="J4744" s="2" t="s">
        <v>5490</v>
      </c>
      <c r="K4744" s="2" t="s">
        <v>25</v>
      </c>
      <c r="L4744" s="2" t="s">
        <v>26</v>
      </c>
      <c r="M4744" s="2" t="s">
        <v>27</v>
      </c>
      <c r="N4744" s="4" t="str">
        <f t="shared" si="421"/>
        <v>GAL</v>
      </c>
      <c r="O4744" s="14">
        <v>60</v>
      </c>
    </row>
    <row r="4745" spans="2:15" x14ac:dyDescent="0.25">
      <c r="B4745" s="1" t="s">
        <v>0</v>
      </c>
      <c r="C4745" s="2" t="s">
        <v>1</v>
      </c>
      <c r="D4745" s="2" t="s">
        <v>2</v>
      </c>
      <c r="E4745" s="2" t="s">
        <v>4287</v>
      </c>
      <c r="F4745" s="3">
        <f t="shared" si="422"/>
        <v>45407</v>
      </c>
      <c r="G4745" s="4">
        <f t="shared" si="419"/>
        <v>4</v>
      </c>
      <c r="H4745" s="4">
        <f t="shared" si="420"/>
        <v>2024</v>
      </c>
      <c r="I4745" s="2" t="s">
        <v>4</v>
      </c>
      <c r="J4745" s="2" t="s">
        <v>5490</v>
      </c>
      <c r="K4745" s="2" t="s">
        <v>28</v>
      </c>
      <c r="L4745" s="2" t="s">
        <v>29</v>
      </c>
      <c r="M4745" s="2" t="s">
        <v>30</v>
      </c>
      <c r="N4745" s="4" t="str">
        <f t="shared" si="421"/>
        <v>GAL</v>
      </c>
      <c r="O4745" s="14">
        <v>60</v>
      </c>
    </row>
    <row r="4746" spans="2:15" x14ac:dyDescent="0.25">
      <c r="B4746" s="1" t="s">
        <v>0</v>
      </c>
      <c r="C4746" s="2" t="s">
        <v>1</v>
      </c>
      <c r="D4746" s="2" t="s">
        <v>2</v>
      </c>
      <c r="E4746" s="2" t="s">
        <v>4287</v>
      </c>
      <c r="F4746" s="3">
        <f t="shared" si="422"/>
        <v>45407</v>
      </c>
      <c r="G4746" s="4">
        <f t="shared" si="419"/>
        <v>4</v>
      </c>
      <c r="H4746" s="4">
        <f t="shared" si="420"/>
        <v>2024</v>
      </c>
      <c r="I4746" s="2" t="s">
        <v>4</v>
      </c>
      <c r="J4746" s="2" t="s">
        <v>5490</v>
      </c>
      <c r="K4746" s="2" t="s">
        <v>16</v>
      </c>
      <c r="L4746" s="2" t="s">
        <v>7</v>
      </c>
      <c r="M4746" s="2" t="s">
        <v>8</v>
      </c>
      <c r="N4746" s="4" t="str">
        <f t="shared" si="421"/>
        <v>GAL</v>
      </c>
      <c r="O4746" s="14">
        <v>120</v>
      </c>
    </row>
    <row r="4747" spans="2:15" x14ac:dyDescent="0.25">
      <c r="B4747" s="1" t="s">
        <v>88</v>
      </c>
      <c r="C4747" s="2" t="s">
        <v>89</v>
      </c>
      <c r="D4747" s="2" t="s">
        <v>107</v>
      </c>
      <c r="E4747" s="2" t="s">
        <v>108</v>
      </c>
      <c r="F4747" s="3">
        <f>DATE(2024,4,29)</f>
        <v>45411</v>
      </c>
      <c r="G4747" s="4">
        <f t="shared" si="419"/>
        <v>4</v>
      </c>
      <c r="H4747" s="4">
        <f t="shared" si="420"/>
        <v>2024</v>
      </c>
      <c r="I4747" s="2" t="s">
        <v>4</v>
      </c>
      <c r="J4747" s="2" t="s">
        <v>5491</v>
      </c>
      <c r="K4747" s="2" t="s">
        <v>110</v>
      </c>
      <c r="L4747" s="2" t="s">
        <v>111</v>
      </c>
      <c r="M4747" s="2" t="s">
        <v>112</v>
      </c>
      <c r="N4747" s="4" t="str">
        <f t="shared" si="421"/>
        <v>GAL</v>
      </c>
      <c r="O4747" s="14">
        <v>510</v>
      </c>
    </row>
    <row r="4748" spans="2:15" x14ac:dyDescent="0.25">
      <c r="B4748" s="1" t="s">
        <v>88</v>
      </c>
      <c r="C4748" s="2" t="s">
        <v>89</v>
      </c>
      <c r="D4748" s="2" t="s">
        <v>1111</v>
      </c>
      <c r="E4748" s="2" t="s">
        <v>1112</v>
      </c>
      <c r="F4748" s="3">
        <f>DATE(2024,4,2)</f>
        <v>45384</v>
      </c>
      <c r="G4748" s="4">
        <f t="shared" si="419"/>
        <v>4</v>
      </c>
      <c r="H4748" s="4">
        <f t="shared" si="420"/>
        <v>2024</v>
      </c>
      <c r="I4748" s="2" t="s">
        <v>4</v>
      </c>
      <c r="J4748" s="2" t="s">
        <v>5492</v>
      </c>
      <c r="K4748" s="2" t="s">
        <v>2629</v>
      </c>
      <c r="L4748" s="2" t="s">
        <v>2630</v>
      </c>
      <c r="M4748" s="2" t="s">
        <v>2631</v>
      </c>
      <c r="N4748" s="4" t="str">
        <f t="shared" si="421"/>
        <v>GAL</v>
      </c>
      <c r="O4748" s="14">
        <v>70</v>
      </c>
    </row>
    <row r="4749" spans="2:15" x14ac:dyDescent="0.25">
      <c r="B4749" s="1" t="s">
        <v>88</v>
      </c>
      <c r="C4749" s="2" t="s">
        <v>89</v>
      </c>
      <c r="D4749" s="2" t="s">
        <v>1111</v>
      </c>
      <c r="E4749" s="2" t="s">
        <v>1112</v>
      </c>
      <c r="F4749" s="3">
        <f>DATE(2024,4,3)</f>
        <v>45385</v>
      </c>
      <c r="G4749" s="4">
        <f t="shared" si="419"/>
        <v>4</v>
      </c>
      <c r="H4749" s="4">
        <f t="shared" si="420"/>
        <v>2024</v>
      </c>
      <c r="I4749" s="2" t="s">
        <v>4</v>
      </c>
      <c r="J4749" s="2" t="s">
        <v>5493</v>
      </c>
      <c r="K4749" s="2" t="s">
        <v>2629</v>
      </c>
      <c r="L4749" s="2" t="s">
        <v>2630</v>
      </c>
      <c r="M4749" s="2" t="s">
        <v>2631</v>
      </c>
      <c r="N4749" s="4" t="str">
        <f t="shared" si="421"/>
        <v>GAL</v>
      </c>
      <c r="O4749" s="14">
        <v>70</v>
      </c>
    </row>
    <row r="4750" spans="2:15" x14ac:dyDescent="0.25">
      <c r="B4750" s="1" t="s">
        <v>88</v>
      </c>
      <c r="C4750" s="2" t="s">
        <v>89</v>
      </c>
      <c r="D4750" s="2" t="s">
        <v>1444</v>
      </c>
      <c r="E4750" s="2" t="s">
        <v>102</v>
      </c>
      <c r="F4750" s="3">
        <f>DATE(2024,4,3)</f>
        <v>45385</v>
      </c>
      <c r="G4750" s="4">
        <f t="shared" si="419"/>
        <v>4</v>
      </c>
      <c r="H4750" s="4">
        <f t="shared" si="420"/>
        <v>2024</v>
      </c>
      <c r="I4750" s="2" t="s">
        <v>4</v>
      </c>
      <c r="J4750" s="2" t="s">
        <v>5494</v>
      </c>
      <c r="K4750" s="2" t="s">
        <v>1446</v>
      </c>
      <c r="L4750" s="2" t="s">
        <v>2581</v>
      </c>
      <c r="M4750" s="2" t="s">
        <v>1448</v>
      </c>
      <c r="N4750" s="4" t="str">
        <f t="shared" si="421"/>
        <v>GAL</v>
      </c>
      <c r="O4750" s="14">
        <v>360</v>
      </c>
    </row>
    <row r="4751" spans="2:15" x14ac:dyDescent="0.25">
      <c r="B4751" s="1" t="s">
        <v>88</v>
      </c>
      <c r="C4751" s="2" t="s">
        <v>89</v>
      </c>
      <c r="D4751" s="2" t="s">
        <v>5495</v>
      </c>
      <c r="E4751" s="2" t="s">
        <v>102</v>
      </c>
      <c r="F4751" s="3">
        <f>DATE(2024,4,8)</f>
        <v>45390</v>
      </c>
      <c r="G4751" s="4">
        <f t="shared" si="419"/>
        <v>4</v>
      </c>
      <c r="H4751" s="4">
        <f t="shared" si="420"/>
        <v>2024</v>
      </c>
      <c r="I4751" s="2" t="s">
        <v>4</v>
      </c>
      <c r="J4751" s="2" t="s">
        <v>5496</v>
      </c>
      <c r="K4751" s="2" t="s">
        <v>3321</v>
      </c>
      <c r="L4751" s="2" t="s">
        <v>3322</v>
      </c>
      <c r="M4751" s="2" t="s">
        <v>106</v>
      </c>
      <c r="N4751" s="4" t="str">
        <f t="shared" si="421"/>
        <v>LBS</v>
      </c>
      <c r="O4751" s="14">
        <v>50</v>
      </c>
    </row>
    <row r="4752" spans="2:15" x14ac:dyDescent="0.25">
      <c r="B4752" s="1" t="s">
        <v>88</v>
      </c>
      <c r="C4752" s="2" t="s">
        <v>89</v>
      </c>
      <c r="D4752" s="2" t="s">
        <v>1111</v>
      </c>
      <c r="E4752" s="2" t="s">
        <v>1112</v>
      </c>
      <c r="F4752" s="3">
        <f>DATE(2024,4,8)</f>
        <v>45390</v>
      </c>
      <c r="G4752" s="4">
        <f t="shared" si="419"/>
        <v>4</v>
      </c>
      <c r="H4752" s="4">
        <f t="shared" si="420"/>
        <v>2024</v>
      </c>
      <c r="I4752" s="2" t="s">
        <v>4</v>
      </c>
      <c r="J4752" s="2" t="s">
        <v>5497</v>
      </c>
      <c r="K4752" s="2" t="s">
        <v>2629</v>
      </c>
      <c r="L4752" s="2" t="s">
        <v>2630</v>
      </c>
      <c r="M4752" s="2" t="s">
        <v>2631</v>
      </c>
      <c r="N4752" s="4" t="str">
        <f t="shared" si="421"/>
        <v>GAL</v>
      </c>
      <c r="O4752" s="14">
        <v>60</v>
      </c>
    </row>
    <row r="4753" spans="2:15" x14ac:dyDescent="0.25">
      <c r="B4753" s="1" t="s">
        <v>88</v>
      </c>
      <c r="C4753" s="2" t="s">
        <v>89</v>
      </c>
      <c r="D4753" s="2" t="s">
        <v>1111</v>
      </c>
      <c r="E4753" s="2" t="s">
        <v>1112</v>
      </c>
      <c r="F4753" s="3">
        <f>DATE(2024,4,11)</f>
        <v>45393</v>
      </c>
      <c r="G4753" s="4">
        <f t="shared" si="419"/>
        <v>4</v>
      </c>
      <c r="H4753" s="4">
        <f t="shared" si="420"/>
        <v>2024</v>
      </c>
      <c r="I4753" s="2" t="s">
        <v>4</v>
      </c>
      <c r="J4753" s="2" t="s">
        <v>5498</v>
      </c>
      <c r="K4753" s="2" t="s">
        <v>2629</v>
      </c>
      <c r="L4753" s="2" t="s">
        <v>2630</v>
      </c>
      <c r="M4753" s="2" t="s">
        <v>2631</v>
      </c>
      <c r="N4753" s="4" t="str">
        <f t="shared" si="421"/>
        <v>GAL</v>
      </c>
      <c r="O4753" s="14">
        <v>70</v>
      </c>
    </row>
    <row r="4754" spans="2:15" x14ac:dyDescent="0.25">
      <c r="B4754" s="1" t="s">
        <v>88</v>
      </c>
      <c r="C4754" s="2" t="s">
        <v>89</v>
      </c>
      <c r="D4754" s="2" t="s">
        <v>1103</v>
      </c>
      <c r="E4754" s="2" t="s">
        <v>1104</v>
      </c>
      <c r="F4754" s="3">
        <f>DATE(2024,4,12)</f>
        <v>45394</v>
      </c>
      <c r="G4754" s="4">
        <f t="shared" si="419"/>
        <v>4</v>
      </c>
      <c r="H4754" s="4">
        <f t="shared" si="420"/>
        <v>2024</v>
      </c>
      <c r="I4754" s="2" t="s">
        <v>4</v>
      </c>
      <c r="J4754" s="2" t="s">
        <v>5499</v>
      </c>
      <c r="K4754" s="2" t="s">
        <v>126</v>
      </c>
      <c r="L4754" s="2" t="s">
        <v>127</v>
      </c>
      <c r="M4754" s="2" t="s">
        <v>106</v>
      </c>
      <c r="N4754" s="4" t="str">
        <f t="shared" si="421"/>
        <v>LBS</v>
      </c>
      <c r="O4754" s="14">
        <v>13150</v>
      </c>
    </row>
    <row r="4755" spans="2:15" x14ac:dyDescent="0.25">
      <c r="B4755" s="1" t="s">
        <v>88</v>
      </c>
      <c r="C4755" s="2" t="s">
        <v>89</v>
      </c>
      <c r="D4755" s="2" t="s">
        <v>3265</v>
      </c>
      <c r="E4755" s="2" t="s">
        <v>3266</v>
      </c>
      <c r="F4755" s="3">
        <f>DATE(2024,4,17)</f>
        <v>45399</v>
      </c>
      <c r="G4755" s="4">
        <f t="shared" si="419"/>
        <v>4</v>
      </c>
      <c r="H4755" s="4">
        <f t="shared" si="420"/>
        <v>2024</v>
      </c>
      <c r="I4755" s="2" t="s">
        <v>4</v>
      </c>
      <c r="J4755" s="2" t="s">
        <v>5500</v>
      </c>
      <c r="K4755" s="2" t="s">
        <v>4553</v>
      </c>
      <c r="L4755" s="2" t="s">
        <v>4554</v>
      </c>
      <c r="M4755" s="2" t="s">
        <v>4555</v>
      </c>
      <c r="N4755" s="4" t="str">
        <f t="shared" si="421"/>
        <v>GAL</v>
      </c>
      <c r="O4755" s="14">
        <v>150</v>
      </c>
    </row>
    <row r="4756" spans="2:15" x14ac:dyDescent="0.25">
      <c r="B4756" s="1" t="s">
        <v>88</v>
      </c>
      <c r="C4756" s="2" t="s">
        <v>89</v>
      </c>
      <c r="D4756" s="2" t="s">
        <v>167</v>
      </c>
      <c r="E4756" s="2" t="s">
        <v>168</v>
      </c>
      <c r="F4756" s="3">
        <f>DATE(2024,4,19)</f>
        <v>45401</v>
      </c>
      <c r="G4756" s="4">
        <f t="shared" si="419"/>
        <v>4</v>
      </c>
      <c r="H4756" s="4">
        <f t="shared" si="420"/>
        <v>2024</v>
      </c>
      <c r="I4756" s="2" t="s">
        <v>4</v>
      </c>
      <c r="J4756" s="2" t="s">
        <v>5501</v>
      </c>
      <c r="K4756" s="2" t="s">
        <v>2629</v>
      </c>
      <c r="L4756" s="2" t="s">
        <v>2630</v>
      </c>
      <c r="M4756" s="2" t="s">
        <v>2631</v>
      </c>
      <c r="N4756" s="4" t="str">
        <f t="shared" si="421"/>
        <v>GAL</v>
      </c>
      <c r="O4756" s="14">
        <v>70</v>
      </c>
    </row>
    <row r="4757" spans="2:15" x14ac:dyDescent="0.25">
      <c r="B4757" s="1" t="s">
        <v>88</v>
      </c>
      <c r="C4757" s="2" t="s">
        <v>89</v>
      </c>
      <c r="D4757" s="2" t="s">
        <v>1444</v>
      </c>
      <c r="E4757" s="2" t="s">
        <v>3677</v>
      </c>
      <c r="F4757" s="3">
        <f>DATE(2024,4,24)</f>
        <v>45406</v>
      </c>
      <c r="G4757" s="4">
        <f t="shared" si="419"/>
        <v>4</v>
      </c>
      <c r="H4757" s="4">
        <f t="shared" si="420"/>
        <v>2024</v>
      </c>
      <c r="I4757" s="2" t="s">
        <v>4</v>
      </c>
      <c r="J4757" s="2" t="s">
        <v>5502</v>
      </c>
      <c r="K4757" s="2" t="s">
        <v>1446</v>
      </c>
      <c r="L4757" s="2" t="s">
        <v>2581</v>
      </c>
      <c r="M4757" s="2" t="s">
        <v>1448</v>
      </c>
      <c r="N4757" s="4" t="str">
        <f t="shared" si="421"/>
        <v>GAL</v>
      </c>
      <c r="O4757" s="14">
        <v>360</v>
      </c>
    </row>
    <row r="4758" spans="2:15" x14ac:dyDescent="0.25">
      <c r="B4758" s="1" t="s">
        <v>88</v>
      </c>
      <c r="C4758" s="2" t="s">
        <v>89</v>
      </c>
      <c r="D4758" s="2" t="s">
        <v>1444</v>
      </c>
      <c r="E4758" s="2" t="s">
        <v>2864</v>
      </c>
      <c r="F4758" s="3">
        <f>DATE(2024,4,24)</f>
        <v>45406</v>
      </c>
      <c r="G4758" s="4">
        <f t="shared" si="419"/>
        <v>4</v>
      </c>
      <c r="H4758" s="4">
        <f t="shared" si="420"/>
        <v>2024</v>
      </c>
      <c r="I4758" s="2" t="s">
        <v>4</v>
      </c>
      <c r="J4758" s="2" t="s">
        <v>5503</v>
      </c>
      <c r="K4758" s="2" t="s">
        <v>1446</v>
      </c>
      <c r="L4758" s="2" t="s">
        <v>2581</v>
      </c>
      <c r="M4758" s="2" t="s">
        <v>1448</v>
      </c>
      <c r="N4758" s="4" t="str">
        <f t="shared" si="421"/>
        <v>GAL</v>
      </c>
      <c r="O4758" s="14">
        <v>360</v>
      </c>
    </row>
    <row r="4759" spans="2:15" x14ac:dyDescent="0.25">
      <c r="B4759" s="1" t="s">
        <v>154</v>
      </c>
      <c r="C4759" s="2" t="s">
        <v>155</v>
      </c>
      <c r="D4759" s="2" t="s">
        <v>628</v>
      </c>
      <c r="E4759" s="2" t="s">
        <v>2200</v>
      </c>
      <c r="F4759" s="3">
        <f>DATE(2024,4,29)</f>
        <v>45411</v>
      </c>
      <c r="G4759" s="4">
        <f t="shared" si="419"/>
        <v>4</v>
      </c>
      <c r="H4759" s="4">
        <f t="shared" si="420"/>
        <v>2024</v>
      </c>
      <c r="I4759" s="2" t="s">
        <v>4</v>
      </c>
      <c r="J4759" s="2" t="s">
        <v>5504</v>
      </c>
      <c r="K4759" s="2" t="s">
        <v>2584</v>
      </c>
      <c r="L4759" s="2" t="s">
        <v>2585</v>
      </c>
      <c r="M4759" s="2" t="s">
        <v>119</v>
      </c>
      <c r="N4759" s="4" t="str">
        <f t="shared" si="421"/>
        <v>TON</v>
      </c>
      <c r="O4759" s="14">
        <v>20.012</v>
      </c>
    </row>
    <row r="4760" spans="2:15" x14ac:dyDescent="0.25">
      <c r="B4760" s="1" t="s">
        <v>154</v>
      </c>
      <c r="C4760" s="2" t="s">
        <v>155</v>
      </c>
      <c r="D4760" s="2" t="s">
        <v>1838</v>
      </c>
      <c r="E4760" s="2" t="s">
        <v>1839</v>
      </c>
      <c r="F4760" s="3">
        <f>DATE(2024,4,29)</f>
        <v>45411</v>
      </c>
      <c r="G4760" s="4">
        <f t="shared" si="419"/>
        <v>4</v>
      </c>
      <c r="H4760" s="4">
        <f t="shared" si="420"/>
        <v>2024</v>
      </c>
      <c r="I4760" s="2" t="s">
        <v>4</v>
      </c>
      <c r="J4760" s="2" t="s">
        <v>5505</v>
      </c>
      <c r="K4760" s="2" t="s">
        <v>171</v>
      </c>
      <c r="L4760" s="2" t="s">
        <v>172</v>
      </c>
      <c r="M4760" s="2" t="s">
        <v>27</v>
      </c>
      <c r="N4760" s="4" t="str">
        <f t="shared" si="421"/>
        <v>GAL</v>
      </c>
      <c r="O4760" s="14">
        <v>1080</v>
      </c>
    </row>
    <row r="4761" spans="2:15" x14ac:dyDescent="0.25">
      <c r="B4761" s="1" t="s">
        <v>154</v>
      </c>
      <c r="C4761" s="2" t="s">
        <v>155</v>
      </c>
      <c r="D4761" s="2" t="s">
        <v>628</v>
      </c>
      <c r="E4761" s="2" t="s">
        <v>629</v>
      </c>
      <c r="F4761" s="3">
        <f>DATE(2024,4,29)</f>
        <v>45411</v>
      </c>
      <c r="G4761" s="4">
        <f t="shared" si="419"/>
        <v>4</v>
      </c>
      <c r="H4761" s="4">
        <f t="shared" si="420"/>
        <v>2024</v>
      </c>
      <c r="I4761" s="2" t="s">
        <v>4</v>
      </c>
      <c r="J4761" s="2" t="s">
        <v>5506</v>
      </c>
      <c r="K4761" s="2" t="s">
        <v>1869</v>
      </c>
      <c r="L4761" s="2" t="s">
        <v>172</v>
      </c>
      <c r="M4761" s="2" t="s">
        <v>27</v>
      </c>
      <c r="N4761" s="4" t="str">
        <f t="shared" si="421"/>
        <v>GAL</v>
      </c>
      <c r="O4761" s="14">
        <v>500</v>
      </c>
    </row>
    <row r="4762" spans="2:15" x14ac:dyDescent="0.25">
      <c r="B4762" s="1" t="s">
        <v>154</v>
      </c>
      <c r="C4762" s="2" t="s">
        <v>155</v>
      </c>
      <c r="D4762" s="2" t="s">
        <v>628</v>
      </c>
      <c r="E4762" s="2" t="s">
        <v>2179</v>
      </c>
      <c r="F4762" s="3">
        <f>DATE(2024,4,1)</f>
        <v>45383</v>
      </c>
      <c r="G4762" s="4">
        <f t="shared" si="419"/>
        <v>4</v>
      </c>
      <c r="H4762" s="4">
        <f t="shared" si="420"/>
        <v>2024</v>
      </c>
      <c r="I4762" s="2" t="s">
        <v>4</v>
      </c>
      <c r="J4762" s="2" t="s">
        <v>5507</v>
      </c>
      <c r="K4762" s="2" t="s">
        <v>2181</v>
      </c>
      <c r="L4762" s="2" t="s">
        <v>2182</v>
      </c>
      <c r="M4762" s="2" t="s">
        <v>119</v>
      </c>
      <c r="N4762" s="4" t="str">
        <f t="shared" si="421"/>
        <v>TON</v>
      </c>
      <c r="O4762" s="14">
        <v>5</v>
      </c>
    </row>
    <row r="4763" spans="2:15" x14ac:dyDescent="0.25">
      <c r="B4763" s="1" t="s">
        <v>154</v>
      </c>
      <c r="C4763" s="2" t="s">
        <v>155</v>
      </c>
      <c r="D4763" s="2" t="s">
        <v>1111</v>
      </c>
      <c r="E4763" s="2" t="s">
        <v>1112</v>
      </c>
      <c r="F4763" s="3">
        <f>DATE(2024,4,2)</f>
        <v>45384</v>
      </c>
      <c r="G4763" s="4">
        <f t="shared" si="419"/>
        <v>4</v>
      </c>
      <c r="H4763" s="4">
        <f t="shared" si="420"/>
        <v>2024</v>
      </c>
      <c r="I4763" s="2" t="s">
        <v>4</v>
      </c>
      <c r="J4763" s="2" t="s">
        <v>5508</v>
      </c>
      <c r="K4763" s="2" t="s">
        <v>631</v>
      </c>
      <c r="L4763" s="2" t="s">
        <v>632</v>
      </c>
      <c r="M4763" s="2" t="s">
        <v>633</v>
      </c>
      <c r="N4763" s="4" t="str">
        <f t="shared" si="421"/>
        <v>GAL</v>
      </c>
      <c r="O4763" s="14">
        <v>2500</v>
      </c>
    </row>
    <row r="4764" spans="2:15" x14ac:dyDescent="0.25">
      <c r="B4764" s="1" t="s">
        <v>154</v>
      </c>
      <c r="C4764" s="2" t="s">
        <v>155</v>
      </c>
      <c r="D4764" s="2" t="s">
        <v>591</v>
      </c>
      <c r="E4764" s="2" t="s">
        <v>592</v>
      </c>
      <c r="F4764" s="3">
        <f>DATE(2024,4,4)</f>
        <v>45386</v>
      </c>
      <c r="G4764" s="4">
        <f t="shared" si="419"/>
        <v>4</v>
      </c>
      <c r="H4764" s="4">
        <f t="shared" si="420"/>
        <v>2024</v>
      </c>
      <c r="I4764" s="2" t="s">
        <v>4</v>
      </c>
      <c r="J4764" s="2" t="s">
        <v>5509</v>
      </c>
      <c r="K4764" s="2" t="s">
        <v>1098</v>
      </c>
      <c r="L4764" s="2" t="s">
        <v>632</v>
      </c>
      <c r="M4764" s="2" t="s">
        <v>633</v>
      </c>
      <c r="N4764" s="4" t="str">
        <f t="shared" si="421"/>
        <v>GAL</v>
      </c>
      <c r="O4764" s="14">
        <v>1004.74</v>
      </c>
    </row>
    <row r="4765" spans="2:15" x14ac:dyDescent="0.25">
      <c r="B4765" s="1" t="s">
        <v>154</v>
      </c>
      <c r="C4765" s="2" t="s">
        <v>155</v>
      </c>
      <c r="D4765" s="2" t="s">
        <v>167</v>
      </c>
      <c r="E4765" s="2" t="s">
        <v>168</v>
      </c>
      <c r="F4765" s="3">
        <f>DATE(2024,4,3)</f>
        <v>45385</v>
      </c>
      <c r="G4765" s="4">
        <f t="shared" si="419"/>
        <v>4</v>
      </c>
      <c r="H4765" s="4">
        <f t="shared" si="420"/>
        <v>2024</v>
      </c>
      <c r="I4765" s="2" t="s">
        <v>4</v>
      </c>
      <c r="J4765" s="2" t="s">
        <v>5510</v>
      </c>
      <c r="K4765" s="2" t="s">
        <v>158</v>
      </c>
      <c r="L4765" s="2" t="s">
        <v>159</v>
      </c>
      <c r="M4765" s="2" t="s">
        <v>160</v>
      </c>
      <c r="N4765" s="4" t="str">
        <f t="shared" si="421"/>
        <v>GAL</v>
      </c>
      <c r="O4765" s="14">
        <v>180</v>
      </c>
    </row>
    <row r="4766" spans="2:15" x14ac:dyDescent="0.25">
      <c r="B4766" s="1" t="s">
        <v>154</v>
      </c>
      <c r="C4766" s="2" t="s">
        <v>155</v>
      </c>
      <c r="D4766" s="2" t="s">
        <v>1838</v>
      </c>
      <c r="E4766" s="2" t="s">
        <v>1839</v>
      </c>
      <c r="F4766" s="3">
        <f>DATE(2024,4,3)</f>
        <v>45385</v>
      </c>
      <c r="G4766" s="4">
        <f t="shared" si="419"/>
        <v>4</v>
      </c>
      <c r="H4766" s="4">
        <f t="shared" si="420"/>
        <v>2024</v>
      </c>
      <c r="I4766" s="2" t="s">
        <v>4</v>
      </c>
      <c r="J4766" s="2" t="s">
        <v>5511</v>
      </c>
      <c r="K4766" s="2" t="s">
        <v>25</v>
      </c>
      <c r="L4766" s="2" t="s">
        <v>541</v>
      </c>
      <c r="M4766" s="2" t="s">
        <v>27</v>
      </c>
      <c r="N4766" s="4" t="str">
        <f t="shared" si="421"/>
        <v>GAL</v>
      </c>
      <c r="O4766" s="14">
        <v>1080</v>
      </c>
    </row>
    <row r="4767" spans="2:15" x14ac:dyDescent="0.25">
      <c r="B4767" s="1" t="s">
        <v>154</v>
      </c>
      <c r="C4767" s="2" t="s">
        <v>155</v>
      </c>
      <c r="D4767" s="2" t="s">
        <v>628</v>
      </c>
      <c r="E4767" s="2" t="s">
        <v>629</v>
      </c>
      <c r="F4767" s="3">
        <f>DATE(2024,4,3)</f>
        <v>45385</v>
      </c>
      <c r="G4767" s="4">
        <f t="shared" si="419"/>
        <v>4</v>
      </c>
      <c r="H4767" s="4">
        <f t="shared" si="420"/>
        <v>2024</v>
      </c>
      <c r="I4767" s="2" t="s">
        <v>4</v>
      </c>
      <c r="J4767" s="2" t="s">
        <v>5512</v>
      </c>
      <c r="K4767" s="2" t="s">
        <v>631</v>
      </c>
      <c r="L4767" s="2" t="s">
        <v>632</v>
      </c>
      <c r="M4767" s="2" t="s">
        <v>633</v>
      </c>
      <c r="N4767" s="4" t="str">
        <f t="shared" si="421"/>
        <v>GAL</v>
      </c>
      <c r="O4767" s="14">
        <v>750</v>
      </c>
    </row>
    <row r="4768" spans="2:15" x14ac:dyDescent="0.25">
      <c r="B4768" s="1" t="s">
        <v>154</v>
      </c>
      <c r="C4768" s="2" t="s">
        <v>155</v>
      </c>
      <c r="D4768" s="2" t="s">
        <v>167</v>
      </c>
      <c r="E4768" s="2" t="s">
        <v>168</v>
      </c>
      <c r="F4768" s="3">
        <f>DATE(2024,4,4)</f>
        <v>45386</v>
      </c>
      <c r="G4768" s="4">
        <f t="shared" si="419"/>
        <v>4</v>
      </c>
      <c r="H4768" s="4">
        <f t="shared" si="420"/>
        <v>2024</v>
      </c>
      <c r="I4768" s="2" t="s">
        <v>4</v>
      </c>
      <c r="J4768" s="2" t="s">
        <v>5513</v>
      </c>
      <c r="K4768" s="2" t="s">
        <v>158</v>
      </c>
      <c r="L4768" s="2" t="s">
        <v>159</v>
      </c>
      <c r="M4768" s="2" t="s">
        <v>160</v>
      </c>
      <c r="N4768" s="4" t="str">
        <f t="shared" si="421"/>
        <v>GAL</v>
      </c>
      <c r="O4768" s="14">
        <v>180</v>
      </c>
    </row>
    <row r="4769" spans="2:15" x14ac:dyDescent="0.25">
      <c r="B4769" s="1" t="s">
        <v>154</v>
      </c>
      <c r="C4769" s="2" t="s">
        <v>155</v>
      </c>
      <c r="D4769" s="2" t="s">
        <v>1838</v>
      </c>
      <c r="E4769" s="2" t="s">
        <v>1839</v>
      </c>
      <c r="F4769" s="3">
        <f>DATE(2024,4,4)</f>
        <v>45386</v>
      </c>
      <c r="G4769" s="4">
        <f t="shared" si="419"/>
        <v>4</v>
      </c>
      <c r="H4769" s="4">
        <f t="shared" si="420"/>
        <v>2024</v>
      </c>
      <c r="I4769" s="2" t="s">
        <v>4</v>
      </c>
      <c r="J4769" s="2" t="s">
        <v>5514</v>
      </c>
      <c r="K4769" s="2" t="s">
        <v>25</v>
      </c>
      <c r="L4769" s="2" t="s">
        <v>541</v>
      </c>
      <c r="M4769" s="2" t="s">
        <v>27</v>
      </c>
      <c r="N4769" s="4" t="str">
        <f t="shared" si="421"/>
        <v>GAL</v>
      </c>
      <c r="O4769" s="14">
        <v>1800</v>
      </c>
    </row>
    <row r="4770" spans="2:15" x14ac:dyDescent="0.25">
      <c r="B4770" s="1" t="s">
        <v>154</v>
      </c>
      <c r="C4770" s="2" t="s">
        <v>155</v>
      </c>
      <c r="D4770" s="2" t="s">
        <v>167</v>
      </c>
      <c r="E4770" s="2" t="s">
        <v>168</v>
      </c>
      <c r="F4770" s="3">
        <f>DATE(2024,4,4)</f>
        <v>45386</v>
      </c>
      <c r="G4770" s="4">
        <f t="shared" si="419"/>
        <v>4</v>
      </c>
      <c r="H4770" s="4">
        <f t="shared" si="420"/>
        <v>2024</v>
      </c>
      <c r="I4770" s="2" t="s">
        <v>4</v>
      </c>
      <c r="J4770" s="2" t="s">
        <v>5515</v>
      </c>
      <c r="K4770" s="2" t="s">
        <v>158</v>
      </c>
      <c r="L4770" s="2" t="s">
        <v>159</v>
      </c>
      <c r="M4770" s="2" t="s">
        <v>160</v>
      </c>
      <c r="N4770" s="4" t="str">
        <f t="shared" si="421"/>
        <v>GAL</v>
      </c>
      <c r="O4770" s="14">
        <v>360</v>
      </c>
    </row>
    <row r="4771" spans="2:15" x14ac:dyDescent="0.25">
      <c r="B4771" s="1" t="s">
        <v>154</v>
      </c>
      <c r="C4771" s="2" t="s">
        <v>155</v>
      </c>
      <c r="D4771" s="2" t="s">
        <v>161</v>
      </c>
      <c r="E4771" s="2" t="s">
        <v>162</v>
      </c>
      <c r="F4771" s="3">
        <f>DATE(2024,4,5)</f>
        <v>45387</v>
      </c>
      <c r="G4771" s="4">
        <f t="shared" si="419"/>
        <v>4</v>
      </c>
      <c r="H4771" s="4">
        <f t="shared" si="420"/>
        <v>2024</v>
      </c>
      <c r="I4771" s="2" t="s">
        <v>4</v>
      </c>
      <c r="J4771" s="2" t="s">
        <v>5516</v>
      </c>
      <c r="K4771" s="2" t="s">
        <v>158</v>
      </c>
      <c r="L4771" s="2" t="s">
        <v>159</v>
      </c>
      <c r="M4771" s="2" t="s">
        <v>160</v>
      </c>
      <c r="N4771" s="4" t="str">
        <f t="shared" si="421"/>
        <v>GAL</v>
      </c>
      <c r="O4771" s="14">
        <v>180</v>
      </c>
    </row>
    <row r="4772" spans="2:15" x14ac:dyDescent="0.25">
      <c r="B4772" s="1" t="s">
        <v>154</v>
      </c>
      <c r="C4772" s="2" t="s">
        <v>155</v>
      </c>
      <c r="D4772" s="2" t="s">
        <v>167</v>
      </c>
      <c r="E4772" s="2" t="s">
        <v>168</v>
      </c>
      <c r="F4772" s="3">
        <f>DATE(2024,4,5)</f>
        <v>45387</v>
      </c>
      <c r="G4772" s="4">
        <f t="shared" si="419"/>
        <v>4</v>
      </c>
      <c r="H4772" s="4">
        <f t="shared" si="420"/>
        <v>2024</v>
      </c>
      <c r="I4772" s="2" t="s">
        <v>4</v>
      </c>
      <c r="J4772" s="2" t="s">
        <v>5517</v>
      </c>
      <c r="K4772" s="2" t="s">
        <v>1814</v>
      </c>
      <c r="L4772" s="2" t="s">
        <v>1815</v>
      </c>
      <c r="M4772" s="2" t="s">
        <v>1816</v>
      </c>
      <c r="N4772" s="4" t="str">
        <f t="shared" si="421"/>
        <v>GAL</v>
      </c>
      <c r="O4772" s="14">
        <v>360</v>
      </c>
    </row>
    <row r="4773" spans="2:15" x14ac:dyDescent="0.25">
      <c r="B4773" s="1" t="s">
        <v>154</v>
      </c>
      <c r="C4773" s="2" t="s">
        <v>155</v>
      </c>
      <c r="D4773" s="2" t="s">
        <v>167</v>
      </c>
      <c r="E4773" s="2" t="s">
        <v>168</v>
      </c>
      <c r="F4773" s="3">
        <f>DATE(2024,4,8)</f>
        <v>45390</v>
      </c>
      <c r="G4773" s="4">
        <f t="shared" si="419"/>
        <v>4</v>
      </c>
      <c r="H4773" s="4">
        <f t="shared" si="420"/>
        <v>2024</v>
      </c>
      <c r="I4773" s="2" t="s">
        <v>4</v>
      </c>
      <c r="J4773" s="2" t="s">
        <v>5518</v>
      </c>
      <c r="K4773" s="2" t="s">
        <v>158</v>
      </c>
      <c r="L4773" s="2" t="s">
        <v>159</v>
      </c>
      <c r="M4773" s="2" t="s">
        <v>160</v>
      </c>
      <c r="N4773" s="4" t="str">
        <f t="shared" si="421"/>
        <v>GAL</v>
      </c>
      <c r="O4773" s="14">
        <v>360</v>
      </c>
    </row>
    <row r="4774" spans="2:15" x14ac:dyDescent="0.25">
      <c r="B4774" s="1" t="s">
        <v>154</v>
      </c>
      <c r="C4774" s="2" t="s">
        <v>155</v>
      </c>
      <c r="D4774" s="2" t="s">
        <v>628</v>
      </c>
      <c r="E4774" s="2" t="s">
        <v>2488</v>
      </c>
      <c r="F4774" s="3">
        <f>DATE(2024,4,8)</f>
        <v>45390</v>
      </c>
      <c r="G4774" s="4">
        <f t="shared" si="419"/>
        <v>4</v>
      </c>
      <c r="H4774" s="4">
        <f t="shared" si="420"/>
        <v>2024</v>
      </c>
      <c r="I4774" s="2" t="s">
        <v>4</v>
      </c>
      <c r="J4774" s="2" t="s">
        <v>5519</v>
      </c>
      <c r="K4774" s="2" t="s">
        <v>164</v>
      </c>
      <c r="L4774" s="2" t="s">
        <v>165</v>
      </c>
      <c r="M4774" s="2" t="s">
        <v>166</v>
      </c>
      <c r="N4774" s="4" t="str">
        <f t="shared" si="421"/>
        <v>GAL</v>
      </c>
      <c r="O4774" s="14">
        <v>60</v>
      </c>
    </row>
    <row r="4775" spans="2:15" x14ac:dyDescent="0.25">
      <c r="B4775" s="1" t="s">
        <v>154</v>
      </c>
      <c r="C4775" s="2" t="s">
        <v>155</v>
      </c>
      <c r="D4775" s="2" t="s">
        <v>1111</v>
      </c>
      <c r="E4775" s="2" t="s">
        <v>1112</v>
      </c>
      <c r="F4775" s="3">
        <f>DATE(2024,4,9)</f>
        <v>45391</v>
      </c>
      <c r="G4775" s="4">
        <f t="shared" si="419"/>
        <v>4</v>
      </c>
      <c r="H4775" s="4">
        <f t="shared" si="420"/>
        <v>2024</v>
      </c>
      <c r="I4775" s="2" t="s">
        <v>4</v>
      </c>
      <c r="J4775" s="2" t="s">
        <v>5520</v>
      </c>
      <c r="K4775" s="2" t="s">
        <v>631</v>
      </c>
      <c r="L4775" s="2" t="s">
        <v>632</v>
      </c>
      <c r="M4775" s="2" t="s">
        <v>633</v>
      </c>
      <c r="N4775" s="4" t="str">
        <f t="shared" si="421"/>
        <v>GAL</v>
      </c>
      <c r="O4775" s="14">
        <v>250</v>
      </c>
    </row>
    <row r="4776" spans="2:15" x14ac:dyDescent="0.25">
      <c r="B4776" s="1" t="s">
        <v>154</v>
      </c>
      <c r="C4776" s="2" t="s">
        <v>155</v>
      </c>
      <c r="D4776" s="2" t="s">
        <v>628</v>
      </c>
      <c r="E4776" s="2" t="s">
        <v>2200</v>
      </c>
      <c r="F4776" s="3">
        <f>DATE(2024,4,9)</f>
        <v>45391</v>
      </c>
      <c r="G4776" s="4">
        <f t="shared" si="419"/>
        <v>4</v>
      </c>
      <c r="H4776" s="4">
        <f t="shared" si="420"/>
        <v>2024</v>
      </c>
      <c r="I4776" s="2" t="s">
        <v>4</v>
      </c>
      <c r="J4776" s="2" t="s">
        <v>5521</v>
      </c>
      <c r="K4776" s="2" t="s">
        <v>2587</v>
      </c>
      <c r="L4776" s="2" t="s">
        <v>2588</v>
      </c>
      <c r="M4776" s="2" t="s">
        <v>119</v>
      </c>
      <c r="N4776" s="4" t="str">
        <f t="shared" si="421"/>
        <v>TON</v>
      </c>
      <c r="O4776" s="14">
        <v>20</v>
      </c>
    </row>
    <row r="4777" spans="2:15" x14ac:dyDescent="0.25">
      <c r="B4777" s="1" t="s">
        <v>154</v>
      </c>
      <c r="C4777" s="2" t="s">
        <v>155</v>
      </c>
      <c r="D4777" s="2" t="s">
        <v>591</v>
      </c>
      <c r="E4777" s="2" t="s">
        <v>592</v>
      </c>
      <c r="F4777" s="3">
        <f>DATE(2024,4,10)</f>
        <v>45392</v>
      </c>
      <c r="G4777" s="4">
        <f t="shared" si="419"/>
        <v>4</v>
      </c>
      <c r="H4777" s="4">
        <f t="shared" si="420"/>
        <v>2024</v>
      </c>
      <c r="I4777" s="2" t="s">
        <v>4</v>
      </c>
      <c r="J4777" s="2" t="s">
        <v>5522</v>
      </c>
      <c r="K4777" s="2" t="s">
        <v>1098</v>
      </c>
      <c r="L4777" s="2" t="s">
        <v>632</v>
      </c>
      <c r="M4777" s="2" t="s">
        <v>633</v>
      </c>
      <c r="N4777" s="4" t="str">
        <f t="shared" si="421"/>
        <v>GAL</v>
      </c>
      <c r="O4777" s="14">
        <v>3015</v>
      </c>
    </row>
    <row r="4778" spans="2:15" x14ac:dyDescent="0.25">
      <c r="B4778" s="1" t="s">
        <v>154</v>
      </c>
      <c r="C4778" s="2" t="s">
        <v>155</v>
      </c>
      <c r="D4778" s="2" t="s">
        <v>628</v>
      </c>
      <c r="E4778" s="2" t="s">
        <v>629</v>
      </c>
      <c r="F4778" s="3">
        <f>DATE(2024,4,11)</f>
        <v>45393</v>
      </c>
      <c r="G4778" s="4">
        <f t="shared" ref="G4778:G4841" si="423">MONTH(F4778)</f>
        <v>4</v>
      </c>
      <c r="H4778" s="4">
        <f t="shared" ref="H4778:H4841" si="424">YEAR(F4778)</f>
        <v>2024</v>
      </c>
      <c r="I4778" s="2" t="s">
        <v>4</v>
      </c>
      <c r="J4778" s="2" t="s">
        <v>5523</v>
      </c>
      <c r="K4778" s="2" t="s">
        <v>631</v>
      </c>
      <c r="L4778" s="2" t="s">
        <v>632</v>
      </c>
      <c r="M4778" s="2" t="s">
        <v>633</v>
      </c>
      <c r="N4778" s="4" t="str">
        <f t="shared" ref="N4778:N4841" si="425">LEFT(M4778,3)</f>
        <v>GAL</v>
      </c>
      <c r="O4778" s="14">
        <v>2000</v>
      </c>
    </row>
    <row r="4779" spans="2:15" x14ac:dyDescent="0.25">
      <c r="B4779" s="1" t="s">
        <v>154</v>
      </c>
      <c r="C4779" s="2" t="s">
        <v>155</v>
      </c>
      <c r="D4779" s="2" t="s">
        <v>628</v>
      </c>
      <c r="E4779" s="2" t="s">
        <v>2200</v>
      </c>
      <c r="F4779" s="3">
        <f>DATE(2024,4,11)</f>
        <v>45393</v>
      </c>
      <c r="G4779" s="4">
        <f t="shared" si="423"/>
        <v>4</v>
      </c>
      <c r="H4779" s="4">
        <f t="shared" si="424"/>
        <v>2024</v>
      </c>
      <c r="I4779" s="2" t="s">
        <v>4</v>
      </c>
      <c r="J4779" s="2" t="s">
        <v>5524</v>
      </c>
      <c r="K4779" s="2" t="s">
        <v>2587</v>
      </c>
      <c r="L4779" s="2" t="s">
        <v>2588</v>
      </c>
      <c r="M4779" s="2" t="s">
        <v>119</v>
      </c>
      <c r="N4779" s="4" t="str">
        <f t="shared" si="425"/>
        <v>TON</v>
      </c>
      <c r="O4779" s="14">
        <v>20.010000000000002</v>
      </c>
    </row>
    <row r="4780" spans="2:15" x14ac:dyDescent="0.25">
      <c r="B4780" s="1" t="s">
        <v>154</v>
      </c>
      <c r="C4780" s="2" t="s">
        <v>155</v>
      </c>
      <c r="D4780" s="2" t="s">
        <v>107</v>
      </c>
      <c r="E4780" s="2" t="s">
        <v>108</v>
      </c>
      <c r="F4780" s="3">
        <f>DATE(2024,4,12)</f>
        <v>45394</v>
      </c>
      <c r="G4780" s="4">
        <f t="shared" si="423"/>
        <v>4</v>
      </c>
      <c r="H4780" s="4">
        <f t="shared" si="424"/>
        <v>2024</v>
      </c>
      <c r="I4780" s="2" t="s">
        <v>4</v>
      </c>
      <c r="J4780" s="2" t="s">
        <v>5525</v>
      </c>
      <c r="K4780" s="2" t="s">
        <v>158</v>
      </c>
      <c r="L4780" s="2" t="s">
        <v>159</v>
      </c>
      <c r="M4780" s="2" t="s">
        <v>160</v>
      </c>
      <c r="N4780" s="4" t="str">
        <f t="shared" si="425"/>
        <v>GAL</v>
      </c>
      <c r="O4780" s="14">
        <v>360</v>
      </c>
    </row>
    <row r="4781" spans="2:15" x14ac:dyDescent="0.25">
      <c r="B4781" s="1" t="s">
        <v>154</v>
      </c>
      <c r="C4781" s="2" t="s">
        <v>155</v>
      </c>
      <c r="D4781" s="2" t="s">
        <v>107</v>
      </c>
      <c r="E4781" s="2" t="s">
        <v>108</v>
      </c>
      <c r="F4781" s="3">
        <f>DATE(2024,4,12)</f>
        <v>45394</v>
      </c>
      <c r="G4781" s="4">
        <f t="shared" si="423"/>
        <v>4</v>
      </c>
      <c r="H4781" s="4">
        <f t="shared" si="424"/>
        <v>2024</v>
      </c>
      <c r="I4781" s="2" t="s">
        <v>4</v>
      </c>
      <c r="J4781" s="2" t="s">
        <v>5525</v>
      </c>
      <c r="K4781" s="2" t="s">
        <v>189</v>
      </c>
      <c r="L4781" s="2" t="s">
        <v>190</v>
      </c>
      <c r="M4781" s="2" t="s">
        <v>191</v>
      </c>
      <c r="N4781" s="4" t="str">
        <f t="shared" si="425"/>
        <v>GAL</v>
      </c>
      <c r="O4781" s="14">
        <v>180</v>
      </c>
    </row>
    <row r="4782" spans="2:15" x14ac:dyDescent="0.25">
      <c r="B4782" s="1" t="s">
        <v>154</v>
      </c>
      <c r="C4782" s="2" t="s">
        <v>155</v>
      </c>
      <c r="D4782" s="2" t="s">
        <v>107</v>
      </c>
      <c r="E4782" s="2" t="s">
        <v>108</v>
      </c>
      <c r="F4782" s="3">
        <f>DATE(2024,4,12)</f>
        <v>45394</v>
      </c>
      <c r="G4782" s="4">
        <f t="shared" si="423"/>
        <v>4</v>
      </c>
      <c r="H4782" s="4">
        <f t="shared" si="424"/>
        <v>2024</v>
      </c>
      <c r="I4782" s="2" t="s">
        <v>4</v>
      </c>
      <c r="J4782" s="2" t="s">
        <v>5526</v>
      </c>
      <c r="K4782" s="2" t="s">
        <v>1119</v>
      </c>
      <c r="L4782" s="2" t="s">
        <v>1023</v>
      </c>
      <c r="M4782" s="2" t="s">
        <v>1024</v>
      </c>
      <c r="N4782" s="4" t="str">
        <f t="shared" si="425"/>
        <v>GAL</v>
      </c>
      <c r="O4782" s="14">
        <v>180</v>
      </c>
    </row>
    <row r="4783" spans="2:15" x14ac:dyDescent="0.25">
      <c r="B4783" s="1" t="s">
        <v>154</v>
      </c>
      <c r="C4783" s="2" t="s">
        <v>155</v>
      </c>
      <c r="D4783" s="2" t="s">
        <v>628</v>
      </c>
      <c r="E4783" s="2" t="s">
        <v>2145</v>
      </c>
      <c r="F4783" s="3">
        <f>DATE(2024,4,15)</f>
        <v>45397</v>
      </c>
      <c r="G4783" s="4">
        <f t="shared" si="423"/>
        <v>4</v>
      </c>
      <c r="H4783" s="4">
        <f t="shared" si="424"/>
        <v>2024</v>
      </c>
      <c r="I4783" s="2" t="s">
        <v>4</v>
      </c>
      <c r="J4783" s="2" t="s">
        <v>5527</v>
      </c>
      <c r="K4783" s="2" t="s">
        <v>2526</v>
      </c>
      <c r="L4783" s="2" t="s">
        <v>2527</v>
      </c>
      <c r="M4783" s="2" t="s">
        <v>2528</v>
      </c>
      <c r="N4783" s="4" t="str">
        <f t="shared" si="425"/>
        <v>GAL</v>
      </c>
      <c r="O4783" s="14">
        <v>3960</v>
      </c>
    </row>
    <row r="4784" spans="2:15" x14ac:dyDescent="0.25">
      <c r="B4784" s="1" t="s">
        <v>154</v>
      </c>
      <c r="C4784" s="2" t="s">
        <v>155</v>
      </c>
      <c r="D4784" s="2" t="s">
        <v>167</v>
      </c>
      <c r="E4784" s="2" t="s">
        <v>168</v>
      </c>
      <c r="F4784" s="3">
        <f>DATE(2024,4,15)</f>
        <v>45397</v>
      </c>
      <c r="G4784" s="4">
        <f t="shared" si="423"/>
        <v>4</v>
      </c>
      <c r="H4784" s="4">
        <f t="shared" si="424"/>
        <v>2024</v>
      </c>
      <c r="I4784" s="2" t="s">
        <v>4</v>
      </c>
      <c r="J4784" s="2" t="s">
        <v>5528</v>
      </c>
      <c r="K4784" s="2" t="s">
        <v>158</v>
      </c>
      <c r="L4784" s="2" t="s">
        <v>159</v>
      </c>
      <c r="M4784" s="2" t="s">
        <v>160</v>
      </c>
      <c r="N4784" s="4" t="str">
        <f t="shared" si="425"/>
        <v>GAL</v>
      </c>
      <c r="O4784" s="14">
        <v>360</v>
      </c>
    </row>
    <row r="4785" spans="2:15" x14ac:dyDescent="0.25">
      <c r="B4785" s="1" t="s">
        <v>154</v>
      </c>
      <c r="C4785" s="2" t="s">
        <v>155</v>
      </c>
      <c r="D4785" s="2" t="s">
        <v>628</v>
      </c>
      <c r="E4785" s="2" t="s">
        <v>2200</v>
      </c>
      <c r="F4785" s="3">
        <f>DATE(2024,4,17)</f>
        <v>45399</v>
      </c>
      <c r="G4785" s="4">
        <f t="shared" si="423"/>
        <v>4</v>
      </c>
      <c r="H4785" s="4">
        <f t="shared" si="424"/>
        <v>2024</v>
      </c>
      <c r="I4785" s="2" t="s">
        <v>4</v>
      </c>
      <c r="J4785" s="2" t="s">
        <v>5529</v>
      </c>
      <c r="K4785" s="2" t="s">
        <v>2587</v>
      </c>
      <c r="L4785" s="2" t="s">
        <v>2588</v>
      </c>
      <c r="M4785" s="2" t="s">
        <v>119</v>
      </c>
      <c r="N4785" s="4" t="str">
        <f t="shared" si="425"/>
        <v>TON</v>
      </c>
      <c r="O4785" s="14">
        <v>20.017499999999998</v>
      </c>
    </row>
    <row r="4786" spans="2:15" x14ac:dyDescent="0.25">
      <c r="B4786" s="1" t="s">
        <v>154</v>
      </c>
      <c r="C4786" s="2" t="s">
        <v>155</v>
      </c>
      <c r="D4786" s="2" t="s">
        <v>616</v>
      </c>
      <c r="E4786" s="2" t="s">
        <v>3586</v>
      </c>
      <c r="F4786" s="3">
        <f>DATE(2024,4,19)</f>
        <v>45401</v>
      </c>
      <c r="G4786" s="4">
        <f t="shared" si="423"/>
        <v>4</v>
      </c>
      <c r="H4786" s="4">
        <f t="shared" si="424"/>
        <v>2024</v>
      </c>
      <c r="I4786" s="2" t="s">
        <v>4</v>
      </c>
      <c r="J4786" s="2" t="s">
        <v>5530</v>
      </c>
      <c r="K4786" s="2" t="s">
        <v>83</v>
      </c>
      <c r="L4786" s="2" t="s">
        <v>518</v>
      </c>
      <c r="M4786" s="2" t="s">
        <v>85</v>
      </c>
      <c r="N4786" s="4" t="str">
        <f t="shared" si="425"/>
        <v>GAL</v>
      </c>
      <c r="O4786" s="14">
        <v>60</v>
      </c>
    </row>
    <row r="4787" spans="2:15" x14ac:dyDescent="0.25">
      <c r="B4787" s="1" t="s">
        <v>154</v>
      </c>
      <c r="C4787" s="2" t="s">
        <v>155</v>
      </c>
      <c r="D4787" s="2" t="s">
        <v>107</v>
      </c>
      <c r="E4787" s="2" t="s">
        <v>108</v>
      </c>
      <c r="F4787" s="3">
        <f>DATE(2024,4,19)</f>
        <v>45401</v>
      </c>
      <c r="G4787" s="4">
        <f t="shared" si="423"/>
        <v>4</v>
      </c>
      <c r="H4787" s="4">
        <f t="shared" si="424"/>
        <v>2024</v>
      </c>
      <c r="I4787" s="2" t="s">
        <v>4</v>
      </c>
      <c r="J4787" s="2" t="s">
        <v>5531</v>
      </c>
      <c r="K4787" s="2" t="s">
        <v>158</v>
      </c>
      <c r="L4787" s="2" t="s">
        <v>159</v>
      </c>
      <c r="M4787" s="2" t="s">
        <v>160</v>
      </c>
      <c r="N4787" s="4" t="str">
        <f t="shared" si="425"/>
        <v>GAL</v>
      </c>
      <c r="O4787" s="14">
        <v>180</v>
      </c>
    </row>
    <row r="4788" spans="2:15" x14ac:dyDescent="0.25">
      <c r="B4788" s="1" t="s">
        <v>154</v>
      </c>
      <c r="C4788" s="2" t="s">
        <v>155</v>
      </c>
      <c r="D4788" s="2" t="s">
        <v>107</v>
      </c>
      <c r="E4788" s="2" t="s">
        <v>108</v>
      </c>
      <c r="F4788" s="3">
        <f>DATE(2024,4,19)</f>
        <v>45401</v>
      </c>
      <c r="G4788" s="4">
        <f t="shared" si="423"/>
        <v>4</v>
      </c>
      <c r="H4788" s="4">
        <f t="shared" si="424"/>
        <v>2024</v>
      </c>
      <c r="I4788" s="2" t="s">
        <v>4</v>
      </c>
      <c r="J4788" s="2" t="s">
        <v>5531</v>
      </c>
      <c r="K4788" s="2" t="s">
        <v>189</v>
      </c>
      <c r="L4788" s="2" t="s">
        <v>190</v>
      </c>
      <c r="M4788" s="2" t="s">
        <v>191</v>
      </c>
      <c r="N4788" s="4" t="str">
        <f t="shared" si="425"/>
        <v>GAL</v>
      </c>
      <c r="O4788" s="14">
        <v>180</v>
      </c>
    </row>
    <row r="4789" spans="2:15" x14ac:dyDescent="0.25">
      <c r="B4789" s="1" t="s">
        <v>154</v>
      </c>
      <c r="C4789" s="2" t="s">
        <v>155</v>
      </c>
      <c r="D4789" s="2" t="s">
        <v>167</v>
      </c>
      <c r="E4789" s="2" t="s">
        <v>168</v>
      </c>
      <c r="F4789" s="3">
        <f>DATE(2024,4,22)</f>
        <v>45404</v>
      </c>
      <c r="G4789" s="4">
        <f t="shared" si="423"/>
        <v>4</v>
      </c>
      <c r="H4789" s="4">
        <f t="shared" si="424"/>
        <v>2024</v>
      </c>
      <c r="I4789" s="2" t="s">
        <v>4</v>
      </c>
      <c r="J4789" s="2" t="s">
        <v>5532</v>
      </c>
      <c r="K4789" s="2" t="s">
        <v>158</v>
      </c>
      <c r="L4789" s="2" t="s">
        <v>159</v>
      </c>
      <c r="M4789" s="2" t="s">
        <v>160</v>
      </c>
      <c r="N4789" s="4" t="str">
        <f t="shared" si="425"/>
        <v>GAL</v>
      </c>
      <c r="O4789" s="14">
        <v>360</v>
      </c>
    </row>
    <row r="4790" spans="2:15" x14ac:dyDescent="0.25">
      <c r="B4790" s="1" t="s">
        <v>154</v>
      </c>
      <c r="C4790" s="2" t="s">
        <v>155</v>
      </c>
      <c r="D4790" s="2" t="s">
        <v>1111</v>
      </c>
      <c r="E4790" s="2" t="s">
        <v>1112</v>
      </c>
      <c r="F4790" s="3">
        <f>DATE(2024,4,22)</f>
        <v>45404</v>
      </c>
      <c r="G4790" s="4">
        <f t="shared" si="423"/>
        <v>4</v>
      </c>
      <c r="H4790" s="4">
        <f t="shared" si="424"/>
        <v>2024</v>
      </c>
      <c r="I4790" s="2" t="s">
        <v>4</v>
      </c>
      <c r="J4790" s="2" t="s">
        <v>5533</v>
      </c>
      <c r="K4790" s="2" t="s">
        <v>158</v>
      </c>
      <c r="L4790" s="2" t="s">
        <v>159</v>
      </c>
      <c r="M4790" s="2" t="s">
        <v>160</v>
      </c>
      <c r="N4790" s="4" t="str">
        <f t="shared" si="425"/>
        <v>GAL</v>
      </c>
      <c r="O4790" s="14">
        <v>180</v>
      </c>
    </row>
    <row r="4791" spans="2:15" x14ac:dyDescent="0.25">
      <c r="B4791" s="1" t="s">
        <v>154</v>
      </c>
      <c r="C4791" s="2" t="s">
        <v>155</v>
      </c>
      <c r="D4791" s="2" t="s">
        <v>1111</v>
      </c>
      <c r="E4791" s="2" t="s">
        <v>1112</v>
      </c>
      <c r="F4791" s="3">
        <f>DATE(2024,4,22)</f>
        <v>45404</v>
      </c>
      <c r="G4791" s="4">
        <f t="shared" si="423"/>
        <v>4</v>
      </c>
      <c r="H4791" s="4">
        <f t="shared" si="424"/>
        <v>2024</v>
      </c>
      <c r="I4791" s="2" t="s">
        <v>4</v>
      </c>
      <c r="J4791" s="2" t="s">
        <v>5533</v>
      </c>
      <c r="K4791" s="2" t="s">
        <v>1869</v>
      </c>
      <c r="L4791" s="2" t="s">
        <v>172</v>
      </c>
      <c r="M4791" s="2" t="s">
        <v>27</v>
      </c>
      <c r="N4791" s="4" t="str">
        <f t="shared" si="425"/>
        <v>GAL</v>
      </c>
      <c r="O4791" s="14">
        <v>500</v>
      </c>
    </row>
    <row r="4792" spans="2:15" x14ac:dyDescent="0.25">
      <c r="B4792" s="1" t="s">
        <v>154</v>
      </c>
      <c r="C4792" s="2" t="s">
        <v>155</v>
      </c>
      <c r="D4792" s="2" t="s">
        <v>1103</v>
      </c>
      <c r="E4792" s="2" t="s">
        <v>1104</v>
      </c>
      <c r="F4792" s="3">
        <f>DATE(2024,4,23)</f>
        <v>45405</v>
      </c>
      <c r="G4792" s="4">
        <f t="shared" si="423"/>
        <v>4</v>
      </c>
      <c r="H4792" s="4">
        <f t="shared" si="424"/>
        <v>2024</v>
      </c>
      <c r="I4792" s="2" t="s">
        <v>4</v>
      </c>
      <c r="J4792" s="2" t="s">
        <v>5534</v>
      </c>
      <c r="K4792" s="2" t="s">
        <v>25</v>
      </c>
      <c r="L4792" s="2" t="s">
        <v>541</v>
      </c>
      <c r="M4792" s="2" t="s">
        <v>27</v>
      </c>
      <c r="N4792" s="4" t="str">
        <f t="shared" si="425"/>
        <v>GAL</v>
      </c>
      <c r="O4792" s="14">
        <v>240</v>
      </c>
    </row>
    <row r="4793" spans="2:15" x14ac:dyDescent="0.25">
      <c r="B4793" s="1" t="s">
        <v>154</v>
      </c>
      <c r="C4793" s="2" t="s">
        <v>155</v>
      </c>
      <c r="D4793" s="2" t="s">
        <v>1103</v>
      </c>
      <c r="E4793" s="2" t="s">
        <v>1104</v>
      </c>
      <c r="F4793" s="3">
        <f>DATE(2024,4,23)</f>
        <v>45405</v>
      </c>
      <c r="G4793" s="4">
        <f t="shared" si="423"/>
        <v>4</v>
      </c>
      <c r="H4793" s="4">
        <f t="shared" si="424"/>
        <v>2024</v>
      </c>
      <c r="I4793" s="2" t="s">
        <v>4</v>
      </c>
      <c r="J4793" s="2" t="s">
        <v>5534</v>
      </c>
      <c r="K4793" s="2" t="s">
        <v>2447</v>
      </c>
      <c r="L4793" s="2" t="s">
        <v>547</v>
      </c>
      <c r="M4793" s="2" t="s">
        <v>160</v>
      </c>
      <c r="N4793" s="4" t="str">
        <f t="shared" si="425"/>
        <v>GAL</v>
      </c>
      <c r="O4793" s="14">
        <v>120</v>
      </c>
    </row>
    <row r="4794" spans="2:15" x14ac:dyDescent="0.25">
      <c r="B4794" s="1" t="s">
        <v>154</v>
      </c>
      <c r="C4794" s="2" t="s">
        <v>155</v>
      </c>
      <c r="D4794" s="2" t="s">
        <v>161</v>
      </c>
      <c r="E4794" s="2" t="s">
        <v>162</v>
      </c>
      <c r="F4794" s="3">
        <f>DATE(2024,4,23)</f>
        <v>45405</v>
      </c>
      <c r="G4794" s="4">
        <f t="shared" si="423"/>
        <v>4</v>
      </c>
      <c r="H4794" s="4">
        <f t="shared" si="424"/>
        <v>2024</v>
      </c>
      <c r="I4794" s="2" t="s">
        <v>4</v>
      </c>
      <c r="J4794" s="2" t="s">
        <v>5535</v>
      </c>
      <c r="K4794" s="2" t="s">
        <v>1814</v>
      </c>
      <c r="L4794" s="2" t="s">
        <v>1815</v>
      </c>
      <c r="M4794" s="2" t="s">
        <v>1816</v>
      </c>
      <c r="N4794" s="4" t="str">
        <f t="shared" si="425"/>
        <v>GAL</v>
      </c>
      <c r="O4794" s="14">
        <v>180</v>
      </c>
    </row>
    <row r="4795" spans="2:15" x14ac:dyDescent="0.25">
      <c r="B4795" s="1" t="s">
        <v>154</v>
      </c>
      <c r="C4795" s="2" t="s">
        <v>155</v>
      </c>
      <c r="D4795" s="2" t="s">
        <v>161</v>
      </c>
      <c r="E4795" s="2" t="s">
        <v>162</v>
      </c>
      <c r="F4795" s="3">
        <f>DATE(2024,4,23)</f>
        <v>45405</v>
      </c>
      <c r="G4795" s="4">
        <f t="shared" si="423"/>
        <v>4</v>
      </c>
      <c r="H4795" s="4">
        <f t="shared" si="424"/>
        <v>2024</v>
      </c>
      <c r="I4795" s="2" t="s">
        <v>4</v>
      </c>
      <c r="J4795" s="2" t="s">
        <v>5535</v>
      </c>
      <c r="K4795" s="2" t="s">
        <v>189</v>
      </c>
      <c r="L4795" s="2" t="s">
        <v>190</v>
      </c>
      <c r="M4795" s="2" t="s">
        <v>191</v>
      </c>
      <c r="N4795" s="4" t="str">
        <f t="shared" si="425"/>
        <v>GAL</v>
      </c>
      <c r="O4795" s="14">
        <v>180</v>
      </c>
    </row>
    <row r="4796" spans="2:15" x14ac:dyDescent="0.25">
      <c r="B4796" s="1" t="s">
        <v>154</v>
      </c>
      <c r="C4796" s="2" t="s">
        <v>155</v>
      </c>
      <c r="D4796" s="2" t="s">
        <v>173</v>
      </c>
      <c r="E4796" s="2" t="s">
        <v>174</v>
      </c>
      <c r="F4796" s="3">
        <f>DATE(2024,4,24)</f>
        <v>45406</v>
      </c>
      <c r="G4796" s="4">
        <f t="shared" si="423"/>
        <v>4</v>
      </c>
      <c r="H4796" s="4">
        <f t="shared" si="424"/>
        <v>2024</v>
      </c>
      <c r="I4796" s="2" t="s">
        <v>4</v>
      </c>
      <c r="J4796" s="2" t="s">
        <v>5536</v>
      </c>
      <c r="K4796" s="2" t="s">
        <v>1814</v>
      </c>
      <c r="L4796" s="2" t="s">
        <v>1815</v>
      </c>
      <c r="M4796" s="2" t="s">
        <v>1816</v>
      </c>
      <c r="N4796" s="4" t="str">
        <f t="shared" si="425"/>
        <v>GAL</v>
      </c>
      <c r="O4796" s="14">
        <v>540</v>
      </c>
    </row>
    <row r="4797" spans="2:15" x14ac:dyDescent="0.25">
      <c r="B4797" s="1" t="s">
        <v>154</v>
      </c>
      <c r="C4797" s="2" t="s">
        <v>155</v>
      </c>
      <c r="D4797" s="2" t="s">
        <v>1111</v>
      </c>
      <c r="E4797" s="2" t="s">
        <v>1112</v>
      </c>
      <c r="F4797" s="3">
        <f>DATE(2024,4,25)</f>
        <v>45407</v>
      </c>
      <c r="G4797" s="4">
        <f t="shared" si="423"/>
        <v>4</v>
      </c>
      <c r="H4797" s="4">
        <f t="shared" si="424"/>
        <v>2024</v>
      </c>
      <c r="I4797" s="2" t="s">
        <v>4</v>
      </c>
      <c r="J4797" s="2" t="s">
        <v>5537</v>
      </c>
      <c r="K4797" s="2" t="s">
        <v>164</v>
      </c>
      <c r="L4797" s="2" t="s">
        <v>165</v>
      </c>
      <c r="M4797" s="2" t="s">
        <v>166</v>
      </c>
      <c r="N4797" s="4" t="str">
        <f t="shared" si="425"/>
        <v>GAL</v>
      </c>
      <c r="O4797" s="14">
        <v>180</v>
      </c>
    </row>
    <row r="4798" spans="2:15" x14ac:dyDescent="0.25">
      <c r="B4798" s="1" t="s">
        <v>154</v>
      </c>
      <c r="C4798" s="2" t="s">
        <v>155</v>
      </c>
      <c r="D4798" s="2" t="s">
        <v>2195</v>
      </c>
      <c r="E4798" s="2" t="s">
        <v>2196</v>
      </c>
      <c r="F4798" s="3">
        <f>DATE(2024,4,25)</f>
        <v>45407</v>
      </c>
      <c r="G4798" s="4">
        <f t="shared" si="423"/>
        <v>4</v>
      </c>
      <c r="H4798" s="4">
        <f t="shared" si="424"/>
        <v>2024</v>
      </c>
      <c r="I4798" s="2" t="s">
        <v>4</v>
      </c>
      <c r="J4798" s="2" t="s">
        <v>5538</v>
      </c>
      <c r="K4798" s="2" t="s">
        <v>1028</v>
      </c>
      <c r="L4798" s="2" t="s">
        <v>2198</v>
      </c>
      <c r="M4798" s="2" t="s">
        <v>106</v>
      </c>
      <c r="N4798" s="4" t="str">
        <f t="shared" si="425"/>
        <v>LBS</v>
      </c>
      <c r="O4798" s="14">
        <v>44890</v>
      </c>
    </row>
    <row r="4799" spans="2:15" x14ac:dyDescent="0.25">
      <c r="B4799" s="1" t="s">
        <v>154</v>
      </c>
      <c r="C4799" s="2" t="s">
        <v>155</v>
      </c>
      <c r="D4799" s="2" t="s">
        <v>628</v>
      </c>
      <c r="E4799" s="2" t="s">
        <v>629</v>
      </c>
      <c r="F4799" s="3">
        <f>DATE(2024,4,25)</f>
        <v>45407</v>
      </c>
      <c r="G4799" s="4">
        <f t="shared" si="423"/>
        <v>4</v>
      </c>
      <c r="H4799" s="4">
        <f t="shared" si="424"/>
        <v>2024</v>
      </c>
      <c r="I4799" s="2" t="s">
        <v>4</v>
      </c>
      <c r="J4799" s="2" t="s">
        <v>5539</v>
      </c>
      <c r="K4799" s="2" t="s">
        <v>5212</v>
      </c>
      <c r="L4799" s="2" t="s">
        <v>190</v>
      </c>
      <c r="M4799" s="2" t="s">
        <v>191</v>
      </c>
      <c r="N4799" s="4" t="str">
        <f t="shared" si="425"/>
        <v>GAL</v>
      </c>
      <c r="O4799" s="14">
        <v>500</v>
      </c>
    </row>
    <row r="4800" spans="2:15" x14ac:dyDescent="0.25">
      <c r="B4800" s="1" t="s">
        <v>154</v>
      </c>
      <c r="C4800" s="2" t="s">
        <v>155</v>
      </c>
      <c r="D4800" s="2" t="s">
        <v>167</v>
      </c>
      <c r="E4800" s="2" t="s">
        <v>168</v>
      </c>
      <c r="F4800" s="3">
        <f>DATE(2024,4,25)</f>
        <v>45407</v>
      </c>
      <c r="G4800" s="4">
        <f t="shared" si="423"/>
        <v>4</v>
      </c>
      <c r="H4800" s="4">
        <f t="shared" si="424"/>
        <v>2024</v>
      </c>
      <c r="I4800" s="2" t="s">
        <v>4</v>
      </c>
      <c r="J4800" s="2" t="s">
        <v>5540</v>
      </c>
      <c r="K4800" s="2" t="s">
        <v>158</v>
      </c>
      <c r="L4800" s="2" t="s">
        <v>159</v>
      </c>
      <c r="M4800" s="2" t="s">
        <v>160</v>
      </c>
      <c r="N4800" s="4" t="str">
        <f t="shared" si="425"/>
        <v>GAL</v>
      </c>
      <c r="O4800" s="14">
        <v>360</v>
      </c>
    </row>
    <row r="4801" spans="2:15" x14ac:dyDescent="0.25">
      <c r="B4801" s="1" t="s">
        <v>154</v>
      </c>
      <c r="C4801" s="2" t="s">
        <v>155</v>
      </c>
      <c r="D4801" s="2" t="s">
        <v>591</v>
      </c>
      <c r="E4801" s="2" t="s">
        <v>592</v>
      </c>
      <c r="F4801" s="3">
        <f>DATE(2024,4,26)</f>
        <v>45408</v>
      </c>
      <c r="G4801" s="4">
        <f t="shared" si="423"/>
        <v>4</v>
      </c>
      <c r="H4801" s="4">
        <f t="shared" si="424"/>
        <v>2024</v>
      </c>
      <c r="I4801" s="2" t="s">
        <v>4</v>
      </c>
      <c r="J4801" s="2" t="s">
        <v>5541</v>
      </c>
      <c r="K4801" s="2" t="s">
        <v>1098</v>
      </c>
      <c r="L4801" s="2" t="s">
        <v>632</v>
      </c>
      <c r="M4801" s="2" t="s">
        <v>633</v>
      </c>
      <c r="N4801" s="4" t="str">
        <f t="shared" si="425"/>
        <v>GAL</v>
      </c>
      <c r="O4801" s="14">
        <v>2533.96</v>
      </c>
    </row>
    <row r="4802" spans="2:15" x14ac:dyDescent="0.25">
      <c r="B4802" s="1" t="s">
        <v>1520</v>
      </c>
      <c r="C4802" s="2" t="s">
        <v>196</v>
      </c>
      <c r="D4802" s="2" t="s">
        <v>1343</v>
      </c>
      <c r="E4802" s="2" t="s">
        <v>3724</v>
      </c>
      <c r="F4802" s="3">
        <f>DATE(2024,4,25)</f>
        <v>45407</v>
      </c>
      <c r="G4802" s="4">
        <f t="shared" si="423"/>
        <v>4</v>
      </c>
      <c r="H4802" s="4">
        <f t="shared" si="424"/>
        <v>2024</v>
      </c>
      <c r="I4802" s="2" t="s">
        <v>4</v>
      </c>
      <c r="J4802" s="2" t="s">
        <v>5542</v>
      </c>
      <c r="K4802" s="2" t="s">
        <v>2682</v>
      </c>
      <c r="L4802" s="2" t="s">
        <v>2683</v>
      </c>
      <c r="M4802" s="2" t="s">
        <v>119</v>
      </c>
      <c r="N4802" s="4" t="str">
        <f t="shared" si="425"/>
        <v>TON</v>
      </c>
      <c r="O4802" s="14">
        <v>15.0175</v>
      </c>
    </row>
    <row r="4803" spans="2:15" x14ac:dyDescent="0.25">
      <c r="B4803" s="1" t="s">
        <v>1520</v>
      </c>
      <c r="C4803" s="2" t="s">
        <v>196</v>
      </c>
      <c r="D4803" s="2" t="s">
        <v>1343</v>
      </c>
      <c r="E4803" s="2" t="s">
        <v>3729</v>
      </c>
      <c r="F4803" s="3">
        <f>DATE(2024,4,26)</f>
        <v>45408</v>
      </c>
      <c r="G4803" s="4">
        <f t="shared" si="423"/>
        <v>4</v>
      </c>
      <c r="H4803" s="4">
        <f t="shared" si="424"/>
        <v>2024</v>
      </c>
      <c r="I4803" s="2" t="s">
        <v>4</v>
      </c>
      <c r="J4803" s="2" t="s">
        <v>5543</v>
      </c>
      <c r="K4803" s="2" t="s">
        <v>2682</v>
      </c>
      <c r="L4803" s="2" t="s">
        <v>2683</v>
      </c>
      <c r="M4803" s="2" t="s">
        <v>119</v>
      </c>
      <c r="N4803" s="4" t="str">
        <f t="shared" si="425"/>
        <v>TON</v>
      </c>
      <c r="O4803" s="14">
        <v>15.026999999999999</v>
      </c>
    </row>
    <row r="4804" spans="2:15" x14ac:dyDescent="0.25">
      <c r="B4804" s="1" t="s">
        <v>1520</v>
      </c>
      <c r="C4804" s="2" t="s">
        <v>196</v>
      </c>
      <c r="D4804" s="2" t="s">
        <v>440</v>
      </c>
      <c r="E4804" s="2" t="s">
        <v>1369</v>
      </c>
      <c r="F4804" s="3">
        <f>DATE(2024,4,25)</f>
        <v>45407</v>
      </c>
      <c r="G4804" s="4">
        <f t="shared" si="423"/>
        <v>4</v>
      </c>
      <c r="H4804" s="4">
        <f t="shared" si="424"/>
        <v>2024</v>
      </c>
      <c r="I4804" s="2" t="s">
        <v>4</v>
      </c>
      <c r="J4804" s="2" t="s">
        <v>5544</v>
      </c>
      <c r="K4804" s="2" t="s">
        <v>2682</v>
      </c>
      <c r="L4804" s="2" t="s">
        <v>2683</v>
      </c>
      <c r="M4804" s="2" t="s">
        <v>119</v>
      </c>
      <c r="N4804" s="4" t="str">
        <f t="shared" si="425"/>
        <v>TON</v>
      </c>
      <c r="O4804" s="14">
        <v>5.0125000000000002</v>
      </c>
    </row>
    <row r="4805" spans="2:15" x14ac:dyDescent="0.25">
      <c r="B4805" s="1" t="s">
        <v>1520</v>
      </c>
      <c r="C4805" s="2" t="s">
        <v>196</v>
      </c>
      <c r="D4805" s="2" t="s">
        <v>440</v>
      </c>
      <c r="E4805" s="2" t="s">
        <v>441</v>
      </c>
      <c r="F4805" s="3">
        <f>DATE(2024,4,26)</f>
        <v>45408</v>
      </c>
      <c r="G4805" s="4">
        <f t="shared" si="423"/>
        <v>4</v>
      </c>
      <c r="H4805" s="4">
        <f t="shared" si="424"/>
        <v>2024</v>
      </c>
      <c r="I4805" s="2" t="s">
        <v>4</v>
      </c>
      <c r="J4805" s="2" t="s">
        <v>5545</v>
      </c>
      <c r="K4805" s="2" t="s">
        <v>2682</v>
      </c>
      <c r="L4805" s="2" t="s">
        <v>2683</v>
      </c>
      <c r="M4805" s="2" t="s">
        <v>119</v>
      </c>
      <c r="N4805" s="4" t="str">
        <f t="shared" si="425"/>
        <v>TON</v>
      </c>
      <c r="O4805" s="14">
        <v>10.0075</v>
      </c>
    </row>
    <row r="4806" spans="2:15" x14ac:dyDescent="0.25">
      <c r="B4806" s="1" t="s">
        <v>1520</v>
      </c>
      <c r="C4806" s="2" t="s">
        <v>196</v>
      </c>
      <c r="D4806" s="2" t="s">
        <v>4013</v>
      </c>
      <c r="E4806" s="2" t="s">
        <v>5546</v>
      </c>
      <c r="F4806" s="3">
        <f>DATE(2024,4,26)</f>
        <v>45408</v>
      </c>
      <c r="G4806" s="4">
        <f t="shared" si="423"/>
        <v>4</v>
      </c>
      <c r="H4806" s="4">
        <f t="shared" si="424"/>
        <v>2024</v>
      </c>
      <c r="I4806" s="2" t="s">
        <v>4</v>
      </c>
      <c r="J4806" s="2" t="s">
        <v>5547</v>
      </c>
      <c r="K4806" s="2" t="s">
        <v>268</v>
      </c>
      <c r="L4806" s="2" t="s">
        <v>269</v>
      </c>
      <c r="M4806" s="2" t="s">
        <v>119</v>
      </c>
      <c r="N4806" s="4" t="str">
        <f t="shared" si="425"/>
        <v>TON</v>
      </c>
      <c r="O4806" s="14">
        <v>1</v>
      </c>
    </row>
    <row r="4807" spans="2:15" x14ac:dyDescent="0.25">
      <c r="B4807" s="1" t="s">
        <v>1520</v>
      </c>
      <c r="C4807" s="2" t="s">
        <v>196</v>
      </c>
      <c r="D4807" s="2" t="s">
        <v>800</v>
      </c>
      <c r="E4807" s="2" t="s">
        <v>907</v>
      </c>
      <c r="F4807" s="3">
        <f t="shared" ref="F4807:F4816" si="426">DATE(2024,4,29)</f>
        <v>45411</v>
      </c>
      <c r="G4807" s="4">
        <f t="shared" si="423"/>
        <v>4</v>
      </c>
      <c r="H4807" s="4">
        <f t="shared" si="424"/>
        <v>2024</v>
      </c>
      <c r="I4807" s="2" t="s">
        <v>4</v>
      </c>
      <c r="J4807" s="2" t="s">
        <v>5548</v>
      </c>
      <c r="K4807" s="2" t="s">
        <v>447</v>
      </c>
      <c r="L4807" s="2" t="s">
        <v>448</v>
      </c>
      <c r="M4807" s="2" t="s">
        <v>119</v>
      </c>
      <c r="N4807" s="4" t="str">
        <f t="shared" si="425"/>
        <v>TON</v>
      </c>
      <c r="O4807" s="14">
        <v>2.5</v>
      </c>
    </row>
    <row r="4808" spans="2:15" x14ac:dyDescent="0.25">
      <c r="B4808" s="1" t="s">
        <v>1520</v>
      </c>
      <c r="C4808" s="2" t="s">
        <v>196</v>
      </c>
      <c r="D4808" s="2" t="s">
        <v>114</v>
      </c>
      <c r="E4808" s="2" t="s">
        <v>402</v>
      </c>
      <c r="F4808" s="3">
        <f t="shared" si="426"/>
        <v>45411</v>
      </c>
      <c r="G4808" s="4">
        <f t="shared" si="423"/>
        <v>4</v>
      </c>
      <c r="H4808" s="4">
        <f t="shared" si="424"/>
        <v>2024</v>
      </c>
      <c r="I4808" s="2" t="s">
        <v>4</v>
      </c>
      <c r="J4808" s="2" t="s">
        <v>5549</v>
      </c>
      <c r="K4808" s="2" t="s">
        <v>2776</v>
      </c>
      <c r="L4808" s="2" t="s">
        <v>2777</v>
      </c>
      <c r="M4808" s="2" t="s">
        <v>119</v>
      </c>
      <c r="N4808" s="4" t="str">
        <f t="shared" si="425"/>
        <v>TON</v>
      </c>
      <c r="O4808" s="14">
        <v>5.5</v>
      </c>
    </row>
    <row r="4809" spans="2:15" x14ac:dyDescent="0.25">
      <c r="B4809" s="1" t="s">
        <v>1520</v>
      </c>
      <c r="C4809" s="2" t="s">
        <v>196</v>
      </c>
      <c r="D4809" s="2" t="s">
        <v>317</v>
      </c>
      <c r="E4809" s="2" t="s">
        <v>366</v>
      </c>
      <c r="F4809" s="3">
        <f t="shared" si="426"/>
        <v>45411</v>
      </c>
      <c r="G4809" s="4">
        <f t="shared" si="423"/>
        <v>4</v>
      </c>
      <c r="H4809" s="4">
        <f t="shared" si="424"/>
        <v>2024</v>
      </c>
      <c r="I4809" s="2" t="s">
        <v>4</v>
      </c>
      <c r="J4809" s="2" t="s">
        <v>5550</v>
      </c>
      <c r="K4809" s="2" t="s">
        <v>2776</v>
      </c>
      <c r="L4809" s="2" t="s">
        <v>2777</v>
      </c>
      <c r="M4809" s="2" t="s">
        <v>119</v>
      </c>
      <c r="N4809" s="4" t="str">
        <f t="shared" si="425"/>
        <v>TON</v>
      </c>
      <c r="O4809" s="14">
        <v>3.5</v>
      </c>
    </row>
    <row r="4810" spans="2:15" x14ac:dyDescent="0.25">
      <c r="B4810" s="1" t="s">
        <v>1520</v>
      </c>
      <c r="C4810" s="2" t="s">
        <v>196</v>
      </c>
      <c r="D4810" s="2" t="s">
        <v>387</v>
      </c>
      <c r="E4810" s="2" t="s">
        <v>797</v>
      </c>
      <c r="F4810" s="3">
        <f t="shared" si="426"/>
        <v>45411</v>
      </c>
      <c r="G4810" s="4">
        <f t="shared" si="423"/>
        <v>4</v>
      </c>
      <c r="H4810" s="4">
        <f t="shared" si="424"/>
        <v>2024</v>
      </c>
      <c r="I4810" s="2" t="s">
        <v>4</v>
      </c>
      <c r="J4810" s="2" t="s">
        <v>5551</v>
      </c>
      <c r="K4810" s="2" t="s">
        <v>2682</v>
      </c>
      <c r="L4810" s="2" t="s">
        <v>2683</v>
      </c>
      <c r="M4810" s="2" t="s">
        <v>119</v>
      </c>
      <c r="N4810" s="4" t="str">
        <f t="shared" si="425"/>
        <v>TON</v>
      </c>
      <c r="O4810" s="14">
        <v>12</v>
      </c>
    </row>
    <row r="4811" spans="2:15" x14ac:dyDescent="0.25">
      <c r="B4811" s="1" t="s">
        <v>1520</v>
      </c>
      <c r="C4811" s="2" t="s">
        <v>196</v>
      </c>
      <c r="D4811" s="2" t="s">
        <v>207</v>
      </c>
      <c r="E4811" s="2" t="s">
        <v>208</v>
      </c>
      <c r="F4811" s="3">
        <f t="shared" si="426"/>
        <v>45411</v>
      </c>
      <c r="G4811" s="4">
        <f t="shared" si="423"/>
        <v>4</v>
      </c>
      <c r="H4811" s="4">
        <f t="shared" si="424"/>
        <v>2024</v>
      </c>
      <c r="I4811" s="2" t="s">
        <v>4</v>
      </c>
      <c r="J4811" s="2" t="s">
        <v>5552</v>
      </c>
      <c r="K4811" s="2" t="s">
        <v>205</v>
      </c>
      <c r="L4811" s="2" t="s">
        <v>206</v>
      </c>
      <c r="M4811" s="2" t="s">
        <v>119</v>
      </c>
      <c r="N4811" s="4" t="str">
        <f t="shared" si="425"/>
        <v>TON</v>
      </c>
      <c r="O4811" s="14">
        <v>3.2475000000000001</v>
      </c>
    </row>
    <row r="4812" spans="2:15" x14ac:dyDescent="0.25">
      <c r="B4812" s="1" t="s">
        <v>1520</v>
      </c>
      <c r="C4812" s="2" t="s">
        <v>196</v>
      </c>
      <c r="D4812" s="2" t="s">
        <v>114</v>
      </c>
      <c r="E4812" s="2" t="s">
        <v>377</v>
      </c>
      <c r="F4812" s="3">
        <f t="shared" si="426"/>
        <v>45411</v>
      </c>
      <c r="G4812" s="4">
        <f t="shared" si="423"/>
        <v>4</v>
      </c>
      <c r="H4812" s="4">
        <f t="shared" si="424"/>
        <v>2024</v>
      </c>
      <c r="I4812" s="2" t="s">
        <v>4</v>
      </c>
      <c r="J4812" s="2" t="s">
        <v>5553</v>
      </c>
      <c r="K4812" s="2" t="s">
        <v>2350</v>
      </c>
      <c r="L4812" s="2" t="s">
        <v>2351</v>
      </c>
      <c r="M4812" s="2" t="s">
        <v>119</v>
      </c>
      <c r="N4812" s="4" t="str">
        <f t="shared" si="425"/>
        <v>TON</v>
      </c>
      <c r="O4812" s="14">
        <v>3.6225000000000001</v>
      </c>
    </row>
    <row r="4813" spans="2:15" x14ac:dyDescent="0.25">
      <c r="B4813" s="1" t="s">
        <v>1520</v>
      </c>
      <c r="C4813" s="2" t="s">
        <v>196</v>
      </c>
      <c r="D4813" s="2" t="s">
        <v>114</v>
      </c>
      <c r="E4813" s="2" t="s">
        <v>274</v>
      </c>
      <c r="F4813" s="3">
        <f t="shared" si="426"/>
        <v>45411</v>
      </c>
      <c r="G4813" s="4">
        <f t="shared" si="423"/>
        <v>4</v>
      </c>
      <c r="H4813" s="4">
        <f t="shared" si="424"/>
        <v>2024</v>
      </c>
      <c r="I4813" s="2" t="s">
        <v>4</v>
      </c>
      <c r="J4813" s="2" t="s">
        <v>5554</v>
      </c>
      <c r="K4813" s="2" t="s">
        <v>2350</v>
      </c>
      <c r="L4813" s="2" t="s">
        <v>2351</v>
      </c>
      <c r="M4813" s="2" t="s">
        <v>119</v>
      </c>
      <c r="N4813" s="4" t="str">
        <f t="shared" si="425"/>
        <v>TON</v>
      </c>
      <c r="O4813" s="14">
        <v>2.4950000000000001</v>
      </c>
    </row>
    <row r="4814" spans="2:15" x14ac:dyDescent="0.25">
      <c r="B4814" s="1" t="s">
        <v>1520</v>
      </c>
      <c r="C4814" s="2" t="s">
        <v>196</v>
      </c>
      <c r="D4814" s="2" t="s">
        <v>374</v>
      </c>
      <c r="E4814" s="2" t="s">
        <v>5309</v>
      </c>
      <c r="F4814" s="3">
        <f t="shared" si="426"/>
        <v>45411</v>
      </c>
      <c r="G4814" s="4">
        <f t="shared" si="423"/>
        <v>4</v>
      </c>
      <c r="H4814" s="4">
        <f t="shared" si="424"/>
        <v>2024</v>
      </c>
      <c r="I4814" s="2" t="s">
        <v>4</v>
      </c>
      <c r="J4814" s="2" t="s">
        <v>5555</v>
      </c>
      <c r="K4814" s="2" t="s">
        <v>329</v>
      </c>
      <c r="L4814" s="2" t="s">
        <v>330</v>
      </c>
      <c r="M4814" s="2" t="s">
        <v>119</v>
      </c>
      <c r="N4814" s="4" t="str">
        <f t="shared" si="425"/>
        <v>TON</v>
      </c>
      <c r="O4814" s="14">
        <v>8.0124999999999993</v>
      </c>
    </row>
    <row r="4815" spans="2:15" x14ac:dyDescent="0.25">
      <c r="B4815" s="1" t="s">
        <v>1520</v>
      </c>
      <c r="C4815" s="2" t="s">
        <v>196</v>
      </c>
      <c r="D4815" s="2" t="s">
        <v>197</v>
      </c>
      <c r="E4815" s="2" t="s">
        <v>198</v>
      </c>
      <c r="F4815" s="3">
        <f t="shared" si="426"/>
        <v>45411</v>
      </c>
      <c r="G4815" s="4">
        <f t="shared" si="423"/>
        <v>4</v>
      </c>
      <c r="H4815" s="4">
        <f t="shared" si="424"/>
        <v>2024</v>
      </c>
      <c r="I4815" s="2" t="s">
        <v>4</v>
      </c>
      <c r="J4815" s="2" t="s">
        <v>5556</v>
      </c>
      <c r="K4815" s="2" t="s">
        <v>5557</v>
      </c>
      <c r="L4815" s="2" t="s">
        <v>5558</v>
      </c>
      <c r="M4815" s="2" t="s">
        <v>119</v>
      </c>
      <c r="N4815" s="4" t="str">
        <f t="shared" si="425"/>
        <v>TON</v>
      </c>
      <c r="O4815" s="14">
        <v>3.9950000000000001</v>
      </c>
    </row>
    <row r="4816" spans="2:15" x14ac:dyDescent="0.25">
      <c r="B4816" s="1" t="s">
        <v>1520</v>
      </c>
      <c r="C4816" s="2" t="s">
        <v>196</v>
      </c>
      <c r="D4816" s="2" t="s">
        <v>449</v>
      </c>
      <c r="E4816" s="2" t="s">
        <v>450</v>
      </c>
      <c r="F4816" s="3">
        <f t="shared" si="426"/>
        <v>45411</v>
      </c>
      <c r="G4816" s="4">
        <f t="shared" si="423"/>
        <v>4</v>
      </c>
      <c r="H4816" s="4">
        <f t="shared" si="424"/>
        <v>2024</v>
      </c>
      <c r="I4816" s="2" t="s">
        <v>4</v>
      </c>
      <c r="J4816" s="2" t="s">
        <v>5559</v>
      </c>
      <c r="K4816" s="2" t="s">
        <v>205</v>
      </c>
      <c r="L4816" s="2" t="s">
        <v>206</v>
      </c>
      <c r="M4816" s="2" t="s">
        <v>119</v>
      </c>
      <c r="N4816" s="4" t="str">
        <f t="shared" si="425"/>
        <v>TON</v>
      </c>
      <c r="O4816" s="14">
        <v>4.49</v>
      </c>
    </row>
    <row r="4817" spans="2:15" x14ac:dyDescent="0.25">
      <c r="B4817" s="1" t="s">
        <v>1520</v>
      </c>
      <c r="C4817" s="2" t="s">
        <v>196</v>
      </c>
      <c r="D4817" s="2" t="s">
        <v>241</v>
      </c>
      <c r="E4817" s="2" t="s">
        <v>258</v>
      </c>
      <c r="F4817" s="3">
        <f t="shared" ref="F4817:F4825" si="427">DATE(2024,4,30)</f>
        <v>45412</v>
      </c>
      <c r="G4817" s="4">
        <f t="shared" si="423"/>
        <v>4</v>
      </c>
      <c r="H4817" s="4">
        <f t="shared" si="424"/>
        <v>2024</v>
      </c>
      <c r="I4817" s="2" t="s">
        <v>4</v>
      </c>
      <c r="J4817" s="2" t="s">
        <v>5560</v>
      </c>
      <c r="K4817" s="2" t="s">
        <v>3458</v>
      </c>
      <c r="L4817" s="2" t="s">
        <v>3459</v>
      </c>
      <c r="M4817" s="2" t="s">
        <v>119</v>
      </c>
      <c r="N4817" s="4" t="str">
        <f t="shared" si="425"/>
        <v>TON</v>
      </c>
      <c r="O4817" s="14">
        <v>2.2850000000000001</v>
      </c>
    </row>
    <row r="4818" spans="2:15" x14ac:dyDescent="0.25">
      <c r="B4818" s="1" t="s">
        <v>1520</v>
      </c>
      <c r="C4818" s="2" t="s">
        <v>196</v>
      </c>
      <c r="D4818" s="2" t="s">
        <v>273</v>
      </c>
      <c r="E4818" s="2" t="s">
        <v>274</v>
      </c>
      <c r="F4818" s="3">
        <f t="shared" si="427"/>
        <v>45412</v>
      </c>
      <c r="G4818" s="4">
        <f t="shared" si="423"/>
        <v>4</v>
      </c>
      <c r="H4818" s="4">
        <f t="shared" si="424"/>
        <v>2024</v>
      </c>
      <c r="I4818" s="2" t="s">
        <v>4</v>
      </c>
      <c r="J4818" s="2" t="s">
        <v>5561</v>
      </c>
      <c r="K4818" s="2" t="s">
        <v>205</v>
      </c>
      <c r="L4818" s="2" t="s">
        <v>206</v>
      </c>
      <c r="M4818" s="2" t="s">
        <v>119</v>
      </c>
      <c r="N4818" s="4" t="str">
        <f t="shared" si="425"/>
        <v>TON</v>
      </c>
      <c r="O4818" s="14">
        <v>5.0025000000000004</v>
      </c>
    </row>
    <row r="4819" spans="2:15" x14ac:dyDescent="0.25">
      <c r="B4819" s="1" t="s">
        <v>1520</v>
      </c>
      <c r="C4819" s="2" t="s">
        <v>196</v>
      </c>
      <c r="D4819" s="2" t="s">
        <v>221</v>
      </c>
      <c r="E4819" s="2" t="s">
        <v>332</v>
      </c>
      <c r="F4819" s="3">
        <f t="shared" si="427"/>
        <v>45412</v>
      </c>
      <c r="G4819" s="4">
        <f t="shared" si="423"/>
        <v>4</v>
      </c>
      <c r="H4819" s="4">
        <f t="shared" si="424"/>
        <v>2024</v>
      </c>
      <c r="I4819" s="2" t="s">
        <v>4</v>
      </c>
      <c r="J4819" s="2" t="s">
        <v>5562</v>
      </c>
      <c r="K4819" s="2" t="s">
        <v>329</v>
      </c>
      <c r="L4819" s="2" t="s">
        <v>330</v>
      </c>
      <c r="M4819" s="2" t="s">
        <v>119</v>
      </c>
      <c r="N4819" s="4" t="str">
        <f t="shared" si="425"/>
        <v>TON</v>
      </c>
      <c r="O4819" s="14">
        <v>5.0175000000000001</v>
      </c>
    </row>
    <row r="4820" spans="2:15" x14ac:dyDescent="0.25">
      <c r="B4820" s="1" t="s">
        <v>1520</v>
      </c>
      <c r="C4820" s="2" t="s">
        <v>196</v>
      </c>
      <c r="D4820" s="2" t="s">
        <v>331</v>
      </c>
      <c r="E4820" s="2" t="s">
        <v>332</v>
      </c>
      <c r="F4820" s="3">
        <f t="shared" si="427"/>
        <v>45412</v>
      </c>
      <c r="G4820" s="4">
        <f t="shared" si="423"/>
        <v>4</v>
      </c>
      <c r="H4820" s="4">
        <f t="shared" si="424"/>
        <v>2024</v>
      </c>
      <c r="I4820" s="2" t="s">
        <v>4</v>
      </c>
      <c r="J4820" s="2" t="s">
        <v>5563</v>
      </c>
      <c r="K4820" s="2" t="s">
        <v>5564</v>
      </c>
      <c r="L4820" s="2" t="s">
        <v>2341</v>
      </c>
      <c r="M4820" s="2" t="s">
        <v>2342</v>
      </c>
      <c r="N4820" s="4" t="str">
        <f t="shared" si="425"/>
        <v>GAL</v>
      </c>
      <c r="O4820" s="14">
        <v>30</v>
      </c>
    </row>
    <row r="4821" spans="2:15" x14ac:dyDescent="0.25">
      <c r="B4821" s="1" t="s">
        <v>1520</v>
      </c>
      <c r="C4821" s="2" t="s">
        <v>196</v>
      </c>
      <c r="D4821" s="2" t="s">
        <v>114</v>
      </c>
      <c r="E4821" s="2" t="s">
        <v>115</v>
      </c>
      <c r="F4821" s="3">
        <f t="shared" si="427"/>
        <v>45412</v>
      </c>
      <c r="G4821" s="4">
        <f t="shared" si="423"/>
        <v>4</v>
      </c>
      <c r="H4821" s="4">
        <f t="shared" si="424"/>
        <v>2024</v>
      </c>
      <c r="I4821" s="2" t="s">
        <v>4</v>
      </c>
      <c r="J4821" s="2" t="s">
        <v>5565</v>
      </c>
      <c r="K4821" s="2" t="s">
        <v>2776</v>
      </c>
      <c r="L4821" s="2" t="s">
        <v>2777</v>
      </c>
      <c r="M4821" s="2" t="s">
        <v>119</v>
      </c>
      <c r="N4821" s="4" t="str">
        <f t="shared" si="425"/>
        <v>TON</v>
      </c>
      <c r="O4821" s="14">
        <v>2.52</v>
      </c>
    </row>
    <row r="4822" spans="2:15" x14ac:dyDescent="0.25">
      <c r="B4822" s="1" t="s">
        <v>1520</v>
      </c>
      <c r="C4822" s="2" t="s">
        <v>196</v>
      </c>
      <c r="D4822" s="2" t="s">
        <v>276</v>
      </c>
      <c r="E4822" s="2" t="s">
        <v>682</v>
      </c>
      <c r="F4822" s="3">
        <f t="shared" si="427"/>
        <v>45412</v>
      </c>
      <c r="G4822" s="4">
        <f t="shared" si="423"/>
        <v>4</v>
      </c>
      <c r="H4822" s="4">
        <f t="shared" si="424"/>
        <v>2024</v>
      </c>
      <c r="I4822" s="2" t="s">
        <v>4</v>
      </c>
      <c r="J4822" s="2" t="s">
        <v>5566</v>
      </c>
      <c r="K4822" s="2" t="s">
        <v>205</v>
      </c>
      <c r="L4822" s="2" t="s">
        <v>206</v>
      </c>
      <c r="M4822" s="2" t="s">
        <v>119</v>
      </c>
      <c r="N4822" s="4" t="str">
        <f t="shared" si="425"/>
        <v>TON</v>
      </c>
      <c r="O4822" s="14">
        <v>3.0049999999999999</v>
      </c>
    </row>
    <row r="4823" spans="2:15" x14ac:dyDescent="0.25">
      <c r="B4823" s="1" t="s">
        <v>1520</v>
      </c>
      <c r="C4823" s="2" t="s">
        <v>196</v>
      </c>
      <c r="D4823" s="2" t="s">
        <v>276</v>
      </c>
      <c r="E4823" s="2" t="s">
        <v>682</v>
      </c>
      <c r="F4823" s="3">
        <f t="shared" si="427"/>
        <v>45412</v>
      </c>
      <c r="G4823" s="4">
        <f t="shared" si="423"/>
        <v>4</v>
      </c>
      <c r="H4823" s="4">
        <f t="shared" si="424"/>
        <v>2024</v>
      </c>
      <c r="I4823" s="2" t="s">
        <v>4</v>
      </c>
      <c r="J4823" s="2" t="s">
        <v>5567</v>
      </c>
      <c r="K4823" s="2" t="s">
        <v>292</v>
      </c>
      <c r="L4823" s="2" t="s">
        <v>293</v>
      </c>
      <c r="M4823" s="2" t="s">
        <v>119</v>
      </c>
      <c r="N4823" s="4" t="str">
        <f t="shared" si="425"/>
        <v>TON</v>
      </c>
      <c r="O4823" s="14">
        <v>6</v>
      </c>
    </row>
    <row r="4824" spans="2:15" x14ac:dyDescent="0.25">
      <c r="B4824" s="1" t="s">
        <v>645</v>
      </c>
      <c r="C4824" s="2" t="s">
        <v>196</v>
      </c>
      <c r="D4824" s="2" t="s">
        <v>475</v>
      </c>
      <c r="E4824" s="2" t="s">
        <v>102</v>
      </c>
      <c r="F4824" s="3">
        <f t="shared" si="427"/>
        <v>45412</v>
      </c>
      <c r="G4824" s="4">
        <f t="shared" si="423"/>
        <v>4</v>
      </c>
      <c r="H4824" s="4">
        <f t="shared" si="424"/>
        <v>2024</v>
      </c>
      <c r="I4824" s="2" t="s">
        <v>4</v>
      </c>
      <c r="J4824" s="2" t="s">
        <v>5568</v>
      </c>
      <c r="K4824" s="2" t="s">
        <v>478</v>
      </c>
      <c r="L4824" s="2" t="s">
        <v>479</v>
      </c>
      <c r="M4824" s="2" t="s">
        <v>119</v>
      </c>
      <c r="N4824" s="4" t="str">
        <f t="shared" si="425"/>
        <v>TON</v>
      </c>
      <c r="O4824" s="14">
        <v>5</v>
      </c>
    </row>
    <row r="4825" spans="2:15" x14ac:dyDescent="0.25">
      <c r="B4825" s="1" t="s">
        <v>1520</v>
      </c>
      <c r="C4825" s="2" t="s">
        <v>196</v>
      </c>
      <c r="D4825" s="2" t="s">
        <v>321</v>
      </c>
      <c r="E4825" s="2" t="s">
        <v>353</v>
      </c>
      <c r="F4825" s="3">
        <f t="shared" si="427"/>
        <v>45412</v>
      </c>
      <c r="G4825" s="4">
        <f t="shared" si="423"/>
        <v>4</v>
      </c>
      <c r="H4825" s="4">
        <f t="shared" si="424"/>
        <v>2024</v>
      </c>
      <c r="I4825" s="2" t="s">
        <v>4</v>
      </c>
      <c r="J4825" s="2" t="s">
        <v>5569</v>
      </c>
      <c r="K4825" s="2" t="s">
        <v>394</v>
      </c>
      <c r="L4825" s="2" t="s">
        <v>395</v>
      </c>
      <c r="M4825" s="2" t="s">
        <v>119</v>
      </c>
      <c r="N4825" s="4" t="str">
        <f t="shared" si="425"/>
        <v>TON</v>
      </c>
      <c r="O4825" s="14">
        <v>10</v>
      </c>
    </row>
    <row r="4826" spans="2:15" x14ac:dyDescent="0.25">
      <c r="B4826" s="1" t="s">
        <v>1520</v>
      </c>
      <c r="C4826" s="2" t="s">
        <v>196</v>
      </c>
      <c r="D4826" s="2" t="s">
        <v>215</v>
      </c>
      <c r="E4826" s="2" t="s">
        <v>4113</v>
      </c>
      <c r="F4826" s="3">
        <f>DATE(2024,4,1)</f>
        <v>45383</v>
      </c>
      <c r="G4826" s="4">
        <f t="shared" si="423"/>
        <v>4</v>
      </c>
      <c r="H4826" s="4">
        <f t="shared" si="424"/>
        <v>2024</v>
      </c>
      <c r="I4826" s="2" t="s">
        <v>4</v>
      </c>
      <c r="J4826" s="2" t="s">
        <v>5570</v>
      </c>
      <c r="K4826" s="2" t="s">
        <v>447</v>
      </c>
      <c r="L4826" s="2" t="s">
        <v>448</v>
      </c>
      <c r="M4826" s="2" t="s">
        <v>119</v>
      </c>
      <c r="N4826" s="4" t="str">
        <f t="shared" si="425"/>
        <v>TON</v>
      </c>
      <c r="O4826" s="14">
        <v>5</v>
      </c>
    </row>
    <row r="4827" spans="2:15" x14ac:dyDescent="0.25">
      <c r="B4827" s="1" t="s">
        <v>1520</v>
      </c>
      <c r="C4827" s="2" t="s">
        <v>196</v>
      </c>
      <c r="D4827" s="2" t="s">
        <v>210</v>
      </c>
      <c r="E4827" s="2" t="s">
        <v>827</v>
      </c>
      <c r="F4827" s="3">
        <f>DATE(2024,4,1)</f>
        <v>45383</v>
      </c>
      <c r="G4827" s="4">
        <f t="shared" si="423"/>
        <v>4</v>
      </c>
      <c r="H4827" s="4">
        <f t="shared" si="424"/>
        <v>2024</v>
      </c>
      <c r="I4827" s="2" t="s">
        <v>4</v>
      </c>
      <c r="J4827" s="2" t="s">
        <v>5571</v>
      </c>
      <c r="K4827" s="2" t="s">
        <v>2477</v>
      </c>
      <c r="L4827" s="2" t="s">
        <v>538</v>
      </c>
      <c r="M4827" s="2" t="s">
        <v>4243</v>
      </c>
      <c r="N4827" s="4" t="str">
        <f t="shared" si="425"/>
        <v>GAL</v>
      </c>
      <c r="O4827" s="14">
        <v>20</v>
      </c>
    </row>
    <row r="4828" spans="2:15" x14ac:dyDescent="0.25">
      <c r="B4828" s="1" t="s">
        <v>1520</v>
      </c>
      <c r="C4828" s="2" t="s">
        <v>196</v>
      </c>
      <c r="D4828" s="2" t="s">
        <v>210</v>
      </c>
      <c r="E4828" s="2" t="s">
        <v>827</v>
      </c>
      <c r="F4828" s="3">
        <f>DATE(2024,4,1)</f>
        <v>45383</v>
      </c>
      <c r="G4828" s="4">
        <f t="shared" si="423"/>
        <v>4</v>
      </c>
      <c r="H4828" s="4">
        <f t="shared" si="424"/>
        <v>2024</v>
      </c>
      <c r="I4828" s="2" t="s">
        <v>4</v>
      </c>
      <c r="J4828" s="2" t="s">
        <v>5571</v>
      </c>
      <c r="K4828" s="2" t="s">
        <v>19</v>
      </c>
      <c r="L4828" s="2" t="s">
        <v>565</v>
      </c>
      <c r="M4828" s="2" t="s">
        <v>21</v>
      </c>
      <c r="N4828" s="4" t="str">
        <f t="shared" si="425"/>
        <v>GAL</v>
      </c>
      <c r="O4828" s="14">
        <v>20</v>
      </c>
    </row>
    <row r="4829" spans="2:15" x14ac:dyDescent="0.25">
      <c r="B4829" s="1" t="s">
        <v>1520</v>
      </c>
      <c r="C4829" s="2" t="s">
        <v>196</v>
      </c>
      <c r="D4829" s="2" t="s">
        <v>374</v>
      </c>
      <c r="E4829" s="2" t="s">
        <v>4935</v>
      </c>
      <c r="F4829" s="3">
        <f>DATE(2024,4,1)</f>
        <v>45383</v>
      </c>
      <c r="G4829" s="4">
        <f t="shared" si="423"/>
        <v>4</v>
      </c>
      <c r="H4829" s="4">
        <f t="shared" si="424"/>
        <v>2024</v>
      </c>
      <c r="I4829" s="2" t="s">
        <v>4</v>
      </c>
      <c r="J4829" s="2" t="s">
        <v>5572</v>
      </c>
      <c r="K4829" s="2" t="s">
        <v>329</v>
      </c>
      <c r="L4829" s="2" t="s">
        <v>330</v>
      </c>
      <c r="M4829" s="2" t="s">
        <v>119</v>
      </c>
      <c r="N4829" s="4" t="str">
        <f t="shared" si="425"/>
        <v>TON</v>
      </c>
      <c r="O4829" s="14">
        <v>15.022500000000001</v>
      </c>
    </row>
    <row r="4830" spans="2:15" x14ac:dyDescent="0.25">
      <c r="B4830" s="1" t="s">
        <v>1520</v>
      </c>
      <c r="C4830" s="2" t="s">
        <v>196</v>
      </c>
      <c r="D4830" s="2" t="s">
        <v>114</v>
      </c>
      <c r="E4830" s="2" t="s">
        <v>402</v>
      </c>
      <c r="F4830" s="3">
        <f>DATE(2024,4,1)</f>
        <v>45383</v>
      </c>
      <c r="G4830" s="4">
        <f t="shared" si="423"/>
        <v>4</v>
      </c>
      <c r="H4830" s="4">
        <f t="shared" si="424"/>
        <v>2024</v>
      </c>
      <c r="I4830" s="2" t="s">
        <v>4</v>
      </c>
      <c r="J4830" s="2" t="s">
        <v>5573</v>
      </c>
      <c r="K4830" s="2" t="s">
        <v>2350</v>
      </c>
      <c r="L4830" s="2" t="s">
        <v>2351</v>
      </c>
      <c r="M4830" s="2" t="s">
        <v>119</v>
      </c>
      <c r="N4830" s="4" t="str">
        <f t="shared" si="425"/>
        <v>TON</v>
      </c>
      <c r="O4830" s="14">
        <v>12.48</v>
      </c>
    </row>
    <row r="4831" spans="2:15" x14ac:dyDescent="0.25">
      <c r="B4831" s="1" t="s">
        <v>1520</v>
      </c>
      <c r="C4831" s="2" t="s">
        <v>196</v>
      </c>
      <c r="D4831" s="2" t="s">
        <v>444</v>
      </c>
      <c r="E4831" s="2" t="s">
        <v>445</v>
      </c>
      <c r="F4831" s="3">
        <f t="shared" ref="F4831:F4837" si="428">DATE(2024,4,2)</f>
        <v>45384</v>
      </c>
      <c r="G4831" s="4">
        <f t="shared" si="423"/>
        <v>4</v>
      </c>
      <c r="H4831" s="4">
        <f t="shared" si="424"/>
        <v>2024</v>
      </c>
      <c r="I4831" s="2" t="s">
        <v>4</v>
      </c>
      <c r="J4831" s="2" t="s">
        <v>5574</v>
      </c>
      <c r="K4831" s="2" t="s">
        <v>447</v>
      </c>
      <c r="L4831" s="2" t="s">
        <v>448</v>
      </c>
      <c r="M4831" s="2" t="s">
        <v>119</v>
      </c>
      <c r="N4831" s="4" t="str">
        <f t="shared" si="425"/>
        <v>TON</v>
      </c>
      <c r="O4831" s="14">
        <v>5.0049999999999999</v>
      </c>
    </row>
    <row r="4832" spans="2:15" x14ac:dyDescent="0.25">
      <c r="B4832" s="1" t="s">
        <v>1520</v>
      </c>
      <c r="C4832" s="2" t="s">
        <v>196</v>
      </c>
      <c r="D4832" s="2" t="s">
        <v>458</v>
      </c>
      <c r="E4832" s="2" t="s">
        <v>1177</v>
      </c>
      <c r="F4832" s="3">
        <f t="shared" si="428"/>
        <v>45384</v>
      </c>
      <c r="G4832" s="4">
        <f t="shared" si="423"/>
        <v>4</v>
      </c>
      <c r="H4832" s="4">
        <f t="shared" si="424"/>
        <v>2024</v>
      </c>
      <c r="I4832" s="2" t="s">
        <v>4</v>
      </c>
      <c r="J4832" s="2" t="s">
        <v>5575</v>
      </c>
      <c r="K4832" s="2" t="s">
        <v>205</v>
      </c>
      <c r="L4832" s="2" t="s">
        <v>206</v>
      </c>
      <c r="M4832" s="2" t="s">
        <v>119</v>
      </c>
      <c r="N4832" s="4" t="str">
        <f t="shared" si="425"/>
        <v>TON</v>
      </c>
      <c r="O4832" s="14">
        <v>3.0125000000000002</v>
      </c>
    </row>
    <row r="4833" spans="2:15" x14ac:dyDescent="0.25">
      <c r="B4833" s="1" t="s">
        <v>1520</v>
      </c>
      <c r="C4833" s="2" t="s">
        <v>196</v>
      </c>
      <c r="D4833" s="2" t="s">
        <v>215</v>
      </c>
      <c r="E4833" s="2" t="s">
        <v>216</v>
      </c>
      <c r="F4833" s="3">
        <f t="shared" si="428"/>
        <v>45384</v>
      </c>
      <c r="G4833" s="4">
        <f t="shared" si="423"/>
        <v>4</v>
      </c>
      <c r="H4833" s="4">
        <f t="shared" si="424"/>
        <v>2024</v>
      </c>
      <c r="I4833" s="2" t="s">
        <v>4</v>
      </c>
      <c r="J4833" s="2" t="s">
        <v>5576</v>
      </c>
      <c r="K4833" s="2" t="s">
        <v>329</v>
      </c>
      <c r="L4833" s="2" t="s">
        <v>330</v>
      </c>
      <c r="M4833" s="2" t="s">
        <v>119</v>
      </c>
      <c r="N4833" s="4" t="str">
        <f t="shared" si="425"/>
        <v>TON</v>
      </c>
      <c r="O4833" s="14">
        <v>1.2524999999999999</v>
      </c>
    </row>
    <row r="4834" spans="2:15" x14ac:dyDescent="0.25">
      <c r="B4834" s="1" t="s">
        <v>1520</v>
      </c>
      <c r="C4834" s="2" t="s">
        <v>196</v>
      </c>
      <c r="D4834" s="2" t="s">
        <v>1343</v>
      </c>
      <c r="E4834" s="2" t="s">
        <v>4151</v>
      </c>
      <c r="F4834" s="3">
        <f t="shared" si="428"/>
        <v>45384</v>
      </c>
      <c r="G4834" s="4">
        <f t="shared" si="423"/>
        <v>4</v>
      </c>
      <c r="H4834" s="4">
        <f t="shared" si="424"/>
        <v>2024</v>
      </c>
      <c r="I4834" s="2" t="s">
        <v>4</v>
      </c>
      <c r="J4834" s="2" t="s">
        <v>5577</v>
      </c>
      <c r="K4834" s="2" t="s">
        <v>205</v>
      </c>
      <c r="L4834" s="2" t="s">
        <v>206</v>
      </c>
      <c r="M4834" s="2" t="s">
        <v>119</v>
      </c>
      <c r="N4834" s="4" t="str">
        <f t="shared" si="425"/>
        <v>TON</v>
      </c>
      <c r="O4834" s="14">
        <v>15.025</v>
      </c>
    </row>
    <row r="4835" spans="2:15" x14ac:dyDescent="0.25">
      <c r="B4835" s="1" t="s">
        <v>1520</v>
      </c>
      <c r="C4835" s="2" t="s">
        <v>196</v>
      </c>
      <c r="D4835" s="2" t="s">
        <v>221</v>
      </c>
      <c r="E4835" s="2" t="s">
        <v>3778</v>
      </c>
      <c r="F4835" s="3">
        <f t="shared" si="428"/>
        <v>45384</v>
      </c>
      <c r="G4835" s="4">
        <f t="shared" si="423"/>
        <v>4</v>
      </c>
      <c r="H4835" s="4">
        <f t="shared" si="424"/>
        <v>2024</v>
      </c>
      <c r="I4835" s="2" t="s">
        <v>4</v>
      </c>
      <c r="J4835" s="2" t="s">
        <v>5578</v>
      </c>
      <c r="K4835" s="2" t="s">
        <v>205</v>
      </c>
      <c r="L4835" s="2" t="s">
        <v>206</v>
      </c>
      <c r="M4835" s="2" t="s">
        <v>119</v>
      </c>
      <c r="N4835" s="4" t="str">
        <f t="shared" si="425"/>
        <v>TON</v>
      </c>
      <c r="O4835" s="14">
        <v>5</v>
      </c>
    </row>
    <row r="4836" spans="2:15" x14ac:dyDescent="0.25">
      <c r="B4836" s="1" t="s">
        <v>1520</v>
      </c>
      <c r="C4836" s="2" t="s">
        <v>196</v>
      </c>
      <c r="D4836" s="2" t="s">
        <v>215</v>
      </c>
      <c r="E4836" s="2" t="s">
        <v>315</v>
      </c>
      <c r="F4836" s="3">
        <f t="shared" si="428"/>
        <v>45384</v>
      </c>
      <c r="G4836" s="4">
        <f t="shared" si="423"/>
        <v>4</v>
      </c>
      <c r="H4836" s="4">
        <f t="shared" si="424"/>
        <v>2024</v>
      </c>
      <c r="I4836" s="2" t="s">
        <v>4</v>
      </c>
      <c r="J4836" s="2" t="s">
        <v>5579</v>
      </c>
      <c r="K4836" s="2" t="s">
        <v>205</v>
      </c>
      <c r="L4836" s="2" t="s">
        <v>206</v>
      </c>
      <c r="M4836" s="2" t="s">
        <v>119</v>
      </c>
      <c r="N4836" s="4" t="str">
        <f t="shared" si="425"/>
        <v>TON</v>
      </c>
      <c r="O4836" s="14">
        <v>3.9874999999999998</v>
      </c>
    </row>
    <row r="4837" spans="2:15" x14ac:dyDescent="0.25">
      <c r="B4837" s="1" t="s">
        <v>1520</v>
      </c>
      <c r="C4837" s="2" t="s">
        <v>196</v>
      </c>
      <c r="D4837" s="2" t="s">
        <v>232</v>
      </c>
      <c r="E4837" s="2" t="s">
        <v>233</v>
      </c>
      <c r="F4837" s="3">
        <f t="shared" si="428"/>
        <v>45384</v>
      </c>
      <c r="G4837" s="4">
        <f t="shared" si="423"/>
        <v>4</v>
      </c>
      <c r="H4837" s="4">
        <f t="shared" si="424"/>
        <v>2024</v>
      </c>
      <c r="I4837" s="2" t="s">
        <v>4</v>
      </c>
      <c r="J4837" s="2" t="s">
        <v>5580</v>
      </c>
      <c r="K4837" s="2" t="s">
        <v>205</v>
      </c>
      <c r="L4837" s="2" t="s">
        <v>206</v>
      </c>
      <c r="M4837" s="2" t="s">
        <v>119</v>
      </c>
      <c r="N4837" s="4" t="str">
        <f t="shared" si="425"/>
        <v>TON</v>
      </c>
      <c r="O4837" s="14">
        <v>5</v>
      </c>
    </row>
    <row r="4838" spans="2:15" x14ac:dyDescent="0.25">
      <c r="B4838" s="1" t="s">
        <v>1520</v>
      </c>
      <c r="C4838" s="2" t="s">
        <v>196</v>
      </c>
      <c r="D4838" s="2" t="s">
        <v>289</v>
      </c>
      <c r="E4838" s="2" t="s">
        <v>290</v>
      </c>
      <c r="F4838" s="3">
        <f>DATE(2024,4,3)</f>
        <v>45385</v>
      </c>
      <c r="G4838" s="4">
        <f t="shared" si="423"/>
        <v>4</v>
      </c>
      <c r="H4838" s="4">
        <f t="shared" si="424"/>
        <v>2024</v>
      </c>
      <c r="I4838" s="2" t="s">
        <v>4</v>
      </c>
      <c r="J4838" s="2" t="s">
        <v>5581</v>
      </c>
      <c r="K4838" s="2" t="s">
        <v>292</v>
      </c>
      <c r="L4838" s="2" t="s">
        <v>293</v>
      </c>
      <c r="M4838" s="2" t="s">
        <v>119</v>
      </c>
      <c r="N4838" s="4" t="str">
        <f t="shared" si="425"/>
        <v>TON</v>
      </c>
      <c r="O4838" s="14">
        <v>1</v>
      </c>
    </row>
    <row r="4839" spans="2:15" x14ac:dyDescent="0.25">
      <c r="B4839" s="1" t="s">
        <v>1520</v>
      </c>
      <c r="C4839" s="2" t="s">
        <v>196</v>
      </c>
      <c r="D4839" s="2" t="s">
        <v>299</v>
      </c>
      <c r="E4839" s="2" t="s">
        <v>300</v>
      </c>
      <c r="F4839" s="3">
        <f>DATE(2024,4,3)</f>
        <v>45385</v>
      </c>
      <c r="G4839" s="4">
        <f t="shared" si="423"/>
        <v>4</v>
      </c>
      <c r="H4839" s="4">
        <f t="shared" si="424"/>
        <v>2024</v>
      </c>
      <c r="I4839" s="2" t="s">
        <v>4</v>
      </c>
      <c r="J4839" s="2" t="s">
        <v>5582</v>
      </c>
      <c r="K4839" s="2" t="s">
        <v>2350</v>
      </c>
      <c r="L4839" s="2" t="s">
        <v>2351</v>
      </c>
      <c r="M4839" s="2" t="s">
        <v>119</v>
      </c>
      <c r="N4839" s="4" t="str">
        <f t="shared" si="425"/>
        <v>TON</v>
      </c>
      <c r="O4839" s="14">
        <v>9</v>
      </c>
    </row>
    <row r="4840" spans="2:15" x14ac:dyDescent="0.25">
      <c r="B4840" s="1" t="s">
        <v>1520</v>
      </c>
      <c r="C4840" s="2" t="s">
        <v>196</v>
      </c>
      <c r="D4840" s="2" t="s">
        <v>232</v>
      </c>
      <c r="E4840" s="2" t="s">
        <v>778</v>
      </c>
      <c r="F4840" s="3">
        <f>DATE(2024,4,3)</f>
        <v>45385</v>
      </c>
      <c r="G4840" s="4">
        <f t="shared" si="423"/>
        <v>4</v>
      </c>
      <c r="H4840" s="4">
        <f t="shared" si="424"/>
        <v>2024</v>
      </c>
      <c r="I4840" s="2" t="s">
        <v>4</v>
      </c>
      <c r="J4840" s="2" t="s">
        <v>5583</v>
      </c>
      <c r="K4840" s="2" t="s">
        <v>205</v>
      </c>
      <c r="L4840" s="2" t="s">
        <v>206</v>
      </c>
      <c r="M4840" s="2" t="s">
        <v>119</v>
      </c>
      <c r="N4840" s="4" t="str">
        <f t="shared" si="425"/>
        <v>TON</v>
      </c>
      <c r="O4840" s="14">
        <v>5</v>
      </c>
    </row>
    <row r="4841" spans="2:15" x14ac:dyDescent="0.25">
      <c r="B4841" s="1" t="s">
        <v>1520</v>
      </c>
      <c r="C4841" s="2" t="s">
        <v>196</v>
      </c>
      <c r="D4841" s="2" t="s">
        <v>418</v>
      </c>
      <c r="E4841" s="2" t="s">
        <v>2027</v>
      </c>
      <c r="F4841" s="3">
        <f>DATE(2024,4,4)</f>
        <v>45386</v>
      </c>
      <c r="G4841" s="4">
        <f t="shared" si="423"/>
        <v>4</v>
      </c>
      <c r="H4841" s="4">
        <f t="shared" si="424"/>
        <v>2024</v>
      </c>
      <c r="I4841" s="2" t="s">
        <v>4</v>
      </c>
      <c r="J4841" s="2" t="s">
        <v>5584</v>
      </c>
      <c r="K4841" s="2" t="s">
        <v>422</v>
      </c>
      <c r="L4841" s="2" t="s">
        <v>423</v>
      </c>
      <c r="M4841" s="2" t="s">
        <v>119</v>
      </c>
      <c r="N4841" s="4" t="str">
        <f t="shared" si="425"/>
        <v>TON</v>
      </c>
      <c r="O4841" s="14">
        <v>6.5075000000000003</v>
      </c>
    </row>
    <row r="4842" spans="2:15" x14ac:dyDescent="0.25">
      <c r="B4842" s="1" t="s">
        <v>1520</v>
      </c>
      <c r="C4842" s="2" t="s">
        <v>196</v>
      </c>
      <c r="D4842" s="2" t="s">
        <v>418</v>
      </c>
      <c r="E4842" s="2" t="s">
        <v>1595</v>
      </c>
      <c r="F4842" s="3">
        <f>DATE(2024,4,4)</f>
        <v>45386</v>
      </c>
      <c r="G4842" s="4">
        <f t="shared" ref="G4842:G4905" si="429">MONTH(F4842)</f>
        <v>4</v>
      </c>
      <c r="H4842" s="4">
        <f t="shared" ref="H4842:H4905" si="430">YEAR(F4842)</f>
        <v>2024</v>
      </c>
      <c r="I4842" s="2" t="s">
        <v>4</v>
      </c>
      <c r="J4842" s="2" t="s">
        <v>5585</v>
      </c>
      <c r="K4842" s="2" t="s">
        <v>205</v>
      </c>
      <c r="L4842" s="2" t="s">
        <v>206</v>
      </c>
      <c r="M4842" s="2" t="s">
        <v>119</v>
      </c>
      <c r="N4842" s="4" t="str">
        <f t="shared" ref="N4842:N4905" si="431">LEFT(M4842,3)</f>
        <v>TON</v>
      </c>
      <c r="O4842" s="14">
        <v>2.0049999999999999</v>
      </c>
    </row>
    <row r="4843" spans="2:15" x14ac:dyDescent="0.25">
      <c r="B4843" s="1" t="s">
        <v>1520</v>
      </c>
      <c r="C4843" s="2" t="s">
        <v>196</v>
      </c>
      <c r="D4843" s="2" t="s">
        <v>387</v>
      </c>
      <c r="E4843" s="2" t="s">
        <v>797</v>
      </c>
      <c r="F4843" s="3">
        <f t="shared" ref="F4843:F4848" si="432">DATE(2024,4,5)</f>
        <v>45387</v>
      </c>
      <c r="G4843" s="4">
        <f t="shared" si="429"/>
        <v>4</v>
      </c>
      <c r="H4843" s="4">
        <f t="shared" si="430"/>
        <v>2024</v>
      </c>
      <c r="I4843" s="2" t="s">
        <v>4</v>
      </c>
      <c r="J4843" s="2" t="s">
        <v>5586</v>
      </c>
      <c r="K4843" s="2" t="s">
        <v>205</v>
      </c>
      <c r="L4843" s="2" t="s">
        <v>206</v>
      </c>
      <c r="M4843" s="2" t="s">
        <v>119</v>
      </c>
      <c r="N4843" s="4" t="str">
        <f t="shared" si="431"/>
        <v>TON</v>
      </c>
      <c r="O4843" s="14">
        <v>10.02</v>
      </c>
    </row>
    <row r="4844" spans="2:15" x14ac:dyDescent="0.25">
      <c r="B4844" s="1" t="s">
        <v>1520</v>
      </c>
      <c r="C4844" s="2" t="s">
        <v>196</v>
      </c>
      <c r="D4844" s="2" t="s">
        <v>4013</v>
      </c>
      <c r="E4844" s="2" t="s">
        <v>102</v>
      </c>
      <c r="F4844" s="3">
        <f t="shared" si="432"/>
        <v>45387</v>
      </c>
      <c r="G4844" s="4">
        <f t="shared" si="429"/>
        <v>4</v>
      </c>
      <c r="H4844" s="4">
        <f t="shared" si="430"/>
        <v>2024</v>
      </c>
      <c r="I4844" s="2" t="s">
        <v>4</v>
      </c>
      <c r="J4844" s="2" t="s">
        <v>5587</v>
      </c>
      <c r="K4844" s="2" t="s">
        <v>531</v>
      </c>
      <c r="L4844" s="2" t="s">
        <v>201</v>
      </c>
      <c r="M4844" s="2" t="s">
        <v>202</v>
      </c>
      <c r="N4844" s="4" t="str">
        <f t="shared" si="431"/>
        <v>GAL</v>
      </c>
      <c r="O4844" s="14">
        <v>30</v>
      </c>
    </row>
    <row r="4845" spans="2:15" x14ac:dyDescent="0.25">
      <c r="B4845" s="16" t="s">
        <v>1520</v>
      </c>
      <c r="C4845" s="17" t="s">
        <v>196</v>
      </c>
      <c r="D4845" s="17" t="s">
        <v>224</v>
      </c>
      <c r="E4845" s="17" t="s">
        <v>361</v>
      </c>
      <c r="F4845" s="18">
        <f t="shared" si="432"/>
        <v>45387</v>
      </c>
      <c r="G4845" s="17">
        <f t="shared" si="429"/>
        <v>4</v>
      </c>
      <c r="H4845" s="17">
        <f t="shared" si="430"/>
        <v>2024</v>
      </c>
      <c r="I4845" s="17" t="s">
        <v>4</v>
      </c>
      <c r="J4845" s="17" t="s">
        <v>5588</v>
      </c>
      <c r="K4845" s="17" t="s">
        <v>205</v>
      </c>
      <c r="L4845" s="17" t="s">
        <v>206</v>
      </c>
      <c r="M4845" s="17" t="s">
        <v>119</v>
      </c>
      <c r="N4845" s="17" t="str">
        <f t="shared" si="431"/>
        <v>TON</v>
      </c>
      <c r="O4845" s="19">
        <v>10.0175</v>
      </c>
    </row>
    <row r="4846" spans="2:15" x14ac:dyDescent="0.25">
      <c r="B4846" s="16" t="s">
        <v>1520</v>
      </c>
      <c r="C4846" s="17" t="s">
        <v>196</v>
      </c>
      <c r="D4846" s="17" t="s">
        <v>374</v>
      </c>
      <c r="E4846" s="17" t="s">
        <v>717</v>
      </c>
      <c r="F4846" s="18">
        <f t="shared" si="432"/>
        <v>45387</v>
      </c>
      <c r="G4846" s="17">
        <f t="shared" si="429"/>
        <v>4</v>
      </c>
      <c r="H4846" s="17">
        <f t="shared" si="430"/>
        <v>2024</v>
      </c>
      <c r="I4846" s="17" t="s">
        <v>4</v>
      </c>
      <c r="J4846" s="17" t="s">
        <v>5589</v>
      </c>
      <c r="K4846" s="17" t="s">
        <v>865</v>
      </c>
      <c r="L4846" s="17" t="s">
        <v>866</v>
      </c>
      <c r="M4846" s="17" t="s">
        <v>119</v>
      </c>
      <c r="N4846" s="17" t="str">
        <f t="shared" si="431"/>
        <v>TON</v>
      </c>
      <c r="O4846" s="19">
        <v>3.9975000000000001</v>
      </c>
    </row>
    <row r="4847" spans="2:15" x14ac:dyDescent="0.25">
      <c r="B4847" s="16" t="s">
        <v>1520</v>
      </c>
      <c r="C4847" s="17" t="s">
        <v>196</v>
      </c>
      <c r="D4847" s="17" t="s">
        <v>265</v>
      </c>
      <c r="E4847" s="17" t="s">
        <v>266</v>
      </c>
      <c r="F4847" s="18">
        <f t="shared" si="432"/>
        <v>45387</v>
      </c>
      <c r="G4847" s="17">
        <f t="shared" si="429"/>
        <v>4</v>
      </c>
      <c r="H4847" s="17">
        <f t="shared" si="430"/>
        <v>2024</v>
      </c>
      <c r="I4847" s="17" t="s">
        <v>4</v>
      </c>
      <c r="J4847" s="17" t="s">
        <v>5590</v>
      </c>
      <c r="K4847" s="17" t="s">
        <v>268</v>
      </c>
      <c r="L4847" s="17" t="s">
        <v>269</v>
      </c>
      <c r="M4847" s="17" t="s">
        <v>119</v>
      </c>
      <c r="N4847" s="17" t="str">
        <f t="shared" si="431"/>
        <v>TON</v>
      </c>
      <c r="O4847" s="19">
        <v>0.15</v>
      </c>
    </row>
    <row r="4848" spans="2:15" x14ac:dyDescent="0.25">
      <c r="B4848" s="16" t="s">
        <v>1520</v>
      </c>
      <c r="C4848" s="17" t="s">
        <v>196</v>
      </c>
      <c r="D4848" s="17" t="s">
        <v>331</v>
      </c>
      <c r="E4848" s="17" t="s">
        <v>332</v>
      </c>
      <c r="F4848" s="18">
        <f t="shared" si="432"/>
        <v>45387</v>
      </c>
      <c r="G4848" s="17">
        <f t="shared" si="429"/>
        <v>4</v>
      </c>
      <c r="H4848" s="17">
        <f t="shared" si="430"/>
        <v>2024</v>
      </c>
      <c r="I4848" s="17" t="s">
        <v>4</v>
      </c>
      <c r="J4848" s="17" t="s">
        <v>5591</v>
      </c>
      <c r="K4848" s="17" t="s">
        <v>205</v>
      </c>
      <c r="L4848" s="17" t="s">
        <v>206</v>
      </c>
      <c r="M4848" s="17" t="s">
        <v>119</v>
      </c>
      <c r="N4848" s="17" t="str">
        <f t="shared" si="431"/>
        <v>TON</v>
      </c>
      <c r="O4848" s="19">
        <v>5.0149999999999997</v>
      </c>
    </row>
    <row r="4849" spans="2:15" x14ac:dyDescent="0.25">
      <c r="B4849" s="16" t="s">
        <v>1520</v>
      </c>
      <c r="C4849" s="17" t="s">
        <v>196</v>
      </c>
      <c r="D4849" s="17" t="s">
        <v>2002</v>
      </c>
      <c r="E4849" s="17" t="s">
        <v>102</v>
      </c>
      <c r="F4849" s="18">
        <f>DATE(2024,4,8)</f>
        <v>45390</v>
      </c>
      <c r="G4849" s="17">
        <f t="shared" si="429"/>
        <v>4</v>
      </c>
      <c r="H4849" s="17">
        <f t="shared" si="430"/>
        <v>2024</v>
      </c>
      <c r="I4849" s="17" t="s">
        <v>4</v>
      </c>
      <c r="J4849" s="17" t="s">
        <v>5592</v>
      </c>
      <c r="K4849" s="17" t="s">
        <v>1119</v>
      </c>
      <c r="L4849" s="17" t="s">
        <v>1023</v>
      </c>
      <c r="M4849" s="17" t="s">
        <v>1024</v>
      </c>
      <c r="N4849" s="17" t="str">
        <f t="shared" si="431"/>
        <v>GAL</v>
      </c>
      <c r="O4849" s="19">
        <v>10</v>
      </c>
    </row>
    <row r="4850" spans="2:15" x14ac:dyDescent="0.25">
      <c r="B4850" s="16" t="s">
        <v>1520</v>
      </c>
      <c r="C4850" s="17" t="s">
        <v>196</v>
      </c>
      <c r="D4850" s="17" t="s">
        <v>215</v>
      </c>
      <c r="E4850" s="17" t="s">
        <v>2033</v>
      </c>
      <c r="F4850" s="18">
        <f>DATE(2024,4,9)</f>
        <v>45391</v>
      </c>
      <c r="G4850" s="17">
        <f t="shared" si="429"/>
        <v>4</v>
      </c>
      <c r="H4850" s="17">
        <f t="shared" si="430"/>
        <v>2024</v>
      </c>
      <c r="I4850" s="17" t="s">
        <v>4</v>
      </c>
      <c r="J4850" s="17" t="s">
        <v>5593</v>
      </c>
      <c r="K4850" s="17" t="s">
        <v>329</v>
      </c>
      <c r="L4850" s="17" t="s">
        <v>330</v>
      </c>
      <c r="M4850" s="17" t="s">
        <v>119</v>
      </c>
      <c r="N4850" s="17" t="str">
        <f t="shared" si="431"/>
        <v>TON</v>
      </c>
      <c r="O4850" s="19">
        <v>7.01</v>
      </c>
    </row>
    <row r="4851" spans="2:15" x14ac:dyDescent="0.25">
      <c r="B4851" s="16" t="s">
        <v>645</v>
      </c>
      <c r="C4851" s="17" t="s">
        <v>196</v>
      </c>
      <c r="D4851" s="17" t="s">
        <v>1375</v>
      </c>
      <c r="E4851" s="17" t="s">
        <v>102</v>
      </c>
      <c r="F4851" s="18">
        <f>DATE(2024,4,9)</f>
        <v>45391</v>
      </c>
      <c r="G4851" s="17">
        <f t="shared" si="429"/>
        <v>4</v>
      </c>
      <c r="H4851" s="17">
        <f t="shared" si="430"/>
        <v>2024</v>
      </c>
      <c r="I4851" s="17" t="s">
        <v>4</v>
      </c>
      <c r="J4851" s="17" t="s">
        <v>5594</v>
      </c>
      <c r="K4851" s="17" t="s">
        <v>205</v>
      </c>
      <c r="L4851" s="17" t="s">
        <v>206</v>
      </c>
      <c r="M4851" s="17" t="s">
        <v>119</v>
      </c>
      <c r="N4851" s="17" t="str">
        <f t="shared" si="431"/>
        <v>TON</v>
      </c>
      <c r="O4851" s="19">
        <v>5</v>
      </c>
    </row>
    <row r="4852" spans="2:15" x14ac:dyDescent="0.25">
      <c r="B4852" s="16" t="s">
        <v>1520</v>
      </c>
      <c r="C4852" s="17" t="s">
        <v>196</v>
      </c>
      <c r="D4852" s="17" t="s">
        <v>317</v>
      </c>
      <c r="E4852" s="17" t="s">
        <v>366</v>
      </c>
      <c r="F4852" s="18">
        <f>DATE(2024,4,9)</f>
        <v>45391</v>
      </c>
      <c r="G4852" s="17">
        <f t="shared" si="429"/>
        <v>4</v>
      </c>
      <c r="H4852" s="17">
        <f t="shared" si="430"/>
        <v>2024</v>
      </c>
      <c r="I4852" s="17" t="s">
        <v>4</v>
      </c>
      <c r="J4852" s="17" t="s">
        <v>5595</v>
      </c>
      <c r="K4852" s="17" t="s">
        <v>2350</v>
      </c>
      <c r="L4852" s="17" t="s">
        <v>2351</v>
      </c>
      <c r="M4852" s="17" t="s">
        <v>119</v>
      </c>
      <c r="N4852" s="17" t="str">
        <f t="shared" si="431"/>
        <v>TON</v>
      </c>
      <c r="O4852" s="19">
        <v>5.5</v>
      </c>
    </row>
    <row r="4853" spans="2:15" x14ac:dyDescent="0.25">
      <c r="B4853" s="16" t="s">
        <v>1520</v>
      </c>
      <c r="C4853" s="17" t="s">
        <v>196</v>
      </c>
      <c r="D4853" s="17" t="s">
        <v>114</v>
      </c>
      <c r="E4853" s="17" t="s">
        <v>369</v>
      </c>
      <c r="F4853" s="18">
        <f>DATE(2024,4,9)</f>
        <v>45391</v>
      </c>
      <c r="G4853" s="17">
        <f t="shared" si="429"/>
        <v>4</v>
      </c>
      <c r="H4853" s="17">
        <f t="shared" si="430"/>
        <v>2024</v>
      </c>
      <c r="I4853" s="17" t="s">
        <v>4</v>
      </c>
      <c r="J4853" s="17" t="s">
        <v>5596</v>
      </c>
      <c r="K4853" s="17" t="s">
        <v>2350</v>
      </c>
      <c r="L4853" s="17" t="s">
        <v>2351</v>
      </c>
      <c r="M4853" s="17" t="s">
        <v>119</v>
      </c>
      <c r="N4853" s="17" t="str">
        <f t="shared" si="431"/>
        <v>TON</v>
      </c>
      <c r="O4853" s="19">
        <v>2</v>
      </c>
    </row>
    <row r="4854" spans="2:15" x14ac:dyDescent="0.25">
      <c r="B4854" s="16" t="s">
        <v>1520</v>
      </c>
      <c r="C4854" s="17" t="s">
        <v>196</v>
      </c>
      <c r="D4854" s="17" t="s">
        <v>1706</v>
      </c>
      <c r="E4854" s="17" t="s">
        <v>5019</v>
      </c>
      <c r="F4854" s="18">
        <f>DATE(2024,4,10)</f>
        <v>45392</v>
      </c>
      <c r="G4854" s="17">
        <f t="shared" si="429"/>
        <v>4</v>
      </c>
      <c r="H4854" s="17">
        <f t="shared" si="430"/>
        <v>2024</v>
      </c>
      <c r="I4854" s="17" t="s">
        <v>4</v>
      </c>
      <c r="J4854" s="17" t="s">
        <v>5597</v>
      </c>
      <c r="K4854" s="17" t="s">
        <v>205</v>
      </c>
      <c r="L4854" s="17" t="s">
        <v>206</v>
      </c>
      <c r="M4854" s="17" t="s">
        <v>119</v>
      </c>
      <c r="N4854" s="17" t="str">
        <f t="shared" si="431"/>
        <v>TON</v>
      </c>
      <c r="O4854" s="19">
        <v>2.5</v>
      </c>
    </row>
    <row r="4855" spans="2:15" x14ac:dyDescent="0.25">
      <c r="B4855" s="16" t="s">
        <v>1520</v>
      </c>
      <c r="C4855" s="17" t="s">
        <v>196</v>
      </c>
      <c r="D4855" s="17" t="s">
        <v>273</v>
      </c>
      <c r="E4855" s="17" t="s">
        <v>976</v>
      </c>
      <c r="F4855" s="18">
        <f>DATE(2024,4,10)</f>
        <v>45392</v>
      </c>
      <c r="G4855" s="17">
        <f t="shared" si="429"/>
        <v>4</v>
      </c>
      <c r="H4855" s="17">
        <f t="shared" si="430"/>
        <v>2024</v>
      </c>
      <c r="I4855" s="17" t="s">
        <v>4</v>
      </c>
      <c r="J4855" s="17" t="s">
        <v>5598</v>
      </c>
      <c r="K4855" s="17" t="s">
        <v>205</v>
      </c>
      <c r="L4855" s="17" t="s">
        <v>206</v>
      </c>
      <c r="M4855" s="17" t="s">
        <v>119</v>
      </c>
      <c r="N4855" s="17" t="str">
        <f t="shared" si="431"/>
        <v>TON</v>
      </c>
      <c r="O4855" s="19">
        <v>8.25</v>
      </c>
    </row>
    <row r="4856" spans="2:15" x14ac:dyDescent="0.25">
      <c r="B4856" s="16" t="s">
        <v>1520</v>
      </c>
      <c r="C4856" s="17" t="s">
        <v>196</v>
      </c>
      <c r="D4856" s="17" t="s">
        <v>1343</v>
      </c>
      <c r="E4856" s="17" t="s">
        <v>3729</v>
      </c>
      <c r="F4856" s="18">
        <f>DATE(2024,4,10)</f>
        <v>45392</v>
      </c>
      <c r="G4856" s="17">
        <f t="shared" si="429"/>
        <v>4</v>
      </c>
      <c r="H4856" s="17">
        <f t="shared" si="430"/>
        <v>2024</v>
      </c>
      <c r="I4856" s="17" t="s">
        <v>4</v>
      </c>
      <c r="J4856" s="17" t="s">
        <v>5599</v>
      </c>
      <c r="K4856" s="17" t="s">
        <v>205</v>
      </c>
      <c r="L4856" s="17" t="s">
        <v>206</v>
      </c>
      <c r="M4856" s="17" t="s">
        <v>119</v>
      </c>
      <c r="N4856" s="17" t="str">
        <f t="shared" si="431"/>
        <v>TON</v>
      </c>
      <c r="O4856" s="19">
        <v>15</v>
      </c>
    </row>
    <row r="4857" spans="2:15" x14ac:dyDescent="0.25">
      <c r="B4857" s="16" t="s">
        <v>1520</v>
      </c>
      <c r="C4857" s="17" t="s">
        <v>196</v>
      </c>
      <c r="D4857" s="17" t="s">
        <v>310</v>
      </c>
      <c r="E4857" s="17" t="s">
        <v>426</v>
      </c>
      <c r="F4857" s="18">
        <f>DATE(2024,4,10)</f>
        <v>45392</v>
      </c>
      <c r="G4857" s="17">
        <f t="shared" si="429"/>
        <v>4</v>
      </c>
      <c r="H4857" s="17">
        <f t="shared" si="430"/>
        <v>2024</v>
      </c>
      <c r="I4857" s="17" t="s">
        <v>4</v>
      </c>
      <c r="J4857" s="17" t="s">
        <v>5600</v>
      </c>
      <c r="K4857" s="17" t="s">
        <v>205</v>
      </c>
      <c r="L4857" s="17" t="s">
        <v>206</v>
      </c>
      <c r="M4857" s="17" t="s">
        <v>119</v>
      </c>
      <c r="N4857" s="17" t="str">
        <f t="shared" si="431"/>
        <v>TON</v>
      </c>
      <c r="O4857" s="19">
        <v>3.0125000000000002</v>
      </c>
    </row>
    <row r="4858" spans="2:15" x14ac:dyDescent="0.25">
      <c r="B4858" s="16" t="s">
        <v>1520</v>
      </c>
      <c r="C4858" s="17" t="s">
        <v>196</v>
      </c>
      <c r="D4858" s="17" t="s">
        <v>114</v>
      </c>
      <c r="E4858" s="17" t="s">
        <v>274</v>
      </c>
      <c r="F4858" s="18">
        <f>DATE(2024,4,10)</f>
        <v>45392</v>
      </c>
      <c r="G4858" s="17">
        <f t="shared" si="429"/>
        <v>4</v>
      </c>
      <c r="H4858" s="17">
        <f t="shared" si="430"/>
        <v>2024</v>
      </c>
      <c r="I4858" s="17" t="s">
        <v>4</v>
      </c>
      <c r="J4858" s="17" t="s">
        <v>5601</v>
      </c>
      <c r="K4858" s="17" t="s">
        <v>2350</v>
      </c>
      <c r="L4858" s="17" t="s">
        <v>2351</v>
      </c>
      <c r="M4858" s="17" t="s">
        <v>119</v>
      </c>
      <c r="N4858" s="17" t="str">
        <f t="shared" si="431"/>
        <v>TON</v>
      </c>
      <c r="O4858" s="19">
        <v>9.4975000000000005</v>
      </c>
    </row>
    <row r="4859" spans="2:15" x14ac:dyDescent="0.25">
      <c r="B4859" s="16" t="s">
        <v>1520</v>
      </c>
      <c r="C4859" s="17" t="s">
        <v>196</v>
      </c>
      <c r="D4859" s="17" t="s">
        <v>294</v>
      </c>
      <c r="E4859" s="17" t="s">
        <v>295</v>
      </c>
      <c r="F4859" s="18">
        <f>DATE(2024,4,11)</f>
        <v>45393</v>
      </c>
      <c r="G4859" s="17">
        <f t="shared" si="429"/>
        <v>4</v>
      </c>
      <c r="H4859" s="17">
        <f t="shared" si="430"/>
        <v>2024</v>
      </c>
      <c r="I4859" s="17" t="s">
        <v>4</v>
      </c>
      <c r="J4859" s="17" t="s">
        <v>5602</v>
      </c>
      <c r="K4859" s="17" t="s">
        <v>122</v>
      </c>
      <c r="L4859" s="17" t="s">
        <v>123</v>
      </c>
      <c r="M4859" s="17" t="s">
        <v>119</v>
      </c>
      <c r="N4859" s="17" t="str">
        <f t="shared" si="431"/>
        <v>TON</v>
      </c>
      <c r="O4859" s="19">
        <v>7.5</v>
      </c>
    </row>
    <row r="4860" spans="2:15" x14ac:dyDescent="0.25">
      <c r="B4860" s="16" t="s">
        <v>1520</v>
      </c>
      <c r="C4860" s="17" t="s">
        <v>196</v>
      </c>
      <c r="D4860" s="17" t="s">
        <v>262</v>
      </c>
      <c r="E4860" s="17" t="s">
        <v>1226</v>
      </c>
      <c r="F4860" s="18">
        <f>DATE(2024,4,11)</f>
        <v>45393</v>
      </c>
      <c r="G4860" s="17">
        <f t="shared" si="429"/>
        <v>4</v>
      </c>
      <c r="H4860" s="17">
        <f t="shared" si="430"/>
        <v>2024</v>
      </c>
      <c r="I4860" s="17" t="s">
        <v>4</v>
      </c>
      <c r="J4860" s="17" t="s">
        <v>5603</v>
      </c>
      <c r="K4860" s="17" t="s">
        <v>499</v>
      </c>
      <c r="L4860" s="17" t="s">
        <v>500</v>
      </c>
      <c r="M4860" s="17" t="s">
        <v>119</v>
      </c>
      <c r="N4860" s="17" t="str">
        <f t="shared" si="431"/>
        <v>TON</v>
      </c>
      <c r="O4860" s="19">
        <v>13.5</v>
      </c>
    </row>
    <row r="4861" spans="2:15" x14ac:dyDescent="0.25">
      <c r="B4861" s="16" t="s">
        <v>1520</v>
      </c>
      <c r="C4861" s="17" t="s">
        <v>196</v>
      </c>
      <c r="D4861" s="17" t="s">
        <v>114</v>
      </c>
      <c r="E4861" s="17" t="s">
        <v>402</v>
      </c>
      <c r="F4861" s="18">
        <f>DATE(2024,4,11)</f>
        <v>45393</v>
      </c>
      <c r="G4861" s="17">
        <f t="shared" si="429"/>
        <v>4</v>
      </c>
      <c r="H4861" s="17">
        <f t="shared" si="430"/>
        <v>2024</v>
      </c>
      <c r="I4861" s="17" t="s">
        <v>4</v>
      </c>
      <c r="J4861" s="17" t="s">
        <v>5604</v>
      </c>
      <c r="K4861" s="17" t="s">
        <v>2350</v>
      </c>
      <c r="L4861" s="17" t="s">
        <v>2351</v>
      </c>
      <c r="M4861" s="17" t="s">
        <v>119</v>
      </c>
      <c r="N4861" s="17" t="str">
        <f t="shared" si="431"/>
        <v>TON</v>
      </c>
      <c r="O4861" s="19">
        <v>4.4850000000000003</v>
      </c>
    </row>
    <row r="4862" spans="2:15" x14ac:dyDescent="0.25">
      <c r="B4862" s="16" t="s">
        <v>1520</v>
      </c>
      <c r="C4862" s="17" t="s">
        <v>196</v>
      </c>
      <c r="D4862" s="17" t="s">
        <v>299</v>
      </c>
      <c r="E4862" s="17" t="s">
        <v>300</v>
      </c>
      <c r="F4862" s="18">
        <f>DATE(2024,4,11)</f>
        <v>45393</v>
      </c>
      <c r="G4862" s="17">
        <f t="shared" si="429"/>
        <v>4</v>
      </c>
      <c r="H4862" s="17">
        <f t="shared" si="430"/>
        <v>2024</v>
      </c>
      <c r="I4862" s="17" t="s">
        <v>4</v>
      </c>
      <c r="J4862" s="17" t="s">
        <v>5605</v>
      </c>
      <c r="K4862" s="17" t="s">
        <v>2350</v>
      </c>
      <c r="L4862" s="17" t="s">
        <v>2351</v>
      </c>
      <c r="M4862" s="17" t="s">
        <v>119</v>
      </c>
      <c r="N4862" s="17" t="str">
        <f t="shared" si="431"/>
        <v>TON</v>
      </c>
      <c r="O4862" s="19">
        <v>6.4924999999999997</v>
      </c>
    </row>
    <row r="4863" spans="2:15" x14ac:dyDescent="0.25">
      <c r="B4863" s="16" t="s">
        <v>1520</v>
      </c>
      <c r="C4863" s="17" t="s">
        <v>196</v>
      </c>
      <c r="D4863" s="17" t="s">
        <v>387</v>
      </c>
      <c r="E4863" s="17" t="s">
        <v>797</v>
      </c>
      <c r="F4863" s="18">
        <f t="shared" ref="F4863:F4871" si="433">DATE(2024,4,12)</f>
        <v>45394</v>
      </c>
      <c r="G4863" s="17">
        <f t="shared" si="429"/>
        <v>4</v>
      </c>
      <c r="H4863" s="17">
        <f t="shared" si="430"/>
        <v>2024</v>
      </c>
      <c r="I4863" s="17" t="s">
        <v>4</v>
      </c>
      <c r="J4863" s="17" t="s">
        <v>5606</v>
      </c>
      <c r="K4863" s="17" t="s">
        <v>205</v>
      </c>
      <c r="L4863" s="17" t="s">
        <v>206</v>
      </c>
      <c r="M4863" s="17" t="s">
        <v>119</v>
      </c>
      <c r="N4863" s="17" t="str">
        <f t="shared" si="431"/>
        <v>TON</v>
      </c>
      <c r="O4863" s="19">
        <v>11.99</v>
      </c>
    </row>
    <row r="4864" spans="2:15" x14ac:dyDescent="0.25">
      <c r="B4864" s="16" t="s">
        <v>1520</v>
      </c>
      <c r="C4864" s="17" t="s">
        <v>196</v>
      </c>
      <c r="D4864" s="17" t="s">
        <v>280</v>
      </c>
      <c r="E4864" s="17" t="s">
        <v>464</v>
      </c>
      <c r="F4864" s="18">
        <f t="shared" si="433"/>
        <v>45394</v>
      </c>
      <c r="G4864" s="17">
        <f t="shared" si="429"/>
        <v>4</v>
      </c>
      <c r="H4864" s="17">
        <f t="shared" si="430"/>
        <v>2024</v>
      </c>
      <c r="I4864" s="17" t="s">
        <v>4</v>
      </c>
      <c r="J4864" s="17" t="s">
        <v>5607</v>
      </c>
      <c r="K4864" s="17" t="s">
        <v>2350</v>
      </c>
      <c r="L4864" s="17" t="s">
        <v>2351</v>
      </c>
      <c r="M4864" s="17" t="s">
        <v>119</v>
      </c>
      <c r="N4864" s="17" t="str">
        <f t="shared" si="431"/>
        <v>TON</v>
      </c>
      <c r="O4864" s="19">
        <v>14.48</v>
      </c>
    </row>
    <row r="4865" spans="2:15" x14ac:dyDescent="0.25">
      <c r="B4865" s="16" t="s">
        <v>1520</v>
      </c>
      <c r="C4865" s="17" t="s">
        <v>196</v>
      </c>
      <c r="D4865" s="17" t="s">
        <v>321</v>
      </c>
      <c r="E4865" s="17" t="s">
        <v>697</v>
      </c>
      <c r="F4865" s="18">
        <f t="shared" si="433"/>
        <v>45394</v>
      </c>
      <c r="G4865" s="17">
        <f t="shared" si="429"/>
        <v>4</v>
      </c>
      <c r="H4865" s="17">
        <f t="shared" si="430"/>
        <v>2024</v>
      </c>
      <c r="I4865" s="17" t="s">
        <v>4</v>
      </c>
      <c r="J4865" s="17" t="s">
        <v>5608</v>
      </c>
      <c r="K4865" s="17" t="s">
        <v>447</v>
      </c>
      <c r="L4865" s="17" t="s">
        <v>448</v>
      </c>
      <c r="M4865" s="17" t="s">
        <v>119</v>
      </c>
      <c r="N4865" s="17" t="str">
        <f t="shared" si="431"/>
        <v>TON</v>
      </c>
      <c r="O4865" s="19">
        <v>10</v>
      </c>
    </row>
    <row r="4866" spans="2:15" x14ac:dyDescent="0.25">
      <c r="B4866" s="16" t="s">
        <v>1520</v>
      </c>
      <c r="C4866" s="17" t="s">
        <v>196</v>
      </c>
      <c r="D4866" s="17" t="s">
        <v>280</v>
      </c>
      <c r="E4866" s="17" t="s">
        <v>371</v>
      </c>
      <c r="F4866" s="18">
        <f t="shared" si="433"/>
        <v>45394</v>
      </c>
      <c r="G4866" s="17">
        <f t="shared" si="429"/>
        <v>4</v>
      </c>
      <c r="H4866" s="17">
        <f t="shared" si="430"/>
        <v>2024</v>
      </c>
      <c r="I4866" s="17" t="s">
        <v>4</v>
      </c>
      <c r="J4866" s="17" t="s">
        <v>5609</v>
      </c>
      <c r="K4866" s="17" t="s">
        <v>2350</v>
      </c>
      <c r="L4866" s="17" t="s">
        <v>2351</v>
      </c>
      <c r="M4866" s="17" t="s">
        <v>119</v>
      </c>
      <c r="N4866" s="17" t="str">
        <f t="shared" si="431"/>
        <v>TON</v>
      </c>
      <c r="O4866" s="19">
        <v>4</v>
      </c>
    </row>
    <row r="4867" spans="2:15" x14ac:dyDescent="0.25">
      <c r="B4867" s="16" t="s">
        <v>645</v>
      </c>
      <c r="C4867" s="17" t="s">
        <v>196</v>
      </c>
      <c r="D4867" s="17" t="s">
        <v>888</v>
      </c>
      <c r="E4867" s="17" t="s">
        <v>888</v>
      </c>
      <c r="F4867" s="18">
        <f t="shared" si="433"/>
        <v>45394</v>
      </c>
      <c r="G4867" s="17">
        <f t="shared" si="429"/>
        <v>4</v>
      </c>
      <c r="H4867" s="17">
        <f t="shared" si="430"/>
        <v>2024</v>
      </c>
      <c r="I4867" s="17" t="s">
        <v>4</v>
      </c>
      <c r="J4867" s="17" t="s">
        <v>5610</v>
      </c>
      <c r="K4867" s="17" t="s">
        <v>268</v>
      </c>
      <c r="L4867" s="17" t="s">
        <v>269</v>
      </c>
      <c r="M4867" s="17" t="s">
        <v>119</v>
      </c>
      <c r="N4867" s="17" t="str">
        <f t="shared" si="431"/>
        <v>TON</v>
      </c>
      <c r="O4867" s="19">
        <v>0.75</v>
      </c>
    </row>
    <row r="4868" spans="2:15" x14ac:dyDescent="0.25">
      <c r="B4868" s="16" t="s">
        <v>1520</v>
      </c>
      <c r="C4868" s="17" t="s">
        <v>196</v>
      </c>
      <c r="D4868" s="17" t="s">
        <v>265</v>
      </c>
      <c r="E4868" s="17" t="s">
        <v>266</v>
      </c>
      <c r="F4868" s="18">
        <f t="shared" si="433"/>
        <v>45394</v>
      </c>
      <c r="G4868" s="17">
        <f t="shared" si="429"/>
        <v>4</v>
      </c>
      <c r="H4868" s="17">
        <f t="shared" si="430"/>
        <v>2024</v>
      </c>
      <c r="I4868" s="17" t="s">
        <v>4</v>
      </c>
      <c r="J4868" s="17" t="s">
        <v>5611</v>
      </c>
      <c r="K4868" s="17" t="s">
        <v>268</v>
      </c>
      <c r="L4868" s="17" t="s">
        <v>269</v>
      </c>
      <c r="M4868" s="17" t="s">
        <v>119</v>
      </c>
      <c r="N4868" s="17" t="str">
        <f t="shared" si="431"/>
        <v>TON</v>
      </c>
      <c r="O4868" s="19">
        <v>0.3</v>
      </c>
    </row>
    <row r="4869" spans="2:15" x14ac:dyDescent="0.25">
      <c r="B4869" s="16" t="s">
        <v>1520</v>
      </c>
      <c r="C4869" s="17" t="s">
        <v>196</v>
      </c>
      <c r="D4869" s="17" t="s">
        <v>1343</v>
      </c>
      <c r="E4869" s="17" t="s">
        <v>4151</v>
      </c>
      <c r="F4869" s="18">
        <f t="shared" si="433"/>
        <v>45394</v>
      </c>
      <c r="G4869" s="17">
        <f t="shared" si="429"/>
        <v>4</v>
      </c>
      <c r="H4869" s="17">
        <f t="shared" si="430"/>
        <v>2024</v>
      </c>
      <c r="I4869" s="17" t="s">
        <v>4</v>
      </c>
      <c r="J4869" s="17" t="s">
        <v>5612</v>
      </c>
      <c r="K4869" s="17" t="s">
        <v>205</v>
      </c>
      <c r="L4869" s="17" t="s">
        <v>206</v>
      </c>
      <c r="M4869" s="17" t="s">
        <v>119</v>
      </c>
      <c r="N4869" s="17" t="str">
        <f t="shared" si="431"/>
        <v>TON</v>
      </c>
      <c r="O4869" s="19">
        <v>15.0075</v>
      </c>
    </row>
    <row r="4870" spans="2:15" x14ac:dyDescent="0.25">
      <c r="B4870" s="16" t="s">
        <v>1520</v>
      </c>
      <c r="C4870" s="17" t="s">
        <v>196</v>
      </c>
      <c r="D4870" s="17" t="s">
        <v>440</v>
      </c>
      <c r="E4870" s="17" t="s">
        <v>441</v>
      </c>
      <c r="F4870" s="18">
        <f t="shared" si="433"/>
        <v>45394</v>
      </c>
      <c r="G4870" s="17">
        <f t="shared" si="429"/>
        <v>4</v>
      </c>
      <c r="H4870" s="17">
        <f t="shared" si="430"/>
        <v>2024</v>
      </c>
      <c r="I4870" s="17" t="s">
        <v>4</v>
      </c>
      <c r="J4870" s="17" t="s">
        <v>5613</v>
      </c>
      <c r="K4870" s="17" t="s">
        <v>205</v>
      </c>
      <c r="L4870" s="17" t="s">
        <v>206</v>
      </c>
      <c r="M4870" s="17" t="s">
        <v>119</v>
      </c>
      <c r="N4870" s="17" t="str">
        <f t="shared" si="431"/>
        <v>TON</v>
      </c>
      <c r="O4870" s="19">
        <v>5.0075000000000003</v>
      </c>
    </row>
    <row r="4871" spans="2:15" x14ac:dyDescent="0.25">
      <c r="B4871" s="16" t="s">
        <v>1520</v>
      </c>
      <c r="C4871" s="17" t="s">
        <v>196</v>
      </c>
      <c r="D4871" s="17" t="s">
        <v>440</v>
      </c>
      <c r="E4871" s="17" t="s">
        <v>441</v>
      </c>
      <c r="F4871" s="18">
        <f t="shared" si="433"/>
        <v>45394</v>
      </c>
      <c r="G4871" s="17">
        <f t="shared" si="429"/>
        <v>4</v>
      </c>
      <c r="H4871" s="17">
        <f t="shared" si="430"/>
        <v>2024</v>
      </c>
      <c r="I4871" s="17" t="s">
        <v>4</v>
      </c>
      <c r="J4871" s="17" t="s">
        <v>5614</v>
      </c>
      <c r="K4871" s="17" t="s">
        <v>205</v>
      </c>
      <c r="L4871" s="17" t="s">
        <v>206</v>
      </c>
      <c r="M4871" s="17" t="s">
        <v>119</v>
      </c>
      <c r="N4871" s="17" t="str">
        <f t="shared" si="431"/>
        <v>TON</v>
      </c>
      <c r="O4871" s="19">
        <v>10.005000000000001</v>
      </c>
    </row>
    <row r="4872" spans="2:15" x14ac:dyDescent="0.25">
      <c r="B4872" s="16" t="s">
        <v>1520</v>
      </c>
      <c r="C4872" s="17" t="s">
        <v>196</v>
      </c>
      <c r="D4872" s="17" t="s">
        <v>197</v>
      </c>
      <c r="E4872" s="17" t="s">
        <v>198</v>
      </c>
      <c r="F4872" s="18">
        <f t="shared" ref="F4872:F4878" si="434">DATE(2024,4,15)</f>
        <v>45397</v>
      </c>
      <c r="G4872" s="17">
        <f t="shared" si="429"/>
        <v>4</v>
      </c>
      <c r="H4872" s="17">
        <f t="shared" si="430"/>
        <v>2024</v>
      </c>
      <c r="I4872" s="17" t="s">
        <v>4</v>
      </c>
      <c r="J4872" s="17" t="s">
        <v>5615</v>
      </c>
      <c r="K4872" s="17" t="s">
        <v>5557</v>
      </c>
      <c r="L4872" s="17" t="s">
        <v>5558</v>
      </c>
      <c r="M4872" s="17" t="s">
        <v>119</v>
      </c>
      <c r="N4872" s="17" t="str">
        <f t="shared" si="431"/>
        <v>TON</v>
      </c>
      <c r="O4872" s="19">
        <v>4.0049999999999999</v>
      </c>
    </row>
    <row r="4873" spans="2:15" x14ac:dyDescent="0.25">
      <c r="B4873" s="16" t="s">
        <v>1520</v>
      </c>
      <c r="C4873" s="17" t="s">
        <v>196</v>
      </c>
      <c r="D4873" s="17" t="s">
        <v>374</v>
      </c>
      <c r="E4873" s="17" t="s">
        <v>5309</v>
      </c>
      <c r="F4873" s="18">
        <f t="shared" si="434"/>
        <v>45397</v>
      </c>
      <c r="G4873" s="17">
        <f t="shared" si="429"/>
        <v>4</v>
      </c>
      <c r="H4873" s="17">
        <f t="shared" si="430"/>
        <v>2024</v>
      </c>
      <c r="I4873" s="17" t="s">
        <v>4</v>
      </c>
      <c r="J4873" s="17" t="s">
        <v>5616</v>
      </c>
      <c r="K4873" s="17" t="s">
        <v>329</v>
      </c>
      <c r="L4873" s="17" t="s">
        <v>330</v>
      </c>
      <c r="M4873" s="17" t="s">
        <v>119</v>
      </c>
      <c r="N4873" s="17" t="str">
        <f t="shared" si="431"/>
        <v>TON</v>
      </c>
      <c r="O4873" s="19">
        <v>7.0250000000000004</v>
      </c>
    </row>
    <row r="4874" spans="2:15" x14ac:dyDescent="0.25">
      <c r="B4874" s="16" t="s">
        <v>1520</v>
      </c>
      <c r="C4874" s="17" t="s">
        <v>196</v>
      </c>
      <c r="D4874" s="17" t="s">
        <v>289</v>
      </c>
      <c r="E4874" s="17" t="s">
        <v>290</v>
      </c>
      <c r="F4874" s="18">
        <f t="shared" si="434"/>
        <v>45397</v>
      </c>
      <c r="G4874" s="17">
        <f t="shared" si="429"/>
        <v>4</v>
      </c>
      <c r="H4874" s="17">
        <f t="shared" si="430"/>
        <v>2024</v>
      </c>
      <c r="I4874" s="17" t="s">
        <v>4</v>
      </c>
      <c r="J4874" s="17" t="s">
        <v>5617</v>
      </c>
      <c r="K4874" s="17" t="s">
        <v>292</v>
      </c>
      <c r="L4874" s="17" t="s">
        <v>293</v>
      </c>
      <c r="M4874" s="17" t="s">
        <v>119</v>
      </c>
      <c r="N4874" s="17" t="str">
        <f t="shared" si="431"/>
        <v>TON</v>
      </c>
      <c r="O4874" s="19">
        <v>1</v>
      </c>
    </row>
    <row r="4875" spans="2:15" x14ac:dyDescent="0.25">
      <c r="B4875" s="16" t="s">
        <v>1520</v>
      </c>
      <c r="C4875" s="17" t="s">
        <v>196</v>
      </c>
      <c r="D4875" s="17" t="s">
        <v>215</v>
      </c>
      <c r="E4875" s="17" t="s">
        <v>4113</v>
      </c>
      <c r="F4875" s="18">
        <f t="shared" si="434"/>
        <v>45397</v>
      </c>
      <c r="G4875" s="17">
        <f t="shared" si="429"/>
        <v>4</v>
      </c>
      <c r="H4875" s="17">
        <f t="shared" si="430"/>
        <v>2024</v>
      </c>
      <c r="I4875" s="17" t="s">
        <v>4</v>
      </c>
      <c r="J4875" s="17" t="s">
        <v>5618</v>
      </c>
      <c r="K4875" s="17" t="s">
        <v>205</v>
      </c>
      <c r="L4875" s="17" t="s">
        <v>206</v>
      </c>
      <c r="M4875" s="17" t="s">
        <v>119</v>
      </c>
      <c r="N4875" s="17" t="str">
        <f t="shared" si="431"/>
        <v>TON</v>
      </c>
      <c r="O4875" s="19">
        <v>10</v>
      </c>
    </row>
    <row r="4876" spans="2:15" x14ac:dyDescent="0.25">
      <c r="B4876" s="16" t="s">
        <v>1520</v>
      </c>
      <c r="C4876" s="17" t="s">
        <v>196</v>
      </c>
      <c r="D4876" s="17" t="s">
        <v>276</v>
      </c>
      <c r="E4876" s="17" t="s">
        <v>682</v>
      </c>
      <c r="F4876" s="18">
        <f t="shared" si="434"/>
        <v>45397</v>
      </c>
      <c r="G4876" s="17">
        <f t="shared" si="429"/>
        <v>4</v>
      </c>
      <c r="H4876" s="17">
        <f t="shared" si="430"/>
        <v>2024</v>
      </c>
      <c r="I4876" s="17" t="s">
        <v>4</v>
      </c>
      <c r="J4876" s="17" t="s">
        <v>5619</v>
      </c>
      <c r="K4876" s="17" t="s">
        <v>292</v>
      </c>
      <c r="L4876" s="17" t="s">
        <v>293</v>
      </c>
      <c r="M4876" s="17" t="s">
        <v>119</v>
      </c>
      <c r="N4876" s="17" t="str">
        <f t="shared" si="431"/>
        <v>TON</v>
      </c>
      <c r="O4876" s="19">
        <v>5.0149999999999997</v>
      </c>
    </row>
    <row r="4877" spans="2:15" x14ac:dyDescent="0.25">
      <c r="B4877" s="16" t="s">
        <v>1520</v>
      </c>
      <c r="C4877" s="17" t="s">
        <v>196</v>
      </c>
      <c r="D4877" s="17" t="s">
        <v>276</v>
      </c>
      <c r="E4877" s="17" t="s">
        <v>682</v>
      </c>
      <c r="F4877" s="18">
        <f t="shared" si="434"/>
        <v>45397</v>
      </c>
      <c r="G4877" s="17">
        <f t="shared" si="429"/>
        <v>4</v>
      </c>
      <c r="H4877" s="17">
        <f t="shared" si="430"/>
        <v>2024</v>
      </c>
      <c r="I4877" s="17" t="s">
        <v>4</v>
      </c>
      <c r="J4877" s="17" t="s">
        <v>5620</v>
      </c>
      <c r="K4877" s="17" t="s">
        <v>205</v>
      </c>
      <c r="L4877" s="17" t="s">
        <v>206</v>
      </c>
      <c r="M4877" s="17" t="s">
        <v>119</v>
      </c>
      <c r="N4877" s="17" t="str">
        <f t="shared" si="431"/>
        <v>TON</v>
      </c>
      <c r="O4877" s="19">
        <v>6.02</v>
      </c>
    </row>
    <row r="4878" spans="2:15" x14ac:dyDescent="0.25">
      <c r="B4878" s="16" t="s">
        <v>1520</v>
      </c>
      <c r="C4878" s="17" t="s">
        <v>196</v>
      </c>
      <c r="D4878" s="17" t="s">
        <v>374</v>
      </c>
      <c r="E4878" s="17" t="s">
        <v>4935</v>
      </c>
      <c r="F4878" s="18">
        <f t="shared" si="434"/>
        <v>45397</v>
      </c>
      <c r="G4878" s="17">
        <f t="shared" si="429"/>
        <v>4</v>
      </c>
      <c r="H4878" s="17">
        <f t="shared" si="430"/>
        <v>2024</v>
      </c>
      <c r="I4878" s="17" t="s">
        <v>4</v>
      </c>
      <c r="J4878" s="17" t="s">
        <v>5621</v>
      </c>
      <c r="K4878" s="17" t="s">
        <v>499</v>
      </c>
      <c r="L4878" s="17" t="s">
        <v>500</v>
      </c>
      <c r="M4878" s="17" t="s">
        <v>119</v>
      </c>
      <c r="N4878" s="17" t="str">
        <f t="shared" si="431"/>
        <v>TON</v>
      </c>
      <c r="O4878" s="19">
        <v>15.0275</v>
      </c>
    </row>
    <row r="4879" spans="2:15" x14ac:dyDescent="0.25">
      <c r="B4879" s="16" t="s">
        <v>1520</v>
      </c>
      <c r="C4879" s="17" t="s">
        <v>196</v>
      </c>
      <c r="D4879" s="17" t="s">
        <v>280</v>
      </c>
      <c r="E4879" s="17" t="s">
        <v>281</v>
      </c>
      <c r="F4879" s="18">
        <f t="shared" ref="F4879:F4884" si="435">DATE(2024,4,16)</f>
        <v>45398</v>
      </c>
      <c r="G4879" s="17">
        <f t="shared" si="429"/>
        <v>4</v>
      </c>
      <c r="H4879" s="17">
        <f t="shared" si="430"/>
        <v>2024</v>
      </c>
      <c r="I4879" s="17" t="s">
        <v>4</v>
      </c>
      <c r="J4879" s="17" t="s">
        <v>5622</v>
      </c>
      <c r="K4879" s="17" t="s">
        <v>2350</v>
      </c>
      <c r="L4879" s="17" t="s">
        <v>2351</v>
      </c>
      <c r="M4879" s="17" t="s">
        <v>119</v>
      </c>
      <c r="N4879" s="17" t="str">
        <f t="shared" si="431"/>
        <v>TON</v>
      </c>
      <c r="O4879" s="19">
        <v>15</v>
      </c>
    </row>
    <row r="4880" spans="2:15" x14ac:dyDescent="0.25">
      <c r="B4880" s="16" t="s">
        <v>1520</v>
      </c>
      <c r="C4880" s="17" t="s">
        <v>196</v>
      </c>
      <c r="D4880" s="17" t="s">
        <v>3767</v>
      </c>
      <c r="E4880" s="17" t="s">
        <v>3768</v>
      </c>
      <c r="F4880" s="18">
        <f t="shared" si="435"/>
        <v>45398</v>
      </c>
      <c r="G4880" s="17">
        <f t="shared" si="429"/>
        <v>4</v>
      </c>
      <c r="H4880" s="17">
        <f t="shared" si="430"/>
        <v>2024</v>
      </c>
      <c r="I4880" s="17" t="s">
        <v>4</v>
      </c>
      <c r="J4880" s="17" t="s">
        <v>5623</v>
      </c>
      <c r="K4880" s="17" t="s">
        <v>329</v>
      </c>
      <c r="L4880" s="17" t="s">
        <v>330</v>
      </c>
      <c r="M4880" s="17" t="s">
        <v>119</v>
      </c>
      <c r="N4880" s="17" t="str">
        <f t="shared" si="431"/>
        <v>TON</v>
      </c>
      <c r="O4880" s="19">
        <v>1.25</v>
      </c>
    </row>
    <row r="4881" spans="2:15" x14ac:dyDescent="0.25">
      <c r="B4881" s="16" t="s">
        <v>1520</v>
      </c>
      <c r="C4881" s="17" t="s">
        <v>196</v>
      </c>
      <c r="D4881" s="17" t="s">
        <v>452</v>
      </c>
      <c r="E4881" s="17" t="s">
        <v>222</v>
      </c>
      <c r="F4881" s="18">
        <f t="shared" si="435"/>
        <v>45398</v>
      </c>
      <c r="G4881" s="17">
        <f t="shared" si="429"/>
        <v>4</v>
      </c>
      <c r="H4881" s="17">
        <f t="shared" si="430"/>
        <v>2024</v>
      </c>
      <c r="I4881" s="17" t="s">
        <v>4</v>
      </c>
      <c r="J4881" s="17" t="s">
        <v>5624</v>
      </c>
      <c r="K4881" s="17" t="s">
        <v>447</v>
      </c>
      <c r="L4881" s="17" t="s">
        <v>448</v>
      </c>
      <c r="M4881" s="17" t="s">
        <v>119</v>
      </c>
      <c r="N4881" s="17" t="str">
        <f t="shared" si="431"/>
        <v>TON</v>
      </c>
      <c r="O4881" s="19">
        <v>2.5</v>
      </c>
    </row>
    <row r="4882" spans="2:15" x14ac:dyDescent="0.25">
      <c r="B4882" s="16" t="s">
        <v>1520</v>
      </c>
      <c r="C4882" s="17" t="s">
        <v>196</v>
      </c>
      <c r="D4882" s="17" t="s">
        <v>221</v>
      </c>
      <c r="E4882" s="17" t="s">
        <v>2660</v>
      </c>
      <c r="F4882" s="18">
        <f t="shared" si="435"/>
        <v>45398</v>
      </c>
      <c r="G4882" s="17">
        <f t="shared" si="429"/>
        <v>4</v>
      </c>
      <c r="H4882" s="17">
        <f t="shared" si="430"/>
        <v>2024</v>
      </c>
      <c r="I4882" s="17" t="s">
        <v>4</v>
      </c>
      <c r="J4882" s="17" t="s">
        <v>5625</v>
      </c>
      <c r="K4882" s="17" t="s">
        <v>205</v>
      </c>
      <c r="L4882" s="17" t="s">
        <v>206</v>
      </c>
      <c r="M4882" s="17" t="s">
        <v>119</v>
      </c>
      <c r="N4882" s="17" t="str">
        <f t="shared" si="431"/>
        <v>TON</v>
      </c>
      <c r="O4882" s="19">
        <v>5.0199999999999996</v>
      </c>
    </row>
    <row r="4883" spans="2:15" x14ac:dyDescent="0.25">
      <c r="B4883" s="16" t="s">
        <v>1520</v>
      </c>
      <c r="C4883" s="17" t="s">
        <v>196</v>
      </c>
      <c r="D4883" s="17" t="s">
        <v>1343</v>
      </c>
      <c r="E4883" s="17" t="s">
        <v>3724</v>
      </c>
      <c r="F4883" s="18">
        <f t="shared" si="435"/>
        <v>45398</v>
      </c>
      <c r="G4883" s="17">
        <f t="shared" si="429"/>
        <v>4</v>
      </c>
      <c r="H4883" s="17">
        <f t="shared" si="430"/>
        <v>2024</v>
      </c>
      <c r="I4883" s="17" t="s">
        <v>4</v>
      </c>
      <c r="J4883" s="17" t="s">
        <v>5626</v>
      </c>
      <c r="K4883" s="17" t="s">
        <v>205</v>
      </c>
      <c r="L4883" s="17" t="s">
        <v>206</v>
      </c>
      <c r="M4883" s="17" t="s">
        <v>119</v>
      </c>
      <c r="N4883" s="17" t="str">
        <f t="shared" si="431"/>
        <v>TON</v>
      </c>
      <c r="O4883" s="19">
        <v>15.01</v>
      </c>
    </row>
    <row r="4884" spans="2:15" x14ac:dyDescent="0.25">
      <c r="B4884" s="16" t="s">
        <v>1520</v>
      </c>
      <c r="C4884" s="17" t="s">
        <v>196</v>
      </c>
      <c r="D4884" s="17" t="s">
        <v>207</v>
      </c>
      <c r="E4884" s="17" t="s">
        <v>208</v>
      </c>
      <c r="F4884" s="18">
        <f t="shared" si="435"/>
        <v>45398</v>
      </c>
      <c r="G4884" s="17">
        <f t="shared" si="429"/>
        <v>4</v>
      </c>
      <c r="H4884" s="17">
        <f t="shared" si="430"/>
        <v>2024</v>
      </c>
      <c r="I4884" s="17" t="s">
        <v>4</v>
      </c>
      <c r="J4884" s="17" t="s">
        <v>5627</v>
      </c>
      <c r="K4884" s="17" t="s">
        <v>205</v>
      </c>
      <c r="L4884" s="17" t="s">
        <v>206</v>
      </c>
      <c r="M4884" s="17" t="s">
        <v>119</v>
      </c>
      <c r="N4884" s="17" t="str">
        <f t="shared" si="431"/>
        <v>TON</v>
      </c>
      <c r="O4884" s="19">
        <v>5</v>
      </c>
    </row>
    <row r="4885" spans="2:15" x14ac:dyDescent="0.25">
      <c r="B4885" s="16" t="s">
        <v>1520</v>
      </c>
      <c r="C4885" s="17" t="s">
        <v>196</v>
      </c>
      <c r="D4885" s="17" t="s">
        <v>800</v>
      </c>
      <c r="E4885" s="17" t="s">
        <v>1134</v>
      </c>
      <c r="F4885" s="18">
        <f>DATE(2024,4,17)</f>
        <v>45399</v>
      </c>
      <c r="G4885" s="17">
        <f t="shared" si="429"/>
        <v>4</v>
      </c>
      <c r="H4885" s="17">
        <f t="shared" si="430"/>
        <v>2024</v>
      </c>
      <c r="I4885" s="17" t="s">
        <v>4</v>
      </c>
      <c r="J4885" s="17" t="s">
        <v>5628</v>
      </c>
      <c r="K4885" s="17" t="s">
        <v>447</v>
      </c>
      <c r="L4885" s="17" t="s">
        <v>448</v>
      </c>
      <c r="M4885" s="17" t="s">
        <v>119</v>
      </c>
      <c r="N4885" s="17" t="str">
        <f t="shared" si="431"/>
        <v>TON</v>
      </c>
      <c r="O4885" s="19">
        <v>3.5</v>
      </c>
    </row>
    <row r="4886" spans="2:15" x14ac:dyDescent="0.25">
      <c r="B4886" s="16" t="s">
        <v>1520</v>
      </c>
      <c r="C4886" s="17" t="s">
        <v>196</v>
      </c>
      <c r="D4886" s="17" t="s">
        <v>387</v>
      </c>
      <c r="E4886" s="17" t="s">
        <v>388</v>
      </c>
      <c r="F4886" s="18">
        <f>DATE(2024,4,17)</f>
        <v>45399</v>
      </c>
      <c r="G4886" s="17">
        <f t="shared" si="429"/>
        <v>4</v>
      </c>
      <c r="H4886" s="17">
        <f t="shared" si="430"/>
        <v>2024</v>
      </c>
      <c r="I4886" s="17" t="s">
        <v>4</v>
      </c>
      <c r="J4886" s="17" t="s">
        <v>5629</v>
      </c>
      <c r="K4886" s="17" t="s">
        <v>205</v>
      </c>
      <c r="L4886" s="17" t="s">
        <v>206</v>
      </c>
      <c r="M4886" s="17" t="s">
        <v>119</v>
      </c>
      <c r="N4886" s="17" t="str">
        <f t="shared" si="431"/>
        <v>TON</v>
      </c>
      <c r="O4886" s="19">
        <v>10.01</v>
      </c>
    </row>
    <row r="4887" spans="2:15" x14ac:dyDescent="0.25">
      <c r="B4887" s="16" t="s">
        <v>1520</v>
      </c>
      <c r="C4887" s="17" t="s">
        <v>196</v>
      </c>
      <c r="D4887" s="17" t="s">
        <v>440</v>
      </c>
      <c r="E4887" s="17" t="s">
        <v>1369</v>
      </c>
      <c r="F4887" s="18">
        <f>DATE(2024,4,17)</f>
        <v>45399</v>
      </c>
      <c r="G4887" s="17">
        <f t="shared" si="429"/>
        <v>4</v>
      </c>
      <c r="H4887" s="17">
        <f t="shared" si="430"/>
        <v>2024</v>
      </c>
      <c r="I4887" s="17" t="s">
        <v>4</v>
      </c>
      <c r="J4887" s="17" t="s">
        <v>5630</v>
      </c>
      <c r="K4887" s="17" t="s">
        <v>205</v>
      </c>
      <c r="L4887" s="17" t="s">
        <v>206</v>
      </c>
      <c r="M4887" s="17" t="s">
        <v>119</v>
      </c>
      <c r="N4887" s="17" t="str">
        <f t="shared" si="431"/>
        <v>TON</v>
      </c>
      <c r="O4887" s="19">
        <v>5.0075000000000003</v>
      </c>
    </row>
    <row r="4888" spans="2:15" x14ac:dyDescent="0.25">
      <c r="B4888" s="16" t="s">
        <v>1520</v>
      </c>
      <c r="C4888" s="17" t="s">
        <v>196</v>
      </c>
      <c r="D4888" s="17" t="s">
        <v>440</v>
      </c>
      <c r="E4888" s="17" t="s">
        <v>441</v>
      </c>
      <c r="F4888" s="18">
        <f>DATE(2024,4,17)</f>
        <v>45399</v>
      </c>
      <c r="G4888" s="17">
        <f t="shared" si="429"/>
        <v>4</v>
      </c>
      <c r="H4888" s="17">
        <f t="shared" si="430"/>
        <v>2024</v>
      </c>
      <c r="I4888" s="17" t="s">
        <v>4</v>
      </c>
      <c r="J4888" s="17" t="s">
        <v>5631</v>
      </c>
      <c r="K4888" s="17" t="s">
        <v>205</v>
      </c>
      <c r="L4888" s="17" t="s">
        <v>206</v>
      </c>
      <c r="M4888" s="17" t="s">
        <v>119</v>
      </c>
      <c r="N4888" s="17" t="str">
        <f t="shared" si="431"/>
        <v>TON</v>
      </c>
      <c r="O4888" s="19">
        <v>10.0025</v>
      </c>
    </row>
    <row r="4889" spans="2:15" x14ac:dyDescent="0.25">
      <c r="B4889" s="16" t="s">
        <v>1520</v>
      </c>
      <c r="C4889" s="17" t="s">
        <v>196</v>
      </c>
      <c r="D4889" s="17" t="s">
        <v>283</v>
      </c>
      <c r="E4889" s="17" t="s">
        <v>699</v>
      </c>
      <c r="F4889" s="18">
        <f>DATE(2024,4,17)</f>
        <v>45399</v>
      </c>
      <c r="G4889" s="17">
        <f t="shared" si="429"/>
        <v>4</v>
      </c>
      <c r="H4889" s="17">
        <f t="shared" si="430"/>
        <v>2024</v>
      </c>
      <c r="I4889" s="17" t="s">
        <v>4</v>
      </c>
      <c r="J4889" s="17" t="s">
        <v>5632</v>
      </c>
      <c r="K4889" s="17" t="s">
        <v>384</v>
      </c>
      <c r="L4889" s="17" t="s">
        <v>385</v>
      </c>
      <c r="M4889" s="17" t="s">
        <v>119</v>
      </c>
      <c r="N4889" s="17" t="str">
        <f t="shared" si="431"/>
        <v>TON</v>
      </c>
      <c r="O4889" s="19">
        <v>1.5</v>
      </c>
    </row>
    <row r="4890" spans="2:15" x14ac:dyDescent="0.25">
      <c r="B4890" s="16" t="s">
        <v>1520</v>
      </c>
      <c r="C4890" s="17" t="s">
        <v>196</v>
      </c>
      <c r="D4890" s="17" t="s">
        <v>280</v>
      </c>
      <c r="E4890" s="17" t="s">
        <v>5633</v>
      </c>
      <c r="F4890" s="18">
        <f t="shared" ref="F4890:F4901" si="436">DATE(2024,4,18)</f>
        <v>45400</v>
      </c>
      <c r="G4890" s="17">
        <f t="shared" si="429"/>
        <v>4</v>
      </c>
      <c r="H4890" s="17">
        <f t="shared" si="430"/>
        <v>2024</v>
      </c>
      <c r="I4890" s="17" t="s">
        <v>4</v>
      </c>
      <c r="J4890" s="17" t="s">
        <v>5634</v>
      </c>
      <c r="K4890" s="17" t="s">
        <v>2350</v>
      </c>
      <c r="L4890" s="17" t="s">
        <v>2351</v>
      </c>
      <c r="M4890" s="17" t="s">
        <v>119</v>
      </c>
      <c r="N4890" s="17" t="str">
        <f t="shared" si="431"/>
        <v>TON</v>
      </c>
      <c r="O4890" s="19">
        <v>2.5099999999999998</v>
      </c>
    </row>
    <row r="4891" spans="2:15" x14ac:dyDescent="0.25">
      <c r="B4891" s="16" t="s">
        <v>1520</v>
      </c>
      <c r="C4891" s="17" t="s">
        <v>196</v>
      </c>
      <c r="D4891" s="17" t="s">
        <v>232</v>
      </c>
      <c r="E4891" s="17" t="s">
        <v>778</v>
      </c>
      <c r="F4891" s="18">
        <f t="shared" si="436"/>
        <v>45400</v>
      </c>
      <c r="G4891" s="17">
        <f t="shared" si="429"/>
        <v>4</v>
      </c>
      <c r="H4891" s="17">
        <f t="shared" si="430"/>
        <v>2024</v>
      </c>
      <c r="I4891" s="17" t="s">
        <v>4</v>
      </c>
      <c r="J4891" s="17" t="s">
        <v>5635</v>
      </c>
      <c r="K4891" s="17" t="s">
        <v>205</v>
      </c>
      <c r="L4891" s="17" t="s">
        <v>206</v>
      </c>
      <c r="M4891" s="17" t="s">
        <v>119</v>
      </c>
      <c r="N4891" s="17" t="str">
        <f t="shared" si="431"/>
        <v>TON</v>
      </c>
      <c r="O4891" s="19">
        <v>5</v>
      </c>
    </row>
    <row r="4892" spans="2:15" x14ac:dyDescent="0.25">
      <c r="B4892" s="16" t="s">
        <v>1520</v>
      </c>
      <c r="C4892" s="17" t="s">
        <v>196</v>
      </c>
      <c r="D4892" s="17" t="s">
        <v>215</v>
      </c>
      <c r="E4892" s="17" t="s">
        <v>313</v>
      </c>
      <c r="F4892" s="18">
        <f t="shared" si="436"/>
        <v>45400</v>
      </c>
      <c r="G4892" s="17">
        <f t="shared" si="429"/>
        <v>4</v>
      </c>
      <c r="H4892" s="17">
        <f t="shared" si="430"/>
        <v>2024</v>
      </c>
      <c r="I4892" s="17" t="s">
        <v>4</v>
      </c>
      <c r="J4892" s="17" t="s">
        <v>5636</v>
      </c>
      <c r="K4892" s="17" t="s">
        <v>329</v>
      </c>
      <c r="L4892" s="17" t="s">
        <v>330</v>
      </c>
      <c r="M4892" s="17" t="s">
        <v>119</v>
      </c>
      <c r="N4892" s="17" t="str">
        <f t="shared" si="431"/>
        <v>TON</v>
      </c>
      <c r="O4892" s="19">
        <v>8.25</v>
      </c>
    </row>
    <row r="4893" spans="2:15" x14ac:dyDescent="0.25">
      <c r="B4893" s="16" t="s">
        <v>1520</v>
      </c>
      <c r="C4893" s="17" t="s">
        <v>196</v>
      </c>
      <c r="D4893" s="17" t="s">
        <v>660</v>
      </c>
      <c r="E4893" s="17" t="s">
        <v>699</v>
      </c>
      <c r="F4893" s="18">
        <f t="shared" si="436"/>
        <v>45400</v>
      </c>
      <c r="G4893" s="17">
        <f t="shared" si="429"/>
        <v>4</v>
      </c>
      <c r="H4893" s="17">
        <f t="shared" si="430"/>
        <v>2024</v>
      </c>
      <c r="I4893" s="17" t="s">
        <v>4</v>
      </c>
      <c r="J4893" s="17" t="s">
        <v>5637</v>
      </c>
      <c r="K4893" s="17" t="s">
        <v>447</v>
      </c>
      <c r="L4893" s="17" t="s">
        <v>448</v>
      </c>
      <c r="M4893" s="17" t="s">
        <v>119</v>
      </c>
      <c r="N4893" s="17" t="str">
        <f t="shared" si="431"/>
        <v>TON</v>
      </c>
      <c r="O4893" s="19">
        <v>3.5</v>
      </c>
    </row>
    <row r="4894" spans="2:15" x14ac:dyDescent="0.25">
      <c r="B4894" s="16" t="s">
        <v>1520</v>
      </c>
      <c r="C4894" s="17" t="s">
        <v>196</v>
      </c>
      <c r="D4894" s="17" t="s">
        <v>331</v>
      </c>
      <c r="E4894" s="17" t="s">
        <v>332</v>
      </c>
      <c r="F4894" s="18">
        <f t="shared" si="436"/>
        <v>45400</v>
      </c>
      <c r="G4894" s="17">
        <f t="shared" si="429"/>
        <v>4</v>
      </c>
      <c r="H4894" s="17">
        <f t="shared" si="430"/>
        <v>2024</v>
      </c>
      <c r="I4894" s="17" t="s">
        <v>4</v>
      </c>
      <c r="J4894" s="17" t="s">
        <v>5638</v>
      </c>
      <c r="K4894" s="17" t="s">
        <v>334</v>
      </c>
      <c r="L4894" s="17" t="s">
        <v>335</v>
      </c>
      <c r="M4894" s="17" t="s">
        <v>119</v>
      </c>
      <c r="N4894" s="17" t="str">
        <f t="shared" si="431"/>
        <v>TON</v>
      </c>
      <c r="O4894" s="19">
        <v>10</v>
      </c>
    </row>
    <row r="4895" spans="2:15" x14ac:dyDescent="0.25">
      <c r="B4895" s="16" t="s">
        <v>1520</v>
      </c>
      <c r="C4895" s="17" t="s">
        <v>196</v>
      </c>
      <c r="D4895" s="17" t="s">
        <v>276</v>
      </c>
      <c r="E4895" s="17" t="s">
        <v>277</v>
      </c>
      <c r="F4895" s="18">
        <f t="shared" si="436"/>
        <v>45400</v>
      </c>
      <c r="G4895" s="17">
        <f t="shared" si="429"/>
        <v>4</v>
      </c>
      <c r="H4895" s="17">
        <f t="shared" si="430"/>
        <v>2024</v>
      </c>
      <c r="I4895" s="17" t="s">
        <v>4</v>
      </c>
      <c r="J4895" s="17" t="s">
        <v>5639</v>
      </c>
      <c r="K4895" s="17" t="s">
        <v>292</v>
      </c>
      <c r="L4895" s="17" t="s">
        <v>293</v>
      </c>
      <c r="M4895" s="17" t="s">
        <v>119</v>
      </c>
      <c r="N4895" s="17" t="str">
        <f t="shared" si="431"/>
        <v>TON</v>
      </c>
      <c r="O4895" s="19">
        <v>2</v>
      </c>
    </row>
    <row r="4896" spans="2:15" x14ac:dyDescent="0.25">
      <c r="B4896" s="16" t="s">
        <v>1520</v>
      </c>
      <c r="C4896" s="17" t="s">
        <v>196</v>
      </c>
      <c r="D4896" s="17" t="s">
        <v>660</v>
      </c>
      <c r="E4896" s="17" t="s">
        <v>4023</v>
      </c>
      <c r="F4896" s="18">
        <f t="shared" si="436"/>
        <v>45400</v>
      </c>
      <c r="G4896" s="17">
        <f t="shared" si="429"/>
        <v>4</v>
      </c>
      <c r="H4896" s="17">
        <f t="shared" si="430"/>
        <v>2024</v>
      </c>
      <c r="I4896" s="17" t="s">
        <v>4</v>
      </c>
      <c r="J4896" s="17" t="s">
        <v>5640</v>
      </c>
      <c r="K4896" s="17" t="s">
        <v>329</v>
      </c>
      <c r="L4896" s="17" t="s">
        <v>330</v>
      </c>
      <c r="M4896" s="17" t="s">
        <v>119</v>
      </c>
      <c r="N4896" s="17" t="str">
        <f t="shared" si="431"/>
        <v>TON</v>
      </c>
      <c r="O4896" s="19">
        <v>2</v>
      </c>
    </row>
    <row r="4897" spans="2:15" x14ac:dyDescent="0.25">
      <c r="B4897" s="16" t="s">
        <v>1520</v>
      </c>
      <c r="C4897" s="17" t="s">
        <v>196</v>
      </c>
      <c r="D4897" s="17" t="s">
        <v>317</v>
      </c>
      <c r="E4897" s="17" t="s">
        <v>677</v>
      </c>
      <c r="F4897" s="18">
        <f t="shared" si="436"/>
        <v>45400</v>
      </c>
      <c r="G4897" s="17">
        <f t="shared" si="429"/>
        <v>4</v>
      </c>
      <c r="H4897" s="17">
        <f t="shared" si="430"/>
        <v>2024</v>
      </c>
      <c r="I4897" s="17" t="s">
        <v>4</v>
      </c>
      <c r="J4897" s="17" t="s">
        <v>5641</v>
      </c>
      <c r="K4897" s="17" t="s">
        <v>2350</v>
      </c>
      <c r="L4897" s="17" t="s">
        <v>2351</v>
      </c>
      <c r="M4897" s="17" t="s">
        <v>119</v>
      </c>
      <c r="N4897" s="17" t="str">
        <f t="shared" si="431"/>
        <v>TON</v>
      </c>
      <c r="O4897" s="19">
        <v>5</v>
      </c>
    </row>
    <row r="4898" spans="2:15" x14ac:dyDescent="0.25">
      <c r="B4898" s="16" t="s">
        <v>1520</v>
      </c>
      <c r="C4898" s="17" t="s">
        <v>196</v>
      </c>
      <c r="D4898" s="17" t="s">
        <v>114</v>
      </c>
      <c r="E4898" s="17" t="s">
        <v>274</v>
      </c>
      <c r="F4898" s="18">
        <f t="shared" si="436"/>
        <v>45400</v>
      </c>
      <c r="G4898" s="17">
        <f t="shared" si="429"/>
        <v>4</v>
      </c>
      <c r="H4898" s="17">
        <f t="shared" si="430"/>
        <v>2024</v>
      </c>
      <c r="I4898" s="17" t="s">
        <v>4</v>
      </c>
      <c r="J4898" s="17" t="s">
        <v>5642</v>
      </c>
      <c r="K4898" s="17" t="s">
        <v>2350</v>
      </c>
      <c r="L4898" s="17" t="s">
        <v>2351</v>
      </c>
      <c r="M4898" s="17" t="s">
        <v>119</v>
      </c>
      <c r="N4898" s="17" t="str">
        <f t="shared" si="431"/>
        <v>TON</v>
      </c>
      <c r="O4898" s="19">
        <v>3.2250000000000001</v>
      </c>
    </row>
    <row r="4899" spans="2:15" x14ac:dyDescent="0.25">
      <c r="B4899" s="16" t="s">
        <v>1520</v>
      </c>
      <c r="C4899" s="17" t="s">
        <v>196</v>
      </c>
      <c r="D4899" s="17" t="s">
        <v>114</v>
      </c>
      <c r="E4899" s="17" t="s">
        <v>336</v>
      </c>
      <c r="F4899" s="18">
        <f t="shared" si="436"/>
        <v>45400</v>
      </c>
      <c r="G4899" s="17">
        <f t="shared" si="429"/>
        <v>4</v>
      </c>
      <c r="H4899" s="17">
        <f t="shared" si="430"/>
        <v>2024</v>
      </c>
      <c r="I4899" s="17" t="s">
        <v>4</v>
      </c>
      <c r="J4899" s="17" t="s">
        <v>5643</v>
      </c>
      <c r="K4899" s="17" t="s">
        <v>2350</v>
      </c>
      <c r="L4899" s="17" t="s">
        <v>2351</v>
      </c>
      <c r="M4899" s="17" t="s">
        <v>119</v>
      </c>
      <c r="N4899" s="17" t="str">
        <f t="shared" si="431"/>
        <v>TON</v>
      </c>
      <c r="O4899" s="19">
        <v>2.0150000000000001</v>
      </c>
    </row>
    <row r="4900" spans="2:15" x14ac:dyDescent="0.25">
      <c r="B4900" s="16" t="s">
        <v>1520</v>
      </c>
      <c r="C4900" s="17" t="s">
        <v>196</v>
      </c>
      <c r="D4900" s="17" t="s">
        <v>114</v>
      </c>
      <c r="E4900" s="17" t="s">
        <v>402</v>
      </c>
      <c r="F4900" s="18">
        <f t="shared" si="436"/>
        <v>45400</v>
      </c>
      <c r="G4900" s="17">
        <f t="shared" si="429"/>
        <v>4</v>
      </c>
      <c r="H4900" s="17">
        <f t="shared" si="430"/>
        <v>2024</v>
      </c>
      <c r="I4900" s="17" t="s">
        <v>4</v>
      </c>
      <c r="J4900" s="17" t="s">
        <v>5644</v>
      </c>
      <c r="K4900" s="17" t="s">
        <v>2350</v>
      </c>
      <c r="L4900" s="17" t="s">
        <v>2351</v>
      </c>
      <c r="M4900" s="17" t="s">
        <v>119</v>
      </c>
      <c r="N4900" s="17" t="str">
        <f t="shared" si="431"/>
        <v>TON</v>
      </c>
      <c r="O4900" s="19">
        <v>4.4924999999999997</v>
      </c>
    </row>
    <row r="4901" spans="2:15" x14ac:dyDescent="0.25">
      <c r="B4901" s="16" t="s">
        <v>1520</v>
      </c>
      <c r="C4901" s="17" t="s">
        <v>196</v>
      </c>
      <c r="D4901" s="17" t="s">
        <v>114</v>
      </c>
      <c r="E4901" s="17" t="s">
        <v>3751</v>
      </c>
      <c r="F4901" s="18">
        <f t="shared" si="436"/>
        <v>45400</v>
      </c>
      <c r="G4901" s="17">
        <f t="shared" si="429"/>
        <v>4</v>
      </c>
      <c r="H4901" s="17">
        <f t="shared" si="430"/>
        <v>2024</v>
      </c>
      <c r="I4901" s="17" t="s">
        <v>4</v>
      </c>
      <c r="J4901" s="17" t="s">
        <v>5645</v>
      </c>
      <c r="K4901" s="17" t="s">
        <v>2350</v>
      </c>
      <c r="L4901" s="17" t="s">
        <v>2351</v>
      </c>
      <c r="M4901" s="17" t="s">
        <v>119</v>
      </c>
      <c r="N4901" s="17" t="str">
        <f t="shared" si="431"/>
        <v>TON</v>
      </c>
      <c r="O4901" s="19">
        <v>1.25</v>
      </c>
    </row>
    <row r="4902" spans="2:15" x14ac:dyDescent="0.25">
      <c r="B4902" s="16" t="s">
        <v>1520</v>
      </c>
      <c r="C4902" s="17" t="s">
        <v>196</v>
      </c>
      <c r="D4902" s="17" t="s">
        <v>1276</v>
      </c>
      <c r="E4902" s="17" t="s">
        <v>791</v>
      </c>
      <c r="F4902" s="18">
        <f t="shared" ref="F4902:F4908" si="437">DATE(2024,4,19)</f>
        <v>45401</v>
      </c>
      <c r="G4902" s="17">
        <f t="shared" si="429"/>
        <v>4</v>
      </c>
      <c r="H4902" s="17">
        <f t="shared" si="430"/>
        <v>2024</v>
      </c>
      <c r="I4902" s="17" t="s">
        <v>4</v>
      </c>
      <c r="J4902" s="17" t="s">
        <v>5646</v>
      </c>
      <c r="K4902" s="17" t="s">
        <v>5333</v>
      </c>
      <c r="L4902" s="17" t="s">
        <v>5334</v>
      </c>
      <c r="M4902" s="17" t="s">
        <v>119</v>
      </c>
      <c r="N4902" s="17" t="str">
        <f t="shared" si="431"/>
        <v>TON</v>
      </c>
      <c r="O4902" s="19">
        <v>3.01</v>
      </c>
    </row>
    <row r="4903" spans="2:15" x14ac:dyDescent="0.25">
      <c r="B4903" s="16" t="s">
        <v>1520</v>
      </c>
      <c r="C4903" s="17" t="s">
        <v>196</v>
      </c>
      <c r="D4903" s="17" t="s">
        <v>374</v>
      </c>
      <c r="E4903" s="17" t="s">
        <v>717</v>
      </c>
      <c r="F4903" s="18">
        <f t="shared" si="437"/>
        <v>45401</v>
      </c>
      <c r="G4903" s="17">
        <f t="shared" si="429"/>
        <v>4</v>
      </c>
      <c r="H4903" s="17">
        <f t="shared" si="430"/>
        <v>2024</v>
      </c>
      <c r="I4903" s="17" t="s">
        <v>4</v>
      </c>
      <c r="J4903" s="17" t="s">
        <v>5647</v>
      </c>
      <c r="K4903" s="17" t="s">
        <v>329</v>
      </c>
      <c r="L4903" s="17" t="s">
        <v>330</v>
      </c>
      <c r="M4903" s="17" t="s">
        <v>119</v>
      </c>
      <c r="N4903" s="17" t="str">
        <f t="shared" si="431"/>
        <v>TON</v>
      </c>
      <c r="O4903" s="19">
        <v>5.01</v>
      </c>
    </row>
    <row r="4904" spans="2:15" x14ac:dyDescent="0.25">
      <c r="B4904" s="16" t="s">
        <v>1520</v>
      </c>
      <c r="C4904" s="17" t="s">
        <v>196</v>
      </c>
      <c r="D4904" s="17" t="s">
        <v>283</v>
      </c>
      <c r="E4904" s="17" t="s">
        <v>699</v>
      </c>
      <c r="F4904" s="18">
        <f t="shared" si="437"/>
        <v>45401</v>
      </c>
      <c r="G4904" s="17">
        <f t="shared" si="429"/>
        <v>4</v>
      </c>
      <c r="H4904" s="17">
        <f t="shared" si="430"/>
        <v>2024</v>
      </c>
      <c r="I4904" s="17" t="s">
        <v>4</v>
      </c>
      <c r="J4904" s="17" t="s">
        <v>5648</v>
      </c>
      <c r="K4904" s="17" t="s">
        <v>200</v>
      </c>
      <c r="L4904" s="17" t="s">
        <v>201</v>
      </c>
      <c r="M4904" s="17" t="s">
        <v>202</v>
      </c>
      <c r="N4904" s="17" t="str">
        <f t="shared" si="431"/>
        <v>GAL</v>
      </c>
      <c r="O4904" s="19">
        <v>5</v>
      </c>
    </row>
    <row r="4905" spans="2:15" x14ac:dyDescent="0.25">
      <c r="B4905" s="16" t="s">
        <v>1520</v>
      </c>
      <c r="C4905" s="17" t="s">
        <v>196</v>
      </c>
      <c r="D4905" s="17" t="s">
        <v>114</v>
      </c>
      <c r="E4905" s="17" t="s">
        <v>369</v>
      </c>
      <c r="F4905" s="18">
        <f t="shared" si="437"/>
        <v>45401</v>
      </c>
      <c r="G4905" s="17">
        <f t="shared" si="429"/>
        <v>4</v>
      </c>
      <c r="H4905" s="17">
        <f t="shared" si="430"/>
        <v>2024</v>
      </c>
      <c r="I4905" s="17" t="s">
        <v>4</v>
      </c>
      <c r="J4905" s="17" t="s">
        <v>5649</v>
      </c>
      <c r="K4905" s="17" t="s">
        <v>2350</v>
      </c>
      <c r="L4905" s="17" t="s">
        <v>2351</v>
      </c>
      <c r="M4905" s="17" t="s">
        <v>119</v>
      </c>
      <c r="N4905" s="17" t="str">
        <f t="shared" si="431"/>
        <v>TON</v>
      </c>
      <c r="O4905" s="19">
        <v>2</v>
      </c>
    </row>
    <row r="4906" spans="2:15" x14ac:dyDescent="0.25">
      <c r="B4906" s="16" t="s">
        <v>1520</v>
      </c>
      <c r="C4906" s="17" t="s">
        <v>196</v>
      </c>
      <c r="D4906" s="17" t="s">
        <v>215</v>
      </c>
      <c r="E4906" s="17" t="s">
        <v>315</v>
      </c>
      <c r="F4906" s="18">
        <f t="shared" si="437"/>
        <v>45401</v>
      </c>
      <c r="G4906" s="17">
        <f t="shared" ref="G4906:G4969" si="438">MONTH(F4906)</f>
        <v>4</v>
      </c>
      <c r="H4906" s="17">
        <f t="shared" ref="H4906:H4969" si="439">YEAR(F4906)</f>
        <v>2024</v>
      </c>
      <c r="I4906" s="17" t="s">
        <v>4</v>
      </c>
      <c r="J4906" s="17" t="s">
        <v>5650</v>
      </c>
      <c r="K4906" s="17" t="s">
        <v>205</v>
      </c>
      <c r="L4906" s="17" t="s">
        <v>206</v>
      </c>
      <c r="M4906" s="17" t="s">
        <v>119</v>
      </c>
      <c r="N4906" s="17" t="str">
        <f t="shared" ref="N4906:N4969" si="440">LEFT(M4906,3)</f>
        <v>TON</v>
      </c>
      <c r="O4906" s="19">
        <v>9</v>
      </c>
    </row>
    <row r="4907" spans="2:15" x14ac:dyDescent="0.25">
      <c r="B4907" s="16" t="s">
        <v>1520</v>
      </c>
      <c r="C4907" s="17" t="s">
        <v>196</v>
      </c>
      <c r="D4907" s="17" t="s">
        <v>241</v>
      </c>
      <c r="E4907" s="17" t="s">
        <v>258</v>
      </c>
      <c r="F4907" s="18">
        <f t="shared" si="437"/>
        <v>45401</v>
      </c>
      <c r="G4907" s="17">
        <f t="shared" si="438"/>
        <v>4</v>
      </c>
      <c r="H4907" s="17">
        <f t="shared" si="439"/>
        <v>2024</v>
      </c>
      <c r="I4907" s="17" t="s">
        <v>4</v>
      </c>
      <c r="J4907" s="17" t="s">
        <v>5651</v>
      </c>
      <c r="K4907" s="17" t="s">
        <v>3458</v>
      </c>
      <c r="L4907" s="17" t="s">
        <v>3459</v>
      </c>
      <c r="M4907" s="17" t="s">
        <v>119</v>
      </c>
      <c r="N4907" s="17" t="str">
        <f t="shared" si="440"/>
        <v>TON</v>
      </c>
      <c r="O4907" s="19">
        <v>2.0049999999999999</v>
      </c>
    </row>
    <row r="4908" spans="2:15" x14ac:dyDescent="0.25">
      <c r="B4908" s="16" t="s">
        <v>1520</v>
      </c>
      <c r="C4908" s="17" t="s">
        <v>196</v>
      </c>
      <c r="D4908" s="17" t="s">
        <v>374</v>
      </c>
      <c r="E4908" s="17" t="s">
        <v>424</v>
      </c>
      <c r="F4908" s="18">
        <f t="shared" si="437"/>
        <v>45401</v>
      </c>
      <c r="G4908" s="17">
        <f t="shared" si="438"/>
        <v>4</v>
      </c>
      <c r="H4908" s="17">
        <f t="shared" si="439"/>
        <v>2024</v>
      </c>
      <c r="I4908" s="17" t="s">
        <v>4</v>
      </c>
      <c r="J4908" s="17" t="s">
        <v>5652</v>
      </c>
      <c r="K4908" s="17" t="s">
        <v>329</v>
      </c>
      <c r="L4908" s="17" t="s">
        <v>330</v>
      </c>
      <c r="M4908" s="17" t="s">
        <v>119</v>
      </c>
      <c r="N4908" s="17" t="str">
        <f t="shared" si="440"/>
        <v>TON</v>
      </c>
      <c r="O4908" s="19">
        <v>2.5</v>
      </c>
    </row>
    <row r="4909" spans="2:15" x14ac:dyDescent="0.25">
      <c r="B4909" s="16" t="s">
        <v>1520</v>
      </c>
      <c r="C4909" s="17" t="s">
        <v>196</v>
      </c>
      <c r="D4909" s="17" t="s">
        <v>299</v>
      </c>
      <c r="E4909" s="17" t="s">
        <v>713</v>
      </c>
      <c r="F4909" s="18">
        <f>DATE(2024,4,22)</f>
        <v>45404</v>
      </c>
      <c r="G4909" s="17">
        <f t="shared" si="438"/>
        <v>4</v>
      </c>
      <c r="H4909" s="17">
        <f t="shared" si="439"/>
        <v>2024</v>
      </c>
      <c r="I4909" s="17" t="s">
        <v>4</v>
      </c>
      <c r="J4909" s="17" t="s">
        <v>5653</v>
      </c>
      <c r="K4909" s="17" t="s">
        <v>2350</v>
      </c>
      <c r="L4909" s="17" t="s">
        <v>2351</v>
      </c>
      <c r="M4909" s="17" t="s">
        <v>119</v>
      </c>
      <c r="N4909" s="17" t="str">
        <f t="shared" si="440"/>
        <v>TON</v>
      </c>
      <c r="O4909" s="19">
        <v>2.4849999999999999</v>
      </c>
    </row>
    <row r="4910" spans="2:15" x14ac:dyDescent="0.25">
      <c r="B4910" s="16" t="s">
        <v>1520</v>
      </c>
      <c r="C4910" s="17" t="s">
        <v>196</v>
      </c>
      <c r="D4910" s="17" t="s">
        <v>452</v>
      </c>
      <c r="E4910" s="17" t="s">
        <v>453</v>
      </c>
      <c r="F4910" s="18">
        <f>DATE(2024,4,22)</f>
        <v>45404</v>
      </c>
      <c r="G4910" s="17">
        <f t="shared" si="438"/>
        <v>4</v>
      </c>
      <c r="H4910" s="17">
        <f t="shared" si="439"/>
        <v>2024</v>
      </c>
      <c r="I4910" s="17" t="s">
        <v>4</v>
      </c>
      <c r="J4910" s="17" t="s">
        <v>5654</v>
      </c>
      <c r="K4910" s="17" t="s">
        <v>447</v>
      </c>
      <c r="L4910" s="17" t="s">
        <v>448</v>
      </c>
      <c r="M4910" s="17" t="s">
        <v>119</v>
      </c>
      <c r="N4910" s="17" t="str">
        <f t="shared" si="440"/>
        <v>TON</v>
      </c>
      <c r="O4910" s="19">
        <v>2.5150000000000001</v>
      </c>
    </row>
    <row r="4911" spans="2:15" x14ac:dyDescent="0.25">
      <c r="B4911" s="16" t="s">
        <v>1520</v>
      </c>
      <c r="C4911" s="17" t="s">
        <v>196</v>
      </c>
      <c r="D4911" s="17" t="s">
        <v>262</v>
      </c>
      <c r="E4911" s="17" t="s">
        <v>1170</v>
      </c>
      <c r="F4911" s="18">
        <f>DATE(2024,4,22)</f>
        <v>45404</v>
      </c>
      <c r="G4911" s="17">
        <f t="shared" si="438"/>
        <v>4</v>
      </c>
      <c r="H4911" s="17">
        <f t="shared" si="439"/>
        <v>2024</v>
      </c>
      <c r="I4911" s="17" t="s">
        <v>4</v>
      </c>
      <c r="J4911" s="17" t="s">
        <v>5655</v>
      </c>
      <c r="K4911" s="17" t="s">
        <v>499</v>
      </c>
      <c r="L4911" s="17" t="s">
        <v>500</v>
      </c>
      <c r="M4911" s="17" t="s">
        <v>119</v>
      </c>
      <c r="N4911" s="17" t="str">
        <f t="shared" si="440"/>
        <v>TON</v>
      </c>
      <c r="O4911" s="19">
        <v>11.25</v>
      </c>
    </row>
    <row r="4912" spans="2:15" x14ac:dyDescent="0.25">
      <c r="B4912" s="16" t="s">
        <v>1520</v>
      </c>
      <c r="C4912" s="17" t="s">
        <v>196</v>
      </c>
      <c r="D4912" s="17" t="s">
        <v>837</v>
      </c>
      <c r="E4912" s="17" t="s">
        <v>102</v>
      </c>
      <c r="F4912" s="18">
        <f>DATE(2024,4,22)</f>
        <v>45404</v>
      </c>
      <c r="G4912" s="17">
        <f t="shared" si="438"/>
        <v>4</v>
      </c>
      <c r="H4912" s="17">
        <f t="shared" si="439"/>
        <v>2024</v>
      </c>
      <c r="I4912" s="17" t="s">
        <v>4</v>
      </c>
      <c r="J4912" s="17" t="s">
        <v>5656</v>
      </c>
      <c r="K4912" s="17" t="s">
        <v>200</v>
      </c>
      <c r="L4912" s="17" t="s">
        <v>201</v>
      </c>
      <c r="M4912" s="17" t="s">
        <v>202</v>
      </c>
      <c r="N4912" s="17" t="str">
        <f t="shared" si="440"/>
        <v>GAL</v>
      </c>
      <c r="O4912" s="19">
        <v>5</v>
      </c>
    </row>
    <row r="4913" spans="2:15" x14ac:dyDescent="0.25">
      <c r="B4913" s="16" t="s">
        <v>1520</v>
      </c>
      <c r="C4913" s="17" t="s">
        <v>196</v>
      </c>
      <c r="D4913" s="17" t="s">
        <v>2002</v>
      </c>
      <c r="E4913" s="17" t="s">
        <v>102</v>
      </c>
      <c r="F4913" s="18">
        <f>DATE(2024,4,22)</f>
        <v>45404</v>
      </c>
      <c r="G4913" s="17">
        <f t="shared" si="438"/>
        <v>4</v>
      </c>
      <c r="H4913" s="17">
        <f t="shared" si="439"/>
        <v>2024</v>
      </c>
      <c r="I4913" s="17" t="s">
        <v>4</v>
      </c>
      <c r="J4913" s="17" t="s">
        <v>5657</v>
      </c>
      <c r="K4913" s="17" t="s">
        <v>1119</v>
      </c>
      <c r="L4913" s="17" t="s">
        <v>1023</v>
      </c>
      <c r="M4913" s="17" t="s">
        <v>1024</v>
      </c>
      <c r="N4913" s="17" t="str">
        <f t="shared" si="440"/>
        <v>GAL</v>
      </c>
      <c r="O4913" s="19">
        <v>5</v>
      </c>
    </row>
    <row r="4914" spans="2:15" x14ac:dyDescent="0.25">
      <c r="B4914" s="16" t="s">
        <v>1520</v>
      </c>
      <c r="C4914" s="17" t="s">
        <v>196</v>
      </c>
      <c r="D4914" s="17" t="s">
        <v>387</v>
      </c>
      <c r="E4914" s="17" t="s">
        <v>797</v>
      </c>
      <c r="F4914" s="18">
        <f t="shared" ref="F4914:F4923" si="441">DATE(2024,4,23)</f>
        <v>45405</v>
      </c>
      <c r="G4914" s="17">
        <f t="shared" si="438"/>
        <v>4</v>
      </c>
      <c r="H4914" s="17">
        <f t="shared" si="439"/>
        <v>2024</v>
      </c>
      <c r="I4914" s="17" t="s">
        <v>4</v>
      </c>
      <c r="J4914" s="17" t="s">
        <v>5658</v>
      </c>
      <c r="K4914" s="17" t="s">
        <v>2682</v>
      </c>
      <c r="L4914" s="17" t="s">
        <v>2683</v>
      </c>
      <c r="M4914" s="17" t="s">
        <v>119</v>
      </c>
      <c r="N4914" s="17" t="str">
        <f t="shared" si="440"/>
        <v>TON</v>
      </c>
      <c r="O4914" s="19">
        <v>15.022500000000001</v>
      </c>
    </row>
    <row r="4915" spans="2:15" x14ac:dyDescent="0.25">
      <c r="B4915" s="16" t="s">
        <v>1520</v>
      </c>
      <c r="C4915" s="17" t="s">
        <v>196</v>
      </c>
      <c r="D4915" s="17" t="s">
        <v>114</v>
      </c>
      <c r="E4915" s="17" t="s">
        <v>3751</v>
      </c>
      <c r="F4915" s="18">
        <f t="shared" si="441"/>
        <v>45405</v>
      </c>
      <c r="G4915" s="17">
        <f t="shared" si="438"/>
        <v>4</v>
      </c>
      <c r="H4915" s="17">
        <f t="shared" si="439"/>
        <v>2024</v>
      </c>
      <c r="I4915" s="17" t="s">
        <v>4</v>
      </c>
      <c r="J4915" s="17" t="s">
        <v>5659</v>
      </c>
      <c r="K4915" s="17" t="s">
        <v>2350</v>
      </c>
      <c r="L4915" s="17" t="s">
        <v>2351</v>
      </c>
      <c r="M4915" s="17" t="s">
        <v>119</v>
      </c>
      <c r="N4915" s="17" t="str">
        <f t="shared" si="440"/>
        <v>TON</v>
      </c>
      <c r="O4915" s="19">
        <v>3.9849999999999999</v>
      </c>
    </row>
    <row r="4916" spans="2:15" x14ac:dyDescent="0.25">
      <c r="B4916" s="16" t="s">
        <v>1520</v>
      </c>
      <c r="C4916" s="17" t="s">
        <v>196</v>
      </c>
      <c r="D4916" s="17" t="s">
        <v>299</v>
      </c>
      <c r="E4916" s="17" t="s">
        <v>300</v>
      </c>
      <c r="F4916" s="18">
        <f t="shared" si="441"/>
        <v>45405</v>
      </c>
      <c r="G4916" s="17">
        <f t="shared" si="438"/>
        <v>4</v>
      </c>
      <c r="H4916" s="17">
        <f t="shared" si="439"/>
        <v>2024</v>
      </c>
      <c r="I4916" s="17" t="s">
        <v>4</v>
      </c>
      <c r="J4916" s="17" t="s">
        <v>5660</v>
      </c>
      <c r="K4916" s="17" t="s">
        <v>2350</v>
      </c>
      <c r="L4916" s="17" t="s">
        <v>2351</v>
      </c>
      <c r="M4916" s="17" t="s">
        <v>119</v>
      </c>
      <c r="N4916" s="17" t="str">
        <f t="shared" si="440"/>
        <v>TON</v>
      </c>
      <c r="O4916" s="19">
        <v>9.7550000000000008</v>
      </c>
    </row>
    <row r="4917" spans="2:15" x14ac:dyDescent="0.25">
      <c r="B4917" s="16" t="s">
        <v>1520</v>
      </c>
      <c r="C4917" s="17" t="s">
        <v>196</v>
      </c>
      <c r="D4917" s="17" t="s">
        <v>790</v>
      </c>
      <c r="E4917" s="17" t="s">
        <v>1205</v>
      </c>
      <c r="F4917" s="18">
        <f t="shared" si="441"/>
        <v>45405</v>
      </c>
      <c r="G4917" s="17">
        <f t="shared" si="438"/>
        <v>4</v>
      </c>
      <c r="H4917" s="17">
        <f t="shared" si="439"/>
        <v>2024</v>
      </c>
      <c r="I4917" s="17" t="s">
        <v>4</v>
      </c>
      <c r="J4917" s="17" t="s">
        <v>5661</v>
      </c>
      <c r="K4917" s="17" t="s">
        <v>5333</v>
      </c>
      <c r="L4917" s="17" t="s">
        <v>5334</v>
      </c>
      <c r="M4917" s="17" t="s">
        <v>119</v>
      </c>
      <c r="N4917" s="17" t="str">
        <f t="shared" si="440"/>
        <v>TON</v>
      </c>
      <c r="O4917" s="19">
        <v>5.01</v>
      </c>
    </row>
    <row r="4918" spans="2:15" x14ac:dyDescent="0.25">
      <c r="B4918" s="16" t="s">
        <v>1520</v>
      </c>
      <c r="C4918" s="17" t="s">
        <v>196</v>
      </c>
      <c r="D4918" s="17" t="s">
        <v>2002</v>
      </c>
      <c r="E4918" s="17" t="s">
        <v>102</v>
      </c>
      <c r="F4918" s="18">
        <f t="shared" si="441"/>
        <v>45405</v>
      </c>
      <c r="G4918" s="17">
        <f t="shared" si="438"/>
        <v>4</v>
      </c>
      <c r="H4918" s="17">
        <f t="shared" si="439"/>
        <v>2024</v>
      </c>
      <c r="I4918" s="17" t="s">
        <v>4</v>
      </c>
      <c r="J4918" s="17" t="s">
        <v>5662</v>
      </c>
      <c r="K4918" s="17" t="s">
        <v>1119</v>
      </c>
      <c r="L4918" s="17" t="s">
        <v>1023</v>
      </c>
      <c r="M4918" s="17" t="s">
        <v>1024</v>
      </c>
      <c r="N4918" s="17" t="str">
        <f t="shared" si="440"/>
        <v>GAL</v>
      </c>
      <c r="O4918" s="19">
        <v>5</v>
      </c>
    </row>
    <row r="4919" spans="2:15" x14ac:dyDescent="0.25">
      <c r="B4919" s="16" t="s">
        <v>1520</v>
      </c>
      <c r="C4919" s="17" t="s">
        <v>196</v>
      </c>
      <c r="D4919" s="17" t="s">
        <v>444</v>
      </c>
      <c r="E4919" s="17" t="s">
        <v>445</v>
      </c>
      <c r="F4919" s="18">
        <f t="shared" si="441"/>
        <v>45405</v>
      </c>
      <c r="G4919" s="17">
        <f t="shared" si="438"/>
        <v>4</v>
      </c>
      <c r="H4919" s="17">
        <f t="shared" si="439"/>
        <v>2024</v>
      </c>
      <c r="I4919" s="17" t="s">
        <v>4</v>
      </c>
      <c r="J4919" s="17" t="s">
        <v>5663</v>
      </c>
      <c r="K4919" s="17" t="s">
        <v>447</v>
      </c>
      <c r="L4919" s="17" t="s">
        <v>448</v>
      </c>
      <c r="M4919" s="17" t="s">
        <v>119</v>
      </c>
      <c r="N4919" s="17" t="str">
        <f t="shared" si="440"/>
        <v>TON</v>
      </c>
      <c r="O4919" s="19">
        <v>5</v>
      </c>
    </row>
    <row r="4920" spans="2:15" x14ac:dyDescent="0.25">
      <c r="B4920" s="16" t="s">
        <v>1520</v>
      </c>
      <c r="C4920" s="17" t="s">
        <v>196</v>
      </c>
      <c r="D4920" s="17" t="s">
        <v>440</v>
      </c>
      <c r="E4920" s="17" t="s">
        <v>441</v>
      </c>
      <c r="F4920" s="18">
        <f t="shared" si="441"/>
        <v>45405</v>
      </c>
      <c r="G4920" s="17">
        <f t="shared" si="438"/>
        <v>4</v>
      </c>
      <c r="H4920" s="17">
        <f t="shared" si="439"/>
        <v>2024</v>
      </c>
      <c r="I4920" s="17" t="s">
        <v>4</v>
      </c>
      <c r="J4920" s="17" t="s">
        <v>5664</v>
      </c>
      <c r="K4920" s="17" t="s">
        <v>2682</v>
      </c>
      <c r="L4920" s="17" t="s">
        <v>2683</v>
      </c>
      <c r="M4920" s="17" t="s">
        <v>119</v>
      </c>
      <c r="N4920" s="17" t="str">
        <f t="shared" si="440"/>
        <v>TON</v>
      </c>
      <c r="O4920" s="19">
        <v>10</v>
      </c>
    </row>
    <row r="4921" spans="2:15" x14ac:dyDescent="0.25">
      <c r="B4921" s="16" t="s">
        <v>1520</v>
      </c>
      <c r="C4921" s="17" t="s">
        <v>196</v>
      </c>
      <c r="D4921" s="17" t="s">
        <v>289</v>
      </c>
      <c r="E4921" s="17" t="s">
        <v>2380</v>
      </c>
      <c r="F4921" s="18">
        <f t="shared" si="441"/>
        <v>45405</v>
      </c>
      <c r="G4921" s="17">
        <f t="shared" si="438"/>
        <v>4</v>
      </c>
      <c r="H4921" s="17">
        <f t="shared" si="439"/>
        <v>2024</v>
      </c>
      <c r="I4921" s="17" t="s">
        <v>4</v>
      </c>
      <c r="J4921" s="17" t="s">
        <v>5665</v>
      </c>
      <c r="K4921" s="17" t="s">
        <v>292</v>
      </c>
      <c r="L4921" s="17" t="s">
        <v>293</v>
      </c>
      <c r="M4921" s="17" t="s">
        <v>119</v>
      </c>
      <c r="N4921" s="17" t="str">
        <f t="shared" si="440"/>
        <v>TON</v>
      </c>
      <c r="O4921" s="19">
        <v>1</v>
      </c>
    </row>
    <row r="4922" spans="2:15" x14ac:dyDescent="0.25">
      <c r="B4922" s="16" t="s">
        <v>1520</v>
      </c>
      <c r="C4922" s="17" t="s">
        <v>196</v>
      </c>
      <c r="D4922" s="17" t="s">
        <v>1343</v>
      </c>
      <c r="E4922" s="17" t="s">
        <v>4151</v>
      </c>
      <c r="F4922" s="18">
        <f t="shared" si="441"/>
        <v>45405</v>
      </c>
      <c r="G4922" s="17">
        <f t="shared" si="438"/>
        <v>4</v>
      </c>
      <c r="H4922" s="17">
        <f t="shared" si="439"/>
        <v>2024</v>
      </c>
      <c r="I4922" s="17" t="s">
        <v>4</v>
      </c>
      <c r="J4922" s="17" t="s">
        <v>5666</v>
      </c>
      <c r="K4922" s="17" t="s">
        <v>2682</v>
      </c>
      <c r="L4922" s="17" t="s">
        <v>2683</v>
      </c>
      <c r="M4922" s="17" t="s">
        <v>119</v>
      </c>
      <c r="N4922" s="17" t="str">
        <f t="shared" si="440"/>
        <v>TON</v>
      </c>
      <c r="O4922" s="19">
        <v>15.02</v>
      </c>
    </row>
    <row r="4923" spans="2:15" x14ac:dyDescent="0.25">
      <c r="B4923" s="16" t="s">
        <v>1520</v>
      </c>
      <c r="C4923" s="17" t="s">
        <v>196</v>
      </c>
      <c r="D4923" s="17" t="s">
        <v>449</v>
      </c>
      <c r="E4923" s="17" t="s">
        <v>751</v>
      </c>
      <c r="F4923" s="18">
        <f t="shared" si="441"/>
        <v>45405</v>
      </c>
      <c r="G4923" s="17">
        <f t="shared" si="438"/>
        <v>4</v>
      </c>
      <c r="H4923" s="17">
        <f t="shared" si="439"/>
        <v>2024</v>
      </c>
      <c r="I4923" s="17" t="s">
        <v>4</v>
      </c>
      <c r="J4923" s="17" t="s">
        <v>5667</v>
      </c>
      <c r="K4923" s="17" t="s">
        <v>329</v>
      </c>
      <c r="L4923" s="17" t="s">
        <v>330</v>
      </c>
      <c r="M4923" s="17" t="s">
        <v>119</v>
      </c>
      <c r="N4923" s="17" t="str">
        <f t="shared" si="440"/>
        <v>TON</v>
      </c>
      <c r="O4923" s="19">
        <v>2.5</v>
      </c>
    </row>
    <row r="4924" spans="2:15" x14ac:dyDescent="0.25">
      <c r="B4924" s="16" t="s">
        <v>1520</v>
      </c>
      <c r="C4924" s="17" t="s">
        <v>196</v>
      </c>
      <c r="D4924" s="17" t="s">
        <v>4013</v>
      </c>
      <c r="E4924" s="17" t="s">
        <v>102</v>
      </c>
      <c r="F4924" s="18">
        <f t="shared" ref="F4924:F4930" si="442">DATE(2024,4,24)</f>
        <v>45406</v>
      </c>
      <c r="G4924" s="17">
        <f t="shared" si="438"/>
        <v>4</v>
      </c>
      <c r="H4924" s="17">
        <f t="shared" si="439"/>
        <v>2024</v>
      </c>
      <c r="I4924" s="17" t="s">
        <v>4</v>
      </c>
      <c r="J4924" s="17" t="s">
        <v>5668</v>
      </c>
      <c r="K4924" s="17" t="s">
        <v>69</v>
      </c>
      <c r="L4924" s="17" t="s">
        <v>565</v>
      </c>
      <c r="M4924" s="17" t="s">
        <v>21</v>
      </c>
      <c r="N4924" s="17" t="str">
        <f t="shared" si="440"/>
        <v>GAL</v>
      </c>
      <c r="O4924" s="19">
        <v>30</v>
      </c>
    </row>
    <row r="4925" spans="2:15" x14ac:dyDescent="0.25">
      <c r="B4925" s="16" t="s">
        <v>1520</v>
      </c>
      <c r="C4925" s="17" t="s">
        <v>196</v>
      </c>
      <c r="D4925" s="17" t="s">
        <v>294</v>
      </c>
      <c r="E4925" s="17" t="s">
        <v>295</v>
      </c>
      <c r="F4925" s="18">
        <f t="shared" si="442"/>
        <v>45406</v>
      </c>
      <c r="G4925" s="17">
        <f t="shared" si="438"/>
        <v>4</v>
      </c>
      <c r="H4925" s="17">
        <f t="shared" si="439"/>
        <v>2024</v>
      </c>
      <c r="I4925" s="17" t="s">
        <v>4</v>
      </c>
      <c r="J4925" s="17" t="s">
        <v>5669</v>
      </c>
      <c r="K4925" s="17" t="s">
        <v>122</v>
      </c>
      <c r="L4925" s="17" t="s">
        <v>123</v>
      </c>
      <c r="M4925" s="17" t="s">
        <v>119</v>
      </c>
      <c r="N4925" s="17" t="str">
        <f t="shared" si="440"/>
        <v>TON</v>
      </c>
      <c r="O4925" s="19">
        <v>7.51</v>
      </c>
    </row>
    <row r="4926" spans="2:15" x14ac:dyDescent="0.25">
      <c r="B4926" s="16" t="s">
        <v>1520</v>
      </c>
      <c r="C4926" s="17" t="s">
        <v>196</v>
      </c>
      <c r="D4926" s="17" t="s">
        <v>310</v>
      </c>
      <c r="E4926" s="17" t="s">
        <v>355</v>
      </c>
      <c r="F4926" s="18">
        <f t="shared" si="442"/>
        <v>45406</v>
      </c>
      <c r="G4926" s="17">
        <f t="shared" si="438"/>
        <v>4</v>
      </c>
      <c r="H4926" s="17">
        <f t="shared" si="439"/>
        <v>2024</v>
      </c>
      <c r="I4926" s="17" t="s">
        <v>4</v>
      </c>
      <c r="J4926" s="17" t="s">
        <v>5670</v>
      </c>
      <c r="K4926" s="17" t="s">
        <v>205</v>
      </c>
      <c r="L4926" s="17" t="s">
        <v>206</v>
      </c>
      <c r="M4926" s="17" t="s">
        <v>119</v>
      </c>
      <c r="N4926" s="17" t="str">
        <f t="shared" si="440"/>
        <v>TON</v>
      </c>
      <c r="O4926" s="19">
        <v>1.0075000000000001</v>
      </c>
    </row>
    <row r="4927" spans="2:15" x14ac:dyDescent="0.25">
      <c r="B4927" s="16" t="s">
        <v>1520</v>
      </c>
      <c r="C4927" s="17" t="s">
        <v>196</v>
      </c>
      <c r="D4927" s="17" t="s">
        <v>721</v>
      </c>
      <c r="E4927" s="17" t="s">
        <v>721</v>
      </c>
      <c r="F4927" s="18">
        <f t="shared" si="442"/>
        <v>45406</v>
      </c>
      <c r="G4927" s="17">
        <f t="shared" si="438"/>
        <v>4</v>
      </c>
      <c r="H4927" s="17">
        <f t="shared" si="439"/>
        <v>2024</v>
      </c>
      <c r="I4927" s="17" t="s">
        <v>4</v>
      </c>
      <c r="J4927" s="17" t="s">
        <v>5671</v>
      </c>
      <c r="K4927" s="17" t="s">
        <v>531</v>
      </c>
      <c r="L4927" s="17" t="s">
        <v>201</v>
      </c>
      <c r="M4927" s="17" t="s">
        <v>202</v>
      </c>
      <c r="N4927" s="17" t="str">
        <f t="shared" si="440"/>
        <v>GAL</v>
      </c>
      <c r="O4927" s="19">
        <v>30</v>
      </c>
    </row>
    <row r="4928" spans="2:15" x14ac:dyDescent="0.25">
      <c r="B4928" s="16" t="s">
        <v>1520</v>
      </c>
      <c r="C4928" s="17" t="s">
        <v>196</v>
      </c>
      <c r="D4928" s="17" t="s">
        <v>262</v>
      </c>
      <c r="E4928" s="17" t="s">
        <v>1226</v>
      </c>
      <c r="F4928" s="18">
        <f t="shared" si="442"/>
        <v>45406</v>
      </c>
      <c r="G4928" s="17">
        <f t="shared" si="438"/>
        <v>4</v>
      </c>
      <c r="H4928" s="17">
        <f t="shared" si="439"/>
        <v>2024</v>
      </c>
      <c r="I4928" s="17" t="s">
        <v>4</v>
      </c>
      <c r="J4928" s="17" t="s">
        <v>5672</v>
      </c>
      <c r="K4928" s="17" t="s">
        <v>499</v>
      </c>
      <c r="L4928" s="17" t="s">
        <v>500</v>
      </c>
      <c r="M4928" s="17" t="s">
        <v>119</v>
      </c>
      <c r="N4928" s="17" t="str">
        <f t="shared" si="440"/>
        <v>TON</v>
      </c>
      <c r="O4928" s="19">
        <v>1.2625</v>
      </c>
    </row>
    <row r="4929" spans="2:15" x14ac:dyDescent="0.25">
      <c r="B4929" s="16" t="s">
        <v>1520</v>
      </c>
      <c r="C4929" s="17" t="s">
        <v>196</v>
      </c>
      <c r="D4929" s="17" t="s">
        <v>224</v>
      </c>
      <c r="E4929" s="17" t="s">
        <v>361</v>
      </c>
      <c r="F4929" s="18">
        <f t="shared" si="442"/>
        <v>45406</v>
      </c>
      <c r="G4929" s="17">
        <f t="shared" si="438"/>
        <v>4</v>
      </c>
      <c r="H4929" s="17">
        <f t="shared" si="439"/>
        <v>2024</v>
      </c>
      <c r="I4929" s="17" t="s">
        <v>4</v>
      </c>
      <c r="J4929" s="17" t="s">
        <v>5673</v>
      </c>
      <c r="K4929" s="17" t="s">
        <v>205</v>
      </c>
      <c r="L4929" s="17" t="s">
        <v>206</v>
      </c>
      <c r="M4929" s="17" t="s">
        <v>119</v>
      </c>
      <c r="N4929" s="17" t="str">
        <f t="shared" si="440"/>
        <v>TON</v>
      </c>
      <c r="O4929" s="19">
        <v>5.0075000000000003</v>
      </c>
    </row>
    <row r="4930" spans="2:15" x14ac:dyDescent="0.25">
      <c r="B4930" s="16" t="s">
        <v>1520</v>
      </c>
      <c r="C4930" s="17" t="s">
        <v>196</v>
      </c>
      <c r="D4930" s="17" t="s">
        <v>265</v>
      </c>
      <c r="E4930" s="17" t="s">
        <v>266</v>
      </c>
      <c r="F4930" s="18">
        <f t="shared" si="442"/>
        <v>45406</v>
      </c>
      <c r="G4930" s="17">
        <f t="shared" si="438"/>
        <v>4</v>
      </c>
      <c r="H4930" s="17">
        <f t="shared" si="439"/>
        <v>2024</v>
      </c>
      <c r="I4930" s="17" t="s">
        <v>4</v>
      </c>
      <c r="J4930" s="17" t="s">
        <v>5674</v>
      </c>
      <c r="K4930" s="17" t="s">
        <v>268</v>
      </c>
      <c r="L4930" s="17" t="s">
        <v>269</v>
      </c>
      <c r="M4930" s="17" t="s">
        <v>119</v>
      </c>
      <c r="N4930" s="17" t="str">
        <f t="shared" si="440"/>
        <v>TON</v>
      </c>
      <c r="O4930" s="19">
        <v>0.3</v>
      </c>
    </row>
    <row r="4931" spans="2:15" x14ac:dyDescent="0.25">
      <c r="B4931" s="16" t="s">
        <v>1520</v>
      </c>
      <c r="C4931" s="17" t="s">
        <v>196</v>
      </c>
      <c r="D4931" s="17" t="s">
        <v>289</v>
      </c>
      <c r="E4931" s="17" t="s">
        <v>290</v>
      </c>
      <c r="F4931" s="18">
        <f>DATE(2024,4,25)</f>
        <v>45407</v>
      </c>
      <c r="G4931" s="17">
        <f t="shared" si="438"/>
        <v>4</v>
      </c>
      <c r="H4931" s="17">
        <f t="shared" si="439"/>
        <v>2024</v>
      </c>
      <c r="I4931" s="17" t="s">
        <v>4</v>
      </c>
      <c r="J4931" s="17" t="s">
        <v>5675</v>
      </c>
      <c r="K4931" s="17" t="s">
        <v>292</v>
      </c>
      <c r="L4931" s="17" t="s">
        <v>293</v>
      </c>
      <c r="M4931" s="17" t="s">
        <v>119</v>
      </c>
      <c r="N4931" s="17" t="str">
        <f t="shared" si="440"/>
        <v>TON</v>
      </c>
      <c r="O4931" s="19">
        <v>1</v>
      </c>
    </row>
    <row r="4932" spans="2:15" x14ac:dyDescent="0.25">
      <c r="B4932" s="16" t="s">
        <v>1520</v>
      </c>
      <c r="C4932" s="17" t="s">
        <v>196</v>
      </c>
      <c r="D4932" s="17" t="s">
        <v>321</v>
      </c>
      <c r="E4932" s="17" t="s">
        <v>392</v>
      </c>
      <c r="F4932" s="18">
        <f>DATE(2024,4,25)</f>
        <v>45407</v>
      </c>
      <c r="G4932" s="17">
        <f t="shared" si="438"/>
        <v>4</v>
      </c>
      <c r="H4932" s="17">
        <f t="shared" si="439"/>
        <v>2024</v>
      </c>
      <c r="I4932" s="17" t="s">
        <v>4</v>
      </c>
      <c r="J4932" s="17" t="s">
        <v>5676</v>
      </c>
      <c r="K4932" s="17" t="s">
        <v>447</v>
      </c>
      <c r="L4932" s="17" t="s">
        <v>448</v>
      </c>
      <c r="M4932" s="17" t="s">
        <v>119</v>
      </c>
      <c r="N4932" s="17" t="str">
        <f t="shared" si="440"/>
        <v>TON</v>
      </c>
      <c r="O4932" s="19">
        <v>10.0075</v>
      </c>
    </row>
    <row r="4933" spans="2:15" x14ac:dyDescent="0.25">
      <c r="B4933" s="16" t="s">
        <v>1520</v>
      </c>
      <c r="C4933" s="17" t="s">
        <v>196</v>
      </c>
      <c r="D4933" s="17" t="s">
        <v>317</v>
      </c>
      <c r="E4933" s="17" t="s">
        <v>677</v>
      </c>
      <c r="F4933" s="18">
        <f>DATE(2024,4,25)</f>
        <v>45407</v>
      </c>
      <c r="G4933" s="17">
        <f t="shared" si="438"/>
        <v>4</v>
      </c>
      <c r="H4933" s="17">
        <f t="shared" si="439"/>
        <v>2024</v>
      </c>
      <c r="I4933" s="17" t="s">
        <v>4</v>
      </c>
      <c r="J4933" s="17" t="s">
        <v>5677</v>
      </c>
      <c r="K4933" s="17" t="s">
        <v>2776</v>
      </c>
      <c r="L4933" s="17" t="s">
        <v>2777</v>
      </c>
      <c r="M4933" s="17" t="s">
        <v>119</v>
      </c>
      <c r="N4933" s="17" t="str">
        <f t="shared" si="440"/>
        <v>TON</v>
      </c>
      <c r="O4933" s="19">
        <v>4.0049999999999999</v>
      </c>
    </row>
    <row r="4934" spans="2:15" x14ac:dyDescent="0.25">
      <c r="B4934" s="16" t="s">
        <v>382</v>
      </c>
      <c r="C4934" s="17" t="s">
        <v>506</v>
      </c>
      <c r="D4934" s="17" t="s">
        <v>1006</v>
      </c>
      <c r="E4934" s="17" t="s">
        <v>1007</v>
      </c>
      <c r="F4934" s="18">
        <f>DATE(2024,4,30)</f>
        <v>45412</v>
      </c>
      <c r="G4934" s="17">
        <f t="shared" si="438"/>
        <v>4</v>
      </c>
      <c r="H4934" s="17">
        <f t="shared" si="439"/>
        <v>2024</v>
      </c>
      <c r="I4934" s="17" t="s">
        <v>4</v>
      </c>
      <c r="J4934" s="17" t="s">
        <v>5678</v>
      </c>
      <c r="K4934" s="17" t="s">
        <v>642</v>
      </c>
      <c r="L4934" s="17" t="s">
        <v>111</v>
      </c>
      <c r="M4934" s="17" t="s">
        <v>112</v>
      </c>
      <c r="N4934" s="17" t="str">
        <f t="shared" si="440"/>
        <v>GAL</v>
      </c>
      <c r="O4934" s="19">
        <v>180</v>
      </c>
    </row>
    <row r="4935" spans="2:15" x14ac:dyDescent="0.25">
      <c r="B4935" s="16" t="s">
        <v>382</v>
      </c>
      <c r="C4935" s="17" t="s">
        <v>506</v>
      </c>
      <c r="D4935" s="17" t="s">
        <v>515</v>
      </c>
      <c r="E4935" s="17" t="s">
        <v>516</v>
      </c>
      <c r="F4935" s="18">
        <f>DATE(2024,4,5)</f>
        <v>45387</v>
      </c>
      <c r="G4935" s="17">
        <f t="shared" si="438"/>
        <v>4</v>
      </c>
      <c r="H4935" s="17">
        <f t="shared" si="439"/>
        <v>2024</v>
      </c>
      <c r="I4935" s="17" t="s">
        <v>4</v>
      </c>
      <c r="J4935" s="17" t="s">
        <v>5679</v>
      </c>
      <c r="K4935" s="17" t="s">
        <v>33</v>
      </c>
      <c r="L4935" s="17" t="s">
        <v>2786</v>
      </c>
      <c r="M4935" s="17" t="s">
        <v>35</v>
      </c>
      <c r="N4935" s="17" t="str">
        <f t="shared" si="440"/>
        <v>GAL</v>
      </c>
      <c r="O4935" s="19">
        <v>60</v>
      </c>
    </row>
    <row r="4936" spans="2:15" x14ac:dyDescent="0.25">
      <c r="B4936" s="16" t="s">
        <v>382</v>
      </c>
      <c r="C4936" s="17" t="s">
        <v>506</v>
      </c>
      <c r="D4936" s="17" t="s">
        <v>515</v>
      </c>
      <c r="E4936" s="17" t="s">
        <v>516</v>
      </c>
      <c r="F4936" s="18">
        <f>DATE(2024,4,5)</f>
        <v>45387</v>
      </c>
      <c r="G4936" s="17">
        <f t="shared" si="438"/>
        <v>4</v>
      </c>
      <c r="H4936" s="17">
        <f t="shared" si="439"/>
        <v>2024</v>
      </c>
      <c r="I4936" s="17" t="s">
        <v>4</v>
      </c>
      <c r="J4936" s="17" t="s">
        <v>5679</v>
      </c>
      <c r="K4936" s="17" t="s">
        <v>1729</v>
      </c>
      <c r="L4936" s="17" t="s">
        <v>2073</v>
      </c>
      <c r="M4936" s="17" t="s">
        <v>1731</v>
      </c>
      <c r="N4936" s="17" t="str">
        <f t="shared" si="440"/>
        <v>GAL</v>
      </c>
      <c r="O4936" s="19">
        <v>180</v>
      </c>
    </row>
    <row r="4937" spans="2:15" x14ac:dyDescent="0.25">
      <c r="B4937" s="16" t="s">
        <v>382</v>
      </c>
      <c r="C4937" s="17" t="s">
        <v>506</v>
      </c>
      <c r="D4937" s="17" t="s">
        <v>515</v>
      </c>
      <c r="E4937" s="17" t="s">
        <v>516</v>
      </c>
      <c r="F4937" s="18">
        <f>DATE(2024,4,5)</f>
        <v>45387</v>
      </c>
      <c r="G4937" s="17">
        <f t="shared" si="438"/>
        <v>4</v>
      </c>
      <c r="H4937" s="17">
        <f t="shared" si="439"/>
        <v>2024</v>
      </c>
      <c r="I4937" s="17" t="s">
        <v>4</v>
      </c>
      <c r="J4937" s="17" t="s">
        <v>5680</v>
      </c>
      <c r="K4937" s="17" t="s">
        <v>2447</v>
      </c>
      <c r="L4937" s="17" t="s">
        <v>547</v>
      </c>
      <c r="M4937" s="17" t="s">
        <v>160</v>
      </c>
      <c r="N4937" s="17" t="str">
        <f t="shared" si="440"/>
        <v>GAL</v>
      </c>
      <c r="O4937" s="19">
        <v>10</v>
      </c>
    </row>
    <row r="4938" spans="2:15" x14ac:dyDescent="0.25">
      <c r="B4938" s="16" t="s">
        <v>382</v>
      </c>
      <c r="C4938" s="17" t="s">
        <v>506</v>
      </c>
      <c r="D4938" s="17" t="s">
        <v>515</v>
      </c>
      <c r="E4938" s="17" t="s">
        <v>516</v>
      </c>
      <c r="F4938" s="18">
        <f>DATE(2024,4,5)</f>
        <v>45387</v>
      </c>
      <c r="G4938" s="17">
        <f t="shared" si="438"/>
        <v>4</v>
      </c>
      <c r="H4938" s="17">
        <f t="shared" si="439"/>
        <v>2024</v>
      </c>
      <c r="I4938" s="17" t="s">
        <v>4</v>
      </c>
      <c r="J4938" s="17" t="s">
        <v>5681</v>
      </c>
      <c r="K4938" s="17" t="s">
        <v>1470</v>
      </c>
      <c r="L4938" s="17" t="s">
        <v>1471</v>
      </c>
      <c r="M4938" s="17" t="s">
        <v>1472</v>
      </c>
      <c r="N4938" s="17" t="str">
        <f t="shared" si="440"/>
        <v>GAL</v>
      </c>
      <c r="O4938" s="19">
        <v>60</v>
      </c>
    </row>
    <row r="4939" spans="2:15" x14ac:dyDescent="0.25">
      <c r="B4939" s="16" t="s">
        <v>382</v>
      </c>
      <c r="C4939" s="17" t="s">
        <v>506</v>
      </c>
      <c r="D4939" s="17" t="s">
        <v>515</v>
      </c>
      <c r="E4939" s="17" t="s">
        <v>516</v>
      </c>
      <c r="F4939" s="18">
        <f>DATE(2024,4,5)</f>
        <v>45387</v>
      </c>
      <c r="G4939" s="17">
        <f t="shared" si="438"/>
        <v>4</v>
      </c>
      <c r="H4939" s="17">
        <f t="shared" si="439"/>
        <v>2024</v>
      </c>
      <c r="I4939" s="17" t="s">
        <v>4</v>
      </c>
      <c r="J4939" s="17" t="s">
        <v>5681</v>
      </c>
      <c r="K4939" s="17" t="s">
        <v>2447</v>
      </c>
      <c r="L4939" s="17" t="s">
        <v>547</v>
      </c>
      <c r="M4939" s="17" t="s">
        <v>160</v>
      </c>
      <c r="N4939" s="17" t="str">
        <f t="shared" si="440"/>
        <v>GAL</v>
      </c>
      <c r="O4939" s="19">
        <v>180</v>
      </c>
    </row>
    <row r="4940" spans="2:15" x14ac:dyDescent="0.25">
      <c r="B4940" s="16" t="s">
        <v>382</v>
      </c>
      <c r="C4940" s="17" t="s">
        <v>506</v>
      </c>
      <c r="D4940" s="17" t="s">
        <v>515</v>
      </c>
      <c r="E4940" s="17" t="s">
        <v>516</v>
      </c>
      <c r="F4940" s="18">
        <f>DATE(2024,4,11)</f>
        <v>45393</v>
      </c>
      <c r="G4940" s="17">
        <f t="shared" si="438"/>
        <v>4</v>
      </c>
      <c r="H4940" s="17">
        <f t="shared" si="439"/>
        <v>2024</v>
      </c>
      <c r="I4940" s="17" t="s">
        <v>4</v>
      </c>
      <c r="J4940" s="17" t="s">
        <v>5682</v>
      </c>
      <c r="K4940" s="17" t="s">
        <v>1085</v>
      </c>
      <c r="L4940" s="17" t="s">
        <v>999</v>
      </c>
      <c r="M4940" s="17" t="s">
        <v>1000</v>
      </c>
      <c r="N4940" s="17" t="str">
        <f t="shared" si="440"/>
        <v>GAL</v>
      </c>
      <c r="O4940" s="19">
        <v>60</v>
      </c>
    </row>
    <row r="4941" spans="2:15" x14ac:dyDescent="0.25">
      <c r="B4941" s="16" t="s">
        <v>382</v>
      </c>
      <c r="C4941" s="17" t="s">
        <v>506</v>
      </c>
      <c r="D4941" s="17" t="s">
        <v>521</v>
      </c>
      <c r="E4941" s="17" t="s">
        <v>522</v>
      </c>
      <c r="F4941" s="18">
        <f>DATE(2024,4,12)</f>
        <v>45394</v>
      </c>
      <c r="G4941" s="17">
        <f t="shared" si="438"/>
        <v>4</v>
      </c>
      <c r="H4941" s="17">
        <f t="shared" si="439"/>
        <v>2024</v>
      </c>
      <c r="I4941" s="17" t="s">
        <v>4</v>
      </c>
      <c r="J4941" s="17" t="s">
        <v>5683</v>
      </c>
      <c r="K4941" s="17" t="s">
        <v>5684</v>
      </c>
      <c r="L4941" s="17" t="s">
        <v>1267</v>
      </c>
      <c r="M4941" s="17" t="s">
        <v>191</v>
      </c>
      <c r="N4941" s="17" t="str">
        <f t="shared" si="440"/>
        <v>GAL</v>
      </c>
      <c r="O4941" s="19">
        <v>120</v>
      </c>
    </row>
    <row r="4942" spans="2:15" x14ac:dyDescent="0.25">
      <c r="B4942" s="16" t="s">
        <v>382</v>
      </c>
      <c r="C4942" s="17" t="s">
        <v>506</v>
      </c>
      <c r="D4942" s="17" t="s">
        <v>521</v>
      </c>
      <c r="E4942" s="17" t="s">
        <v>522</v>
      </c>
      <c r="F4942" s="18">
        <f>DATE(2024,4,12)</f>
        <v>45394</v>
      </c>
      <c r="G4942" s="17">
        <f t="shared" si="438"/>
        <v>4</v>
      </c>
      <c r="H4942" s="17">
        <f t="shared" si="439"/>
        <v>2024</v>
      </c>
      <c r="I4942" s="17" t="s">
        <v>4</v>
      </c>
      <c r="J4942" s="17" t="s">
        <v>5683</v>
      </c>
      <c r="K4942" s="17" t="s">
        <v>244</v>
      </c>
      <c r="L4942" s="17" t="s">
        <v>182</v>
      </c>
      <c r="M4942" s="17" t="s">
        <v>183</v>
      </c>
      <c r="N4942" s="17" t="str">
        <f t="shared" si="440"/>
        <v>GAL</v>
      </c>
      <c r="O4942" s="19">
        <v>180</v>
      </c>
    </row>
    <row r="4943" spans="2:15" x14ac:dyDescent="0.25">
      <c r="B4943" s="16" t="s">
        <v>382</v>
      </c>
      <c r="C4943" s="17" t="s">
        <v>506</v>
      </c>
      <c r="D4943" s="17" t="s">
        <v>521</v>
      </c>
      <c r="E4943" s="17" t="s">
        <v>522</v>
      </c>
      <c r="F4943" s="18">
        <f>DATE(2024,4,18)</f>
        <v>45400</v>
      </c>
      <c r="G4943" s="17">
        <f t="shared" si="438"/>
        <v>4</v>
      </c>
      <c r="H4943" s="17">
        <f t="shared" si="439"/>
        <v>2024</v>
      </c>
      <c r="I4943" s="17" t="s">
        <v>4</v>
      </c>
      <c r="J4943" s="17" t="s">
        <v>5685</v>
      </c>
      <c r="K4943" s="17" t="s">
        <v>1120</v>
      </c>
      <c r="L4943" s="17" t="s">
        <v>1121</v>
      </c>
      <c r="M4943" s="17" t="s">
        <v>131</v>
      </c>
      <c r="N4943" s="17" t="str">
        <f t="shared" si="440"/>
        <v>GAL</v>
      </c>
      <c r="O4943" s="19">
        <v>180</v>
      </c>
    </row>
    <row r="4944" spans="2:15" x14ac:dyDescent="0.25">
      <c r="B4944" s="16" t="s">
        <v>382</v>
      </c>
      <c r="C4944" s="17" t="s">
        <v>506</v>
      </c>
      <c r="D4944" s="17" t="s">
        <v>995</v>
      </c>
      <c r="E4944" s="17" t="s">
        <v>3327</v>
      </c>
      <c r="F4944" s="18">
        <f>DATE(2024,4,23)</f>
        <v>45405</v>
      </c>
      <c r="G4944" s="17">
        <f t="shared" si="438"/>
        <v>4</v>
      </c>
      <c r="H4944" s="17">
        <f t="shared" si="439"/>
        <v>2024</v>
      </c>
      <c r="I4944" s="17" t="s">
        <v>4</v>
      </c>
      <c r="J4944" s="17" t="s">
        <v>5686</v>
      </c>
      <c r="K4944" s="17" t="s">
        <v>3329</v>
      </c>
      <c r="L4944" s="17" t="s">
        <v>1471</v>
      </c>
      <c r="M4944" s="17" t="s">
        <v>1472</v>
      </c>
      <c r="N4944" s="17" t="str">
        <f t="shared" si="440"/>
        <v>GAL</v>
      </c>
      <c r="O4944" s="19">
        <v>250</v>
      </c>
    </row>
    <row r="4945" spans="2:15" x14ac:dyDescent="0.25">
      <c r="B4945" s="20" t="s">
        <v>1742</v>
      </c>
      <c r="C4945" s="21" t="s">
        <v>1025</v>
      </c>
      <c r="D4945" s="22" t="s">
        <v>496</v>
      </c>
      <c r="E4945" s="22" t="s">
        <v>497</v>
      </c>
      <c r="F4945" s="23">
        <f>DATE(2024,4,1)</f>
        <v>45383</v>
      </c>
      <c r="G4945" s="22">
        <f t="shared" si="438"/>
        <v>4</v>
      </c>
      <c r="H4945" s="22">
        <f t="shared" si="439"/>
        <v>2024</v>
      </c>
      <c r="I4945" s="22" t="s">
        <v>4</v>
      </c>
      <c r="J4945" s="21" t="s">
        <v>5687</v>
      </c>
      <c r="K4945" s="22" t="s">
        <v>2484</v>
      </c>
      <c r="L4945" s="22" t="s">
        <v>99</v>
      </c>
      <c r="M4945" s="22" t="s">
        <v>100</v>
      </c>
      <c r="N4945" s="22" t="str">
        <f t="shared" si="440"/>
        <v>GAL</v>
      </c>
      <c r="O4945" s="24">
        <v>500</v>
      </c>
    </row>
    <row r="4946" spans="2:15" x14ac:dyDescent="0.25">
      <c r="B4946" s="16" t="s">
        <v>645</v>
      </c>
      <c r="C4946" s="17" t="s">
        <v>1025</v>
      </c>
      <c r="D4946" s="17" t="s">
        <v>1401</v>
      </c>
      <c r="E4946" s="17" t="s">
        <v>1402</v>
      </c>
      <c r="F4946" s="18">
        <f>DATE(2024,4,3)</f>
        <v>45385</v>
      </c>
      <c r="G4946" s="17">
        <f t="shared" si="438"/>
        <v>4</v>
      </c>
      <c r="H4946" s="17">
        <f t="shared" si="439"/>
        <v>2024</v>
      </c>
      <c r="I4946" s="17" t="s">
        <v>4</v>
      </c>
      <c r="J4946" s="17" t="s">
        <v>5688</v>
      </c>
      <c r="K4946" s="17" t="s">
        <v>244</v>
      </c>
      <c r="L4946" s="17" t="s">
        <v>182</v>
      </c>
      <c r="M4946" s="17" t="s">
        <v>183</v>
      </c>
      <c r="N4946" s="17" t="str">
        <f t="shared" si="440"/>
        <v>GAL</v>
      </c>
      <c r="O4946" s="19">
        <v>5</v>
      </c>
    </row>
    <row r="4947" spans="2:15" x14ac:dyDescent="0.25">
      <c r="B4947" s="16" t="s">
        <v>645</v>
      </c>
      <c r="C4947" s="17" t="s">
        <v>1025</v>
      </c>
      <c r="D4947" s="17" t="s">
        <v>1401</v>
      </c>
      <c r="E4947" s="17" t="s">
        <v>1402</v>
      </c>
      <c r="F4947" s="18">
        <f>DATE(2024,4,9)</f>
        <v>45391</v>
      </c>
      <c r="G4947" s="17">
        <f t="shared" si="438"/>
        <v>4</v>
      </c>
      <c r="H4947" s="17">
        <f t="shared" si="439"/>
        <v>2024</v>
      </c>
      <c r="I4947" s="17" t="s">
        <v>4</v>
      </c>
      <c r="J4947" s="17" t="s">
        <v>5689</v>
      </c>
      <c r="K4947" s="17" t="s">
        <v>1404</v>
      </c>
      <c r="L4947" s="17" t="s">
        <v>1405</v>
      </c>
      <c r="M4947" s="17" t="s">
        <v>1397</v>
      </c>
      <c r="N4947" s="17" t="str">
        <f t="shared" si="440"/>
        <v>GAL</v>
      </c>
      <c r="O4947" s="19">
        <v>720</v>
      </c>
    </row>
    <row r="4948" spans="2:15" x14ac:dyDescent="0.25">
      <c r="B4948" s="16" t="s">
        <v>645</v>
      </c>
      <c r="C4948" s="17" t="s">
        <v>1025</v>
      </c>
      <c r="D4948" s="17" t="s">
        <v>2092</v>
      </c>
      <c r="E4948" s="17" t="s">
        <v>2093</v>
      </c>
      <c r="F4948" s="18">
        <f>DATE(2024,4,12)</f>
        <v>45394</v>
      </c>
      <c r="G4948" s="17">
        <f t="shared" si="438"/>
        <v>4</v>
      </c>
      <c r="H4948" s="17">
        <f t="shared" si="439"/>
        <v>2024</v>
      </c>
      <c r="I4948" s="17" t="s">
        <v>4</v>
      </c>
      <c r="J4948" s="17" t="s">
        <v>5690</v>
      </c>
      <c r="K4948" s="17" t="s">
        <v>2095</v>
      </c>
      <c r="L4948" s="17" t="s">
        <v>2096</v>
      </c>
      <c r="M4948" s="17" t="s">
        <v>119</v>
      </c>
      <c r="N4948" s="17" t="str">
        <f t="shared" si="440"/>
        <v>TON</v>
      </c>
      <c r="O4948" s="19">
        <v>13.48</v>
      </c>
    </row>
    <row r="4949" spans="2:15" x14ac:dyDescent="0.25">
      <c r="B4949" s="16" t="s">
        <v>1742</v>
      </c>
      <c r="C4949" s="17" t="s">
        <v>1025</v>
      </c>
      <c r="D4949" s="17" t="s">
        <v>124</v>
      </c>
      <c r="E4949" s="17" t="s">
        <v>2475</v>
      </c>
      <c r="F4949" s="18">
        <f>DATE(2024,4,18)</f>
        <v>45400</v>
      </c>
      <c r="G4949" s="17">
        <f t="shared" si="438"/>
        <v>4</v>
      </c>
      <c r="H4949" s="17">
        <f t="shared" si="439"/>
        <v>2024</v>
      </c>
      <c r="I4949" s="17" t="s">
        <v>4</v>
      </c>
      <c r="J4949" s="17" t="s">
        <v>5691</v>
      </c>
      <c r="K4949" s="17" t="s">
        <v>158</v>
      </c>
      <c r="L4949" s="17" t="s">
        <v>159</v>
      </c>
      <c r="M4949" s="17" t="s">
        <v>160</v>
      </c>
      <c r="N4949" s="17" t="str">
        <f t="shared" si="440"/>
        <v>GAL</v>
      </c>
      <c r="O4949" s="19">
        <v>180</v>
      </c>
    </row>
    <row r="4950" spans="2:15" x14ac:dyDescent="0.25">
      <c r="B4950" s="16" t="s">
        <v>1742</v>
      </c>
      <c r="C4950" s="17" t="s">
        <v>1025</v>
      </c>
      <c r="D4950" s="17" t="s">
        <v>496</v>
      </c>
      <c r="E4950" s="17" t="s">
        <v>497</v>
      </c>
      <c r="F4950" s="18">
        <f>DATE(2024,4,18)</f>
        <v>45400</v>
      </c>
      <c r="G4950" s="17">
        <f t="shared" si="438"/>
        <v>4</v>
      </c>
      <c r="H4950" s="17">
        <f t="shared" si="439"/>
        <v>2024</v>
      </c>
      <c r="I4950" s="17" t="s">
        <v>4</v>
      </c>
      <c r="J4950" s="17" t="s">
        <v>5692</v>
      </c>
      <c r="K4950" s="17" t="s">
        <v>499</v>
      </c>
      <c r="L4950" s="17" t="s">
        <v>500</v>
      </c>
      <c r="M4950" s="17" t="s">
        <v>119</v>
      </c>
      <c r="N4950" s="17" t="str">
        <f t="shared" si="440"/>
        <v>TON</v>
      </c>
      <c r="O4950" s="19">
        <v>2.5</v>
      </c>
    </row>
    <row r="4951" spans="2:15" x14ac:dyDescent="0.25">
      <c r="B4951" s="16" t="s">
        <v>1742</v>
      </c>
      <c r="C4951" s="17" t="s">
        <v>1025</v>
      </c>
      <c r="D4951" s="17" t="s">
        <v>2456</v>
      </c>
      <c r="E4951" s="17" t="s">
        <v>3094</v>
      </c>
      <c r="F4951" s="18">
        <f>DATE(2024,4,19)</f>
        <v>45401</v>
      </c>
      <c r="G4951" s="17">
        <f t="shared" si="438"/>
        <v>4</v>
      </c>
      <c r="H4951" s="17">
        <f t="shared" si="439"/>
        <v>2024</v>
      </c>
      <c r="I4951" s="17" t="s">
        <v>4</v>
      </c>
      <c r="J4951" s="17" t="s">
        <v>5693</v>
      </c>
      <c r="K4951" s="17" t="s">
        <v>560</v>
      </c>
      <c r="L4951" s="17" t="s">
        <v>602</v>
      </c>
      <c r="M4951" s="17" t="s">
        <v>41</v>
      </c>
      <c r="N4951" s="17" t="str">
        <f t="shared" si="440"/>
        <v>GAL</v>
      </c>
      <c r="O4951" s="19">
        <v>750</v>
      </c>
    </row>
    <row r="4952" spans="2:15" x14ac:dyDescent="0.25">
      <c r="B4952" s="16" t="s">
        <v>645</v>
      </c>
      <c r="C4952" s="17" t="s">
        <v>1025</v>
      </c>
      <c r="D4952" s="17" t="s">
        <v>2478</v>
      </c>
      <c r="E4952" s="17" t="s">
        <v>124</v>
      </c>
      <c r="F4952" s="18">
        <f>DATE(2024,4,24)</f>
        <v>45406</v>
      </c>
      <c r="G4952" s="17">
        <f t="shared" si="438"/>
        <v>4</v>
      </c>
      <c r="H4952" s="17">
        <f t="shared" si="439"/>
        <v>2024</v>
      </c>
      <c r="I4952" s="17" t="s">
        <v>4</v>
      </c>
      <c r="J4952" s="17" t="s">
        <v>5694</v>
      </c>
      <c r="K4952" s="17" t="s">
        <v>1501</v>
      </c>
      <c r="L4952" s="17" t="s">
        <v>602</v>
      </c>
      <c r="M4952" s="17" t="s">
        <v>41</v>
      </c>
      <c r="N4952" s="17" t="str">
        <f t="shared" si="440"/>
        <v>GAL</v>
      </c>
      <c r="O4952" s="19">
        <v>5</v>
      </c>
    </row>
    <row r="4953" spans="2:15" x14ac:dyDescent="0.25">
      <c r="B4953" s="16" t="s">
        <v>645</v>
      </c>
      <c r="C4953" s="17" t="s">
        <v>1025</v>
      </c>
      <c r="D4953" s="17" t="s">
        <v>2478</v>
      </c>
      <c r="E4953" s="17" t="s">
        <v>124</v>
      </c>
      <c r="F4953" s="18">
        <f>DATE(2024,4,24)</f>
        <v>45406</v>
      </c>
      <c r="G4953" s="17">
        <f t="shared" si="438"/>
        <v>4</v>
      </c>
      <c r="H4953" s="17">
        <f t="shared" si="439"/>
        <v>2024</v>
      </c>
      <c r="I4953" s="17" t="s">
        <v>4</v>
      </c>
      <c r="J4953" s="17" t="s">
        <v>5694</v>
      </c>
      <c r="K4953" s="17" t="s">
        <v>822</v>
      </c>
      <c r="L4953" s="17" t="s">
        <v>565</v>
      </c>
      <c r="M4953" s="17" t="s">
        <v>21</v>
      </c>
      <c r="N4953" s="17" t="str">
        <f t="shared" si="440"/>
        <v>GAL</v>
      </c>
      <c r="O4953" s="19">
        <v>250</v>
      </c>
    </row>
    <row r="4954" spans="2:15" x14ac:dyDescent="0.25">
      <c r="B4954" s="16" t="s">
        <v>645</v>
      </c>
      <c r="C4954" s="17" t="s">
        <v>1025</v>
      </c>
      <c r="D4954" s="17" t="s">
        <v>2478</v>
      </c>
      <c r="E4954" s="17" t="s">
        <v>124</v>
      </c>
      <c r="F4954" s="18">
        <f>DATE(2024,4,24)</f>
        <v>45406</v>
      </c>
      <c r="G4954" s="17">
        <f t="shared" si="438"/>
        <v>4</v>
      </c>
      <c r="H4954" s="17">
        <f t="shared" si="439"/>
        <v>2024</v>
      </c>
      <c r="I4954" s="17" t="s">
        <v>4</v>
      </c>
      <c r="J4954" s="17" t="s">
        <v>5694</v>
      </c>
      <c r="K4954" s="17" t="s">
        <v>2447</v>
      </c>
      <c r="L4954" s="17" t="s">
        <v>547</v>
      </c>
      <c r="M4954" s="17" t="s">
        <v>160</v>
      </c>
      <c r="N4954" s="17" t="str">
        <f t="shared" si="440"/>
        <v>GAL</v>
      </c>
      <c r="O4954" s="19">
        <v>10</v>
      </c>
    </row>
    <row r="4955" spans="2:15" x14ac:dyDescent="0.25">
      <c r="B4955" s="16" t="s">
        <v>1742</v>
      </c>
      <c r="C4955" s="17" t="s">
        <v>1025</v>
      </c>
      <c r="D4955" s="17" t="s">
        <v>2092</v>
      </c>
      <c r="E4955" s="17" t="s">
        <v>2093</v>
      </c>
      <c r="F4955" s="18">
        <f>DATE(2024,4,24)</f>
        <v>45406</v>
      </c>
      <c r="G4955" s="17">
        <f t="shared" si="438"/>
        <v>4</v>
      </c>
      <c r="H4955" s="17">
        <f t="shared" si="439"/>
        <v>2024</v>
      </c>
      <c r="I4955" s="17" t="s">
        <v>4</v>
      </c>
      <c r="J4955" s="17" t="s">
        <v>5695</v>
      </c>
      <c r="K4955" s="17" t="s">
        <v>2095</v>
      </c>
      <c r="L4955" s="17" t="s">
        <v>2096</v>
      </c>
      <c r="M4955" s="17" t="s">
        <v>119</v>
      </c>
      <c r="N4955" s="17" t="str">
        <f t="shared" si="440"/>
        <v>TON</v>
      </c>
      <c r="O4955" s="19">
        <v>1.79</v>
      </c>
    </row>
    <row r="4956" spans="2:15" x14ac:dyDescent="0.25">
      <c r="B4956" s="16" t="s">
        <v>1410</v>
      </c>
      <c r="C4956" s="17" t="s">
        <v>525</v>
      </c>
      <c r="D4956" s="17" t="s">
        <v>507</v>
      </c>
      <c r="E4956" s="17" t="s">
        <v>508</v>
      </c>
      <c r="F4956" s="18">
        <f>DATE(2024,4,2)</f>
        <v>45384</v>
      </c>
      <c r="G4956" s="17">
        <f t="shared" si="438"/>
        <v>4</v>
      </c>
      <c r="H4956" s="17">
        <f t="shared" si="439"/>
        <v>2024</v>
      </c>
      <c r="I4956" s="17" t="s">
        <v>4</v>
      </c>
      <c r="J4956" s="17" t="s">
        <v>5696</v>
      </c>
      <c r="K4956" s="17" t="s">
        <v>2098</v>
      </c>
      <c r="L4956" s="17" t="s">
        <v>2099</v>
      </c>
      <c r="M4956" s="17" t="s">
        <v>2100</v>
      </c>
      <c r="N4956" s="17" t="str">
        <f t="shared" si="440"/>
        <v>GAL</v>
      </c>
      <c r="O4956" s="19">
        <v>180</v>
      </c>
    </row>
    <row r="4957" spans="2:15" x14ac:dyDescent="0.25">
      <c r="B4957" s="16" t="s">
        <v>1410</v>
      </c>
      <c r="C4957" s="17" t="s">
        <v>525</v>
      </c>
      <c r="D4957" s="17" t="s">
        <v>507</v>
      </c>
      <c r="E4957" s="17" t="s">
        <v>508</v>
      </c>
      <c r="F4957" s="18">
        <f>DATE(2024,4,8)</f>
        <v>45390</v>
      </c>
      <c r="G4957" s="17">
        <f t="shared" si="438"/>
        <v>4</v>
      </c>
      <c r="H4957" s="17">
        <f t="shared" si="439"/>
        <v>2024</v>
      </c>
      <c r="I4957" s="17" t="s">
        <v>4</v>
      </c>
      <c r="J4957" s="17" t="s">
        <v>5697</v>
      </c>
      <c r="K4957" s="17" t="s">
        <v>2098</v>
      </c>
      <c r="L4957" s="17" t="s">
        <v>2099</v>
      </c>
      <c r="M4957" s="17" t="s">
        <v>2100</v>
      </c>
      <c r="N4957" s="17" t="str">
        <f t="shared" si="440"/>
        <v>GAL</v>
      </c>
      <c r="O4957" s="19">
        <v>180</v>
      </c>
    </row>
    <row r="4958" spans="2:15" x14ac:dyDescent="0.25">
      <c r="B4958" s="16" t="s">
        <v>1410</v>
      </c>
      <c r="C4958" s="17" t="s">
        <v>525</v>
      </c>
      <c r="D4958" s="17" t="s">
        <v>507</v>
      </c>
      <c r="E4958" s="17" t="s">
        <v>508</v>
      </c>
      <c r="F4958" s="18">
        <f>DATE(2024,4,8)</f>
        <v>45390</v>
      </c>
      <c r="G4958" s="17">
        <f t="shared" si="438"/>
        <v>4</v>
      </c>
      <c r="H4958" s="17">
        <f t="shared" si="439"/>
        <v>2024</v>
      </c>
      <c r="I4958" s="17" t="s">
        <v>4</v>
      </c>
      <c r="J4958" s="17" t="s">
        <v>5698</v>
      </c>
      <c r="K4958" s="17" t="s">
        <v>329</v>
      </c>
      <c r="L4958" s="17" t="s">
        <v>330</v>
      </c>
      <c r="M4958" s="17" t="s">
        <v>119</v>
      </c>
      <c r="N4958" s="17" t="str">
        <f t="shared" si="440"/>
        <v>TON</v>
      </c>
      <c r="O4958" s="19">
        <v>2.5</v>
      </c>
    </row>
    <row r="4959" spans="2:15" x14ac:dyDescent="0.25">
      <c r="B4959" s="16" t="s">
        <v>1410</v>
      </c>
      <c r="C4959" s="17" t="s">
        <v>525</v>
      </c>
      <c r="D4959" s="17" t="s">
        <v>628</v>
      </c>
      <c r="E4959" s="17" t="s">
        <v>1036</v>
      </c>
      <c r="F4959" s="18">
        <f>DATE(2024,4,9)</f>
        <v>45391</v>
      </c>
      <c r="G4959" s="17">
        <f t="shared" si="438"/>
        <v>4</v>
      </c>
      <c r="H4959" s="17">
        <f t="shared" si="439"/>
        <v>2024</v>
      </c>
      <c r="I4959" s="17" t="s">
        <v>4</v>
      </c>
      <c r="J4959" s="17" t="s">
        <v>5699</v>
      </c>
      <c r="K4959" s="17" t="s">
        <v>158</v>
      </c>
      <c r="L4959" s="17" t="s">
        <v>159</v>
      </c>
      <c r="M4959" s="17" t="s">
        <v>160</v>
      </c>
      <c r="N4959" s="17" t="str">
        <f t="shared" si="440"/>
        <v>GAL</v>
      </c>
      <c r="O4959" s="19">
        <v>360</v>
      </c>
    </row>
    <row r="4960" spans="2:15" x14ac:dyDescent="0.25">
      <c r="B4960" s="16" t="s">
        <v>1410</v>
      </c>
      <c r="C4960" s="17" t="s">
        <v>525</v>
      </c>
      <c r="D4960" s="17" t="s">
        <v>507</v>
      </c>
      <c r="E4960" s="17" t="s">
        <v>508</v>
      </c>
      <c r="F4960" s="18">
        <f>DATE(2024,4,10)</f>
        <v>45392</v>
      </c>
      <c r="G4960" s="17">
        <f t="shared" si="438"/>
        <v>4</v>
      </c>
      <c r="H4960" s="17">
        <f t="shared" si="439"/>
        <v>2024</v>
      </c>
      <c r="I4960" s="17" t="s">
        <v>4</v>
      </c>
      <c r="J4960" s="17" t="s">
        <v>5700</v>
      </c>
      <c r="K4960" s="17" t="s">
        <v>137</v>
      </c>
      <c r="L4960" s="17" t="s">
        <v>1190</v>
      </c>
      <c r="M4960" s="17" t="s">
        <v>139</v>
      </c>
      <c r="N4960" s="17" t="str">
        <f t="shared" si="440"/>
        <v>GAL</v>
      </c>
      <c r="O4960" s="19">
        <v>180</v>
      </c>
    </row>
    <row r="4961" spans="2:15" x14ac:dyDescent="0.25">
      <c r="B4961" s="16" t="s">
        <v>1410</v>
      </c>
      <c r="C4961" s="17" t="s">
        <v>525</v>
      </c>
      <c r="D4961" s="17" t="s">
        <v>507</v>
      </c>
      <c r="E4961" s="17" t="s">
        <v>508</v>
      </c>
      <c r="F4961" s="18">
        <f>DATE(2024,4,12)</f>
        <v>45394</v>
      </c>
      <c r="G4961" s="17">
        <f t="shared" si="438"/>
        <v>4</v>
      </c>
      <c r="H4961" s="17">
        <f t="shared" si="439"/>
        <v>2024</v>
      </c>
      <c r="I4961" s="17" t="s">
        <v>4</v>
      </c>
      <c r="J4961" s="17" t="s">
        <v>5701</v>
      </c>
      <c r="K4961" s="17" t="s">
        <v>329</v>
      </c>
      <c r="L4961" s="17" t="s">
        <v>330</v>
      </c>
      <c r="M4961" s="17" t="s">
        <v>119</v>
      </c>
      <c r="N4961" s="17" t="str">
        <f t="shared" si="440"/>
        <v>TON</v>
      </c>
      <c r="O4961" s="19">
        <v>1.2625</v>
      </c>
    </row>
    <row r="4962" spans="2:15" x14ac:dyDescent="0.25">
      <c r="B4962" s="16" t="s">
        <v>1410</v>
      </c>
      <c r="C4962" s="17" t="s">
        <v>525</v>
      </c>
      <c r="D4962" s="17" t="s">
        <v>507</v>
      </c>
      <c r="E4962" s="17" t="s">
        <v>508</v>
      </c>
      <c r="F4962" s="18">
        <f>DATE(2024,4,12)</f>
        <v>45394</v>
      </c>
      <c r="G4962" s="17">
        <f t="shared" si="438"/>
        <v>4</v>
      </c>
      <c r="H4962" s="17">
        <f t="shared" si="439"/>
        <v>2024</v>
      </c>
      <c r="I4962" s="17" t="s">
        <v>4</v>
      </c>
      <c r="J4962" s="17" t="s">
        <v>5702</v>
      </c>
      <c r="K4962" s="17" t="s">
        <v>1119</v>
      </c>
      <c r="L4962" s="17" t="s">
        <v>1023</v>
      </c>
      <c r="M4962" s="17" t="s">
        <v>1024</v>
      </c>
      <c r="N4962" s="17" t="str">
        <f t="shared" si="440"/>
        <v>GAL</v>
      </c>
      <c r="O4962" s="19">
        <v>180</v>
      </c>
    </row>
    <row r="4963" spans="2:15" x14ac:dyDescent="0.25">
      <c r="B4963" s="16" t="s">
        <v>1410</v>
      </c>
      <c r="C4963" s="17" t="s">
        <v>525</v>
      </c>
      <c r="D4963" s="17" t="s">
        <v>507</v>
      </c>
      <c r="E4963" s="17" t="s">
        <v>508</v>
      </c>
      <c r="F4963" s="18">
        <f>DATE(2024,4,12)</f>
        <v>45394</v>
      </c>
      <c r="G4963" s="17">
        <f t="shared" si="438"/>
        <v>4</v>
      </c>
      <c r="H4963" s="17">
        <f t="shared" si="439"/>
        <v>2024</v>
      </c>
      <c r="I4963" s="17" t="s">
        <v>4</v>
      </c>
      <c r="J4963" s="17" t="s">
        <v>5702</v>
      </c>
      <c r="K4963" s="17" t="s">
        <v>164</v>
      </c>
      <c r="L4963" s="17" t="s">
        <v>165</v>
      </c>
      <c r="M4963" s="17" t="s">
        <v>166</v>
      </c>
      <c r="N4963" s="17" t="str">
        <f t="shared" si="440"/>
        <v>GAL</v>
      </c>
      <c r="O4963" s="19">
        <v>180</v>
      </c>
    </row>
    <row r="4964" spans="2:15" x14ac:dyDescent="0.25">
      <c r="B4964" s="16" t="s">
        <v>1410</v>
      </c>
      <c r="C4964" s="17" t="s">
        <v>525</v>
      </c>
      <c r="D4964" s="17" t="s">
        <v>628</v>
      </c>
      <c r="E4964" s="17" t="s">
        <v>1036</v>
      </c>
      <c r="F4964" s="18">
        <f>DATE(2024,4,12)</f>
        <v>45394</v>
      </c>
      <c r="G4964" s="17">
        <f t="shared" si="438"/>
        <v>4</v>
      </c>
      <c r="H4964" s="17">
        <f t="shared" si="439"/>
        <v>2024</v>
      </c>
      <c r="I4964" s="17" t="s">
        <v>4</v>
      </c>
      <c r="J4964" s="17" t="s">
        <v>5703</v>
      </c>
      <c r="K4964" s="17" t="s">
        <v>531</v>
      </c>
      <c r="L4964" s="17" t="s">
        <v>201</v>
      </c>
      <c r="M4964" s="17" t="s">
        <v>202</v>
      </c>
      <c r="N4964" s="17" t="str">
        <f t="shared" si="440"/>
        <v>GAL</v>
      </c>
      <c r="O4964" s="19">
        <v>300</v>
      </c>
    </row>
    <row r="4965" spans="2:15" x14ac:dyDescent="0.25">
      <c r="B4965" s="16" t="s">
        <v>1410</v>
      </c>
      <c r="C4965" s="17" t="s">
        <v>525</v>
      </c>
      <c r="D4965" s="17" t="s">
        <v>507</v>
      </c>
      <c r="E4965" s="17" t="s">
        <v>508</v>
      </c>
      <c r="F4965" s="18">
        <f>DATE(2024,4,17)</f>
        <v>45399</v>
      </c>
      <c r="G4965" s="17">
        <f t="shared" si="438"/>
        <v>4</v>
      </c>
      <c r="H4965" s="17">
        <f t="shared" si="439"/>
        <v>2024</v>
      </c>
      <c r="I4965" s="17" t="s">
        <v>4</v>
      </c>
      <c r="J4965" s="17" t="s">
        <v>5704</v>
      </c>
      <c r="K4965" s="17" t="s">
        <v>329</v>
      </c>
      <c r="L4965" s="17" t="s">
        <v>330</v>
      </c>
      <c r="M4965" s="17" t="s">
        <v>119</v>
      </c>
      <c r="N4965" s="17" t="str">
        <f t="shared" si="440"/>
        <v>TON</v>
      </c>
      <c r="O4965" s="19">
        <v>5.0049999999999999</v>
      </c>
    </row>
    <row r="4966" spans="2:15" x14ac:dyDescent="0.25">
      <c r="B4966" s="16" t="s">
        <v>1410</v>
      </c>
      <c r="C4966" s="17" t="s">
        <v>525</v>
      </c>
      <c r="D4966" s="17" t="s">
        <v>507</v>
      </c>
      <c r="E4966" s="17" t="s">
        <v>508</v>
      </c>
      <c r="F4966" s="18">
        <f>DATE(2024,4,18)</f>
        <v>45400</v>
      </c>
      <c r="G4966" s="17">
        <f t="shared" si="438"/>
        <v>4</v>
      </c>
      <c r="H4966" s="17">
        <f t="shared" si="439"/>
        <v>2024</v>
      </c>
      <c r="I4966" s="17" t="s">
        <v>4</v>
      </c>
      <c r="J4966" s="17" t="s">
        <v>5705</v>
      </c>
      <c r="K4966" s="17" t="s">
        <v>1505</v>
      </c>
      <c r="L4966" s="17" t="s">
        <v>182</v>
      </c>
      <c r="M4966" s="17" t="s">
        <v>183</v>
      </c>
      <c r="N4966" s="17" t="str">
        <f t="shared" si="440"/>
        <v>GAL</v>
      </c>
      <c r="O4966" s="19">
        <v>250</v>
      </c>
    </row>
    <row r="4967" spans="2:15" x14ac:dyDescent="0.25">
      <c r="B4967" s="16" t="s">
        <v>1410</v>
      </c>
      <c r="C4967" s="17" t="s">
        <v>525</v>
      </c>
      <c r="D4967" s="17" t="s">
        <v>646</v>
      </c>
      <c r="E4967" s="17" t="s">
        <v>647</v>
      </c>
      <c r="F4967" s="18">
        <f>DATE(2024,4,22)</f>
        <v>45404</v>
      </c>
      <c r="G4967" s="17">
        <f t="shared" si="438"/>
        <v>4</v>
      </c>
      <c r="H4967" s="17">
        <f t="shared" si="439"/>
        <v>2024</v>
      </c>
      <c r="I4967" s="17" t="s">
        <v>4</v>
      </c>
      <c r="J4967" s="17" t="s">
        <v>5706</v>
      </c>
      <c r="K4967" s="17" t="s">
        <v>649</v>
      </c>
      <c r="L4967" s="17" t="s">
        <v>538</v>
      </c>
      <c r="M4967" s="17" t="s">
        <v>4243</v>
      </c>
      <c r="N4967" s="17" t="str">
        <f t="shared" si="440"/>
        <v>GAL</v>
      </c>
      <c r="O4967" s="19">
        <v>500</v>
      </c>
    </row>
    <row r="4968" spans="2:15" x14ac:dyDescent="0.25">
      <c r="B4968" s="16" t="s">
        <v>1410</v>
      </c>
      <c r="C4968" s="17" t="s">
        <v>525</v>
      </c>
      <c r="D4968" s="17" t="s">
        <v>646</v>
      </c>
      <c r="E4968" s="17" t="s">
        <v>647</v>
      </c>
      <c r="F4968" s="18">
        <f>DATE(2024,4,25)</f>
        <v>45407</v>
      </c>
      <c r="G4968" s="17">
        <f t="shared" si="438"/>
        <v>4</v>
      </c>
      <c r="H4968" s="17">
        <f t="shared" si="439"/>
        <v>2024</v>
      </c>
      <c r="I4968" s="17" t="s">
        <v>4</v>
      </c>
      <c r="J4968" s="17" t="s">
        <v>5707</v>
      </c>
      <c r="K4968" s="17" t="s">
        <v>649</v>
      </c>
      <c r="L4968" s="17" t="s">
        <v>538</v>
      </c>
      <c r="M4968" s="17" t="s">
        <v>4243</v>
      </c>
      <c r="N4968" s="17" t="str">
        <f t="shared" si="440"/>
        <v>GAL</v>
      </c>
      <c r="O4968" s="19">
        <v>500</v>
      </c>
    </row>
    <row r="4969" spans="2:15" x14ac:dyDescent="0.25">
      <c r="B4969" s="16" t="s">
        <v>1050</v>
      </c>
      <c r="C4969" s="17" t="s">
        <v>533</v>
      </c>
      <c r="D4969" s="17" t="s">
        <v>557</v>
      </c>
      <c r="E4969" s="17" t="s">
        <v>5114</v>
      </c>
      <c r="F4969" s="18">
        <f>DATE(2024,4,29)</f>
        <v>45411</v>
      </c>
      <c r="G4969" s="17">
        <f t="shared" si="438"/>
        <v>4</v>
      </c>
      <c r="H4969" s="17">
        <f t="shared" si="439"/>
        <v>2024</v>
      </c>
      <c r="I4969" s="17" t="s">
        <v>4</v>
      </c>
      <c r="J4969" s="17" t="s">
        <v>5708</v>
      </c>
      <c r="K4969" s="17" t="s">
        <v>3078</v>
      </c>
      <c r="L4969" s="17" t="s">
        <v>3079</v>
      </c>
      <c r="M4969" s="17" t="s">
        <v>13</v>
      </c>
      <c r="N4969" s="17" t="str">
        <f t="shared" si="440"/>
        <v>GAL</v>
      </c>
      <c r="O4969" s="19">
        <v>180</v>
      </c>
    </row>
    <row r="4970" spans="2:15" x14ac:dyDescent="0.25">
      <c r="B4970" s="16" t="s">
        <v>1050</v>
      </c>
      <c r="C4970" s="17" t="s">
        <v>533</v>
      </c>
      <c r="D4970" s="17" t="s">
        <v>557</v>
      </c>
      <c r="E4970" s="17" t="s">
        <v>3073</v>
      </c>
      <c r="F4970" s="18">
        <f>DATE(2024,4,29)</f>
        <v>45411</v>
      </c>
      <c r="G4970" s="17">
        <f t="shared" ref="G4970:G5020" si="443">MONTH(F4970)</f>
        <v>4</v>
      </c>
      <c r="H4970" s="17">
        <f t="shared" ref="H4970:H5020" si="444">YEAR(F4970)</f>
        <v>2024</v>
      </c>
      <c r="I4970" s="17" t="s">
        <v>4</v>
      </c>
      <c r="J4970" s="17" t="s">
        <v>5709</v>
      </c>
      <c r="K4970" s="17" t="s">
        <v>3075</v>
      </c>
      <c r="L4970" s="17" t="s">
        <v>3076</v>
      </c>
      <c r="M4970" s="17" t="s">
        <v>106</v>
      </c>
      <c r="N4970" s="17" t="str">
        <f t="shared" ref="N4970:N5020" si="445">LEFT(M4970,3)</f>
        <v>LBS</v>
      </c>
      <c r="O4970" s="19">
        <v>1800</v>
      </c>
    </row>
    <row r="4971" spans="2:15" x14ac:dyDescent="0.25">
      <c r="B4971" s="16" t="s">
        <v>645</v>
      </c>
      <c r="C4971" s="17" t="s">
        <v>533</v>
      </c>
      <c r="D4971" s="17" t="s">
        <v>557</v>
      </c>
      <c r="E4971" s="17" t="s">
        <v>1090</v>
      </c>
      <c r="F4971" s="18">
        <f>DATE(2024,4,29)</f>
        <v>45411</v>
      </c>
      <c r="G4971" s="17">
        <f t="shared" si="443"/>
        <v>4</v>
      </c>
      <c r="H4971" s="17">
        <f t="shared" si="444"/>
        <v>2024</v>
      </c>
      <c r="I4971" s="17" t="s">
        <v>4</v>
      </c>
      <c r="J4971" s="17" t="s">
        <v>5710</v>
      </c>
      <c r="K4971" s="17" t="s">
        <v>3078</v>
      </c>
      <c r="L4971" s="17" t="s">
        <v>3079</v>
      </c>
      <c r="M4971" s="17" t="s">
        <v>13</v>
      </c>
      <c r="N4971" s="17" t="str">
        <f t="shared" si="445"/>
        <v>GAL</v>
      </c>
      <c r="O4971" s="19">
        <v>360</v>
      </c>
    </row>
    <row r="4972" spans="2:15" x14ac:dyDescent="0.25">
      <c r="B4972" s="16" t="s">
        <v>1050</v>
      </c>
      <c r="C4972" s="17" t="s">
        <v>533</v>
      </c>
      <c r="D4972" s="17" t="s">
        <v>628</v>
      </c>
      <c r="E4972" s="17" t="s">
        <v>2145</v>
      </c>
      <c r="F4972" s="18">
        <f>DATE(2024,4,1)</f>
        <v>45383</v>
      </c>
      <c r="G4972" s="17">
        <f t="shared" si="443"/>
        <v>4</v>
      </c>
      <c r="H4972" s="17">
        <f t="shared" si="444"/>
        <v>2024</v>
      </c>
      <c r="I4972" s="17" t="s">
        <v>4</v>
      </c>
      <c r="J4972" s="17" t="s">
        <v>5711</v>
      </c>
      <c r="K4972" s="17" t="s">
        <v>2526</v>
      </c>
      <c r="L4972" s="17" t="s">
        <v>2527</v>
      </c>
      <c r="M4972" s="17" t="s">
        <v>2528</v>
      </c>
      <c r="N4972" s="17" t="str">
        <f t="shared" si="445"/>
        <v>GAL</v>
      </c>
      <c r="O4972" s="19">
        <v>3960</v>
      </c>
    </row>
    <row r="4973" spans="2:15" x14ac:dyDescent="0.25">
      <c r="B4973" s="16" t="s">
        <v>1050</v>
      </c>
      <c r="C4973" s="17" t="s">
        <v>533</v>
      </c>
      <c r="D4973" s="17" t="s">
        <v>1047</v>
      </c>
      <c r="E4973" s="17" t="s">
        <v>5712</v>
      </c>
      <c r="F4973" s="18">
        <f>DATE(2024,4,2)</f>
        <v>45384</v>
      </c>
      <c r="G4973" s="17">
        <f t="shared" si="443"/>
        <v>4</v>
      </c>
      <c r="H4973" s="17">
        <f t="shared" si="444"/>
        <v>2024</v>
      </c>
      <c r="I4973" s="17" t="s">
        <v>4</v>
      </c>
      <c r="J4973" s="17" t="s">
        <v>5713</v>
      </c>
      <c r="K4973" s="17" t="s">
        <v>2556</v>
      </c>
      <c r="L4973" s="17" t="s">
        <v>2557</v>
      </c>
      <c r="M4973" s="17" t="s">
        <v>5714</v>
      </c>
      <c r="N4973" s="17" t="str">
        <f t="shared" si="445"/>
        <v>GAL</v>
      </c>
      <c r="O4973" s="19">
        <v>10</v>
      </c>
    </row>
    <row r="4974" spans="2:15" x14ac:dyDescent="0.25">
      <c r="B4974" s="16" t="s">
        <v>1050</v>
      </c>
      <c r="C4974" s="17" t="s">
        <v>533</v>
      </c>
      <c r="D4974" s="17" t="s">
        <v>1047</v>
      </c>
      <c r="E4974" s="17" t="s">
        <v>5715</v>
      </c>
      <c r="F4974" s="18">
        <f>DATE(2024,4,2)</f>
        <v>45384</v>
      </c>
      <c r="G4974" s="17">
        <f t="shared" si="443"/>
        <v>4</v>
      </c>
      <c r="H4974" s="17">
        <f t="shared" si="444"/>
        <v>2024</v>
      </c>
      <c r="I4974" s="17" t="s">
        <v>4</v>
      </c>
      <c r="J4974" s="17" t="s">
        <v>5716</v>
      </c>
      <c r="K4974" s="17" t="s">
        <v>2556</v>
      </c>
      <c r="L4974" s="17" t="s">
        <v>2557</v>
      </c>
      <c r="M4974" s="17" t="s">
        <v>5714</v>
      </c>
      <c r="N4974" s="17" t="str">
        <f t="shared" si="445"/>
        <v>GAL</v>
      </c>
      <c r="O4974" s="19">
        <v>10</v>
      </c>
    </row>
    <row r="4975" spans="2:15" x14ac:dyDescent="0.25">
      <c r="B4975" s="16" t="s">
        <v>1050</v>
      </c>
      <c r="C4975" s="17" t="s">
        <v>533</v>
      </c>
      <c r="D4975" s="17" t="s">
        <v>557</v>
      </c>
      <c r="E4975" s="17" t="s">
        <v>2826</v>
      </c>
      <c r="F4975" s="18">
        <f>DATE(2024,4,2)</f>
        <v>45384</v>
      </c>
      <c r="G4975" s="17">
        <f t="shared" si="443"/>
        <v>4</v>
      </c>
      <c r="H4975" s="17">
        <f t="shared" si="444"/>
        <v>2024</v>
      </c>
      <c r="I4975" s="17" t="s">
        <v>4</v>
      </c>
      <c r="J4975" s="17" t="s">
        <v>5717</v>
      </c>
      <c r="K4975" s="17" t="s">
        <v>817</v>
      </c>
      <c r="L4975" s="17" t="s">
        <v>818</v>
      </c>
      <c r="M4975" s="17" t="s">
        <v>556</v>
      </c>
      <c r="N4975" s="17" t="str">
        <f t="shared" si="445"/>
        <v>GAL</v>
      </c>
      <c r="O4975" s="19">
        <v>540</v>
      </c>
    </row>
    <row r="4976" spans="2:15" x14ac:dyDescent="0.25">
      <c r="B4976" s="16" t="s">
        <v>645</v>
      </c>
      <c r="C4976" s="17" t="s">
        <v>533</v>
      </c>
      <c r="D4976" s="17" t="s">
        <v>557</v>
      </c>
      <c r="E4976" s="17" t="s">
        <v>1090</v>
      </c>
      <c r="F4976" s="18">
        <f>DATE(2024,4,3)</f>
        <v>45385</v>
      </c>
      <c r="G4976" s="17">
        <f t="shared" si="443"/>
        <v>4</v>
      </c>
      <c r="H4976" s="17">
        <f t="shared" si="444"/>
        <v>2024</v>
      </c>
      <c r="I4976" s="17" t="s">
        <v>4</v>
      </c>
      <c r="J4976" s="17" t="s">
        <v>5718</v>
      </c>
      <c r="K4976" s="17" t="s">
        <v>2127</v>
      </c>
      <c r="L4976" s="17" t="s">
        <v>2126</v>
      </c>
      <c r="M4976" s="17" t="s">
        <v>106</v>
      </c>
      <c r="N4976" s="17" t="str">
        <f t="shared" si="445"/>
        <v>LBS</v>
      </c>
      <c r="O4976" s="19">
        <v>3600</v>
      </c>
    </row>
    <row r="4977" spans="2:15" x14ac:dyDescent="0.25">
      <c r="B4977" s="16" t="s">
        <v>1050</v>
      </c>
      <c r="C4977" s="17" t="s">
        <v>533</v>
      </c>
      <c r="D4977" s="17" t="s">
        <v>628</v>
      </c>
      <c r="E4977" s="17" t="s">
        <v>2524</v>
      </c>
      <c r="F4977" s="18">
        <f>DATE(2024,4,4)</f>
        <v>45386</v>
      </c>
      <c r="G4977" s="17">
        <f t="shared" si="443"/>
        <v>4</v>
      </c>
      <c r="H4977" s="17">
        <f t="shared" si="444"/>
        <v>2024</v>
      </c>
      <c r="I4977" s="17" t="s">
        <v>4</v>
      </c>
      <c r="J4977" s="17" t="s">
        <v>5719</v>
      </c>
      <c r="K4977" s="17" t="s">
        <v>2526</v>
      </c>
      <c r="L4977" s="17" t="s">
        <v>2527</v>
      </c>
      <c r="M4977" s="17" t="s">
        <v>2528</v>
      </c>
      <c r="N4977" s="17" t="str">
        <f t="shared" si="445"/>
        <v>GAL</v>
      </c>
      <c r="O4977" s="19">
        <v>3960</v>
      </c>
    </row>
    <row r="4978" spans="2:15" x14ac:dyDescent="0.25">
      <c r="B4978" s="16" t="s">
        <v>1050</v>
      </c>
      <c r="C4978" s="17" t="s">
        <v>533</v>
      </c>
      <c r="D4978" s="17" t="s">
        <v>557</v>
      </c>
      <c r="E4978" s="17" t="s">
        <v>3080</v>
      </c>
      <c r="F4978" s="18">
        <f>DATE(2024,4,5)</f>
        <v>45387</v>
      </c>
      <c r="G4978" s="17">
        <f t="shared" si="443"/>
        <v>4</v>
      </c>
      <c r="H4978" s="17">
        <f t="shared" si="444"/>
        <v>2024</v>
      </c>
      <c r="I4978" s="17" t="s">
        <v>4</v>
      </c>
      <c r="J4978" s="17" t="s">
        <v>5720</v>
      </c>
      <c r="K4978" s="17" t="s">
        <v>3078</v>
      </c>
      <c r="L4978" s="17" t="s">
        <v>3079</v>
      </c>
      <c r="M4978" s="17" t="s">
        <v>13</v>
      </c>
      <c r="N4978" s="17" t="str">
        <f t="shared" si="445"/>
        <v>GAL</v>
      </c>
      <c r="O4978" s="19">
        <v>180</v>
      </c>
    </row>
    <row r="4979" spans="2:15" x14ac:dyDescent="0.25">
      <c r="B4979" s="16" t="s">
        <v>1050</v>
      </c>
      <c r="C4979" s="17" t="s">
        <v>533</v>
      </c>
      <c r="D4979" s="17" t="s">
        <v>628</v>
      </c>
      <c r="E4979" s="17" t="s">
        <v>2149</v>
      </c>
      <c r="F4979" s="18">
        <f>DATE(2024,4,9)</f>
        <v>45391</v>
      </c>
      <c r="G4979" s="17">
        <f t="shared" si="443"/>
        <v>4</v>
      </c>
      <c r="H4979" s="17">
        <f t="shared" si="444"/>
        <v>2024</v>
      </c>
      <c r="I4979" s="17" t="s">
        <v>4</v>
      </c>
      <c r="J4979" s="17" t="s">
        <v>5721</v>
      </c>
      <c r="K4979" s="17" t="s">
        <v>2526</v>
      </c>
      <c r="L4979" s="17" t="s">
        <v>2527</v>
      </c>
      <c r="M4979" s="17" t="s">
        <v>2528</v>
      </c>
      <c r="N4979" s="17" t="str">
        <f t="shared" si="445"/>
        <v>GAL</v>
      </c>
      <c r="O4979" s="19">
        <v>3960</v>
      </c>
    </row>
    <row r="4980" spans="2:15" x14ac:dyDescent="0.25">
      <c r="B4980" s="16" t="s">
        <v>1050</v>
      </c>
      <c r="C4980" s="17" t="s">
        <v>533</v>
      </c>
      <c r="D4980" s="17" t="s">
        <v>628</v>
      </c>
      <c r="E4980" s="17" t="s">
        <v>2145</v>
      </c>
      <c r="F4980" s="18">
        <f>DATE(2024,4,11)</f>
        <v>45393</v>
      </c>
      <c r="G4980" s="17">
        <f t="shared" si="443"/>
        <v>4</v>
      </c>
      <c r="H4980" s="17">
        <f t="shared" si="444"/>
        <v>2024</v>
      </c>
      <c r="I4980" s="17" t="s">
        <v>4</v>
      </c>
      <c r="J4980" s="17" t="s">
        <v>5722</v>
      </c>
      <c r="K4980" s="17" t="s">
        <v>2526</v>
      </c>
      <c r="L4980" s="17" t="s">
        <v>2527</v>
      </c>
      <c r="M4980" s="17" t="s">
        <v>2528</v>
      </c>
      <c r="N4980" s="17" t="str">
        <f t="shared" si="445"/>
        <v>GAL</v>
      </c>
      <c r="O4980" s="19">
        <v>3960</v>
      </c>
    </row>
    <row r="4981" spans="2:15" x14ac:dyDescent="0.25">
      <c r="B4981" s="16" t="s">
        <v>1050</v>
      </c>
      <c r="C4981" s="17" t="s">
        <v>533</v>
      </c>
      <c r="D4981" s="17" t="s">
        <v>562</v>
      </c>
      <c r="E4981" s="17" t="s">
        <v>2151</v>
      </c>
      <c r="F4981" s="18">
        <f>DATE(2024,4,11)</f>
        <v>45393</v>
      </c>
      <c r="G4981" s="17">
        <f t="shared" si="443"/>
        <v>4</v>
      </c>
      <c r="H4981" s="17">
        <f t="shared" si="444"/>
        <v>2024</v>
      </c>
      <c r="I4981" s="17" t="s">
        <v>4</v>
      </c>
      <c r="J4981" s="17" t="s">
        <v>5723</v>
      </c>
      <c r="K4981" s="17" t="s">
        <v>83</v>
      </c>
      <c r="L4981" s="17" t="s">
        <v>518</v>
      </c>
      <c r="M4981" s="17" t="s">
        <v>85</v>
      </c>
      <c r="N4981" s="17" t="str">
        <f t="shared" si="445"/>
        <v>GAL</v>
      </c>
      <c r="O4981" s="19">
        <v>360</v>
      </c>
    </row>
    <row r="4982" spans="2:15" x14ac:dyDescent="0.25">
      <c r="B4982" s="16" t="s">
        <v>1050</v>
      </c>
      <c r="C4982" s="17" t="s">
        <v>533</v>
      </c>
      <c r="D4982" s="17" t="s">
        <v>562</v>
      </c>
      <c r="E4982" s="17" t="s">
        <v>2151</v>
      </c>
      <c r="F4982" s="18">
        <f>DATE(2024,4,11)</f>
        <v>45393</v>
      </c>
      <c r="G4982" s="17">
        <f t="shared" si="443"/>
        <v>4</v>
      </c>
      <c r="H4982" s="17">
        <f t="shared" si="444"/>
        <v>2024</v>
      </c>
      <c r="I4982" s="17" t="s">
        <v>4</v>
      </c>
      <c r="J4982" s="17" t="s">
        <v>5723</v>
      </c>
      <c r="K4982" s="17" t="s">
        <v>1786</v>
      </c>
      <c r="L4982" s="17" t="s">
        <v>518</v>
      </c>
      <c r="M4982" s="17" t="s">
        <v>85</v>
      </c>
      <c r="N4982" s="17" t="str">
        <f t="shared" si="445"/>
        <v>GAL</v>
      </c>
      <c r="O4982" s="19">
        <v>220</v>
      </c>
    </row>
    <row r="4983" spans="2:15" x14ac:dyDescent="0.25">
      <c r="B4983" s="16" t="s">
        <v>1050</v>
      </c>
      <c r="C4983" s="17" t="s">
        <v>533</v>
      </c>
      <c r="D4983" s="17" t="s">
        <v>557</v>
      </c>
      <c r="E4983" s="17" t="s">
        <v>3096</v>
      </c>
      <c r="F4983" s="18">
        <f>DATE(2024,4,12)</f>
        <v>45394</v>
      </c>
      <c r="G4983" s="17">
        <f t="shared" si="443"/>
        <v>4</v>
      </c>
      <c r="H4983" s="17">
        <f t="shared" si="444"/>
        <v>2024</v>
      </c>
      <c r="I4983" s="17" t="s">
        <v>4</v>
      </c>
      <c r="J4983" s="17" t="s">
        <v>5724</v>
      </c>
      <c r="K4983" s="17" t="s">
        <v>2164</v>
      </c>
      <c r="L4983" s="17" t="s">
        <v>2156</v>
      </c>
      <c r="M4983" s="17" t="s">
        <v>106</v>
      </c>
      <c r="N4983" s="17" t="str">
        <f t="shared" si="445"/>
        <v>LBS</v>
      </c>
      <c r="O4983" s="19">
        <v>2500</v>
      </c>
    </row>
    <row r="4984" spans="2:15" x14ac:dyDescent="0.25">
      <c r="B4984" s="16" t="s">
        <v>1050</v>
      </c>
      <c r="C4984" s="17" t="s">
        <v>533</v>
      </c>
      <c r="D4984" s="17" t="s">
        <v>628</v>
      </c>
      <c r="E4984" s="17" t="s">
        <v>2145</v>
      </c>
      <c r="F4984" s="18">
        <f>DATE(2024,4,15)</f>
        <v>45397</v>
      </c>
      <c r="G4984" s="17">
        <f t="shared" si="443"/>
        <v>4</v>
      </c>
      <c r="H4984" s="17">
        <f t="shared" si="444"/>
        <v>2024</v>
      </c>
      <c r="I4984" s="17" t="s">
        <v>4</v>
      </c>
      <c r="J4984" s="17" t="s">
        <v>5725</v>
      </c>
      <c r="K4984" s="17" t="s">
        <v>2526</v>
      </c>
      <c r="L4984" s="17" t="s">
        <v>2527</v>
      </c>
      <c r="M4984" s="17" t="s">
        <v>1448</v>
      </c>
      <c r="N4984" s="17" t="str">
        <f t="shared" si="445"/>
        <v>GAL</v>
      </c>
      <c r="O4984" s="19">
        <v>3960</v>
      </c>
    </row>
    <row r="4985" spans="2:15" x14ac:dyDescent="0.25">
      <c r="B4985" s="16" t="s">
        <v>645</v>
      </c>
      <c r="C4985" s="17" t="s">
        <v>533</v>
      </c>
      <c r="D4985" s="17" t="s">
        <v>557</v>
      </c>
      <c r="E4985" s="17" t="s">
        <v>1090</v>
      </c>
      <c r="F4985" s="18">
        <f>DATE(2024,4,16)</f>
        <v>45398</v>
      </c>
      <c r="G4985" s="17">
        <f t="shared" si="443"/>
        <v>4</v>
      </c>
      <c r="H4985" s="17">
        <f t="shared" si="444"/>
        <v>2024</v>
      </c>
      <c r="I4985" s="17" t="s">
        <v>4</v>
      </c>
      <c r="J4985" s="17" t="s">
        <v>5726</v>
      </c>
      <c r="K4985" s="17" t="s">
        <v>3078</v>
      </c>
      <c r="L4985" s="17" t="s">
        <v>3079</v>
      </c>
      <c r="M4985" s="17" t="s">
        <v>13</v>
      </c>
      <c r="N4985" s="17" t="str">
        <f t="shared" si="445"/>
        <v>GAL</v>
      </c>
      <c r="O4985" s="19">
        <v>360</v>
      </c>
    </row>
    <row r="4986" spans="2:15" x14ac:dyDescent="0.25">
      <c r="B4986" s="16" t="s">
        <v>1050</v>
      </c>
      <c r="C4986" s="17" t="s">
        <v>533</v>
      </c>
      <c r="D4986" s="17" t="s">
        <v>628</v>
      </c>
      <c r="E4986" s="17" t="s">
        <v>2524</v>
      </c>
      <c r="F4986" s="18">
        <f>DATE(2024,4,17)</f>
        <v>45399</v>
      </c>
      <c r="G4986" s="17">
        <f t="shared" si="443"/>
        <v>4</v>
      </c>
      <c r="H4986" s="17">
        <f t="shared" si="444"/>
        <v>2024</v>
      </c>
      <c r="I4986" s="17" t="s">
        <v>4</v>
      </c>
      <c r="J4986" s="17" t="s">
        <v>5727</v>
      </c>
      <c r="K4986" s="17" t="s">
        <v>2553</v>
      </c>
      <c r="L4986" s="17" t="s">
        <v>2527</v>
      </c>
      <c r="M4986" s="17" t="s">
        <v>1448</v>
      </c>
      <c r="N4986" s="17" t="str">
        <f t="shared" si="445"/>
        <v>GAL</v>
      </c>
      <c r="O4986" s="19">
        <v>4000</v>
      </c>
    </row>
    <row r="4987" spans="2:15" x14ac:dyDescent="0.25">
      <c r="B4987" s="16" t="s">
        <v>645</v>
      </c>
      <c r="C4987" s="17" t="s">
        <v>533</v>
      </c>
      <c r="D4987" s="17" t="s">
        <v>557</v>
      </c>
      <c r="E4987" s="17" t="s">
        <v>1090</v>
      </c>
      <c r="F4987" s="18">
        <f>DATE(2024,4,18)</f>
        <v>45400</v>
      </c>
      <c r="G4987" s="17">
        <f t="shared" si="443"/>
        <v>4</v>
      </c>
      <c r="H4987" s="17">
        <f t="shared" si="444"/>
        <v>2024</v>
      </c>
      <c r="I4987" s="17" t="s">
        <v>4</v>
      </c>
      <c r="J4987" s="17" t="s">
        <v>5728</v>
      </c>
      <c r="K4987" s="17" t="s">
        <v>2123</v>
      </c>
      <c r="L4987" s="17" t="s">
        <v>2124</v>
      </c>
      <c r="M4987" s="17" t="s">
        <v>106</v>
      </c>
      <c r="N4987" s="17" t="str">
        <f t="shared" si="445"/>
        <v>LBS</v>
      </c>
      <c r="O4987" s="19">
        <v>1800</v>
      </c>
    </row>
    <row r="4988" spans="2:15" x14ac:dyDescent="0.25">
      <c r="B4988" s="16" t="s">
        <v>645</v>
      </c>
      <c r="C4988" s="17" t="s">
        <v>533</v>
      </c>
      <c r="D4988" s="17" t="s">
        <v>557</v>
      </c>
      <c r="E4988" s="17" t="s">
        <v>1090</v>
      </c>
      <c r="F4988" s="18">
        <f>DATE(2024,4,18)</f>
        <v>45400</v>
      </c>
      <c r="G4988" s="17">
        <f t="shared" si="443"/>
        <v>4</v>
      </c>
      <c r="H4988" s="17">
        <f t="shared" si="444"/>
        <v>2024</v>
      </c>
      <c r="I4988" s="17" t="s">
        <v>4</v>
      </c>
      <c r="J4988" s="17" t="s">
        <v>5728</v>
      </c>
      <c r="K4988" s="17" t="s">
        <v>2127</v>
      </c>
      <c r="L4988" s="17" t="s">
        <v>2126</v>
      </c>
      <c r="M4988" s="17" t="s">
        <v>106</v>
      </c>
      <c r="N4988" s="17" t="str">
        <f t="shared" si="445"/>
        <v>LBS</v>
      </c>
      <c r="O4988" s="19">
        <v>3600</v>
      </c>
    </row>
    <row r="4989" spans="2:15" x14ac:dyDescent="0.25">
      <c r="B4989" s="16" t="s">
        <v>1050</v>
      </c>
      <c r="C4989" s="17" t="s">
        <v>533</v>
      </c>
      <c r="D4989" s="17" t="s">
        <v>557</v>
      </c>
      <c r="E4989" s="17" t="s">
        <v>2826</v>
      </c>
      <c r="F4989" s="18">
        <f>DATE(2024,4,19)</f>
        <v>45401</v>
      </c>
      <c r="G4989" s="17">
        <f t="shared" si="443"/>
        <v>4</v>
      </c>
      <c r="H4989" s="17">
        <f t="shared" si="444"/>
        <v>2024</v>
      </c>
      <c r="I4989" s="17" t="s">
        <v>4</v>
      </c>
      <c r="J4989" s="17" t="s">
        <v>5729</v>
      </c>
      <c r="K4989" s="17" t="s">
        <v>817</v>
      </c>
      <c r="L4989" s="17" t="s">
        <v>818</v>
      </c>
      <c r="M4989" s="17" t="s">
        <v>556</v>
      </c>
      <c r="N4989" s="17" t="str">
        <f t="shared" si="445"/>
        <v>GAL</v>
      </c>
      <c r="O4989" s="19">
        <v>360</v>
      </c>
    </row>
    <row r="4990" spans="2:15" x14ac:dyDescent="0.25">
      <c r="B4990" s="16" t="s">
        <v>1050</v>
      </c>
      <c r="C4990" s="17" t="s">
        <v>533</v>
      </c>
      <c r="D4990" s="17" t="s">
        <v>628</v>
      </c>
      <c r="E4990" s="17" t="s">
        <v>2149</v>
      </c>
      <c r="F4990" s="18">
        <f>DATE(2024,4,22)</f>
        <v>45404</v>
      </c>
      <c r="G4990" s="17">
        <f t="shared" si="443"/>
        <v>4</v>
      </c>
      <c r="H4990" s="17">
        <f t="shared" si="444"/>
        <v>2024</v>
      </c>
      <c r="I4990" s="17" t="s">
        <v>4</v>
      </c>
      <c r="J4990" s="17" t="s">
        <v>5730</v>
      </c>
      <c r="K4990" s="17" t="s">
        <v>2553</v>
      </c>
      <c r="L4990" s="17" t="s">
        <v>2527</v>
      </c>
      <c r="M4990" s="17" t="s">
        <v>1448</v>
      </c>
      <c r="N4990" s="17" t="str">
        <f t="shared" si="445"/>
        <v>GAL</v>
      </c>
      <c r="O4990" s="19">
        <v>4000</v>
      </c>
    </row>
    <row r="4991" spans="2:15" x14ac:dyDescent="0.25">
      <c r="B4991" s="16" t="s">
        <v>1050</v>
      </c>
      <c r="C4991" s="17" t="s">
        <v>533</v>
      </c>
      <c r="D4991" s="17" t="s">
        <v>628</v>
      </c>
      <c r="E4991" s="17" t="s">
        <v>2145</v>
      </c>
      <c r="F4991" s="18">
        <f>DATE(2024,4,22)</f>
        <v>45404</v>
      </c>
      <c r="G4991" s="17">
        <f t="shared" si="443"/>
        <v>4</v>
      </c>
      <c r="H4991" s="17">
        <f t="shared" si="444"/>
        <v>2024</v>
      </c>
      <c r="I4991" s="17" t="s">
        <v>4</v>
      </c>
      <c r="J4991" s="17" t="s">
        <v>5731</v>
      </c>
      <c r="K4991" s="17" t="s">
        <v>2553</v>
      </c>
      <c r="L4991" s="17" t="s">
        <v>2527</v>
      </c>
      <c r="M4991" s="17" t="s">
        <v>1448</v>
      </c>
      <c r="N4991" s="17" t="str">
        <f t="shared" si="445"/>
        <v>GAL</v>
      </c>
      <c r="O4991" s="19">
        <v>4000</v>
      </c>
    </row>
    <row r="4992" spans="2:15" x14ac:dyDescent="0.25">
      <c r="B4992" s="16" t="s">
        <v>1050</v>
      </c>
      <c r="C4992" s="17" t="s">
        <v>533</v>
      </c>
      <c r="D4992" s="17" t="s">
        <v>557</v>
      </c>
      <c r="E4992" s="17" t="s">
        <v>5732</v>
      </c>
      <c r="F4992" s="18">
        <f>DATE(2024,4,22)</f>
        <v>45404</v>
      </c>
      <c r="G4992" s="17">
        <f t="shared" si="443"/>
        <v>4</v>
      </c>
      <c r="H4992" s="17">
        <f t="shared" si="444"/>
        <v>2024</v>
      </c>
      <c r="I4992" s="17" t="s">
        <v>4</v>
      </c>
      <c r="J4992" s="17" t="s">
        <v>5733</v>
      </c>
      <c r="K4992" s="17" t="s">
        <v>3075</v>
      </c>
      <c r="L4992" s="17" t="s">
        <v>3076</v>
      </c>
      <c r="M4992" s="17" t="s">
        <v>106</v>
      </c>
      <c r="N4992" s="17" t="str">
        <f t="shared" si="445"/>
        <v>LBS</v>
      </c>
      <c r="O4992" s="19">
        <v>1800</v>
      </c>
    </row>
    <row r="4993" spans="2:15" x14ac:dyDescent="0.25">
      <c r="B4993" s="16" t="s">
        <v>1050</v>
      </c>
      <c r="C4993" s="17" t="s">
        <v>533</v>
      </c>
      <c r="D4993" s="17" t="s">
        <v>557</v>
      </c>
      <c r="E4993" s="17" t="s">
        <v>5734</v>
      </c>
      <c r="F4993" s="18">
        <f>DATE(2024,4,25)</f>
        <v>45407</v>
      </c>
      <c r="G4993" s="17">
        <f t="shared" si="443"/>
        <v>4</v>
      </c>
      <c r="H4993" s="17">
        <f t="shared" si="444"/>
        <v>2024</v>
      </c>
      <c r="I4993" s="17" t="s">
        <v>4</v>
      </c>
      <c r="J4993" s="17" t="s">
        <v>5735</v>
      </c>
      <c r="K4993" s="17" t="s">
        <v>1772</v>
      </c>
      <c r="L4993" s="17" t="s">
        <v>1773</v>
      </c>
      <c r="M4993" s="17" t="s">
        <v>106</v>
      </c>
      <c r="N4993" s="17" t="str">
        <f t="shared" si="445"/>
        <v>LBS</v>
      </c>
      <c r="O4993" s="19">
        <v>2500</v>
      </c>
    </row>
    <row r="4994" spans="2:15" x14ac:dyDescent="0.25">
      <c r="B4994" s="16" t="s">
        <v>3113</v>
      </c>
      <c r="C4994" s="17" t="s">
        <v>3114</v>
      </c>
      <c r="D4994" s="17" t="s">
        <v>5736</v>
      </c>
      <c r="E4994" s="17" t="s">
        <v>5737</v>
      </c>
      <c r="F4994" s="18">
        <f>DATE(2024,4,29)</f>
        <v>45411</v>
      </c>
      <c r="G4994" s="17">
        <f t="shared" si="443"/>
        <v>4</v>
      </c>
      <c r="H4994" s="17">
        <f t="shared" si="444"/>
        <v>2024</v>
      </c>
      <c r="I4994" s="17" t="s">
        <v>4</v>
      </c>
      <c r="J4994" s="17" t="s">
        <v>5738</v>
      </c>
      <c r="K4994" s="17" t="s">
        <v>560</v>
      </c>
      <c r="L4994" s="17" t="s">
        <v>602</v>
      </c>
      <c r="M4994" s="17" t="s">
        <v>41</v>
      </c>
      <c r="N4994" s="17" t="str">
        <f t="shared" si="445"/>
        <v>GAL</v>
      </c>
      <c r="O4994" s="19">
        <v>1040</v>
      </c>
    </row>
    <row r="4995" spans="2:15" x14ac:dyDescent="0.25">
      <c r="B4995" s="16" t="s">
        <v>3113</v>
      </c>
      <c r="C4995" s="17" t="s">
        <v>3114</v>
      </c>
      <c r="D4995" s="17" t="s">
        <v>5736</v>
      </c>
      <c r="E4995" s="17" t="s">
        <v>5737</v>
      </c>
      <c r="F4995" s="18">
        <f>DATE(2024,4,29)</f>
        <v>45411</v>
      </c>
      <c r="G4995" s="17">
        <f t="shared" si="443"/>
        <v>4</v>
      </c>
      <c r="H4995" s="17">
        <f t="shared" si="444"/>
        <v>2024</v>
      </c>
      <c r="I4995" s="17" t="s">
        <v>4</v>
      </c>
      <c r="J4995" s="17" t="s">
        <v>5738</v>
      </c>
      <c r="K4995" s="17" t="s">
        <v>5739</v>
      </c>
      <c r="L4995" s="17" t="s">
        <v>5740</v>
      </c>
      <c r="M4995" s="17" t="s">
        <v>3367</v>
      </c>
      <c r="N4995" s="17" t="str">
        <f t="shared" si="445"/>
        <v>GAL</v>
      </c>
      <c r="O4995" s="19">
        <v>260</v>
      </c>
    </row>
    <row r="4996" spans="2:15" x14ac:dyDescent="0.25">
      <c r="B4996" s="16" t="s">
        <v>3113</v>
      </c>
      <c r="C4996" s="17" t="s">
        <v>3114</v>
      </c>
      <c r="D4996" s="17" t="s">
        <v>5736</v>
      </c>
      <c r="E4996" s="17" t="s">
        <v>5737</v>
      </c>
      <c r="F4996" s="18">
        <f>DATE(2024,4,29)</f>
        <v>45411</v>
      </c>
      <c r="G4996" s="17">
        <f t="shared" si="443"/>
        <v>4</v>
      </c>
      <c r="H4996" s="17">
        <f t="shared" si="444"/>
        <v>2024</v>
      </c>
      <c r="I4996" s="17" t="s">
        <v>4</v>
      </c>
      <c r="J4996" s="17" t="s">
        <v>5738</v>
      </c>
      <c r="K4996" s="17" t="s">
        <v>5741</v>
      </c>
      <c r="L4996" s="17" t="s">
        <v>818</v>
      </c>
      <c r="M4996" s="17" t="s">
        <v>556</v>
      </c>
      <c r="N4996" s="17" t="str">
        <f t="shared" si="445"/>
        <v>GAL</v>
      </c>
      <c r="O4996" s="19">
        <v>260</v>
      </c>
    </row>
    <row r="4997" spans="2:15" x14ac:dyDescent="0.25">
      <c r="B4997" s="16" t="s">
        <v>3113</v>
      </c>
      <c r="C4997" s="17" t="s">
        <v>3114</v>
      </c>
      <c r="D4997" s="17" t="s">
        <v>5736</v>
      </c>
      <c r="E4997" s="17" t="s">
        <v>5737</v>
      </c>
      <c r="F4997" s="18">
        <f>DATE(2024,4,29)</f>
        <v>45411</v>
      </c>
      <c r="G4997" s="17">
        <f t="shared" si="443"/>
        <v>4</v>
      </c>
      <c r="H4997" s="17">
        <f t="shared" si="444"/>
        <v>2024</v>
      </c>
      <c r="I4997" s="17" t="s">
        <v>4</v>
      </c>
      <c r="J4997" s="17" t="s">
        <v>5738</v>
      </c>
      <c r="K4997" s="17" t="s">
        <v>1496</v>
      </c>
      <c r="L4997" s="17" t="s">
        <v>159</v>
      </c>
      <c r="M4997" s="17" t="s">
        <v>160</v>
      </c>
      <c r="N4997" s="17" t="str">
        <f t="shared" si="445"/>
        <v>GAL</v>
      </c>
      <c r="O4997" s="19">
        <v>780</v>
      </c>
    </row>
    <row r="4998" spans="2:15" x14ac:dyDescent="0.25">
      <c r="B4998" s="16" t="s">
        <v>3113</v>
      </c>
      <c r="C4998" s="17" t="s">
        <v>3114</v>
      </c>
      <c r="D4998" s="17" t="s">
        <v>3025</v>
      </c>
      <c r="E4998" s="17" t="s">
        <v>102</v>
      </c>
      <c r="F4998" s="18">
        <f>DATE(2024,4,5)</f>
        <v>45387</v>
      </c>
      <c r="G4998" s="17">
        <f t="shared" si="443"/>
        <v>4</v>
      </c>
      <c r="H4998" s="17">
        <f t="shared" si="444"/>
        <v>2024</v>
      </c>
      <c r="I4998" s="17" t="s">
        <v>4</v>
      </c>
      <c r="J4998" s="17" t="s">
        <v>5742</v>
      </c>
      <c r="K4998" s="17" t="s">
        <v>560</v>
      </c>
      <c r="L4998" s="17" t="s">
        <v>602</v>
      </c>
      <c r="M4998" s="17" t="s">
        <v>41</v>
      </c>
      <c r="N4998" s="17" t="str">
        <f t="shared" si="445"/>
        <v>GAL</v>
      </c>
      <c r="O4998" s="19">
        <v>500</v>
      </c>
    </row>
    <row r="4999" spans="2:15" x14ac:dyDescent="0.25">
      <c r="B4999" s="16" t="s">
        <v>3113</v>
      </c>
      <c r="C4999" s="17" t="s">
        <v>3114</v>
      </c>
      <c r="D4999" s="17" t="s">
        <v>3025</v>
      </c>
      <c r="E4999" s="17" t="s">
        <v>102</v>
      </c>
      <c r="F4999" s="18">
        <f>DATE(2024,4,5)</f>
        <v>45387</v>
      </c>
      <c r="G4999" s="17">
        <f t="shared" si="443"/>
        <v>4</v>
      </c>
      <c r="H4999" s="17">
        <f t="shared" si="444"/>
        <v>2024</v>
      </c>
      <c r="I4999" s="17" t="s">
        <v>4</v>
      </c>
      <c r="J4999" s="17" t="s">
        <v>5742</v>
      </c>
      <c r="K4999" s="17" t="s">
        <v>1496</v>
      </c>
      <c r="L4999" s="17" t="s">
        <v>159</v>
      </c>
      <c r="M4999" s="17" t="s">
        <v>160</v>
      </c>
      <c r="N4999" s="17" t="str">
        <f t="shared" si="445"/>
        <v>GAL</v>
      </c>
      <c r="O4999" s="19">
        <v>1500</v>
      </c>
    </row>
    <row r="5000" spans="2:15" x14ac:dyDescent="0.25">
      <c r="B5000" s="16" t="s">
        <v>3113</v>
      </c>
      <c r="C5000" s="17" t="s">
        <v>3114</v>
      </c>
      <c r="D5000" s="17" t="s">
        <v>3025</v>
      </c>
      <c r="E5000" s="17" t="s">
        <v>102</v>
      </c>
      <c r="F5000" s="18">
        <f>DATE(2024,4,5)</f>
        <v>45387</v>
      </c>
      <c r="G5000" s="17">
        <f t="shared" si="443"/>
        <v>4</v>
      </c>
      <c r="H5000" s="17">
        <f t="shared" si="444"/>
        <v>2024</v>
      </c>
      <c r="I5000" s="17" t="s">
        <v>4</v>
      </c>
      <c r="J5000" s="17" t="s">
        <v>5743</v>
      </c>
      <c r="K5000" s="17" t="s">
        <v>3029</v>
      </c>
      <c r="L5000" s="17" t="s">
        <v>2454</v>
      </c>
      <c r="M5000" s="17" t="s">
        <v>2455</v>
      </c>
      <c r="N5000" s="17" t="str">
        <f t="shared" si="445"/>
        <v>GAL</v>
      </c>
      <c r="O5000" s="19">
        <v>1500</v>
      </c>
    </row>
    <row r="5001" spans="2:15" x14ac:dyDescent="0.25">
      <c r="B5001" s="16" t="s">
        <v>3238</v>
      </c>
      <c r="C5001" s="17" t="s">
        <v>3239</v>
      </c>
      <c r="D5001" s="17" t="s">
        <v>3240</v>
      </c>
      <c r="E5001" s="17" t="s">
        <v>102</v>
      </c>
      <c r="F5001" s="18">
        <f>DATE(2024,4,26)</f>
        <v>45408</v>
      </c>
      <c r="G5001" s="17">
        <f t="shared" si="443"/>
        <v>4</v>
      </c>
      <c r="H5001" s="17">
        <f t="shared" si="444"/>
        <v>2024</v>
      </c>
      <c r="I5001" s="17" t="s">
        <v>4</v>
      </c>
      <c r="J5001" s="17" t="s">
        <v>5744</v>
      </c>
      <c r="K5001" s="17" t="s">
        <v>3914</v>
      </c>
      <c r="L5001" s="17" t="s">
        <v>3915</v>
      </c>
      <c r="M5001" s="17" t="s">
        <v>3916</v>
      </c>
      <c r="N5001" s="17" t="str">
        <f t="shared" si="445"/>
        <v>GAL</v>
      </c>
      <c r="O5001" s="19">
        <v>60</v>
      </c>
    </row>
    <row r="5002" spans="2:15" x14ac:dyDescent="0.25">
      <c r="B5002" s="16" t="s">
        <v>3238</v>
      </c>
      <c r="C5002" s="17" t="s">
        <v>3239</v>
      </c>
      <c r="D5002" s="17" t="s">
        <v>3240</v>
      </c>
      <c r="E5002" s="17" t="s">
        <v>102</v>
      </c>
      <c r="F5002" s="18">
        <f>DATE(2024,4,26)</f>
        <v>45408</v>
      </c>
      <c r="G5002" s="17">
        <f t="shared" si="443"/>
        <v>4</v>
      </c>
      <c r="H5002" s="17">
        <f t="shared" si="444"/>
        <v>2024</v>
      </c>
      <c r="I5002" s="17" t="s">
        <v>4</v>
      </c>
      <c r="J5002" s="17" t="s">
        <v>5744</v>
      </c>
      <c r="K5002" s="17" t="s">
        <v>19</v>
      </c>
      <c r="L5002" s="17" t="s">
        <v>565</v>
      </c>
      <c r="M5002" s="17" t="s">
        <v>21</v>
      </c>
      <c r="N5002" s="17" t="str">
        <f t="shared" si="445"/>
        <v>GAL</v>
      </c>
      <c r="O5002" s="19">
        <v>60</v>
      </c>
    </row>
    <row r="5003" spans="2:15" x14ac:dyDescent="0.25">
      <c r="B5003" s="16" t="s">
        <v>3238</v>
      </c>
      <c r="C5003" s="17" t="s">
        <v>3239</v>
      </c>
      <c r="D5003" s="17" t="s">
        <v>3240</v>
      </c>
      <c r="E5003" s="17" t="s">
        <v>102</v>
      </c>
      <c r="F5003" s="18">
        <f>DATE(2024,4,26)</f>
        <v>45408</v>
      </c>
      <c r="G5003" s="17">
        <f t="shared" si="443"/>
        <v>4</v>
      </c>
      <c r="H5003" s="17">
        <f t="shared" si="444"/>
        <v>2024</v>
      </c>
      <c r="I5003" s="17" t="s">
        <v>4</v>
      </c>
      <c r="J5003" s="17" t="s">
        <v>5744</v>
      </c>
      <c r="K5003" s="17" t="s">
        <v>2530</v>
      </c>
      <c r="L5003" s="17" t="s">
        <v>3503</v>
      </c>
      <c r="M5003" s="17" t="s">
        <v>2532</v>
      </c>
      <c r="N5003" s="17" t="str">
        <f t="shared" si="445"/>
        <v>GAL</v>
      </c>
      <c r="O5003" s="19">
        <v>60</v>
      </c>
    </row>
    <row r="5004" spans="2:15" x14ac:dyDescent="0.25">
      <c r="B5004" s="16" t="s">
        <v>3238</v>
      </c>
      <c r="C5004" s="17" t="s">
        <v>3239</v>
      </c>
      <c r="D5004" s="17" t="s">
        <v>3240</v>
      </c>
      <c r="E5004" s="17" t="s">
        <v>3379</v>
      </c>
      <c r="F5004" s="18">
        <f>DATE(2024,4,29)</f>
        <v>45411</v>
      </c>
      <c r="G5004" s="17">
        <f t="shared" si="443"/>
        <v>4</v>
      </c>
      <c r="H5004" s="17">
        <f t="shared" si="444"/>
        <v>2024</v>
      </c>
      <c r="I5004" s="17" t="s">
        <v>4</v>
      </c>
      <c r="J5004" s="17" t="s">
        <v>5745</v>
      </c>
      <c r="K5004" s="17" t="s">
        <v>3653</v>
      </c>
      <c r="L5004" s="17" t="s">
        <v>3654</v>
      </c>
      <c r="M5004" s="17" t="s">
        <v>1071</v>
      </c>
      <c r="N5004" s="17" t="str">
        <f t="shared" si="445"/>
        <v>GAL</v>
      </c>
      <c r="O5004" s="19">
        <v>250</v>
      </c>
    </row>
    <row r="5005" spans="2:15" x14ac:dyDescent="0.25">
      <c r="B5005" s="16" t="s">
        <v>3238</v>
      </c>
      <c r="C5005" s="17" t="s">
        <v>3239</v>
      </c>
      <c r="D5005" s="17" t="s">
        <v>3240</v>
      </c>
      <c r="E5005" s="17" t="s">
        <v>102</v>
      </c>
      <c r="F5005" s="18">
        <f>DATE(2024,4,29)</f>
        <v>45411</v>
      </c>
      <c r="G5005" s="17">
        <f t="shared" si="443"/>
        <v>4</v>
      </c>
      <c r="H5005" s="17">
        <f t="shared" si="444"/>
        <v>2024</v>
      </c>
      <c r="I5005" s="17" t="s">
        <v>4</v>
      </c>
      <c r="J5005" s="17" t="s">
        <v>5746</v>
      </c>
      <c r="K5005" s="17" t="s">
        <v>3497</v>
      </c>
      <c r="L5005" s="17" t="s">
        <v>3934</v>
      </c>
      <c r="M5005" s="17" t="s">
        <v>556</v>
      </c>
      <c r="N5005" s="17" t="str">
        <f t="shared" si="445"/>
        <v>GAL</v>
      </c>
      <c r="O5005" s="19">
        <v>900</v>
      </c>
    </row>
    <row r="5006" spans="2:15" x14ac:dyDescent="0.25">
      <c r="B5006" s="16" t="s">
        <v>3238</v>
      </c>
      <c r="C5006" s="17" t="s">
        <v>3239</v>
      </c>
      <c r="D5006" s="17" t="s">
        <v>3240</v>
      </c>
      <c r="E5006" s="17" t="s">
        <v>102</v>
      </c>
      <c r="F5006" s="18">
        <f>DATE(2024,4,29)</f>
        <v>45411</v>
      </c>
      <c r="G5006" s="17">
        <f t="shared" si="443"/>
        <v>4</v>
      </c>
      <c r="H5006" s="17">
        <f t="shared" si="444"/>
        <v>2024</v>
      </c>
      <c r="I5006" s="17" t="s">
        <v>4</v>
      </c>
      <c r="J5006" s="17" t="s">
        <v>5746</v>
      </c>
      <c r="K5006" s="17" t="s">
        <v>842</v>
      </c>
      <c r="L5006" s="17" t="s">
        <v>843</v>
      </c>
      <c r="M5006" s="17" t="s">
        <v>844</v>
      </c>
      <c r="N5006" s="17" t="str">
        <f t="shared" si="445"/>
        <v>GAL</v>
      </c>
      <c r="O5006" s="19">
        <v>1300</v>
      </c>
    </row>
    <row r="5007" spans="2:15" x14ac:dyDescent="0.25">
      <c r="B5007" s="16" t="s">
        <v>3238</v>
      </c>
      <c r="C5007" s="17" t="s">
        <v>3239</v>
      </c>
      <c r="D5007" s="17" t="s">
        <v>3240</v>
      </c>
      <c r="E5007" s="17" t="s">
        <v>5139</v>
      </c>
      <c r="F5007" s="18">
        <f>DATE(2024,4,1)</f>
        <v>45383</v>
      </c>
      <c r="G5007" s="17">
        <f t="shared" si="443"/>
        <v>4</v>
      </c>
      <c r="H5007" s="17">
        <f t="shared" si="444"/>
        <v>2024</v>
      </c>
      <c r="I5007" s="17" t="s">
        <v>4</v>
      </c>
      <c r="J5007" s="17" t="s">
        <v>5747</v>
      </c>
      <c r="K5007" s="17" t="s">
        <v>3653</v>
      </c>
      <c r="L5007" s="17" t="s">
        <v>3654</v>
      </c>
      <c r="M5007" s="17" t="s">
        <v>1071</v>
      </c>
      <c r="N5007" s="17" t="str">
        <f t="shared" si="445"/>
        <v>GAL</v>
      </c>
      <c r="O5007" s="19">
        <v>250</v>
      </c>
    </row>
    <row r="5008" spans="2:15" x14ac:dyDescent="0.25">
      <c r="B5008" s="16" t="s">
        <v>3238</v>
      </c>
      <c r="C5008" s="17" t="s">
        <v>3239</v>
      </c>
      <c r="D5008" s="17" t="s">
        <v>3240</v>
      </c>
      <c r="E5008" s="17" t="s">
        <v>3923</v>
      </c>
      <c r="F5008" s="18">
        <f>DATE(2024,4,3)</f>
        <v>45385</v>
      </c>
      <c r="G5008" s="17">
        <f t="shared" si="443"/>
        <v>4</v>
      </c>
      <c r="H5008" s="17">
        <f t="shared" si="444"/>
        <v>2024</v>
      </c>
      <c r="I5008" s="17" t="s">
        <v>4</v>
      </c>
      <c r="J5008" s="17" t="s">
        <v>5748</v>
      </c>
      <c r="K5008" s="17" t="s">
        <v>3925</v>
      </c>
      <c r="L5008" s="17" t="s">
        <v>4264</v>
      </c>
      <c r="M5008" s="17" t="s">
        <v>119</v>
      </c>
      <c r="N5008" s="17" t="str">
        <f t="shared" si="445"/>
        <v>TON</v>
      </c>
      <c r="O5008" s="19">
        <v>1.25</v>
      </c>
    </row>
    <row r="5009" spans="2:15" x14ac:dyDescent="0.25">
      <c r="B5009" s="16" t="s">
        <v>3238</v>
      </c>
      <c r="C5009" s="17" t="s">
        <v>3239</v>
      </c>
      <c r="D5009" s="17" t="s">
        <v>3240</v>
      </c>
      <c r="E5009" s="17" t="s">
        <v>3388</v>
      </c>
      <c r="F5009" s="18">
        <f>DATE(2024,4,4)</f>
        <v>45386</v>
      </c>
      <c r="G5009" s="17">
        <f t="shared" si="443"/>
        <v>4</v>
      </c>
      <c r="H5009" s="17">
        <f t="shared" si="444"/>
        <v>2024</v>
      </c>
      <c r="I5009" s="17" t="s">
        <v>4</v>
      </c>
      <c r="J5009" s="17" t="s">
        <v>5749</v>
      </c>
      <c r="K5009" s="17" t="s">
        <v>3653</v>
      </c>
      <c r="L5009" s="17" t="s">
        <v>3654</v>
      </c>
      <c r="M5009" s="17" t="s">
        <v>1071</v>
      </c>
      <c r="N5009" s="17" t="str">
        <f t="shared" si="445"/>
        <v>GAL</v>
      </c>
      <c r="O5009" s="19">
        <v>275</v>
      </c>
    </row>
    <row r="5010" spans="2:15" x14ac:dyDescent="0.25">
      <c r="B5010" s="16" t="s">
        <v>3238</v>
      </c>
      <c r="C5010" s="17" t="s">
        <v>3239</v>
      </c>
      <c r="D5010" s="17" t="s">
        <v>3240</v>
      </c>
      <c r="E5010" s="17" t="s">
        <v>102</v>
      </c>
      <c r="F5010" s="18">
        <f>DATE(2024,4,5)</f>
        <v>45387</v>
      </c>
      <c r="G5010" s="17">
        <f t="shared" si="443"/>
        <v>4</v>
      </c>
      <c r="H5010" s="17">
        <f t="shared" si="444"/>
        <v>2024</v>
      </c>
      <c r="I5010" s="17" t="s">
        <v>4</v>
      </c>
      <c r="J5010" s="17" t="s">
        <v>5750</v>
      </c>
      <c r="K5010" s="17" t="s">
        <v>3941</v>
      </c>
      <c r="L5010" s="17" t="s">
        <v>3911</v>
      </c>
      <c r="M5010" s="17" t="s">
        <v>2100</v>
      </c>
      <c r="N5010" s="17" t="str">
        <f t="shared" si="445"/>
        <v>GAL</v>
      </c>
      <c r="O5010" s="19">
        <v>10</v>
      </c>
    </row>
    <row r="5011" spans="2:15" x14ac:dyDescent="0.25">
      <c r="B5011" s="16" t="s">
        <v>3238</v>
      </c>
      <c r="C5011" s="17" t="s">
        <v>3239</v>
      </c>
      <c r="D5011" s="17" t="s">
        <v>3240</v>
      </c>
      <c r="E5011" s="17" t="s">
        <v>102</v>
      </c>
      <c r="F5011" s="18">
        <f>DATE(2024,4,9)</f>
        <v>45391</v>
      </c>
      <c r="G5011" s="17">
        <f t="shared" si="443"/>
        <v>4</v>
      </c>
      <c r="H5011" s="17">
        <f t="shared" si="444"/>
        <v>2024</v>
      </c>
      <c r="I5011" s="17" t="s">
        <v>4</v>
      </c>
      <c r="J5011" s="17" t="s">
        <v>5751</v>
      </c>
      <c r="K5011" s="17" t="s">
        <v>3535</v>
      </c>
      <c r="L5011" s="17" t="s">
        <v>3536</v>
      </c>
      <c r="M5011" s="17" t="s">
        <v>2532</v>
      </c>
      <c r="N5011" s="17" t="str">
        <f t="shared" si="445"/>
        <v>GAL</v>
      </c>
      <c r="O5011" s="19">
        <v>60</v>
      </c>
    </row>
    <row r="5012" spans="2:15" x14ac:dyDescent="0.25">
      <c r="B5012" s="16" t="s">
        <v>3238</v>
      </c>
      <c r="C5012" s="17" t="s">
        <v>3239</v>
      </c>
      <c r="D5012" s="17" t="s">
        <v>3240</v>
      </c>
      <c r="E5012" s="17" t="s">
        <v>102</v>
      </c>
      <c r="F5012" s="18">
        <f>DATE(2024,4,15)</f>
        <v>45397</v>
      </c>
      <c r="G5012" s="17">
        <f t="shared" si="443"/>
        <v>4</v>
      </c>
      <c r="H5012" s="17">
        <f t="shared" si="444"/>
        <v>2024</v>
      </c>
      <c r="I5012" s="17" t="s">
        <v>4</v>
      </c>
      <c r="J5012" s="17" t="s">
        <v>5752</v>
      </c>
      <c r="K5012" s="17" t="s">
        <v>19</v>
      </c>
      <c r="L5012" s="17" t="s">
        <v>565</v>
      </c>
      <c r="M5012" s="17" t="s">
        <v>21</v>
      </c>
      <c r="N5012" s="17" t="str">
        <f t="shared" si="445"/>
        <v>GAL</v>
      </c>
      <c r="O5012" s="19">
        <v>5</v>
      </c>
    </row>
    <row r="5013" spans="2:15" x14ac:dyDescent="0.25">
      <c r="B5013" s="16" t="s">
        <v>3238</v>
      </c>
      <c r="C5013" s="17" t="s">
        <v>3239</v>
      </c>
      <c r="D5013" s="17" t="s">
        <v>3240</v>
      </c>
      <c r="E5013" s="17" t="s">
        <v>102</v>
      </c>
      <c r="F5013" s="18">
        <f>DATE(2024,4,15)</f>
        <v>45397</v>
      </c>
      <c r="G5013" s="17">
        <f t="shared" si="443"/>
        <v>4</v>
      </c>
      <c r="H5013" s="17">
        <f t="shared" si="444"/>
        <v>2024</v>
      </c>
      <c r="I5013" s="17" t="s">
        <v>4</v>
      </c>
      <c r="J5013" s="17" t="s">
        <v>5752</v>
      </c>
      <c r="K5013" s="17" t="s">
        <v>69</v>
      </c>
      <c r="L5013" s="17" t="s">
        <v>565</v>
      </c>
      <c r="M5013" s="17" t="s">
        <v>21</v>
      </c>
      <c r="N5013" s="17" t="str">
        <f t="shared" si="445"/>
        <v>GAL</v>
      </c>
      <c r="O5013" s="19">
        <v>30</v>
      </c>
    </row>
    <row r="5014" spans="2:15" x14ac:dyDescent="0.25">
      <c r="B5014" s="16" t="s">
        <v>3238</v>
      </c>
      <c r="C5014" s="17" t="s">
        <v>3239</v>
      </c>
      <c r="D5014" s="17" t="s">
        <v>3240</v>
      </c>
      <c r="E5014" s="17" t="s">
        <v>3944</v>
      </c>
      <c r="F5014" s="18">
        <f>DATE(2024,4,17)</f>
        <v>45399</v>
      </c>
      <c r="G5014" s="17">
        <f t="shared" si="443"/>
        <v>4</v>
      </c>
      <c r="H5014" s="17">
        <f t="shared" si="444"/>
        <v>2024</v>
      </c>
      <c r="I5014" s="17" t="s">
        <v>4</v>
      </c>
      <c r="J5014" s="17" t="s">
        <v>5753</v>
      </c>
      <c r="K5014" s="17" t="s">
        <v>5754</v>
      </c>
      <c r="L5014" s="17" t="s">
        <v>843</v>
      </c>
      <c r="M5014" s="17" t="s">
        <v>844</v>
      </c>
      <c r="N5014" s="17" t="str">
        <f t="shared" si="445"/>
        <v>GAL</v>
      </c>
      <c r="O5014" s="19">
        <v>90</v>
      </c>
    </row>
    <row r="5015" spans="2:15" x14ac:dyDescent="0.25">
      <c r="B5015" s="20" t="s">
        <v>3238</v>
      </c>
      <c r="C5015" s="21" t="s">
        <v>3239</v>
      </c>
      <c r="D5015" s="22" t="s">
        <v>3240</v>
      </c>
      <c r="E5015" s="22" t="s">
        <v>3902</v>
      </c>
      <c r="F5015" s="23">
        <f>DATE(2024,4,18)</f>
        <v>45400</v>
      </c>
      <c r="G5015" s="22">
        <f t="shared" si="443"/>
        <v>4</v>
      </c>
      <c r="H5015" s="22">
        <f t="shared" si="444"/>
        <v>2024</v>
      </c>
      <c r="I5015" s="22" t="s">
        <v>4</v>
      </c>
      <c r="J5015" s="21" t="s">
        <v>5755</v>
      </c>
      <c r="K5015" s="22" t="s">
        <v>5143</v>
      </c>
      <c r="L5015" s="22" t="s">
        <v>5144</v>
      </c>
      <c r="M5015" s="22" t="s">
        <v>119</v>
      </c>
      <c r="N5015" s="22" t="str">
        <f t="shared" si="445"/>
        <v>TON</v>
      </c>
      <c r="O5015" s="24">
        <v>5.0225</v>
      </c>
    </row>
    <row r="5016" spans="2:15" x14ac:dyDescent="0.25">
      <c r="B5016" s="16" t="s">
        <v>3238</v>
      </c>
      <c r="C5016" s="17" t="s">
        <v>3239</v>
      </c>
      <c r="D5016" s="17" t="s">
        <v>3240</v>
      </c>
      <c r="E5016" s="17" t="s">
        <v>5466</v>
      </c>
      <c r="F5016" s="18">
        <f>DATE(2024,4,19)</f>
        <v>45401</v>
      </c>
      <c r="G5016" s="17">
        <f t="shared" si="443"/>
        <v>4</v>
      </c>
      <c r="H5016" s="17">
        <f t="shared" si="444"/>
        <v>2024</v>
      </c>
      <c r="I5016" s="17" t="s">
        <v>4</v>
      </c>
      <c r="J5016" s="17" t="s">
        <v>5756</v>
      </c>
      <c r="K5016" s="17" t="s">
        <v>1800</v>
      </c>
      <c r="L5016" s="17" t="s">
        <v>916</v>
      </c>
      <c r="M5016" s="17" t="s">
        <v>119</v>
      </c>
      <c r="N5016" s="17" t="str">
        <f t="shared" si="445"/>
        <v>TON</v>
      </c>
      <c r="O5016" s="19">
        <v>4.5860000000000003</v>
      </c>
    </row>
    <row r="5017" spans="2:15" x14ac:dyDescent="0.25">
      <c r="B5017" s="16" t="s">
        <v>3238</v>
      </c>
      <c r="C5017" s="17" t="s">
        <v>3239</v>
      </c>
      <c r="D5017" s="17" t="s">
        <v>3240</v>
      </c>
      <c r="E5017" s="17" t="s">
        <v>3908</v>
      </c>
      <c r="F5017" s="18">
        <f>DATE(2024,4,22)</f>
        <v>45404</v>
      </c>
      <c r="G5017" s="17">
        <f t="shared" si="443"/>
        <v>4</v>
      </c>
      <c r="H5017" s="17">
        <f t="shared" si="444"/>
        <v>2024</v>
      </c>
      <c r="I5017" s="17" t="s">
        <v>4</v>
      </c>
      <c r="J5017" s="17" t="s">
        <v>5757</v>
      </c>
      <c r="K5017" s="17" t="s">
        <v>842</v>
      </c>
      <c r="L5017" s="17" t="s">
        <v>843</v>
      </c>
      <c r="M5017" s="17" t="s">
        <v>844</v>
      </c>
      <c r="N5017" s="17" t="str">
        <f t="shared" si="445"/>
        <v>GAL</v>
      </c>
      <c r="O5017" s="19">
        <v>250</v>
      </c>
    </row>
    <row r="5018" spans="2:15" x14ac:dyDescent="0.25">
      <c r="B5018" s="16" t="s">
        <v>3238</v>
      </c>
      <c r="C5018" s="17" t="s">
        <v>3239</v>
      </c>
      <c r="D5018" s="17" t="s">
        <v>3240</v>
      </c>
      <c r="E5018" s="17" t="s">
        <v>3908</v>
      </c>
      <c r="F5018" s="18">
        <f>DATE(2024,4,22)</f>
        <v>45404</v>
      </c>
      <c r="G5018" s="17">
        <f t="shared" si="443"/>
        <v>4</v>
      </c>
      <c r="H5018" s="17">
        <f t="shared" si="444"/>
        <v>2024</v>
      </c>
      <c r="I5018" s="17" t="s">
        <v>4</v>
      </c>
      <c r="J5018" s="17" t="s">
        <v>5757</v>
      </c>
      <c r="K5018" s="17" t="s">
        <v>4257</v>
      </c>
      <c r="L5018" s="17" t="s">
        <v>4258</v>
      </c>
      <c r="M5018" s="17" t="s">
        <v>3251</v>
      </c>
      <c r="N5018" s="17" t="str">
        <f t="shared" si="445"/>
        <v>GAL</v>
      </c>
      <c r="O5018" s="19">
        <v>250</v>
      </c>
    </row>
    <row r="5019" spans="2:15" x14ac:dyDescent="0.25">
      <c r="B5019" s="20" t="s">
        <v>3238</v>
      </c>
      <c r="C5019" s="21" t="s">
        <v>3239</v>
      </c>
      <c r="D5019" s="22" t="s">
        <v>3240</v>
      </c>
      <c r="E5019" s="22" t="s">
        <v>3908</v>
      </c>
      <c r="F5019" s="23">
        <f>DATE(2024,4,22)</f>
        <v>45404</v>
      </c>
      <c r="G5019" s="22">
        <f t="shared" si="443"/>
        <v>4</v>
      </c>
      <c r="H5019" s="22">
        <f t="shared" si="444"/>
        <v>2024</v>
      </c>
      <c r="I5019" s="22" t="s">
        <v>4</v>
      </c>
      <c r="J5019" s="21" t="s">
        <v>5757</v>
      </c>
      <c r="K5019" s="22" t="s">
        <v>3399</v>
      </c>
      <c r="L5019" s="22" t="s">
        <v>3400</v>
      </c>
      <c r="M5019" s="22" t="s">
        <v>3401</v>
      </c>
      <c r="N5019" s="22" t="str">
        <f t="shared" si="445"/>
        <v>GAL</v>
      </c>
      <c r="O5019" s="24">
        <v>250</v>
      </c>
    </row>
    <row r="5020" spans="2:15" x14ac:dyDescent="0.25">
      <c r="B5020" s="20" t="s">
        <v>3238</v>
      </c>
      <c r="C5020" s="21" t="s">
        <v>3239</v>
      </c>
      <c r="D5020" s="22" t="s">
        <v>3240</v>
      </c>
      <c r="E5020" s="22" t="s">
        <v>102</v>
      </c>
      <c r="F5020" s="23">
        <f>DATE(2024,4,24)</f>
        <v>45406</v>
      </c>
      <c r="G5020" s="22">
        <f t="shared" si="443"/>
        <v>4</v>
      </c>
      <c r="H5020" s="22">
        <f t="shared" si="444"/>
        <v>2024</v>
      </c>
      <c r="I5020" s="22" t="s">
        <v>4</v>
      </c>
      <c r="J5020" s="21" t="s">
        <v>5758</v>
      </c>
      <c r="K5020" s="22" t="s">
        <v>3510</v>
      </c>
      <c r="L5020" s="22" t="s">
        <v>3400</v>
      </c>
      <c r="M5020" s="22" t="s">
        <v>3401</v>
      </c>
      <c r="N5020" s="22" t="str">
        <f t="shared" si="445"/>
        <v>GAL</v>
      </c>
      <c r="O5020" s="24">
        <v>400</v>
      </c>
    </row>
    <row r="5021" spans="2:15" x14ac:dyDescent="0.25">
      <c r="B5021" s="16" t="s">
        <v>0</v>
      </c>
      <c r="C5021" s="17" t="s">
        <v>1</v>
      </c>
      <c r="D5021" s="17" t="s">
        <v>2</v>
      </c>
      <c r="E5021" s="17" t="s">
        <v>1790</v>
      </c>
      <c r="F5021" s="18">
        <v>45414</v>
      </c>
      <c r="G5021" s="17">
        <v>5</v>
      </c>
      <c r="H5021" s="17">
        <v>2024</v>
      </c>
      <c r="I5021" s="17" t="s">
        <v>4</v>
      </c>
      <c r="J5021" s="17" t="s">
        <v>5759</v>
      </c>
      <c r="K5021" s="17" t="s">
        <v>19</v>
      </c>
      <c r="L5021" s="17" t="s">
        <v>20</v>
      </c>
      <c r="M5021" s="17" t="s">
        <v>21</v>
      </c>
      <c r="N5021" s="17" t="s">
        <v>4532</v>
      </c>
      <c r="O5021" s="25">
        <v>40</v>
      </c>
    </row>
    <row r="5022" spans="2:15" x14ac:dyDescent="0.25">
      <c r="B5022" s="16" t="s">
        <v>0</v>
      </c>
      <c r="C5022" s="17" t="s">
        <v>1</v>
      </c>
      <c r="D5022" s="17" t="s">
        <v>2</v>
      </c>
      <c r="E5022" s="17" t="s">
        <v>1790</v>
      </c>
      <c r="F5022" s="18">
        <v>45414</v>
      </c>
      <c r="G5022" s="17">
        <v>5</v>
      </c>
      <c r="H5022" s="17">
        <v>2024</v>
      </c>
      <c r="I5022" s="17" t="s">
        <v>4</v>
      </c>
      <c r="J5022" s="17" t="s">
        <v>5759</v>
      </c>
      <c r="K5022" s="17" t="s">
        <v>22</v>
      </c>
      <c r="L5022" s="17" t="s">
        <v>23</v>
      </c>
      <c r="M5022" s="17" t="s">
        <v>24</v>
      </c>
      <c r="N5022" s="17" t="s">
        <v>4532</v>
      </c>
      <c r="O5022" s="25">
        <v>40</v>
      </c>
    </row>
    <row r="5023" spans="2:15" x14ac:dyDescent="0.25">
      <c r="B5023" s="16" t="s">
        <v>0</v>
      </c>
      <c r="C5023" s="17" t="s">
        <v>1</v>
      </c>
      <c r="D5023" s="17" t="s">
        <v>2</v>
      </c>
      <c r="E5023" s="17" t="s">
        <v>1790</v>
      </c>
      <c r="F5023" s="18">
        <v>45414</v>
      </c>
      <c r="G5023" s="17">
        <v>5</v>
      </c>
      <c r="H5023" s="17">
        <v>2024</v>
      </c>
      <c r="I5023" s="17" t="s">
        <v>4</v>
      </c>
      <c r="J5023" s="17" t="s">
        <v>5759</v>
      </c>
      <c r="K5023" s="17" t="s">
        <v>25</v>
      </c>
      <c r="L5023" s="17" t="s">
        <v>26</v>
      </c>
      <c r="M5023" s="17" t="s">
        <v>27</v>
      </c>
      <c r="N5023" s="17" t="s">
        <v>4532</v>
      </c>
      <c r="O5023" s="25">
        <v>40</v>
      </c>
    </row>
    <row r="5024" spans="2:15" x14ac:dyDescent="0.25">
      <c r="B5024" s="16" t="s">
        <v>0</v>
      </c>
      <c r="C5024" s="17" t="s">
        <v>1</v>
      </c>
      <c r="D5024" s="17" t="s">
        <v>2</v>
      </c>
      <c r="E5024" s="17" t="s">
        <v>1790</v>
      </c>
      <c r="F5024" s="18">
        <v>45414</v>
      </c>
      <c r="G5024" s="17">
        <v>5</v>
      </c>
      <c r="H5024" s="17">
        <v>2024</v>
      </c>
      <c r="I5024" s="17" t="s">
        <v>4</v>
      </c>
      <c r="J5024" s="17" t="s">
        <v>5759</v>
      </c>
      <c r="K5024" s="17" t="s">
        <v>28</v>
      </c>
      <c r="L5024" s="17" t="s">
        <v>29</v>
      </c>
      <c r="M5024" s="17" t="s">
        <v>30</v>
      </c>
      <c r="N5024" s="17" t="s">
        <v>4532</v>
      </c>
      <c r="O5024" s="25">
        <v>40</v>
      </c>
    </row>
    <row r="5025" spans="2:15" x14ac:dyDescent="0.25">
      <c r="B5025" s="16" t="s">
        <v>0</v>
      </c>
      <c r="C5025" s="17" t="s">
        <v>1</v>
      </c>
      <c r="D5025" s="17" t="s">
        <v>2</v>
      </c>
      <c r="E5025" s="17" t="s">
        <v>1790</v>
      </c>
      <c r="F5025" s="18">
        <v>45414</v>
      </c>
      <c r="G5025" s="17">
        <v>5</v>
      </c>
      <c r="H5025" s="17">
        <v>2024</v>
      </c>
      <c r="I5025" s="17" t="s">
        <v>4</v>
      </c>
      <c r="J5025" s="17" t="s">
        <v>5759</v>
      </c>
      <c r="K5025" s="17" t="s">
        <v>16</v>
      </c>
      <c r="L5025" s="17" t="s">
        <v>7</v>
      </c>
      <c r="M5025" s="17" t="s">
        <v>8</v>
      </c>
      <c r="N5025" s="17" t="s">
        <v>4532</v>
      </c>
      <c r="O5025" s="25">
        <v>40</v>
      </c>
    </row>
    <row r="5026" spans="2:15" x14ac:dyDescent="0.25">
      <c r="B5026" s="16" t="s">
        <v>0</v>
      </c>
      <c r="C5026" s="17" t="s">
        <v>1</v>
      </c>
      <c r="D5026" s="17" t="s">
        <v>2</v>
      </c>
      <c r="E5026" s="17" t="s">
        <v>3</v>
      </c>
      <c r="F5026" s="18">
        <v>45415</v>
      </c>
      <c r="G5026" s="17">
        <v>5</v>
      </c>
      <c r="H5026" s="17">
        <v>2024</v>
      </c>
      <c r="I5026" s="17" t="s">
        <v>4</v>
      </c>
      <c r="J5026" s="17" t="s">
        <v>5760</v>
      </c>
      <c r="K5026" s="17" t="s">
        <v>11</v>
      </c>
      <c r="L5026" s="17" t="s">
        <v>12</v>
      </c>
      <c r="M5026" s="17" t="s">
        <v>13</v>
      </c>
      <c r="N5026" s="17" t="s">
        <v>4532</v>
      </c>
      <c r="O5026" s="25">
        <v>55</v>
      </c>
    </row>
    <row r="5027" spans="2:15" x14ac:dyDescent="0.25">
      <c r="B5027" s="16" t="s">
        <v>0</v>
      </c>
      <c r="C5027" s="17" t="s">
        <v>1</v>
      </c>
      <c r="D5027" s="17" t="s">
        <v>2</v>
      </c>
      <c r="E5027" s="17" t="s">
        <v>4287</v>
      </c>
      <c r="F5027" s="18">
        <v>45422</v>
      </c>
      <c r="G5027" s="17">
        <v>5</v>
      </c>
      <c r="H5027" s="17">
        <v>2024</v>
      </c>
      <c r="I5027" s="17" t="s">
        <v>4</v>
      </c>
      <c r="J5027" s="17" t="s">
        <v>5761</v>
      </c>
      <c r="K5027" s="17" t="s">
        <v>574</v>
      </c>
      <c r="L5027" s="17" t="s">
        <v>66</v>
      </c>
      <c r="M5027" s="17" t="s">
        <v>67</v>
      </c>
      <c r="N5027" s="17" t="s">
        <v>4532</v>
      </c>
      <c r="O5027" s="25">
        <v>5</v>
      </c>
    </row>
    <row r="5028" spans="2:15" x14ac:dyDescent="0.25">
      <c r="B5028" s="16" t="s">
        <v>0</v>
      </c>
      <c r="C5028" s="17" t="s">
        <v>1</v>
      </c>
      <c r="D5028" s="17" t="s">
        <v>2</v>
      </c>
      <c r="E5028" s="17" t="s">
        <v>4287</v>
      </c>
      <c r="F5028" s="18">
        <v>45422</v>
      </c>
      <c r="G5028" s="17">
        <v>5</v>
      </c>
      <c r="H5028" s="17">
        <v>2024</v>
      </c>
      <c r="I5028" s="17" t="s">
        <v>4</v>
      </c>
      <c r="J5028" s="17" t="s">
        <v>5761</v>
      </c>
      <c r="K5028" s="17" t="s">
        <v>19</v>
      </c>
      <c r="L5028" s="17" t="s">
        <v>20</v>
      </c>
      <c r="M5028" s="17" t="s">
        <v>21</v>
      </c>
      <c r="N5028" s="17" t="s">
        <v>4532</v>
      </c>
      <c r="O5028" s="25">
        <v>60</v>
      </c>
    </row>
    <row r="5029" spans="2:15" x14ac:dyDescent="0.25">
      <c r="B5029" s="16" t="s">
        <v>0</v>
      </c>
      <c r="C5029" s="17" t="s">
        <v>1</v>
      </c>
      <c r="D5029" s="17" t="s">
        <v>2</v>
      </c>
      <c r="E5029" s="17" t="s">
        <v>4287</v>
      </c>
      <c r="F5029" s="18">
        <v>45422</v>
      </c>
      <c r="G5029" s="17">
        <v>5</v>
      </c>
      <c r="H5029" s="17">
        <v>2024</v>
      </c>
      <c r="I5029" s="17" t="s">
        <v>4</v>
      </c>
      <c r="J5029" s="17" t="s">
        <v>5761</v>
      </c>
      <c r="K5029" s="17" t="s">
        <v>36</v>
      </c>
      <c r="L5029" s="17" t="s">
        <v>37</v>
      </c>
      <c r="M5029" s="17" t="s">
        <v>38</v>
      </c>
      <c r="N5029" s="17" t="s">
        <v>4532</v>
      </c>
      <c r="O5029" s="25">
        <v>60</v>
      </c>
    </row>
    <row r="5030" spans="2:15" x14ac:dyDescent="0.25">
      <c r="B5030" s="16" t="s">
        <v>0</v>
      </c>
      <c r="C5030" s="17" t="s">
        <v>1</v>
      </c>
      <c r="D5030" s="17" t="s">
        <v>2</v>
      </c>
      <c r="E5030" s="17" t="s">
        <v>4287</v>
      </c>
      <c r="F5030" s="18">
        <v>45422</v>
      </c>
      <c r="G5030" s="17">
        <v>5</v>
      </c>
      <c r="H5030" s="17">
        <v>2024</v>
      </c>
      <c r="I5030" s="17" t="s">
        <v>4</v>
      </c>
      <c r="J5030" s="17" t="s">
        <v>5761</v>
      </c>
      <c r="K5030" s="17" t="s">
        <v>44</v>
      </c>
      <c r="L5030" s="17" t="s">
        <v>45</v>
      </c>
      <c r="M5030" s="17" t="s">
        <v>46</v>
      </c>
      <c r="N5030" s="17" t="s">
        <v>4532</v>
      </c>
      <c r="O5030" s="25">
        <v>60</v>
      </c>
    </row>
    <row r="5031" spans="2:15" x14ac:dyDescent="0.25">
      <c r="B5031" s="16" t="s">
        <v>0</v>
      </c>
      <c r="C5031" s="17" t="s">
        <v>1</v>
      </c>
      <c r="D5031" s="17" t="s">
        <v>2</v>
      </c>
      <c r="E5031" s="17" t="s">
        <v>4287</v>
      </c>
      <c r="F5031" s="18">
        <v>45422</v>
      </c>
      <c r="G5031" s="17">
        <v>5</v>
      </c>
      <c r="H5031" s="17">
        <v>2024</v>
      </c>
      <c r="I5031" s="17" t="s">
        <v>4</v>
      </c>
      <c r="J5031" s="17" t="s">
        <v>5761</v>
      </c>
      <c r="K5031" s="17" t="s">
        <v>25</v>
      </c>
      <c r="L5031" s="17" t="s">
        <v>26</v>
      </c>
      <c r="M5031" s="17" t="s">
        <v>27</v>
      </c>
      <c r="N5031" s="17" t="s">
        <v>4532</v>
      </c>
      <c r="O5031" s="25">
        <v>120</v>
      </c>
    </row>
    <row r="5032" spans="2:15" x14ac:dyDescent="0.25">
      <c r="B5032" s="16" t="s">
        <v>0</v>
      </c>
      <c r="C5032" s="17" t="s">
        <v>1</v>
      </c>
      <c r="D5032" s="17" t="s">
        <v>2</v>
      </c>
      <c r="E5032" s="17" t="s">
        <v>4287</v>
      </c>
      <c r="F5032" s="18">
        <v>45422</v>
      </c>
      <c r="G5032" s="17">
        <v>5</v>
      </c>
      <c r="H5032" s="17">
        <v>2024</v>
      </c>
      <c r="I5032" s="17" t="s">
        <v>4</v>
      </c>
      <c r="J5032" s="17" t="s">
        <v>5761</v>
      </c>
      <c r="K5032" s="17" t="s">
        <v>83</v>
      </c>
      <c r="L5032" s="17" t="s">
        <v>84</v>
      </c>
      <c r="M5032" s="17" t="s">
        <v>85</v>
      </c>
      <c r="N5032" s="17" t="s">
        <v>4532</v>
      </c>
      <c r="O5032" s="25">
        <v>60</v>
      </c>
    </row>
    <row r="5033" spans="2:15" x14ac:dyDescent="0.25">
      <c r="B5033" s="16" t="s">
        <v>0</v>
      </c>
      <c r="C5033" s="17" t="s">
        <v>1</v>
      </c>
      <c r="D5033" s="17" t="s">
        <v>2</v>
      </c>
      <c r="E5033" s="17" t="s">
        <v>4287</v>
      </c>
      <c r="F5033" s="18">
        <v>45422</v>
      </c>
      <c r="G5033" s="17">
        <v>5</v>
      </c>
      <c r="H5033" s="17">
        <v>2024</v>
      </c>
      <c r="I5033" s="17" t="s">
        <v>4</v>
      </c>
      <c r="J5033" s="17" t="s">
        <v>5761</v>
      </c>
      <c r="K5033" s="17" t="s">
        <v>28</v>
      </c>
      <c r="L5033" s="17" t="s">
        <v>29</v>
      </c>
      <c r="M5033" s="17" t="s">
        <v>30</v>
      </c>
      <c r="N5033" s="17" t="s">
        <v>4532</v>
      </c>
      <c r="O5033" s="25">
        <v>120</v>
      </c>
    </row>
    <row r="5034" spans="2:15" x14ac:dyDescent="0.25">
      <c r="B5034" s="16" t="s">
        <v>0</v>
      </c>
      <c r="C5034" s="17" t="s">
        <v>1</v>
      </c>
      <c r="D5034" s="17" t="s">
        <v>2</v>
      </c>
      <c r="E5034" s="17" t="s">
        <v>4287</v>
      </c>
      <c r="F5034" s="18">
        <v>45422</v>
      </c>
      <c r="G5034" s="17">
        <v>5</v>
      </c>
      <c r="H5034" s="17">
        <v>2024</v>
      </c>
      <c r="I5034" s="17" t="s">
        <v>4</v>
      </c>
      <c r="J5034" s="17" t="s">
        <v>5761</v>
      </c>
      <c r="K5034" s="17" t="s">
        <v>16</v>
      </c>
      <c r="L5034" s="17" t="s">
        <v>7</v>
      </c>
      <c r="M5034" s="17" t="s">
        <v>8</v>
      </c>
      <c r="N5034" s="17" t="s">
        <v>4532</v>
      </c>
      <c r="O5034" s="25">
        <v>120</v>
      </c>
    </row>
    <row r="5035" spans="2:15" x14ac:dyDescent="0.25">
      <c r="B5035" s="16" t="s">
        <v>0</v>
      </c>
      <c r="C5035" s="17" t="s">
        <v>1</v>
      </c>
      <c r="D5035" s="17" t="s">
        <v>2</v>
      </c>
      <c r="E5035" s="17" t="s">
        <v>1784</v>
      </c>
      <c r="F5035" s="18">
        <v>45428</v>
      </c>
      <c r="G5035" s="17">
        <v>5</v>
      </c>
      <c r="H5035" s="17">
        <v>2024</v>
      </c>
      <c r="I5035" s="17" t="s">
        <v>4</v>
      </c>
      <c r="J5035" s="17" t="s">
        <v>5762</v>
      </c>
      <c r="K5035" s="17" t="s">
        <v>22</v>
      </c>
      <c r="L5035" s="17" t="s">
        <v>23</v>
      </c>
      <c r="M5035" s="17" t="s">
        <v>24</v>
      </c>
      <c r="N5035" s="17" t="s">
        <v>4532</v>
      </c>
      <c r="O5035" s="25">
        <v>20</v>
      </c>
    </row>
    <row r="5036" spans="2:15" x14ac:dyDescent="0.25">
      <c r="B5036" s="16" t="s">
        <v>0</v>
      </c>
      <c r="C5036" s="17" t="s">
        <v>1</v>
      </c>
      <c r="D5036" s="17" t="s">
        <v>2</v>
      </c>
      <c r="E5036" s="17" t="s">
        <v>1784</v>
      </c>
      <c r="F5036" s="18">
        <v>45428</v>
      </c>
      <c r="G5036" s="17">
        <v>5</v>
      </c>
      <c r="H5036" s="17">
        <v>2024</v>
      </c>
      <c r="I5036" s="17" t="s">
        <v>4</v>
      </c>
      <c r="J5036" s="17" t="s">
        <v>5762</v>
      </c>
      <c r="K5036" s="17" t="s">
        <v>83</v>
      </c>
      <c r="L5036" s="17" t="s">
        <v>84</v>
      </c>
      <c r="M5036" s="17" t="s">
        <v>85</v>
      </c>
      <c r="N5036" s="17" t="s">
        <v>4532</v>
      </c>
      <c r="O5036" s="25">
        <v>30</v>
      </c>
    </row>
    <row r="5037" spans="2:15" x14ac:dyDescent="0.25">
      <c r="B5037" s="16" t="s">
        <v>0</v>
      </c>
      <c r="C5037" s="17" t="s">
        <v>1</v>
      </c>
      <c r="D5037" s="17" t="s">
        <v>2</v>
      </c>
      <c r="E5037" s="17" t="s">
        <v>1784</v>
      </c>
      <c r="F5037" s="18">
        <v>45428</v>
      </c>
      <c r="G5037" s="17">
        <v>5</v>
      </c>
      <c r="H5037" s="17">
        <v>2024</v>
      </c>
      <c r="I5037" s="17" t="s">
        <v>4</v>
      </c>
      <c r="J5037" s="17" t="s">
        <v>5762</v>
      </c>
      <c r="K5037" s="17" t="s">
        <v>28</v>
      </c>
      <c r="L5037" s="17" t="s">
        <v>29</v>
      </c>
      <c r="M5037" s="17" t="s">
        <v>30</v>
      </c>
      <c r="N5037" s="17" t="s">
        <v>4532</v>
      </c>
      <c r="O5037" s="25">
        <v>30</v>
      </c>
    </row>
    <row r="5038" spans="2:15" x14ac:dyDescent="0.25">
      <c r="B5038" s="16" t="s">
        <v>0</v>
      </c>
      <c r="C5038" s="17" t="s">
        <v>1</v>
      </c>
      <c r="D5038" s="17" t="s">
        <v>2</v>
      </c>
      <c r="E5038" s="17" t="s">
        <v>3952</v>
      </c>
      <c r="F5038" s="18">
        <v>45443</v>
      </c>
      <c r="G5038" s="17">
        <v>5</v>
      </c>
      <c r="H5038" s="17">
        <v>2024</v>
      </c>
      <c r="I5038" s="17" t="s">
        <v>4</v>
      </c>
      <c r="J5038" s="17" t="s">
        <v>5763</v>
      </c>
      <c r="K5038" s="17" t="s">
        <v>25</v>
      </c>
      <c r="L5038" s="17" t="s">
        <v>26</v>
      </c>
      <c r="M5038" s="17" t="s">
        <v>27</v>
      </c>
      <c r="N5038" s="17" t="s">
        <v>4532</v>
      </c>
      <c r="O5038" s="25">
        <v>25</v>
      </c>
    </row>
    <row r="5039" spans="2:15" x14ac:dyDescent="0.25">
      <c r="B5039" s="16" t="s">
        <v>0</v>
      </c>
      <c r="C5039" s="17" t="s">
        <v>1</v>
      </c>
      <c r="D5039" s="17" t="s">
        <v>2</v>
      </c>
      <c r="E5039" s="17" t="s">
        <v>3952</v>
      </c>
      <c r="F5039" s="18">
        <v>45443</v>
      </c>
      <c r="G5039" s="17">
        <v>5</v>
      </c>
      <c r="H5039" s="17">
        <v>2024</v>
      </c>
      <c r="I5039" s="17" t="s">
        <v>4</v>
      </c>
      <c r="J5039" s="17" t="s">
        <v>5763</v>
      </c>
      <c r="K5039" s="17" t="s">
        <v>83</v>
      </c>
      <c r="L5039" s="17" t="s">
        <v>84</v>
      </c>
      <c r="M5039" s="17" t="s">
        <v>85</v>
      </c>
      <c r="N5039" s="17" t="s">
        <v>4532</v>
      </c>
      <c r="O5039" s="25">
        <v>15</v>
      </c>
    </row>
    <row r="5040" spans="2:15" x14ac:dyDescent="0.25">
      <c r="B5040" s="16" t="s">
        <v>0</v>
      </c>
      <c r="C5040" s="17" t="s">
        <v>1</v>
      </c>
      <c r="D5040" s="17" t="s">
        <v>2</v>
      </c>
      <c r="E5040" s="17" t="s">
        <v>3952</v>
      </c>
      <c r="F5040" s="18">
        <v>45443</v>
      </c>
      <c r="G5040" s="17">
        <v>5</v>
      </c>
      <c r="H5040" s="17">
        <v>2024</v>
      </c>
      <c r="I5040" s="17" t="s">
        <v>4</v>
      </c>
      <c r="J5040" s="17" t="s">
        <v>5763</v>
      </c>
      <c r="K5040" s="17" t="s">
        <v>28</v>
      </c>
      <c r="L5040" s="17" t="s">
        <v>29</v>
      </c>
      <c r="M5040" s="17" t="s">
        <v>30</v>
      </c>
      <c r="N5040" s="17" t="s">
        <v>4532</v>
      </c>
      <c r="O5040" s="25">
        <v>15</v>
      </c>
    </row>
    <row r="5041" spans="2:15" x14ac:dyDescent="0.25">
      <c r="B5041" s="16" t="s">
        <v>0</v>
      </c>
      <c r="C5041" s="17" t="s">
        <v>1</v>
      </c>
      <c r="D5041" s="17" t="s">
        <v>2</v>
      </c>
      <c r="E5041" s="17" t="s">
        <v>3952</v>
      </c>
      <c r="F5041" s="18">
        <v>45443</v>
      </c>
      <c r="G5041" s="17">
        <v>5</v>
      </c>
      <c r="H5041" s="17">
        <v>2024</v>
      </c>
      <c r="I5041" s="17" t="s">
        <v>4</v>
      </c>
      <c r="J5041" s="17" t="s">
        <v>5763</v>
      </c>
      <c r="K5041" s="17" t="s">
        <v>16</v>
      </c>
      <c r="L5041" s="17" t="s">
        <v>7</v>
      </c>
      <c r="M5041" s="17" t="s">
        <v>8</v>
      </c>
      <c r="N5041" s="17" t="s">
        <v>4532</v>
      </c>
      <c r="O5041" s="25">
        <v>25</v>
      </c>
    </row>
    <row r="5042" spans="2:15" x14ac:dyDescent="0.25">
      <c r="B5042" s="16" t="s">
        <v>88</v>
      </c>
      <c r="C5042" s="17" t="s">
        <v>89</v>
      </c>
      <c r="D5042" s="17" t="s">
        <v>90</v>
      </c>
      <c r="E5042" s="17" t="s">
        <v>91</v>
      </c>
      <c r="F5042" s="18">
        <v>45414</v>
      </c>
      <c r="G5042" s="17">
        <v>5</v>
      </c>
      <c r="H5042" s="17">
        <v>2024</v>
      </c>
      <c r="I5042" s="17" t="s">
        <v>4</v>
      </c>
      <c r="J5042" s="17" t="s">
        <v>5764</v>
      </c>
      <c r="K5042" s="17" t="s">
        <v>2519</v>
      </c>
      <c r="L5042" s="17" t="s">
        <v>550</v>
      </c>
      <c r="M5042" s="17" t="s">
        <v>52</v>
      </c>
      <c r="N5042" s="17" t="s">
        <v>4532</v>
      </c>
      <c r="O5042" s="25">
        <v>250</v>
      </c>
    </row>
    <row r="5043" spans="2:15" x14ac:dyDescent="0.25">
      <c r="B5043" s="16" t="s">
        <v>88</v>
      </c>
      <c r="C5043" s="17" t="s">
        <v>89</v>
      </c>
      <c r="D5043" s="17" t="s">
        <v>515</v>
      </c>
      <c r="E5043" s="17" t="s">
        <v>516</v>
      </c>
      <c r="F5043" s="18">
        <v>45415</v>
      </c>
      <c r="G5043" s="17">
        <v>5</v>
      </c>
      <c r="H5043" s="17">
        <v>2024</v>
      </c>
      <c r="I5043" s="17" t="s">
        <v>4</v>
      </c>
      <c r="J5043" s="17" t="s">
        <v>5765</v>
      </c>
      <c r="K5043" s="17" t="s">
        <v>110</v>
      </c>
      <c r="L5043" s="17" t="s">
        <v>111</v>
      </c>
      <c r="M5043" s="17" t="s">
        <v>112</v>
      </c>
      <c r="N5043" s="17" t="s">
        <v>4532</v>
      </c>
      <c r="O5043" s="25">
        <v>2475</v>
      </c>
    </row>
    <row r="5044" spans="2:15" x14ac:dyDescent="0.25">
      <c r="B5044" s="16" t="s">
        <v>88</v>
      </c>
      <c r="C5044" s="17" t="s">
        <v>89</v>
      </c>
      <c r="D5044" s="17" t="s">
        <v>1111</v>
      </c>
      <c r="E5044" s="17" t="s">
        <v>1112</v>
      </c>
      <c r="F5044" s="18">
        <v>45415</v>
      </c>
      <c r="G5044" s="17">
        <v>5</v>
      </c>
      <c r="H5044" s="17">
        <v>2024</v>
      </c>
      <c r="I5044" s="17" t="s">
        <v>4</v>
      </c>
      <c r="J5044" s="17" t="s">
        <v>5766</v>
      </c>
      <c r="K5044" s="17" t="s">
        <v>2629</v>
      </c>
      <c r="L5044" s="17" t="s">
        <v>2630</v>
      </c>
      <c r="M5044" s="17" t="s">
        <v>2631</v>
      </c>
      <c r="N5044" s="17" t="s">
        <v>4532</v>
      </c>
      <c r="O5044" s="25">
        <v>70</v>
      </c>
    </row>
    <row r="5045" spans="2:15" x14ac:dyDescent="0.25">
      <c r="B5045" s="16" t="s">
        <v>88</v>
      </c>
      <c r="C5045" s="17" t="s">
        <v>89</v>
      </c>
      <c r="D5045" s="17" t="s">
        <v>167</v>
      </c>
      <c r="E5045" s="17" t="s">
        <v>168</v>
      </c>
      <c r="F5045" s="18">
        <v>45418</v>
      </c>
      <c r="G5045" s="17">
        <v>5</v>
      </c>
      <c r="H5045" s="17">
        <v>2024</v>
      </c>
      <c r="I5045" s="17" t="s">
        <v>4</v>
      </c>
      <c r="J5045" s="17" t="s">
        <v>5767</v>
      </c>
      <c r="K5045" s="17" t="s">
        <v>2620</v>
      </c>
      <c r="L5045" s="17" t="s">
        <v>2617</v>
      </c>
      <c r="M5045" s="17" t="s">
        <v>2618</v>
      </c>
      <c r="N5045" s="17" t="s">
        <v>4532</v>
      </c>
      <c r="O5045" s="25">
        <v>750</v>
      </c>
    </row>
    <row r="5046" spans="2:15" x14ac:dyDescent="0.25">
      <c r="B5046" s="16" t="s">
        <v>88</v>
      </c>
      <c r="C5046" s="17" t="s">
        <v>89</v>
      </c>
      <c r="D5046" s="17" t="s">
        <v>616</v>
      </c>
      <c r="E5046" s="17" t="s">
        <v>617</v>
      </c>
      <c r="F5046" s="18">
        <v>45421</v>
      </c>
      <c r="G5046" s="17">
        <v>5</v>
      </c>
      <c r="H5046" s="17">
        <v>2024</v>
      </c>
      <c r="I5046" s="17" t="s">
        <v>4</v>
      </c>
      <c r="J5046" s="17" t="s">
        <v>5768</v>
      </c>
      <c r="K5046" s="17" t="s">
        <v>619</v>
      </c>
      <c r="L5046" s="17" t="s">
        <v>620</v>
      </c>
      <c r="M5046" s="17" t="s">
        <v>621</v>
      </c>
      <c r="N5046" s="17" t="s">
        <v>4532</v>
      </c>
      <c r="O5046" s="25">
        <v>50</v>
      </c>
    </row>
    <row r="5047" spans="2:15" x14ac:dyDescent="0.25">
      <c r="B5047" s="16" t="s">
        <v>88</v>
      </c>
      <c r="C5047" s="17" t="s">
        <v>89</v>
      </c>
      <c r="D5047" s="17" t="s">
        <v>1444</v>
      </c>
      <c r="E5047" s="17" t="s">
        <v>3965</v>
      </c>
      <c r="F5047" s="18">
        <v>45429</v>
      </c>
      <c r="G5047" s="17">
        <v>5</v>
      </c>
      <c r="H5047" s="17">
        <v>2024</v>
      </c>
      <c r="I5047" s="17" t="s">
        <v>4</v>
      </c>
      <c r="J5047" s="17" t="s">
        <v>5769</v>
      </c>
      <c r="K5047" s="17" t="s">
        <v>3136</v>
      </c>
      <c r="L5047" s="17" t="s">
        <v>2581</v>
      </c>
      <c r="M5047" s="17" t="s">
        <v>1448</v>
      </c>
      <c r="N5047" s="17" t="s">
        <v>4532</v>
      </c>
      <c r="O5047" s="25">
        <v>150</v>
      </c>
    </row>
    <row r="5048" spans="2:15" x14ac:dyDescent="0.25">
      <c r="B5048" s="16" t="s">
        <v>88</v>
      </c>
      <c r="C5048" s="17" t="s">
        <v>89</v>
      </c>
      <c r="D5048" s="17" t="s">
        <v>1444</v>
      </c>
      <c r="E5048" s="17" t="s">
        <v>102</v>
      </c>
      <c r="F5048" s="18">
        <v>45429</v>
      </c>
      <c r="G5048" s="17">
        <v>5</v>
      </c>
      <c r="H5048" s="17">
        <v>2024</v>
      </c>
      <c r="I5048" s="17" t="s">
        <v>4</v>
      </c>
      <c r="J5048" s="17" t="s">
        <v>5770</v>
      </c>
      <c r="K5048" s="17" t="s">
        <v>1446</v>
      </c>
      <c r="L5048" s="17" t="s">
        <v>2581</v>
      </c>
      <c r="M5048" s="17" t="s">
        <v>1448</v>
      </c>
      <c r="N5048" s="17" t="s">
        <v>4532</v>
      </c>
      <c r="O5048" s="25">
        <v>360</v>
      </c>
    </row>
    <row r="5049" spans="2:15" x14ac:dyDescent="0.25">
      <c r="B5049" s="20" t="s">
        <v>88</v>
      </c>
      <c r="C5049" s="21" t="s">
        <v>89</v>
      </c>
      <c r="D5049" s="22" t="s">
        <v>5771</v>
      </c>
      <c r="E5049" s="22" t="s">
        <v>102</v>
      </c>
      <c r="F5049" s="26">
        <v>45441</v>
      </c>
      <c r="G5049" s="21">
        <v>5</v>
      </c>
      <c r="H5049" s="21">
        <v>2024</v>
      </c>
      <c r="I5049" s="22" t="s">
        <v>4</v>
      </c>
      <c r="J5049" s="22" t="s">
        <v>5772</v>
      </c>
      <c r="K5049" s="22" t="s">
        <v>3497</v>
      </c>
      <c r="L5049" s="22" t="s">
        <v>3498</v>
      </c>
      <c r="M5049" s="22" t="s">
        <v>556</v>
      </c>
      <c r="N5049" s="22" t="s">
        <v>4532</v>
      </c>
      <c r="O5049" s="27">
        <v>1000</v>
      </c>
    </row>
    <row r="5050" spans="2:15" x14ac:dyDescent="0.25">
      <c r="B5050" s="16" t="s">
        <v>88</v>
      </c>
      <c r="C5050" s="17" t="s">
        <v>89</v>
      </c>
      <c r="D5050" s="17" t="s">
        <v>90</v>
      </c>
      <c r="E5050" s="17" t="s">
        <v>91</v>
      </c>
      <c r="F5050" s="18">
        <v>45441</v>
      </c>
      <c r="G5050" s="17">
        <v>5</v>
      </c>
      <c r="H5050" s="17">
        <v>2024</v>
      </c>
      <c r="I5050" s="17" t="s">
        <v>4</v>
      </c>
      <c r="J5050" s="17" t="s">
        <v>5773</v>
      </c>
      <c r="K5050" s="17" t="s">
        <v>614</v>
      </c>
      <c r="L5050" s="17" t="s">
        <v>615</v>
      </c>
      <c r="M5050" s="17" t="s">
        <v>41</v>
      </c>
      <c r="N5050" s="17" t="s">
        <v>4532</v>
      </c>
      <c r="O5050" s="25">
        <v>250</v>
      </c>
    </row>
    <row r="5051" spans="2:15" x14ac:dyDescent="0.25">
      <c r="B5051" s="16" t="s">
        <v>88</v>
      </c>
      <c r="C5051" s="17" t="s">
        <v>89</v>
      </c>
      <c r="D5051" s="17" t="s">
        <v>1444</v>
      </c>
      <c r="E5051" s="17" t="s">
        <v>102</v>
      </c>
      <c r="F5051" s="18">
        <v>45425</v>
      </c>
      <c r="G5051" s="17">
        <v>5</v>
      </c>
      <c r="H5051" s="17">
        <v>2024</v>
      </c>
      <c r="I5051" s="17" t="s">
        <v>4</v>
      </c>
      <c r="J5051" s="17" t="s">
        <v>5774</v>
      </c>
      <c r="K5051" s="17" t="s">
        <v>1446</v>
      </c>
      <c r="L5051" s="17" t="s">
        <v>2581</v>
      </c>
      <c r="M5051" s="17" t="s">
        <v>1448</v>
      </c>
      <c r="N5051" s="17" t="s">
        <v>4532</v>
      </c>
      <c r="O5051" s="25">
        <v>180</v>
      </c>
    </row>
    <row r="5052" spans="2:15" x14ac:dyDescent="0.25">
      <c r="B5052" s="16" t="s">
        <v>88</v>
      </c>
      <c r="C5052" s="17" t="s">
        <v>89</v>
      </c>
      <c r="D5052" s="17" t="s">
        <v>1103</v>
      </c>
      <c r="E5052" s="17" t="s">
        <v>1104</v>
      </c>
      <c r="F5052" s="18">
        <v>45426</v>
      </c>
      <c r="G5052" s="17">
        <v>5</v>
      </c>
      <c r="H5052" s="17">
        <v>2024</v>
      </c>
      <c r="I5052" s="17" t="s">
        <v>4</v>
      </c>
      <c r="J5052" s="17" t="s">
        <v>5775</v>
      </c>
      <c r="K5052" s="17" t="s">
        <v>126</v>
      </c>
      <c r="L5052" s="17" t="s">
        <v>127</v>
      </c>
      <c r="M5052" s="17" t="s">
        <v>106</v>
      </c>
      <c r="N5052" s="17" t="s">
        <v>106</v>
      </c>
      <c r="O5052" s="25">
        <v>20100</v>
      </c>
    </row>
    <row r="5053" spans="2:15" x14ac:dyDescent="0.25">
      <c r="B5053" s="16" t="s">
        <v>88</v>
      </c>
      <c r="C5053" s="17" t="s">
        <v>89</v>
      </c>
      <c r="D5053" s="17" t="s">
        <v>3265</v>
      </c>
      <c r="E5053" s="17" t="s">
        <v>3266</v>
      </c>
      <c r="F5053" s="18">
        <v>45426</v>
      </c>
      <c r="G5053" s="17">
        <v>5</v>
      </c>
      <c r="H5053" s="17">
        <v>2024</v>
      </c>
      <c r="I5053" s="17" t="s">
        <v>4</v>
      </c>
      <c r="J5053" s="17" t="s">
        <v>5776</v>
      </c>
      <c r="K5053" s="17" t="s">
        <v>4553</v>
      </c>
      <c r="L5053" s="17" t="s">
        <v>4554</v>
      </c>
      <c r="M5053" s="17" t="s">
        <v>4555</v>
      </c>
      <c r="N5053" s="17" t="s">
        <v>4532</v>
      </c>
      <c r="O5053" s="25">
        <v>150</v>
      </c>
    </row>
    <row r="5054" spans="2:15" x14ac:dyDescent="0.25">
      <c r="B5054" s="16" t="s">
        <v>88</v>
      </c>
      <c r="C5054" s="17" t="s">
        <v>89</v>
      </c>
      <c r="D5054" s="17" t="s">
        <v>3265</v>
      </c>
      <c r="E5054" s="17" t="s">
        <v>3266</v>
      </c>
      <c r="F5054" s="18">
        <v>45426</v>
      </c>
      <c r="G5054" s="17">
        <v>5</v>
      </c>
      <c r="H5054" s="17">
        <v>2024</v>
      </c>
      <c r="I5054" s="17" t="s">
        <v>4</v>
      </c>
      <c r="J5054" s="17" t="s">
        <v>5776</v>
      </c>
      <c r="K5054" s="17" t="s">
        <v>998</v>
      </c>
      <c r="L5054" s="17" t="s">
        <v>5777</v>
      </c>
      <c r="M5054" s="17" t="s">
        <v>1000</v>
      </c>
      <c r="N5054" s="17" t="s">
        <v>4532</v>
      </c>
      <c r="O5054" s="25">
        <v>150</v>
      </c>
    </row>
    <row r="5055" spans="2:15" x14ac:dyDescent="0.25">
      <c r="B5055" s="16" t="s">
        <v>154</v>
      </c>
      <c r="C5055" s="17" t="s">
        <v>155</v>
      </c>
      <c r="D5055" s="17" t="s">
        <v>1838</v>
      </c>
      <c r="E5055" s="17" t="s">
        <v>1839</v>
      </c>
      <c r="F5055" s="18">
        <v>45413</v>
      </c>
      <c r="G5055" s="17">
        <v>5</v>
      </c>
      <c r="H5055" s="17">
        <v>2024</v>
      </c>
      <c r="I5055" s="17" t="s">
        <v>4</v>
      </c>
      <c r="J5055" s="17" t="s">
        <v>5778</v>
      </c>
      <c r="K5055" s="17" t="s">
        <v>171</v>
      </c>
      <c r="L5055" s="17" t="s">
        <v>172</v>
      </c>
      <c r="M5055" s="17" t="s">
        <v>27</v>
      </c>
      <c r="N5055" s="17" t="s">
        <v>4532</v>
      </c>
      <c r="O5055" s="25">
        <v>1080</v>
      </c>
    </row>
    <row r="5056" spans="2:15" x14ac:dyDescent="0.25">
      <c r="B5056" s="16" t="s">
        <v>154</v>
      </c>
      <c r="C5056" s="17" t="s">
        <v>155</v>
      </c>
      <c r="D5056" s="17" t="s">
        <v>173</v>
      </c>
      <c r="E5056" s="17" t="s">
        <v>174</v>
      </c>
      <c r="F5056" s="18">
        <v>45413</v>
      </c>
      <c r="G5056" s="17">
        <v>5</v>
      </c>
      <c r="H5056" s="17">
        <v>2024</v>
      </c>
      <c r="I5056" s="17" t="s">
        <v>4</v>
      </c>
      <c r="J5056" s="17" t="s">
        <v>5779</v>
      </c>
      <c r="K5056" s="17" t="s">
        <v>631</v>
      </c>
      <c r="L5056" s="17" t="s">
        <v>632</v>
      </c>
      <c r="M5056" s="17" t="s">
        <v>633</v>
      </c>
      <c r="N5056" s="17" t="s">
        <v>4532</v>
      </c>
      <c r="O5056" s="25">
        <v>250</v>
      </c>
    </row>
    <row r="5057" spans="2:15" x14ac:dyDescent="0.25">
      <c r="B5057" s="16" t="s">
        <v>154</v>
      </c>
      <c r="C5057" s="17" t="s">
        <v>155</v>
      </c>
      <c r="D5057" s="17" t="s">
        <v>178</v>
      </c>
      <c r="E5057" s="17" t="s">
        <v>179</v>
      </c>
      <c r="F5057" s="18">
        <v>45414</v>
      </c>
      <c r="G5057" s="17">
        <v>5</v>
      </c>
      <c r="H5057" s="17">
        <v>2024</v>
      </c>
      <c r="I5057" s="17" t="s">
        <v>4</v>
      </c>
      <c r="J5057" s="17" t="s">
        <v>5780</v>
      </c>
      <c r="K5057" s="17" t="s">
        <v>25</v>
      </c>
      <c r="L5057" s="17" t="s">
        <v>541</v>
      </c>
      <c r="M5057" s="17" t="s">
        <v>27</v>
      </c>
      <c r="N5057" s="17" t="s">
        <v>4532</v>
      </c>
      <c r="O5057" s="25">
        <v>180</v>
      </c>
    </row>
    <row r="5058" spans="2:15" x14ac:dyDescent="0.25">
      <c r="B5058" s="16" t="s">
        <v>154</v>
      </c>
      <c r="C5058" s="17" t="s">
        <v>155</v>
      </c>
      <c r="D5058" s="17" t="s">
        <v>161</v>
      </c>
      <c r="E5058" s="17" t="s">
        <v>162</v>
      </c>
      <c r="F5058" s="18">
        <v>45418</v>
      </c>
      <c r="G5058" s="17">
        <v>5</v>
      </c>
      <c r="H5058" s="17">
        <v>2024</v>
      </c>
      <c r="I5058" s="17" t="s">
        <v>4</v>
      </c>
      <c r="J5058" s="17" t="s">
        <v>5781</v>
      </c>
      <c r="K5058" s="17" t="s">
        <v>189</v>
      </c>
      <c r="L5058" s="17" t="s">
        <v>190</v>
      </c>
      <c r="M5058" s="17" t="s">
        <v>191</v>
      </c>
      <c r="N5058" s="17" t="s">
        <v>4532</v>
      </c>
      <c r="O5058" s="25">
        <v>180</v>
      </c>
    </row>
    <row r="5059" spans="2:15" x14ac:dyDescent="0.25">
      <c r="B5059" s="16" t="s">
        <v>645</v>
      </c>
      <c r="C5059" s="17" t="s">
        <v>155</v>
      </c>
      <c r="D5059" s="17" t="s">
        <v>646</v>
      </c>
      <c r="E5059" s="17" t="s">
        <v>647</v>
      </c>
      <c r="F5059" s="18">
        <v>45418</v>
      </c>
      <c r="G5059" s="17">
        <v>5</v>
      </c>
      <c r="H5059" s="17">
        <v>2024</v>
      </c>
      <c r="I5059" s="17" t="s">
        <v>4</v>
      </c>
      <c r="J5059" s="17" t="s">
        <v>5782</v>
      </c>
      <c r="K5059" s="17" t="s">
        <v>25</v>
      </c>
      <c r="L5059" s="17" t="s">
        <v>541</v>
      </c>
      <c r="M5059" s="17" t="s">
        <v>27</v>
      </c>
      <c r="N5059" s="17" t="s">
        <v>4532</v>
      </c>
      <c r="O5059" s="25">
        <v>180</v>
      </c>
    </row>
    <row r="5060" spans="2:15" x14ac:dyDescent="0.25">
      <c r="B5060" s="16" t="s">
        <v>154</v>
      </c>
      <c r="C5060" s="17" t="s">
        <v>155</v>
      </c>
      <c r="D5060" s="17" t="s">
        <v>161</v>
      </c>
      <c r="E5060" s="17" t="s">
        <v>162</v>
      </c>
      <c r="F5060" s="18">
        <v>45419</v>
      </c>
      <c r="G5060" s="17">
        <v>5</v>
      </c>
      <c r="H5060" s="17">
        <v>2024</v>
      </c>
      <c r="I5060" s="17" t="s">
        <v>4</v>
      </c>
      <c r="J5060" s="17" t="s">
        <v>5783</v>
      </c>
      <c r="K5060" s="17" t="s">
        <v>189</v>
      </c>
      <c r="L5060" s="17" t="s">
        <v>190</v>
      </c>
      <c r="M5060" s="17" t="s">
        <v>191</v>
      </c>
      <c r="N5060" s="17" t="s">
        <v>4532</v>
      </c>
      <c r="O5060" s="25">
        <v>180</v>
      </c>
    </row>
    <row r="5061" spans="2:15" x14ac:dyDescent="0.25">
      <c r="B5061" s="16" t="s">
        <v>154</v>
      </c>
      <c r="C5061" s="17" t="s">
        <v>155</v>
      </c>
      <c r="D5061" s="17" t="s">
        <v>161</v>
      </c>
      <c r="E5061" s="17" t="s">
        <v>162</v>
      </c>
      <c r="F5061" s="18">
        <v>45419</v>
      </c>
      <c r="G5061" s="17">
        <v>5</v>
      </c>
      <c r="H5061" s="17">
        <v>2024</v>
      </c>
      <c r="I5061" s="17" t="s">
        <v>4</v>
      </c>
      <c r="J5061" s="17" t="s">
        <v>5784</v>
      </c>
      <c r="K5061" s="17" t="s">
        <v>631</v>
      </c>
      <c r="L5061" s="17" t="s">
        <v>632</v>
      </c>
      <c r="M5061" s="17" t="s">
        <v>633</v>
      </c>
      <c r="N5061" s="17" t="s">
        <v>4532</v>
      </c>
      <c r="O5061" s="25">
        <v>2000</v>
      </c>
    </row>
    <row r="5062" spans="2:15" x14ac:dyDescent="0.25">
      <c r="B5062" s="16" t="s">
        <v>154</v>
      </c>
      <c r="C5062" s="17" t="s">
        <v>155</v>
      </c>
      <c r="D5062" s="17" t="s">
        <v>628</v>
      </c>
      <c r="E5062" s="17" t="s">
        <v>2200</v>
      </c>
      <c r="F5062" s="18">
        <v>45419</v>
      </c>
      <c r="G5062" s="17">
        <v>5</v>
      </c>
      <c r="H5062" s="17">
        <v>2024</v>
      </c>
      <c r="I5062" s="17" t="s">
        <v>4</v>
      </c>
      <c r="J5062" s="17" t="s">
        <v>5785</v>
      </c>
      <c r="K5062" s="17" t="s">
        <v>2584</v>
      </c>
      <c r="L5062" s="17" t="s">
        <v>2585</v>
      </c>
      <c r="M5062" s="17" t="s">
        <v>119</v>
      </c>
      <c r="N5062" s="17" t="s">
        <v>119</v>
      </c>
      <c r="O5062" s="25">
        <v>20.032499999999999</v>
      </c>
    </row>
    <row r="5063" spans="2:15" x14ac:dyDescent="0.25">
      <c r="B5063" s="16" t="s">
        <v>154</v>
      </c>
      <c r="C5063" s="17" t="s">
        <v>155</v>
      </c>
      <c r="D5063" s="17" t="s">
        <v>167</v>
      </c>
      <c r="E5063" s="17" t="s">
        <v>168</v>
      </c>
      <c r="F5063" s="18">
        <v>45420</v>
      </c>
      <c r="G5063" s="17">
        <v>5</v>
      </c>
      <c r="H5063" s="17">
        <v>2024</v>
      </c>
      <c r="I5063" s="17" t="s">
        <v>4</v>
      </c>
      <c r="J5063" s="17" t="s">
        <v>5786</v>
      </c>
      <c r="K5063" s="17" t="s">
        <v>5787</v>
      </c>
      <c r="L5063" s="17" t="s">
        <v>1842</v>
      </c>
      <c r="M5063" s="17" t="s">
        <v>41</v>
      </c>
      <c r="N5063" s="17" t="s">
        <v>4532</v>
      </c>
      <c r="O5063" s="25">
        <v>100</v>
      </c>
    </row>
    <row r="5064" spans="2:15" x14ac:dyDescent="0.25">
      <c r="B5064" s="16" t="s">
        <v>154</v>
      </c>
      <c r="C5064" s="17" t="s">
        <v>155</v>
      </c>
      <c r="D5064" s="17" t="s">
        <v>167</v>
      </c>
      <c r="E5064" s="17" t="s">
        <v>168</v>
      </c>
      <c r="F5064" s="18">
        <v>45421</v>
      </c>
      <c r="G5064" s="17">
        <v>5</v>
      </c>
      <c r="H5064" s="17">
        <v>2024</v>
      </c>
      <c r="I5064" s="17" t="s">
        <v>4</v>
      </c>
      <c r="J5064" s="17" t="s">
        <v>5788</v>
      </c>
      <c r="K5064" s="17" t="s">
        <v>171</v>
      </c>
      <c r="L5064" s="17" t="s">
        <v>172</v>
      </c>
      <c r="M5064" s="17" t="s">
        <v>27</v>
      </c>
      <c r="N5064" s="17" t="s">
        <v>4532</v>
      </c>
      <c r="O5064" s="25">
        <v>180</v>
      </c>
    </row>
    <row r="5065" spans="2:15" x14ac:dyDescent="0.25">
      <c r="B5065" s="16" t="s">
        <v>154</v>
      </c>
      <c r="C5065" s="17" t="s">
        <v>155</v>
      </c>
      <c r="D5065" s="17" t="s">
        <v>591</v>
      </c>
      <c r="E5065" s="17" t="s">
        <v>592</v>
      </c>
      <c r="F5065" s="18">
        <v>45422</v>
      </c>
      <c r="G5065" s="17">
        <v>5</v>
      </c>
      <c r="H5065" s="17">
        <v>2024</v>
      </c>
      <c r="I5065" s="17" t="s">
        <v>4</v>
      </c>
      <c r="J5065" s="17" t="s">
        <v>5789</v>
      </c>
      <c r="K5065" s="17" t="s">
        <v>1098</v>
      </c>
      <c r="L5065" s="17" t="s">
        <v>632</v>
      </c>
      <c r="M5065" s="17" t="s">
        <v>633</v>
      </c>
      <c r="N5065" s="17" t="s">
        <v>4532</v>
      </c>
      <c r="O5065" s="25">
        <v>3056.87</v>
      </c>
    </row>
    <row r="5066" spans="2:15" x14ac:dyDescent="0.25">
      <c r="B5066" s="16" t="s">
        <v>154</v>
      </c>
      <c r="C5066" s="17" t="s">
        <v>155</v>
      </c>
      <c r="D5066" s="17" t="s">
        <v>167</v>
      </c>
      <c r="E5066" s="17" t="s">
        <v>168</v>
      </c>
      <c r="F5066" s="18">
        <v>45427</v>
      </c>
      <c r="G5066" s="17">
        <v>5</v>
      </c>
      <c r="H5066" s="17">
        <v>2024</v>
      </c>
      <c r="I5066" s="17" t="s">
        <v>4</v>
      </c>
      <c r="J5066" s="17" t="s">
        <v>5790</v>
      </c>
      <c r="K5066" s="17" t="s">
        <v>171</v>
      </c>
      <c r="L5066" s="17" t="s">
        <v>172</v>
      </c>
      <c r="M5066" s="17" t="s">
        <v>27</v>
      </c>
      <c r="N5066" s="17" t="s">
        <v>4532</v>
      </c>
      <c r="O5066" s="25">
        <v>180</v>
      </c>
    </row>
    <row r="5067" spans="2:15" x14ac:dyDescent="0.25">
      <c r="B5067" s="16" t="s">
        <v>154</v>
      </c>
      <c r="C5067" s="17" t="s">
        <v>155</v>
      </c>
      <c r="D5067" s="17" t="s">
        <v>167</v>
      </c>
      <c r="E5067" s="17" t="s">
        <v>168</v>
      </c>
      <c r="F5067" s="18">
        <v>45427</v>
      </c>
      <c r="G5067" s="17">
        <v>5</v>
      </c>
      <c r="H5067" s="17">
        <v>2024</v>
      </c>
      <c r="I5067" s="17" t="s">
        <v>4</v>
      </c>
      <c r="J5067" s="17" t="s">
        <v>5791</v>
      </c>
      <c r="K5067" s="17" t="s">
        <v>3436</v>
      </c>
      <c r="L5067" s="17" t="s">
        <v>3437</v>
      </c>
      <c r="M5067" s="17" t="s">
        <v>67</v>
      </c>
      <c r="N5067" s="17" t="s">
        <v>4532</v>
      </c>
      <c r="O5067" s="25">
        <v>1000</v>
      </c>
    </row>
    <row r="5068" spans="2:15" x14ac:dyDescent="0.25">
      <c r="B5068" s="16" t="s">
        <v>154</v>
      </c>
      <c r="C5068" s="17" t="s">
        <v>155</v>
      </c>
      <c r="D5068" s="17" t="s">
        <v>628</v>
      </c>
      <c r="E5068" s="17" t="s">
        <v>2200</v>
      </c>
      <c r="F5068" s="18">
        <v>45428</v>
      </c>
      <c r="G5068" s="17">
        <v>5</v>
      </c>
      <c r="H5068" s="17">
        <v>2024</v>
      </c>
      <c r="I5068" s="17" t="s">
        <v>4</v>
      </c>
      <c r="J5068" s="17" t="s">
        <v>5792</v>
      </c>
      <c r="K5068" s="17" t="s">
        <v>2584</v>
      </c>
      <c r="L5068" s="17" t="s">
        <v>2585</v>
      </c>
      <c r="M5068" s="17" t="s">
        <v>119</v>
      </c>
      <c r="N5068" s="17" t="s">
        <v>119</v>
      </c>
      <c r="O5068" s="25">
        <v>20.07</v>
      </c>
    </row>
    <row r="5069" spans="2:15" x14ac:dyDescent="0.25">
      <c r="B5069" s="16" t="s">
        <v>154</v>
      </c>
      <c r="C5069" s="17" t="s">
        <v>155</v>
      </c>
      <c r="D5069" s="17" t="s">
        <v>628</v>
      </c>
      <c r="E5069" s="17" t="s">
        <v>629</v>
      </c>
      <c r="F5069" s="18">
        <v>45428</v>
      </c>
      <c r="G5069" s="17">
        <v>5</v>
      </c>
      <c r="H5069" s="17">
        <v>2024</v>
      </c>
      <c r="I5069" s="17" t="s">
        <v>4</v>
      </c>
      <c r="J5069" s="17" t="s">
        <v>5793</v>
      </c>
      <c r="K5069" s="17" t="s">
        <v>1869</v>
      </c>
      <c r="L5069" s="17" t="s">
        <v>172</v>
      </c>
      <c r="M5069" s="17" t="s">
        <v>27</v>
      </c>
      <c r="N5069" s="17" t="s">
        <v>4532</v>
      </c>
      <c r="O5069" s="25">
        <v>500</v>
      </c>
    </row>
    <row r="5070" spans="2:15" x14ac:dyDescent="0.25">
      <c r="B5070" s="16" t="s">
        <v>154</v>
      </c>
      <c r="C5070" s="17" t="s">
        <v>155</v>
      </c>
      <c r="D5070" s="17" t="s">
        <v>1838</v>
      </c>
      <c r="E5070" s="17" t="s">
        <v>1839</v>
      </c>
      <c r="F5070" s="18">
        <v>45432</v>
      </c>
      <c r="G5070" s="17">
        <v>5</v>
      </c>
      <c r="H5070" s="17">
        <v>2024</v>
      </c>
      <c r="I5070" s="17" t="s">
        <v>4</v>
      </c>
      <c r="J5070" s="17" t="s">
        <v>5794</v>
      </c>
      <c r="K5070" s="17" t="s">
        <v>171</v>
      </c>
      <c r="L5070" s="17" t="s">
        <v>172</v>
      </c>
      <c r="M5070" s="17" t="s">
        <v>27</v>
      </c>
      <c r="N5070" s="17" t="s">
        <v>4532</v>
      </c>
      <c r="O5070" s="25">
        <v>2160</v>
      </c>
    </row>
    <row r="5071" spans="2:15" x14ac:dyDescent="0.25">
      <c r="B5071" s="16" t="s">
        <v>154</v>
      </c>
      <c r="C5071" s="17" t="s">
        <v>155</v>
      </c>
      <c r="D5071" s="17" t="s">
        <v>1838</v>
      </c>
      <c r="E5071" s="17" t="s">
        <v>1839</v>
      </c>
      <c r="F5071" s="18">
        <v>45432</v>
      </c>
      <c r="G5071" s="17">
        <v>5</v>
      </c>
      <c r="H5071" s="17">
        <v>2024</v>
      </c>
      <c r="I5071" s="17" t="s">
        <v>4</v>
      </c>
      <c r="J5071" s="17" t="s">
        <v>5794</v>
      </c>
      <c r="K5071" s="17" t="s">
        <v>1869</v>
      </c>
      <c r="L5071" s="17" t="s">
        <v>172</v>
      </c>
      <c r="M5071" s="17" t="s">
        <v>27</v>
      </c>
      <c r="N5071" s="17" t="s">
        <v>4532</v>
      </c>
      <c r="O5071" s="25">
        <v>1500</v>
      </c>
    </row>
    <row r="5072" spans="2:15" x14ac:dyDescent="0.25">
      <c r="B5072" s="16" t="s">
        <v>154</v>
      </c>
      <c r="C5072" s="17" t="s">
        <v>155</v>
      </c>
      <c r="D5072" s="17" t="s">
        <v>178</v>
      </c>
      <c r="E5072" s="17" t="s">
        <v>179</v>
      </c>
      <c r="F5072" s="18">
        <v>45433</v>
      </c>
      <c r="G5072" s="17">
        <v>5</v>
      </c>
      <c r="H5072" s="17">
        <v>2024</v>
      </c>
      <c r="I5072" s="17" t="s">
        <v>4</v>
      </c>
      <c r="J5072" s="17" t="s">
        <v>5795</v>
      </c>
      <c r="K5072" s="17" t="s">
        <v>164</v>
      </c>
      <c r="L5072" s="17" t="s">
        <v>165</v>
      </c>
      <c r="M5072" s="17" t="s">
        <v>166</v>
      </c>
      <c r="N5072" s="17" t="s">
        <v>4532</v>
      </c>
      <c r="O5072" s="25">
        <v>180</v>
      </c>
    </row>
    <row r="5073" spans="2:15" x14ac:dyDescent="0.25">
      <c r="B5073" s="16" t="s">
        <v>154</v>
      </c>
      <c r="C5073" s="17" t="s">
        <v>155</v>
      </c>
      <c r="D5073" s="17" t="s">
        <v>628</v>
      </c>
      <c r="E5073" s="17" t="s">
        <v>629</v>
      </c>
      <c r="F5073" s="18">
        <v>45440</v>
      </c>
      <c r="G5073" s="17">
        <v>5</v>
      </c>
      <c r="H5073" s="17">
        <v>2024</v>
      </c>
      <c r="I5073" s="17" t="s">
        <v>4</v>
      </c>
      <c r="J5073" s="17" t="s">
        <v>5796</v>
      </c>
      <c r="K5073" s="17" t="s">
        <v>631</v>
      </c>
      <c r="L5073" s="17" t="s">
        <v>632</v>
      </c>
      <c r="M5073" s="17" t="s">
        <v>633</v>
      </c>
      <c r="N5073" s="17" t="s">
        <v>4532</v>
      </c>
      <c r="O5073" s="25">
        <v>2000</v>
      </c>
    </row>
    <row r="5074" spans="2:15" x14ac:dyDescent="0.25">
      <c r="B5074" s="16" t="s">
        <v>154</v>
      </c>
      <c r="C5074" s="17" t="s">
        <v>155</v>
      </c>
      <c r="D5074" s="17" t="s">
        <v>628</v>
      </c>
      <c r="E5074" s="17" t="s">
        <v>629</v>
      </c>
      <c r="F5074" s="18">
        <v>45440</v>
      </c>
      <c r="G5074" s="17">
        <v>5</v>
      </c>
      <c r="H5074" s="17">
        <v>2024</v>
      </c>
      <c r="I5074" s="17" t="s">
        <v>4</v>
      </c>
      <c r="J5074" s="17" t="s">
        <v>5797</v>
      </c>
      <c r="K5074" s="17" t="s">
        <v>631</v>
      </c>
      <c r="L5074" s="17" t="s">
        <v>632</v>
      </c>
      <c r="M5074" s="17" t="s">
        <v>633</v>
      </c>
      <c r="N5074" s="17" t="s">
        <v>4532</v>
      </c>
      <c r="O5074" s="25">
        <v>1000</v>
      </c>
    </row>
    <row r="5075" spans="2:15" x14ac:dyDescent="0.25">
      <c r="B5075" s="16" t="s">
        <v>154</v>
      </c>
      <c r="C5075" s="17" t="s">
        <v>155</v>
      </c>
      <c r="D5075" s="17" t="s">
        <v>591</v>
      </c>
      <c r="E5075" s="17" t="s">
        <v>592</v>
      </c>
      <c r="F5075" s="18">
        <v>45441</v>
      </c>
      <c r="G5075" s="17">
        <v>5</v>
      </c>
      <c r="H5075" s="17">
        <v>2024</v>
      </c>
      <c r="I5075" s="17" t="s">
        <v>4</v>
      </c>
      <c r="J5075" s="17" t="s">
        <v>5798</v>
      </c>
      <c r="K5075" s="17" t="s">
        <v>1098</v>
      </c>
      <c r="L5075" s="17" t="s">
        <v>632</v>
      </c>
      <c r="M5075" s="17" t="s">
        <v>633</v>
      </c>
      <c r="N5075" s="17" t="s">
        <v>4532</v>
      </c>
      <c r="O5075" s="25">
        <v>3033.1750000000002</v>
      </c>
    </row>
    <row r="5076" spans="2:15" x14ac:dyDescent="0.25">
      <c r="B5076" s="16" t="s">
        <v>154</v>
      </c>
      <c r="C5076" s="17" t="s">
        <v>155</v>
      </c>
      <c r="D5076" s="17" t="s">
        <v>1838</v>
      </c>
      <c r="E5076" s="17" t="s">
        <v>1839</v>
      </c>
      <c r="F5076" s="18">
        <v>45441</v>
      </c>
      <c r="G5076" s="17">
        <v>5</v>
      </c>
      <c r="H5076" s="17">
        <v>2024</v>
      </c>
      <c r="I5076" s="17" t="s">
        <v>4</v>
      </c>
      <c r="J5076" s="17" t="s">
        <v>5799</v>
      </c>
      <c r="K5076" s="17" t="s">
        <v>1869</v>
      </c>
      <c r="L5076" s="17" t="s">
        <v>172</v>
      </c>
      <c r="M5076" s="17" t="s">
        <v>27</v>
      </c>
      <c r="N5076" s="17" t="s">
        <v>4532</v>
      </c>
      <c r="O5076" s="25">
        <v>250</v>
      </c>
    </row>
    <row r="5077" spans="2:15" x14ac:dyDescent="0.25">
      <c r="B5077" s="16" t="s">
        <v>154</v>
      </c>
      <c r="C5077" s="17" t="s">
        <v>155</v>
      </c>
      <c r="D5077" s="17" t="s">
        <v>1838</v>
      </c>
      <c r="E5077" s="17" t="s">
        <v>5800</v>
      </c>
      <c r="F5077" s="18">
        <v>45442</v>
      </c>
      <c r="G5077" s="17">
        <v>5</v>
      </c>
      <c r="H5077" s="17">
        <v>2024</v>
      </c>
      <c r="I5077" s="17" t="s">
        <v>4</v>
      </c>
      <c r="J5077" s="17" t="s">
        <v>5801</v>
      </c>
      <c r="K5077" s="17" t="s">
        <v>171</v>
      </c>
      <c r="L5077" s="17" t="s">
        <v>172</v>
      </c>
      <c r="M5077" s="17" t="s">
        <v>27</v>
      </c>
      <c r="N5077" s="17" t="s">
        <v>4532</v>
      </c>
      <c r="O5077" s="25">
        <v>50</v>
      </c>
    </row>
    <row r="5078" spans="2:15" x14ac:dyDescent="0.25">
      <c r="B5078" s="16" t="s">
        <v>154</v>
      </c>
      <c r="C5078" s="17" t="s">
        <v>155</v>
      </c>
      <c r="D5078" s="17" t="s">
        <v>161</v>
      </c>
      <c r="E5078" s="17" t="s">
        <v>162</v>
      </c>
      <c r="F5078" s="18">
        <v>45443</v>
      </c>
      <c r="G5078" s="17">
        <v>5</v>
      </c>
      <c r="H5078" s="17">
        <v>2024</v>
      </c>
      <c r="I5078" s="17" t="s">
        <v>4</v>
      </c>
      <c r="J5078" s="17" t="s">
        <v>5802</v>
      </c>
      <c r="K5078" s="17" t="s">
        <v>1814</v>
      </c>
      <c r="L5078" s="17" t="s">
        <v>1815</v>
      </c>
      <c r="M5078" s="17" t="s">
        <v>1816</v>
      </c>
      <c r="N5078" s="17" t="s">
        <v>4532</v>
      </c>
      <c r="O5078" s="25">
        <v>360</v>
      </c>
    </row>
    <row r="5079" spans="2:15" x14ac:dyDescent="0.25">
      <c r="B5079" s="16" t="s">
        <v>154</v>
      </c>
      <c r="C5079" s="17" t="s">
        <v>155</v>
      </c>
      <c r="D5079" s="17" t="s">
        <v>1838</v>
      </c>
      <c r="E5079" s="17" t="s">
        <v>1839</v>
      </c>
      <c r="F5079" s="18">
        <v>45426</v>
      </c>
      <c r="G5079" s="17">
        <v>5</v>
      </c>
      <c r="H5079" s="17">
        <v>2024</v>
      </c>
      <c r="I5079" s="17" t="s">
        <v>4</v>
      </c>
      <c r="J5079" s="17" t="s">
        <v>5803</v>
      </c>
      <c r="K5079" s="17" t="s">
        <v>25</v>
      </c>
      <c r="L5079" s="17" t="s">
        <v>541</v>
      </c>
      <c r="M5079" s="17" t="s">
        <v>27</v>
      </c>
      <c r="N5079" s="17" t="s">
        <v>4532</v>
      </c>
      <c r="O5079" s="25">
        <v>120</v>
      </c>
    </row>
    <row r="5080" spans="2:15" x14ac:dyDescent="0.25">
      <c r="B5080" s="16" t="s">
        <v>1520</v>
      </c>
      <c r="C5080" s="17" t="s">
        <v>196</v>
      </c>
      <c r="D5080" s="17" t="s">
        <v>440</v>
      </c>
      <c r="E5080" s="17" t="s">
        <v>1369</v>
      </c>
      <c r="F5080" s="18">
        <v>45413</v>
      </c>
      <c r="G5080" s="17">
        <v>5</v>
      </c>
      <c r="H5080" s="17">
        <v>2024</v>
      </c>
      <c r="I5080" s="17" t="s">
        <v>4</v>
      </c>
      <c r="J5080" s="17" t="s">
        <v>5804</v>
      </c>
      <c r="K5080" s="17" t="s">
        <v>2682</v>
      </c>
      <c r="L5080" s="17" t="s">
        <v>2683</v>
      </c>
      <c r="M5080" s="17" t="s">
        <v>119</v>
      </c>
      <c r="N5080" s="17" t="s">
        <v>119</v>
      </c>
      <c r="O5080" s="25">
        <v>5.0125000000000002</v>
      </c>
    </row>
    <row r="5081" spans="2:15" x14ac:dyDescent="0.25">
      <c r="B5081" s="16" t="s">
        <v>1520</v>
      </c>
      <c r="C5081" s="17" t="s">
        <v>196</v>
      </c>
      <c r="D5081" s="17" t="s">
        <v>210</v>
      </c>
      <c r="E5081" s="17" t="s">
        <v>827</v>
      </c>
      <c r="F5081" s="18">
        <v>45413</v>
      </c>
      <c r="G5081" s="17">
        <v>5</v>
      </c>
      <c r="H5081" s="17">
        <v>2024</v>
      </c>
      <c r="I5081" s="17" t="s">
        <v>4</v>
      </c>
      <c r="J5081" s="17" t="s">
        <v>5805</v>
      </c>
      <c r="K5081" s="17" t="s">
        <v>1119</v>
      </c>
      <c r="L5081" s="17" t="s">
        <v>1023</v>
      </c>
      <c r="M5081" s="17" t="s">
        <v>1024</v>
      </c>
      <c r="N5081" s="17" t="s">
        <v>4532</v>
      </c>
      <c r="O5081" s="25">
        <v>10</v>
      </c>
    </row>
    <row r="5082" spans="2:15" x14ac:dyDescent="0.25">
      <c r="B5082" s="16" t="s">
        <v>1520</v>
      </c>
      <c r="C5082" s="17" t="s">
        <v>196</v>
      </c>
      <c r="D5082" s="17" t="s">
        <v>280</v>
      </c>
      <c r="E5082" s="17" t="s">
        <v>462</v>
      </c>
      <c r="F5082" s="18">
        <v>45413</v>
      </c>
      <c r="G5082" s="17">
        <v>5</v>
      </c>
      <c r="H5082" s="17">
        <v>2024</v>
      </c>
      <c r="I5082" s="17" t="s">
        <v>4</v>
      </c>
      <c r="J5082" s="17" t="s">
        <v>5806</v>
      </c>
      <c r="K5082" s="17" t="s">
        <v>2776</v>
      </c>
      <c r="L5082" s="17" t="s">
        <v>2777</v>
      </c>
      <c r="M5082" s="17" t="s">
        <v>119</v>
      </c>
      <c r="N5082" s="17" t="s">
        <v>119</v>
      </c>
      <c r="O5082" s="25">
        <v>9.0274999999999999</v>
      </c>
    </row>
    <row r="5083" spans="2:15" x14ac:dyDescent="0.25">
      <c r="B5083" s="16" t="s">
        <v>1520</v>
      </c>
      <c r="C5083" s="17" t="s">
        <v>196</v>
      </c>
      <c r="D5083" s="17" t="s">
        <v>721</v>
      </c>
      <c r="E5083" s="17" t="s">
        <v>721</v>
      </c>
      <c r="F5083" s="18">
        <v>45413</v>
      </c>
      <c r="G5083" s="17">
        <v>5</v>
      </c>
      <c r="H5083" s="17">
        <v>2024</v>
      </c>
      <c r="I5083" s="17" t="s">
        <v>4</v>
      </c>
      <c r="J5083" s="17" t="s">
        <v>5807</v>
      </c>
      <c r="K5083" s="17" t="s">
        <v>5808</v>
      </c>
      <c r="L5083" s="17" t="s">
        <v>538</v>
      </c>
      <c r="M5083" s="17" t="s">
        <v>4243</v>
      </c>
      <c r="N5083" s="17" t="s">
        <v>4532</v>
      </c>
      <c r="O5083" s="25">
        <v>30</v>
      </c>
    </row>
    <row r="5084" spans="2:15" x14ac:dyDescent="0.25">
      <c r="B5084" s="16" t="s">
        <v>1520</v>
      </c>
      <c r="C5084" s="17" t="s">
        <v>196</v>
      </c>
      <c r="D5084" s="17" t="s">
        <v>440</v>
      </c>
      <c r="E5084" s="17" t="s">
        <v>441</v>
      </c>
      <c r="F5084" s="18">
        <v>45413</v>
      </c>
      <c r="G5084" s="17">
        <v>5</v>
      </c>
      <c r="H5084" s="17">
        <v>2024</v>
      </c>
      <c r="I5084" s="17" t="s">
        <v>4</v>
      </c>
      <c r="J5084" s="17" t="s">
        <v>5809</v>
      </c>
      <c r="K5084" s="17" t="s">
        <v>2682</v>
      </c>
      <c r="L5084" s="17" t="s">
        <v>2683</v>
      </c>
      <c r="M5084" s="17" t="s">
        <v>119</v>
      </c>
      <c r="N5084" s="17" t="s">
        <v>119</v>
      </c>
      <c r="O5084" s="25">
        <v>10.0025</v>
      </c>
    </row>
    <row r="5085" spans="2:15" x14ac:dyDescent="0.25">
      <c r="B5085" s="16" t="s">
        <v>1520</v>
      </c>
      <c r="C5085" s="17" t="s">
        <v>196</v>
      </c>
      <c r="D5085" s="17" t="s">
        <v>299</v>
      </c>
      <c r="E5085" s="17" t="s">
        <v>713</v>
      </c>
      <c r="F5085" s="18">
        <v>45413</v>
      </c>
      <c r="G5085" s="17">
        <v>5</v>
      </c>
      <c r="H5085" s="17">
        <v>2024</v>
      </c>
      <c r="I5085" s="17" t="s">
        <v>4</v>
      </c>
      <c r="J5085" s="17" t="s">
        <v>5810</v>
      </c>
      <c r="K5085" s="17" t="s">
        <v>2776</v>
      </c>
      <c r="L5085" s="17" t="s">
        <v>2777</v>
      </c>
      <c r="M5085" s="17" t="s">
        <v>119</v>
      </c>
      <c r="N5085" s="17" t="s">
        <v>119</v>
      </c>
      <c r="O5085" s="25">
        <v>14.5175</v>
      </c>
    </row>
    <row r="5086" spans="2:15" x14ac:dyDescent="0.25">
      <c r="B5086" s="16" t="s">
        <v>1520</v>
      </c>
      <c r="C5086" s="17" t="s">
        <v>196</v>
      </c>
      <c r="D5086" s="17" t="s">
        <v>1276</v>
      </c>
      <c r="E5086" s="17" t="s">
        <v>791</v>
      </c>
      <c r="F5086" s="18">
        <v>45413</v>
      </c>
      <c r="G5086" s="17">
        <v>5</v>
      </c>
      <c r="H5086" s="17">
        <v>2024</v>
      </c>
      <c r="I5086" s="17" t="s">
        <v>4</v>
      </c>
      <c r="J5086" s="17" t="s">
        <v>5811</v>
      </c>
      <c r="K5086" s="17" t="s">
        <v>5333</v>
      </c>
      <c r="L5086" s="17" t="s">
        <v>5334</v>
      </c>
      <c r="M5086" s="17" t="s">
        <v>119</v>
      </c>
      <c r="N5086" s="17" t="s">
        <v>119</v>
      </c>
      <c r="O5086" s="25">
        <v>2.5169999999999999</v>
      </c>
    </row>
    <row r="5087" spans="2:15" x14ac:dyDescent="0.25">
      <c r="B5087" s="16" t="s">
        <v>1520</v>
      </c>
      <c r="C5087" s="17" t="s">
        <v>196</v>
      </c>
      <c r="D5087" s="17" t="s">
        <v>374</v>
      </c>
      <c r="E5087" s="17" t="s">
        <v>4935</v>
      </c>
      <c r="F5087" s="18">
        <v>45413</v>
      </c>
      <c r="G5087" s="17">
        <v>5</v>
      </c>
      <c r="H5087" s="17">
        <v>2024</v>
      </c>
      <c r="I5087" s="17" t="s">
        <v>4</v>
      </c>
      <c r="J5087" s="17" t="s">
        <v>5812</v>
      </c>
      <c r="K5087" s="17" t="s">
        <v>329</v>
      </c>
      <c r="L5087" s="17" t="s">
        <v>330</v>
      </c>
      <c r="M5087" s="17" t="s">
        <v>119</v>
      </c>
      <c r="N5087" s="17" t="s">
        <v>119</v>
      </c>
      <c r="O5087" s="25">
        <v>15.01</v>
      </c>
    </row>
    <row r="5088" spans="2:15" x14ac:dyDescent="0.25">
      <c r="B5088" s="16" t="s">
        <v>1520</v>
      </c>
      <c r="C5088" s="17" t="s">
        <v>196</v>
      </c>
      <c r="D5088" s="17" t="s">
        <v>215</v>
      </c>
      <c r="E5088" s="17" t="s">
        <v>2033</v>
      </c>
      <c r="F5088" s="18">
        <v>45414</v>
      </c>
      <c r="G5088" s="17">
        <v>5</v>
      </c>
      <c r="H5088" s="17">
        <v>2024</v>
      </c>
      <c r="I5088" s="17" t="s">
        <v>4</v>
      </c>
      <c r="J5088" s="17" t="s">
        <v>5813</v>
      </c>
      <c r="K5088" s="17" t="s">
        <v>329</v>
      </c>
      <c r="L5088" s="17" t="s">
        <v>330</v>
      </c>
      <c r="M5088" s="17" t="s">
        <v>119</v>
      </c>
      <c r="N5088" s="17" t="s">
        <v>119</v>
      </c>
      <c r="O5088" s="25">
        <v>11.5025</v>
      </c>
    </row>
    <row r="5089" spans="2:15" x14ac:dyDescent="0.25">
      <c r="B5089" s="16" t="s">
        <v>1520</v>
      </c>
      <c r="C5089" s="17" t="s">
        <v>196</v>
      </c>
      <c r="D5089" s="17" t="s">
        <v>215</v>
      </c>
      <c r="E5089" s="17" t="s">
        <v>4113</v>
      </c>
      <c r="F5089" s="18">
        <v>45414</v>
      </c>
      <c r="G5089" s="17">
        <v>5</v>
      </c>
      <c r="H5089" s="17">
        <v>2024</v>
      </c>
      <c r="I5089" s="17" t="s">
        <v>4</v>
      </c>
      <c r="J5089" s="17" t="s">
        <v>5814</v>
      </c>
      <c r="K5089" s="17" t="s">
        <v>205</v>
      </c>
      <c r="L5089" s="17" t="s">
        <v>206</v>
      </c>
      <c r="M5089" s="17" t="s">
        <v>119</v>
      </c>
      <c r="N5089" s="17" t="s">
        <v>119</v>
      </c>
      <c r="O5089" s="25">
        <v>5.0199999999999996</v>
      </c>
    </row>
    <row r="5090" spans="2:15" x14ac:dyDescent="0.25">
      <c r="B5090" s="16" t="s">
        <v>1520</v>
      </c>
      <c r="C5090" s="17" t="s">
        <v>196</v>
      </c>
      <c r="D5090" s="17" t="s">
        <v>215</v>
      </c>
      <c r="E5090" s="17" t="s">
        <v>315</v>
      </c>
      <c r="F5090" s="18">
        <v>45414</v>
      </c>
      <c r="G5090" s="17">
        <v>5</v>
      </c>
      <c r="H5090" s="17">
        <v>2024</v>
      </c>
      <c r="I5090" s="17" t="s">
        <v>4</v>
      </c>
      <c r="J5090" s="17" t="s">
        <v>5815</v>
      </c>
      <c r="K5090" s="17" t="s">
        <v>205</v>
      </c>
      <c r="L5090" s="17" t="s">
        <v>206</v>
      </c>
      <c r="M5090" s="17" t="s">
        <v>119</v>
      </c>
      <c r="N5090" s="17" t="s">
        <v>119</v>
      </c>
      <c r="O5090" s="25">
        <v>4.0025000000000004</v>
      </c>
    </row>
    <row r="5091" spans="2:15" x14ac:dyDescent="0.25">
      <c r="B5091" s="16" t="s">
        <v>1520</v>
      </c>
      <c r="C5091" s="17" t="s">
        <v>196</v>
      </c>
      <c r="D5091" s="17" t="s">
        <v>253</v>
      </c>
      <c r="E5091" s="17" t="s">
        <v>254</v>
      </c>
      <c r="F5091" s="18">
        <v>45414</v>
      </c>
      <c r="G5091" s="17">
        <v>5</v>
      </c>
      <c r="H5091" s="17">
        <v>2024</v>
      </c>
      <c r="I5091" s="17" t="s">
        <v>4</v>
      </c>
      <c r="J5091" s="17" t="s">
        <v>5816</v>
      </c>
      <c r="K5091" s="17" t="s">
        <v>256</v>
      </c>
      <c r="L5091" s="17" t="s">
        <v>257</v>
      </c>
      <c r="M5091" s="17" t="s">
        <v>119</v>
      </c>
      <c r="N5091" s="17" t="s">
        <v>119</v>
      </c>
      <c r="O5091" s="25">
        <v>2.5074999999999998</v>
      </c>
    </row>
    <row r="5092" spans="2:15" x14ac:dyDescent="0.25">
      <c r="B5092" s="16" t="s">
        <v>1520</v>
      </c>
      <c r="C5092" s="17" t="s">
        <v>196</v>
      </c>
      <c r="D5092" s="17" t="s">
        <v>114</v>
      </c>
      <c r="E5092" s="17" t="s">
        <v>3751</v>
      </c>
      <c r="F5092" s="18">
        <v>45414</v>
      </c>
      <c r="G5092" s="17">
        <v>5</v>
      </c>
      <c r="H5092" s="17">
        <v>2024</v>
      </c>
      <c r="I5092" s="17" t="s">
        <v>4</v>
      </c>
      <c r="J5092" s="17" t="s">
        <v>5817</v>
      </c>
      <c r="K5092" s="17" t="s">
        <v>2350</v>
      </c>
      <c r="L5092" s="17" t="s">
        <v>2351</v>
      </c>
      <c r="M5092" s="17" t="s">
        <v>119</v>
      </c>
      <c r="N5092" s="17" t="s">
        <v>119</v>
      </c>
      <c r="O5092" s="25">
        <v>0.48249999999999998</v>
      </c>
    </row>
    <row r="5093" spans="2:15" x14ac:dyDescent="0.25">
      <c r="B5093" s="16" t="s">
        <v>1520</v>
      </c>
      <c r="C5093" s="17" t="s">
        <v>196</v>
      </c>
      <c r="D5093" s="17" t="s">
        <v>280</v>
      </c>
      <c r="E5093" s="17" t="s">
        <v>281</v>
      </c>
      <c r="F5093" s="18">
        <v>45414</v>
      </c>
      <c r="G5093" s="17">
        <v>5</v>
      </c>
      <c r="H5093" s="17">
        <v>2024</v>
      </c>
      <c r="I5093" s="17" t="s">
        <v>4</v>
      </c>
      <c r="J5093" s="17" t="s">
        <v>5818</v>
      </c>
      <c r="K5093" s="17" t="s">
        <v>2776</v>
      </c>
      <c r="L5093" s="17" t="s">
        <v>2777</v>
      </c>
      <c r="M5093" s="17" t="s">
        <v>119</v>
      </c>
      <c r="N5093" s="17" t="s">
        <v>119</v>
      </c>
      <c r="O5093" s="25">
        <v>15.012499999999999</v>
      </c>
    </row>
    <row r="5094" spans="2:15" x14ac:dyDescent="0.25">
      <c r="B5094" s="16" t="s">
        <v>1520</v>
      </c>
      <c r="C5094" s="17" t="s">
        <v>196</v>
      </c>
      <c r="D5094" s="17" t="s">
        <v>387</v>
      </c>
      <c r="E5094" s="17" t="s">
        <v>797</v>
      </c>
      <c r="F5094" s="18">
        <v>45415</v>
      </c>
      <c r="G5094" s="17">
        <v>5</v>
      </c>
      <c r="H5094" s="17">
        <v>2024</v>
      </c>
      <c r="I5094" s="17" t="s">
        <v>4</v>
      </c>
      <c r="J5094" s="17" t="s">
        <v>5819</v>
      </c>
      <c r="K5094" s="17" t="s">
        <v>2682</v>
      </c>
      <c r="L5094" s="17" t="s">
        <v>2683</v>
      </c>
      <c r="M5094" s="17" t="s">
        <v>119</v>
      </c>
      <c r="N5094" s="17" t="s">
        <v>119</v>
      </c>
      <c r="O5094" s="25">
        <v>15.025</v>
      </c>
    </row>
    <row r="5095" spans="2:15" x14ac:dyDescent="0.25">
      <c r="B5095" s="16" t="s">
        <v>1520</v>
      </c>
      <c r="C5095" s="17" t="s">
        <v>196</v>
      </c>
      <c r="D5095" s="17" t="s">
        <v>280</v>
      </c>
      <c r="E5095" s="17" t="s">
        <v>464</v>
      </c>
      <c r="F5095" s="18">
        <v>45415</v>
      </c>
      <c r="G5095" s="17">
        <v>5</v>
      </c>
      <c r="H5095" s="17">
        <v>2024</v>
      </c>
      <c r="I5095" s="17" t="s">
        <v>4</v>
      </c>
      <c r="J5095" s="17" t="s">
        <v>5820</v>
      </c>
      <c r="K5095" s="17" t="s">
        <v>2776</v>
      </c>
      <c r="L5095" s="17" t="s">
        <v>2777</v>
      </c>
      <c r="M5095" s="17" t="s">
        <v>119</v>
      </c>
      <c r="N5095" s="17" t="s">
        <v>119</v>
      </c>
      <c r="O5095" s="25">
        <v>11.535</v>
      </c>
    </row>
    <row r="5096" spans="2:15" x14ac:dyDescent="0.25">
      <c r="B5096" s="1" t="s">
        <v>1520</v>
      </c>
      <c r="C5096" s="2" t="s">
        <v>196</v>
      </c>
      <c r="D5096" s="2" t="s">
        <v>1343</v>
      </c>
      <c r="E5096" s="2" t="s">
        <v>3729</v>
      </c>
      <c r="F5096" s="3">
        <v>45415</v>
      </c>
      <c r="G5096" s="4">
        <v>5</v>
      </c>
      <c r="H5096" s="4">
        <v>2024</v>
      </c>
      <c r="I5096" s="2" t="s">
        <v>4</v>
      </c>
      <c r="J5096" s="2" t="s">
        <v>5821</v>
      </c>
      <c r="K5096" s="2" t="s">
        <v>2682</v>
      </c>
      <c r="L5096" s="2" t="s">
        <v>2683</v>
      </c>
      <c r="M5096" s="2" t="s">
        <v>119</v>
      </c>
      <c r="N5096" s="4" t="s">
        <v>119</v>
      </c>
      <c r="O5096" s="5">
        <v>15.02</v>
      </c>
    </row>
    <row r="5097" spans="2:15" x14ac:dyDescent="0.25">
      <c r="B5097" s="1" t="s">
        <v>1520</v>
      </c>
      <c r="C5097" s="2" t="s">
        <v>196</v>
      </c>
      <c r="D5097" s="2" t="s">
        <v>1343</v>
      </c>
      <c r="E5097" s="2" t="s">
        <v>3724</v>
      </c>
      <c r="F5097" s="3">
        <v>45415</v>
      </c>
      <c r="G5097" s="4">
        <v>5</v>
      </c>
      <c r="H5097" s="4">
        <v>2024</v>
      </c>
      <c r="I5097" s="2" t="s">
        <v>4</v>
      </c>
      <c r="J5097" s="2" t="s">
        <v>5822</v>
      </c>
      <c r="K5097" s="2" t="s">
        <v>2682</v>
      </c>
      <c r="L5097" s="2" t="s">
        <v>2683</v>
      </c>
      <c r="M5097" s="2" t="s">
        <v>119</v>
      </c>
      <c r="N5097" s="4" t="s">
        <v>119</v>
      </c>
      <c r="O5097" s="5">
        <v>15.025</v>
      </c>
    </row>
    <row r="5098" spans="2:15" x14ac:dyDescent="0.25">
      <c r="B5098" s="1" t="s">
        <v>1520</v>
      </c>
      <c r="C5098" s="2" t="s">
        <v>196</v>
      </c>
      <c r="D5098" s="2" t="s">
        <v>280</v>
      </c>
      <c r="E5098" s="2" t="s">
        <v>434</v>
      </c>
      <c r="F5098" s="3">
        <v>45415</v>
      </c>
      <c r="G5098" s="4">
        <v>5</v>
      </c>
      <c r="H5098" s="4">
        <v>2024</v>
      </c>
      <c r="I5098" s="2" t="s">
        <v>4</v>
      </c>
      <c r="J5098" s="2" t="s">
        <v>5823</v>
      </c>
      <c r="K5098" s="2" t="s">
        <v>2776</v>
      </c>
      <c r="L5098" s="2" t="s">
        <v>2777</v>
      </c>
      <c r="M5098" s="2" t="s">
        <v>119</v>
      </c>
      <c r="N5098" s="4" t="s">
        <v>119</v>
      </c>
      <c r="O5098" s="5">
        <v>5.0149999999999997</v>
      </c>
    </row>
    <row r="5099" spans="2:15" x14ac:dyDescent="0.25">
      <c r="B5099" s="1" t="s">
        <v>1520</v>
      </c>
      <c r="C5099" s="2" t="s">
        <v>196</v>
      </c>
      <c r="D5099" s="2" t="s">
        <v>114</v>
      </c>
      <c r="E5099" s="2" t="s">
        <v>3751</v>
      </c>
      <c r="F5099" s="3">
        <v>45415</v>
      </c>
      <c r="G5099" s="4">
        <v>5</v>
      </c>
      <c r="H5099" s="4">
        <v>2024</v>
      </c>
      <c r="I5099" s="2" t="s">
        <v>4</v>
      </c>
      <c r="J5099" s="2" t="s">
        <v>5824</v>
      </c>
      <c r="K5099" s="2" t="s">
        <v>2776</v>
      </c>
      <c r="L5099" s="2" t="s">
        <v>2777</v>
      </c>
      <c r="M5099" s="2" t="s">
        <v>119</v>
      </c>
      <c r="N5099" s="4" t="s">
        <v>119</v>
      </c>
      <c r="O5099" s="5">
        <v>4.26</v>
      </c>
    </row>
    <row r="5100" spans="2:15" x14ac:dyDescent="0.25">
      <c r="B5100" s="1" t="s">
        <v>1520</v>
      </c>
      <c r="C5100" s="2" t="s">
        <v>196</v>
      </c>
      <c r="D5100" s="2" t="s">
        <v>440</v>
      </c>
      <c r="E5100" s="2" t="s">
        <v>1369</v>
      </c>
      <c r="F5100" s="3">
        <v>45418</v>
      </c>
      <c r="G5100" s="4">
        <v>5</v>
      </c>
      <c r="H5100" s="4">
        <v>2024</v>
      </c>
      <c r="I5100" s="2" t="s">
        <v>4</v>
      </c>
      <c r="J5100" s="2" t="s">
        <v>5825</v>
      </c>
      <c r="K5100" s="2" t="s">
        <v>2682</v>
      </c>
      <c r="L5100" s="2" t="s">
        <v>2683</v>
      </c>
      <c r="M5100" s="2" t="s">
        <v>119</v>
      </c>
      <c r="N5100" s="4" t="s">
        <v>119</v>
      </c>
      <c r="O5100" s="5">
        <v>5.01</v>
      </c>
    </row>
    <row r="5101" spans="2:15" x14ac:dyDescent="0.25">
      <c r="B5101" s="1" t="s">
        <v>1520</v>
      </c>
      <c r="C5101" s="2" t="s">
        <v>196</v>
      </c>
      <c r="D5101" s="2" t="s">
        <v>114</v>
      </c>
      <c r="E5101" s="2" t="s">
        <v>115</v>
      </c>
      <c r="F5101" s="3">
        <v>45418</v>
      </c>
      <c r="G5101" s="4">
        <v>5</v>
      </c>
      <c r="H5101" s="4">
        <v>2024</v>
      </c>
      <c r="I5101" s="2" t="s">
        <v>4</v>
      </c>
      <c r="J5101" s="2" t="s">
        <v>5826</v>
      </c>
      <c r="K5101" s="2" t="s">
        <v>2776</v>
      </c>
      <c r="L5101" s="2" t="s">
        <v>2777</v>
      </c>
      <c r="M5101" s="2" t="s">
        <v>119</v>
      </c>
      <c r="N5101" s="4" t="s">
        <v>119</v>
      </c>
      <c r="O5101" s="5">
        <v>5.5149999999999997</v>
      </c>
    </row>
    <row r="5102" spans="2:15" x14ac:dyDescent="0.25">
      <c r="B5102" s="1" t="s">
        <v>1520</v>
      </c>
      <c r="C5102" s="2" t="s">
        <v>196</v>
      </c>
      <c r="D5102" s="2" t="s">
        <v>232</v>
      </c>
      <c r="E5102" s="2" t="s">
        <v>778</v>
      </c>
      <c r="F5102" s="3">
        <v>45418</v>
      </c>
      <c r="G5102" s="4">
        <v>5</v>
      </c>
      <c r="H5102" s="4">
        <v>2024</v>
      </c>
      <c r="I5102" s="2" t="s">
        <v>4</v>
      </c>
      <c r="J5102" s="2" t="s">
        <v>5827</v>
      </c>
      <c r="K5102" s="2" t="s">
        <v>823</v>
      </c>
      <c r="L5102" s="2" t="s">
        <v>776</v>
      </c>
      <c r="M5102" s="2" t="s">
        <v>82</v>
      </c>
      <c r="N5102" s="4" t="s">
        <v>4532</v>
      </c>
      <c r="O5102" s="5">
        <v>250</v>
      </c>
    </row>
    <row r="5103" spans="2:15" x14ac:dyDescent="0.25">
      <c r="B5103" s="1" t="s">
        <v>1520</v>
      </c>
      <c r="C5103" s="2" t="s">
        <v>196</v>
      </c>
      <c r="D5103" s="2" t="s">
        <v>3767</v>
      </c>
      <c r="E5103" s="2" t="s">
        <v>3768</v>
      </c>
      <c r="F5103" s="3">
        <v>45418</v>
      </c>
      <c r="G5103" s="4">
        <v>5</v>
      </c>
      <c r="H5103" s="4">
        <v>2024</v>
      </c>
      <c r="I5103" s="2" t="s">
        <v>4</v>
      </c>
      <c r="J5103" s="2" t="s">
        <v>5828</v>
      </c>
      <c r="K5103" s="2" t="s">
        <v>329</v>
      </c>
      <c r="L5103" s="2" t="s">
        <v>330</v>
      </c>
      <c r="M5103" s="2" t="s">
        <v>119</v>
      </c>
      <c r="N5103" s="4" t="s">
        <v>119</v>
      </c>
      <c r="O5103" s="5">
        <v>2.5099999999999998</v>
      </c>
    </row>
    <row r="5104" spans="2:15" x14ac:dyDescent="0.25">
      <c r="B5104" s="1" t="s">
        <v>1520</v>
      </c>
      <c r="C5104" s="2" t="s">
        <v>196</v>
      </c>
      <c r="D5104" s="2" t="s">
        <v>276</v>
      </c>
      <c r="E5104" s="2" t="s">
        <v>277</v>
      </c>
      <c r="F5104" s="3">
        <v>45418</v>
      </c>
      <c r="G5104" s="4">
        <v>5</v>
      </c>
      <c r="H5104" s="4">
        <v>2024</v>
      </c>
      <c r="I5104" s="2" t="s">
        <v>4</v>
      </c>
      <c r="J5104" s="2" t="s">
        <v>5829</v>
      </c>
      <c r="K5104" s="2" t="s">
        <v>292</v>
      </c>
      <c r="L5104" s="2" t="s">
        <v>293</v>
      </c>
      <c r="M5104" s="2" t="s">
        <v>119</v>
      </c>
      <c r="N5104" s="4" t="s">
        <v>119</v>
      </c>
      <c r="O5104" s="5">
        <v>2</v>
      </c>
    </row>
    <row r="5105" spans="2:15" x14ac:dyDescent="0.25">
      <c r="B5105" s="1" t="s">
        <v>1520</v>
      </c>
      <c r="C5105" s="2" t="s">
        <v>196</v>
      </c>
      <c r="D5105" s="2" t="s">
        <v>2002</v>
      </c>
      <c r="E5105" s="2" t="s">
        <v>102</v>
      </c>
      <c r="F5105" s="3">
        <v>45418</v>
      </c>
      <c r="G5105" s="4">
        <v>5</v>
      </c>
      <c r="H5105" s="4">
        <v>2024</v>
      </c>
      <c r="I5105" s="2" t="s">
        <v>4</v>
      </c>
      <c r="J5105" s="2" t="s">
        <v>5830</v>
      </c>
      <c r="K5105" s="2" t="s">
        <v>1119</v>
      </c>
      <c r="L5105" s="2" t="s">
        <v>1023</v>
      </c>
      <c r="M5105" s="2" t="s">
        <v>1024</v>
      </c>
      <c r="N5105" s="4" t="s">
        <v>4532</v>
      </c>
      <c r="O5105" s="5">
        <v>10</v>
      </c>
    </row>
    <row r="5106" spans="2:15" x14ac:dyDescent="0.25">
      <c r="B5106" s="1" t="s">
        <v>1520</v>
      </c>
      <c r="C5106" s="2" t="s">
        <v>196</v>
      </c>
      <c r="D5106" s="2" t="s">
        <v>224</v>
      </c>
      <c r="E5106" s="2" t="s">
        <v>895</v>
      </c>
      <c r="F5106" s="3">
        <v>45418</v>
      </c>
      <c r="G5106" s="4">
        <v>5</v>
      </c>
      <c r="H5106" s="4">
        <v>2024</v>
      </c>
      <c r="I5106" s="2" t="s">
        <v>4</v>
      </c>
      <c r="J5106" s="2" t="s">
        <v>5831</v>
      </c>
      <c r="K5106" s="2" t="s">
        <v>1301</v>
      </c>
      <c r="L5106" s="2" t="s">
        <v>1302</v>
      </c>
      <c r="M5106" s="2" t="s">
        <v>119</v>
      </c>
      <c r="N5106" s="4" t="s">
        <v>119</v>
      </c>
      <c r="O5106" s="5">
        <v>5.0225</v>
      </c>
    </row>
    <row r="5107" spans="2:15" x14ac:dyDescent="0.25">
      <c r="B5107" s="1" t="s">
        <v>1520</v>
      </c>
      <c r="C5107" s="2" t="s">
        <v>196</v>
      </c>
      <c r="D5107" s="2" t="s">
        <v>114</v>
      </c>
      <c r="E5107" s="2" t="s">
        <v>274</v>
      </c>
      <c r="F5107" s="3">
        <v>45418</v>
      </c>
      <c r="G5107" s="4">
        <v>5</v>
      </c>
      <c r="H5107" s="4">
        <v>2024</v>
      </c>
      <c r="I5107" s="2" t="s">
        <v>4</v>
      </c>
      <c r="J5107" s="2" t="s">
        <v>5832</v>
      </c>
      <c r="K5107" s="2" t="s">
        <v>2776</v>
      </c>
      <c r="L5107" s="2" t="s">
        <v>2777</v>
      </c>
      <c r="M5107" s="2" t="s">
        <v>119</v>
      </c>
      <c r="N5107" s="4" t="s">
        <v>119</v>
      </c>
      <c r="O5107" s="5">
        <v>7.2675000000000001</v>
      </c>
    </row>
    <row r="5108" spans="2:15" x14ac:dyDescent="0.25">
      <c r="B5108" s="1" t="s">
        <v>1520</v>
      </c>
      <c r="C5108" s="2" t="s">
        <v>196</v>
      </c>
      <c r="D5108" s="2" t="s">
        <v>289</v>
      </c>
      <c r="E5108" s="2" t="s">
        <v>290</v>
      </c>
      <c r="F5108" s="3">
        <v>45419</v>
      </c>
      <c r="G5108" s="4">
        <v>5</v>
      </c>
      <c r="H5108" s="4">
        <v>2024</v>
      </c>
      <c r="I5108" s="2" t="s">
        <v>4</v>
      </c>
      <c r="J5108" s="2" t="s">
        <v>5833</v>
      </c>
      <c r="K5108" s="2" t="s">
        <v>268</v>
      </c>
      <c r="L5108" s="2" t="s">
        <v>269</v>
      </c>
      <c r="M5108" s="2" t="s">
        <v>119</v>
      </c>
      <c r="N5108" s="4" t="s">
        <v>119</v>
      </c>
      <c r="O5108" s="5">
        <v>1</v>
      </c>
    </row>
    <row r="5109" spans="2:15" x14ac:dyDescent="0.25">
      <c r="B5109" s="1" t="s">
        <v>1520</v>
      </c>
      <c r="C5109" s="2" t="s">
        <v>196</v>
      </c>
      <c r="D5109" s="2" t="s">
        <v>232</v>
      </c>
      <c r="E5109" s="2" t="s">
        <v>778</v>
      </c>
      <c r="F5109" s="3">
        <v>45419</v>
      </c>
      <c r="G5109" s="4">
        <v>5</v>
      </c>
      <c r="H5109" s="4">
        <v>2024</v>
      </c>
      <c r="I5109" s="2" t="s">
        <v>4</v>
      </c>
      <c r="J5109" s="2" t="s">
        <v>5834</v>
      </c>
      <c r="K5109" s="2" t="s">
        <v>205</v>
      </c>
      <c r="L5109" s="2" t="s">
        <v>206</v>
      </c>
      <c r="M5109" s="2" t="s">
        <v>119</v>
      </c>
      <c r="N5109" s="4" t="s">
        <v>119</v>
      </c>
      <c r="O5109" s="5">
        <v>5</v>
      </c>
    </row>
    <row r="5110" spans="2:15" x14ac:dyDescent="0.25">
      <c r="B5110" s="1" t="s">
        <v>1520</v>
      </c>
      <c r="C5110" s="2" t="s">
        <v>196</v>
      </c>
      <c r="D5110" s="2" t="s">
        <v>440</v>
      </c>
      <c r="E5110" s="2" t="s">
        <v>441</v>
      </c>
      <c r="F5110" s="3">
        <v>45419</v>
      </c>
      <c r="G5110" s="4">
        <v>5</v>
      </c>
      <c r="H5110" s="4">
        <v>2024</v>
      </c>
      <c r="I5110" s="2" t="s">
        <v>4</v>
      </c>
      <c r="J5110" s="2" t="s">
        <v>5835</v>
      </c>
      <c r="K5110" s="2" t="s">
        <v>2682</v>
      </c>
      <c r="L5110" s="2" t="s">
        <v>2683</v>
      </c>
      <c r="M5110" s="2" t="s">
        <v>119</v>
      </c>
      <c r="N5110" s="4" t="s">
        <v>119</v>
      </c>
      <c r="O5110" s="5">
        <v>2.5099999999999998</v>
      </c>
    </row>
    <row r="5111" spans="2:15" x14ac:dyDescent="0.25">
      <c r="B5111" s="1" t="s">
        <v>1520</v>
      </c>
      <c r="C5111" s="2" t="s">
        <v>196</v>
      </c>
      <c r="D5111" s="2" t="s">
        <v>114</v>
      </c>
      <c r="E5111" s="2" t="s">
        <v>402</v>
      </c>
      <c r="F5111" s="3">
        <v>45419</v>
      </c>
      <c r="G5111" s="4">
        <v>5</v>
      </c>
      <c r="H5111" s="4">
        <v>2024</v>
      </c>
      <c r="I5111" s="2" t="s">
        <v>4</v>
      </c>
      <c r="J5111" s="2" t="s">
        <v>5836</v>
      </c>
      <c r="K5111" s="2" t="s">
        <v>2776</v>
      </c>
      <c r="L5111" s="2" t="s">
        <v>2777</v>
      </c>
      <c r="M5111" s="2" t="s">
        <v>119</v>
      </c>
      <c r="N5111" s="4" t="s">
        <v>119</v>
      </c>
      <c r="O5111" s="5">
        <v>3.51</v>
      </c>
    </row>
    <row r="5112" spans="2:15" x14ac:dyDescent="0.25">
      <c r="B5112" s="1" t="s">
        <v>1520</v>
      </c>
      <c r="C5112" s="2" t="s">
        <v>196</v>
      </c>
      <c r="D5112" s="2" t="s">
        <v>440</v>
      </c>
      <c r="E5112" s="2" t="s">
        <v>1369</v>
      </c>
      <c r="F5112" s="3">
        <v>45419</v>
      </c>
      <c r="G5112" s="4">
        <v>5</v>
      </c>
      <c r="H5112" s="4">
        <v>2024</v>
      </c>
      <c r="I5112" s="2" t="s">
        <v>4</v>
      </c>
      <c r="J5112" s="2" t="s">
        <v>5837</v>
      </c>
      <c r="K5112" s="2" t="s">
        <v>2682</v>
      </c>
      <c r="L5112" s="2" t="s">
        <v>2683</v>
      </c>
      <c r="M5112" s="2" t="s">
        <v>119</v>
      </c>
      <c r="N5112" s="4" t="s">
        <v>119</v>
      </c>
      <c r="O5112" s="5">
        <v>3.11</v>
      </c>
    </row>
    <row r="5113" spans="2:15" x14ac:dyDescent="0.25">
      <c r="B5113" s="1" t="s">
        <v>1520</v>
      </c>
      <c r="C5113" s="2" t="s">
        <v>196</v>
      </c>
      <c r="D5113" s="2" t="s">
        <v>331</v>
      </c>
      <c r="E5113" s="2" t="s">
        <v>332</v>
      </c>
      <c r="F5113" s="3">
        <v>45420</v>
      </c>
      <c r="G5113" s="4">
        <v>5</v>
      </c>
      <c r="H5113" s="4">
        <v>2024</v>
      </c>
      <c r="I5113" s="2" t="s">
        <v>4</v>
      </c>
      <c r="J5113" s="2" t="s">
        <v>5838</v>
      </c>
      <c r="K5113" s="2" t="s">
        <v>531</v>
      </c>
      <c r="L5113" s="2" t="s">
        <v>201</v>
      </c>
      <c r="M5113" s="2" t="s">
        <v>202</v>
      </c>
      <c r="N5113" s="4" t="s">
        <v>4532</v>
      </c>
      <c r="O5113" s="5">
        <v>30</v>
      </c>
    </row>
    <row r="5114" spans="2:15" x14ac:dyDescent="0.25">
      <c r="B5114" s="1" t="s">
        <v>1520</v>
      </c>
      <c r="C5114" s="2" t="s">
        <v>196</v>
      </c>
      <c r="D5114" s="2" t="s">
        <v>418</v>
      </c>
      <c r="E5114" s="2" t="s">
        <v>770</v>
      </c>
      <c r="F5114" s="3">
        <v>45420</v>
      </c>
      <c r="G5114" s="4">
        <v>5</v>
      </c>
      <c r="H5114" s="4">
        <v>2024</v>
      </c>
      <c r="I5114" s="2" t="s">
        <v>4</v>
      </c>
      <c r="J5114" s="2" t="s">
        <v>5839</v>
      </c>
      <c r="K5114" s="2" t="s">
        <v>205</v>
      </c>
      <c r="L5114" s="2" t="s">
        <v>206</v>
      </c>
      <c r="M5114" s="2" t="s">
        <v>119</v>
      </c>
      <c r="N5114" s="4" t="s">
        <v>119</v>
      </c>
      <c r="O5114" s="5">
        <v>1.9875</v>
      </c>
    </row>
    <row r="5115" spans="2:15" x14ac:dyDescent="0.25">
      <c r="B5115" s="1" t="s">
        <v>1520</v>
      </c>
      <c r="C5115" s="2" t="s">
        <v>196</v>
      </c>
      <c r="D5115" s="2" t="s">
        <v>114</v>
      </c>
      <c r="E5115" s="2" t="s">
        <v>336</v>
      </c>
      <c r="F5115" s="3">
        <v>45420</v>
      </c>
      <c r="G5115" s="4">
        <v>5</v>
      </c>
      <c r="H5115" s="4">
        <v>2024</v>
      </c>
      <c r="I5115" s="2" t="s">
        <v>4</v>
      </c>
      <c r="J5115" s="2" t="s">
        <v>5840</v>
      </c>
      <c r="K5115" s="2" t="s">
        <v>2776</v>
      </c>
      <c r="L5115" s="2" t="s">
        <v>2777</v>
      </c>
      <c r="M5115" s="2" t="s">
        <v>119</v>
      </c>
      <c r="N5115" s="4" t="s">
        <v>119</v>
      </c>
      <c r="O5115" s="5">
        <v>2.5299999999999998</v>
      </c>
    </row>
    <row r="5116" spans="2:15" x14ac:dyDescent="0.25">
      <c r="B5116" s="1" t="s">
        <v>1520</v>
      </c>
      <c r="C5116" s="2" t="s">
        <v>196</v>
      </c>
      <c r="D5116" s="2" t="s">
        <v>262</v>
      </c>
      <c r="E5116" s="2" t="s">
        <v>1170</v>
      </c>
      <c r="F5116" s="3">
        <v>45420</v>
      </c>
      <c r="G5116" s="4">
        <v>5</v>
      </c>
      <c r="H5116" s="4">
        <v>2024</v>
      </c>
      <c r="I5116" s="2" t="s">
        <v>4</v>
      </c>
      <c r="J5116" s="2" t="s">
        <v>5841</v>
      </c>
      <c r="K5116" s="2" t="s">
        <v>499</v>
      </c>
      <c r="L5116" s="2" t="s">
        <v>500</v>
      </c>
      <c r="M5116" s="2" t="s">
        <v>119</v>
      </c>
      <c r="N5116" s="4" t="s">
        <v>119</v>
      </c>
      <c r="O5116" s="5">
        <v>14.307499999999999</v>
      </c>
    </row>
    <row r="5117" spans="2:15" x14ac:dyDescent="0.25">
      <c r="B5117" s="1" t="s">
        <v>1520</v>
      </c>
      <c r="C5117" s="2" t="s">
        <v>196</v>
      </c>
      <c r="D5117" s="2" t="s">
        <v>294</v>
      </c>
      <c r="E5117" s="2" t="s">
        <v>295</v>
      </c>
      <c r="F5117" s="3">
        <v>45420</v>
      </c>
      <c r="G5117" s="4">
        <v>5</v>
      </c>
      <c r="H5117" s="4">
        <v>2024</v>
      </c>
      <c r="I5117" s="2" t="s">
        <v>4</v>
      </c>
      <c r="J5117" s="2" t="s">
        <v>5842</v>
      </c>
      <c r="K5117" s="2" t="s">
        <v>122</v>
      </c>
      <c r="L5117" s="2" t="s">
        <v>123</v>
      </c>
      <c r="M5117" s="2" t="s">
        <v>119</v>
      </c>
      <c r="N5117" s="4" t="s">
        <v>119</v>
      </c>
      <c r="O5117" s="5">
        <v>7.5324999999999998</v>
      </c>
    </row>
    <row r="5118" spans="2:15" x14ac:dyDescent="0.25">
      <c r="B5118" s="1" t="s">
        <v>1520</v>
      </c>
      <c r="C5118" s="2" t="s">
        <v>196</v>
      </c>
      <c r="D5118" s="2" t="s">
        <v>1257</v>
      </c>
      <c r="E5118" s="2" t="s">
        <v>102</v>
      </c>
      <c r="F5118" s="3">
        <v>45421</v>
      </c>
      <c r="G5118" s="4">
        <v>5</v>
      </c>
      <c r="H5118" s="4">
        <v>2024</v>
      </c>
      <c r="I5118" s="2" t="s">
        <v>4</v>
      </c>
      <c r="J5118" s="2" t="s">
        <v>5843</v>
      </c>
      <c r="K5118" s="2" t="s">
        <v>834</v>
      </c>
      <c r="L5118" s="2" t="s">
        <v>835</v>
      </c>
      <c r="M5118" s="2" t="s">
        <v>119</v>
      </c>
      <c r="N5118" s="4" t="s">
        <v>119</v>
      </c>
      <c r="O5118" s="5">
        <v>0.25</v>
      </c>
    </row>
    <row r="5119" spans="2:15" x14ac:dyDescent="0.25">
      <c r="B5119" s="6" t="s">
        <v>1520</v>
      </c>
      <c r="C5119" s="7" t="s">
        <v>196</v>
      </c>
      <c r="D5119" s="8" t="s">
        <v>5844</v>
      </c>
      <c r="E5119" s="8" t="s">
        <v>102</v>
      </c>
      <c r="F5119" s="12">
        <v>45420</v>
      </c>
      <c r="G5119" s="13">
        <v>5</v>
      </c>
      <c r="H5119" s="13">
        <v>2024</v>
      </c>
      <c r="I5119" s="8" t="s">
        <v>4</v>
      </c>
      <c r="J5119" s="7" t="s">
        <v>5845</v>
      </c>
      <c r="K5119" s="8" t="s">
        <v>2170</v>
      </c>
      <c r="L5119" s="8" t="s">
        <v>99</v>
      </c>
      <c r="M5119" s="8" t="s">
        <v>100</v>
      </c>
      <c r="N5119" s="10" t="s">
        <v>4532</v>
      </c>
      <c r="O5119" s="11">
        <v>2.5</v>
      </c>
    </row>
    <row r="5120" spans="2:15" x14ac:dyDescent="0.25">
      <c r="B5120" s="1" t="s">
        <v>1520</v>
      </c>
      <c r="C5120" s="2" t="s">
        <v>196</v>
      </c>
      <c r="D5120" s="2" t="s">
        <v>440</v>
      </c>
      <c r="E5120" s="2" t="s">
        <v>1274</v>
      </c>
      <c r="F5120" s="3">
        <v>45421</v>
      </c>
      <c r="G5120" s="4">
        <v>5</v>
      </c>
      <c r="H5120" s="4">
        <v>2024</v>
      </c>
      <c r="I5120" s="2" t="s">
        <v>4</v>
      </c>
      <c r="J5120" s="2" t="s">
        <v>5846</v>
      </c>
      <c r="K5120" s="2" t="s">
        <v>2682</v>
      </c>
      <c r="L5120" s="2" t="s">
        <v>2683</v>
      </c>
      <c r="M5120" s="2" t="s">
        <v>119</v>
      </c>
      <c r="N5120" s="4" t="s">
        <v>119</v>
      </c>
      <c r="O5120" s="5">
        <v>5.0119999999999996</v>
      </c>
    </row>
    <row r="5121" spans="2:15" x14ac:dyDescent="0.25">
      <c r="B5121" s="1" t="s">
        <v>1520</v>
      </c>
      <c r="C5121" s="2" t="s">
        <v>196</v>
      </c>
      <c r="D5121" s="2" t="s">
        <v>374</v>
      </c>
      <c r="E5121" s="2" t="s">
        <v>424</v>
      </c>
      <c r="F5121" s="3">
        <v>45421</v>
      </c>
      <c r="G5121" s="4">
        <v>5</v>
      </c>
      <c r="H5121" s="4">
        <v>2024</v>
      </c>
      <c r="I5121" s="2" t="s">
        <v>4</v>
      </c>
      <c r="J5121" s="2" t="s">
        <v>5847</v>
      </c>
      <c r="K5121" s="2" t="s">
        <v>329</v>
      </c>
      <c r="L5121" s="2" t="s">
        <v>330</v>
      </c>
      <c r="M5121" s="2" t="s">
        <v>119</v>
      </c>
      <c r="N5121" s="4" t="s">
        <v>119</v>
      </c>
      <c r="O5121" s="5">
        <v>2.5</v>
      </c>
    </row>
    <row r="5122" spans="2:15" x14ac:dyDescent="0.25">
      <c r="B5122" s="1" t="s">
        <v>1520</v>
      </c>
      <c r="C5122" s="2" t="s">
        <v>196</v>
      </c>
      <c r="D5122" s="2" t="s">
        <v>374</v>
      </c>
      <c r="E5122" s="2" t="s">
        <v>5309</v>
      </c>
      <c r="F5122" s="3">
        <v>45421</v>
      </c>
      <c r="G5122" s="4">
        <v>5</v>
      </c>
      <c r="H5122" s="4">
        <v>2024</v>
      </c>
      <c r="I5122" s="2" t="s">
        <v>4</v>
      </c>
      <c r="J5122" s="2" t="s">
        <v>5848</v>
      </c>
      <c r="K5122" s="2" t="s">
        <v>329</v>
      </c>
      <c r="L5122" s="2" t="s">
        <v>330</v>
      </c>
      <c r="M5122" s="2" t="s">
        <v>119</v>
      </c>
      <c r="N5122" s="4" t="s">
        <v>119</v>
      </c>
      <c r="O5122" s="5">
        <v>5</v>
      </c>
    </row>
    <row r="5123" spans="2:15" x14ac:dyDescent="0.25">
      <c r="B5123" s="1" t="s">
        <v>1520</v>
      </c>
      <c r="C5123" s="2" t="s">
        <v>196</v>
      </c>
      <c r="D5123" s="2" t="s">
        <v>387</v>
      </c>
      <c r="E5123" s="2" t="s">
        <v>797</v>
      </c>
      <c r="F5123" s="3">
        <v>45421</v>
      </c>
      <c r="G5123" s="4">
        <v>5</v>
      </c>
      <c r="H5123" s="4">
        <v>2024</v>
      </c>
      <c r="I5123" s="2" t="s">
        <v>4</v>
      </c>
      <c r="J5123" s="2" t="s">
        <v>5849</v>
      </c>
      <c r="K5123" s="2" t="s">
        <v>2682</v>
      </c>
      <c r="L5123" s="2" t="s">
        <v>2683</v>
      </c>
      <c r="M5123" s="2" t="s">
        <v>119</v>
      </c>
      <c r="N5123" s="4" t="s">
        <v>119</v>
      </c>
      <c r="O5123" s="5">
        <v>12.535</v>
      </c>
    </row>
    <row r="5124" spans="2:15" x14ac:dyDescent="0.25">
      <c r="B5124" s="1" t="s">
        <v>1520</v>
      </c>
      <c r="C5124" s="2" t="s">
        <v>196</v>
      </c>
      <c r="D5124" s="2" t="s">
        <v>884</v>
      </c>
      <c r="E5124" s="2" t="s">
        <v>141</v>
      </c>
      <c r="F5124" s="3">
        <v>45422</v>
      </c>
      <c r="G5124" s="4">
        <v>5</v>
      </c>
      <c r="H5124" s="4">
        <v>2024</v>
      </c>
      <c r="I5124" s="2" t="s">
        <v>4</v>
      </c>
      <c r="J5124" s="2" t="s">
        <v>5850</v>
      </c>
      <c r="K5124" s="2" t="s">
        <v>205</v>
      </c>
      <c r="L5124" s="2" t="s">
        <v>206</v>
      </c>
      <c r="M5124" s="2" t="s">
        <v>119</v>
      </c>
      <c r="N5124" s="4" t="s">
        <v>119</v>
      </c>
      <c r="O5124" s="5">
        <v>1.5</v>
      </c>
    </row>
    <row r="5125" spans="2:15" x14ac:dyDescent="0.25">
      <c r="B5125" s="1" t="s">
        <v>1520</v>
      </c>
      <c r="C5125" s="2" t="s">
        <v>196</v>
      </c>
      <c r="D5125" s="2" t="s">
        <v>299</v>
      </c>
      <c r="E5125" s="2" t="s">
        <v>300</v>
      </c>
      <c r="F5125" s="3">
        <v>45427</v>
      </c>
      <c r="G5125" s="4">
        <v>5</v>
      </c>
      <c r="H5125" s="4">
        <v>2024</v>
      </c>
      <c r="I5125" s="2" t="s">
        <v>4</v>
      </c>
      <c r="J5125" s="2" t="s">
        <v>5851</v>
      </c>
      <c r="K5125" s="2" t="s">
        <v>2776</v>
      </c>
      <c r="L5125" s="2" t="s">
        <v>2777</v>
      </c>
      <c r="M5125" s="2" t="s">
        <v>119</v>
      </c>
      <c r="N5125" s="4" t="s">
        <v>119</v>
      </c>
      <c r="O5125" s="5">
        <v>9.0075000000000003</v>
      </c>
    </row>
    <row r="5126" spans="2:15" x14ac:dyDescent="0.25">
      <c r="B5126" s="1" t="s">
        <v>1520</v>
      </c>
      <c r="C5126" s="2" t="s">
        <v>196</v>
      </c>
      <c r="D5126" s="2" t="s">
        <v>387</v>
      </c>
      <c r="E5126" s="2" t="s">
        <v>797</v>
      </c>
      <c r="F5126" s="3">
        <v>45427</v>
      </c>
      <c r="G5126" s="4">
        <v>5</v>
      </c>
      <c r="H5126" s="4">
        <v>2024</v>
      </c>
      <c r="I5126" s="2" t="s">
        <v>4</v>
      </c>
      <c r="J5126" s="2" t="s">
        <v>5852</v>
      </c>
      <c r="K5126" s="2" t="s">
        <v>2682</v>
      </c>
      <c r="L5126" s="2" t="s">
        <v>2683</v>
      </c>
      <c r="M5126" s="2" t="s">
        <v>119</v>
      </c>
      <c r="N5126" s="4" t="s">
        <v>119</v>
      </c>
      <c r="O5126" s="5">
        <v>12.025</v>
      </c>
    </row>
    <row r="5127" spans="2:15" x14ac:dyDescent="0.25">
      <c r="B5127" s="1" t="s">
        <v>1520</v>
      </c>
      <c r="C5127" s="2" t="s">
        <v>196</v>
      </c>
      <c r="D5127" s="2" t="s">
        <v>387</v>
      </c>
      <c r="E5127" s="2" t="s">
        <v>797</v>
      </c>
      <c r="F5127" s="3">
        <v>45427</v>
      </c>
      <c r="G5127" s="4">
        <v>5</v>
      </c>
      <c r="H5127" s="4">
        <v>2024</v>
      </c>
      <c r="I5127" s="2" t="s">
        <v>4</v>
      </c>
      <c r="J5127" s="2" t="s">
        <v>5853</v>
      </c>
      <c r="K5127" s="2" t="s">
        <v>2682</v>
      </c>
      <c r="L5127" s="2" t="s">
        <v>2683</v>
      </c>
      <c r="M5127" s="2" t="s">
        <v>119</v>
      </c>
      <c r="N5127" s="4" t="s">
        <v>119</v>
      </c>
      <c r="O5127" s="5">
        <v>2.5125000000000002</v>
      </c>
    </row>
    <row r="5128" spans="2:15" x14ac:dyDescent="0.25">
      <c r="B5128" s="1" t="s">
        <v>1520</v>
      </c>
      <c r="C5128" s="2" t="s">
        <v>196</v>
      </c>
      <c r="D5128" s="2" t="s">
        <v>341</v>
      </c>
      <c r="E5128" s="2" t="s">
        <v>91</v>
      </c>
      <c r="F5128" s="3">
        <v>45428</v>
      </c>
      <c r="G5128" s="4">
        <v>5</v>
      </c>
      <c r="H5128" s="4">
        <v>2024</v>
      </c>
      <c r="I5128" s="2" t="s">
        <v>4</v>
      </c>
      <c r="J5128" s="2" t="s">
        <v>5854</v>
      </c>
      <c r="K5128" s="2" t="s">
        <v>143</v>
      </c>
      <c r="L5128" s="2" t="s">
        <v>2855</v>
      </c>
      <c r="M5128" s="2" t="s">
        <v>145</v>
      </c>
      <c r="N5128" s="4" t="s">
        <v>4532</v>
      </c>
      <c r="O5128" s="5">
        <v>192.5</v>
      </c>
    </row>
    <row r="5129" spans="2:15" x14ac:dyDescent="0.25">
      <c r="B5129" s="1" t="s">
        <v>1520</v>
      </c>
      <c r="C5129" s="2" t="s">
        <v>196</v>
      </c>
      <c r="D5129" s="2" t="s">
        <v>114</v>
      </c>
      <c r="E5129" s="2" t="s">
        <v>377</v>
      </c>
      <c r="F5129" s="3">
        <v>45428</v>
      </c>
      <c r="G5129" s="4">
        <v>5</v>
      </c>
      <c r="H5129" s="4">
        <v>2024</v>
      </c>
      <c r="I5129" s="2" t="s">
        <v>4</v>
      </c>
      <c r="J5129" s="2" t="s">
        <v>5855</v>
      </c>
      <c r="K5129" s="2" t="s">
        <v>2776</v>
      </c>
      <c r="L5129" s="2" t="s">
        <v>2777</v>
      </c>
      <c r="M5129" s="2" t="s">
        <v>119</v>
      </c>
      <c r="N5129" s="4" t="s">
        <v>119</v>
      </c>
      <c r="O5129" s="5">
        <v>1.0149999999999999</v>
      </c>
    </row>
    <row r="5130" spans="2:15" x14ac:dyDescent="0.25">
      <c r="B5130" s="1" t="s">
        <v>1520</v>
      </c>
      <c r="C5130" s="2" t="s">
        <v>196</v>
      </c>
      <c r="D5130" s="2" t="s">
        <v>215</v>
      </c>
      <c r="E5130" s="2" t="s">
        <v>313</v>
      </c>
      <c r="F5130" s="3">
        <v>45428</v>
      </c>
      <c r="G5130" s="4">
        <v>5</v>
      </c>
      <c r="H5130" s="4">
        <v>2024</v>
      </c>
      <c r="I5130" s="2" t="s">
        <v>4</v>
      </c>
      <c r="J5130" s="2" t="s">
        <v>5856</v>
      </c>
      <c r="K5130" s="2" t="s">
        <v>329</v>
      </c>
      <c r="L5130" s="2" t="s">
        <v>330</v>
      </c>
      <c r="M5130" s="2" t="s">
        <v>119</v>
      </c>
      <c r="N5130" s="4" t="s">
        <v>119</v>
      </c>
      <c r="O5130" s="5">
        <v>1.98</v>
      </c>
    </row>
    <row r="5131" spans="2:15" x14ac:dyDescent="0.25">
      <c r="B5131" s="1" t="s">
        <v>1520</v>
      </c>
      <c r="C5131" s="2" t="s">
        <v>196</v>
      </c>
      <c r="D5131" s="2" t="s">
        <v>215</v>
      </c>
      <c r="E5131" s="2" t="s">
        <v>315</v>
      </c>
      <c r="F5131" s="3">
        <v>45428</v>
      </c>
      <c r="G5131" s="4">
        <v>5</v>
      </c>
      <c r="H5131" s="4">
        <v>2024</v>
      </c>
      <c r="I5131" s="2" t="s">
        <v>4</v>
      </c>
      <c r="J5131" s="2" t="s">
        <v>5857</v>
      </c>
      <c r="K5131" s="2" t="s">
        <v>205</v>
      </c>
      <c r="L5131" s="2" t="s">
        <v>206</v>
      </c>
      <c r="M5131" s="2" t="s">
        <v>119</v>
      </c>
      <c r="N5131" s="4" t="s">
        <v>119</v>
      </c>
      <c r="O5131" s="5">
        <v>4.0075000000000003</v>
      </c>
    </row>
    <row r="5132" spans="2:15" x14ac:dyDescent="0.25">
      <c r="B5132" s="1" t="s">
        <v>1520</v>
      </c>
      <c r="C5132" s="2" t="s">
        <v>196</v>
      </c>
      <c r="D5132" s="2" t="s">
        <v>660</v>
      </c>
      <c r="E5132" s="2" t="s">
        <v>699</v>
      </c>
      <c r="F5132" s="3">
        <v>45428</v>
      </c>
      <c r="G5132" s="4">
        <v>5</v>
      </c>
      <c r="H5132" s="4">
        <v>2024</v>
      </c>
      <c r="I5132" s="2" t="s">
        <v>4</v>
      </c>
      <c r="J5132" s="2" t="s">
        <v>5858</v>
      </c>
      <c r="K5132" s="2" t="s">
        <v>329</v>
      </c>
      <c r="L5132" s="2" t="s">
        <v>330</v>
      </c>
      <c r="M5132" s="2" t="s">
        <v>119</v>
      </c>
      <c r="N5132" s="4" t="s">
        <v>119</v>
      </c>
      <c r="O5132" s="5">
        <v>2</v>
      </c>
    </row>
    <row r="5133" spans="2:15" x14ac:dyDescent="0.25">
      <c r="B5133" s="1" t="s">
        <v>1520</v>
      </c>
      <c r="C5133" s="2" t="s">
        <v>196</v>
      </c>
      <c r="D5133" s="2" t="s">
        <v>663</v>
      </c>
      <c r="E5133" s="2" t="s">
        <v>222</v>
      </c>
      <c r="F5133" s="3">
        <v>45428</v>
      </c>
      <c r="G5133" s="4">
        <v>5</v>
      </c>
      <c r="H5133" s="4">
        <v>2024</v>
      </c>
      <c r="I5133" s="2" t="s">
        <v>4</v>
      </c>
      <c r="J5133" s="2" t="s">
        <v>5859</v>
      </c>
      <c r="K5133" s="2" t="s">
        <v>384</v>
      </c>
      <c r="L5133" s="2" t="s">
        <v>385</v>
      </c>
      <c r="M5133" s="2" t="s">
        <v>119</v>
      </c>
      <c r="N5133" s="4" t="s">
        <v>119</v>
      </c>
      <c r="O5133" s="5">
        <v>1</v>
      </c>
    </row>
    <row r="5134" spans="2:15" x14ac:dyDescent="0.25">
      <c r="B5134" s="1" t="s">
        <v>1520</v>
      </c>
      <c r="C5134" s="2" t="s">
        <v>196</v>
      </c>
      <c r="D5134" s="2" t="s">
        <v>280</v>
      </c>
      <c r="E5134" s="2" t="s">
        <v>281</v>
      </c>
      <c r="F5134" s="3">
        <v>45429</v>
      </c>
      <c r="G5134" s="4">
        <v>5</v>
      </c>
      <c r="H5134" s="4">
        <v>2024</v>
      </c>
      <c r="I5134" s="2" t="s">
        <v>4</v>
      </c>
      <c r="J5134" s="2" t="s">
        <v>5860</v>
      </c>
      <c r="K5134" s="2" t="s">
        <v>2776</v>
      </c>
      <c r="L5134" s="2" t="s">
        <v>2777</v>
      </c>
      <c r="M5134" s="2" t="s">
        <v>119</v>
      </c>
      <c r="N5134" s="4" t="s">
        <v>119</v>
      </c>
      <c r="O5134" s="5">
        <v>12.52</v>
      </c>
    </row>
    <row r="5135" spans="2:15" x14ac:dyDescent="0.25">
      <c r="B5135" s="1" t="s">
        <v>1520</v>
      </c>
      <c r="C5135" s="2" t="s">
        <v>196</v>
      </c>
      <c r="D5135" s="2" t="s">
        <v>331</v>
      </c>
      <c r="E5135" s="2" t="s">
        <v>332</v>
      </c>
      <c r="F5135" s="3">
        <v>45429</v>
      </c>
      <c r="G5135" s="4">
        <v>5</v>
      </c>
      <c r="H5135" s="4">
        <v>2024</v>
      </c>
      <c r="I5135" s="2" t="s">
        <v>4</v>
      </c>
      <c r="J5135" s="2" t="s">
        <v>5861</v>
      </c>
      <c r="K5135" s="2" t="s">
        <v>334</v>
      </c>
      <c r="L5135" s="2" t="s">
        <v>335</v>
      </c>
      <c r="M5135" s="2" t="s">
        <v>119</v>
      </c>
      <c r="N5135" s="4" t="s">
        <v>119</v>
      </c>
      <c r="O5135" s="5">
        <v>3.0074999999999998</v>
      </c>
    </row>
    <row r="5136" spans="2:15" x14ac:dyDescent="0.25">
      <c r="B5136" s="1" t="s">
        <v>1520</v>
      </c>
      <c r="C5136" s="2" t="s">
        <v>196</v>
      </c>
      <c r="D5136" s="2" t="s">
        <v>215</v>
      </c>
      <c r="E5136" s="2" t="s">
        <v>4113</v>
      </c>
      <c r="F5136" s="3">
        <v>45429</v>
      </c>
      <c r="G5136" s="4">
        <v>5</v>
      </c>
      <c r="H5136" s="4">
        <v>2024</v>
      </c>
      <c r="I5136" s="2" t="s">
        <v>4</v>
      </c>
      <c r="J5136" s="2" t="s">
        <v>5862</v>
      </c>
      <c r="K5136" s="2" t="s">
        <v>2776</v>
      </c>
      <c r="L5136" s="2" t="s">
        <v>2777</v>
      </c>
      <c r="M5136" s="2" t="s">
        <v>119</v>
      </c>
      <c r="N5136" s="4" t="s">
        <v>119</v>
      </c>
      <c r="O5136" s="5">
        <v>2.5049999999999999</v>
      </c>
    </row>
    <row r="5137" spans="2:15" x14ac:dyDescent="0.25">
      <c r="B5137" s="1" t="s">
        <v>1520</v>
      </c>
      <c r="C5137" s="2" t="s">
        <v>196</v>
      </c>
      <c r="D5137" s="2" t="s">
        <v>114</v>
      </c>
      <c r="E5137" s="2" t="s">
        <v>274</v>
      </c>
      <c r="F5137" s="3">
        <v>45429</v>
      </c>
      <c r="G5137" s="4">
        <v>5</v>
      </c>
      <c r="H5137" s="4">
        <v>2024</v>
      </c>
      <c r="I5137" s="2" t="s">
        <v>4</v>
      </c>
      <c r="J5137" s="2" t="s">
        <v>5863</v>
      </c>
      <c r="K5137" s="2" t="s">
        <v>2776</v>
      </c>
      <c r="L5137" s="2" t="s">
        <v>2777</v>
      </c>
      <c r="M5137" s="2" t="s">
        <v>119</v>
      </c>
      <c r="N5137" s="4" t="s">
        <v>119</v>
      </c>
      <c r="O5137" s="5">
        <v>3.5049999999999999</v>
      </c>
    </row>
    <row r="5138" spans="2:15" x14ac:dyDescent="0.25">
      <c r="B5138" s="1" t="s">
        <v>1520</v>
      </c>
      <c r="C5138" s="2" t="s">
        <v>196</v>
      </c>
      <c r="D5138" s="2" t="s">
        <v>280</v>
      </c>
      <c r="E5138" s="2" t="s">
        <v>434</v>
      </c>
      <c r="F5138" s="3">
        <v>45429</v>
      </c>
      <c r="G5138" s="4">
        <v>5</v>
      </c>
      <c r="H5138" s="4">
        <v>2024</v>
      </c>
      <c r="I5138" s="2" t="s">
        <v>4</v>
      </c>
      <c r="J5138" s="2" t="s">
        <v>5864</v>
      </c>
      <c r="K5138" s="2" t="s">
        <v>2776</v>
      </c>
      <c r="L5138" s="2" t="s">
        <v>2777</v>
      </c>
      <c r="M5138" s="2" t="s">
        <v>119</v>
      </c>
      <c r="N5138" s="4" t="s">
        <v>119</v>
      </c>
      <c r="O5138" s="5">
        <v>4.0199999999999996</v>
      </c>
    </row>
    <row r="5139" spans="2:15" x14ac:dyDescent="0.25">
      <c r="B5139" s="1" t="s">
        <v>1520</v>
      </c>
      <c r="C5139" s="2" t="s">
        <v>196</v>
      </c>
      <c r="D5139" s="2" t="s">
        <v>114</v>
      </c>
      <c r="E5139" s="2" t="s">
        <v>369</v>
      </c>
      <c r="F5139" s="3">
        <v>45429</v>
      </c>
      <c r="G5139" s="4">
        <v>5</v>
      </c>
      <c r="H5139" s="4">
        <v>2024</v>
      </c>
      <c r="I5139" s="2" t="s">
        <v>4</v>
      </c>
      <c r="J5139" s="2" t="s">
        <v>5865</v>
      </c>
      <c r="K5139" s="2" t="s">
        <v>2776</v>
      </c>
      <c r="L5139" s="2" t="s">
        <v>2777</v>
      </c>
      <c r="M5139" s="2" t="s">
        <v>119</v>
      </c>
      <c r="N5139" s="4" t="s">
        <v>119</v>
      </c>
      <c r="O5139" s="5">
        <v>2.0074999999999998</v>
      </c>
    </row>
    <row r="5140" spans="2:15" x14ac:dyDescent="0.25">
      <c r="B5140" s="1" t="s">
        <v>1520</v>
      </c>
      <c r="C5140" s="2" t="s">
        <v>196</v>
      </c>
      <c r="D5140" s="2" t="s">
        <v>663</v>
      </c>
      <c r="E5140" s="2" t="s">
        <v>102</v>
      </c>
      <c r="F5140" s="3">
        <v>45429</v>
      </c>
      <c r="G5140" s="4">
        <v>5</v>
      </c>
      <c r="H5140" s="4">
        <v>2024</v>
      </c>
      <c r="I5140" s="2" t="s">
        <v>4</v>
      </c>
      <c r="J5140" s="2" t="s">
        <v>5866</v>
      </c>
      <c r="K5140" s="2" t="s">
        <v>2477</v>
      </c>
      <c r="L5140" s="2" t="s">
        <v>538</v>
      </c>
      <c r="M5140" s="2" t="s">
        <v>4243</v>
      </c>
      <c r="N5140" s="4" t="s">
        <v>4532</v>
      </c>
      <c r="O5140" s="5">
        <v>5</v>
      </c>
    </row>
    <row r="5141" spans="2:15" x14ac:dyDescent="0.25">
      <c r="B5141" s="1" t="s">
        <v>1520</v>
      </c>
      <c r="C5141" s="2" t="s">
        <v>196</v>
      </c>
      <c r="D5141" s="2" t="s">
        <v>663</v>
      </c>
      <c r="E5141" s="2" t="s">
        <v>102</v>
      </c>
      <c r="F5141" s="3">
        <v>45429</v>
      </c>
      <c r="G5141" s="4">
        <v>5</v>
      </c>
      <c r="H5141" s="4">
        <v>2024</v>
      </c>
      <c r="I5141" s="2" t="s">
        <v>4</v>
      </c>
      <c r="J5141" s="2" t="s">
        <v>5866</v>
      </c>
      <c r="K5141" s="2" t="s">
        <v>25</v>
      </c>
      <c r="L5141" s="2" t="s">
        <v>541</v>
      </c>
      <c r="M5141" s="2" t="s">
        <v>27</v>
      </c>
      <c r="N5141" s="4" t="s">
        <v>4532</v>
      </c>
      <c r="O5141" s="5">
        <v>5</v>
      </c>
    </row>
    <row r="5142" spans="2:15" x14ac:dyDescent="0.25">
      <c r="B5142" s="1" t="s">
        <v>1520</v>
      </c>
      <c r="C5142" s="2" t="s">
        <v>196</v>
      </c>
      <c r="D5142" s="2" t="s">
        <v>114</v>
      </c>
      <c r="E5142" s="2" t="s">
        <v>1585</v>
      </c>
      <c r="F5142" s="3">
        <v>45432</v>
      </c>
      <c r="G5142" s="4">
        <v>5</v>
      </c>
      <c r="H5142" s="4">
        <v>2024</v>
      </c>
      <c r="I5142" s="2" t="s">
        <v>4</v>
      </c>
      <c r="J5142" s="2" t="s">
        <v>5867</v>
      </c>
      <c r="K5142" s="2" t="s">
        <v>2776</v>
      </c>
      <c r="L5142" s="2" t="s">
        <v>2777</v>
      </c>
      <c r="M5142" s="2" t="s">
        <v>119</v>
      </c>
      <c r="N5142" s="4" t="s">
        <v>119</v>
      </c>
      <c r="O5142" s="5">
        <v>1</v>
      </c>
    </row>
    <row r="5143" spans="2:15" x14ac:dyDescent="0.25">
      <c r="B5143" s="1" t="s">
        <v>1520</v>
      </c>
      <c r="C5143" s="2" t="s">
        <v>196</v>
      </c>
      <c r="D5143" s="2" t="s">
        <v>317</v>
      </c>
      <c r="E5143" s="2" t="s">
        <v>677</v>
      </c>
      <c r="F5143" s="3">
        <v>45432</v>
      </c>
      <c r="G5143" s="4">
        <v>5</v>
      </c>
      <c r="H5143" s="4">
        <v>2024</v>
      </c>
      <c r="I5143" s="2" t="s">
        <v>4</v>
      </c>
      <c r="J5143" s="2" t="s">
        <v>5868</v>
      </c>
      <c r="K5143" s="2" t="s">
        <v>2776</v>
      </c>
      <c r="L5143" s="2" t="s">
        <v>2777</v>
      </c>
      <c r="M5143" s="2" t="s">
        <v>119</v>
      </c>
      <c r="N5143" s="4" t="s">
        <v>119</v>
      </c>
      <c r="O5143" s="5">
        <v>2.5024999999999999</v>
      </c>
    </row>
    <row r="5144" spans="2:15" x14ac:dyDescent="0.25">
      <c r="B5144" s="1" t="s">
        <v>1520</v>
      </c>
      <c r="C5144" s="2" t="s">
        <v>196</v>
      </c>
      <c r="D5144" s="2" t="s">
        <v>280</v>
      </c>
      <c r="E5144" s="2" t="s">
        <v>811</v>
      </c>
      <c r="F5144" s="3">
        <v>45432</v>
      </c>
      <c r="G5144" s="4">
        <v>5</v>
      </c>
      <c r="H5144" s="4">
        <v>2024</v>
      </c>
      <c r="I5144" s="2" t="s">
        <v>4</v>
      </c>
      <c r="J5144" s="2" t="s">
        <v>5869</v>
      </c>
      <c r="K5144" s="2" t="s">
        <v>2776</v>
      </c>
      <c r="L5144" s="2" t="s">
        <v>2777</v>
      </c>
      <c r="M5144" s="2" t="s">
        <v>119</v>
      </c>
      <c r="N5144" s="4" t="s">
        <v>119</v>
      </c>
      <c r="O5144" s="5">
        <v>8.51</v>
      </c>
    </row>
    <row r="5145" spans="2:15" x14ac:dyDescent="0.25">
      <c r="B5145" s="1" t="s">
        <v>1520</v>
      </c>
      <c r="C5145" s="2" t="s">
        <v>196</v>
      </c>
      <c r="D5145" s="2" t="s">
        <v>114</v>
      </c>
      <c r="E5145" s="2" t="s">
        <v>115</v>
      </c>
      <c r="F5145" s="3">
        <v>45432</v>
      </c>
      <c r="G5145" s="4">
        <v>5</v>
      </c>
      <c r="H5145" s="4">
        <v>2024</v>
      </c>
      <c r="I5145" s="2" t="s">
        <v>4</v>
      </c>
      <c r="J5145" s="2" t="s">
        <v>5870</v>
      </c>
      <c r="K5145" s="2" t="s">
        <v>2776</v>
      </c>
      <c r="L5145" s="2" t="s">
        <v>2777</v>
      </c>
      <c r="M5145" s="2" t="s">
        <v>119</v>
      </c>
      <c r="N5145" s="4" t="s">
        <v>119</v>
      </c>
      <c r="O5145" s="5">
        <v>5.5125000000000002</v>
      </c>
    </row>
    <row r="5146" spans="2:15" x14ac:dyDescent="0.25">
      <c r="B5146" s="1" t="s">
        <v>1520</v>
      </c>
      <c r="C5146" s="2" t="s">
        <v>196</v>
      </c>
      <c r="D5146" s="2" t="s">
        <v>262</v>
      </c>
      <c r="E5146" s="2" t="s">
        <v>1170</v>
      </c>
      <c r="F5146" s="3">
        <v>45432</v>
      </c>
      <c r="G5146" s="4">
        <v>5</v>
      </c>
      <c r="H5146" s="4">
        <v>2024</v>
      </c>
      <c r="I5146" s="2" t="s">
        <v>4</v>
      </c>
      <c r="J5146" s="2" t="s">
        <v>5871</v>
      </c>
      <c r="K5146" s="2" t="s">
        <v>499</v>
      </c>
      <c r="L5146" s="2" t="s">
        <v>500</v>
      </c>
      <c r="M5146" s="2" t="s">
        <v>119</v>
      </c>
      <c r="N5146" s="4" t="s">
        <v>119</v>
      </c>
      <c r="O5146" s="5">
        <v>10.0075</v>
      </c>
    </row>
    <row r="5147" spans="2:15" x14ac:dyDescent="0.25">
      <c r="B5147" s="1" t="s">
        <v>1520</v>
      </c>
      <c r="C5147" s="2" t="s">
        <v>196</v>
      </c>
      <c r="D5147" s="2" t="s">
        <v>449</v>
      </c>
      <c r="E5147" s="2" t="s">
        <v>450</v>
      </c>
      <c r="F5147" s="3">
        <v>45432</v>
      </c>
      <c r="G5147" s="4">
        <v>5</v>
      </c>
      <c r="H5147" s="4">
        <v>2024</v>
      </c>
      <c r="I5147" s="2" t="s">
        <v>4</v>
      </c>
      <c r="J5147" s="2" t="s">
        <v>5872</v>
      </c>
      <c r="K5147" s="2" t="s">
        <v>205</v>
      </c>
      <c r="L5147" s="2" t="s">
        <v>206</v>
      </c>
      <c r="M5147" s="2" t="s">
        <v>119</v>
      </c>
      <c r="N5147" s="4" t="s">
        <v>119</v>
      </c>
      <c r="O5147" s="5">
        <v>3.0024999999999999</v>
      </c>
    </row>
    <row r="5148" spans="2:15" x14ac:dyDescent="0.25">
      <c r="B5148" s="1" t="s">
        <v>1520</v>
      </c>
      <c r="C5148" s="2" t="s">
        <v>196</v>
      </c>
      <c r="D5148" s="2" t="s">
        <v>1343</v>
      </c>
      <c r="E5148" s="2" t="s">
        <v>3729</v>
      </c>
      <c r="F5148" s="3">
        <v>45433</v>
      </c>
      <c r="G5148" s="4">
        <v>5</v>
      </c>
      <c r="H5148" s="4">
        <v>2024</v>
      </c>
      <c r="I5148" s="2" t="s">
        <v>4</v>
      </c>
      <c r="J5148" s="2" t="s">
        <v>5873</v>
      </c>
      <c r="K5148" s="2" t="s">
        <v>5874</v>
      </c>
      <c r="L5148" s="2" t="s">
        <v>5875</v>
      </c>
      <c r="M5148" s="2" t="s">
        <v>119</v>
      </c>
      <c r="N5148" s="4" t="s">
        <v>119</v>
      </c>
      <c r="O5148" s="5">
        <v>15.01</v>
      </c>
    </row>
    <row r="5149" spans="2:15" x14ac:dyDescent="0.25">
      <c r="B5149" s="1" t="s">
        <v>1520</v>
      </c>
      <c r="C5149" s="2" t="s">
        <v>196</v>
      </c>
      <c r="D5149" s="2" t="s">
        <v>241</v>
      </c>
      <c r="E5149" s="2" t="s">
        <v>258</v>
      </c>
      <c r="F5149" s="3">
        <v>45433</v>
      </c>
      <c r="G5149" s="4">
        <v>5</v>
      </c>
      <c r="H5149" s="4">
        <v>2024</v>
      </c>
      <c r="I5149" s="2" t="s">
        <v>4</v>
      </c>
      <c r="J5149" s="2" t="s">
        <v>5876</v>
      </c>
      <c r="K5149" s="2" t="s">
        <v>3458</v>
      </c>
      <c r="L5149" s="2" t="s">
        <v>3459</v>
      </c>
      <c r="M5149" s="2" t="s">
        <v>119</v>
      </c>
      <c r="N5149" s="4" t="s">
        <v>119</v>
      </c>
      <c r="O5149" s="5">
        <v>2.25</v>
      </c>
    </row>
    <row r="5150" spans="2:15" x14ac:dyDescent="0.25">
      <c r="B5150" s="1" t="s">
        <v>1520</v>
      </c>
      <c r="C5150" s="2" t="s">
        <v>196</v>
      </c>
      <c r="D5150" s="2" t="s">
        <v>1343</v>
      </c>
      <c r="E5150" s="2" t="s">
        <v>3724</v>
      </c>
      <c r="F5150" s="3">
        <v>45433</v>
      </c>
      <c r="G5150" s="4">
        <v>5</v>
      </c>
      <c r="H5150" s="4">
        <v>2024</v>
      </c>
      <c r="I5150" s="2" t="s">
        <v>4</v>
      </c>
      <c r="J5150" s="2" t="s">
        <v>5877</v>
      </c>
      <c r="K5150" s="2" t="s">
        <v>5874</v>
      </c>
      <c r="L5150" s="2" t="s">
        <v>5875</v>
      </c>
      <c r="M5150" s="2" t="s">
        <v>119</v>
      </c>
      <c r="N5150" s="4" t="s">
        <v>119</v>
      </c>
      <c r="O5150" s="5">
        <v>9.99</v>
      </c>
    </row>
    <row r="5151" spans="2:15" x14ac:dyDescent="0.25">
      <c r="B5151" s="1" t="s">
        <v>1520</v>
      </c>
      <c r="C5151" s="2" t="s">
        <v>196</v>
      </c>
      <c r="D5151" s="2" t="s">
        <v>276</v>
      </c>
      <c r="E5151" s="2" t="s">
        <v>682</v>
      </c>
      <c r="F5151" s="3">
        <v>45433</v>
      </c>
      <c r="G5151" s="4">
        <v>5</v>
      </c>
      <c r="H5151" s="4">
        <v>2024</v>
      </c>
      <c r="I5151" s="2" t="s">
        <v>4</v>
      </c>
      <c r="J5151" s="2" t="s">
        <v>5878</v>
      </c>
      <c r="K5151" s="2" t="s">
        <v>292</v>
      </c>
      <c r="L5151" s="2" t="s">
        <v>293</v>
      </c>
      <c r="M5151" s="2" t="s">
        <v>119</v>
      </c>
      <c r="N5151" s="4" t="s">
        <v>119</v>
      </c>
      <c r="O5151" s="5">
        <v>3</v>
      </c>
    </row>
    <row r="5152" spans="2:15" x14ac:dyDescent="0.25">
      <c r="B5152" s="1" t="s">
        <v>1520</v>
      </c>
      <c r="C5152" s="2" t="s">
        <v>196</v>
      </c>
      <c r="D5152" s="2" t="s">
        <v>276</v>
      </c>
      <c r="E5152" s="2" t="s">
        <v>682</v>
      </c>
      <c r="F5152" s="3">
        <v>45433</v>
      </c>
      <c r="G5152" s="4">
        <v>5</v>
      </c>
      <c r="H5152" s="4">
        <v>2024</v>
      </c>
      <c r="I5152" s="2" t="s">
        <v>4</v>
      </c>
      <c r="J5152" s="2" t="s">
        <v>5879</v>
      </c>
      <c r="K5152" s="2" t="s">
        <v>205</v>
      </c>
      <c r="L5152" s="2" t="s">
        <v>206</v>
      </c>
      <c r="M5152" s="2" t="s">
        <v>119</v>
      </c>
      <c r="N5152" s="4" t="s">
        <v>119</v>
      </c>
      <c r="O5152" s="5">
        <v>2</v>
      </c>
    </row>
    <row r="5153" spans="2:15" x14ac:dyDescent="0.25">
      <c r="B5153" s="1" t="s">
        <v>645</v>
      </c>
      <c r="C5153" s="2" t="s">
        <v>196</v>
      </c>
      <c r="D5153" s="2" t="s">
        <v>3450</v>
      </c>
      <c r="E5153" s="2" t="s">
        <v>91</v>
      </c>
      <c r="F5153" s="3">
        <v>45434</v>
      </c>
      <c r="G5153" s="4">
        <v>5</v>
      </c>
      <c r="H5153" s="4">
        <v>2024</v>
      </c>
      <c r="I5153" s="2" t="s">
        <v>4</v>
      </c>
      <c r="J5153" s="2" t="s">
        <v>5880</v>
      </c>
      <c r="K5153" s="2" t="s">
        <v>25</v>
      </c>
      <c r="L5153" s="2" t="s">
        <v>541</v>
      </c>
      <c r="M5153" s="2" t="s">
        <v>27</v>
      </c>
      <c r="N5153" s="4" t="s">
        <v>4532</v>
      </c>
      <c r="O5153" s="5">
        <v>5</v>
      </c>
    </row>
    <row r="5154" spans="2:15" x14ac:dyDescent="0.25">
      <c r="B5154" s="1" t="s">
        <v>1520</v>
      </c>
      <c r="C5154" s="2" t="s">
        <v>196</v>
      </c>
      <c r="D5154" s="2" t="s">
        <v>215</v>
      </c>
      <c r="E5154" s="2" t="s">
        <v>4113</v>
      </c>
      <c r="F5154" s="3">
        <v>45434</v>
      </c>
      <c r="G5154" s="4">
        <v>5</v>
      </c>
      <c r="H5154" s="4">
        <v>2024</v>
      </c>
      <c r="I5154" s="2" t="s">
        <v>4</v>
      </c>
      <c r="J5154" s="2" t="s">
        <v>5881</v>
      </c>
      <c r="K5154" s="2" t="s">
        <v>2776</v>
      </c>
      <c r="L5154" s="2" t="s">
        <v>2777</v>
      </c>
      <c r="M5154" s="2" t="s">
        <v>119</v>
      </c>
      <c r="N5154" s="4" t="s">
        <v>119</v>
      </c>
      <c r="O5154" s="5">
        <v>5</v>
      </c>
    </row>
    <row r="5155" spans="2:15" x14ac:dyDescent="0.25">
      <c r="B5155" s="1" t="s">
        <v>1520</v>
      </c>
      <c r="C5155" s="2" t="s">
        <v>196</v>
      </c>
      <c r="D5155" s="2" t="s">
        <v>387</v>
      </c>
      <c r="E5155" s="2" t="s">
        <v>797</v>
      </c>
      <c r="F5155" s="3">
        <v>45435</v>
      </c>
      <c r="G5155" s="4">
        <v>5</v>
      </c>
      <c r="H5155" s="4">
        <v>2024</v>
      </c>
      <c r="I5155" s="2" t="s">
        <v>4</v>
      </c>
      <c r="J5155" s="2" t="s">
        <v>5882</v>
      </c>
      <c r="K5155" s="2" t="s">
        <v>2682</v>
      </c>
      <c r="L5155" s="2" t="s">
        <v>2683</v>
      </c>
      <c r="M5155" s="2" t="s">
        <v>119</v>
      </c>
      <c r="N5155" s="4" t="s">
        <v>119</v>
      </c>
      <c r="O5155" s="5">
        <v>7.5250000000000004</v>
      </c>
    </row>
    <row r="5156" spans="2:15" x14ac:dyDescent="0.25">
      <c r="B5156" s="1" t="s">
        <v>1520</v>
      </c>
      <c r="C5156" s="2" t="s">
        <v>196</v>
      </c>
      <c r="D5156" s="2" t="s">
        <v>294</v>
      </c>
      <c r="E5156" s="2" t="s">
        <v>295</v>
      </c>
      <c r="F5156" s="3">
        <v>45435</v>
      </c>
      <c r="G5156" s="4">
        <v>5</v>
      </c>
      <c r="H5156" s="4">
        <v>2024</v>
      </c>
      <c r="I5156" s="2" t="s">
        <v>4</v>
      </c>
      <c r="J5156" s="2" t="s">
        <v>5883</v>
      </c>
      <c r="K5156" s="2" t="s">
        <v>122</v>
      </c>
      <c r="L5156" s="2" t="s">
        <v>123</v>
      </c>
      <c r="M5156" s="2" t="s">
        <v>119</v>
      </c>
      <c r="N5156" s="4" t="s">
        <v>119</v>
      </c>
      <c r="O5156" s="5">
        <v>5.0225</v>
      </c>
    </row>
    <row r="5157" spans="2:15" x14ac:dyDescent="0.25">
      <c r="B5157" s="1" t="s">
        <v>1520</v>
      </c>
      <c r="C5157" s="2" t="s">
        <v>196</v>
      </c>
      <c r="D5157" s="2" t="s">
        <v>440</v>
      </c>
      <c r="E5157" s="2" t="s">
        <v>441</v>
      </c>
      <c r="F5157" s="3">
        <v>45435</v>
      </c>
      <c r="G5157" s="4">
        <v>5</v>
      </c>
      <c r="H5157" s="4">
        <v>2024</v>
      </c>
      <c r="I5157" s="2" t="s">
        <v>4</v>
      </c>
      <c r="J5157" s="2" t="s">
        <v>5884</v>
      </c>
      <c r="K5157" s="2" t="s">
        <v>2682</v>
      </c>
      <c r="L5157" s="2" t="s">
        <v>2683</v>
      </c>
      <c r="M5157" s="2" t="s">
        <v>119</v>
      </c>
      <c r="N5157" s="4" t="s">
        <v>119</v>
      </c>
      <c r="O5157" s="5">
        <v>4.9974999999999996</v>
      </c>
    </row>
    <row r="5158" spans="2:15" x14ac:dyDescent="0.25">
      <c r="B5158" s="1" t="s">
        <v>1520</v>
      </c>
      <c r="C5158" s="2" t="s">
        <v>196</v>
      </c>
      <c r="D5158" s="2" t="s">
        <v>888</v>
      </c>
      <c r="E5158" s="2" t="s">
        <v>888</v>
      </c>
      <c r="F5158" s="3">
        <v>45435</v>
      </c>
      <c r="G5158" s="4">
        <v>5</v>
      </c>
      <c r="H5158" s="4">
        <v>2024</v>
      </c>
      <c r="I5158" s="2" t="s">
        <v>4</v>
      </c>
      <c r="J5158" s="2" t="s">
        <v>5885</v>
      </c>
      <c r="K5158" s="2" t="s">
        <v>1239</v>
      </c>
      <c r="L5158" s="2" t="s">
        <v>916</v>
      </c>
      <c r="M5158" s="2" t="s">
        <v>917</v>
      </c>
      <c r="N5158" s="4" t="s">
        <v>4532</v>
      </c>
      <c r="O5158" s="5">
        <v>5</v>
      </c>
    </row>
    <row r="5159" spans="2:15" x14ac:dyDescent="0.25">
      <c r="B5159" s="1" t="s">
        <v>1520</v>
      </c>
      <c r="C5159" s="2" t="s">
        <v>196</v>
      </c>
      <c r="D5159" s="2" t="s">
        <v>317</v>
      </c>
      <c r="E5159" s="2" t="s">
        <v>677</v>
      </c>
      <c r="F5159" s="3">
        <v>45441</v>
      </c>
      <c r="G5159" s="4">
        <v>5</v>
      </c>
      <c r="H5159" s="4">
        <v>2024</v>
      </c>
      <c r="I5159" s="2" t="s">
        <v>4</v>
      </c>
      <c r="J5159" s="2" t="s">
        <v>5886</v>
      </c>
      <c r="K5159" s="2" t="s">
        <v>2776</v>
      </c>
      <c r="L5159" s="2" t="s">
        <v>2777</v>
      </c>
      <c r="M5159" s="2" t="s">
        <v>119</v>
      </c>
      <c r="N5159" s="4" t="s">
        <v>119</v>
      </c>
      <c r="O5159" s="5">
        <v>2.0024999999999999</v>
      </c>
    </row>
    <row r="5160" spans="2:15" x14ac:dyDescent="0.25">
      <c r="B5160" s="1" t="s">
        <v>1520</v>
      </c>
      <c r="C5160" s="2" t="s">
        <v>196</v>
      </c>
      <c r="D5160" s="2" t="s">
        <v>299</v>
      </c>
      <c r="E5160" s="2" t="s">
        <v>713</v>
      </c>
      <c r="F5160" s="3">
        <v>45441</v>
      </c>
      <c r="G5160" s="4">
        <v>5</v>
      </c>
      <c r="H5160" s="4">
        <v>2024</v>
      </c>
      <c r="I5160" s="2" t="s">
        <v>4</v>
      </c>
      <c r="J5160" s="2" t="s">
        <v>5887</v>
      </c>
      <c r="K5160" s="2" t="s">
        <v>5888</v>
      </c>
      <c r="L5160" s="2" t="s">
        <v>5889</v>
      </c>
      <c r="M5160" s="2" t="s">
        <v>119</v>
      </c>
      <c r="N5160" s="4" t="s">
        <v>119</v>
      </c>
      <c r="O5160" s="5">
        <v>3.5024999999999999</v>
      </c>
    </row>
    <row r="5161" spans="2:15" x14ac:dyDescent="0.25">
      <c r="B5161" s="1" t="s">
        <v>1520</v>
      </c>
      <c r="C5161" s="2" t="s">
        <v>196</v>
      </c>
      <c r="D5161" s="2" t="s">
        <v>114</v>
      </c>
      <c r="E5161" s="2" t="s">
        <v>402</v>
      </c>
      <c r="F5161" s="3">
        <v>45441</v>
      </c>
      <c r="G5161" s="4">
        <v>5</v>
      </c>
      <c r="H5161" s="4">
        <v>2024</v>
      </c>
      <c r="I5161" s="2" t="s">
        <v>4</v>
      </c>
      <c r="J5161" s="2" t="s">
        <v>5890</v>
      </c>
      <c r="K5161" s="2" t="s">
        <v>5888</v>
      </c>
      <c r="L5161" s="2" t="s">
        <v>5889</v>
      </c>
      <c r="M5161" s="2" t="s">
        <v>119</v>
      </c>
      <c r="N5161" s="4" t="s">
        <v>119</v>
      </c>
      <c r="O5161" s="5">
        <v>4.0149999999999997</v>
      </c>
    </row>
    <row r="5162" spans="2:15" x14ac:dyDescent="0.25">
      <c r="B5162" s="1" t="s">
        <v>1520</v>
      </c>
      <c r="C5162" s="2" t="s">
        <v>196</v>
      </c>
      <c r="D5162" s="2" t="s">
        <v>721</v>
      </c>
      <c r="E5162" s="2" t="s">
        <v>971</v>
      </c>
      <c r="F5162" s="3">
        <v>45441</v>
      </c>
      <c r="G5162" s="4">
        <v>5</v>
      </c>
      <c r="H5162" s="4">
        <v>2024</v>
      </c>
      <c r="I5162" s="2" t="s">
        <v>4</v>
      </c>
      <c r="J5162" s="2" t="s">
        <v>5891</v>
      </c>
      <c r="K5162" s="2" t="s">
        <v>384</v>
      </c>
      <c r="L5162" s="2" t="s">
        <v>385</v>
      </c>
      <c r="M5162" s="2" t="s">
        <v>119</v>
      </c>
      <c r="N5162" s="4" t="s">
        <v>119</v>
      </c>
      <c r="O5162" s="5">
        <v>2.4980000000000002</v>
      </c>
    </row>
    <row r="5163" spans="2:15" x14ac:dyDescent="0.25">
      <c r="B5163" s="1" t="s">
        <v>1520</v>
      </c>
      <c r="C5163" s="2" t="s">
        <v>196</v>
      </c>
      <c r="D5163" s="2" t="s">
        <v>232</v>
      </c>
      <c r="E5163" s="2" t="s">
        <v>233</v>
      </c>
      <c r="F5163" s="3">
        <v>45441</v>
      </c>
      <c r="G5163" s="4">
        <v>5</v>
      </c>
      <c r="H5163" s="4">
        <v>2024</v>
      </c>
      <c r="I5163" s="2" t="s">
        <v>4</v>
      </c>
      <c r="J5163" s="2" t="s">
        <v>5892</v>
      </c>
      <c r="K5163" s="2" t="s">
        <v>205</v>
      </c>
      <c r="L5163" s="2" t="s">
        <v>206</v>
      </c>
      <c r="M5163" s="2" t="s">
        <v>119</v>
      </c>
      <c r="N5163" s="4" t="s">
        <v>119</v>
      </c>
      <c r="O5163" s="5">
        <v>5</v>
      </c>
    </row>
    <row r="5164" spans="2:15" x14ac:dyDescent="0.25">
      <c r="B5164" s="1" t="s">
        <v>1520</v>
      </c>
      <c r="C5164" s="2" t="s">
        <v>196</v>
      </c>
      <c r="D5164" s="2" t="s">
        <v>210</v>
      </c>
      <c r="E5164" s="2" t="s">
        <v>827</v>
      </c>
      <c r="F5164" s="3">
        <v>45441</v>
      </c>
      <c r="G5164" s="4">
        <v>5</v>
      </c>
      <c r="H5164" s="4">
        <v>2024</v>
      </c>
      <c r="I5164" s="2" t="s">
        <v>4</v>
      </c>
      <c r="J5164" s="2" t="s">
        <v>5893</v>
      </c>
      <c r="K5164" s="2" t="s">
        <v>5894</v>
      </c>
      <c r="L5164" s="2" t="s">
        <v>5895</v>
      </c>
      <c r="M5164" s="2" t="s">
        <v>119</v>
      </c>
      <c r="N5164" s="4" t="s">
        <v>119</v>
      </c>
      <c r="O5164" s="5">
        <v>15.025</v>
      </c>
    </row>
    <row r="5165" spans="2:15" x14ac:dyDescent="0.25">
      <c r="B5165" s="1" t="s">
        <v>1520</v>
      </c>
      <c r="C5165" s="2" t="s">
        <v>196</v>
      </c>
      <c r="D5165" s="2" t="s">
        <v>321</v>
      </c>
      <c r="E5165" s="2" t="s">
        <v>392</v>
      </c>
      <c r="F5165" s="3">
        <v>45442</v>
      </c>
      <c r="G5165" s="4">
        <v>5</v>
      </c>
      <c r="H5165" s="4">
        <v>2024</v>
      </c>
      <c r="I5165" s="2" t="s">
        <v>4</v>
      </c>
      <c r="J5165" s="2" t="s">
        <v>5896</v>
      </c>
      <c r="K5165" s="2" t="s">
        <v>447</v>
      </c>
      <c r="L5165" s="2" t="s">
        <v>448</v>
      </c>
      <c r="M5165" s="2" t="s">
        <v>119</v>
      </c>
      <c r="N5165" s="4" t="s">
        <v>119</v>
      </c>
      <c r="O5165" s="5">
        <v>1.25</v>
      </c>
    </row>
    <row r="5166" spans="2:15" x14ac:dyDescent="0.25">
      <c r="B5166" s="1" t="s">
        <v>1520</v>
      </c>
      <c r="C5166" s="2" t="s">
        <v>196</v>
      </c>
      <c r="D5166" s="2" t="s">
        <v>2764</v>
      </c>
      <c r="E5166" s="2" t="s">
        <v>102</v>
      </c>
      <c r="F5166" s="3">
        <v>45443</v>
      </c>
      <c r="G5166" s="4">
        <v>5</v>
      </c>
      <c r="H5166" s="4">
        <v>2024</v>
      </c>
      <c r="I5166" s="2" t="s">
        <v>4</v>
      </c>
      <c r="J5166" s="2" t="s">
        <v>5897</v>
      </c>
      <c r="K5166" s="2" t="s">
        <v>865</v>
      </c>
      <c r="L5166" s="2" t="s">
        <v>866</v>
      </c>
      <c r="M5166" s="2" t="s">
        <v>119</v>
      </c>
      <c r="N5166" s="4" t="s">
        <v>119</v>
      </c>
      <c r="O5166" s="5">
        <v>2.5</v>
      </c>
    </row>
    <row r="5167" spans="2:15" x14ac:dyDescent="0.25">
      <c r="B5167" s="1" t="s">
        <v>1520</v>
      </c>
      <c r="C5167" s="2" t="s">
        <v>196</v>
      </c>
      <c r="D5167" s="2" t="s">
        <v>114</v>
      </c>
      <c r="E5167" s="2" t="s">
        <v>3751</v>
      </c>
      <c r="F5167" s="3">
        <v>45422</v>
      </c>
      <c r="G5167" s="4">
        <v>5</v>
      </c>
      <c r="H5167" s="4">
        <v>2024</v>
      </c>
      <c r="I5167" s="2" t="s">
        <v>4</v>
      </c>
      <c r="J5167" s="2" t="s">
        <v>5898</v>
      </c>
      <c r="K5167" s="2" t="s">
        <v>2776</v>
      </c>
      <c r="L5167" s="2" t="s">
        <v>2777</v>
      </c>
      <c r="M5167" s="2" t="s">
        <v>119</v>
      </c>
      <c r="N5167" s="4" t="s">
        <v>119</v>
      </c>
      <c r="O5167" s="5">
        <v>3.5375000000000001</v>
      </c>
    </row>
    <row r="5168" spans="2:15" x14ac:dyDescent="0.25">
      <c r="B5168" s="1" t="s">
        <v>1520</v>
      </c>
      <c r="C5168" s="2" t="s">
        <v>196</v>
      </c>
      <c r="D5168" s="2" t="s">
        <v>321</v>
      </c>
      <c r="E5168" s="2" t="s">
        <v>697</v>
      </c>
      <c r="F5168" s="3">
        <v>45422</v>
      </c>
      <c r="G5168" s="4">
        <v>5</v>
      </c>
      <c r="H5168" s="4">
        <v>2024</v>
      </c>
      <c r="I5168" s="2" t="s">
        <v>4</v>
      </c>
      <c r="J5168" s="2" t="s">
        <v>5899</v>
      </c>
      <c r="K5168" s="2" t="s">
        <v>394</v>
      </c>
      <c r="L5168" s="2" t="s">
        <v>395</v>
      </c>
      <c r="M5168" s="2" t="s">
        <v>119</v>
      </c>
      <c r="N5168" s="4" t="s">
        <v>119</v>
      </c>
      <c r="O5168" s="5">
        <v>5.0125000000000002</v>
      </c>
    </row>
    <row r="5169" spans="2:15" x14ac:dyDescent="0.25">
      <c r="B5169" s="1" t="s">
        <v>1520</v>
      </c>
      <c r="C5169" s="2" t="s">
        <v>196</v>
      </c>
      <c r="D5169" s="2" t="s">
        <v>721</v>
      </c>
      <c r="E5169" s="2" t="s">
        <v>721</v>
      </c>
      <c r="F5169" s="3">
        <v>45425</v>
      </c>
      <c r="G5169" s="4">
        <v>5</v>
      </c>
      <c r="H5169" s="4">
        <v>2024</v>
      </c>
      <c r="I5169" s="2" t="s">
        <v>4</v>
      </c>
      <c r="J5169" s="2" t="s">
        <v>5900</v>
      </c>
      <c r="K5169" s="2" t="s">
        <v>25</v>
      </c>
      <c r="L5169" s="2" t="s">
        <v>541</v>
      </c>
      <c r="M5169" s="2" t="s">
        <v>27</v>
      </c>
      <c r="N5169" s="4" t="s">
        <v>4532</v>
      </c>
      <c r="O5169" s="5">
        <v>10</v>
      </c>
    </row>
    <row r="5170" spans="2:15" x14ac:dyDescent="0.25">
      <c r="B5170" s="1" t="s">
        <v>1520</v>
      </c>
      <c r="C5170" s="2" t="s">
        <v>196</v>
      </c>
      <c r="D5170" s="2" t="s">
        <v>721</v>
      </c>
      <c r="E5170" s="2" t="s">
        <v>721</v>
      </c>
      <c r="F5170" s="3">
        <v>45425</v>
      </c>
      <c r="G5170" s="4">
        <v>5</v>
      </c>
      <c r="H5170" s="4">
        <v>2024</v>
      </c>
      <c r="I5170" s="2" t="s">
        <v>4</v>
      </c>
      <c r="J5170" s="2" t="s">
        <v>5901</v>
      </c>
      <c r="K5170" s="2" t="s">
        <v>531</v>
      </c>
      <c r="L5170" s="2" t="s">
        <v>201</v>
      </c>
      <c r="M5170" s="2" t="s">
        <v>202</v>
      </c>
      <c r="N5170" s="4" t="s">
        <v>4532</v>
      </c>
      <c r="O5170" s="5">
        <v>30</v>
      </c>
    </row>
    <row r="5171" spans="2:15" x14ac:dyDescent="0.25">
      <c r="B5171" s="1" t="s">
        <v>1520</v>
      </c>
      <c r="C5171" s="2" t="s">
        <v>196</v>
      </c>
      <c r="D5171" s="2" t="s">
        <v>440</v>
      </c>
      <c r="E5171" s="2" t="s">
        <v>441</v>
      </c>
      <c r="F5171" s="3">
        <v>45425</v>
      </c>
      <c r="G5171" s="4">
        <v>5</v>
      </c>
      <c r="H5171" s="4">
        <v>2024</v>
      </c>
      <c r="I5171" s="2" t="s">
        <v>4</v>
      </c>
      <c r="J5171" s="2" t="s">
        <v>5902</v>
      </c>
      <c r="K5171" s="2" t="s">
        <v>2682</v>
      </c>
      <c r="L5171" s="2" t="s">
        <v>2683</v>
      </c>
      <c r="M5171" s="2" t="s">
        <v>119</v>
      </c>
      <c r="N5171" s="4" t="s">
        <v>119</v>
      </c>
      <c r="O5171" s="5">
        <v>7.5</v>
      </c>
    </row>
    <row r="5172" spans="2:15" x14ac:dyDescent="0.25">
      <c r="B5172" s="1" t="s">
        <v>1520</v>
      </c>
      <c r="C5172" s="2" t="s">
        <v>196</v>
      </c>
      <c r="D5172" s="2" t="s">
        <v>440</v>
      </c>
      <c r="E5172" s="2" t="s">
        <v>1369</v>
      </c>
      <c r="F5172" s="3">
        <v>45425</v>
      </c>
      <c r="G5172" s="4">
        <v>5</v>
      </c>
      <c r="H5172" s="4">
        <v>2024</v>
      </c>
      <c r="I5172" s="2" t="s">
        <v>4</v>
      </c>
      <c r="J5172" s="2" t="s">
        <v>5903</v>
      </c>
      <c r="K5172" s="2" t="s">
        <v>2682</v>
      </c>
      <c r="L5172" s="2" t="s">
        <v>2683</v>
      </c>
      <c r="M5172" s="2" t="s">
        <v>119</v>
      </c>
      <c r="N5172" s="4" t="s">
        <v>119</v>
      </c>
      <c r="O5172" s="5">
        <v>7.5</v>
      </c>
    </row>
    <row r="5173" spans="2:15" x14ac:dyDescent="0.25">
      <c r="B5173" s="1" t="s">
        <v>1520</v>
      </c>
      <c r="C5173" s="2" t="s">
        <v>196</v>
      </c>
      <c r="D5173" s="2" t="s">
        <v>289</v>
      </c>
      <c r="E5173" s="2" t="s">
        <v>2380</v>
      </c>
      <c r="F5173" s="3">
        <v>45425</v>
      </c>
      <c r="G5173" s="4">
        <v>5</v>
      </c>
      <c r="H5173" s="4">
        <v>2024</v>
      </c>
      <c r="I5173" s="2" t="s">
        <v>4</v>
      </c>
      <c r="J5173" s="2" t="s">
        <v>5904</v>
      </c>
      <c r="K5173" s="2" t="s">
        <v>292</v>
      </c>
      <c r="L5173" s="2" t="s">
        <v>293</v>
      </c>
      <c r="M5173" s="2" t="s">
        <v>119</v>
      </c>
      <c r="N5173" s="4" t="s">
        <v>119</v>
      </c>
      <c r="O5173" s="5">
        <v>1</v>
      </c>
    </row>
    <row r="5174" spans="2:15" x14ac:dyDescent="0.25">
      <c r="B5174" s="1" t="s">
        <v>1520</v>
      </c>
      <c r="C5174" s="2" t="s">
        <v>196</v>
      </c>
      <c r="D5174" s="2" t="s">
        <v>207</v>
      </c>
      <c r="E5174" s="2" t="s">
        <v>208</v>
      </c>
      <c r="F5174" s="3">
        <v>45425</v>
      </c>
      <c r="G5174" s="4">
        <v>5</v>
      </c>
      <c r="H5174" s="4">
        <v>2024</v>
      </c>
      <c r="I5174" s="2" t="s">
        <v>4</v>
      </c>
      <c r="J5174" s="2" t="s">
        <v>5905</v>
      </c>
      <c r="K5174" s="2" t="s">
        <v>236</v>
      </c>
      <c r="L5174" s="2" t="s">
        <v>237</v>
      </c>
      <c r="M5174" s="2" t="s">
        <v>119</v>
      </c>
      <c r="N5174" s="4" t="s">
        <v>119</v>
      </c>
      <c r="O5174" s="5">
        <v>2.5024999999999999</v>
      </c>
    </row>
    <row r="5175" spans="2:15" x14ac:dyDescent="0.25">
      <c r="B5175" s="1" t="s">
        <v>1520</v>
      </c>
      <c r="C5175" s="2" t="s">
        <v>196</v>
      </c>
      <c r="D5175" s="2" t="s">
        <v>444</v>
      </c>
      <c r="E5175" s="2" t="s">
        <v>445</v>
      </c>
      <c r="F5175" s="3">
        <v>45425</v>
      </c>
      <c r="G5175" s="4">
        <v>5</v>
      </c>
      <c r="H5175" s="4">
        <v>2024</v>
      </c>
      <c r="I5175" s="2" t="s">
        <v>4</v>
      </c>
      <c r="J5175" s="2" t="s">
        <v>5906</v>
      </c>
      <c r="K5175" s="2" t="s">
        <v>394</v>
      </c>
      <c r="L5175" s="2" t="s">
        <v>395</v>
      </c>
      <c r="M5175" s="2" t="s">
        <v>119</v>
      </c>
      <c r="N5175" s="4" t="s">
        <v>119</v>
      </c>
      <c r="O5175" s="5">
        <v>4.0250000000000004</v>
      </c>
    </row>
    <row r="5176" spans="2:15" x14ac:dyDescent="0.25">
      <c r="B5176" s="1" t="s">
        <v>1520</v>
      </c>
      <c r="C5176" s="2" t="s">
        <v>196</v>
      </c>
      <c r="D5176" s="2" t="s">
        <v>241</v>
      </c>
      <c r="E5176" s="2" t="s">
        <v>258</v>
      </c>
      <c r="F5176" s="3">
        <v>45425</v>
      </c>
      <c r="G5176" s="4">
        <v>5</v>
      </c>
      <c r="H5176" s="4">
        <v>2024</v>
      </c>
      <c r="I5176" s="2" t="s">
        <v>4</v>
      </c>
      <c r="J5176" s="2" t="s">
        <v>5907</v>
      </c>
      <c r="K5176" s="2" t="s">
        <v>3458</v>
      </c>
      <c r="L5176" s="2" t="s">
        <v>3459</v>
      </c>
      <c r="M5176" s="2" t="s">
        <v>119</v>
      </c>
      <c r="N5176" s="4" t="s">
        <v>119</v>
      </c>
      <c r="O5176" s="5">
        <v>2.2524999999999999</v>
      </c>
    </row>
    <row r="5177" spans="2:15" x14ac:dyDescent="0.25">
      <c r="B5177" s="1" t="s">
        <v>1520</v>
      </c>
      <c r="C5177" s="2" t="s">
        <v>196</v>
      </c>
      <c r="D5177" s="2" t="s">
        <v>317</v>
      </c>
      <c r="E5177" s="2" t="s">
        <v>677</v>
      </c>
      <c r="F5177" s="3">
        <v>45425</v>
      </c>
      <c r="G5177" s="4">
        <v>5</v>
      </c>
      <c r="H5177" s="4">
        <v>2024</v>
      </c>
      <c r="I5177" s="2" t="s">
        <v>4</v>
      </c>
      <c r="J5177" s="2" t="s">
        <v>5908</v>
      </c>
      <c r="K5177" s="2" t="s">
        <v>2776</v>
      </c>
      <c r="L5177" s="2" t="s">
        <v>2777</v>
      </c>
      <c r="M5177" s="2" t="s">
        <v>119</v>
      </c>
      <c r="N5177" s="4" t="s">
        <v>119</v>
      </c>
      <c r="O5177" s="5">
        <v>3.0024999999999999</v>
      </c>
    </row>
    <row r="5178" spans="2:15" x14ac:dyDescent="0.25">
      <c r="B5178" s="1" t="s">
        <v>1520</v>
      </c>
      <c r="C5178" s="2" t="s">
        <v>196</v>
      </c>
      <c r="D5178" s="2" t="s">
        <v>232</v>
      </c>
      <c r="E5178" s="2" t="s">
        <v>233</v>
      </c>
      <c r="F5178" s="3">
        <v>45425</v>
      </c>
      <c r="G5178" s="4">
        <v>5</v>
      </c>
      <c r="H5178" s="4">
        <v>2024</v>
      </c>
      <c r="I5178" s="2" t="s">
        <v>4</v>
      </c>
      <c r="J5178" s="2" t="s">
        <v>5909</v>
      </c>
      <c r="K5178" s="2" t="s">
        <v>205</v>
      </c>
      <c r="L5178" s="2" t="s">
        <v>206</v>
      </c>
      <c r="M5178" s="2" t="s">
        <v>119</v>
      </c>
      <c r="N5178" s="4" t="s">
        <v>119</v>
      </c>
      <c r="O5178" s="5">
        <v>4</v>
      </c>
    </row>
    <row r="5179" spans="2:15" x14ac:dyDescent="0.25">
      <c r="B5179" s="1" t="s">
        <v>1520</v>
      </c>
      <c r="C5179" s="2" t="s">
        <v>196</v>
      </c>
      <c r="D5179" s="2" t="s">
        <v>1343</v>
      </c>
      <c r="E5179" s="2" t="s">
        <v>4151</v>
      </c>
      <c r="F5179" s="3">
        <v>45425</v>
      </c>
      <c r="G5179" s="4">
        <v>5</v>
      </c>
      <c r="H5179" s="4">
        <v>2024</v>
      </c>
      <c r="I5179" s="2" t="s">
        <v>4</v>
      </c>
      <c r="J5179" s="2" t="s">
        <v>5910</v>
      </c>
      <c r="K5179" s="2" t="s">
        <v>2682</v>
      </c>
      <c r="L5179" s="2" t="s">
        <v>2683</v>
      </c>
      <c r="M5179" s="2" t="s">
        <v>119</v>
      </c>
      <c r="N5179" s="4" t="s">
        <v>119</v>
      </c>
      <c r="O5179" s="5">
        <v>15.03</v>
      </c>
    </row>
    <row r="5180" spans="2:15" x14ac:dyDescent="0.25">
      <c r="B5180" s="1" t="s">
        <v>1520</v>
      </c>
      <c r="C5180" s="2" t="s">
        <v>196</v>
      </c>
      <c r="D5180" s="2" t="s">
        <v>721</v>
      </c>
      <c r="E5180" s="2" t="s">
        <v>971</v>
      </c>
      <c r="F5180" s="3">
        <v>45425</v>
      </c>
      <c r="G5180" s="4">
        <v>5</v>
      </c>
      <c r="H5180" s="4">
        <v>2024</v>
      </c>
      <c r="I5180" s="2" t="s">
        <v>4</v>
      </c>
      <c r="J5180" s="2" t="s">
        <v>5911</v>
      </c>
      <c r="K5180" s="2" t="s">
        <v>384</v>
      </c>
      <c r="L5180" s="2" t="s">
        <v>385</v>
      </c>
      <c r="M5180" s="2" t="s">
        <v>119</v>
      </c>
      <c r="N5180" s="4" t="s">
        <v>119</v>
      </c>
      <c r="O5180" s="5">
        <v>1.25</v>
      </c>
    </row>
    <row r="5181" spans="2:15" x14ac:dyDescent="0.25">
      <c r="B5181" s="1" t="s">
        <v>1520</v>
      </c>
      <c r="C5181" s="2" t="s">
        <v>196</v>
      </c>
      <c r="D5181" s="2" t="s">
        <v>1343</v>
      </c>
      <c r="E5181" s="2" t="s">
        <v>3724</v>
      </c>
      <c r="F5181" s="3">
        <v>45426</v>
      </c>
      <c r="G5181" s="4">
        <v>5</v>
      </c>
      <c r="H5181" s="4">
        <v>2024</v>
      </c>
      <c r="I5181" s="2" t="s">
        <v>4</v>
      </c>
      <c r="J5181" s="2" t="s">
        <v>5912</v>
      </c>
      <c r="K5181" s="2" t="s">
        <v>2682</v>
      </c>
      <c r="L5181" s="2" t="s">
        <v>2683</v>
      </c>
      <c r="M5181" s="2" t="s">
        <v>119</v>
      </c>
      <c r="N5181" s="4" t="s">
        <v>119</v>
      </c>
      <c r="O5181" s="5">
        <v>15.0175</v>
      </c>
    </row>
    <row r="5182" spans="2:15" x14ac:dyDescent="0.25">
      <c r="B5182" s="1" t="s">
        <v>1520</v>
      </c>
      <c r="C5182" s="2" t="s">
        <v>196</v>
      </c>
      <c r="D5182" s="2" t="s">
        <v>4013</v>
      </c>
      <c r="E5182" s="2" t="s">
        <v>5546</v>
      </c>
      <c r="F5182" s="3">
        <v>45426</v>
      </c>
      <c r="G5182" s="4">
        <v>5</v>
      </c>
      <c r="H5182" s="4">
        <v>2024</v>
      </c>
      <c r="I5182" s="2" t="s">
        <v>4</v>
      </c>
      <c r="J5182" s="2" t="s">
        <v>5913</v>
      </c>
      <c r="K5182" s="2" t="s">
        <v>268</v>
      </c>
      <c r="L5182" s="2" t="s">
        <v>269</v>
      </c>
      <c r="M5182" s="2" t="s">
        <v>119</v>
      </c>
      <c r="N5182" s="4" t="s">
        <v>119</v>
      </c>
      <c r="O5182" s="5">
        <v>1</v>
      </c>
    </row>
    <row r="5183" spans="2:15" x14ac:dyDescent="0.25">
      <c r="B5183" s="1" t="s">
        <v>645</v>
      </c>
      <c r="C5183" s="2" t="s">
        <v>196</v>
      </c>
      <c r="D5183" s="2" t="s">
        <v>888</v>
      </c>
      <c r="E5183" s="2" t="s">
        <v>888</v>
      </c>
      <c r="F5183" s="3">
        <v>45426</v>
      </c>
      <c r="G5183" s="4">
        <v>5</v>
      </c>
      <c r="H5183" s="4">
        <v>2024</v>
      </c>
      <c r="I5183" s="2" t="s">
        <v>4</v>
      </c>
      <c r="J5183" s="2" t="s">
        <v>5914</v>
      </c>
      <c r="K5183" s="2" t="s">
        <v>268</v>
      </c>
      <c r="L5183" s="2" t="s">
        <v>269</v>
      </c>
      <c r="M5183" s="2" t="s">
        <v>119</v>
      </c>
      <c r="N5183" s="4" t="s">
        <v>119</v>
      </c>
      <c r="O5183" s="5">
        <v>0.75</v>
      </c>
    </row>
    <row r="5184" spans="2:15" x14ac:dyDescent="0.25">
      <c r="B5184" s="1" t="s">
        <v>645</v>
      </c>
      <c r="C5184" s="2" t="s">
        <v>196</v>
      </c>
      <c r="D5184" s="2" t="s">
        <v>1375</v>
      </c>
      <c r="E5184" s="2" t="s">
        <v>102</v>
      </c>
      <c r="F5184" s="3">
        <v>45426</v>
      </c>
      <c r="G5184" s="4">
        <v>5</v>
      </c>
      <c r="H5184" s="4">
        <v>2024</v>
      </c>
      <c r="I5184" s="2" t="s">
        <v>4</v>
      </c>
      <c r="J5184" s="2" t="s">
        <v>5915</v>
      </c>
      <c r="K5184" s="2" t="s">
        <v>329</v>
      </c>
      <c r="L5184" s="2" t="s">
        <v>330</v>
      </c>
      <c r="M5184" s="2" t="s">
        <v>119</v>
      </c>
      <c r="N5184" s="4" t="s">
        <v>119</v>
      </c>
      <c r="O5184" s="5">
        <v>5</v>
      </c>
    </row>
    <row r="5185" spans="2:15" x14ac:dyDescent="0.25">
      <c r="B5185" s="1" t="s">
        <v>1520</v>
      </c>
      <c r="C5185" s="2" t="s">
        <v>196</v>
      </c>
      <c r="D5185" s="2" t="s">
        <v>317</v>
      </c>
      <c r="E5185" s="2" t="s">
        <v>366</v>
      </c>
      <c r="F5185" s="3">
        <v>45426</v>
      </c>
      <c r="G5185" s="4">
        <v>5</v>
      </c>
      <c r="H5185" s="4">
        <v>2024</v>
      </c>
      <c r="I5185" s="2" t="s">
        <v>4</v>
      </c>
      <c r="J5185" s="2" t="s">
        <v>5916</v>
      </c>
      <c r="K5185" s="2" t="s">
        <v>2776</v>
      </c>
      <c r="L5185" s="2" t="s">
        <v>2777</v>
      </c>
      <c r="M5185" s="2" t="s">
        <v>119</v>
      </c>
      <c r="N5185" s="4" t="s">
        <v>119</v>
      </c>
      <c r="O5185" s="5">
        <v>2.0074999999999998</v>
      </c>
    </row>
    <row r="5186" spans="2:15" x14ac:dyDescent="0.25">
      <c r="B5186" s="1" t="s">
        <v>1520</v>
      </c>
      <c r="C5186" s="2" t="s">
        <v>196</v>
      </c>
      <c r="D5186" s="2" t="s">
        <v>114</v>
      </c>
      <c r="E5186" s="2" t="s">
        <v>402</v>
      </c>
      <c r="F5186" s="3">
        <v>45426</v>
      </c>
      <c r="G5186" s="4">
        <v>5</v>
      </c>
      <c r="H5186" s="4">
        <v>2024</v>
      </c>
      <c r="I5186" s="2" t="s">
        <v>4</v>
      </c>
      <c r="J5186" s="2" t="s">
        <v>5917</v>
      </c>
      <c r="K5186" s="2" t="s">
        <v>2776</v>
      </c>
      <c r="L5186" s="2" t="s">
        <v>2777</v>
      </c>
      <c r="M5186" s="2" t="s">
        <v>119</v>
      </c>
      <c r="N5186" s="4" t="s">
        <v>119</v>
      </c>
      <c r="O5186" s="5">
        <v>3.5074999999999998</v>
      </c>
    </row>
    <row r="5187" spans="2:15" x14ac:dyDescent="0.25">
      <c r="B5187" s="1" t="s">
        <v>1520</v>
      </c>
      <c r="C5187" s="2" t="s">
        <v>196</v>
      </c>
      <c r="D5187" s="2" t="s">
        <v>224</v>
      </c>
      <c r="E5187" s="2" t="s">
        <v>361</v>
      </c>
      <c r="F5187" s="3">
        <v>45426</v>
      </c>
      <c r="G5187" s="4">
        <v>5</v>
      </c>
      <c r="H5187" s="4">
        <v>2024</v>
      </c>
      <c r="I5187" s="2" t="s">
        <v>4</v>
      </c>
      <c r="J5187" s="2" t="s">
        <v>5918</v>
      </c>
      <c r="K5187" s="2" t="s">
        <v>329</v>
      </c>
      <c r="L5187" s="2" t="s">
        <v>330</v>
      </c>
      <c r="M5187" s="2" t="s">
        <v>119</v>
      </c>
      <c r="N5187" s="4" t="s">
        <v>119</v>
      </c>
      <c r="O5187" s="5">
        <v>5</v>
      </c>
    </row>
    <row r="5188" spans="2:15" x14ac:dyDescent="0.25">
      <c r="B5188" s="1" t="s">
        <v>1520</v>
      </c>
      <c r="C5188" s="2" t="s">
        <v>196</v>
      </c>
      <c r="D5188" s="2" t="s">
        <v>197</v>
      </c>
      <c r="E5188" s="2" t="s">
        <v>198</v>
      </c>
      <c r="F5188" s="3">
        <v>45426</v>
      </c>
      <c r="G5188" s="4">
        <v>5</v>
      </c>
      <c r="H5188" s="4">
        <v>2024</v>
      </c>
      <c r="I5188" s="2" t="s">
        <v>4</v>
      </c>
      <c r="J5188" s="2" t="s">
        <v>5919</v>
      </c>
      <c r="K5188" s="2" t="s">
        <v>5557</v>
      </c>
      <c r="L5188" s="2" t="s">
        <v>5558</v>
      </c>
      <c r="M5188" s="2" t="s">
        <v>119</v>
      </c>
      <c r="N5188" s="4" t="s">
        <v>119</v>
      </c>
      <c r="O5188" s="5">
        <v>3.5325000000000002</v>
      </c>
    </row>
    <row r="5189" spans="2:15" x14ac:dyDescent="0.25">
      <c r="B5189" s="1" t="s">
        <v>1520</v>
      </c>
      <c r="C5189" s="2" t="s">
        <v>196</v>
      </c>
      <c r="D5189" s="2" t="s">
        <v>800</v>
      </c>
      <c r="E5189" s="2" t="s">
        <v>907</v>
      </c>
      <c r="F5189" s="3">
        <v>45426</v>
      </c>
      <c r="G5189" s="4">
        <v>5</v>
      </c>
      <c r="H5189" s="4">
        <v>2024</v>
      </c>
      <c r="I5189" s="2" t="s">
        <v>4</v>
      </c>
      <c r="J5189" s="2" t="s">
        <v>5920</v>
      </c>
      <c r="K5189" s="2" t="s">
        <v>329</v>
      </c>
      <c r="L5189" s="2" t="s">
        <v>330</v>
      </c>
      <c r="M5189" s="2" t="s">
        <v>119</v>
      </c>
      <c r="N5189" s="4" t="s">
        <v>119</v>
      </c>
      <c r="O5189" s="5">
        <v>2.5</v>
      </c>
    </row>
    <row r="5190" spans="2:15" x14ac:dyDescent="0.25">
      <c r="B5190" s="1" t="s">
        <v>382</v>
      </c>
      <c r="C5190" s="2" t="s">
        <v>506</v>
      </c>
      <c r="D5190" s="2" t="s">
        <v>515</v>
      </c>
      <c r="E5190" s="2" t="s">
        <v>516</v>
      </c>
      <c r="F5190" s="3">
        <v>45415</v>
      </c>
      <c r="G5190" s="4">
        <v>5</v>
      </c>
      <c r="H5190" s="4">
        <v>2024</v>
      </c>
      <c r="I5190" s="2" t="s">
        <v>4</v>
      </c>
      <c r="J5190" s="2" t="s">
        <v>5921</v>
      </c>
      <c r="K5190" s="2" t="s">
        <v>149</v>
      </c>
      <c r="L5190" s="2" t="s">
        <v>150</v>
      </c>
      <c r="M5190" s="2" t="s">
        <v>21</v>
      </c>
      <c r="N5190" s="4" t="s">
        <v>4532</v>
      </c>
      <c r="O5190" s="5">
        <v>180</v>
      </c>
    </row>
    <row r="5191" spans="2:15" x14ac:dyDescent="0.25">
      <c r="B5191" s="1" t="s">
        <v>382</v>
      </c>
      <c r="C5191" s="2" t="s">
        <v>506</v>
      </c>
      <c r="D5191" s="2" t="s">
        <v>515</v>
      </c>
      <c r="E5191" s="2" t="s">
        <v>516</v>
      </c>
      <c r="F5191" s="3">
        <v>45415</v>
      </c>
      <c r="G5191" s="4">
        <v>5</v>
      </c>
      <c r="H5191" s="4">
        <v>2024</v>
      </c>
      <c r="I5191" s="2" t="s">
        <v>4</v>
      </c>
      <c r="J5191" s="2" t="s">
        <v>5921</v>
      </c>
      <c r="K5191" s="2" t="s">
        <v>5922</v>
      </c>
      <c r="L5191" s="2" t="s">
        <v>5923</v>
      </c>
      <c r="M5191" s="2" t="s">
        <v>5924</v>
      </c>
      <c r="N5191" s="4" t="s">
        <v>4532</v>
      </c>
      <c r="O5191" s="5">
        <v>30</v>
      </c>
    </row>
    <row r="5192" spans="2:15" x14ac:dyDescent="0.25">
      <c r="B5192" s="1" t="s">
        <v>382</v>
      </c>
      <c r="C5192" s="2" t="s">
        <v>506</v>
      </c>
      <c r="D5192" s="2" t="s">
        <v>515</v>
      </c>
      <c r="E5192" s="2" t="s">
        <v>516</v>
      </c>
      <c r="F5192" s="3">
        <v>45415</v>
      </c>
      <c r="G5192" s="4">
        <v>5</v>
      </c>
      <c r="H5192" s="4">
        <v>2024</v>
      </c>
      <c r="I5192" s="2" t="s">
        <v>4</v>
      </c>
      <c r="J5192" s="2" t="s">
        <v>5921</v>
      </c>
      <c r="K5192" s="2" t="s">
        <v>33</v>
      </c>
      <c r="L5192" s="2" t="s">
        <v>2786</v>
      </c>
      <c r="M5192" s="2" t="s">
        <v>35</v>
      </c>
      <c r="N5192" s="4" t="s">
        <v>4532</v>
      </c>
      <c r="O5192" s="5">
        <v>30</v>
      </c>
    </row>
    <row r="5193" spans="2:15" x14ac:dyDescent="0.25">
      <c r="B5193" s="1" t="s">
        <v>382</v>
      </c>
      <c r="C5193" s="2" t="s">
        <v>506</v>
      </c>
      <c r="D5193" s="2" t="s">
        <v>521</v>
      </c>
      <c r="E5193" s="2" t="s">
        <v>522</v>
      </c>
      <c r="F5193" s="3">
        <v>45422</v>
      </c>
      <c r="G5193" s="4">
        <v>5</v>
      </c>
      <c r="H5193" s="4">
        <v>2024</v>
      </c>
      <c r="I5193" s="2" t="s">
        <v>4</v>
      </c>
      <c r="J5193" s="2" t="s">
        <v>5925</v>
      </c>
      <c r="K5193" s="2" t="s">
        <v>1395</v>
      </c>
      <c r="L5193" s="2" t="s">
        <v>1396</v>
      </c>
      <c r="M5193" s="2" t="s">
        <v>1397</v>
      </c>
      <c r="N5193" s="4" t="s">
        <v>4532</v>
      </c>
      <c r="O5193" s="5">
        <v>180</v>
      </c>
    </row>
    <row r="5194" spans="2:15" x14ac:dyDescent="0.25">
      <c r="B5194" s="1" t="s">
        <v>782</v>
      </c>
      <c r="C5194" s="2" t="s">
        <v>1018</v>
      </c>
      <c r="D5194" s="2" t="s">
        <v>628</v>
      </c>
      <c r="E5194" s="2" t="s">
        <v>5926</v>
      </c>
      <c r="F5194" s="3">
        <v>45441</v>
      </c>
      <c r="G5194" s="4">
        <v>5</v>
      </c>
      <c r="H5194" s="4">
        <v>2024</v>
      </c>
      <c r="I5194" s="2" t="s">
        <v>4</v>
      </c>
      <c r="J5194" s="2" t="s">
        <v>5927</v>
      </c>
      <c r="K5194" s="2" t="s">
        <v>1501</v>
      </c>
      <c r="L5194" s="2" t="s">
        <v>5928</v>
      </c>
      <c r="M5194" s="2" t="s">
        <v>41</v>
      </c>
      <c r="N5194" s="4" t="s">
        <v>4532</v>
      </c>
      <c r="O5194" s="5">
        <v>360</v>
      </c>
    </row>
    <row r="5195" spans="2:15" x14ac:dyDescent="0.25">
      <c r="B5195" s="1" t="s">
        <v>1742</v>
      </c>
      <c r="C5195" s="2" t="s">
        <v>1025</v>
      </c>
      <c r="D5195" s="2" t="s">
        <v>124</v>
      </c>
      <c r="E5195" s="2" t="s">
        <v>2475</v>
      </c>
      <c r="F5195" s="3">
        <v>45415</v>
      </c>
      <c r="G5195" s="4">
        <v>5</v>
      </c>
      <c r="H5195" s="4">
        <v>2024</v>
      </c>
      <c r="I5195" s="2" t="s">
        <v>4</v>
      </c>
      <c r="J5195" s="2" t="s">
        <v>5929</v>
      </c>
      <c r="K5195" s="2" t="s">
        <v>531</v>
      </c>
      <c r="L5195" s="2" t="s">
        <v>201</v>
      </c>
      <c r="M5195" s="2" t="s">
        <v>202</v>
      </c>
      <c r="N5195" s="4" t="s">
        <v>4532</v>
      </c>
      <c r="O5195" s="5">
        <v>90</v>
      </c>
    </row>
    <row r="5196" spans="2:15" x14ac:dyDescent="0.25">
      <c r="B5196" s="1" t="s">
        <v>645</v>
      </c>
      <c r="C5196" s="2" t="s">
        <v>1025</v>
      </c>
      <c r="D5196" s="2" t="s">
        <v>1401</v>
      </c>
      <c r="E5196" s="2" t="s">
        <v>1402</v>
      </c>
      <c r="F5196" s="3">
        <v>45415</v>
      </c>
      <c r="G5196" s="4">
        <v>5</v>
      </c>
      <c r="H5196" s="4">
        <v>2024</v>
      </c>
      <c r="I5196" s="2" t="s">
        <v>4</v>
      </c>
      <c r="J5196" s="2" t="s">
        <v>5930</v>
      </c>
      <c r="K5196" s="2" t="s">
        <v>1404</v>
      </c>
      <c r="L5196" s="2" t="s">
        <v>1405</v>
      </c>
      <c r="M5196" s="2" t="s">
        <v>1397</v>
      </c>
      <c r="N5196" s="4" t="s">
        <v>4532</v>
      </c>
      <c r="O5196" s="5">
        <v>720</v>
      </c>
    </row>
    <row r="5197" spans="2:15" x14ac:dyDescent="0.25">
      <c r="B5197" s="1" t="s">
        <v>1742</v>
      </c>
      <c r="C5197" s="2" t="s">
        <v>1025</v>
      </c>
      <c r="D5197" s="2" t="s">
        <v>1026</v>
      </c>
      <c r="E5197" s="2" t="s">
        <v>3262</v>
      </c>
      <c r="F5197" s="3">
        <v>45415</v>
      </c>
      <c r="G5197" s="4">
        <v>5</v>
      </c>
      <c r="H5197" s="4">
        <v>2024</v>
      </c>
      <c r="I5197" s="2" t="s">
        <v>4</v>
      </c>
      <c r="J5197" s="2" t="s">
        <v>5931</v>
      </c>
      <c r="K5197" s="2" t="s">
        <v>1028</v>
      </c>
      <c r="L5197" s="2" t="s">
        <v>1029</v>
      </c>
      <c r="M5197" s="2" t="s">
        <v>106</v>
      </c>
      <c r="N5197" s="4" t="s">
        <v>106</v>
      </c>
      <c r="O5197" s="5">
        <v>24560</v>
      </c>
    </row>
    <row r="5198" spans="2:15" x14ac:dyDescent="0.25">
      <c r="B5198" s="1" t="s">
        <v>1742</v>
      </c>
      <c r="C5198" s="2" t="s">
        <v>1025</v>
      </c>
      <c r="D5198" s="2" t="s">
        <v>124</v>
      </c>
      <c r="E5198" s="2" t="s">
        <v>2475</v>
      </c>
      <c r="F5198" s="3">
        <v>45420</v>
      </c>
      <c r="G5198" s="4">
        <v>5</v>
      </c>
      <c r="H5198" s="4">
        <v>2024</v>
      </c>
      <c r="I5198" s="2" t="s">
        <v>4</v>
      </c>
      <c r="J5198" s="2" t="s">
        <v>5932</v>
      </c>
      <c r="K5198" s="2" t="s">
        <v>531</v>
      </c>
      <c r="L5198" s="2" t="s">
        <v>201</v>
      </c>
      <c r="M5198" s="2" t="s">
        <v>202</v>
      </c>
      <c r="N5198" s="4" t="s">
        <v>4532</v>
      </c>
      <c r="O5198" s="5">
        <v>60</v>
      </c>
    </row>
    <row r="5199" spans="2:15" x14ac:dyDescent="0.25">
      <c r="B5199" s="6" t="s">
        <v>645</v>
      </c>
      <c r="C5199" s="7" t="s">
        <v>1025</v>
      </c>
      <c r="D5199" s="8" t="s">
        <v>2478</v>
      </c>
      <c r="E5199" s="8" t="s">
        <v>124</v>
      </c>
      <c r="F5199" s="12">
        <v>45420</v>
      </c>
      <c r="G5199" s="13">
        <v>5</v>
      </c>
      <c r="H5199" s="13">
        <v>2024</v>
      </c>
      <c r="I5199" s="8" t="s">
        <v>4</v>
      </c>
      <c r="J5199" s="7" t="s">
        <v>5933</v>
      </c>
      <c r="K5199" s="8" t="s">
        <v>2486</v>
      </c>
      <c r="L5199" s="8" t="s">
        <v>2487</v>
      </c>
      <c r="M5199" s="8" t="s">
        <v>119</v>
      </c>
      <c r="N5199" s="10" t="s">
        <v>119</v>
      </c>
      <c r="O5199" s="11">
        <v>4.0025000000000004</v>
      </c>
    </row>
    <row r="5200" spans="2:15" x14ac:dyDescent="0.25">
      <c r="B5200" s="1" t="s">
        <v>645</v>
      </c>
      <c r="C5200" s="2" t="s">
        <v>1025</v>
      </c>
      <c r="D5200" s="2" t="s">
        <v>2478</v>
      </c>
      <c r="E5200" s="2" t="s">
        <v>124</v>
      </c>
      <c r="F5200" s="3">
        <v>45420</v>
      </c>
      <c r="G5200" s="4">
        <v>5</v>
      </c>
      <c r="H5200" s="4">
        <v>2024</v>
      </c>
      <c r="I5200" s="2" t="s">
        <v>4</v>
      </c>
      <c r="J5200" s="2" t="s">
        <v>5934</v>
      </c>
      <c r="K5200" s="2" t="s">
        <v>3344</v>
      </c>
      <c r="L5200" s="2" t="s">
        <v>3345</v>
      </c>
      <c r="M5200" s="2" t="s">
        <v>119</v>
      </c>
      <c r="N5200" s="4" t="s">
        <v>119</v>
      </c>
      <c r="O5200" s="5">
        <v>4.0250000000000004</v>
      </c>
    </row>
    <row r="5201" spans="2:15" x14ac:dyDescent="0.25">
      <c r="B5201" s="1" t="s">
        <v>645</v>
      </c>
      <c r="C5201" s="2" t="s">
        <v>1025</v>
      </c>
      <c r="D5201" s="2" t="s">
        <v>2470</v>
      </c>
      <c r="E5201" s="2" t="s">
        <v>102</v>
      </c>
      <c r="F5201" s="3">
        <v>45427</v>
      </c>
      <c r="G5201" s="4">
        <v>5</v>
      </c>
      <c r="H5201" s="4">
        <v>2024</v>
      </c>
      <c r="I5201" s="2" t="s">
        <v>4</v>
      </c>
      <c r="J5201" s="2" t="s">
        <v>5935</v>
      </c>
      <c r="K5201" s="2" t="s">
        <v>1643</v>
      </c>
      <c r="L5201" s="2" t="s">
        <v>1644</v>
      </c>
      <c r="M5201" s="2" t="s">
        <v>46</v>
      </c>
      <c r="N5201" s="4" t="s">
        <v>4532</v>
      </c>
      <c r="O5201" s="5">
        <v>50</v>
      </c>
    </row>
    <row r="5202" spans="2:15" x14ac:dyDescent="0.25">
      <c r="B5202" s="1" t="s">
        <v>1742</v>
      </c>
      <c r="C5202" s="2" t="s">
        <v>1025</v>
      </c>
      <c r="D5202" s="2" t="s">
        <v>5074</v>
      </c>
      <c r="E5202" s="2" t="s">
        <v>5075</v>
      </c>
      <c r="F5202" s="3">
        <v>45427</v>
      </c>
      <c r="G5202" s="4">
        <v>5</v>
      </c>
      <c r="H5202" s="4">
        <v>2024</v>
      </c>
      <c r="I5202" s="2" t="s">
        <v>4</v>
      </c>
      <c r="J5202" s="2" t="s">
        <v>5936</v>
      </c>
      <c r="K5202" s="2" t="s">
        <v>158</v>
      </c>
      <c r="L5202" s="2" t="s">
        <v>159</v>
      </c>
      <c r="M5202" s="2" t="s">
        <v>160</v>
      </c>
      <c r="N5202" s="4" t="s">
        <v>4532</v>
      </c>
      <c r="O5202" s="5">
        <v>15</v>
      </c>
    </row>
    <row r="5203" spans="2:15" x14ac:dyDescent="0.25">
      <c r="B5203" s="1" t="s">
        <v>1742</v>
      </c>
      <c r="C5203" s="2" t="s">
        <v>1025</v>
      </c>
      <c r="D5203" s="2" t="s">
        <v>628</v>
      </c>
      <c r="E5203" s="2" t="s">
        <v>3046</v>
      </c>
      <c r="F5203" s="3">
        <v>45435</v>
      </c>
      <c r="G5203" s="4">
        <v>5</v>
      </c>
      <c r="H5203" s="4">
        <v>2024</v>
      </c>
      <c r="I5203" s="2" t="s">
        <v>4</v>
      </c>
      <c r="J5203" s="2" t="s">
        <v>5937</v>
      </c>
      <c r="K5203" s="2" t="s">
        <v>560</v>
      </c>
      <c r="L5203" s="2" t="s">
        <v>602</v>
      </c>
      <c r="M5203" s="2" t="s">
        <v>41</v>
      </c>
      <c r="N5203" s="4" t="s">
        <v>4532</v>
      </c>
      <c r="O5203" s="5">
        <v>2500</v>
      </c>
    </row>
    <row r="5204" spans="2:15" x14ac:dyDescent="0.25">
      <c r="B5204" s="1" t="s">
        <v>1742</v>
      </c>
      <c r="C5204" s="2" t="s">
        <v>1025</v>
      </c>
      <c r="D5204" s="2" t="s">
        <v>124</v>
      </c>
      <c r="E5204" s="2" t="s">
        <v>2475</v>
      </c>
      <c r="F5204" s="3">
        <v>45425</v>
      </c>
      <c r="G5204" s="4">
        <v>5</v>
      </c>
      <c r="H5204" s="4">
        <v>2024</v>
      </c>
      <c r="I5204" s="2" t="s">
        <v>4</v>
      </c>
      <c r="J5204" s="2" t="s">
        <v>5938</v>
      </c>
      <c r="K5204" s="2" t="s">
        <v>531</v>
      </c>
      <c r="L5204" s="2" t="s">
        <v>201</v>
      </c>
      <c r="M5204" s="2" t="s">
        <v>202</v>
      </c>
      <c r="N5204" s="4" t="s">
        <v>4532</v>
      </c>
      <c r="O5204" s="5">
        <v>120</v>
      </c>
    </row>
    <row r="5205" spans="2:15" x14ac:dyDescent="0.25">
      <c r="B5205" s="1" t="s">
        <v>1410</v>
      </c>
      <c r="C5205" s="2" t="s">
        <v>525</v>
      </c>
      <c r="D5205" s="2" t="s">
        <v>507</v>
      </c>
      <c r="E5205" s="2" t="s">
        <v>508</v>
      </c>
      <c r="F5205" s="3">
        <v>45413</v>
      </c>
      <c r="G5205" s="4">
        <v>5</v>
      </c>
      <c r="H5205" s="4">
        <v>2024</v>
      </c>
      <c r="I5205" s="2" t="s">
        <v>4</v>
      </c>
      <c r="J5205" s="2" t="s">
        <v>5939</v>
      </c>
      <c r="K5205" s="2" t="s">
        <v>158</v>
      </c>
      <c r="L5205" s="2" t="s">
        <v>159</v>
      </c>
      <c r="M5205" s="2" t="s">
        <v>160</v>
      </c>
      <c r="N5205" s="4" t="s">
        <v>4532</v>
      </c>
      <c r="O5205" s="5">
        <v>180</v>
      </c>
    </row>
    <row r="5206" spans="2:15" x14ac:dyDescent="0.25">
      <c r="B5206" s="1" t="s">
        <v>1410</v>
      </c>
      <c r="C5206" s="2" t="s">
        <v>525</v>
      </c>
      <c r="D5206" s="2" t="s">
        <v>628</v>
      </c>
      <c r="E5206" s="2" t="s">
        <v>1036</v>
      </c>
      <c r="F5206" s="3">
        <v>45413</v>
      </c>
      <c r="G5206" s="4">
        <v>5</v>
      </c>
      <c r="H5206" s="4">
        <v>2024</v>
      </c>
      <c r="I5206" s="2" t="s">
        <v>4</v>
      </c>
      <c r="J5206" s="2" t="s">
        <v>5940</v>
      </c>
      <c r="K5206" s="2" t="s">
        <v>220</v>
      </c>
      <c r="L5206" s="2" t="s">
        <v>201</v>
      </c>
      <c r="M5206" s="2" t="s">
        <v>202</v>
      </c>
      <c r="N5206" s="4" t="s">
        <v>4532</v>
      </c>
      <c r="O5206" s="5">
        <v>250</v>
      </c>
    </row>
    <row r="5207" spans="2:15" x14ac:dyDescent="0.25">
      <c r="B5207" s="1" t="s">
        <v>1410</v>
      </c>
      <c r="C5207" s="2" t="s">
        <v>525</v>
      </c>
      <c r="D5207" s="2" t="s">
        <v>1956</v>
      </c>
      <c r="E5207" s="2" t="s">
        <v>102</v>
      </c>
      <c r="F5207" s="3">
        <v>45418</v>
      </c>
      <c r="G5207" s="4">
        <v>5</v>
      </c>
      <c r="H5207" s="4">
        <v>2024</v>
      </c>
      <c r="I5207" s="2" t="s">
        <v>4</v>
      </c>
      <c r="J5207" s="2" t="s">
        <v>5941</v>
      </c>
      <c r="K5207" s="2" t="s">
        <v>122</v>
      </c>
      <c r="L5207" s="2" t="s">
        <v>123</v>
      </c>
      <c r="M5207" s="2" t="s">
        <v>119</v>
      </c>
      <c r="N5207" s="4" t="s">
        <v>119</v>
      </c>
      <c r="O5207" s="5">
        <v>0.3</v>
      </c>
    </row>
    <row r="5208" spans="2:15" x14ac:dyDescent="0.25">
      <c r="B5208" s="1" t="s">
        <v>1410</v>
      </c>
      <c r="C5208" s="2" t="s">
        <v>525</v>
      </c>
      <c r="D5208" s="2" t="s">
        <v>507</v>
      </c>
      <c r="E5208" s="2" t="s">
        <v>508</v>
      </c>
      <c r="F5208" s="3">
        <v>45420</v>
      </c>
      <c r="G5208" s="4">
        <v>5</v>
      </c>
      <c r="H5208" s="4">
        <v>2024</v>
      </c>
      <c r="I5208" s="2" t="s">
        <v>4</v>
      </c>
      <c r="J5208" s="2" t="s">
        <v>5942</v>
      </c>
      <c r="K5208" s="2" t="s">
        <v>329</v>
      </c>
      <c r="L5208" s="2" t="s">
        <v>330</v>
      </c>
      <c r="M5208" s="2" t="s">
        <v>119</v>
      </c>
      <c r="N5208" s="4" t="s">
        <v>119</v>
      </c>
      <c r="O5208" s="5">
        <v>2.4975000000000001</v>
      </c>
    </row>
    <row r="5209" spans="2:15" x14ac:dyDescent="0.25">
      <c r="B5209" s="1" t="s">
        <v>1410</v>
      </c>
      <c r="C5209" s="2" t="s">
        <v>525</v>
      </c>
      <c r="D5209" s="2" t="s">
        <v>507</v>
      </c>
      <c r="E5209" s="2" t="s">
        <v>508</v>
      </c>
      <c r="F5209" s="3">
        <v>45420</v>
      </c>
      <c r="G5209" s="4">
        <v>5</v>
      </c>
      <c r="H5209" s="4">
        <v>2024</v>
      </c>
      <c r="I5209" s="2" t="s">
        <v>4</v>
      </c>
      <c r="J5209" s="2" t="s">
        <v>5943</v>
      </c>
      <c r="K5209" s="2" t="s">
        <v>137</v>
      </c>
      <c r="L5209" s="2" t="s">
        <v>1190</v>
      </c>
      <c r="M5209" s="2" t="s">
        <v>139</v>
      </c>
      <c r="N5209" s="4" t="s">
        <v>4532</v>
      </c>
      <c r="O5209" s="5">
        <v>180</v>
      </c>
    </row>
    <row r="5210" spans="2:15" x14ac:dyDescent="0.25">
      <c r="B5210" s="1" t="s">
        <v>1410</v>
      </c>
      <c r="C5210" s="2" t="s">
        <v>525</v>
      </c>
      <c r="D5210" s="2" t="s">
        <v>507</v>
      </c>
      <c r="E5210" s="2" t="s">
        <v>508</v>
      </c>
      <c r="F5210" s="3">
        <v>45436</v>
      </c>
      <c r="G5210" s="4">
        <v>5</v>
      </c>
      <c r="H5210" s="4">
        <v>2024</v>
      </c>
      <c r="I5210" s="2" t="s">
        <v>4</v>
      </c>
      <c r="J5210" s="2" t="s">
        <v>5944</v>
      </c>
      <c r="K5210" s="2" t="s">
        <v>4226</v>
      </c>
      <c r="L5210" s="2" t="s">
        <v>4227</v>
      </c>
      <c r="M5210" s="2" t="s">
        <v>24</v>
      </c>
      <c r="N5210" s="4" t="s">
        <v>4532</v>
      </c>
      <c r="O5210" s="5">
        <v>180</v>
      </c>
    </row>
    <row r="5211" spans="2:15" x14ac:dyDescent="0.25">
      <c r="B5211" s="1" t="s">
        <v>88</v>
      </c>
      <c r="C5211" s="2" t="s">
        <v>533</v>
      </c>
      <c r="D5211" s="2" t="s">
        <v>557</v>
      </c>
      <c r="E5211" s="2" t="s">
        <v>5945</v>
      </c>
      <c r="F5211" s="3">
        <v>45415</v>
      </c>
      <c r="G5211" s="4">
        <v>5</v>
      </c>
      <c r="H5211" s="4">
        <v>2024</v>
      </c>
      <c r="I5211" s="2" t="s">
        <v>4</v>
      </c>
      <c r="J5211" s="2" t="s">
        <v>5946</v>
      </c>
      <c r="K5211" s="2" t="s">
        <v>1772</v>
      </c>
      <c r="L5211" s="2" t="s">
        <v>1773</v>
      </c>
      <c r="M5211" s="2" t="s">
        <v>106</v>
      </c>
      <c r="N5211" s="4" t="s">
        <v>106</v>
      </c>
      <c r="O5211" s="5">
        <v>8904</v>
      </c>
    </row>
    <row r="5212" spans="2:15" x14ac:dyDescent="0.25">
      <c r="B5212" s="1" t="s">
        <v>645</v>
      </c>
      <c r="C5212" s="2" t="s">
        <v>533</v>
      </c>
      <c r="D5212" s="2" t="s">
        <v>557</v>
      </c>
      <c r="E5212" s="2" t="s">
        <v>1090</v>
      </c>
      <c r="F5212" s="3">
        <v>45415</v>
      </c>
      <c r="G5212" s="4">
        <v>5</v>
      </c>
      <c r="H5212" s="4">
        <v>2024</v>
      </c>
      <c r="I5212" s="2" t="s">
        <v>4</v>
      </c>
      <c r="J5212" s="2" t="s">
        <v>5947</v>
      </c>
      <c r="K5212" s="2" t="s">
        <v>2127</v>
      </c>
      <c r="L5212" s="2" t="s">
        <v>2126</v>
      </c>
      <c r="M5212" s="2" t="s">
        <v>106</v>
      </c>
      <c r="N5212" s="4" t="s">
        <v>106</v>
      </c>
      <c r="O5212" s="5">
        <v>3600</v>
      </c>
    </row>
    <row r="5213" spans="2:15" x14ac:dyDescent="0.25">
      <c r="B5213" s="1" t="s">
        <v>1050</v>
      </c>
      <c r="C5213" s="2" t="s">
        <v>533</v>
      </c>
      <c r="D5213" s="2" t="s">
        <v>628</v>
      </c>
      <c r="E5213" s="2" t="s">
        <v>2145</v>
      </c>
      <c r="F5213" s="3">
        <v>45420</v>
      </c>
      <c r="G5213" s="4">
        <v>5</v>
      </c>
      <c r="H5213" s="4">
        <v>2024</v>
      </c>
      <c r="I5213" s="2" t="s">
        <v>4</v>
      </c>
      <c r="J5213" s="2" t="s">
        <v>5948</v>
      </c>
      <c r="K5213" s="2" t="s">
        <v>2836</v>
      </c>
      <c r="L5213" s="2" t="s">
        <v>2148</v>
      </c>
      <c r="M5213" s="2" t="s">
        <v>41</v>
      </c>
      <c r="N5213" s="4" t="s">
        <v>4532</v>
      </c>
      <c r="O5213" s="5">
        <v>250</v>
      </c>
    </row>
    <row r="5214" spans="2:15" x14ac:dyDescent="0.25">
      <c r="B5214" s="1" t="s">
        <v>1050</v>
      </c>
      <c r="C5214" s="2" t="s">
        <v>533</v>
      </c>
      <c r="D5214" s="2" t="s">
        <v>557</v>
      </c>
      <c r="E5214" s="2" t="s">
        <v>5732</v>
      </c>
      <c r="F5214" s="3">
        <v>45420</v>
      </c>
      <c r="G5214" s="4">
        <v>5</v>
      </c>
      <c r="H5214" s="4">
        <v>2024</v>
      </c>
      <c r="I5214" s="2" t="s">
        <v>4</v>
      </c>
      <c r="J5214" s="2" t="s">
        <v>5949</v>
      </c>
      <c r="K5214" s="2" t="s">
        <v>3075</v>
      </c>
      <c r="L5214" s="2" t="s">
        <v>3076</v>
      </c>
      <c r="M5214" s="2" t="s">
        <v>106</v>
      </c>
      <c r="N5214" s="4" t="s">
        <v>106</v>
      </c>
      <c r="O5214" s="5">
        <v>1800</v>
      </c>
    </row>
    <row r="5215" spans="2:15" x14ac:dyDescent="0.25">
      <c r="B5215" s="1" t="s">
        <v>645</v>
      </c>
      <c r="C5215" s="2" t="s">
        <v>533</v>
      </c>
      <c r="D5215" s="2" t="s">
        <v>534</v>
      </c>
      <c r="E5215" s="2" t="s">
        <v>535</v>
      </c>
      <c r="F5215" s="3">
        <v>45422</v>
      </c>
      <c r="G5215" s="4">
        <v>5</v>
      </c>
      <c r="H5215" s="4">
        <v>2024</v>
      </c>
      <c r="I5215" s="2" t="s">
        <v>4</v>
      </c>
      <c r="J5215" s="2" t="s">
        <v>5950</v>
      </c>
      <c r="K5215" s="2" t="s">
        <v>1501</v>
      </c>
      <c r="L5215" s="2" t="s">
        <v>602</v>
      </c>
      <c r="M5215" s="2" t="s">
        <v>41</v>
      </c>
      <c r="N5215" s="4" t="s">
        <v>4532</v>
      </c>
      <c r="O5215" s="5">
        <v>30</v>
      </c>
    </row>
    <row r="5216" spans="2:15" x14ac:dyDescent="0.25">
      <c r="B5216" s="1" t="s">
        <v>645</v>
      </c>
      <c r="C5216" s="2" t="s">
        <v>533</v>
      </c>
      <c r="D5216" s="2" t="s">
        <v>534</v>
      </c>
      <c r="E5216" s="2" t="s">
        <v>535</v>
      </c>
      <c r="F5216" s="3">
        <v>45422</v>
      </c>
      <c r="G5216" s="4">
        <v>5</v>
      </c>
      <c r="H5216" s="4">
        <v>2024</v>
      </c>
      <c r="I5216" s="2" t="s">
        <v>4</v>
      </c>
      <c r="J5216" s="2" t="s">
        <v>5950</v>
      </c>
      <c r="K5216" s="2" t="s">
        <v>649</v>
      </c>
      <c r="L5216" s="2" t="s">
        <v>538</v>
      </c>
      <c r="M5216" s="2" t="s">
        <v>4243</v>
      </c>
      <c r="N5216" s="4" t="s">
        <v>4532</v>
      </c>
      <c r="O5216" s="5">
        <v>250</v>
      </c>
    </row>
    <row r="5217" spans="2:15" x14ac:dyDescent="0.25">
      <c r="B5217" s="1" t="s">
        <v>645</v>
      </c>
      <c r="C5217" s="2" t="s">
        <v>533</v>
      </c>
      <c r="D5217" s="2" t="s">
        <v>534</v>
      </c>
      <c r="E5217" s="2" t="s">
        <v>535</v>
      </c>
      <c r="F5217" s="3">
        <v>45422</v>
      </c>
      <c r="G5217" s="4">
        <v>5</v>
      </c>
      <c r="H5217" s="4">
        <v>2024</v>
      </c>
      <c r="I5217" s="2" t="s">
        <v>4</v>
      </c>
      <c r="J5217" s="2" t="s">
        <v>5950</v>
      </c>
      <c r="K5217" s="2" t="s">
        <v>2548</v>
      </c>
      <c r="L5217" s="2" t="s">
        <v>5951</v>
      </c>
      <c r="M5217" s="2" t="s">
        <v>24</v>
      </c>
      <c r="N5217" s="4" t="s">
        <v>4532</v>
      </c>
      <c r="O5217" s="5">
        <v>250</v>
      </c>
    </row>
    <row r="5218" spans="2:15" x14ac:dyDescent="0.25">
      <c r="B5218" s="1" t="s">
        <v>645</v>
      </c>
      <c r="C5218" s="2" t="s">
        <v>533</v>
      </c>
      <c r="D5218" s="2" t="s">
        <v>534</v>
      </c>
      <c r="E5218" s="2" t="s">
        <v>535</v>
      </c>
      <c r="F5218" s="3">
        <v>45422</v>
      </c>
      <c r="G5218" s="4">
        <v>5</v>
      </c>
      <c r="H5218" s="4">
        <v>2024</v>
      </c>
      <c r="I5218" s="2" t="s">
        <v>4</v>
      </c>
      <c r="J5218" s="2" t="s">
        <v>5950</v>
      </c>
      <c r="K5218" s="2" t="s">
        <v>44</v>
      </c>
      <c r="L5218" s="2" t="s">
        <v>3023</v>
      </c>
      <c r="M5218" s="2" t="s">
        <v>46</v>
      </c>
      <c r="N5218" s="4" t="s">
        <v>4532</v>
      </c>
      <c r="O5218" s="5">
        <v>40</v>
      </c>
    </row>
    <row r="5219" spans="2:15" x14ac:dyDescent="0.25">
      <c r="B5219" s="1" t="s">
        <v>645</v>
      </c>
      <c r="C5219" s="2" t="s">
        <v>533</v>
      </c>
      <c r="D5219" s="2" t="s">
        <v>534</v>
      </c>
      <c r="E5219" s="2" t="s">
        <v>535</v>
      </c>
      <c r="F5219" s="3">
        <v>45422</v>
      </c>
      <c r="G5219" s="4">
        <v>5</v>
      </c>
      <c r="H5219" s="4">
        <v>2024</v>
      </c>
      <c r="I5219" s="2" t="s">
        <v>4</v>
      </c>
      <c r="J5219" s="2" t="s">
        <v>5950</v>
      </c>
      <c r="K5219" s="2" t="s">
        <v>1188</v>
      </c>
      <c r="L5219" s="2" t="s">
        <v>541</v>
      </c>
      <c r="M5219" s="2" t="s">
        <v>27</v>
      </c>
      <c r="N5219" s="4" t="s">
        <v>4532</v>
      </c>
      <c r="O5219" s="5">
        <v>250</v>
      </c>
    </row>
    <row r="5220" spans="2:15" x14ac:dyDescent="0.25">
      <c r="B5220" s="1" t="s">
        <v>645</v>
      </c>
      <c r="C5220" s="2" t="s">
        <v>533</v>
      </c>
      <c r="D5220" s="2" t="s">
        <v>534</v>
      </c>
      <c r="E5220" s="2" t="s">
        <v>535</v>
      </c>
      <c r="F5220" s="3">
        <v>45422</v>
      </c>
      <c r="G5220" s="4">
        <v>5</v>
      </c>
      <c r="H5220" s="4">
        <v>2024</v>
      </c>
      <c r="I5220" s="2" t="s">
        <v>4</v>
      </c>
      <c r="J5220" s="2" t="s">
        <v>5950</v>
      </c>
      <c r="K5220" s="2" t="s">
        <v>2540</v>
      </c>
      <c r="L5220" s="2" t="s">
        <v>2541</v>
      </c>
      <c r="M5220" s="2" t="s">
        <v>2542</v>
      </c>
      <c r="N5220" s="4" t="s">
        <v>4532</v>
      </c>
      <c r="O5220" s="5">
        <v>55</v>
      </c>
    </row>
    <row r="5221" spans="2:15" x14ac:dyDescent="0.25">
      <c r="B5221" s="1" t="s">
        <v>645</v>
      </c>
      <c r="C5221" s="2" t="s">
        <v>533</v>
      </c>
      <c r="D5221" s="2" t="s">
        <v>534</v>
      </c>
      <c r="E5221" s="2" t="s">
        <v>535</v>
      </c>
      <c r="F5221" s="3">
        <v>45422</v>
      </c>
      <c r="G5221" s="4">
        <v>5</v>
      </c>
      <c r="H5221" s="4">
        <v>2024</v>
      </c>
      <c r="I5221" s="2" t="s">
        <v>4</v>
      </c>
      <c r="J5221" s="2" t="s">
        <v>5950</v>
      </c>
      <c r="K5221" s="2" t="s">
        <v>2543</v>
      </c>
      <c r="L5221" s="2" t="s">
        <v>545</v>
      </c>
      <c r="M5221" s="2" t="s">
        <v>67</v>
      </c>
      <c r="N5221" s="4" t="s">
        <v>4532</v>
      </c>
      <c r="O5221" s="5">
        <v>250</v>
      </c>
    </row>
    <row r="5222" spans="2:15" x14ac:dyDescent="0.25">
      <c r="B5222" s="1" t="s">
        <v>645</v>
      </c>
      <c r="C5222" s="2" t="s">
        <v>533</v>
      </c>
      <c r="D5222" s="2" t="s">
        <v>534</v>
      </c>
      <c r="E5222" s="2" t="s">
        <v>535</v>
      </c>
      <c r="F5222" s="3">
        <v>45422</v>
      </c>
      <c r="G5222" s="4">
        <v>5</v>
      </c>
      <c r="H5222" s="4">
        <v>2024</v>
      </c>
      <c r="I5222" s="2" t="s">
        <v>4</v>
      </c>
      <c r="J5222" s="2" t="s">
        <v>5950</v>
      </c>
      <c r="K5222" s="2" t="s">
        <v>2544</v>
      </c>
      <c r="L5222" s="2" t="s">
        <v>547</v>
      </c>
      <c r="M5222" s="2" t="s">
        <v>160</v>
      </c>
      <c r="N5222" s="4" t="s">
        <v>4532</v>
      </c>
      <c r="O5222" s="5">
        <v>250</v>
      </c>
    </row>
    <row r="5223" spans="2:15" x14ac:dyDescent="0.25">
      <c r="B5223" s="1" t="s">
        <v>645</v>
      </c>
      <c r="C5223" s="2" t="s">
        <v>533</v>
      </c>
      <c r="D5223" s="2" t="s">
        <v>534</v>
      </c>
      <c r="E5223" s="2" t="s">
        <v>535</v>
      </c>
      <c r="F5223" s="3">
        <v>45422</v>
      </c>
      <c r="G5223" s="4">
        <v>5</v>
      </c>
      <c r="H5223" s="4">
        <v>2024</v>
      </c>
      <c r="I5223" s="2" t="s">
        <v>4</v>
      </c>
      <c r="J5223" s="2" t="s">
        <v>5950</v>
      </c>
      <c r="K5223" s="2" t="s">
        <v>1779</v>
      </c>
      <c r="L5223" s="2" t="s">
        <v>2545</v>
      </c>
      <c r="M5223" s="2" t="s">
        <v>67</v>
      </c>
      <c r="N5223" s="4" t="s">
        <v>4532</v>
      </c>
      <c r="O5223" s="5">
        <v>110</v>
      </c>
    </row>
    <row r="5224" spans="2:15" x14ac:dyDescent="0.25">
      <c r="B5224" s="1" t="s">
        <v>645</v>
      </c>
      <c r="C5224" s="2" t="s">
        <v>533</v>
      </c>
      <c r="D5224" s="2" t="s">
        <v>534</v>
      </c>
      <c r="E5224" s="2" t="s">
        <v>535</v>
      </c>
      <c r="F5224" s="3">
        <v>45422</v>
      </c>
      <c r="G5224" s="4">
        <v>5</v>
      </c>
      <c r="H5224" s="4">
        <v>2024</v>
      </c>
      <c r="I5224" s="2" t="s">
        <v>4</v>
      </c>
      <c r="J5224" s="2" t="s">
        <v>5950</v>
      </c>
      <c r="K5224" s="2" t="s">
        <v>2547</v>
      </c>
      <c r="L5224" s="2" t="s">
        <v>2426</v>
      </c>
      <c r="M5224" s="2" t="s">
        <v>553</v>
      </c>
      <c r="N5224" s="4" t="s">
        <v>4532</v>
      </c>
      <c r="O5224" s="5">
        <v>55</v>
      </c>
    </row>
    <row r="5225" spans="2:15" x14ac:dyDescent="0.25">
      <c r="B5225" s="1" t="s">
        <v>645</v>
      </c>
      <c r="C5225" s="2" t="s">
        <v>533</v>
      </c>
      <c r="D5225" s="2" t="s">
        <v>534</v>
      </c>
      <c r="E5225" s="2" t="s">
        <v>535</v>
      </c>
      <c r="F5225" s="3">
        <v>45422</v>
      </c>
      <c r="G5225" s="4">
        <v>5</v>
      </c>
      <c r="H5225" s="4">
        <v>2024</v>
      </c>
      <c r="I5225" s="2" t="s">
        <v>4</v>
      </c>
      <c r="J5225" s="2" t="s">
        <v>5950</v>
      </c>
      <c r="K5225" s="2" t="s">
        <v>2546</v>
      </c>
      <c r="L5225" s="2" t="s">
        <v>3356</v>
      </c>
      <c r="M5225" s="2" t="s">
        <v>553</v>
      </c>
      <c r="N5225" s="4" t="s">
        <v>4532</v>
      </c>
      <c r="O5225" s="5">
        <v>250</v>
      </c>
    </row>
    <row r="5226" spans="2:15" x14ac:dyDescent="0.25">
      <c r="B5226" s="1" t="s">
        <v>645</v>
      </c>
      <c r="C5226" s="2" t="s">
        <v>533</v>
      </c>
      <c r="D5226" s="2" t="s">
        <v>534</v>
      </c>
      <c r="E5226" s="2" t="s">
        <v>535</v>
      </c>
      <c r="F5226" s="3">
        <v>45422</v>
      </c>
      <c r="G5226" s="4">
        <v>5</v>
      </c>
      <c r="H5226" s="4">
        <v>2024</v>
      </c>
      <c r="I5226" s="2" t="s">
        <v>4</v>
      </c>
      <c r="J5226" s="2" t="s">
        <v>5950</v>
      </c>
      <c r="K5226" s="2" t="s">
        <v>554</v>
      </c>
      <c r="L5226" s="2" t="s">
        <v>555</v>
      </c>
      <c r="M5226" s="2" t="s">
        <v>556</v>
      </c>
      <c r="N5226" s="4" t="s">
        <v>4532</v>
      </c>
      <c r="O5226" s="5">
        <v>250</v>
      </c>
    </row>
    <row r="5227" spans="2:15" x14ac:dyDescent="0.25">
      <c r="B5227" s="1" t="s">
        <v>1050</v>
      </c>
      <c r="C5227" s="2" t="s">
        <v>533</v>
      </c>
      <c r="D5227" s="2" t="s">
        <v>1047</v>
      </c>
      <c r="E5227" s="2" t="s">
        <v>2554</v>
      </c>
      <c r="F5227" s="3">
        <v>45422</v>
      </c>
      <c r="G5227" s="4">
        <v>5</v>
      </c>
      <c r="H5227" s="4">
        <v>2024</v>
      </c>
      <c r="I5227" s="2" t="s">
        <v>4</v>
      </c>
      <c r="J5227" s="2" t="s">
        <v>5952</v>
      </c>
      <c r="K5227" s="2" t="s">
        <v>2530</v>
      </c>
      <c r="L5227" s="2" t="s">
        <v>2531</v>
      </c>
      <c r="M5227" s="2" t="s">
        <v>2532</v>
      </c>
      <c r="N5227" s="4" t="s">
        <v>4532</v>
      </c>
      <c r="O5227" s="5">
        <v>120</v>
      </c>
    </row>
    <row r="5228" spans="2:15" x14ac:dyDescent="0.25">
      <c r="B5228" s="1" t="s">
        <v>1050</v>
      </c>
      <c r="C5228" s="2" t="s">
        <v>533</v>
      </c>
      <c r="D5228" s="2" t="s">
        <v>1047</v>
      </c>
      <c r="E5228" s="2" t="s">
        <v>2554</v>
      </c>
      <c r="F5228" s="3">
        <v>45422</v>
      </c>
      <c r="G5228" s="4">
        <v>5</v>
      </c>
      <c r="H5228" s="4">
        <v>2024</v>
      </c>
      <c r="I5228" s="2" t="s">
        <v>4</v>
      </c>
      <c r="J5228" s="2" t="s">
        <v>5952</v>
      </c>
      <c r="K5228" s="2" t="s">
        <v>22</v>
      </c>
      <c r="L5228" s="2" t="s">
        <v>5951</v>
      </c>
      <c r="M5228" s="2" t="s">
        <v>24</v>
      </c>
      <c r="N5228" s="4" t="s">
        <v>4532</v>
      </c>
      <c r="O5228" s="5">
        <v>25</v>
      </c>
    </row>
    <row r="5229" spans="2:15" x14ac:dyDescent="0.25">
      <c r="B5229" s="1" t="s">
        <v>1050</v>
      </c>
      <c r="C5229" s="2" t="s">
        <v>533</v>
      </c>
      <c r="D5229" s="2" t="s">
        <v>1047</v>
      </c>
      <c r="E5229" s="2" t="s">
        <v>2554</v>
      </c>
      <c r="F5229" s="3">
        <v>45422</v>
      </c>
      <c r="G5229" s="4">
        <v>5</v>
      </c>
      <c r="H5229" s="4">
        <v>2024</v>
      </c>
      <c r="I5229" s="2" t="s">
        <v>4</v>
      </c>
      <c r="J5229" s="2" t="s">
        <v>5952</v>
      </c>
      <c r="K5229" s="2" t="s">
        <v>1470</v>
      </c>
      <c r="L5229" s="2" t="s">
        <v>2558</v>
      </c>
      <c r="M5229" s="2" t="s">
        <v>1472</v>
      </c>
      <c r="N5229" s="4" t="s">
        <v>4532</v>
      </c>
      <c r="O5229" s="5">
        <v>35</v>
      </c>
    </row>
    <row r="5230" spans="2:15" x14ac:dyDescent="0.25">
      <c r="B5230" s="1" t="s">
        <v>1050</v>
      </c>
      <c r="C5230" s="2" t="s">
        <v>533</v>
      </c>
      <c r="D5230" s="2" t="s">
        <v>557</v>
      </c>
      <c r="E5230" s="2" t="s">
        <v>5732</v>
      </c>
      <c r="F5230" s="3">
        <v>45428</v>
      </c>
      <c r="G5230" s="4">
        <v>5</v>
      </c>
      <c r="H5230" s="4">
        <v>2024</v>
      </c>
      <c r="I5230" s="2" t="s">
        <v>4</v>
      </c>
      <c r="J5230" s="2" t="s">
        <v>5953</v>
      </c>
      <c r="K5230" s="2" t="s">
        <v>3075</v>
      </c>
      <c r="L5230" s="2" t="s">
        <v>3076</v>
      </c>
      <c r="M5230" s="2" t="s">
        <v>106</v>
      </c>
      <c r="N5230" s="4" t="s">
        <v>106</v>
      </c>
      <c r="O5230" s="5">
        <v>3600</v>
      </c>
    </row>
    <row r="5231" spans="2:15" x14ac:dyDescent="0.25">
      <c r="B5231" s="1" t="s">
        <v>645</v>
      </c>
      <c r="C5231" s="2" t="s">
        <v>533</v>
      </c>
      <c r="D5231" s="2" t="s">
        <v>557</v>
      </c>
      <c r="E5231" s="2" t="s">
        <v>2534</v>
      </c>
      <c r="F5231" s="3">
        <v>45429</v>
      </c>
      <c r="G5231" s="4">
        <v>5</v>
      </c>
      <c r="H5231" s="4">
        <v>2024</v>
      </c>
      <c r="I5231" s="2" t="s">
        <v>4</v>
      </c>
      <c r="J5231" s="2" t="s">
        <v>5954</v>
      </c>
      <c r="K5231" s="2" t="s">
        <v>2536</v>
      </c>
      <c r="L5231" s="2" t="s">
        <v>2537</v>
      </c>
      <c r="M5231" s="2" t="s">
        <v>131</v>
      </c>
      <c r="N5231" s="4" t="s">
        <v>4532</v>
      </c>
      <c r="O5231" s="5">
        <v>1800</v>
      </c>
    </row>
    <row r="5232" spans="2:15" x14ac:dyDescent="0.25">
      <c r="B5232" s="1" t="s">
        <v>1050</v>
      </c>
      <c r="C5232" s="2" t="s">
        <v>533</v>
      </c>
      <c r="D5232" s="2" t="s">
        <v>628</v>
      </c>
      <c r="E5232" s="2" t="s">
        <v>2145</v>
      </c>
      <c r="F5232" s="3">
        <v>45429</v>
      </c>
      <c r="G5232" s="4">
        <v>5</v>
      </c>
      <c r="H5232" s="4">
        <v>2024</v>
      </c>
      <c r="I5232" s="2" t="s">
        <v>4</v>
      </c>
      <c r="J5232" s="2" t="s">
        <v>5955</v>
      </c>
      <c r="K5232" s="2" t="s">
        <v>2147</v>
      </c>
      <c r="L5232" s="2" t="s">
        <v>2148</v>
      </c>
      <c r="M5232" s="2" t="s">
        <v>41</v>
      </c>
      <c r="N5232" s="4" t="s">
        <v>4532</v>
      </c>
      <c r="O5232" s="5">
        <v>360</v>
      </c>
    </row>
    <row r="5233" spans="2:15" x14ac:dyDescent="0.25">
      <c r="B5233" s="1" t="s">
        <v>1050</v>
      </c>
      <c r="C5233" s="2" t="s">
        <v>533</v>
      </c>
      <c r="D5233" s="2" t="s">
        <v>557</v>
      </c>
      <c r="E5233" s="2" t="s">
        <v>3104</v>
      </c>
      <c r="F5233" s="3">
        <v>45432</v>
      </c>
      <c r="G5233" s="4">
        <v>5</v>
      </c>
      <c r="H5233" s="4">
        <v>2024</v>
      </c>
      <c r="I5233" s="2" t="s">
        <v>4</v>
      </c>
      <c r="J5233" s="2" t="s">
        <v>5956</v>
      </c>
      <c r="K5233" s="2" t="s">
        <v>3106</v>
      </c>
      <c r="L5233" s="2" t="s">
        <v>3107</v>
      </c>
      <c r="M5233" s="2" t="s">
        <v>3108</v>
      </c>
      <c r="N5233" s="4" t="s">
        <v>4532</v>
      </c>
      <c r="O5233" s="5">
        <v>180</v>
      </c>
    </row>
    <row r="5234" spans="2:15" x14ac:dyDescent="0.25">
      <c r="B5234" s="1" t="s">
        <v>1050</v>
      </c>
      <c r="C5234" s="2" t="s">
        <v>533</v>
      </c>
      <c r="D5234" s="2" t="s">
        <v>1047</v>
      </c>
      <c r="E5234" s="2" t="s">
        <v>5441</v>
      </c>
      <c r="F5234" s="3">
        <v>45435</v>
      </c>
      <c r="G5234" s="4">
        <v>5</v>
      </c>
      <c r="H5234" s="4">
        <v>2024</v>
      </c>
      <c r="I5234" s="2" t="s">
        <v>4</v>
      </c>
      <c r="J5234" s="2" t="s">
        <v>5957</v>
      </c>
      <c r="K5234" s="2" t="s">
        <v>5443</v>
      </c>
      <c r="L5234" s="2" t="s">
        <v>2139</v>
      </c>
      <c r="M5234" s="2" t="s">
        <v>1472</v>
      </c>
      <c r="N5234" s="4" t="s">
        <v>4532</v>
      </c>
      <c r="O5234" s="5">
        <v>125</v>
      </c>
    </row>
    <row r="5235" spans="2:15" x14ac:dyDescent="0.25">
      <c r="B5235" s="6" t="s">
        <v>1050</v>
      </c>
      <c r="C5235" s="7" t="s">
        <v>533</v>
      </c>
      <c r="D5235" s="8" t="s">
        <v>557</v>
      </c>
      <c r="E5235" s="8" t="s">
        <v>3099</v>
      </c>
      <c r="F5235" s="12">
        <v>45440</v>
      </c>
      <c r="G5235" s="13">
        <v>5</v>
      </c>
      <c r="H5235" s="13">
        <v>2024</v>
      </c>
      <c r="I5235" s="8" t="s">
        <v>4</v>
      </c>
      <c r="J5235" s="7" t="s">
        <v>5958</v>
      </c>
      <c r="K5235" s="8" t="s">
        <v>3101</v>
      </c>
      <c r="L5235" s="8" t="s">
        <v>3102</v>
      </c>
      <c r="M5235" s="8" t="s">
        <v>1024</v>
      </c>
      <c r="N5235" s="10" t="s">
        <v>4532</v>
      </c>
      <c r="O5235" s="11">
        <v>3780</v>
      </c>
    </row>
    <row r="5236" spans="2:15" x14ac:dyDescent="0.25">
      <c r="B5236" s="1" t="s">
        <v>645</v>
      </c>
      <c r="C5236" s="2" t="s">
        <v>533</v>
      </c>
      <c r="D5236" s="2" t="s">
        <v>1047</v>
      </c>
      <c r="E5236" s="2" t="s">
        <v>2136</v>
      </c>
      <c r="F5236" s="3">
        <v>45441</v>
      </c>
      <c r="G5236" s="4">
        <v>5</v>
      </c>
      <c r="H5236" s="4">
        <v>2024</v>
      </c>
      <c r="I5236" s="2" t="s">
        <v>4</v>
      </c>
      <c r="J5236" s="2" t="s">
        <v>5959</v>
      </c>
      <c r="K5236" s="2" t="s">
        <v>2138</v>
      </c>
      <c r="L5236" s="2" t="s">
        <v>2139</v>
      </c>
      <c r="M5236" s="2" t="s">
        <v>1472</v>
      </c>
      <c r="N5236" s="4" t="s">
        <v>4532</v>
      </c>
      <c r="O5236" s="5">
        <v>250</v>
      </c>
    </row>
    <row r="5237" spans="2:15" x14ac:dyDescent="0.25">
      <c r="B5237" s="1" t="s">
        <v>1050</v>
      </c>
      <c r="C5237" s="2" t="s">
        <v>533</v>
      </c>
      <c r="D5237" s="2" t="s">
        <v>628</v>
      </c>
      <c r="E5237" s="2" t="s">
        <v>2524</v>
      </c>
      <c r="F5237" s="3">
        <v>45426</v>
      </c>
      <c r="G5237" s="4">
        <v>5</v>
      </c>
      <c r="H5237" s="4">
        <v>2024</v>
      </c>
      <c r="I5237" s="2" t="s">
        <v>4</v>
      </c>
      <c r="J5237" s="2" t="s">
        <v>5960</v>
      </c>
      <c r="K5237" s="2" t="s">
        <v>2147</v>
      </c>
      <c r="L5237" s="2" t="s">
        <v>2148</v>
      </c>
      <c r="M5237" s="2" t="s">
        <v>41</v>
      </c>
      <c r="N5237" s="4" t="s">
        <v>4532</v>
      </c>
      <c r="O5237" s="5">
        <v>360</v>
      </c>
    </row>
    <row r="5238" spans="2:15" x14ac:dyDescent="0.25">
      <c r="B5238" s="1" t="s">
        <v>3238</v>
      </c>
      <c r="C5238" s="2" t="s">
        <v>3239</v>
      </c>
      <c r="D5238" s="2" t="s">
        <v>3240</v>
      </c>
      <c r="E5238" s="2" t="s">
        <v>5961</v>
      </c>
      <c r="F5238" s="3">
        <v>45415</v>
      </c>
      <c r="G5238" s="4">
        <v>5</v>
      </c>
      <c r="H5238" s="4">
        <v>2024</v>
      </c>
      <c r="I5238" s="2" t="s">
        <v>4</v>
      </c>
      <c r="J5238" s="2" t="s">
        <v>5962</v>
      </c>
      <c r="K5238" s="2" t="s">
        <v>3925</v>
      </c>
      <c r="L5238" s="2" t="s">
        <v>4264</v>
      </c>
      <c r="M5238" s="2" t="s">
        <v>119</v>
      </c>
      <c r="N5238" s="4" t="s">
        <v>119</v>
      </c>
      <c r="O5238" s="5">
        <v>1.02</v>
      </c>
    </row>
    <row r="5239" spans="2:15" x14ac:dyDescent="0.25">
      <c r="B5239" s="6" t="s">
        <v>3238</v>
      </c>
      <c r="C5239" s="7" t="s">
        <v>3239</v>
      </c>
      <c r="D5239" s="8" t="s">
        <v>3240</v>
      </c>
      <c r="E5239" s="8" t="s">
        <v>5963</v>
      </c>
      <c r="F5239" s="12">
        <v>45415</v>
      </c>
      <c r="G5239" s="13">
        <v>5</v>
      </c>
      <c r="H5239" s="13">
        <v>2024</v>
      </c>
      <c r="I5239" s="8" t="s">
        <v>4</v>
      </c>
      <c r="J5239" s="7" t="s">
        <v>5964</v>
      </c>
      <c r="K5239" s="8" t="s">
        <v>5965</v>
      </c>
      <c r="L5239" s="8" t="s">
        <v>5966</v>
      </c>
      <c r="M5239" s="8" t="s">
        <v>119</v>
      </c>
      <c r="N5239" s="10" t="s">
        <v>119</v>
      </c>
      <c r="O5239" s="11">
        <v>1.3075000000000001</v>
      </c>
    </row>
    <row r="5240" spans="2:15" x14ac:dyDescent="0.25">
      <c r="B5240" s="1" t="s">
        <v>3238</v>
      </c>
      <c r="C5240" s="2" t="s">
        <v>3239</v>
      </c>
      <c r="D5240" s="2" t="s">
        <v>3240</v>
      </c>
      <c r="E5240" s="2" t="s">
        <v>102</v>
      </c>
      <c r="F5240" s="3">
        <v>45420</v>
      </c>
      <c r="G5240" s="4">
        <v>5</v>
      </c>
      <c r="H5240" s="4">
        <v>2024</v>
      </c>
      <c r="I5240" s="2" t="s">
        <v>4</v>
      </c>
      <c r="J5240" s="2" t="s">
        <v>5967</v>
      </c>
      <c r="K5240" s="2" t="s">
        <v>5968</v>
      </c>
      <c r="L5240" s="2" t="s">
        <v>5969</v>
      </c>
      <c r="M5240" s="2" t="s">
        <v>5970</v>
      </c>
      <c r="N5240" s="4" t="s">
        <v>4532</v>
      </c>
      <c r="O5240" s="5">
        <v>60</v>
      </c>
    </row>
    <row r="5241" spans="2:15" x14ac:dyDescent="0.25">
      <c r="B5241" s="1" t="s">
        <v>3238</v>
      </c>
      <c r="C5241" s="2" t="s">
        <v>3239</v>
      </c>
      <c r="D5241" s="2" t="s">
        <v>3240</v>
      </c>
      <c r="E5241" s="2" t="s">
        <v>102</v>
      </c>
      <c r="F5241" s="3">
        <v>45420</v>
      </c>
      <c r="G5241" s="4">
        <v>5</v>
      </c>
      <c r="H5241" s="4">
        <v>2024</v>
      </c>
      <c r="I5241" s="2" t="s">
        <v>4</v>
      </c>
      <c r="J5241" s="2" t="s">
        <v>5967</v>
      </c>
      <c r="K5241" s="2" t="s">
        <v>5971</v>
      </c>
      <c r="L5241" s="2" t="s">
        <v>3515</v>
      </c>
      <c r="M5241" s="2" t="s">
        <v>3516</v>
      </c>
      <c r="N5241" s="4" t="s">
        <v>4532</v>
      </c>
      <c r="O5241" s="5">
        <v>60</v>
      </c>
    </row>
    <row r="5242" spans="2:15" x14ac:dyDescent="0.25">
      <c r="B5242" s="1" t="s">
        <v>3238</v>
      </c>
      <c r="C5242" s="2" t="s">
        <v>3239</v>
      </c>
      <c r="D5242" s="2" t="s">
        <v>3240</v>
      </c>
      <c r="E5242" s="2" t="s">
        <v>102</v>
      </c>
      <c r="F5242" s="3">
        <v>45420</v>
      </c>
      <c r="G5242" s="4">
        <v>5</v>
      </c>
      <c r="H5242" s="4">
        <v>2024</v>
      </c>
      <c r="I5242" s="2" t="s">
        <v>4</v>
      </c>
      <c r="J5242" s="2" t="s">
        <v>5967</v>
      </c>
      <c r="K5242" s="2" t="s">
        <v>2098</v>
      </c>
      <c r="L5242" s="2" t="s">
        <v>5972</v>
      </c>
      <c r="M5242" s="2" t="s">
        <v>2100</v>
      </c>
      <c r="N5242" s="4" t="s">
        <v>4532</v>
      </c>
      <c r="O5242" s="5">
        <v>60</v>
      </c>
    </row>
    <row r="5243" spans="2:15" x14ac:dyDescent="0.25">
      <c r="B5243" s="1" t="s">
        <v>3238</v>
      </c>
      <c r="C5243" s="2" t="s">
        <v>3239</v>
      </c>
      <c r="D5243" s="2" t="s">
        <v>3240</v>
      </c>
      <c r="E5243" s="2" t="s">
        <v>1721</v>
      </c>
      <c r="F5243" s="3">
        <v>45421</v>
      </c>
      <c r="G5243" s="4">
        <v>5</v>
      </c>
      <c r="H5243" s="4">
        <v>2024</v>
      </c>
      <c r="I5243" s="2" t="s">
        <v>4</v>
      </c>
      <c r="J5243" s="2" t="s">
        <v>5973</v>
      </c>
      <c r="K5243" s="2" t="s">
        <v>4253</v>
      </c>
      <c r="L5243" s="2" t="s">
        <v>3526</v>
      </c>
      <c r="M5243" s="2" t="s">
        <v>1000</v>
      </c>
      <c r="N5243" s="4" t="s">
        <v>4532</v>
      </c>
      <c r="O5243" s="5">
        <v>30</v>
      </c>
    </row>
    <row r="5244" spans="2:15" x14ac:dyDescent="0.25">
      <c r="B5244" s="1" t="s">
        <v>3238</v>
      </c>
      <c r="C5244" s="2" t="s">
        <v>3239</v>
      </c>
      <c r="D5244" s="2" t="s">
        <v>3240</v>
      </c>
      <c r="E5244" s="2" t="s">
        <v>5974</v>
      </c>
      <c r="F5244" s="3">
        <v>45421</v>
      </c>
      <c r="G5244" s="4">
        <v>5</v>
      </c>
      <c r="H5244" s="4">
        <v>2024</v>
      </c>
      <c r="I5244" s="2" t="s">
        <v>4</v>
      </c>
      <c r="J5244" s="2" t="s">
        <v>5975</v>
      </c>
      <c r="K5244" s="2" t="s">
        <v>5976</v>
      </c>
      <c r="L5244" s="2" t="s">
        <v>3915</v>
      </c>
      <c r="M5244" s="2" t="s">
        <v>3916</v>
      </c>
      <c r="N5244" s="4" t="s">
        <v>4532</v>
      </c>
      <c r="O5244" s="5">
        <v>275</v>
      </c>
    </row>
    <row r="5245" spans="2:15" x14ac:dyDescent="0.25">
      <c r="B5245" s="1" t="s">
        <v>3238</v>
      </c>
      <c r="C5245" s="2" t="s">
        <v>3239</v>
      </c>
      <c r="D5245" s="2" t="s">
        <v>3240</v>
      </c>
      <c r="E5245" s="2" t="s">
        <v>3902</v>
      </c>
      <c r="F5245" s="3">
        <v>45421</v>
      </c>
      <c r="G5245" s="4">
        <v>5</v>
      </c>
      <c r="H5245" s="4">
        <v>2024</v>
      </c>
      <c r="I5245" s="2" t="s">
        <v>4</v>
      </c>
      <c r="J5245" s="2" t="s">
        <v>5977</v>
      </c>
      <c r="K5245" s="2" t="s">
        <v>3947</v>
      </c>
      <c r="L5245" s="2" t="s">
        <v>5978</v>
      </c>
      <c r="M5245" s="2" t="s">
        <v>3299</v>
      </c>
      <c r="N5245" s="4" t="s">
        <v>4532</v>
      </c>
      <c r="O5245" s="5">
        <v>260</v>
      </c>
    </row>
    <row r="5246" spans="2:15" x14ac:dyDescent="0.25">
      <c r="B5246" s="1" t="s">
        <v>3238</v>
      </c>
      <c r="C5246" s="2" t="s">
        <v>3239</v>
      </c>
      <c r="D5246" s="2" t="s">
        <v>594</v>
      </c>
      <c r="E5246" s="2" t="s">
        <v>102</v>
      </c>
      <c r="F5246" s="3">
        <v>45422</v>
      </c>
      <c r="G5246" s="4">
        <v>5</v>
      </c>
      <c r="H5246" s="4">
        <v>2024</v>
      </c>
      <c r="I5246" s="2" t="s">
        <v>4</v>
      </c>
      <c r="J5246" s="2" t="s">
        <v>5979</v>
      </c>
      <c r="K5246" s="2" t="s">
        <v>551</v>
      </c>
      <c r="L5246" s="2" t="s">
        <v>2426</v>
      </c>
      <c r="M5246" s="2" t="s">
        <v>553</v>
      </c>
      <c r="N5246" s="4" t="s">
        <v>4532</v>
      </c>
      <c r="O5246" s="5">
        <v>2.5</v>
      </c>
    </row>
    <row r="5247" spans="2:15" x14ac:dyDescent="0.25">
      <c r="B5247" s="1" t="s">
        <v>3238</v>
      </c>
      <c r="C5247" s="2" t="s">
        <v>3239</v>
      </c>
      <c r="D5247" s="2" t="s">
        <v>3240</v>
      </c>
      <c r="E5247" s="2" t="s">
        <v>3379</v>
      </c>
      <c r="F5247" s="3">
        <v>45428</v>
      </c>
      <c r="G5247" s="4">
        <v>5</v>
      </c>
      <c r="H5247" s="4">
        <v>2024</v>
      </c>
      <c r="I5247" s="2" t="s">
        <v>4</v>
      </c>
      <c r="J5247" s="2" t="s">
        <v>5980</v>
      </c>
      <c r="K5247" s="2" t="s">
        <v>3653</v>
      </c>
      <c r="L5247" s="2" t="s">
        <v>3654</v>
      </c>
      <c r="M5247" s="2" t="s">
        <v>1071</v>
      </c>
      <c r="N5247" s="4" t="s">
        <v>4532</v>
      </c>
      <c r="O5247" s="5">
        <v>250</v>
      </c>
    </row>
    <row r="5248" spans="2:15" x14ac:dyDescent="0.25">
      <c r="B5248" s="1" t="s">
        <v>3238</v>
      </c>
      <c r="C5248" s="2" t="s">
        <v>3239</v>
      </c>
      <c r="D5248" s="2" t="s">
        <v>3240</v>
      </c>
      <c r="E5248" s="2" t="s">
        <v>102</v>
      </c>
      <c r="F5248" s="3">
        <v>45428</v>
      </c>
      <c r="G5248" s="4">
        <v>5</v>
      </c>
      <c r="H5248" s="4">
        <v>2024</v>
      </c>
      <c r="I5248" s="2" t="s">
        <v>4</v>
      </c>
      <c r="J5248" s="2" t="s">
        <v>5981</v>
      </c>
      <c r="K5248" s="2" t="s">
        <v>5968</v>
      </c>
      <c r="L5248" s="2" t="s">
        <v>5982</v>
      </c>
      <c r="M5248" s="2" t="s">
        <v>5970</v>
      </c>
      <c r="N5248" s="4" t="s">
        <v>4532</v>
      </c>
      <c r="O5248" s="5">
        <v>60</v>
      </c>
    </row>
    <row r="5249" spans="2:15" x14ac:dyDescent="0.25">
      <c r="B5249" s="1" t="s">
        <v>3238</v>
      </c>
      <c r="C5249" s="2" t="s">
        <v>3239</v>
      </c>
      <c r="D5249" s="2" t="s">
        <v>3240</v>
      </c>
      <c r="E5249" s="2" t="s">
        <v>102</v>
      </c>
      <c r="F5249" s="3">
        <v>45428</v>
      </c>
      <c r="G5249" s="4">
        <v>5</v>
      </c>
      <c r="H5249" s="4">
        <v>2024</v>
      </c>
      <c r="I5249" s="2" t="s">
        <v>4</v>
      </c>
      <c r="J5249" s="2" t="s">
        <v>5981</v>
      </c>
      <c r="K5249" s="2" t="s">
        <v>5971</v>
      </c>
      <c r="L5249" s="2" t="s">
        <v>3515</v>
      </c>
      <c r="M5249" s="2" t="s">
        <v>3516</v>
      </c>
      <c r="N5249" s="4" t="s">
        <v>4532</v>
      </c>
      <c r="O5249" s="5">
        <v>60</v>
      </c>
    </row>
    <row r="5250" spans="2:15" x14ac:dyDescent="0.25">
      <c r="B5250" s="1" t="s">
        <v>3238</v>
      </c>
      <c r="C5250" s="2" t="s">
        <v>3239</v>
      </c>
      <c r="D5250" s="2" t="s">
        <v>3240</v>
      </c>
      <c r="E5250" s="2" t="s">
        <v>102</v>
      </c>
      <c r="F5250" s="3">
        <v>45428</v>
      </c>
      <c r="G5250" s="4">
        <v>5</v>
      </c>
      <c r="H5250" s="4">
        <v>2024</v>
      </c>
      <c r="I5250" s="2" t="s">
        <v>4</v>
      </c>
      <c r="J5250" s="2" t="s">
        <v>5981</v>
      </c>
      <c r="K5250" s="2" t="s">
        <v>3941</v>
      </c>
      <c r="L5250" s="2" t="s">
        <v>3911</v>
      </c>
      <c r="M5250" s="2" t="s">
        <v>2100</v>
      </c>
      <c r="N5250" s="4" t="s">
        <v>4532</v>
      </c>
      <c r="O5250" s="5">
        <v>60</v>
      </c>
    </row>
    <row r="5251" spans="2:15" x14ac:dyDescent="0.25">
      <c r="B5251" s="1" t="s">
        <v>3238</v>
      </c>
      <c r="C5251" s="2" t="s">
        <v>3239</v>
      </c>
      <c r="D5251" s="2" t="s">
        <v>3240</v>
      </c>
      <c r="E5251" s="2" t="s">
        <v>102</v>
      </c>
      <c r="F5251" s="3">
        <v>45429</v>
      </c>
      <c r="G5251" s="4">
        <v>5</v>
      </c>
      <c r="H5251" s="4">
        <v>2024</v>
      </c>
      <c r="I5251" s="2" t="s">
        <v>4</v>
      </c>
      <c r="J5251" s="2" t="s">
        <v>5983</v>
      </c>
      <c r="K5251" s="2" t="s">
        <v>3917</v>
      </c>
      <c r="L5251" s="2" t="s">
        <v>3525</v>
      </c>
      <c r="M5251" s="2" t="s">
        <v>1397</v>
      </c>
      <c r="N5251" s="4" t="s">
        <v>4532</v>
      </c>
      <c r="O5251" s="5">
        <v>90</v>
      </c>
    </row>
    <row r="5252" spans="2:15" x14ac:dyDescent="0.25">
      <c r="B5252" s="1" t="s">
        <v>3238</v>
      </c>
      <c r="C5252" s="2" t="s">
        <v>3239</v>
      </c>
      <c r="D5252" s="2" t="s">
        <v>3240</v>
      </c>
      <c r="E5252" s="2" t="s">
        <v>102</v>
      </c>
      <c r="F5252" s="3">
        <v>45429</v>
      </c>
      <c r="G5252" s="4">
        <v>5</v>
      </c>
      <c r="H5252" s="4">
        <v>2024</v>
      </c>
      <c r="I5252" s="2" t="s">
        <v>4</v>
      </c>
      <c r="J5252" s="2" t="s">
        <v>5983</v>
      </c>
      <c r="K5252" s="2" t="s">
        <v>3249</v>
      </c>
      <c r="L5252" s="2" t="s">
        <v>3250</v>
      </c>
      <c r="M5252" s="2" t="s">
        <v>3251</v>
      </c>
      <c r="N5252" s="4" t="s">
        <v>4532</v>
      </c>
      <c r="O5252" s="5">
        <v>90</v>
      </c>
    </row>
    <row r="5253" spans="2:15" x14ac:dyDescent="0.25">
      <c r="B5253" s="1" t="s">
        <v>3238</v>
      </c>
      <c r="C5253" s="2" t="s">
        <v>3239</v>
      </c>
      <c r="D5253" s="2" t="s">
        <v>3240</v>
      </c>
      <c r="E5253" s="2" t="s">
        <v>102</v>
      </c>
      <c r="F5253" s="3">
        <v>45433</v>
      </c>
      <c r="G5253" s="4">
        <v>5</v>
      </c>
      <c r="H5253" s="4">
        <v>2024</v>
      </c>
      <c r="I5253" s="2" t="s">
        <v>4</v>
      </c>
      <c r="J5253" s="2" t="s">
        <v>5984</v>
      </c>
      <c r="K5253" s="2" t="s">
        <v>4257</v>
      </c>
      <c r="L5253" s="2" t="s">
        <v>4258</v>
      </c>
      <c r="M5253" s="2" t="s">
        <v>3251</v>
      </c>
      <c r="N5253" s="4" t="s">
        <v>4532</v>
      </c>
      <c r="O5253" s="5">
        <v>825</v>
      </c>
    </row>
    <row r="5254" spans="2:15" x14ac:dyDescent="0.25">
      <c r="B5254" s="1" t="s">
        <v>3238</v>
      </c>
      <c r="C5254" s="2" t="s">
        <v>3239</v>
      </c>
      <c r="D5254" s="2" t="s">
        <v>3240</v>
      </c>
      <c r="E5254" s="2" t="s">
        <v>5985</v>
      </c>
      <c r="F5254" s="3">
        <v>45436</v>
      </c>
      <c r="G5254" s="4">
        <v>5</v>
      </c>
      <c r="H5254" s="4">
        <v>2024</v>
      </c>
      <c r="I5254" s="2" t="s">
        <v>4</v>
      </c>
      <c r="J5254" s="2" t="s">
        <v>5986</v>
      </c>
      <c r="K5254" s="2" t="s">
        <v>4267</v>
      </c>
      <c r="L5254" s="2" t="s">
        <v>4268</v>
      </c>
      <c r="M5254" s="2" t="s">
        <v>119</v>
      </c>
      <c r="N5254" s="4" t="s">
        <v>119</v>
      </c>
      <c r="O5254" s="5">
        <v>1.2150000000000001</v>
      </c>
    </row>
    <row r="5255" spans="2:15" x14ac:dyDescent="0.25">
      <c r="B5255" s="1" t="s">
        <v>3238</v>
      </c>
      <c r="C5255" s="2" t="s">
        <v>3239</v>
      </c>
      <c r="D5255" s="2" t="s">
        <v>3240</v>
      </c>
      <c r="E5255" s="2" t="s">
        <v>5985</v>
      </c>
      <c r="F5255" s="3">
        <v>45436</v>
      </c>
      <c r="G5255" s="4">
        <v>5</v>
      </c>
      <c r="H5255" s="4">
        <v>2024</v>
      </c>
      <c r="I5255" s="2" t="s">
        <v>4</v>
      </c>
      <c r="J5255" s="2" t="s">
        <v>5987</v>
      </c>
      <c r="K5255" s="2" t="s">
        <v>3514</v>
      </c>
      <c r="L5255" s="2" t="s">
        <v>3515</v>
      </c>
      <c r="M5255" s="2" t="s">
        <v>3516</v>
      </c>
      <c r="N5255" s="4" t="s">
        <v>4532</v>
      </c>
      <c r="O5255" s="5">
        <v>250</v>
      </c>
    </row>
    <row r="5256" spans="2:15" x14ac:dyDescent="0.25">
      <c r="B5256" s="6" t="s">
        <v>3238</v>
      </c>
      <c r="C5256" s="7" t="s">
        <v>3239</v>
      </c>
      <c r="D5256" s="8" t="s">
        <v>3240</v>
      </c>
      <c r="E5256" s="8" t="s">
        <v>3397</v>
      </c>
      <c r="F5256" s="12">
        <v>45436</v>
      </c>
      <c r="G5256" s="13">
        <v>5</v>
      </c>
      <c r="H5256" s="13">
        <v>2024</v>
      </c>
      <c r="I5256" s="8" t="s">
        <v>4</v>
      </c>
      <c r="J5256" s="7" t="s">
        <v>5988</v>
      </c>
      <c r="K5256" s="8" t="s">
        <v>3399</v>
      </c>
      <c r="L5256" s="8" t="s">
        <v>3400</v>
      </c>
      <c r="M5256" s="8" t="s">
        <v>3401</v>
      </c>
      <c r="N5256" s="10" t="s">
        <v>4532</v>
      </c>
      <c r="O5256" s="11">
        <v>250</v>
      </c>
    </row>
    <row r="5257" spans="2:15" x14ac:dyDescent="0.25">
      <c r="B5257" s="1" t="s">
        <v>3238</v>
      </c>
      <c r="C5257" s="2" t="s">
        <v>3239</v>
      </c>
      <c r="D5257" s="2" t="s">
        <v>3240</v>
      </c>
      <c r="E5257" s="2" t="s">
        <v>3397</v>
      </c>
      <c r="F5257" s="3">
        <v>45436</v>
      </c>
      <c r="G5257" s="4">
        <v>5</v>
      </c>
      <c r="H5257" s="4">
        <v>2024</v>
      </c>
      <c r="I5257" s="2" t="s">
        <v>4</v>
      </c>
      <c r="J5257" s="2" t="s">
        <v>5989</v>
      </c>
      <c r="K5257" s="2" t="s">
        <v>3535</v>
      </c>
      <c r="L5257" s="2" t="s">
        <v>3536</v>
      </c>
      <c r="M5257" s="2" t="s">
        <v>2532</v>
      </c>
      <c r="N5257" s="4" t="s">
        <v>4532</v>
      </c>
      <c r="O5257" s="5">
        <v>30</v>
      </c>
    </row>
    <row r="5258" spans="2:15" x14ac:dyDescent="0.25">
      <c r="B5258" s="6" t="s">
        <v>3238</v>
      </c>
      <c r="C5258" s="7" t="s">
        <v>3239</v>
      </c>
      <c r="D5258" s="8" t="s">
        <v>3240</v>
      </c>
      <c r="E5258" s="8" t="s">
        <v>5985</v>
      </c>
      <c r="F5258" s="12">
        <v>45436</v>
      </c>
      <c r="G5258" s="13">
        <v>5</v>
      </c>
      <c r="H5258" s="13">
        <v>2024</v>
      </c>
      <c r="I5258" s="8" t="s">
        <v>4</v>
      </c>
      <c r="J5258" s="7" t="s">
        <v>5990</v>
      </c>
      <c r="K5258" s="8" t="s">
        <v>5991</v>
      </c>
      <c r="L5258" s="8" t="s">
        <v>5992</v>
      </c>
      <c r="M5258" s="8" t="s">
        <v>119</v>
      </c>
      <c r="N5258" s="10" t="s">
        <v>119</v>
      </c>
      <c r="O5258" s="11">
        <v>1.36</v>
      </c>
    </row>
    <row r="5259" spans="2:15" x14ac:dyDescent="0.25">
      <c r="B5259" s="1" t="s">
        <v>3238</v>
      </c>
      <c r="C5259" s="2" t="s">
        <v>3239</v>
      </c>
      <c r="D5259" s="2" t="s">
        <v>3240</v>
      </c>
      <c r="E5259" s="2" t="s">
        <v>102</v>
      </c>
      <c r="F5259" s="3">
        <v>45441</v>
      </c>
      <c r="G5259" s="4">
        <v>5</v>
      </c>
      <c r="H5259" s="4">
        <v>2024</v>
      </c>
      <c r="I5259" s="2" t="s">
        <v>4</v>
      </c>
      <c r="J5259" s="2" t="s">
        <v>5993</v>
      </c>
      <c r="K5259" s="2" t="s">
        <v>5994</v>
      </c>
      <c r="L5259" s="2" t="s">
        <v>5995</v>
      </c>
      <c r="M5259" s="2" t="s">
        <v>5996</v>
      </c>
      <c r="N5259" s="4" t="s">
        <v>4532</v>
      </c>
      <c r="O5259" s="5">
        <v>250</v>
      </c>
    </row>
    <row r="5260" spans="2:15" x14ac:dyDescent="0.25">
      <c r="B5260" s="1" t="s">
        <v>3238</v>
      </c>
      <c r="C5260" s="2" t="s">
        <v>3239</v>
      </c>
      <c r="D5260" s="2" t="s">
        <v>3240</v>
      </c>
      <c r="E5260" s="2" t="s">
        <v>102</v>
      </c>
      <c r="F5260" s="3">
        <v>45441</v>
      </c>
      <c r="G5260" s="4">
        <v>5</v>
      </c>
      <c r="H5260" s="4">
        <v>2024</v>
      </c>
      <c r="I5260" s="2" t="s">
        <v>4</v>
      </c>
      <c r="J5260" s="2" t="s">
        <v>5997</v>
      </c>
      <c r="K5260" s="2" t="s">
        <v>5998</v>
      </c>
      <c r="L5260" s="2" t="s">
        <v>4258</v>
      </c>
      <c r="M5260" s="2" t="s">
        <v>3251</v>
      </c>
      <c r="N5260" s="4" t="s">
        <v>4532</v>
      </c>
      <c r="O5260" s="5">
        <v>60</v>
      </c>
    </row>
    <row r="5261" spans="2:15" x14ac:dyDescent="0.25">
      <c r="B5261" s="1" t="s">
        <v>3238</v>
      </c>
      <c r="C5261" s="2" t="s">
        <v>3239</v>
      </c>
      <c r="D5261" s="2" t="s">
        <v>3240</v>
      </c>
      <c r="E5261" s="2" t="s">
        <v>102</v>
      </c>
      <c r="F5261" s="3">
        <v>45441</v>
      </c>
      <c r="G5261" s="4">
        <v>5</v>
      </c>
      <c r="H5261" s="4">
        <v>2024</v>
      </c>
      <c r="I5261" s="2" t="s">
        <v>4</v>
      </c>
      <c r="J5261" s="2" t="s">
        <v>5997</v>
      </c>
      <c r="K5261" s="2" t="s">
        <v>3941</v>
      </c>
      <c r="L5261" s="2" t="s">
        <v>3911</v>
      </c>
      <c r="M5261" s="2" t="s">
        <v>2100</v>
      </c>
      <c r="N5261" s="4" t="s">
        <v>4532</v>
      </c>
      <c r="O5261" s="5">
        <v>60</v>
      </c>
    </row>
    <row r="5262" spans="2:15" x14ac:dyDescent="0.25">
      <c r="B5262" s="6" t="s">
        <v>3238</v>
      </c>
      <c r="C5262" s="7" t="s">
        <v>3239</v>
      </c>
      <c r="D5262" s="8" t="s">
        <v>3240</v>
      </c>
      <c r="E5262" s="8" t="s">
        <v>102</v>
      </c>
      <c r="F5262" s="12">
        <v>45441</v>
      </c>
      <c r="G5262" s="13">
        <v>5</v>
      </c>
      <c r="H5262" s="13">
        <v>2024</v>
      </c>
      <c r="I5262" s="8" t="s">
        <v>4</v>
      </c>
      <c r="J5262" s="7" t="s">
        <v>5997</v>
      </c>
      <c r="K5262" s="8" t="s">
        <v>3510</v>
      </c>
      <c r="L5262" s="8" t="s">
        <v>3400</v>
      </c>
      <c r="M5262" s="8" t="s">
        <v>3401</v>
      </c>
      <c r="N5262" s="10" t="s">
        <v>4532</v>
      </c>
      <c r="O5262" s="11">
        <v>60</v>
      </c>
    </row>
    <row r="5263" spans="2:15" x14ac:dyDescent="0.25">
      <c r="B5263" s="6" t="s">
        <v>3238</v>
      </c>
      <c r="C5263" s="7" t="s">
        <v>3239</v>
      </c>
      <c r="D5263" s="8" t="s">
        <v>3240</v>
      </c>
      <c r="E5263" s="8" t="s">
        <v>102</v>
      </c>
      <c r="F5263" s="12">
        <v>45441</v>
      </c>
      <c r="G5263" s="13">
        <v>5</v>
      </c>
      <c r="H5263" s="13">
        <v>2024</v>
      </c>
      <c r="I5263" s="8" t="s">
        <v>4</v>
      </c>
      <c r="J5263" s="7" t="s">
        <v>5999</v>
      </c>
      <c r="K5263" s="8" t="s">
        <v>3497</v>
      </c>
      <c r="L5263" s="8" t="s">
        <v>3498</v>
      </c>
      <c r="M5263" s="8" t="s">
        <v>556</v>
      </c>
      <c r="N5263" s="10" t="s">
        <v>4532</v>
      </c>
      <c r="O5263" s="11">
        <v>1000</v>
      </c>
    </row>
    <row r="5264" spans="2:15" x14ac:dyDescent="0.25">
      <c r="B5264" s="1" t="s">
        <v>3238</v>
      </c>
      <c r="C5264" s="2" t="s">
        <v>3239</v>
      </c>
      <c r="D5264" s="2" t="s">
        <v>3240</v>
      </c>
      <c r="E5264" s="2" t="s">
        <v>102</v>
      </c>
      <c r="F5264" s="3">
        <v>45443</v>
      </c>
      <c r="G5264" s="4">
        <v>5</v>
      </c>
      <c r="H5264" s="4">
        <v>2024</v>
      </c>
      <c r="I5264" s="2" t="s">
        <v>4</v>
      </c>
      <c r="J5264" s="2" t="s">
        <v>6000</v>
      </c>
      <c r="K5264" s="2" t="s">
        <v>5129</v>
      </c>
      <c r="L5264" s="2" t="s">
        <v>3654</v>
      </c>
      <c r="M5264" s="2" t="s">
        <v>1071</v>
      </c>
      <c r="N5264" s="4" t="s">
        <v>4532</v>
      </c>
      <c r="O5264" s="5">
        <v>25</v>
      </c>
    </row>
    <row r="5265" spans="2:15" x14ac:dyDescent="0.25">
      <c r="B5265" s="1" t="s">
        <v>3238</v>
      </c>
      <c r="C5265" s="2" t="s">
        <v>3239</v>
      </c>
      <c r="D5265" s="2" t="s">
        <v>3240</v>
      </c>
      <c r="E5265" s="2" t="s">
        <v>102</v>
      </c>
      <c r="F5265" s="3">
        <v>45443</v>
      </c>
      <c r="G5265" s="4">
        <v>5</v>
      </c>
      <c r="H5265" s="4">
        <v>2024</v>
      </c>
      <c r="I5265" s="2" t="s">
        <v>4</v>
      </c>
      <c r="J5265" s="2" t="s">
        <v>6000</v>
      </c>
      <c r="K5265" s="2" t="s">
        <v>5998</v>
      </c>
      <c r="L5265" s="2" t="s">
        <v>4258</v>
      </c>
      <c r="M5265" s="2" t="s">
        <v>3251</v>
      </c>
      <c r="N5265" s="4" t="s">
        <v>4532</v>
      </c>
      <c r="O5265" s="5">
        <v>20</v>
      </c>
    </row>
    <row r="5266" spans="2:15" x14ac:dyDescent="0.25">
      <c r="B5266" s="16" t="s">
        <v>0</v>
      </c>
      <c r="C5266" s="17" t="s">
        <v>1</v>
      </c>
      <c r="D5266" s="17" t="s">
        <v>2</v>
      </c>
      <c r="E5266" s="17" t="s">
        <v>3</v>
      </c>
      <c r="F5266" s="18">
        <f>DATE(2024,6,3)</f>
        <v>45446</v>
      </c>
      <c r="G5266" s="4">
        <f t="shared" ref="G5266:G5329" si="446">+MONTH(F5266)</f>
        <v>6</v>
      </c>
      <c r="H5266" s="4">
        <f t="shared" ref="H5266:H5329" si="447">+YEAR(F5266)</f>
        <v>2024</v>
      </c>
      <c r="I5266" s="2" t="s">
        <v>4</v>
      </c>
      <c r="J5266" s="2" t="s">
        <v>6001</v>
      </c>
      <c r="K5266" s="2" t="s">
        <v>11</v>
      </c>
      <c r="L5266" s="2" t="s">
        <v>12</v>
      </c>
      <c r="M5266" s="2" t="s">
        <v>13</v>
      </c>
      <c r="N5266" s="4" t="str">
        <f t="shared" ref="N5266:N5329" si="448">LEFT(M5266,3)</f>
        <v>GAL</v>
      </c>
      <c r="O5266" s="5">
        <v>55</v>
      </c>
    </row>
    <row r="5267" spans="2:15" x14ac:dyDescent="0.25">
      <c r="B5267" s="1" t="s">
        <v>0</v>
      </c>
      <c r="C5267" s="2" t="s">
        <v>1</v>
      </c>
      <c r="D5267" s="2" t="s">
        <v>2</v>
      </c>
      <c r="E5267" s="2" t="s">
        <v>3</v>
      </c>
      <c r="F5267" s="3">
        <f>DATE(2024,6,3)</f>
        <v>45446</v>
      </c>
      <c r="G5267" s="4">
        <f t="shared" si="446"/>
        <v>6</v>
      </c>
      <c r="H5267" s="4">
        <f t="shared" si="447"/>
        <v>2024</v>
      </c>
      <c r="I5267" s="2" t="s">
        <v>4</v>
      </c>
      <c r="J5267" s="2" t="s">
        <v>6001</v>
      </c>
      <c r="K5267" s="2" t="s">
        <v>22</v>
      </c>
      <c r="L5267" s="2" t="s">
        <v>23</v>
      </c>
      <c r="M5267" s="2" t="s">
        <v>24</v>
      </c>
      <c r="N5267" s="4" t="str">
        <f t="shared" si="448"/>
        <v>GAL</v>
      </c>
      <c r="O5267" s="5">
        <v>20</v>
      </c>
    </row>
    <row r="5268" spans="2:15" x14ac:dyDescent="0.25">
      <c r="B5268" s="1" t="s">
        <v>0</v>
      </c>
      <c r="C5268" s="2" t="s">
        <v>1</v>
      </c>
      <c r="D5268" s="2" t="s">
        <v>2</v>
      </c>
      <c r="E5268" s="2" t="s">
        <v>3</v>
      </c>
      <c r="F5268" s="3">
        <f>DATE(2024,6,3)</f>
        <v>45446</v>
      </c>
      <c r="G5268" s="4">
        <f t="shared" si="446"/>
        <v>6</v>
      </c>
      <c r="H5268" s="4">
        <f t="shared" si="447"/>
        <v>2024</v>
      </c>
      <c r="I5268" s="2" t="s">
        <v>4</v>
      </c>
      <c r="J5268" s="2" t="s">
        <v>6001</v>
      </c>
      <c r="K5268" s="2" t="s">
        <v>25</v>
      </c>
      <c r="L5268" s="2" t="s">
        <v>26</v>
      </c>
      <c r="M5268" s="2" t="s">
        <v>27</v>
      </c>
      <c r="N5268" s="4" t="str">
        <f t="shared" si="448"/>
        <v>GAL</v>
      </c>
      <c r="O5268" s="5">
        <v>10</v>
      </c>
    </row>
    <row r="5269" spans="2:15" x14ac:dyDescent="0.25">
      <c r="B5269" s="1" t="s">
        <v>0</v>
      </c>
      <c r="C5269" s="2" t="s">
        <v>1</v>
      </c>
      <c r="D5269" s="2" t="s">
        <v>2</v>
      </c>
      <c r="E5269" s="2" t="s">
        <v>6002</v>
      </c>
      <c r="F5269" s="3">
        <f>DATE(2024,6,4)</f>
        <v>45447</v>
      </c>
      <c r="G5269" s="4">
        <f t="shared" si="446"/>
        <v>6</v>
      </c>
      <c r="H5269" s="4">
        <f t="shared" si="447"/>
        <v>2024</v>
      </c>
      <c r="I5269" s="2" t="s">
        <v>4</v>
      </c>
      <c r="J5269" s="2" t="s">
        <v>6003</v>
      </c>
      <c r="K5269" s="2" t="s">
        <v>19</v>
      </c>
      <c r="L5269" s="2" t="s">
        <v>20</v>
      </c>
      <c r="M5269" s="2" t="s">
        <v>21</v>
      </c>
      <c r="N5269" s="4" t="str">
        <f t="shared" si="448"/>
        <v>GAL</v>
      </c>
      <c r="O5269" s="5">
        <v>15</v>
      </c>
    </row>
    <row r="5270" spans="2:15" x14ac:dyDescent="0.25">
      <c r="B5270" s="1" t="s">
        <v>0</v>
      </c>
      <c r="C5270" s="2" t="s">
        <v>1</v>
      </c>
      <c r="D5270" s="2" t="s">
        <v>2</v>
      </c>
      <c r="E5270" s="2" t="s">
        <v>6002</v>
      </c>
      <c r="F5270" s="3">
        <f>DATE(2024,6,4)</f>
        <v>45447</v>
      </c>
      <c r="G5270" s="4">
        <f t="shared" si="446"/>
        <v>6</v>
      </c>
      <c r="H5270" s="4">
        <f t="shared" si="447"/>
        <v>2024</v>
      </c>
      <c r="I5270" s="2" t="s">
        <v>4</v>
      </c>
      <c r="J5270" s="2" t="s">
        <v>6003</v>
      </c>
      <c r="K5270" s="2" t="s">
        <v>25</v>
      </c>
      <c r="L5270" s="2" t="s">
        <v>26</v>
      </c>
      <c r="M5270" s="2" t="s">
        <v>27</v>
      </c>
      <c r="N5270" s="4" t="str">
        <f t="shared" si="448"/>
        <v>GAL</v>
      </c>
      <c r="O5270" s="5">
        <v>15</v>
      </c>
    </row>
    <row r="5271" spans="2:15" x14ac:dyDescent="0.25">
      <c r="B5271" s="1" t="s">
        <v>0</v>
      </c>
      <c r="C5271" s="2" t="s">
        <v>1</v>
      </c>
      <c r="D5271" s="2" t="s">
        <v>2</v>
      </c>
      <c r="E5271" s="2" t="s">
        <v>6002</v>
      </c>
      <c r="F5271" s="3">
        <f>DATE(2024,6,4)</f>
        <v>45447</v>
      </c>
      <c r="G5271" s="4">
        <f t="shared" si="446"/>
        <v>6</v>
      </c>
      <c r="H5271" s="4">
        <f t="shared" si="447"/>
        <v>2024</v>
      </c>
      <c r="I5271" s="2" t="s">
        <v>4</v>
      </c>
      <c r="J5271" s="2" t="s">
        <v>6003</v>
      </c>
      <c r="K5271" s="2" t="s">
        <v>28</v>
      </c>
      <c r="L5271" s="2" t="s">
        <v>29</v>
      </c>
      <c r="M5271" s="2" t="s">
        <v>30</v>
      </c>
      <c r="N5271" s="4" t="str">
        <f t="shared" si="448"/>
        <v>GAL</v>
      </c>
      <c r="O5271" s="5">
        <v>15</v>
      </c>
    </row>
    <row r="5272" spans="2:15" x14ac:dyDescent="0.25">
      <c r="B5272" s="1" t="s">
        <v>0</v>
      </c>
      <c r="C5272" s="2" t="s">
        <v>1</v>
      </c>
      <c r="D5272" s="2" t="s">
        <v>2</v>
      </c>
      <c r="E5272" s="2" t="s">
        <v>6002</v>
      </c>
      <c r="F5272" s="3">
        <f>DATE(2024,6,4)</f>
        <v>45447</v>
      </c>
      <c r="G5272" s="4">
        <f t="shared" si="446"/>
        <v>6</v>
      </c>
      <c r="H5272" s="4">
        <f t="shared" si="447"/>
        <v>2024</v>
      </c>
      <c r="I5272" s="2" t="s">
        <v>4</v>
      </c>
      <c r="J5272" s="2" t="s">
        <v>6003</v>
      </c>
      <c r="K5272" s="2" t="s">
        <v>16</v>
      </c>
      <c r="L5272" s="2" t="s">
        <v>7</v>
      </c>
      <c r="M5272" s="2" t="s">
        <v>8</v>
      </c>
      <c r="N5272" s="4" t="str">
        <f t="shared" si="448"/>
        <v>GAL</v>
      </c>
      <c r="O5272" s="5">
        <v>10</v>
      </c>
    </row>
    <row r="5273" spans="2:15" x14ac:dyDescent="0.25">
      <c r="B5273" s="1" t="s">
        <v>0</v>
      </c>
      <c r="C5273" s="2" t="s">
        <v>1</v>
      </c>
      <c r="D5273" s="2" t="s">
        <v>2</v>
      </c>
      <c r="E5273" s="2" t="s">
        <v>3541</v>
      </c>
      <c r="F5273" s="3">
        <f>DATE(2024,6,4)</f>
        <v>45447</v>
      </c>
      <c r="G5273" s="4">
        <f t="shared" si="446"/>
        <v>6</v>
      </c>
      <c r="H5273" s="4">
        <f t="shared" si="447"/>
        <v>2024</v>
      </c>
      <c r="I5273" s="2" t="s">
        <v>4</v>
      </c>
      <c r="J5273" s="2" t="s">
        <v>6004</v>
      </c>
      <c r="K5273" s="2" t="s">
        <v>11</v>
      </c>
      <c r="L5273" s="2" t="s">
        <v>12</v>
      </c>
      <c r="M5273" s="2" t="s">
        <v>13</v>
      </c>
      <c r="N5273" s="4" t="str">
        <f t="shared" si="448"/>
        <v>GAL</v>
      </c>
      <c r="O5273" s="5">
        <v>110</v>
      </c>
    </row>
    <row r="5274" spans="2:15" x14ac:dyDescent="0.25">
      <c r="B5274" s="1" t="s">
        <v>0</v>
      </c>
      <c r="C5274" s="2" t="s">
        <v>1</v>
      </c>
      <c r="D5274" s="2" t="s">
        <v>2</v>
      </c>
      <c r="E5274" s="2" t="s">
        <v>1432</v>
      </c>
      <c r="F5274" s="3">
        <f>DATE(2024,6,14)</f>
        <v>45457</v>
      </c>
      <c r="G5274" s="4">
        <f t="shared" si="446"/>
        <v>6</v>
      </c>
      <c r="H5274" s="4">
        <f t="shared" si="447"/>
        <v>2024</v>
      </c>
      <c r="I5274" s="2" t="s">
        <v>4</v>
      </c>
      <c r="J5274" s="2" t="s">
        <v>6005</v>
      </c>
      <c r="K5274" s="2" t="s">
        <v>19</v>
      </c>
      <c r="L5274" s="2" t="s">
        <v>6006</v>
      </c>
      <c r="M5274" s="2" t="s">
        <v>21</v>
      </c>
      <c r="N5274" s="4" t="str">
        <f t="shared" si="448"/>
        <v>GAL</v>
      </c>
      <c r="O5274" s="5">
        <v>40</v>
      </c>
    </row>
    <row r="5275" spans="2:15" x14ac:dyDescent="0.25">
      <c r="B5275" s="1" t="s">
        <v>0</v>
      </c>
      <c r="C5275" s="2" t="s">
        <v>1</v>
      </c>
      <c r="D5275" s="2" t="s">
        <v>2</v>
      </c>
      <c r="E5275" s="2" t="s">
        <v>1432</v>
      </c>
      <c r="F5275" s="3">
        <f>DATE(2024,6,14)</f>
        <v>45457</v>
      </c>
      <c r="G5275" s="4">
        <f t="shared" si="446"/>
        <v>6</v>
      </c>
      <c r="H5275" s="4">
        <f t="shared" si="447"/>
        <v>2024</v>
      </c>
      <c r="I5275" s="2" t="s">
        <v>4</v>
      </c>
      <c r="J5275" s="2" t="s">
        <v>6005</v>
      </c>
      <c r="K5275" s="2" t="s">
        <v>25</v>
      </c>
      <c r="L5275" s="2" t="s">
        <v>26</v>
      </c>
      <c r="M5275" s="2" t="s">
        <v>27</v>
      </c>
      <c r="N5275" s="4" t="str">
        <f t="shared" si="448"/>
        <v>GAL</v>
      </c>
      <c r="O5275" s="5">
        <v>40</v>
      </c>
    </row>
    <row r="5276" spans="2:15" x14ac:dyDescent="0.25">
      <c r="B5276" s="1" t="s">
        <v>0</v>
      </c>
      <c r="C5276" s="2" t="s">
        <v>1</v>
      </c>
      <c r="D5276" s="2" t="s">
        <v>2</v>
      </c>
      <c r="E5276" s="2" t="s">
        <v>1432</v>
      </c>
      <c r="F5276" s="3">
        <f>DATE(2024,6,14)</f>
        <v>45457</v>
      </c>
      <c r="G5276" s="4">
        <f t="shared" si="446"/>
        <v>6</v>
      </c>
      <c r="H5276" s="4">
        <f t="shared" si="447"/>
        <v>2024</v>
      </c>
      <c r="I5276" s="2" t="s">
        <v>4</v>
      </c>
      <c r="J5276" s="2" t="s">
        <v>6005</v>
      </c>
      <c r="K5276" s="2" t="s">
        <v>28</v>
      </c>
      <c r="L5276" s="2" t="s">
        <v>29</v>
      </c>
      <c r="M5276" s="2" t="s">
        <v>30</v>
      </c>
      <c r="N5276" s="4" t="str">
        <f t="shared" si="448"/>
        <v>GAL</v>
      </c>
      <c r="O5276" s="5">
        <v>40</v>
      </c>
    </row>
    <row r="5277" spans="2:15" x14ac:dyDescent="0.25">
      <c r="B5277" s="1" t="s">
        <v>0</v>
      </c>
      <c r="C5277" s="2" t="s">
        <v>1</v>
      </c>
      <c r="D5277" s="2" t="s">
        <v>2</v>
      </c>
      <c r="E5277" s="2" t="s">
        <v>1432</v>
      </c>
      <c r="F5277" s="3">
        <f>DATE(2024,6,14)</f>
        <v>45457</v>
      </c>
      <c r="G5277" s="4">
        <f t="shared" si="446"/>
        <v>6</v>
      </c>
      <c r="H5277" s="4">
        <f t="shared" si="447"/>
        <v>2024</v>
      </c>
      <c r="I5277" s="2" t="s">
        <v>4</v>
      </c>
      <c r="J5277" s="2" t="s">
        <v>6005</v>
      </c>
      <c r="K5277" s="2" t="s">
        <v>16</v>
      </c>
      <c r="L5277" s="2" t="s">
        <v>7</v>
      </c>
      <c r="M5277" s="2" t="s">
        <v>8</v>
      </c>
      <c r="N5277" s="4" t="str">
        <f t="shared" si="448"/>
        <v>GAL</v>
      </c>
      <c r="O5277" s="5">
        <v>40</v>
      </c>
    </row>
    <row r="5278" spans="2:15" x14ac:dyDescent="0.25">
      <c r="B5278" s="1" t="s">
        <v>0</v>
      </c>
      <c r="C5278" s="2" t="s">
        <v>1</v>
      </c>
      <c r="D5278" s="2" t="s">
        <v>2</v>
      </c>
      <c r="E5278" s="2" t="s">
        <v>1784</v>
      </c>
      <c r="F5278" s="3">
        <f>DATE(2024,6,21)</f>
        <v>45464</v>
      </c>
      <c r="G5278" s="4">
        <f t="shared" si="446"/>
        <v>6</v>
      </c>
      <c r="H5278" s="4">
        <f t="shared" si="447"/>
        <v>2024</v>
      </c>
      <c r="I5278" s="2" t="s">
        <v>4</v>
      </c>
      <c r="J5278" s="2" t="s">
        <v>6007</v>
      </c>
      <c r="K5278" s="2" t="s">
        <v>1786</v>
      </c>
      <c r="L5278" s="2" t="s">
        <v>84</v>
      </c>
      <c r="M5278" s="2" t="s">
        <v>85</v>
      </c>
      <c r="N5278" s="4" t="str">
        <f t="shared" si="448"/>
        <v>GAL</v>
      </c>
      <c r="O5278" s="5">
        <v>55</v>
      </c>
    </row>
    <row r="5279" spans="2:15" x14ac:dyDescent="0.25">
      <c r="B5279" s="1" t="s">
        <v>0</v>
      </c>
      <c r="C5279" s="2" t="s">
        <v>1</v>
      </c>
      <c r="D5279" s="2" t="s">
        <v>2</v>
      </c>
      <c r="E5279" s="2" t="s">
        <v>1784</v>
      </c>
      <c r="F5279" s="3">
        <f>DATE(2024,6,21)</f>
        <v>45464</v>
      </c>
      <c r="G5279" s="4">
        <f t="shared" si="446"/>
        <v>6</v>
      </c>
      <c r="H5279" s="4">
        <f t="shared" si="447"/>
        <v>2024</v>
      </c>
      <c r="I5279" s="2" t="s">
        <v>4</v>
      </c>
      <c r="J5279" s="2" t="s">
        <v>6007</v>
      </c>
      <c r="K5279" s="2" t="s">
        <v>28</v>
      </c>
      <c r="L5279" s="2" t="s">
        <v>29</v>
      </c>
      <c r="M5279" s="2" t="s">
        <v>30</v>
      </c>
      <c r="N5279" s="4" t="str">
        <f t="shared" si="448"/>
        <v>GAL</v>
      </c>
      <c r="O5279" s="5">
        <v>30</v>
      </c>
    </row>
    <row r="5280" spans="2:15" x14ac:dyDescent="0.25">
      <c r="B5280" s="1" t="s">
        <v>0</v>
      </c>
      <c r="C5280" s="2" t="s">
        <v>1</v>
      </c>
      <c r="D5280" s="2" t="s">
        <v>2</v>
      </c>
      <c r="E5280" s="2" t="s">
        <v>1784</v>
      </c>
      <c r="F5280" s="3">
        <f>DATE(2024,6,21)</f>
        <v>45464</v>
      </c>
      <c r="G5280" s="4">
        <f t="shared" si="446"/>
        <v>6</v>
      </c>
      <c r="H5280" s="4">
        <f t="shared" si="447"/>
        <v>2024</v>
      </c>
      <c r="I5280" s="2" t="s">
        <v>4</v>
      </c>
      <c r="J5280" s="2" t="s">
        <v>6007</v>
      </c>
      <c r="K5280" s="2" t="s">
        <v>6</v>
      </c>
      <c r="L5280" s="2" t="s">
        <v>7</v>
      </c>
      <c r="M5280" s="2" t="s">
        <v>8</v>
      </c>
      <c r="N5280" s="4" t="str">
        <f t="shared" si="448"/>
        <v>GAL</v>
      </c>
      <c r="O5280" s="5">
        <v>55</v>
      </c>
    </row>
    <row r="5281" spans="2:15" x14ac:dyDescent="0.25">
      <c r="B5281" s="1" t="s">
        <v>0</v>
      </c>
      <c r="C5281" s="2" t="s">
        <v>1</v>
      </c>
      <c r="D5281" s="2" t="s">
        <v>2</v>
      </c>
      <c r="E5281" s="2" t="s">
        <v>1432</v>
      </c>
      <c r="F5281" s="3">
        <f t="shared" ref="F5281:F5287" si="449">DATE(2024,6,27)</f>
        <v>45470</v>
      </c>
      <c r="G5281" s="4">
        <f t="shared" si="446"/>
        <v>6</v>
      </c>
      <c r="H5281" s="4">
        <f t="shared" si="447"/>
        <v>2024</v>
      </c>
      <c r="I5281" s="2" t="s">
        <v>4</v>
      </c>
      <c r="J5281" s="2" t="s">
        <v>6008</v>
      </c>
      <c r="K5281" s="2" t="s">
        <v>566</v>
      </c>
      <c r="L5281" s="2" t="s">
        <v>20</v>
      </c>
      <c r="M5281" s="2" t="s">
        <v>21</v>
      </c>
      <c r="N5281" s="4" t="str">
        <f t="shared" si="448"/>
        <v>GAL</v>
      </c>
      <c r="O5281" s="5">
        <v>55</v>
      </c>
    </row>
    <row r="5282" spans="2:15" x14ac:dyDescent="0.25">
      <c r="B5282" s="1" t="s">
        <v>0</v>
      </c>
      <c r="C5282" s="2" t="s">
        <v>1</v>
      </c>
      <c r="D5282" s="2" t="s">
        <v>2</v>
      </c>
      <c r="E5282" s="2" t="s">
        <v>1432</v>
      </c>
      <c r="F5282" s="3">
        <f t="shared" si="449"/>
        <v>45470</v>
      </c>
      <c r="G5282" s="4">
        <f t="shared" si="446"/>
        <v>6</v>
      </c>
      <c r="H5282" s="4">
        <f t="shared" si="447"/>
        <v>2024</v>
      </c>
      <c r="I5282" s="2" t="s">
        <v>4</v>
      </c>
      <c r="J5282" s="2" t="s">
        <v>6008</v>
      </c>
      <c r="K5282" s="2" t="s">
        <v>4540</v>
      </c>
      <c r="L5282" s="2" t="s">
        <v>81</v>
      </c>
      <c r="M5282" s="2" t="s">
        <v>82</v>
      </c>
      <c r="N5282" s="4" t="str">
        <f t="shared" si="448"/>
        <v>GAL</v>
      </c>
      <c r="O5282" s="5">
        <v>55</v>
      </c>
    </row>
    <row r="5283" spans="2:15" x14ac:dyDescent="0.25">
      <c r="B5283" s="1" t="s">
        <v>0</v>
      </c>
      <c r="C5283" s="2" t="s">
        <v>1</v>
      </c>
      <c r="D5283" s="2" t="s">
        <v>2</v>
      </c>
      <c r="E5283" s="2" t="s">
        <v>1432</v>
      </c>
      <c r="F5283" s="3">
        <f t="shared" si="449"/>
        <v>45470</v>
      </c>
      <c r="G5283" s="4">
        <f t="shared" si="446"/>
        <v>6</v>
      </c>
      <c r="H5283" s="4">
        <f t="shared" si="447"/>
        <v>2024</v>
      </c>
      <c r="I5283" s="2" t="s">
        <v>4</v>
      </c>
      <c r="J5283" s="2" t="s">
        <v>6008</v>
      </c>
      <c r="K5283" s="2" t="s">
        <v>549</v>
      </c>
      <c r="L5283" s="2" t="s">
        <v>51</v>
      </c>
      <c r="M5283" s="2" t="s">
        <v>52</v>
      </c>
      <c r="N5283" s="4" t="str">
        <f t="shared" si="448"/>
        <v>GAL</v>
      </c>
      <c r="O5283" s="5">
        <v>55</v>
      </c>
    </row>
    <row r="5284" spans="2:15" x14ac:dyDescent="0.25">
      <c r="B5284" s="1" t="s">
        <v>0</v>
      </c>
      <c r="C5284" s="2" t="s">
        <v>1</v>
      </c>
      <c r="D5284" s="2" t="s">
        <v>2</v>
      </c>
      <c r="E5284" s="2" t="s">
        <v>3952</v>
      </c>
      <c r="F5284" s="3">
        <f t="shared" si="449"/>
        <v>45470</v>
      </c>
      <c r="G5284" s="4">
        <f t="shared" si="446"/>
        <v>6</v>
      </c>
      <c r="H5284" s="4">
        <f t="shared" si="447"/>
        <v>2024</v>
      </c>
      <c r="I5284" s="2" t="s">
        <v>4</v>
      </c>
      <c r="J5284" s="2" t="s">
        <v>6009</v>
      </c>
      <c r="K5284" s="2" t="s">
        <v>25</v>
      </c>
      <c r="L5284" s="2" t="s">
        <v>26</v>
      </c>
      <c r="M5284" s="2" t="s">
        <v>27</v>
      </c>
      <c r="N5284" s="4" t="str">
        <f t="shared" si="448"/>
        <v>GAL</v>
      </c>
      <c r="O5284" s="5">
        <v>25</v>
      </c>
    </row>
    <row r="5285" spans="2:15" x14ac:dyDescent="0.25">
      <c r="B5285" s="1" t="s">
        <v>0</v>
      </c>
      <c r="C5285" s="2" t="s">
        <v>1</v>
      </c>
      <c r="D5285" s="2" t="s">
        <v>2</v>
      </c>
      <c r="E5285" s="2" t="s">
        <v>3952</v>
      </c>
      <c r="F5285" s="3">
        <f t="shared" si="449"/>
        <v>45470</v>
      </c>
      <c r="G5285" s="4">
        <f t="shared" si="446"/>
        <v>6</v>
      </c>
      <c r="H5285" s="4">
        <f t="shared" si="447"/>
        <v>2024</v>
      </c>
      <c r="I5285" s="2" t="s">
        <v>4</v>
      </c>
      <c r="J5285" s="2" t="s">
        <v>6009</v>
      </c>
      <c r="K5285" s="2" t="s">
        <v>83</v>
      </c>
      <c r="L5285" s="2" t="s">
        <v>84</v>
      </c>
      <c r="M5285" s="2" t="s">
        <v>85</v>
      </c>
      <c r="N5285" s="4" t="str">
        <f t="shared" si="448"/>
        <v>GAL</v>
      </c>
      <c r="O5285" s="5">
        <v>15</v>
      </c>
    </row>
    <row r="5286" spans="2:15" x14ac:dyDescent="0.25">
      <c r="B5286" s="1" t="s">
        <v>0</v>
      </c>
      <c r="C5286" s="2" t="s">
        <v>1</v>
      </c>
      <c r="D5286" s="2" t="s">
        <v>2</v>
      </c>
      <c r="E5286" s="2" t="s">
        <v>3952</v>
      </c>
      <c r="F5286" s="3">
        <f t="shared" si="449"/>
        <v>45470</v>
      </c>
      <c r="G5286" s="4">
        <f t="shared" si="446"/>
        <v>6</v>
      </c>
      <c r="H5286" s="4">
        <f t="shared" si="447"/>
        <v>2024</v>
      </c>
      <c r="I5286" s="2" t="s">
        <v>4</v>
      </c>
      <c r="J5286" s="2" t="s">
        <v>6009</v>
      </c>
      <c r="K5286" s="2" t="s">
        <v>28</v>
      </c>
      <c r="L5286" s="2" t="s">
        <v>29</v>
      </c>
      <c r="M5286" s="2" t="s">
        <v>30</v>
      </c>
      <c r="N5286" s="4" t="str">
        <f t="shared" si="448"/>
        <v>GAL</v>
      </c>
      <c r="O5286" s="5">
        <v>15</v>
      </c>
    </row>
    <row r="5287" spans="2:15" x14ac:dyDescent="0.25">
      <c r="B5287" s="1" t="s">
        <v>0</v>
      </c>
      <c r="C5287" s="2" t="s">
        <v>1</v>
      </c>
      <c r="D5287" s="2" t="s">
        <v>2</v>
      </c>
      <c r="E5287" s="2" t="s">
        <v>3952</v>
      </c>
      <c r="F5287" s="3">
        <f t="shared" si="449"/>
        <v>45470</v>
      </c>
      <c r="G5287" s="4">
        <f t="shared" si="446"/>
        <v>6</v>
      </c>
      <c r="H5287" s="4">
        <f t="shared" si="447"/>
        <v>2024</v>
      </c>
      <c r="I5287" s="2" t="s">
        <v>4</v>
      </c>
      <c r="J5287" s="2" t="s">
        <v>6009</v>
      </c>
      <c r="K5287" s="2" t="s">
        <v>16</v>
      </c>
      <c r="L5287" s="2" t="s">
        <v>7</v>
      </c>
      <c r="M5287" s="2" t="s">
        <v>8</v>
      </c>
      <c r="N5287" s="4" t="str">
        <f t="shared" si="448"/>
        <v>GAL</v>
      </c>
      <c r="O5287" s="5">
        <v>25</v>
      </c>
    </row>
    <row r="5288" spans="2:15" x14ac:dyDescent="0.25">
      <c r="B5288" s="1" t="s">
        <v>88</v>
      </c>
      <c r="C5288" s="2" t="s">
        <v>89</v>
      </c>
      <c r="D5288" s="2" t="s">
        <v>1444</v>
      </c>
      <c r="E5288" s="2" t="s">
        <v>102</v>
      </c>
      <c r="F5288" s="3">
        <f>DATE(2024,6,5)</f>
        <v>45448</v>
      </c>
      <c r="G5288" s="4">
        <f t="shared" si="446"/>
        <v>6</v>
      </c>
      <c r="H5288" s="4">
        <f t="shared" si="447"/>
        <v>2024</v>
      </c>
      <c r="I5288" s="2" t="s">
        <v>4</v>
      </c>
      <c r="J5288" s="2" t="s">
        <v>6010</v>
      </c>
      <c r="K5288" s="2" t="s">
        <v>1446</v>
      </c>
      <c r="L5288" s="2" t="s">
        <v>2581</v>
      </c>
      <c r="M5288" s="2" t="s">
        <v>1448</v>
      </c>
      <c r="N5288" s="4" t="str">
        <f t="shared" si="448"/>
        <v>GAL</v>
      </c>
      <c r="O5288" s="5">
        <v>360</v>
      </c>
    </row>
    <row r="5289" spans="2:15" x14ac:dyDescent="0.25">
      <c r="B5289" s="1" t="s">
        <v>88</v>
      </c>
      <c r="C5289" s="2" t="s">
        <v>89</v>
      </c>
      <c r="D5289" s="2" t="s">
        <v>90</v>
      </c>
      <c r="E5289" s="2" t="s">
        <v>91</v>
      </c>
      <c r="F5289" s="3">
        <f>DATE(2024,6,10)</f>
        <v>45453</v>
      </c>
      <c r="G5289" s="4">
        <f t="shared" si="446"/>
        <v>6</v>
      </c>
      <c r="H5289" s="4">
        <f t="shared" si="447"/>
        <v>2024</v>
      </c>
      <c r="I5289" s="2" t="s">
        <v>4</v>
      </c>
      <c r="J5289" s="2" t="s">
        <v>6011</v>
      </c>
      <c r="K5289" s="2" t="s">
        <v>19</v>
      </c>
      <c r="L5289" s="2" t="s">
        <v>565</v>
      </c>
      <c r="M5289" s="2" t="s">
        <v>21</v>
      </c>
      <c r="N5289" s="4" t="str">
        <f t="shared" si="448"/>
        <v>GAL</v>
      </c>
      <c r="O5289" s="5">
        <v>50</v>
      </c>
    </row>
    <row r="5290" spans="2:15" x14ac:dyDescent="0.25">
      <c r="B5290" s="1" t="s">
        <v>88</v>
      </c>
      <c r="C5290" s="2" t="s">
        <v>89</v>
      </c>
      <c r="D5290" s="2" t="s">
        <v>90</v>
      </c>
      <c r="E5290" s="2" t="s">
        <v>91</v>
      </c>
      <c r="F5290" s="3">
        <f>DATE(2024,6,10)</f>
        <v>45453</v>
      </c>
      <c r="G5290" s="4">
        <f t="shared" si="446"/>
        <v>6</v>
      </c>
      <c r="H5290" s="4">
        <f t="shared" si="447"/>
        <v>2024</v>
      </c>
      <c r="I5290" s="2" t="s">
        <v>4</v>
      </c>
      <c r="J5290" s="2" t="s">
        <v>6011</v>
      </c>
      <c r="K5290" s="2" t="s">
        <v>1085</v>
      </c>
      <c r="L5290" s="2" t="s">
        <v>999</v>
      </c>
      <c r="M5290" s="2" t="s">
        <v>1000</v>
      </c>
      <c r="N5290" s="4" t="str">
        <f t="shared" si="448"/>
        <v>GAL</v>
      </c>
      <c r="O5290" s="5">
        <v>5</v>
      </c>
    </row>
    <row r="5291" spans="2:15" x14ac:dyDescent="0.25">
      <c r="B5291" s="1" t="s">
        <v>88</v>
      </c>
      <c r="C5291" s="2" t="s">
        <v>89</v>
      </c>
      <c r="D5291" s="2" t="s">
        <v>1444</v>
      </c>
      <c r="E5291" s="2" t="s">
        <v>102</v>
      </c>
      <c r="F5291" s="3">
        <f>DATE(2024,6,10)</f>
        <v>45453</v>
      </c>
      <c r="G5291" s="4">
        <f t="shared" si="446"/>
        <v>6</v>
      </c>
      <c r="H5291" s="4">
        <f t="shared" si="447"/>
        <v>2024</v>
      </c>
      <c r="I5291" s="2" t="s">
        <v>4</v>
      </c>
      <c r="J5291" s="2" t="s">
        <v>6012</v>
      </c>
      <c r="K5291" s="2" t="s">
        <v>1446</v>
      </c>
      <c r="L5291" s="2" t="s">
        <v>2581</v>
      </c>
      <c r="M5291" s="2" t="s">
        <v>1448</v>
      </c>
      <c r="N5291" s="4" t="str">
        <f t="shared" si="448"/>
        <v>GAL</v>
      </c>
      <c r="O5291" s="5">
        <v>360</v>
      </c>
    </row>
    <row r="5292" spans="2:15" x14ac:dyDescent="0.25">
      <c r="B5292" s="1" t="s">
        <v>88</v>
      </c>
      <c r="C5292" s="2" t="s">
        <v>89</v>
      </c>
      <c r="D5292" s="2" t="s">
        <v>1444</v>
      </c>
      <c r="E5292" s="2" t="s">
        <v>2864</v>
      </c>
      <c r="F5292" s="3">
        <f>DATE(2024,6,13)</f>
        <v>45456</v>
      </c>
      <c r="G5292" s="4">
        <f t="shared" si="446"/>
        <v>6</v>
      </c>
      <c r="H5292" s="4">
        <f t="shared" si="447"/>
        <v>2024</v>
      </c>
      <c r="I5292" s="2" t="s">
        <v>4</v>
      </c>
      <c r="J5292" s="2" t="s">
        <v>6013</v>
      </c>
      <c r="K5292" s="2" t="s">
        <v>1446</v>
      </c>
      <c r="L5292" s="2" t="s">
        <v>2581</v>
      </c>
      <c r="M5292" s="2" t="s">
        <v>1448</v>
      </c>
      <c r="N5292" s="4" t="str">
        <f t="shared" si="448"/>
        <v>GAL</v>
      </c>
      <c r="O5292" s="5">
        <v>360</v>
      </c>
    </row>
    <row r="5293" spans="2:15" x14ac:dyDescent="0.25">
      <c r="B5293" s="1" t="s">
        <v>88</v>
      </c>
      <c r="C5293" s="2" t="s">
        <v>89</v>
      </c>
      <c r="D5293" s="2" t="s">
        <v>3265</v>
      </c>
      <c r="E5293" s="2" t="s">
        <v>3266</v>
      </c>
      <c r="F5293" s="3">
        <f>DATE(2024,6,13)</f>
        <v>45456</v>
      </c>
      <c r="G5293" s="4">
        <f t="shared" si="446"/>
        <v>6</v>
      </c>
      <c r="H5293" s="4">
        <f t="shared" si="447"/>
        <v>2024</v>
      </c>
      <c r="I5293" s="2" t="s">
        <v>4</v>
      </c>
      <c r="J5293" s="2" t="s">
        <v>6014</v>
      </c>
      <c r="K5293" s="2" t="s">
        <v>3268</v>
      </c>
      <c r="L5293" s="2" t="s">
        <v>3269</v>
      </c>
      <c r="M5293" s="2" t="s">
        <v>2576</v>
      </c>
      <c r="N5293" s="4" t="str">
        <f t="shared" si="448"/>
        <v>GAL</v>
      </c>
      <c r="O5293" s="5">
        <v>150</v>
      </c>
    </row>
    <row r="5294" spans="2:15" x14ac:dyDescent="0.25">
      <c r="B5294" s="1" t="s">
        <v>88</v>
      </c>
      <c r="C5294" s="2" t="s">
        <v>89</v>
      </c>
      <c r="D5294" s="2" t="s">
        <v>167</v>
      </c>
      <c r="E5294" s="2" t="s">
        <v>168</v>
      </c>
      <c r="F5294" s="3">
        <f>DATE(2024,6,13)</f>
        <v>45456</v>
      </c>
      <c r="G5294" s="4">
        <f t="shared" si="446"/>
        <v>6</v>
      </c>
      <c r="H5294" s="4">
        <f t="shared" si="447"/>
        <v>2024</v>
      </c>
      <c r="I5294" s="2" t="s">
        <v>4</v>
      </c>
      <c r="J5294" s="2" t="s">
        <v>6015</v>
      </c>
      <c r="K5294" s="2" t="s">
        <v>2629</v>
      </c>
      <c r="L5294" s="2" t="s">
        <v>2630</v>
      </c>
      <c r="M5294" s="2" t="s">
        <v>2631</v>
      </c>
      <c r="N5294" s="4" t="str">
        <f t="shared" si="448"/>
        <v>GAL</v>
      </c>
      <c r="O5294" s="5">
        <v>70</v>
      </c>
    </row>
    <row r="5295" spans="2:15" x14ac:dyDescent="0.25">
      <c r="B5295" s="1" t="s">
        <v>88</v>
      </c>
      <c r="C5295" s="2" t="s">
        <v>89</v>
      </c>
      <c r="D5295" s="2" t="s">
        <v>3265</v>
      </c>
      <c r="E5295" s="2" t="s">
        <v>3266</v>
      </c>
      <c r="F5295" s="3">
        <f>DATE(2024,6,20)</f>
        <v>45463</v>
      </c>
      <c r="G5295" s="4">
        <f t="shared" si="446"/>
        <v>6</v>
      </c>
      <c r="H5295" s="4">
        <f t="shared" si="447"/>
        <v>2024</v>
      </c>
      <c r="I5295" s="2" t="s">
        <v>4</v>
      </c>
      <c r="J5295" s="2" t="s">
        <v>6016</v>
      </c>
      <c r="K5295" s="2" t="s">
        <v>3362</v>
      </c>
      <c r="L5295" s="2" t="s">
        <v>3363</v>
      </c>
      <c r="M5295" s="2" t="s">
        <v>3364</v>
      </c>
      <c r="N5295" s="4" t="str">
        <f t="shared" si="448"/>
        <v>GAL</v>
      </c>
      <c r="O5295" s="5">
        <v>150</v>
      </c>
    </row>
    <row r="5296" spans="2:15" x14ac:dyDescent="0.25">
      <c r="B5296" s="1" t="s">
        <v>88</v>
      </c>
      <c r="C5296" s="2" t="s">
        <v>89</v>
      </c>
      <c r="D5296" s="2" t="s">
        <v>3265</v>
      </c>
      <c r="E5296" s="2" t="s">
        <v>3266</v>
      </c>
      <c r="F5296" s="3">
        <f>DATE(2024,6,20)</f>
        <v>45463</v>
      </c>
      <c r="G5296" s="4">
        <f t="shared" si="446"/>
        <v>6</v>
      </c>
      <c r="H5296" s="4">
        <f t="shared" si="447"/>
        <v>2024</v>
      </c>
      <c r="I5296" s="2" t="s">
        <v>4</v>
      </c>
      <c r="J5296" s="2" t="s">
        <v>6016</v>
      </c>
      <c r="K5296" s="2" t="s">
        <v>3365</v>
      </c>
      <c r="L5296" s="2" t="s">
        <v>3366</v>
      </c>
      <c r="M5296" s="2" t="s">
        <v>3367</v>
      </c>
      <c r="N5296" s="4" t="str">
        <f t="shared" si="448"/>
        <v>GAL</v>
      </c>
      <c r="O5296" s="5">
        <v>150</v>
      </c>
    </row>
    <row r="5297" spans="2:15" x14ac:dyDescent="0.25">
      <c r="B5297" s="1" t="s">
        <v>88</v>
      </c>
      <c r="C5297" s="2" t="s">
        <v>89</v>
      </c>
      <c r="D5297" s="2" t="s">
        <v>140</v>
      </c>
      <c r="E5297" s="2" t="s">
        <v>141</v>
      </c>
      <c r="F5297" s="3">
        <f>DATE(2024,6,25)</f>
        <v>45468</v>
      </c>
      <c r="G5297" s="4">
        <f t="shared" si="446"/>
        <v>6</v>
      </c>
      <c r="H5297" s="4">
        <f t="shared" si="447"/>
        <v>2024</v>
      </c>
      <c r="I5297" s="2" t="s">
        <v>4</v>
      </c>
      <c r="J5297" s="2" t="s">
        <v>6017</v>
      </c>
      <c r="K5297" s="2" t="s">
        <v>1464</v>
      </c>
      <c r="L5297" s="2" t="s">
        <v>1465</v>
      </c>
      <c r="M5297" s="2" t="s">
        <v>1466</v>
      </c>
      <c r="N5297" s="4" t="str">
        <f t="shared" si="448"/>
        <v>GAL</v>
      </c>
      <c r="O5297" s="5">
        <v>250</v>
      </c>
    </row>
    <row r="5298" spans="2:15" x14ac:dyDescent="0.25">
      <c r="B5298" s="1" t="s">
        <v>88</v>
      </c>
      <c r="C5298" s="2" t="s">
        <v>89</v>
      </c>
      <c r="D5298" s="2" t="s">
        <v>90</v>
      </c>
      <c r="E5298" s="2" t="s">
        <v>91</v>
      </c>
      <c r="F5298" s="3">
        <f>DATE(2024,6,26)</f>
        <v>45469</v>
      </c>
      <c r="G5298" s="4">
        <f t="shared" si="446"/>
        <v>6</v>
      </c>
      <c r="H5298" s="4">
        <f t="shared" si="447"/>
        <v>2024</v>
      </c>
      <c r="I5298" s="2" t="s">
        <v>4</v>
      </c>
      <c r="J5298" s="2" t="s">
        <v>6018</v>
      </c>
      <c r="K5298" s="2" t="s">
        <v>2519</v>
      </c>
      <c r="L5298" s="2" t="s">
        <v>550</v>
      </c>
      <c r="M5298" s="2" t="s">
        <v>52</v>
      </c>
      <c r="N5298" s="4" t="str">
        <f t="shared" si="448"/>
        <v>GAL</v>
      </c>
      <c r="O5298" s="5">
        <v>250</v>
      </c>
    </row>
    <row r="5299" spans="2:15" x14ac:dyDescent="0.25">
      <c r="B5299" s="1" t="s">
        <v>88</v>
      </c>
      <c r="C5299" s="2" t="s">
        <v>89</v>
      </c>
      <c r="D5299" s="2" t="s">
        <v>6019</v>
      </c>
      <c r="E5299" s="2" t="s">
        <v>6020</v>
      </c>
      <c r="F5299" s="3">
        <f>DATE(2024,6,26)</f>
        <v>45469</v>
      </c>
      <c r="G5299" s="4">
        <f t="shared" si="446"/>
        <v>6</v>
      </c>
      <c r="H5299" s="4">
        <f t="shared" si="447"/>
        <v>2024</v>
      </c>
      <c r="I5299" s="2" t="s">
        <v>4</v>
      </c>
      <c r="J5299" s="2" t="s">
        <v>6021</v>
      </c>
      <c r="K5299" s="2" t="s">
        <v>2629</v>
      </c>
      <c r="L5299" s="2" t="s">
        <v>2630</v>
      </c>
      <c r="M5299" s="2" t="s">
        <v>2631</v>
      </c>
      <c r="N5299" s="4" t="str">
        <f t="shared" si="448"/>
        <v>GAL</v>
      </c>
      <c r="O5299" s="5">
        <v>70</v>
      </c>
    </row>
    <row r="5300" spans="2:15" x14ac:dyDescent="0.25">
      <c r="B5300" s="1" t="s">
        <v>88</v>
      </c>
      <c r="C5300" s="2" t="s">
        <v>89</v>
      </c>
      <c r="D5300" s="2" t="s">
        <v>616</v>
      </c>
      <c r="E5300" s="2" t="s">
        <v>3586</v>
      </c>
      <c r="F5300" s="3">
        <f>DATE(2024,6,27)</f>
        <v>45470</v>
      </c>
      <c r="G5300" s="4">
        <f t="shared" si="446"/>
        <v>6</v>
      </c>
      <c r="H5300" s="4">
        <f t="shared" si="447"/>
        <v>2024</v>
      </c>
      <c r="I5300" s="2" t="s">
        <v>4</v>
      </c>
      <c r="J5300" s="2" t="s">
        <v>6022</v>
      </c>
      <c r="K5300" s="2" t="s">
        <v>19</v>
      </c>
      <c r="L5300" s="2" t="s">
        <v>565</v>
      </c>
      <c r="M5300" s="2" t="s">
        <v>21</v>
      </c>
      <c r="N5300" s="4" t="str">
        <f t="shared" si="448"/>
        <v>GAL</v>
      </c>
      <c r="O5300" s="5">
        <v>150</v>
      </c>
    </row>
    <row r="5301" spans="2:15" x14ac:dyDescent="0.25">
      <c r="B5301" s="1" t="s">
        <v>88</v>
      </c>
      <c r="C5301" s="2" t="s">
        <v>89</v>
      </c>
      <c r="D5301" s="2" t="s">
        <v>1111</v>
      </c>
      <c r="E5301" s="2" t="s">
        <v>1112</v>
      </c>
      <c r="F5301" s="3">
        <f>DATE(2024,6,28)</f>
        <v>45471</v>
      </c>
      <c r="G5301" s="4">
        <f t="shared" si="446"/>
        <v>6</v>
      </c>
      <c r="H5301" s="4">
        <f t="shared" si="447"/>
        <v>2024</v>
      </c>
      <c r="I5301" s="2" t="s">
        <v>4</v>
      </c>
      <c r="J5301" s="2" t="s">
        <v>6023</v>
      </c>
      <c r="K5301" s="2" t="s">
        <v>2629</v>
      </c>
      <c r="L5301" s="2" t="s">
        <v>2630</v>
      </c>
      <c r="M5301" s="2" t="s">
        <v>2631</v>
      </c>
      <c r="N5301" s="4" t="str">
        <f t="shared" si="448"/>
        <v>GAL</v>
      </c>
      <c r="O5301" s="5">
        <v>70</v>
      </c>
    </row>
    <row r="5302" spans="2:15" x14ac:dyDescent="0.25">
      <c r="B5302" s="1" t="s">
        <v>154</v>
      </c>
      <c r="C5302" s="2" t="s">
        <v>155</v>
      </c>
      <c r="D5302" s="2" t="s">
        <v>616</v>
      </c>
      <c r="E5302" s="2" t="s">
        <v>3586</v>
      </c>
      <c r="F5302" s="3">
        <f>DATE(2024,6,6)</f>
        <v>45449</v>
      </c>
      <c r="G5302" s="4">
        <f t="shared" si="446"/>
        <v>6</v>
      </c>
      <c r="H5302" s="4">
        <f t="shared" si="447"/>
        <v>2024</v>
      </c>
      <c r="I5302" s="2" t="s">
        <v>4</v>
      </c>
      <c r="J5302" s="2" t="s">
        <v>6024</v>
      </c>
      <c r="K5302" s="2" t="s">
        <v>83</v>
      </c>
      <c r="L5302" s="2" t="s">
        <v>518</v>
      </c>
      <c r="M5302" s="2" t="s">
        <v>85</v>
      </c>
      <c r="N5302" s="4" t="str">
        <f t="shared" si="448"/>
        <v>GAL</v>
      </c>
      <c r="O5302" s="5">
        <v>50</v>
      </c>
    </row>
    <row r="5303" spans="2:15" x14ac:dyDescent="0.25">
      <c r="B5303" s="1" t="s">
        <v>154</v>
      </c>
      <c r="C5303" s="2" t="s">
        <v>155</v>
      </c>
      <c r="D5303" s="2" t="s">
        <v>5173</v>
      </c>
      <c r="E5303" s="2" t="s">
        <v>5174</v>
      </c>
      <c r="F5303" s="3">
        <f>DATE(2024,6,7)</f>
        <v>45450</v>
      </c>
      <c r="G5303" s="4">
        <f t="shared" si="446"/>
        <v>6</v>
      </c>
      <c r="H5303" s="4">
        <f t="shared" si="447"/>
        <v>2024</v>
      </c>
      <c r="I5303" s="2" t="s">
        <v>4</v>
      </c>
      <c r="J5303" s="2" t="s">
        <v>6025</v>
      </c>
      <c r="K5303" s="2" t="s">
        <v>6026</v>
      </c>
      <c r="L5303" s="2" t="s">
        <v>6027</v>
      </c>
      <c r="M5303" s="2" t="s">
        <v>119</v>
      </c>
      <c r="N5303" s="4" t="str">
        <f t="shared" si="448"/>
        <v>TON</v>
      </c>
      <c r="O5303" s="5">
        <v>5</v>
      </c>
    </row>
    <row r="5304" spans="2:15" x14ac:dyDescent="0.25">
      <c r="B5304" s="1" t="s">
        <v>154</v>
      </c>
      <c r="C5304" s="2" t="s">
        <v>155</v>
      </c>
      <c r="D5304" s="2" t="s">
        <v>1838</v>
      </c>
      <c r="E5304" s="2" t="s">
        <v>1839</v>
      </c>
      <c r="F5304" s="3">
        <f>DATE(2024,6,11)</f>
        <v>45454</v>
      </c>
      <c r="G5304" s="4">
        <f t="shared" si="446"/>
        <v>6</v>
      </c>
      <c r="H5304" s="4">
        <f t="shared" si="447"/>
        <v>2024</v>
      </c>
      <c r="I5304" s="2" t="s">
        <v>4</v>
      </c>
      <c r="J5304" s="2" t="s">
        <v>6028</v>
      </c>
      <c r="K5304" s="2" t="s">
        <v>171</v>
      </c>
      <c r="L5304" s="2" t="s">
        <v>6029</v>
      </c>
      <c r="M5304" s="2" t="s">
        <v>27</v>
      </c>
      <c r="N5304" s="4" t="str">
        <f t="shared" si="448"/>
        <v>GAL</v>
      </c>
      <c r="O5304" s="5">
        <v>720</v>
      </c>
    </row>
    <row r="5305" spans="2:15" x14ac:dyDescent="0.25">
      <c r="B5305" s="1" t="s">
        <v>154</v>
      </c>
      <c r="C5305" s="2" t="s">
        <v>155</v>
      </c>
      <c r="D5305" s="2" t="s">
        <v>616</v>
      </c>
      <c r="E5305" s="2" t="s">
        <v>3586</v>
      </c>
      <c r="F5305" s="3">
        <f>DATE(2024,6,12)</f>
        <v>45455</v>
      </c>
      <c r="G5305" s="4">
        <f t="shared" si="446"/>
        <v>6</v>
      </c>
      <c r="H5305" s="4">
        <f t="shared" si="447"/>
        <v>2024</v>
      </c>
      <c r="I5305" s="2" t="s">
        <v>4</v>
      </c>
      <c r="J5305" s="2" t="s">
        <v>6030</v>
      </c>
      <c r="K5305" s="2" t="s">
        <v>619</v>
      </c>
      <c r="L5305" s="2" t="s">
        <v>620</v>
      </c>
      <c r="M5305" s="2" t="s">
        <v>621</v>
      </c>
      <c r="N5305" s="4" t="str">
        <f t="shared" si="448"/>
        <v>GAL</v>
      </c>
      <c r="O5305" s="5">
        <v>50</v>
      </c>
    </row>
    <row r="5306" spans="2:15" x14ac:dyDescent="0.25">
      <c r="B5306" s="1" t="s">
        <v>154</v>
      </c>
      <c r="C5306" s="2" t="s">
        <v>155</v>
      </c>
      <c r="D5306" s="2" t="s">
        <v>1111</v>
      </c>
      <c r="E5306" s="2" t="s">
        <v>1112</v>
      </c>
      <c r="F5306" s="3">
        <f>DATE(2024,6,14)</f>
        <v>45457</v>
      </c>
      <c r="G5306" s="4">
        <f t="shared" si="446"/>
        <v>6</v>
      </c>
      <c r="H5306" s="4">
        <f t="shared" si="447"/>
        <v>2024</v>
      </c>
      <c r="I5306" s="2" t="s">
        <v>4</v>
      </c>
      <c r="J5306" s="2" t="s">
        <v>6031</v>
      </c>
      <c r="K5306" s="2" t="s">
        <v>171</v>
      </c>
      <c r="L5306" s="2" t="s">
        <v>172</v>
      </c>
      <c r="M5306" s="2" t="s">
        <v>27</v>
      </c>
      <c r="N5306" s="4" t="str">
        <f t="shared" si="448"/>
        <v>GAL</v>
      </c>
      <c r="O5306" s="5">
        <v>360</v>
      </c>
    </row>
    <row r="5307" spans="2:15" x14ac:dyDescent="0.25">
      <c r="B5307" s="1" t="s">
        <v>154</v>
      </c>
      <c r="C5307" s="2" t="s">
        <v>155</v>
      </c>
      <c r="D5307" s="2" t="s">
        <v>161</v>
      </c>
      <c r="E5307" s="2" t="s">
        <v>162</v>
      </c>
      <c r="F5307" s="3">
        <f>DATE(2024,6,14)</f>
        <v>45457</v>
      </c>
      <c r="G5307" s="4">
        <f t="shared" si="446"/>
        <v>6</v>
      </c>
      <c r="H5307" s="4">
        <f t="shared" si="447"/>
        <v>2024</v>
      </c>
      <c r="I5307" s="2" t="s">
        <v>4</v>
      </c>
      <c r="J5307" s="2" t="s">
        <v>6032</v>
      </c>
      <c r="K5307" s="2" t="s">
        <v>164</v>
      </c>
      <c r="L5307" s="2" t="s">
        <v>165</v>
      </c>
      <c r="M5307" s="2" t="s">
        <v>166</v>
      </c>
      <c r="N5307" s="4" t="str">
        <f t="shared" si="448"/>
        <v>GAL</v>
      </c>
      <c r="O5307" s="5">
        <v>180</v>
      </c>
    </row>
    <row r="5308" spans="2:15" x14ac:dyDescent="0.25">
      <c r="B5308" s="1" t="s">
        <v>154</v>
      </c>
      <c r="C5308" s="2" t="s">
        <v>155</v>
      </c>
      <c r="D5308" s="2" t="s">
        <v>161</v>
      </c>
      <c r="E5308" s="2" t="s">
        <v>162</v>
      </c>
      <c r="F5308" s="3">
        <f>DATE(2024,6,17)</f>
        <v>45460</v>
      </c>
      <c r="G5308" s="4">
        <f t="shared" si="446"/>
        <v>6</v>
      </c>
      <c r="H5308" s="4">
        <f t="shared" si="447"/>
        <v>2024</v>
      </c>
      <c r="I5308" s="2" t="s">
        <v>4</v>
      </c>
      <c r="J5308" s="2" t="s">
        <v>6033</v>
      </c>
      <c r="K5308" s="2" t="s">
        <v>171</v>
      </c>
      <c r="L5308" s="2" t="s">
        <v>172</v>
      </c>
      <c r="M5308" s="2" t="s">
        <v>27</v>
      </c>
      <c r="N5308" s="4" t="str">
        <f t="shared" si="448"/>
        <v>GAL</v>
      </c>
      <c r="O5308" s="5">
        <v>180</v>
      </c>
    </row>
    <row r="5309" spans="2:15" x14ac:dyDescent="0.25">
      <c r="B5309" s="1" t="s">
        <v>154</v>
      </c>
      <c r="C5309" s="2" t="s">
        <v>155</v>
      </c>
      <c r="D5309" s="2" t="s">
        <v>178</v>
      </c>
      <c r="E5309" s="2" t="s">
        <v>179</v>
      </c>
      <c r="F5309" s="3">
        <f>DATE(2024,6,18)</f>
        <v>45461</v>
      </c>
      <c r="G5309" s="4">
        <f t="shared" si="446"/>
        <v>6</v>
      </c>
      <c r="H5309" s="4">
        <f t="shared" si="447"/>
        <v>2024</v>
      </c>
      <c r="I5309" s="2" t="s">
        <v>4</v>
      </c>
      <c r="J5309" s="2" t="s">
        <v>6034</v>
      </c>
      <c r="K5309" s="2" t="s">
        <v>6035</v>
      </c>
      <c r="L5309" s="2" t="s">
        <v>165</v>
      </c>
      <c r="M5309" s="2" t="s">
        <v>166</v>
      </c>
      <c r="N5309" s="4" t="str">
        <f t="shared" si="448"/>
        <v>GAL</v>
      </c>
      <c r="O5309" s="5">
        <v>220</v>
      </c>
    </row>
    <row r="5310" spans="2:15" x14ac:dyDescent="0.25">
      <c r="B5310" s="1" t="s">
        <v>154</v>
      </c>
      <c r="C5310" s="2" t="s">
        <v>155</v>
      </c>
      <c r="D5310" s="2" t="s">
        <v>161</v>
      </c>
      <c r="E5310" s="2" t="s">
        <v>162</v>
      </c>
      <c r="F5310" s="3">
        <f>DATE(2024,6,18)</f>
        <v>45461</v>
      </c>
      <c r="G5310" s="4">
        <f t="shared" si="446"/>
        <v>6</v>
      </c>
      <c r="H5310" s="4">
        <f t="shared" si="447"/>
        <v>2024</v>
      </c>
      <c r="I5310" s="2" t="s">
        <v>4</v>
      </c>
      <c r="J5310" s="2" t="s">
        <v>6036</v>
      </c>
      <c r="K5310" s="2" t="s">
        <v>1814</v>
      </c>
      <c r="L5310" s="2" t="s">
        <v>1815</v>
      </c>
      <c r="M5310" s="2" t="s">
        <v>1816</v>
      </c>
      <c r="N5310" s="4" t="str">
        <f t="shared" si="448"/>
        <v>GAL</v>
      </c>
      <c r="O5310" s="5">
        <v>360</v>
      </c>
    </row>
    <row r="5311" spans="2:15" x14ac:dyDescent="0.25">
      <c r="B5311" s="1" t="s">
        <v>154</v>
      </c>
      <c r="C5311" s="2" t="s">
        <v>155</v>
      </c>
      <c r="D5311" s="2" t="s">
        <v>173</v>
      </c>
      <c r="E5311" s="2" t="s">
        <v>174</v>
      </c>
      <c r="F5311" s="3">
        <f>DATE(2024,6,18)</f>
        <v>45461</v>
      </c>
      <c r="G5311" s="4">
        <f t="shared" si="446"/>
        <v>6</v>
      </c>
      <c r="H5311" s="4">
        <f t="shared" si="447"/>
        <v>2024</v>
      </c>
      <c r="I5311" s="2" t="s">
        <v>4</v>
      </c>
      <c r="J5311" s="2" t="s">
        <v>6037</v>
      </c>
      <c r="K5311" s="2" t="s">
        <v>1814</v>
      </c>
      <c r="L5311" s="2" t="s">
        <v>1815</v>
      </c>
      <c r="M5311" s="2" t="s">
        <v>1816</v>
      </c>
      <c r="N5311" s="4" t="str">
        <f t="shared" si="448"/>
        <v>GAL</v>
      </c>
      <c r="O5311" s="5">
        <v>540</v>
      </c>
    </row>
    <row r="5312" spans="2:15" x14ac:dyDescent="0.25">
      <c r="B5312" s="1" t="s">
        <v>154</v>
      </c>
      <c r="C5312" s="2" t="s">
        <v>155</v>
      </c>
      <c r="D5312" s="2" t="s">
        <v>591</v>
      </c>
      <c r="E5312" s="2" t="s">
        <v>592</v>
      </c>
      <c r="F5312" s="3">
        <f>DATE(2024,6,21)</f>
        <v>45464</v>
      </c>
      <c r="G5312" s="4">
        <f t="shared" si="446"/>
        <v>6</v>
      </c>
      <c r="H5312" s="4">
        <f t="shared" si="447"/>
        <v>2024</v>
      </c>
      <c r="I5312" s="2" t="s">
        <v>4</v>
      </c>
      <c r="J5312" s="2" t="s">
        <v>6038</v>
      </c>
      <c r="K5312" s="2" t="s">
        <v>1098</v>
      </c>
      <c r="L5312" s="2" t="s">
        <v>632</v>
      </c>
      <c r="M5312" s="2" t="s">
        <v>633</v>
      </c>
      <c r="N5312" s="4" t="str">
        <f t="shared" si="448"/>
        <v>GAL</v>
      </c>
      <c r="O5312" s="5">
        <v>1926</v>
      </c>
    </row>
    <row r="5313" spans="2:15" x14ac:dyDescent="0.25">
      <c r="B5313" s="1" t="s">
        <v>154</v>
      </c>
      <c r="C5313" s="2" t="s">
        <v>155</v>
      </c>
      <c r="D5313" s="2" t="s">
        <v>161</v>
      </c>
      <c r="E5313" s="2" t="s">
        <v>162</v>
      </c>
      <c r="F5313" s="3">
        <f>DATE(2024,6,24)</f>
        <v>45467</v>
      </c>
      <c r="G5313" s="4">
        <f t="shared" si="446"/>
        <v>6</v>
      </c>
      <c r="H5313" s="4">
        <f t="shared" si="447"/>
        <v>2024</v>
      </c>
      <c r="I5313" s="2" t="s">
        <v>4</v>
      </c>
      <c r="J5313" s="2" t="s">
        <v>6039</v>
      </c>
      <c r="K5313" s="2" t="s">
        <v>171</v>
      </c>
      <c r="L5313" s="2" t="s">
        <v>172</v>
      </c>
      <c r="M5313" s="2" t="s">
        <v>27</v>
      </c>
      <c r="N5313" s="4" t="str">
        <f t="shared" si="448"/>
        <v>GAL</v>
      </c>
      <c r="O5313" s="5">
        <v>360</v>
      </c>
    </row>
    <row r="5314" spans="2:15" x14ac:dyDescent="0.25">
      <c r="B5314" s="1" t="s">
        <v>154</v>
      </c>
      <c r="C5314" s="2" t="s">
        <v>155</v>
      </c>
      <c r="D5314" s="2" t="s">
        <v>167</v>
      </c>
      <c r="E5314" s="2" t="s">
        <v>168</v>
      </c>
      <c r="F5314" s="3">
        <f>DATE(2024,6,25)</f>
        <v>45468</v>
      </c>
      <c r="G5314" s="4">
        <f t="shared" si="446"/>
        <v>6</v>
      </c>
      <c r="H5314" s="4">
        <f t="shared" si="447"/>
        <v>2024</v>
      </c>
      <c r="I5314" s="2" t="s">
        <v>4</v>
      </c>
      <c r="J5314" s="2" t="s">
        <v>6040</v>
      </c>
      <c r="K5314" s="2" t="s">
        <v>3436</v>
      </c>
      <c r="L5314" s="2" t="s">
        <v>3437</v>
      </c>
      <c r="M5314" s="2" t="s">
        <v>67</v>
      </c>
      <c r="N5314" s="4" t="str">
        <f t="shared" si="448"/>
        <v>GAL</v>
      </c>
      <c r="O5314" s="5">
        <v>750</v>
      </c>
    </row>
    <row r="5315" spans="2:15" x14ac:dyDescent="0.25">
      <c r="B5315" s="1" t="s">
        <v>154</v>
      </c>
      <c r="C5315" s="2" t="s">
        <v>155</v>
      </c>
      <c r="D5315" s="2" t="s">
        <v>167</v>
      </c>
      <c r="E5315" s="2" t="s">
        <v>168</v>
      </c>
      <c r="F5315" s="3">
        <f>DATE(2024,6,25)</f>
        <v>45468</v>
      </c>
      <c r="G5315" s="4">
        <f t="shared" si="446"/>
        <v>6</v>
      </c>
      <c r="H5315" s="4">
        <f t="shared" si="447"/>
        <v>2024</v>
      </c>
      <c r="I5315" s="2" t="s">
        <v>4</v>
      </c>
      <c r="J5315" s="2" t="s">
        <v>6041</v>
      </c>
      <c r="K5315" s="2" t="s">
        <v>1814</v>
      </c>
      <c r="L5315" s="2" t="s">
        <v>1815</v>
      </c>
      <c r="M5315" s="2" t="s">
        <v>1816</v>
      </c>
      <c r="N5315" s="4" t="str">
        <f t="shared" si="448"/>
        <v>GAL</v>
      </c>
      <c r="O5315" s="5">
        <v>720</v>
      </c>
    </row>
    <row r="5316" spans="2:15" x14ac:dyDescent="0.25">
      <c r="B5316" s="1" t="s">
        <v>154</v>
      </c>
      <c r="C5316" s="2" t="s">
        <v>155</v>
      </c>
      <c r="D5316" s="2" t="s">
        <v>1838</v>
      </c>
      <c r="E5316" s="2" t="s">
        <v>1839</v>
      </c>
      <c r="F5316" s="3">
        <f>DATE(2024,6,28)</f>
        <v>45471</v>
      </c>
      <c r="G5316" s="4">
        <f t="shared" si="446"/>
        <v>6</v>
      </c>
      <c r="H5316" s="4">
        <f t="shared" si="447"/>
        <v>2024</v>
      </c>
      <c r="I5316" s="2" t="s">
        <v>4</v>
      </c>
      <c r="J5316" s="2" t="s">
        <v>6042</v>
      </c>
      <c r="K5316" s="2" t="s">
        <v>171</v>
      </c>
      <c r="L5316" s="2" t="s">
        <v>172</v>
      </c>
      <c r="M5316" s="2" t="s">
        <v>27</v>
      </c>
      <c r="N5316" s="4" t="str">
        <f t="shared" si="448"/>
        <v>GAL</v>
      </c>
      <c r="O5316" s="5">
        <v>720</v>
      </c>
    </row>
    <row r="5317" spans="2:15" x14ac:dyDescent="0.25">
      <c r="B5317" s="1" t="s">
        <v>154</v>
      </c>
      <c r="C5317" s="2" t="s">
        <v>155</v>
      </c>
      <c r="D5317" s="2" t="s">
        <v>161</v>
      </c>
      <c r="E5317" s="2" t="s">
        <v>162</v>
      </c>
      <c r="F5317" s="3">
        <f>DATE(2024,6,18)</f>
        <v>45461</v>
      </c>
      <c r="G5317" s="4">
        <f t="shared" si="446"/>
        <v>6</v>
      </c>
      <c r="H5317" s="4">
        <f t="shared" si="447"/>
        <v>2024</v>
      </c>
      <c r="I5317" s="2" t="s">
        <v>4</v>
      </c>
      <c r="J5317" s="2" t="s">
        <v>6043</v>
      </c>
      <c r="K5317" s="2" t="s">
        <v>1814</v>
      </c>
      <c r="L5317" s="2" t="s">
        <v>1815</v>
      </c>
      <c r="M5317" s="2" t="s">
        <v>1816</v>
      </c>
      <c r="N5317" s="4" t="str">
        <f t="shared" si="448"/>
        <v>GAL</v>
      </c>
      <c r="O5317" s="5">
        <v>360</v>
      </c>
    </row>
    <row r="5318" spans="2:15" x14ac:dyDescent="0.25">
      <c r="B5318" s="1" t="s">
        <v>1520</v>
      </c>
      <c r="C5318" s="2" t="s">
        <v>196</v>
      </c>
      <c r="D5318" s="2" t="s">
        <v>2002</v>
      </c>
      <c r="E5318" s="2" t="s">
        <v>102</v>
      </c>
      <c r="F5318" s="3">
        <f>DATE(2024,6,3)</f>
        <v>45446</v>
      </c>
      <c r="G5318" s="4">
        <f t="shared" si="446"/>
        <v>6</v>
      </c>
      <c r="H5318" s="4">
        <f t="shared" si="447"/>
        <v>2024</v>
      </c>
      <c r="I5318" s="2" t="s">
        <v>4</v>
      </c>
      <c r="J5318" s="2" t="s">
        <v>6044</v>
      </c>
      <c r="K5318" s="2" t="s">
        <v>1119</v>
      </c>
      <c r="L5318" s="2" t="s">
        <v>1023</v>
      </c>
      <c r="M5318" s="2" t="s">
        <v>1024</v>
      </c>
      <c r="N5318" s="4" t="str">
        <f t="shared" si="448"/>
        <v>GAL</v>
      </c>
      <c r="O5318" s="5">
        <v>10</v>
      </c>
    </row>
    <row r="5319" spans="2:15" x14ac:dyDescent="0.25">
      <c r="B5319" s="1" t="s">
        <v>1520</v>
      </c>
      <c r="C5319" s="2" t="s">
        <v>196</v>
      </c>
      <c r="D5319" s="2" t="s">
        <v>241</v>
      </c>
      <c r="E5319" s="2" t="s">
        <v>258</v>
      </c>
      <c r="F5319" s="3">
        <f>DATE(2024,6,3)</f>
        <v>45446</v>
      </c>
      <c r="G5319" s="4">
        <f t="shared" si="446"/>
        <v>6</v>
      </c>
      <c r="H5319" s="4">
        <f t="shared" si="447"/>
        <v>2024</v>
      </c>
      <c r="I5319" s="2" t="s">
        <v>4</v>
      </c>
      <c r="J5319" s="2" t="s">
        <v>6045</v>
      </c>
      <c r="K5319" s="2" t="s">
        <v>3458</v>
      </c>
      <c r="L5319" s="2" t="s">
        <v>3459</v>
      </c>
      <c r="M5319" s="2" t="s">
        <v>119</v>
      </c>
      <c r="N5319" s="4" t="str">
        <f t="shared" si="448"/>
        <v>TON</v>
      </c>
      <c r="O5319" s="5">
        <v>2.2275</v>
      </c>
    </row>
    <row r="5320" spans="2:15" x14ac:dyDescent="0.25">
      <c r="B5320" s="1" t="s">
        <v>1520</v>
      </c>
      <c r="C5320" s="2" t="s">
        <v>196</v>
      </c>
      <c r="D5320" s="2" t="s">
        <v>280</v>
      </c>
      <c r="E5320" s="2" t="s">
        <v>364</v>
      </c>
      <c r="F5320" s="3">
        <f>DATE(2024,6,3)</f>
        <v>45446</v>
      </c>
      <c r="G5320" s="4">
        <f t="shared" si="446"/>
        <v>6</v>
      </c>
      <c r="H5320" s="4">
        <f t="shared" si="447"/>
        <v>2024</v>
      </c>
      <c r="I5320" s="2" t="s">
        <v>4</v>
      </c>
      <c r="J5320" s="2" t="s">
        <v>6046</v>
      </c>
      <c r="K5320" s="2" t="s">
        <v>2776</v>
      </c>
      <c r="L5320" s="2" t="s">
        <v>2777</v>
      </c>
      <c r="M5320" s="2" t="s">
        <v>119</v>
      </c>
      <c r="N5320" s="4" t="str">
        <f t="shared" si="448"/>
        <v>TON</v>
      </c>
      <c r="O5320" s="5">
        <v>7.7450000000000001</v>
      </c>
    </row>
    <row r="5321" spans="2:15" x14ac:dyDescent="0.25">
      <c r="B5321" s="1" t="s">
        <v>1520</v>
      </c>
      <c r="C5321" s="2" t="s">
        <v>196</v>
      </c>
      <c r="D5321" s="2" t="s">
        <v>253</v>
      </c>
      <c r="E5321" s="2" t="s">
        <v>254</v>
      </c>
      <c r="F5321" s="3">
        <f>DATE(2024,6,3)</f>
        <v>45446</v>
      </c>
      <c r="G5321" s="4">
        <f t="shared" si="446"/>
        <v>6</v>
      </c>
      <c r="H5321" s="4">
        <f t="shared" si="447"/>
        <v>2024</v>
      </c>
      <c r="I5321" s="2" t="s">
        <v>4</v>
      </c>
      <c r="J5321" s="2" t="s">
        <v>6047</v>
      </c>
      <c r="K5321" s="2" t="s">
        <v>256</v>
      </c>
      <c r="L5321" s="2" t="s">
        <v>257</v>
      </c>
      <c r="M5321" s="2" t="s">
        <v>119</v>
      </c>
      <c r="N5321" s="4" t="str">
        <f t="shared" si="448"/>
        <v>TON</v>
      </c>
      <c r="O5321" s="5">
        <v>2.4874999999999998</v>
      </c>
    </row>
    <row r="5322" spans="2:15" x14ac:dyDescent="0.25">
      <c r="B5322" s="1" t="s">
        <v>1520</v>
      </c>
      <c r="C5322" s="2" t="s">
        <v>196</v>
      </c>
      <c r="D5322" s="2" t="s">
        <v>884</v>
      </c>
      <c r="E5322" s="2" t="s">
        <v>141</v>
      </c>
      <c r="F5322" s="3">
        <f>DATE(2024,6,3)</f>
        <v>45446</v>
      </c>
      <c r="G5322" s="4">
        <f t="shared" si="446"/>
        <v>6</v>
      </c>
      <c r="H5322" s="4">
        <f t="shared" si="447"/>
        <v>2024</v>
      </c>
      <c r="I5322" s="2" t="s">
        <v>4</v>
      </c>
      <c r="J5322" s="2" t="s">
        <v>6048</v>
      </c>
      <c r="K5322" s="2" t="s">
        <v>205</v>
      </c>
      <c r="L5322" s="2" t="s">
        <v>206</v>
      </c>
      <c r="M5322" s="2" t="s">
        <v>119</v>
      </c>
      <c r="N5322" s="4" t="str">
        <f t="shared" si="448"/>
        <v>TON</v>
      </c>
      <c r="O5322" s="5">
        <v>2</v>
      </c>
    </row>
    <row r="5323" spans="2:15" x14ac:dyDescent="0.25">
      <c r="B5323" s="1" t="s">
        <v>1520</v>
      </c>
      <c r="C5323" s="2" t="s">
        <v>196</v>
      </c>
      <c r="D5323" s="2" t="s">
        <v>6049</v>
      </c>
      <c r="E5323" s="2" t="s">
        <v>141</v>
      </c>
      <c r="F5323" s="3">
        <f>DATE(2024,6,4)</f>
        <v>45447</v>
      </c>
      <c r="G5323" s="4">
        <f t="shared" si="446"/>
        <v>6</v>
      </c>
      <c r="H5323" s="4">
        <f t="shared" si="447"/>
        <v>2024</v>
      </c>
      <c r="I5323" s="2" t="s">
        <v>4</v>
      </c>
      <c r="J5323" s="2" t="s">
        <v>6050</v>
      </c>
      <c r="K5323" s="2" t="s">
        <v>39</v>
      </c>
      <c r="L5323" s="2" t="s">
        <v>932</v>
      </c>
      <c r="M5323" s="2" t="s">
        <v>41</v>
      </c>
      <c r="N5323" s="4" t="str">
        <f t="shared" si="448"/>
        <v>GAL</v>
      </c>
      <c r="O5323" s="5">
        <v>20</v>
      </c>
    </row>
    <row r="5324" spans="2:15" x14ac:dyDescent="0.25">
      <c r="B5324" s="1" t="s">
        <v>1520</v>
      </c>
      <c r="C5324" s="2" t="s">
        <v>196</v>
      </c>
      <c r="D5324" s="2" t="s">
        <v>276</v>
      </c>
      <c r="E5324" s="2" t="s">
        <v>682</v>
      </c>
      <c r="F5324" s="3">
        <f>DATE(2024,6,4)</f>
        <v>45447</v>
      </c>
      <c r="G5324" s="4">
        <f t="shared" si="446"/>
        <v>6</v>
      </c>
      <c r="H5324" s="4">
        <f t="shared" si="447"/>
        <v>2024</v>
      </c>
      <c r="I5324" s="2" t="s">
        <v>4</v>
      </c>
      <c r="J5324" s="2" t="s">
        <v>6051</v>
      </c>
      <c r="K5324" s="2" t="s">
        <v>205</v>
      </c>
      <c r="L5324" s="2" t="s">
        <v>206</v>
      </c>
      <c r="M5324" s="2" t="s">
        <v>119</v>
      </c>
      <c r="N5324" s="4" t="str">
        <f t="shared" si="448"/>
        <v>TON</v>
      </c>
      <c r="O5324" s="5">
        <v>1</v>
      </c>
    </row>
    <row r="5325" spans="2:15" x14ac:dyDescent="0.25">
      <c r="B5325" s="1" t="s">
        <v>1520</v>
      </c>
      <c r="C5325" s="2" t="s">
        <v>196</v>
      </c>
      <c r="D5325" s="2" t="s">
        <v>207</v>
      </c>
      <c r="E5325" s="2" t="s">
        <v>208</v>
      </c>
      <c r="F5325" s="3">
        <f>DATE(2024,6,6)</f>
        <v>45449</v>
      </c>
      <c r="G5325" s="4">
        <f t="shared" si="446"/>
        <v>6</v>
      </c>
      <c r="H5325" s="4">
        <f t="shared" si="447"/>
        <v>2024</v>
      </c>
      <c r="I5325" s="2" t="s">
        <v>4</v>
      </c>
      <c r="J5325" s="2" t="s">
        <v>6052</v>
      </c>
      <c r="K5325" s="2" t="s">
        <v>236</v>
      </c>
      <c r="L5325" s="2" t="s">
        <v>237</v>
      </c>
      <c r="M5325" s="2" t="s">
        <v>119</v>
      </c>
      <c r="N5325" s="4" t="str">
        <f t="shared" si="448"/>
        <v>TON</v>
      </c>
      <c r="O5325" s="5">
        <v>2.5</v>
      </c>
    </row>
    <row r="5326" spans="2:15" x14ac:dyDescent="0.25">
      <c r="B5326" s="1" t="s">
        <v>1520</v>
      </c>
      <c r="C5326" s="2" t="s">
        <v>196</v>
      </c>
      <c r="D5326" s="2" t="s">
        <v>276</v>
      </c>
      <c r="E5326" s="2" t="s">
        <v>682</v>
      </c>
      <c r="F5326" s="3">
        <f>DATE(2024,6,10)</f>
        <v>45453</v>
      </c>
      <c r="G5326" s="4">
        <f t="shared" si="446"/>
        <v>6</v>
      </c>
      <c r="H5326" s="4">
        <f t="shared" si="447"/>
        <v>2024</v>
      </c>
      <c r="I5326" s="2" t="s">
        <v>4</v>
      </c>
      <c r="J5326" s="2" t="s">
        <v>6053</v>
      </c>
      <c r="K5326" s="2" t="s">
        <v>205</v>
      </c>
      <c r="L5326" s="2" t="s">
        <v>206</v>
      </c>
      <c r="M5326" s="2" t="s">
        <v>119</v>
      </c>
      <c r="N5326" s="4" t="str">
        <f t="shared" si="448"/>
        <v>TON</v>
      </c>
      <c r="O5326" s="5">
        <v>1.0149999999999999</v>
      </c>
    </row>
    <row r="5327" spans="2:15" x14ac:dyDescent="0.25">
      <c r="B5327" s="1" t="s">
        <v>1520</v>
      </c>
      <c r="C5327" s="2" t="s">
        <v>196</v>
      </c>
      <c r="D5327" s="2" t="s">
        <v>294</v>
      </c>
      <c r="E5327" s="2" t="s">
        <v>295</v>
      </c>
      <c r="F5327" s="3">
        <f>DATE(2024,6,10)</f>
        <v>45453</v>
      </c>
      <c r="G5327" s="4">
        <f t="shared" si="446"/>
        <v>6</v>
      </c>
      <c r="H5327" s="4">
        <f t="shared" si="447"/>
        <v>2024</v>
      </c>
      <c r="I5327" s="2" t="s">
        <v>4</v>
      </c>
      <c r="J5327" s="2" t="s">
        <v>6054</v>
      </c>
      <c r="K5327" s="2" t="s">
        <v>122</v>
      </c>
      <c r="L5327" s="2" t="s">
        <v>123</v>
      </c>
      <c r="M5327" s="2" t="s">
        <v>119</v>
      </c>
      <c r="N5327" s="4" t="str">
        <f t="shared" si="448"/>
        <v>TON</v>
      </c>
      <c r="O5327" s="5">
        <v>7.5025000000000004</v>
      </c>
    </row>
    <row r="5328" spans="2:15" x14ac:dyDescent="0.25">
      <c r="B5328" s="1" t="s">
        <v>1520</v>
      </c>
      <c r="C5328" s="2" t="s">
        <v>196</v>
      </c>
      <c r="D5328" s="2" t="s">
        <v>253</v>
      </c>
      <c r="E5328" s="2" t="s">
        <v>254</v>
      </c>
      <c r="F5328" s="3">
        <f>DATE(2024,6,12)</f>
        <v>45455</v>
      </c>
      <c r="G5328" s="4">
        <f t="shared" si="446"/>
        <v>6</v>
      </c>
      <c r="H5328" s="4">
        <f t="shared" si="447"/>
        <v>2024</v>
      </c>
      <c r="I5328" s="2" t="s">
        <v>4</v>
      </c>
      <c r="J5328" s="2" t="s">
        <v>6055</v>
      </c>
      <c r="K5328" s="2" t="s">
        <v>256</v>
      </c>
      <c r="L5328" s="2" t="s">
        <v>257</v>
      </c>
      <c r="M5328" s="2" t="s">
        <v>119</v>
      </c>
      <c r="N5328" s="4" t="str">
        <f t="shared" si="448"/>
        <v>TON</v>
      </c>
      <c r="O5328" s="5">
        <v>2.4620000000000002</v>
      </c>
    </row>
    <row r="5329" spans="2:15" x14ac:dyDescent="0.25">
      <c r="B5329" s="1" t="s">
        <v>1520</v>
      </c>
      <c r="C5329" s="2" t="s">
        <v>196</v>
      </c>
      <c r="D5329" s="2" t="s">
        <v>241</v>
      </c>
      <c r="E5329" s="2" t="s">
        <v>258</v>
      </c>
      <c r="F5329" s="3">
        <f>DATE(2024,6,12)</f>
        <v>45455</v>
      </c>
      <c r="G5329" s="4">
        <f t="shared" si="446"/>
        <v>6</v>
      </c>
      <c r="H5329" s="4">
        <f t="shared" si="447"/>
        <v>2024</v>
      </c>
      <c r="I5329" s="2" t="s">
        <v>4</v>
      </c>
      <c r="J5329" s="2" t="s">
        <v>6056</v>
      </c>
      <c r="K5329" s="2" t="s">
        <v>3458</v>
      </c>
      <c r="L5329" s="2" t="s">
        <v>3459</v>
      </c>
      <c r="M5329" s="2" t="s">
        <v>119</v>
      </c>
      <c r="N5329" s="4" t="str">
        <f t="shared" si="448"/>
        <v>TON</v>
      </c>
      <c r="O5329" s="5">
        <v>2.25</v>
      </c>
    </row>
    <row r="5330" spans="2:15" x14ac:dyDescent="0.25">
      <c r="B5330" s="1" t="s">
        <v>1520</v>
      </c>
      <c r="C5330" s="2" t="s">
        <v>196</v>
      </c>
      <c r="D5330" s="2" t="s">
        <v>628</v>
      </c>
      <c r="E5330" s="2" t="s">
        <v>4628</v>
      </c>
      <c r="F5330" s="3">
        <f>DATE(2024,6,17)</f>
        <v>45460</v>
      </c>
      <c r="G5330" s="4">
        <f t="shared" ref="G5330:G5393" si="450">+MONTH(F5330)</f>
        <v>6</v>
      </c>
      <c r="H5330" s="4">
        <f t="shared" ref="H5330:H5393" si="451">+YEAR(F5330)</f>
        <v>2024</v>
      </c>
      <c r="I5330" s="2" t="s">
        <v>4</v>
      </c>
      <c r="J5330" s="2" t="s">
        <v>6057</v>
      </c>
      <c r="K5330" s="2" t="s">
        <v>1031</v>
      </c>
      <c r="L5330" s="2" t="s">
        <v>1032</v>
      </c>
      <c r="M5330" s="2" t="s">
        <v>119</v>
      </c>
      <c r="N5330" s="4" t="str">
        <f t="shared" ref="N5330:N5393" si="452">LEFT(M5330,3)</f>
        <v>TON</v>
      </c>
      <c r="O5330" s="5">
        <v>1.2575000000000001</v>
      </c>
    </row>
    <row r="5331" spans="2:15" x14ac:dyDescent="0.25">
      <c r="B5331" s="1" t="s">
        <v>1520</v>
      </c>
      <c r="C5331" s="2" t="s">
        <v>196</v>
      </c>
      <c r="D5331" s="2" t="s">
        <v>207</v>
      </c>
      <c r="E5331" s="2" t="s">
        <v>208</v>
      </c>
      <c r="F5331" s="3">
        <f>DATE(2024,6,21)</f>
        <v>45464</v>
      </c>
      <c r="G5331" s="4">
        <f t="shared" si="450"/>
        <v>6</v>
      </c>
      <c r="H5331" s="4">
        <f t="shared" si="451"/>
        <v>2024</v>
      </c>
      <c r="I5331" s="2" t="s">
        <v>4</v>
      </c>
      <c r="J5331" s="2" t="s">
        <v>6058</v>
      </c>
      <c r="K5331" s="2" t="s">
        <v>205</v>
      </c>
      <c r="L5331" s="2" t="s">
        <v>206</v>
      </c>
      <c r="M5331" s="2" t="s">
        <v>119</v>
      </c>
      <c r="N5331" s="4" t="str">
        <f t="shared" si="452"/>
        <v>TON</v>
      </c>
      <c r="O5331" s="5">
        <v>2.5</v>
      </c>
    </row>
    <row r="5332" spans="2:15" x14ac:dyDescent="0.25">
      <c r="B5332" s="1" t="s">
        <v>1520</v>
      </c>
      <c r="C5332" s="2" t="s">
        <v>196</v>
      </c>
      <c r="D5332" s="2" t="s">
        <v>241</v>
      </c>
      <c r="E5332" s="2" t="s">
        <v>258</v>
      </c>
      <c r="F5332" s="3">
        <f>DATE(2024,6,24)</f>
        <v>45467</v>
      </c>
      <c r="G5332" s="4">
        <f t="shared" si="450"/>
        <v>6</v>
      </c>
      <c r="H5332" s="4">
        <f t="shared" si="451"/>
        <v>2024</v>
      </c>
      <c r="I5332" s="2" t="s">
        <v>4</v>
      </c>
      <c r="J5332" s="2" t="s">
        <v>6059</v>
      </c>
      <c r="K5332" s="2" t="s">
        <v>3458</v>
      </c>
      <c r="L5332" s="2" t="s">
        <v>3459</v>
      </c>
      <c r="M5332" s="2" t="s">
        <v>119</v>
      </c>
      <c r="N5332" s="4" t="str">
        <f t="shared" si="452"/>
        <v>TON</v>
      </c>
      <c r="O5332" s="5">
        <v>2.25</v>
      </c>
    </row>
    <row r="5333" spans="2:15" x14ac:dyDescent="0.25">
      <c r="B5333" s="1" t="s">
        <v>1520</v>
      </c>
      <c r="C5333" s="2" t="s">
        <v>196</v>
      </c>
      <c r="D5333" s="2" t="s">
        <v>253</v>
      </c>
      <c r="E5333" s="2" t="s">
        <v>254</v>
      </c>
      <c r="F5333" s="3">
        <f>DATE(2024,6,25)</f>
        <v>45468</v>
      </c>
      <c r="G5333" s="4">
        <f t="shared" si="450"/>
        <v>6</v>
      </c>
      <c r="H5333" s="4">
        <f t="shared" si="451"/>
        <v>2024</v>
      </c>
      <c r="I5333" s="2" t="s">
        <v>4</v>
      </c>
      <c r="J5333" s="2" t="s">
        <v>6060</v>
      </c>
      <c r="K5333" s="2" t="s">
        <v>256</v>
      </c>
      <c r="L5333" s="2" t="s">
        <v>257</v>
      </c>
      <c r="M5333" s="2" t="s">
        <v>119</v>
      </c>
      <c r="N5333" s="4" t="str">
        <f t="shared" si="452"/>
        <v>TON</v>
      </c>
      <c r="O5333" s="5">
        <v>2.415</v>
      </c>
    </row>
    <row r="5334" spans="2:15" x14ac:dyDescent="0.25">
      <c r="B5334" s="1" t="s">
        <v>1520</v>
      </c>
      <c r="C5334" s="2" t="s">
        <v>196</v>
      </c>
      <c r="D5334" s="2" t="s">
        <v>294</v>
      </c>
      <c r="E5334" s="2" t="s">
        <v>295</v>
      </c>
      <c r="F5334" s="3">
        <f>DATE(2024,6,27)</f>
        <v>45470</v>
      </c>
      <c r="G5334" s="4">
        <f t="shared" si="450"/>
        <v>6</v>
      </c>
      <c r="H5334" s="4">
        <f t="shared" si="451"/>
        <v>2024</v>
      </c>
      <c r="I5334" s="2" t="s">
        <v>4</v>
      </c>
      <c r="J5334" s="2" t="s">
        <v>6061</v>
      </c>
      <c r="K5334" s="2" t="s">
        <v>122</v>
      </c>
      <c r="L5334" s="2" t="s">
        <v>123</v>
      </c>
      <c r="M5334" s="2" t="s">
        <v>119</v>
      </c>
      <c r="N5334" s="4" t="str">
        <f t="shared" si="452"/>
        <v>TON</v>
      </c>
      <c r="O5334" s="5">
        <v>7.5274999999999999</v>
      </c>
    </row>
    <row r="5335" spans="2:15" x14ac:dyDescent="0.25">
      <c r="B5335" s="1" t="s">
        <v>1520</v>
      </c>
      <c r="C5335" s="2" t="s">
        <v>196</v>
      </c>
      <c r="D5335" s="2" t="s">
        <v>6062</v>
      </c>
      <c r="E5335" s="2" t="s">
        <v>102</v>
      </c>
      <c r="F5335" s="3">
        <f>DATE(2024,6,28)</f>
        <v>45471</v>
      </c>
      <c r="G5335" s="4">
        <f t="shared" si="450"/>
        <v>6</v>
      </c>
      <c r="H5335" s="4">
        <f t="shared" si="451"/>
        <v>2024</v>
      </c>
      <c r="I5335" s="2" t="s">
        <v>4</v>
      </c>
      <c r="J5335" s="2" t="s">
        <v>6063</v>
      </c>
      <c r="K5335" s="2" t="s">
        <v>205</v>
      </c>
      <c r="L5335" s="2" t="s">
        <v>206</v>
      </c>
      <c r="M5335" s="2" t="s">
        <v>119</v>
      </c>
      <c r="N5335" s="4" t="str">
        <f t="shared" si="452"/>
        <v>TON</v>
      </c>
      <c r="O5335" s="5">
        <v>5</v>
      </c>
    </row>
    <row r="5336" spans="2:15" x14ac:dyDescent="0.25">
      <c r="B5336" s="1" t="s">
        <v>382</v>
      </c>
      <c r="C5336" s="2" t="s">
        <v>506</v>
      </c>
      <c r="D5336" s="2" t="s">
        <v>995</v>
      </c>
      <c r="E5336" s="2" t="s">
        <v>141</v>
      </c>
      <c r="F5336" s="3">
        <f>DATE(2024,6,4)</f>
        <v>45447</v>
      </c>
      <c r="G5336" s="4">
        <f t="shared" si="450"/>
        <v>6</v>
      </c>
      <c r="H5336" s="4">
        <f t="shared" si="451"/>
        <v>2024</v>
      </c>
      <c r="I5336" s="2" t="s">
        <v>4</v>
      </c>
      <c r="J5336" s="2" t="s">
        <v>6064</v>
      </c>
      <c r="K5336" s="2" t="s">
        <v>6065</v>
      </c>
      <c r="L5336" s="2" t="s">
        <v>6066</v>
      </c>
      <c r="M5336" s="2" t="s">
        <v>1731</v>
      </c>
      <c r="N5336" s="4" t="str">
        <f t="shared" si="452"/>
        <v>GAL</v>
      </c>
      <c r="O5336" s="5">
        <v>25</v>
      </c>
    </row>
    <row r="5337" spans="2:15" x14ac:dyDescent="0.25">
      <c r="B5337" s="1" t="s">
        <v>382</v>
      </c>
      <c r="C5337" s="2" t="s">
        <v>506</v>
      </c>
      <c r="D5337" s="2" t="s">
        <v>989</v>
      </c>
      <c r="E5337" s="2" t="s">
        <v>990</v>
      </c>
      <c r="F5337" s="3">
        <f>DATE(2024,6,6)</f>
        <v>45449</v>
      </c>
      <c r="G5337" s="4">
        <f t="shared" si="450"/>
        <v>6</v>
      </c>
      <c r="H5337" s="4">
        <f t="shared" si="451"/>
        <v>2024</v>
      </c>
      <c r="I5337" s="2" t="s">
        <v>4</v>
      </c>
      <c r="J5337" s="2" t="s">
        <v>6067</v>
      </c>
      <c r="K5337" s="2" t="s">
        <v>609</v>
      </c>
      <c r="L5337" s="2" t="s">
        <v>610</v>
      </c>
      <c r="M5337" s="2" t="s">
        <v>611</v>
      </c>
      <c r="N5337" s="4" t="str">
        <f t="shared" si="452"/>
        <v>GAL</v>
      </c>
      <c r="O5337" s="5">
        <v>25</v>
      </c>
    </row>
    <row r="5338" spans="2:15" x14ac:dyDescent="0.25">
      <c r="B5338" s="1" t="s">
        <v>382</v>
      </c>
      <c r="C5338" s="2" t="s">
        <v>506</v>
      </c>
      <c r="D5338" s="2" t="s">
        <v>515</v>
      </c>
      <c r="E5338" s="2" t="s">
        <v>516</v>
      </c>
      <c r="F5338" s="3">
        <f>DATE(2024,6,21)</f>
        <v>45464</v>
      </c>
      <c r="G5338" s="4">
        <f t="shared" si="450"/>
        <v>6</v>
      </c>
      <c r="H5338" s="4">
        <f t="shared" si="451"/>
        <v>2024</v>
      </c>
      <c r="I5338" s="2" t="s">
        <v>4</v>
      </c>
      <c r="J5338" s="2" t="s">
        <v>6068</v>
      </c>
      <c r="K5338" s="2" t="s">
        <v>6069</v>
      </c>
      <c r="L5338" s="2" t="s">
        <v>6070</v>
      </c>
      <c r="M5338" s="2" t="s">
        <v>1472</v>
      </c>
      <c r="N5338" s="4" t="str">
        <f t="shared" si="452"/>
        <v>GAL</v>
      </c>
      <c r="O5338" s="5">
        <v>180</v>
      </c>
    </row>
    <row r="5339" spans="2:15" x14ac:dyDescent="0.25">
      <c r="B5339" s="1" t="s">
        <v>382</v>
      </c>
      <c r="C5339" s="2" t="s">
        <v>506</v>
      </c>
      <c r="D5339" s="2" t="s">
        <v>515</v>
      </c>
      <c r="E5339" s="2" t="s">
        <v>516</v>
      </c>
      <c r="F5339" s="3">
        <f>DATE(2024,6,21)</f>
        <v>45464</v>
      </c>
      <c r="G5339" s="4">
        <f t="shared" si="450"/>
        <v>6</v>
      </c>
      <c r="H5339" s="4">
        <f t="shared" si="451"/>
        <v>2024</v>
      </c>
      <c r="I5339" s="2" t="s">
        <v>4</v>
      </c>
      <c r="J5339" s="2" t="s">
        <v>6071</v>
      </c>
      <c r="K5339" s="2" t="s">
        <v>4502</v>
      </c>
      <c r="L5339" s="2" t="s">
        <v>182</v>
      </c>
      <c r="M5339" s="2" t="s">
        <v>183</v>
      </c>
      <c r="N5339" s="4" t="str">
        <f t="shared" si="452"/>
        <v>GAL</v>
      </c>
      <c r="O5339" s="5">
        <v>110</v>
      </c>
    </row>
    <row r="5340" spans="2:15" x14ac:dyDescent="0.25">
      <c r="B5340" s="1" t="s">
        <v>382</v>
      </c>
      <c r="C5340" s="2" t="s">
        <v>506</v>
      </c>
      <c r="D5340" s="2" t="s">
        <v>515</v>
      </c>
      <c r="E5340" s="2" t="s">
        <v>516</v>
      </c>
      <c r="F5340" s="3">
        <f>DATE(2024,6,21)</f>
        <v>45464</v>
      </c>
      <c r="G5340" s="4">
        <f t="shared" si="450"/>
        <v>6</v>
      </c>
      <c r="H5340" s="4">
        <f t="shared" si="451"/>
        <v>2024</v>
      </c>
      <c r="I5340" s="2" t="s">
        <v>4</v>
      </c>
      <c r="J5340" s="2" t="s">
        <v>6071</v>
      </c>
      <c r="K5340" s="2" t="s">
        <v>1014</v>
      </c>
      <c r="L5340" s="2" t="s">
        <v>472</v>
      </c>
      <c r="M5340" s="2" t="s">
        <v>473</v>
      </c>
      <c r="N5340" s="4" t="str">
        <f t="shared" si="452"/>
        <v>GAL</v>
      </c>
      <c r="O5340" s="5">
        <v>180</v>
      </c>
    </row>
    <row r="5341" spans="2:15" x14ac:dyDescent="0.25">
      <c r="B5341" s="16" t="s">
        <v>782</v>
      </c>
      <c r="C5341" s="17" t="s">
        <v>1018</v>
      </c>
      <c r="D5341" s="17" t="s">
        <v>2456</v>
      </c>
      <c r="E5341" s="17" t="s">
        <v>6072</v>
      </c>
      <c r="F5341" s="18">
        <f>DATE(2024,6,5)</f>
        <v>45448</v>
      </c>
      <c r="G5341" s="4">
        <f t="shared" si="450"/>
        <v>6</v>
      </c>
      <c r="H5341" s="4">
        <f t="shared" si="451"/>
        <v>2024</v>
      </c>
      <c r="I5341" s="2" t="s">
        <v>4</v>
      </c>
      <c r="J5341" s="2" t="s">
        <v>6073</v>
      </c>
      <c r="K5341" s="17" t="s">
        <v>158</v>
      </c>
      <c r="L5341" s="17" t="s">
        <v>159</v>
      </c>
      <c r="M5341" s="17" t="s">
        <v>160</v>
      </c>
      <c r="N5341" s="4" t="str">
        <f t="shared" si="452"/>
        <v>GAL</v>
      </c>
      <c r="O5341" s="5">
        <v>360</v>
      </c>
    </row>
    <row r="5342" spans="2:15" x14ac:dyDescent="0.25">
      <c r="B5342" s="16" t="s">
        <v>782</v>
      </c>
      <c r="C5342" s="17" t="s">
        <v>1018</v>
      </c>
      <c r="D5342" s="17" t="s">
        <v>3196</v>
      </c>
      <c r="E5342" s="17" t="s">
        <v>102</v>
      </c>
      <c r="F5342" s="18">
        <f>DATE(2024,6,6)</f>
        <v>45449</v>
      </c>
      <c r="G5342" s="4">
        <f t="shared" si="450"/>
        <v>6</v>
      </c>
      <c r="H5342" s="4">
        <f t="shared" si="451"/>
        <v>2024</v>
      </c>
      <c r="I5342" s="28" t="s">
        <v>4</v>
      </c>
      <c r="J5342" s="28" t="s">
        <v>6074</v>
      </c>
      <c r="K5342" s="17" t="s">
        <v>158</v>
      </c>
      <c r="L5342" s="17" t="s">
        <v>159</v>
      </c>
      <c r="M5342" s="17" t="s">
        <v>160</v>
      </c>
      <c r="N5342" s="4" t="str">
        <f t="shared" si="452"/>
        <v>GAL</v>
      </c>
      <c r="O5342" s="29">
        <v>720</v>
      </c>
    </row>
    <row r="5343" spans="2:15" x14ac:dyDescent="0.25">
      <c r="B5343" s="1" t="s">
        <v>782</v>
      </c>
      <c r="C5343" s="2" t="s">
        <v>1018</v>
      </c>
      <c r="D5343" s="2" t="s">
        <v>1019</v>
      </c>
      <c r="E5343" s="2" t="s">
        <v>1020</v>
      </c>
      <c r="F5343" s="3">
        <f>DATE(2024,6,10)</f>
        <v>45453</v>
      </c>
      <c r="G5343" s="4">
        <f t="shared" si="450"/>
        <v>6</v>
      </c>
      <c r="H5343" s="4">
        <f t="shared" si="451"/>
        <v>2024</v>
      </c>
      <c r="I5343" s="2" t="s">
        <v>4</v>
      </c>
      <c r="J5343" s="2" t="s">
        <v>6075</v>
      </c>
      <c r="K5343" s="2" t="s">
        <v>1022</v>
      </c>
      <c r="L5343" s="2" t="s">
        <v>1023</v>
      </c>
      <c r="M5343" s="2" t="s">
        <v>1024</v>
      </c>
      <c r="N5343" s="4" t="str">
        <f t="shared" si="452"/>
        <v>GAL</v>
      </c>
      <c r="O5343" s="5">
        <v>250</v>
      </c>
    </row>
    <row r="5344" spans="2:15" x14ac:dyDescent="0.25">
      <c r="B5344" s="1" t="s">
        <v>782</v>
      </c>
      <c r="C5344" s="2" t="s">
        <v>1018</v>
      </c>
      <c r="D5344" s="2" t="s">
        <v>2448</v>
      </c>
      <c r="E5344" s="2" t="s">
        <v>141</v>
      </c>
      <c r="F5344" s="3">
        <f>DATE(2024,6,11)</f>
        <v>45454</v>
      </c>
      <c r="G5344" s="4">
        <f t="shared" si="450"/>
        <v>6</v>
      </c>
      <c r="H5344" s="4">
        <f t="shared" si="451"/>
        <v>2024</v>
      </c>
      <c r="I5344" s="2" t="s">
        <v>4</v>
      </c>
      <c r="J5344" s="2" t="s">
        <v>6076</v>
      </c>
      <c r="K5344" s="2" t="s">
        <v>158</v>
      </c>
      <c r="L5344" s="2" t="s">
        <v>159</v>
      </c>
      <c r="M5344" s="2" t="s">
        <v>160</v>
      </c>
      <c r="N5344" s="4" t="str">
        <f t="shared" si="452"/>
        <v>GAL</v>
      </c>
      <c r="O5344" s="5">
        <v>40</v>
      </c>
    </row>
    <row r="5345" spans="2:15" x14ac:dyDescent="0.25">
      <c r="B5345" s="1" t="s">
        <v>782</v>
      </c>
      <c r="C5345" s="2" t="s">
        <v>1018</v>
      </c>
      <c r="D5345" s="2" t="s">
        <v>2133</v>
      </c>
      <c r="E5345" s="2" t="s">
        <v>3043</v>
      </c>
      <c r="F5345" s="3">
        <f>DATE(2024,6,21)</f>
        <v>45464</v>
      </c>
      <c r="G5345" s="4">
        <f t="shared" si="450"/>
        <v>6</v>
      </c>
      <c r="H5345" s="4">
        <f t="shared" si="451"/>
        <v>2024</v>
      </c>
      <c r="I5345" s="2" t="s">
        <v>4</v>
      </c>
      <c r="J5345" s="2" t="s">
        <v>6077</v>
      </c>
      <c r="K5345" s="2" t="s">
        <v>551</v>
      </c>
      <c r="L5345" s="2" t="s">
        <v>2426</v>
      </c>
      <c r="M5345" s="2" t="s">
        <v>553</v>
      </c>
      <c r="N5345" s="4" t="str">
        <f t="shared" si="452"/>
        <v>GAL</v>
      </c>
      <c r="O5345" s="5">
        <v>5</v>
      </c>
    </row>
    <row r="5346" spans="2:15" x14ac:dyDescent="0.25">
      <c r="B5346" s="1" t="s">
        <v>782</v>
      </c>
      <c r="C5346" s="2" t="s">
        <v>1018</v>
      </c>
      <c r="D5346" s="2" t="s">
        <v>2133</v>
      </c>
      <c r="E5346" s="2" t="s">
        <v>3043</v>
      </c>
      <c r="F5346" s="3">
        <f>DATE(2024,6,21)</f>
        <v>45464</v>
      </c>
      <c r="G5346" s="4">
        <f t="shared" si="450"/>
        <v>6</v>
      </c>
      <c r="H5346" s="4">
        <f t="shared" si="451"/>
        <v>2024</v>
      </c>
      <c r="I5346" s="2" t="s">
        <v>4</v>
      </c>
      <c r="J5346" s="2" t="s">
        <v>6077</v>
      </c>
      <c r="K5346" s="2" t="s">
        <v>158</v>
      </c>
      <c r="L5346" s="2" t="s">
        <v>159</v>
      </c>
      <c r="M5346" s="2" t="s">
        <v>160</v>
      </c>
      <c r="N5346" s="4" t="str">
        <f t="shared" si="452"/>
        <v>GAL</v>
      </c>
      <c r="O5346" s="5">
        <v>15</v>
      </c>
    </row>
    <row r="5347" spans="2:15" x14ac:dyDescent="0.25">
      <c r="B5347" s="1" t="s">
        <v>782</v>
      </c>
      <c r="C5347" s="2" t="s">
        <v>1018</v>
      </c>
      <c r="D5347" s="2" t="s">
        <v>2133</v>
      </c>
      <c r="E5347" s="2" t="s">
        <v>3043</v>
      </c>
      <c r="F5347" s="3">
        <f>DATE(2024,6,25)</f>
        <v>45468</v>
      </c>
      <c r="G5347" s="4">
        <f t="shared" si="450"/>
        <v>6</v>
      </c>
      <c r="H5347" s="4">
        <f t="shared" si="451"/>
        <v>2024</v>
      </c>
      <c r="I5347" s="2" t="s">
        <v>4</v>
      </c>
      <c r="J5347" s="2" t="s">
        <v>6078</v>
      </c>
      <c r="K5347" s="2" t="s">
        <v>6079</v>
      </c>
      <c r="L5347" s="2" t="s">
        <v>6080</v>
      </c>
      <c r="M5347" s="2" t="s">
        <v>6081</v>
      </c>
      <c r="N5347" s="4" t="str">
        <f t="shared" si="452"/>
        <v>GAL</v>
      </c>
      <c r="O5347" s="5">
        <v>2.5</v>
      </c>
    </row>
    <row r="5348" spans="2:15" x14ac:dyDescent="0.25">
      <c r="B5348" s="1" t="s">
        <v>782</v>
      </c>
      <c r="C5348" s="2" t="s">
        <v>1018</v>
      </c>
      <c r="D5348" s="2" t="s">
        <v>2133</v>
      </c>
      <c r="E5348" s="2" t="s">
        <v>3043</v>
      </c>
      <c r="F5348" s="3">
        <f>DATE(2024,6,25)</f>
        <v>45468</v>
      </c>
      <c r="G5348" s="4">
        <f t="shared" si="450"/>
        <v>6</v>
      </c>
      <c r="H5348" s="4">
        <f t="shared" si="451"/>
        <v>2024</v>
      </c>
      <c r="I5348" s="2" t="s">
        <v>4</v>
      </c>
      <c r="J5348" s="2" t="s">
        <v>6078</v>
      </c>
      <c r="K5348" s="2" t="s">
        <v>6082</v>
      </c>
      <c r="L5348" s="2" t="s">
        <v>6083</v>
      </c>
      <c r="M5348" s="2" t="s">
        <v>6084</v>
      </c>
      <c r="N5348" s="4" t="str">
        <f t="shared" si="452"/>
        <v>GAL</v>
      </c>
      <c r="O5348" s="5">
        <v>5</v>
      </c>
    </row>
    <row r="5349" spans="2:15" x14ac:dyDescent="0.25">
      <c r="B5349" s="1" t="s">
        <v>782</v>
      </c>
      <c r="C5349" s="2" t="s">
        <v>1018</v>
      </c>
      <c r="D5349" s="2" t="s">
        <v>6085</v>
      </c>
      <c r="E5349" s="2" t="s">
        <v>102</v>
      </c>
      <c r="F5349" s="3">
        <f>DATE(2024,6,27)</f>
        <v>45470</v>
      </c>
      <c r="G5349" s="4">
        <f t="shared" si="450"/>
        <v>6</v>
      </c>
      <c r="H5349" s="4">
        <f t="shared" si="451"/>
        <v>2024</v>
      </c>
      <c r="I5349" s="2" t="s">
        <v>4</v>
      </c>
      <c r="J5349" s="2" t="s">
        <v>6086</v>
      </c>
      <c r="K5349" s="2" t="s">
        <v>1496</v>
      </c>
      <c r="L5349" s="2" t="s">
        <v>159</v>
      </c>
      <c r="M5349" s="2" t="s">
        <v>160</v>
      </c>
      <c r="N5349" s="4" t="str">
        <f t="shared" si="452"/>
        <v>GAL</v>
      </c>
      <c r="O5349" s="5">
        <v>750</v>
      </c>
    </row>
    <row r="5350" spans="2:15" x14ac:dyDescent="0.25">
      <c r="B5350" s="1" t="s">
        <v>782</v>
      </c>
      <c r="C5350" s="2" t="s">
        <v>1018</v>
      </c>
      <c r="D5350" s="2" t="s">
        <v>628</v>
      </c>
      <c r="E5350" s="2" t="s">
        <v>2451</v>
      </c>
      <c r="F5350" s="3">
        <f>DATE(2024,6,17)</f>
        <v>45460</v>
      </c>
      <c r="G5350" s="4">
        <f t="shared" si="450"/>
        <v>6</v>
      </c>
      <c r="H5350" s="4">
        <f t="shared" si="451"/>
        <v>2024</v>
      </c>
      <c r="I5350" s="2" t="s">
        <v>4</v>
      </c>
      <c r="J5350" s="2" t="s">
        <v>6087</v>
      </c>
      <c r="K5350" s="2" t="s">
        <v>1031</v>
      </c>
      <c r="L5350" s="2" t="s">
        <v>1032</v>
      </c>
      <c r="M5350" s="2" t="s">
        <v>119</v>
      </c>
      <c r="N5350" s="4" t="str">
        <f t="shared" si="452"/>
        <v>TON</v>
      </c>
      <c r="O5350" s="5">
        <v>1.2575000000000001</v>
      </c>
    </row>
    <row r="5351" spans="2:15" x14ac:dyDescent="0.25">
      <c r="B5351" s="1" t="s">
        <v>645</v>
      </c>
      <c r="C5351" s="2" t="s">
        <v>1025</v>
      </c>
      <c r="D5351" s="2" t="s">
        <v>2092</v>
      </c>
      <c r="E5351" s="2" t="s">
        <v>2093</v>
      </c>
      <c r="F5351" s="3">
        <f>DATE(2024,6,4)</f>
        <v>45447</v>
      </c>
      <c r="G5351" s="4">
        <f t="shared" si="450"/>
        <v>6</v>
      </c>
      <c r="H5351" s="4">
        <f t="shared" si="451"/>
        <v>2024</v>
      </c>
      <c r="I5351" s="2" t="s">
        <v>4</v>
      </c>
      <c r="J5351" s="2" t="s">
        <v>6088</v>
      </c>
      <c r="K5351" s="2" t="s">
        <v>2095</v>
      </c>
      <c r="L5351" s="2" t="s">
        <v>2096</v>
      </c>
      <c r="M5351" s="2" t="s">
        <v>119</v>
      </c>
      <c r="N5351" s="4" t="str">
        <f t="shared" si="452"/>
        <v>TON</v>
      </c>
      <c r="O5351" s="5">
        <v>15</v>
      </c>
    </row>
    <row r="5352" spans="2:15" x14ac:dyDescent="0.25">
      <c r="B5352" s="1" t="s">
        <v>1742</v>
      </c>
      <c r="C5352" s="2" t="s">
        <v>1025</v>
      </c>
      <c r="D5352" s="2" t="s">
        <v>6089</v>
      </c>
      <c r="E5352" s="2" t="s">
        <v>102</v>
      </c>
      <c r="F5352" s="3">
        <f>DATE(2024,6,14)</f>
        <v>45457</v>
      </c>
      <c r="G5352" s="4">
        <f t="shared" si="450"/>
        <v>6</v>
      </c>
      <c r="H5352" s="4">
        <f t="shared" si="451"/>
        <v>2024</v>
      </c>
      <c r="I5352" s="2" t="s">
        <v>4</v>
      </c>
      <c r="J5352" s="2" t="s">
        <v>6090</v>
      </c>
      <c r="K5352" s="2" t="s">
        <v>158</v>
      </c>
      <c r="L5352" s="2" t="s">
        <v>159</v>
      </c>
      <c r="M5352" s="2" t="s">
        <v>160</v>
      </c>
      <c r="N5352" s="4" t="str">
        <f t="shared" si="452"/>
        <v>GAL</v>
      </c>
      <c r="O5352" s="5">
        <v>360</v>
      </c>
    </row>
    <row r="5353" spans="2:15" x14ac:dyDescent="0.25">
      <c r="B5353" s="1" t="s">
        <v>1742</v>
      </c>
      <c r="C5353" s="2" t="s">
        <v>1025</v>
      </c>
      <c r="D5353" s="2" t="s">
        <v>3048</v>
      </c>
      <c r="E5353" s="2" t="s">
        <v>102</v>
      </c>
      <c r="F5353" s="3">
        <f>DATE(2024,6,18)</f>
        <v>45461</v>
      </c>
      <c r="G5353" s="4">
        <f t="shared" si="450"/>
        <v>6</v>
      </c>
      <c r="H5353" s="4">
        <f t="shared" si="451"/>
        <v>2024</v>
      </c>
      <c r="I5353" s="2" t="s">
        <v>4</v>
      </c>
      <c r="J5353" s="2" t="s">
        <v>6091</v>
      </c>
      <c r="K5353" s="2" t="s">
        <v>158</v>
      </c>
      <c r="L5353" s="2" t="s">
        <v>159</v>
      </c>
      <c r="M5353" s="2" t="s">
        <v>160</v>
      </c>
      <c r="N5353" s="4" t="str">
        <f t="shared" si="452"/>
        <v>GAL</v>
      </c>
      <c r="O5353" s="5">
        <v>180</v>
      </c>
    </row>
    <row r="5354" spans="2:15" x14ac:dyDescent="0.25">
      <c r="B5354" s="1" t="s">
        <v>645</v>
      </c>
      <c r="C5354" s="2" t="s">
        <v>1025</v>
      </c>
      <c r="D5354" s="2" t="s">
        <v>1026</v>
      </c>
      <c r="E5354" s="2" t="s">
        <v>102</v>
      </c>
      <c r="F5354" s="3">
        <f>DATE(2024,6,24)</f>
        <v>45467</v>
      </c>
      <c r="G5354" s="4">
        <f t="shared" si="450"/>
        <v>6</v>
      </c>
      <c r="H5354" s="4">
        <f t="shared" si="451"/>
        <v>2024</v>
      </c>
      <c r="I5354" s="2" t="s">
        <v>4</v>
      </c>
      <c r="J5354" s="2" t="s">
        <v>6092</v>
      </c>
      <c r="K5354" s="2" t="s">
        <v>1028</v>
      </c>
      <c r="L5354" s="2" t="s">
        <v>2198</v>
      </c>
      <c r="M5354" s="2" t="s">
        <v>106</v>
      </c>
      <c r="N5354" s="4" t="str">
        <f t="shared" si="452"/>
        <v>LBS</v>
      </c>
      <c r="O5354" s="5">
        <v>21720</v>
      </c>
    </row>
    <row r="5355" spans="2:15" x14ac:dyDescent="0.25">
      <c r="B5355" s="1" t="s">
        <v>1742</v>
      </c>
      <c r="C5355" s="2" t="s">
        <v>1025</v>
      </c>
      <c r="D5355" s="2" t="s">
        <v>628</v>
      </c>
      <c r="E5355" s="2" t="s">
        <v>6093</v>
      </c>
      <c r="F5355" s="3">
        <f>DATE(2024,6,26)</f>
        <v>45469</v>
      </c>
      <c r="G5355" s="4">
        <f t="shared" si="450"/>
        <v>6</v>
      </c>
      <c r="H5355" s="4">
        <f t="shared" si="451"/>
        <v>2024</v>
      </c>
      <c r="I5355" s="2" t="s">
        <v>4</v>
      </c>
      <c r="J5355" s="2" t="s">
        <v>6094</v>
      </c>
      <c r="K5355" s="2" t="s">
        <v>2083</v>
      </c>
      <c r="L5355" s="2" t="s">
        <v>2084</v>
      </c>
      <c r="M5355" s="2" t="s">
        <v>119</v>
      </c>
      <c r="N5355" s="4" t="str">
        <f t="shared" si="452"/>
        <v>TON</v>
      </c>
      <c r="O5355" s="5">
        <v>2.5049999999999999</v>
      </c>
    </row>
    <row r="5356" spans="2:15" x14ac:dyDescent="0.25">
      <c r="B5356" s="6" t="s">
        <v>1742</v>
      </c>
      <c r="C5356" s="7" t="s">
        <v>1025</v>
      </c>
      <c r="D5356" s="8" t="s">
        <v>2478</v>
      </c>
      <c r="E5356" s="8" t="s">
        <v>124</v>
      </c>
      <c r="F5356" s="9">
        <f>DATE(2024,6,26)</f>
        <v>45469</v>
      </c>
      <c r="G5356" s="10">
        <f t="shared" si="450"/>
        <v>6</v>
      </c>
      <c r="H5356" s="10">
        <f t="shared" si="451"/>
        <v>2024</v>
      </c>
      <c r="I5356" s="8" t="s">
        <v>4</v>
      </c>
      <c r="J5356" s="7" t="s">
        <v>6095</v>
      </c>
      <c r="K5356" s="8" t="s">
        <v>6096</v>
      </c>
      <c r="L5356" s="8" t="s">
        <v>6097</v>
      </c>
      <c r="M5356" s="8" t="s">
        <v>119</v>
      </c>
      <c r="N5356" s="10" t="str">
        <f t="shared" si="452"/>
        <v>TON</v>
      </c>
      <c r="O5356" s="11">
        <v>5</v>
      </c>
    </row>
    <row r="5357" spans="2:15" x14ac:dyDescent="0.25">
      <c r="B5357" s="1" t="s">
        <v>1410</v>
      </c>
      <c r="C5357" s="2" t="s">
        <v>525</v>
      </c>
      <c r="D5357" s="2" t="s">
        <v>1956</v>
      </c>
      <c r="E5357" s="2" t="s">
        <v>102</v>
      </c>
      <c r="F5357" s="3">
        <f>DATE(2024,6,28)</f>
        <v>45471</v>
      </c>
      <c r="G5357" s="4">
        <f t="shared" si="450"/>
        <v>6</v>
      </c>
      <c r="H5357" s="4">
        <f t="shared" si="451"/>
        <v>2024</v>
      </c>
      <c r="I5357" s="2" t="s">
        <v>4</v>
      </c>
      <c r="J5357" s="2" t="s">
        <v>6098</v>
      </c>
      <c r="K5357" s="2" t="s">
        <v>122</v>
      </c>
      <c r="L5357" s="2" t="s">
        <v>123</v>
      </c>
      <c r="M5357" s="2" t="s">
        <v>119</v>
      </c>
      <c r="N5357" s="4" t="str">
        <f t="shared" si="452"/>
        <v>TON</v>
      </c>
      <c r="O5357" s="5">
        <v>0.3</v>
      </c>
    </row>
    <row r="5358" spans="2:15" x14ac:dyDescent="0.25">
      <c r="B5358" s="1" t="s">
        <v>645</v>
      </c>
      <c r="C5358" s="2" t="s">
        <v>533</v>
      </c>
      <c r="D5358" s="2" t="s">
        <v>562</v>
      </c>
      <c r="E5358" s="2" t="s">
        <v>2151</v>
      </c>
      <c r="F5358" s="3">
        <f>DATE(2024,6,4)</f>
        <v>45447</v>
      </c>
      <c r="G5358" s="4">
        <f t="shared" si="450"/>
        <v>6</v>
      </c>
      <c r="H5358" s="4">
        <f t="shared" si="451"/>
        <v>2024</v>
      </c>
      <c r="I5358" s="2" t="s">
        <v>4</v>
      </c>
      <c r="J5358" s="2" t="s">
        <v>6099</v>
      </c>
      <c r="K5358" s="2" t="s">
        <v>1505</v>
      </c>
      <c r="L5358" s="2" t="s">
        <v>182</v>
      </c>
      <c r="M5358" s="2" t="s">
        <v>183</v>
      </c>
      <c r="N5358" s="4" t="str">
        <f t="shared" si="452"/>
        <v>GAL</v>
      </c>
      <c r="O5358" s="5">
        <v>250</v>
      </c>
    </row>
    <row r="5359" spans="2:15" x14ac:dyDescent="0.25">
      <c r="B5359" s="1" t="s">
        <v>645</v>
      </c>
      <c r="C5359" s="2" t="s">
        <v>533</v>
      </c>
      <c r="D5359" s="2" t="s">
        <v>534</v>
      </c>
      <c r="E5359" s="2" t="s">
        <v>535</v>
      </c>
      <c r="F5359" s="3">
        <f t="shared" ref="F5359:F5364" si="453">DATE(2024,6,5)</f>
        <v>45448</v>
      </c>
      <c r="G5359" s="4">
        <f t="shared" si="450"/>
        <v>6</v>
      </c>
      <c r="H5359" s="4">
        <f t="shared" si="451"/>
        <v>2024</v>
      </c>
      <c r="I5359" s="2" t="s">
        <v>4</v>
      </c>
      <c r="J5359" s="2" t="s">
        <v>6100</v>
      </c>
      <c r="K5359" s="2" t="s">
        <v>649</v>
      </c>
      <c r="L5359" s="2" t="s">
        <v>538</v>
      </c>
      <c r="M5359" s="2" t="s">
        <v>4243</v>
      </c>
      <c r="N5359" s="4" t="str">
        <f t="shared" si="452"/>
        <v>GAL</v>
      </c>
      <c r="O5359" s="5">
        <v>250</v>
      </c>
    </row>
    <row r="5360" spans="2:15" x14ac:dyDescent="0.25">
      <c r="B5360" s="1" t="s">
        <v>645</v>
      </c>
      <c r="C5360" s="2" t="s">
        <v>533</v>
      </c>
      <c r="D5360" s="2" t="s">
        <v>534</v>
      </c>
      <c r="E5360" s="2" t="s">
        <v>535</v>
      </c>
      <c r="F5360" s="3">
        <f t="shared" si="453"/>
        <v>45448</v>
      </c>
      <c r="G5360" s="4">
        <f t="shared" si="450"/>
        <v>6</v>
      </c>
      <c r="H5360" s="4">
        <f t="shared" si="451"/>
        <v>2024</v>
      </c>
      <c r="I5360" s="2" t="s">
        <v>4</v>
      </c>
      <c r="J5360" s="2" t="s">
        <v>6100</v>
      </c>
      <c r="K5360" s="2" t="s">
        <v>1188</v>
      </c>
      <c r="L5360" s="2" t="s">
        <v>541</v>
      </c>
      <c r="M5360" s="2" t="s">
        <v>27</v>
      </c>
      <c r="N5360" s="4" t="str">
        <f t="shared" si="452"/>
        <v>GAL</v>
      </c>
      <c r="O5360" s="5">
        <v>250</v>
      </c>
    </row>
    <row r="5361" spans="2:15" x14ac:dyDescent="0.25">
      <c r="B5361" s="1" t="s">
        <v>645</v>
      </c>
      <c r="C5361" s="2" t="s">
        <v>533</v>
      </c>
      <c r="D5361" s="2" t="s">
        <v>534</v>
      </c>
      <c r="E5361" s="2" t="s">
        <v>535</v>
      </c>
      <c r="F5361" s="3">
        <f t="shared" si="453"/>
        <v>45448</v>
      </c>
      <c r="G5361" s="4">
        <f t="shared" si="450"/>
        <v>6</v>
      </c>
      <c r="H5361" s="4">
        <f t="shared" si="451"/>
        <v>2024</v>
      </c>
      <c r="I5361" s="2" t="s">
        <v>4</v>
      </c>
      <c r="J5361" s="2" t="s">
        <v>6100</v>
      </c>
      <c r="K5361" s="2" t="s">
        <v>542</v>
      </c>
      <c r="L5361" s="2" t="s">
        <v>543</v>
      </c>
      <c r="M5361" s="2" t="s">
        <v>27</v>
      </c>
      <c r="N5361" s="4" t="str">
        <f t="shared" si="452"/>
        <v>GAL</v>
      </c>
      <c r="O5361" s="5">
        <v>55</v>
      </c>
    </row>
    <row r="5362" spans="2:15" x14ac:dyDescent="0.25">
      <c r="B5362" s="1" t="s">
        <v>645</v>
      </c>
      <c r="C5362" s="2" t="s">
        <v>533</v>
      </c>
      <c r="D5362" s="2" t="s">
        <v>534</v>
      </c>
      <c r="E5362" s="2" t="s">
        <v>535</v>
      </c>
      <c r="F5362" s="3">
        <f t="shared" si="453"/>
        <v>45448</v>
      </c>
      <c r="G5362" s="4">
        <f t="shared" si="450"/>
        <v>6</v>
      </c>
      <c r="H5362" s="4">
        <f t="shared" si="451"/>
        <v>2024</v>
      </c>
      <c r="I5362" s="2" t="s">
        <v>4</v>
      </c>
      <c r="J5362" s="2" t="s">
        <v>6100</v>
      </c>
      <c r="K5362" s="2" t="s">
        <v>1780</v>
      </c>
      <c r="L5362" s="2" t="s">
        <v>1867</v>
      </c>
      <c r="M5362" s="2" t="s">
        <v>73</v>
      </c>
      <c r="N5362" s="4" t="str">
        <f t="shared" si="452"/>
        <v>GAL</v>
      </c>
      <c r="O5362" s="5">
        <v>55</v>
      </c>
    </row>
    <row r="5363" spans="2:15" x14ac:dyDescent="0.25">
      <c r="B5363" s="1" t="s">
        <v>645</v>
      </c>
      <c r="C5363" s="2" t="s">
        <v>533</v>
      </c>
      <c r="D5363" s="2" t="s">
        <v>534</v>
      </c>
      <c r="E5363" s="2" t="s">
        <v>535</v>
      </c>
      <c r="F5363" s="3">
        <f t="shared" si="453"/>
        <v>45448</v>
      </c>
      <c r="G5363" s="4">
        <f t="shared" si="450"/>
        <v>6</v>
      </c>
      <c r="H5363" s="4">
        <f t="shared" si="451"/>
        <v>2024</v>
      </c>
      <c r="I5363" s="2" t="s">
        <v>4</v>
      </c>
      <c r="J5363" s="2" t="s">
        <v>6100</v>
      </c>
      <c r="K5363" s="2" t="s">
        <v>548</v>
      </c>
      <c r="L5363" s="2" t="s">
        <v>518</v>
      </c>
      <c r="M5363" s="2" t="s">
        <v>85</v>
      </c>
      <c r="N5363" s="4" t="str">
        <f t="shared" si="452"/>
        <v>GAL</v>
      </c>
      <c r="O5363" s="5">
        <v>250</v>
      </c>
    </row>
    <row r="5364" spans="2:15" x14ac:dyDescent="0.25">
      <c r="B5364" s="1" t="s">
        <v>645</v>
      </c>
      <c r="C5364" s="2" t="s">
        <v>533</v>
      </c>
      <c r="D5364" s="2" t="s">
        <v>534</v>
      </c>
      <c r="E5364" s="2" t="s">
        <v>535</v>
      </c>
      <c r="F5364" s="3">
        <f t="shared" si="453"/>
        <v>45448</v>
      </c>
      <c r="G5364" s="4">
        <f t="shared" si="450"/>
        <v>6</v>
      </c>
      <c r="H5364" s="4">
        <f t="shared" si="451"/>
        <v>2024</v>
      </c>
      <c r="I5364" s="2" t="s">
        <v>4</v>
      </c>
      <c r="J5364" s="2" t="s">
        <v>6100</v>
      </c>
      <c r="K5364" s="2" t="s">
        <v>2519</v>
      </c>
      <c r="L5364" s="2" t="s">
        <v>550</v>
      </c>
      <c r="M5364" s="2" t="s">
        <v>52</v>
      </c>
      <c r="N5364" s="4" t="str">
        <f t="shared" si="452"/>
        <v>GAL</v>
      </c>
      <c r="O5364" s="5">
        <v>250</v>
      </c>
    </row>
    <row r="5365" spans="2:15" x14ac:dyDescent="0.25">
      <c r="B5365" s="1" t="s">
        <v>1050</v>
      </c>
      <c r="C5365" s="2" t="s">
        <v>533</v>
      </c>
      <c r="D5365" s="2" t="s">
        <v>557</v>
      </c>
      <c r="E5365" s="2" t="s">
        <v>2826</v>
      </c>
      <c r="F5365" s="3">
        <f>DATE(2024,6,7)</f>
        <v>45450</v>
      </c>
      <c r="G5365" s="4">
        <f t="shared" si="450"/>
        <v>6</v>
      </c>
      <c r="H5365" s="4">
        <f t="shared" si="451"/>
        <v>2024</v>
      </c>
      <c r="I5365" s="2" t="s">
        <v>4</v>
      </c>
      <c r="J5365" s="2" t="s">
        <v>6101</v>
      </c>
      <c r="K5365" s="2" t="s">
        <v>817</v>
      </c>
      <c r="L5365" s="2" t="s">
        <v>818</v>
      </c>
      <c r="M5365" s="2" t="s">
        <v>556</v>
      </c>
      <c r="N5365" s="4" t="str">
        <f t="shared" si="452"/>
        <v>GAL</v>
      </c>
      <c r="O5365" s="5">
        <v>180</v>
      </c>
    </row>
    <row r="5366" spans="2:15" x14ac:dyDescent="0.25">
      <c r="B5366" s="1" t="s">
        <v>1050</v>
      </c>
      <c r="C5366" s="2" t="s">
        <v>533</v>
      </c>
      <c r="D5366" s="2" t="s">
        <v>628</v>
      </c>
      <c r="E5366" s="2" t="s">
        <v>2145</v>
      </c>
      <c r="F5366" s="3">
        <f>DATE(2024,6,10)</f>
        <v>45453</v>
      </c>
      <c r="G5366" s="4">
        <f t="shared" si="450"/>
        <v>6</v>
      </c>
      <c r="H5366" s="4">
        <f t="shared" si="451"/>
        <v>2024</v>
      </c>
      <c r="I5366" s="2" t="s">
        <v>4</v>
      </c>
      <c r="J5366" s="2" t="s">
        <v>6102</v>
      </c>
      <c r="K5366" s="2" t="s">
        <v>2553</v>
      </c>
      <c r="L5366" s="2" t="s">
        <v>2527</v>
      </c>
      <c r="M5366" s="2" t="s">
        <v>1448</v>
      </c>
      <c r="N5366" s="4" t="str">
        <f t="shared" si="452"/>
        <v>GAL</v>
      </c>
      <c r="O5366" s="5">
        <v>4000</v>
      </c>
    </row>
    <row r="5367" spans="2:15" x14ac:dyDescent="0.25">
      <c r="B5367" s="1" t="s">
        <v>645</v>
      </c>
      <c r="C5367" s="2" t="s">
        <v>533</v>
      </c>
      <c r="D5367" s="2" t="s">
        <v>557</v>
      </c>
      <c r="E5367" s="2" t="s">
        <v>1090</v>
      </c>
      <c r="F5367" s="3">
        <f>DATE(2024,6,11)</f>
        <v>45454</v>
      </c>
      <c r="G5367" s="4">
        <f t="shared" si="450"/>
        <v>6</v>
      </c>
      <c r="H5367" s="4">
        <f t="shared" si="451"/>
        <v>2024</v>
      </c>
      <c r="I5367" s="2" t="s">
        <v>4</v>
      </c>
      <c r="J5367" s="2" t="s">
        <v>6103</v>
      </c>
      <c r="K5367" s="2" t="s">
        <v>2536</v>
      </c>
      <c r="L5367" s="2" t="s">
        <v>2537</v>
      </c>
      <c r="M5367" s="2" t="s">
        <v>131</v>
      </c>
      <c r="N5367" s="4" t="str">
        <f t="shared" si="452"/>
        <v>GAL</v>
      </c>
      <c r="O5367" s="5">
        <v>360</v>
      </c>
    </row>
    <row r="5368" spans="2:15" x14ac:dyDescent="0.25">
      <c r="B5368" s="1" t="s">
        <v>1050</v>
      </c>
      <c r="C5368" s="2" t="s">
        <v>533</v>
      </c>
      <c r="D5368" s="2" t="s">
        <v>628</v>
      </c>
      <c r="E5368" s="2" t="s">
        <v>2524</v>
      </c>
      <c r="F5368" s="3">
        <f>DATE(2024,6,11)</f>
        <v>45454</v>
      </c>
      <c r="G5368" s="4">
        <f t="shared" si="450"/>
        <v>6</v>
      </c>
      <c r="H5368" s="4">
        <f t="shared" si="451"/>
        <v>2024</v>
      </c>
      <c r="I5368" s="2" t="s">
        <v>4</v>
      </c>
      <c r="J5368" s="2" t="s">
        <v>6104</v>
      </c>
      <c r="K5368" s="2" t="s">
        <v>2553</v>
      </c>
      <c r="L5368" s="2" t="s">
        <v>2527</v>
      </c>
      <c r="M5368" s="2" t="s">
        <v>1448</v>
      </c>
      <c r="N5368" s="4" t="str">
        <f t="shared" si="452"/>
        <v>GAL</v>
      </c>
      <c r="O5368" s="5">
        <v>4000</v>
      </c>
    </row>
    <row r="5369" spans="2:15" x14ac:dyDescent="0.25">
      <c r="B5369" s="1" t="s">
        <v>1050</v>
      </c>
      <c r="C5369" s="2" t="s">
        <v>533</v>
      </c>
      <c r="D5369" s="2" t="s">
        <v>628</v>
      </c>
      <c r="E5369" s="2" t="s">
        <v>2149</v>
      </c>
      <c r="F5369" s="3">
        <f>DATE(2024,6,13)</f>
        <v>45456</v>
      </c>
      <c r="G5369" s="4">
        <f t="shared" si="450"/>
        <v>6</v>
      </c>
      <c r="H5369" s="4">
        <f t="shared" si="451"/>
        <v>2024</v>
      </c>
      <c r="I5369" s="2" t="s">
        <v>4</v>
      </c>
      <c r="J5369" s="2" t="s">
        <v>6105</v>
      </c>
      <c r="K5369" s="2" t="s">
        <v>2553</v>
      </c>
      <c r="L5369" s="2" t="s">
        <v>2527</v>
      </c>
      <c r="M5369" s="2" t="s">
        <v>1448</v>
      </c>
      <c r="N5369" s="4" t="str">
        <f t="shared" si="452"/>
        <v>GAL</v>
      </c>
      <c r="O5369" s="5">
        <v>4000</v>
      </c>
    </row>
    <row r="5370" spans="2:15" x14ac:dyDescent="0.25">
      <c r="B5370" s="6" t="s">
        <v>645</v>
      </c>
      <c r="C5370" s="7" t="s">
        <v>533</v>
      </c>
      <c r="D5370" s="8" t="s">
        <v>534</v>
      </c>
      <c r="E5370" s="8" t="s">
        <v>535</v>
      </c>
      <c r="F5370" s="9">
        <f>DATE(2024,6,19)</f>
        <v>45462</v>
      </c>
      <c r="G5370" s="10">
        <f t="shared" si="450"/>
        <v>6</v>
      </c>
      <c r="H5370" s="10">
        <f t="shared" si="451"/>
        <v>2024</v>
      </c>
      <c r="I5370" s="8" t="s">
        <v>4</v>
      </c>
      <c r="J5370" s="7" t="s">
        <v>6106</v>
      </c>
      <c r="K5370" s="8" t="s">
        <v>2889</v>
      </c>
      <c r="L5370" s="8" t="s">
        <v>99</v>
      </c>
      <c r="M5370" s="8" t="s">
        <v>100</v>
      </c>
      <c r="N5370" s="10" t="str">
        <f t="shared" si="452"/>
        <v>GAL</v>
      </c>
      <c r="O5370" s="11">
        <v>55</v>
      </c>
    </row>
    <row r="5371" spans="2:15" x14ac:dyDescent="0.25">
      <c r="B5371" s="1" t="s">
        <v>1050</v>
      </c>
      <c r="C5371" s="2" t="s">
        <v>533</v>
      </c>
      <c r="D5371" s="2" t="s">
        <v>557</v>
      </c>
      <c r="E5371" s="2" t="s">
        <v>2826</v>
      </c>
      <c r="F5371" s="3">
        <f>DATE(2024,6,20)</f>
        <v>45463</v>
      </c>
      <c r="G5371" s="4">
        <f t="shared" si="450"/>
        <v>6</v>
      </c>
      <c r="H5371" s="4">
        <f t="shared" si="451"/>
        <v>2024</v>
      </c>
      <c r="I5371" s="2" t="s">
        <v>4</v>
      </c>
      <c r="J5371" s="2" t="s">
        <v>6107</v>
      </c>
      <c r="K5371" s="2" t="s">
        <v>817</v>
      </c>
      <c r="L5371" s="2" t="s">
        <v>818</v>
      </c>
      <c r="M5371" s="2" t="s">
        <v>556</v>
      </c>
      <c r="N5371" s="4" t="str">
        <f t="shared" si="452"/>
        <v>GAL</v>
      </c>
      <c r="O5371" s="5">
        <v>180</v>
      </c>
    </row>
    <row r="5372" spans="2:15" x14ac:dyDescent="0.25">
      <c r="B5372" s="1" t="s">
        <v>1050</v>
      </c>
      <c r="C5372" s="2" t="s">
        <v>533</v>
      </c>
      <c r="D5372" s="2" t="s">
        <v>1047</v>
      </c>
      <c r="E5372" s="2" t="s">
        <v>2554</v>
      </c>
      <c r="F5372" s="3">
        <f>DATE(2024,6,26)</f>
        <v>45469</v>
      </c>
      <c r="G5372" s="4">
        <f t="shared" si="450"/>
        <v>6</v>
      </c>
      <c r="H5372" s="4">
        <f t="shared" si="451"/>
        <v>2024</v>
      </c>
      <c r="I5372" s="2" t="s">
        <v>4</v>
      </c>
      <c r="J5372" s="2" t="s">
        <v>6108</v>
      </c>
      <c r="K5372" s="2" t="s">
        <v>2530</v>
      </c>
      <c r="L5372" s="2" t="s">
        <v>2531</v>
      </c>
      <c r="M5372" s="2" t="s">
        <v>2532</v>
      </c>
      <c r="N5372" s="4" t="str">
        <f t="shared" si="452"/>
        <v>GAL</v>
      </c>
      <c r="O5372" s="5">
        <v>70</v>
      </c>
    </row>
    <row r="5373" spans="2:15" x14ac:dyDescent="0.25">
      <c r="B5373" s="1" t="s">
        <v>1050</v>
      </c>
      <c r="C5373" s="2" t="s">
        <v>533</v>
      </c>
      <c r="D5373" s="2" t="s">
        <v>1047</v>
      </c>
      <c r="E5373" s="2" t="s">
        <v>2554</v>
      </c>
      <c r="F5373" s="3">
        <f>DATE(2024,6,26)</f>
        <v>45469</v>
      </c>
      <c r="G5373" s="4">
        <f t="shared" si="450"/>
        <v>6</v>
      </c>
      <c r="H5373" s="4">
        <f t="shared" si="451"/>
        <v>2024</v>
      </c>
      <c r="I5373" s="2" t="s">
        <v>4</v>
      </c>
      <c r="J5373" s="2" t="s">
        <v>6108</v>
      </c>
      <c r="K5373" s="2" t="s">
        <v>2556</v>
      </c>
      <c r="L5373" s="2" t="s">
        <v>2557</v>
      </c>
      <c r="M5373" s="2" t="s">
        <v>5714</v>
      </c>
      <c r="N5373" s="4" t="str">
        <f t="shared" si="452"/>
        <v>GAL</v>
      </c>
      <c r="O5373" s="5">
        <v>90</v>
      </c>
    </row>
    <row r="5374" spans="2:15" x14ac:dyDescent="0.25">
      <c r="B5374" s="1" t="s">
        <v>1050</v>
      </c>
      <c r="C5374" s="2" t="s">
        <v>533</v>
      </c>
      <c r="D5374" s="2" t="s">
        <v>1047</v>
      </c>
      <c r="E5374" s="2" t="s">
        <v>2554</v>
      </c>
      <c r="F5374" s="3">
        <f>DATE(2024,6,26)</f>
        <v>45469</v>
      </c>
      <c r="G5374" s="4">
        <f t="shared" si="450"/>
        <v>6</v>
      </c>
      <c r="H5374" s="4">
        <f t="shared" si="451"/>
        <v>2024</v>
      </c>
      <c r="I5374" s="2" t="s">
        <v>4</v>
      </c>
      <c r="J5374" s="2" t="s">
        <v>6108</v>
      </c>
      <c r="K5374" s="2" t="s">
        <v>22</v>
      </c>
      <c r="L5374" s="2" t="s">
        <v>5951</v>
      </c>
      <c r="M5374" s="2" t="s">
        <v>24</v>
      </c>
      <c r="N5374" s="4" t="str">
        <f t="shared" si="452"/>
        <v>GAL</v>
      </c>
      <c r="O5374" s="5">
        <v>20</v>
      </c>
    </row>
    <row r="5375" spans="2:15" x14ac:dyDescent="0.25">
      <c r="B5375" s="1" t="s">
        <v>1050</v>
      </c>
      <c r="C5375" s="2" t="s">
        <v>533</v>
      </c>
      <c r="D5375" s="2" t="s">
        <v>1047</v>
      </c>
      <c r="E5375" s="2" t="s">
        <v>6109</v>
      </c>
      <c r="F5375" s="3">
        <f>DATE(2024,6,27)</f>
        <v>45470</v>
      </c>
      <c r="G5375" s="4">
        <f t="shared" si="450"/>
        <v>6</v>
      </c>
      <c r="H5375" s="4">
        <f t="shared" si="451"/>
        <v>2024</v>
      </c>
      <c r="I5375" s="2" t="s">
        <v>4</v>
      </c>
      <c r="J5375" s="2" t="s">
        <v>6110</v>
      </c>
      <c r="K5375" s="2" t="s">
        <v>2530</v>
      </c>
      <c r="L5375" s="2" t="s">
        <v>2531</v>
      </c>
      <c r="M5375" s="2" t="s">
        <v>2532</v>
      </c>
      <c r="N5375" s="4" t="str">
        <f t="shared" si="452"/>
        <v>GAL</v>
      </c>
      <c r="O5375" s="5">
        <v>55</v>
      </c>
    </row>
    <row r="5376" spans="2:15" x14ac:dyDescent="0.25">
      <c r="B5376" s="1" t="s">
        <v>3113</v>
      </c>
      <c r="C5376" s="2" t="s">
        <v>3114</v>
      </c>
      <c r="D5376" s="2" t="s">
        <v>5736</v>
      </c>
      <c r="E5376" s="2" t="s">
        <v>6111</v>
      </c>
      <c r="F5376" s="3">
        <f>DATE(2024,6,7)</f>
        <v>45450</v>
      </c>
      <c r="G5376" s="4">
        <f t="shared" si="450"/>
        <v>6</v>
      </c>
      <c r="H5376" s="4">
        <f t="shared" si="451"/>
        <v>2024</v>
      </c>
      <c r="I5376" s="2" t="s">
        <v>4</v>
      </c>
      <c r="J5376" s="2" t="s">
        <v>6112</v>
      </c>
      <c r="K5376" s="2" t="s">
        <v>6079</v>
      </c>
      <c r="L5376" s="2" t="s">
        <v>6080</v>
      </c>
      <c r="M5376" s="2" t="s">
        <v>6081</v>
      </c>
      <c r="N5376" s="4" t="str">
        <f t="shared" si="452"/>
        <v>GAL</v>
      </c>
      <c r="O5376" s="5">
        <v>20</v>
      </c>
    </row>
    <row r="5377" spans="2:15" x14ac:dyDescent="0.25">
      <c r="B5377" s="1" t="s">
        <v>3113</v>
      </c>
      <c r="C5377" s="2" t="s">
        <v>3114</v>
      </c>
      <c r="D5377" s="2" t="s">
        <v>5736</v>
      </c>
      <c r="E5377" s="2" t="s">
        <v>6111</v>
      </c>
      <c r="F5377" s="3">
        <f>DATE(2024,6,7)</f>
        <v>45450</v>
      </c>
      <c r="G5377" s="4">
        <f t="shared" si="450"/>
        <v>6</v>
      </c>
      <c r="H5377" s="4">
        <f t="shared" si="451"/>
        <v>2024</v>
      </c>
      <c r="I5377" s="2" t="s">
        <v>4</v>
      </c>
      <c r="J5377" s="2" t="s">
        <v>6112</v>
      </c>
      <c r="K5377" s="2" t="s">
        <v>1643</v>
      </c>
      <c r="L5377" s="2" t="s">
        <v>1644</v>
      </c>
      <c r="M5377" s="2" t="s">
        <v>46</v>
      </c>
      <c r="N5377" s="4" t="str">
        <f t="shared" si="452"/>
        <v>GAL</v>
      </c>
      <c r="O5377" s="5">
        <v>50</v>
      </c>
    </row>
    <row r="5378" spans="2:15" x14ac:dyDescent="0.25">
      <c r="B5378" s="1" t="s">
        <v>3113</v>
      </c>
      <c r="C5378" s="2" t="s">
        <v>3114</v>
      </c>
      <c r="D5378" s="2" t="s">
        <v>5736</v>
      </c>
      <c r="E5378" s="2" t="s">
        <v>6111</v>
      </c>
      <c r="F5378" s="3">
        <f>DATE(2024,6,7)</f>
        <v>45450</v>
      </c>
      <c r="G5378" s="4">
        <f t="shared" si="450"/>
        <v>6</v>
      </c>
      <c r="H5378" s="4">
        <f t="shared" si="451"/>
        <v>2024</v>
      </c>
      <c r="I5378" s="2" t="s">
        <v>4</v>
      </c>
      <c r="J5378" s="2" t="s">
        <v>6112</v>
      </c>
      <c r="K5378" s="2" t="s">
        <v>1496</v>
      </c>
      <c r="L5378" s="2" t="s">
        <v>159</v>
      </c>
      <c r="M5378" s="2" t="s">
        <v>160</v>
      </c>
      <c r="N5378" s="4" t="str">
        <f t="shared" si="452"/>
        <v>GAL</v>
      </c>
      <c r="O5378" s="5">
        <v>250</v>
      </c>
    </row>
    <row r="5379" spans="2:15" x14ac:dyDescent="0.25">
      <c r="B5379" s="1" t="s">
        <v>3113</v>
      </c>
      <c r="C5379" s="2" t="s">
        <v>3114</v>
      </c>
      <c r="D5379" s="2" t="s">
        <v>5736</v>
      </c>
      <c r="E5379" s="2" t="s">
        <v>6111</v>
      </c>
      <c r="F5379" s="3">
        <f>DATE(2024,6,7)</f>
        <v>45450</v>
      </c>
      <c r="G5379" s="4">
        <f t="shared" si="450"/>
        <v>6</v>
      </c>
      <c r="H5379" s="4">
        <f t="shared" si="451"/>
        <v>2024</v>
      </c>
      <c r="I5379" s="2" t="s">
        <v>4</v>
      </c>
      <c r="J5379" s="2" t="s">
        <v>6112</v>
      </c>
      <c r="K5379" s="2" t="s">
        <v>158</v>
      </c>
      <c r="L5379" s="2" t="s">
        <v>159</v>
      </c>
      <c r="M5379" s="2" t="s">
        <v>160</v>
      </c>
      <c r="N5379" s="4" t="str">
        <f t="shared" si="452"/>
        <v>GAL</v>
      </c>
      <c r="O5379" s="5">
        <v>130</v>
      </c>
    </row>
    <row r="5380" spans="2:15" x14ac:dyDescent="0.25">
      <c r="B5380" s="1" t="s">
        <v>3113</v>
      </c>
      <c r="C5380" s="2" t="s">
        <v>3114</v>
      </c>
      <c r="D5380" s="2" t="s">
        <v>5736</v>
      </c>
      <c r="E5380" s="2" t="s">
        <v>6111</v>
      </c>
      <c r="F5380" s="3">
        <f>DATE(2024,6,7)</f>
        <v>45450</v>
      </c>
      <c r="G5380" s="4">
        <f t="shared" si="450"/>
        <v>6</v>
      </c>
      <c r="H5380" s="4">
        <f t="shared" si="451"/>
        <v>2024</v>
      </c>
      <c r="I5380" s="2" t="s">
        <v>4</v>
      </c>
      <c r="J5380" s="2" t="s">
        <v>6112</v>
      </c>
      <c r="K5380" s="2" t="s">
        <v>158</v>
      </c>
      <c r="L5380" s="2" t="s">
        <v>159</v>
      </c>
      <c r="M5380" s="2" t="s">
        <v>160</v>
      </c>
      <c r="N5380" s="4" t="str">
        <f t="shared" si="452"/>
        <v>GAL</v>
      </c>
      <c r="O5380" s="5">
        <v>40</v>
      </c>
    </row>
    <row r="5381" spans="2:15" x14ac:dyDescent="0.25">
      <c r="B5381" s="1" t="s">
        <v>3113</v>
      </c>
      <c r="C5381" s="2" t="s">
        <v>3114</v>
      </c>
      <c r="D5381" s="2" t="s">
        <v>5736</v>
      </c>
      <c r="E5381" s="2" t="s">
        <v>6113</v>
      </c>
      <c r="F5381" s="3">
        <f>DATE(2024,6,20)</f>
        <v>45463</v>
      </c>
      <c r="G5381" s="4">
        <f t="shared" si="450"/>
        <v>6</v>
      </c>
      <c r="H5381" s="4">
        <f t="shared" si="451"/>
        <v>2024</v>
      </c>
      <c r="I5381" s="2" t="s">
        <v>4</v>
      </c>
      <c r="J5381" s="2" t="s">
        <v>6114</v>
      </c>
      <c r="K5381" s="2" t="s">
        <v>158</v>
      </c>
      <c r="L5381" s="2" t="s">
        <v>159</v>
      </c>
      <c r="M5381" s="2" t="s">
        <v>160</v>
      </c>
      <c r="N5381" s="4" t="str">
        <f t="shared" si="452"/>
        <v>GAL</v>
      </c>
      <c r="O5381" s="5">
        <v>180</v>
      </c>
    </row>
    <row r="5382" spans="2:15" x14ac:dyDescent="0.25">
      <c r="B5382" s="1" t="s">
        <v>3113</v>
      </c>
      <c r="C5382" s="2" t="s">
        <v>3114</v>
      </c>
      <c r="D5382" s="2" t="s">
        <v>5736</v>
      </c>
      <c r="E5382" s="2" t="s">
        <v>102</v>
      </c>
      <c r="F5382" s="3">
        <f>DATE(2024,6,28)</f>
        <v>45471</v>
      </c>
      <c r="G5382" s="4">
        <f t="shared" si="450"/>
        <v>6</v>
      </c>
      <c r="H5382" s="4">
        <f t="shared" si="451"/>
        <v>2024</v>
      </c>
      <c r="I5382" s="2" t="s">
        <v>4</v>
      </c>
      <c r="J5382" s="2" t="s">
        <v>6115</v>
      </c>
      <c r="K5382" s="2" t="s">
        <v>1501</v>
      </c>
      <c r="L5382" s="2" t="s">
        <v>602</v>
      </c>
      <c r="M5382" s="2" t="s">
        <v>41</v>
      </c>
      <c r="N5382" s="4" t="str">
        <f t="shared" si="452"/>
        <v>GAL</v>
      </c>
      <c r="O5382" s="5">
        <v>180</v>
      </c>
    </row>
    <row r="5383" spans="2:15" x14ac:dyDescent="0.25">
      <c r="B5383" s="1" t="s">
        <v>3113</v>
      </c>
      <c r="C5383" s="2" t="s">
        <v>3114</v>
      </c>
      <c r="D5383" s="2" t="s">
        <v>5736</v>
      </c>
      <c r="E5383" s="2" t="s">
        <v>102</v>
      </c>
      <c r="F5383" s="3">
        <f>DATE(2024,6,28)</f>
        <v>45471</v>
      </c>
      <c r="G5383" s="4">
        <f t="shared" si="450"/>
        <v>6</v>
      </c>
      <c r="H5383" s="4">
        <f t="shared" si="451"/>
        <v>2024</v>
      </c>
      <c r="I5383" s="2" t="s">
        <v>4</v>
      </c>
      <c r="J5383" s="2" t="s">
        <v>6115</v>
      </c>
      <c r="K5383" s="2" t="s">
        <v>158</v>
      </c>
      <c r="L5383" s="2" t="s">
        <v>159</v>
      </c>
      <c r="M5383" s="2" t="s">
        <v>160</v>
      </c>
      <c r="N5383" s="4" t="str">
        <f t="shared" si="452"/>
        <v>GAL</v>
      </c>
      <c r="O5383" s="5">
        <v>180</v>
      </c>
    </row>
    <row r="5384" spans="2:15" x14ac:dyDescent="0.25">
      <c r="B5384" s="1" t="s">
        <v>3238</v>
      </c>
      <c r="C5384" s="2" t="s">
        <v>3239</v>
      </c>
      <c r="D5384" s="2" t="s">
        <v>3240</v>
      </c>
      <c r="E5384" s="2" t="s">
        <v>102</v>
      </c>
      <c r="F5384" s="3">
        <f>DATE(2024,6,3)</f>
        <v>45446</v>
      </c>
      <c r="G5384" s="4">
        <f t="shared" si="450"/>
        <v>6</v>
      </c>
      <c r="H5384" s="4">
        <f t="shared" si="451"/>
        <v>2024</v>
      </c>
      <c r="I5384" s="2" t="s">
        <v>4</v>
      </c>
      <c r="J5384" s="2" t="s">
        <v>6116</v>
      </c>
      <c r="K5384" s="2" t="s">
        <v>5129</v>
      </c>
      <c r="L5384" s="2" t="s">
        <v>3654</v>
      </c>
      <c r="M5384" s="2" t="s">
        <v>1071</v>
      </c>
      <c r="N5384" s="4" t="str">
        <f t="shared" si="452"/>
        <v>GAL</v>
      </c>
      <c r="O5384" s="5">
        <v>35</v>
      </c>
    </row>
    <row r="5385" spans="2:15" x14ac:dyDescent="0.25">
      <c r="B5385" s="1" t="s">
        <v>3238</v>
      </c>
      <c r="C5385" s="2" t="s">
        <v>3239</v>
      </c>
      <c r="D5385" s="2" t="s">
        <v>3240</v>
      </c>
      <c r="E5385" s="2" t="s">
        <v>102</v>
      </c>
      <c r="F5385" s="3">
        <f>DATE(2024,6,3)</f>
        <v>45446</v>
      </c>
      <c r="G5385" s="4">
        <f t="shared" si="450"/>
        <v>6</v>
      </c>
      <c r="H5385" s="4">
        <f t="shared" si="451"/>
        <v>2024</v>
      </c>
      <c r="I5385" s="2" t="s">
        <v>4</v>
      </c>
      <c r="J5385" s="2" t="s">
        <v>6116</v>
      </c>
      <c r="K5385" s="2" t="s">
        <v>5998</v>
      </c>
      <c r="L5385" s="2" t="s">
        <v>4258</v>
      </c>
      <c r="M5385" s="2" t="s">
        <v>3251</v>
      </c>
      <c r="N5385" s="4" t="str">
        <f t="shared" si="452"/>
        <v>GAL</v>
      </c>
      <c r="O5385" s="5">
        <v>40</v>
      </c>
    </row>
    <row r="5386" spans="2:15" x14ac:dyDescent="0.25">
      <c r="B5386" s="1" t="s">
        <v>3238</v>
      </c>
      <c r="C5386" s="2" t="s">
        <v>3239</v>
      </c>
      <c r="D5386" s="2" t="s">
        <v>3240</v>
      </c>
      <c r="E5386" s="2" t="s">
        <v>102</v>
      </c>
      <c r="F5386" s="3">
        <f>DATE(2024,6,3)</f>
        <v>45446</v>
      </c>
      <c r="G5386" s="4">
        <f t="shared" si="450"/>
        <v>6</v>
      </c>
      <c r="H5386" s="4">
        <f t="shared" si="451"/>
        <v>2024</v>
      </c>
      <c r="I5386" s="2" t="s">
        <v>4</v>
      </c>
      <c r="J5386" s="2" t="s">
        <v>6116</v>
      </c>
      <c r="K5386" s="2" t="s">
        <v>5971</v>
      </c>
      <c r="L5386" s="2" t="s">
        <v>3515</v>
      </c>
      <c r="M5386" s="2" t="s">
        <v>3516</v>
      </c>
      <c r="N5386" s="4" t="str">
        <f t="shared" si="452"/>
        <v>GAL</v>
      </c>
      <c r="O5386" s="5">
        <v>60</v>
      </c>
    </row>
    <row r="5387" spans="2:15" x14ac:dyDescent="0.25">
      <c r="B5387" s="1" t="s">
        <v>3238</v>
      </c>
      <c r="C5387" s="2" t="s">
        <v>3239</v>
      </c>
      <c r="D5387" s="2" t="s">
        <v>3240</v>
      </c>
      <c r="E5387" s="2" t="s">
        <v>6117</v>
      </c>
      <c r="F5387" s="3">
        <f>DATE(2024,6,4)</f>
        <v>45447</v>
      </c>
      <c r="G5387" s="4">
        <f t="shared" si="450"/>
        <v>6</v>
      </c>
      <c r="H5387" s="4">
        <f t="shared" si="451"/>
        <v>2024</v>
      </c>
      <c r="I5387" s="2" t="s">
        <v>4</v>
      </c>
      <c r="J5387" s="2" t="s">
        <v>6118</v>
      </c>
      <c r="K5387" s="2" t="s">
        <v>4257</v>
      </c>
      <c r="L5387" s="2" t="s">
        <v>4258</v>
      </c>
      <c r="M5387" s="2" t="s">
        <v>3251</v>
      </c>
      <c r="N5387" s="4" t="str">
        <f t="shared" si="452"/>
        <v>GAL</v>
      </c>
      <c r="O5387" s="5">
        <v>250</v>
      </c>
    </row>
    <row r="5388" spans="2:15" x14ac:dyDescent="0.25">
      <c r="B5388" s="1" t="s">
        <v>3238</v>
      </c>
      <c r="C5388" s="2" t="s">
        <v>3239</v>
      </c>
      <c r="D5388" s="2" t="s">
        <v>3240</v>
      </c>
      <c r="E5388" s="2" t="s">
        <v>3379</v>
      </c>
      <c r="F5388" s="3">
        <f>DATE(2024,6,4)</f>
        <v>45447</v>
      </c>
      <c r="G5388" s="4">
        <f t="shared" si="450"/>
        <v>6</v>
      </c>
      <c r="H5388" s="4">
        <f t="shared" si="451"/>
        <v>2024</v>
      </c>
      <c r="I5388" s="2" t="s">
        <v>4</v>
      </c>
      <c r="J5388" s="2" t="s">
        <v>6119</v>
      </c>
      <c r="K5388" s="2" t="s">
        <v>3653</v>
      </c>
      <c r="L5388" s="2" t="s">
        <v>3654</v>
      </c>
      <c r="M5388" s="2" t="s">
        <v>1071</v>
      </c>
      <c r="N5388" s="4" t="str">
        <f t="shared" si="452"/>
        <v>GAL</v>
      </c>
      <c r="O5388" s="5">
        <v>250</v>
      </c>
    </row>
    <row r="5389" spans="2:15" x14ac:dyDescent="0.25">
      <c r="B5389" s="1" t="s">
        <v>3238</v>
      </c>
      <c r="C5389" s="2" t="s">
        <v>3239</v>
      </c>
      <c r="D5389" s="2" t="s">
        <v>6120</v>
      </c>
      <c r="E5389" s="2" t="s">
        <v>6121</v>
      </c>
      <c r="F5389" s="3">
        <f t="shared" ref="F5389:F5402" si="454">DATE(2024,6,6)</f>
        <v>45449</v>
      </c>
      <c r="G5389" s="4">
        <f t="shared" si="450"/>
        <v>6</v>
      </c>
      <c r="H5389" s="4">
        <f t="shared" si="451"/>
        <v>2024</v>
      </c>
      <c r="I5389" s="2" t="s">
        <v>4</v>
      </c>
      <c r="J5389" s="2" t="s">
        <v>6122</v>
      </c>
      <c r="K5389" s="2" t="s">
        <v>998</v>
      </c>
      <c r="L5389" s="2" t="s">
        <v>999</v>
      </c>
      <c r="M5389" s="2" t="s">
        <v>1000</v>
      </c>
      <c r="N5389" s="4" t="str">
        <f t="shared" si="452"/>
        <v>GAL</v>
      </c>
      <c r="O5389" s="5">
        <v>250</v>
      </c>
    </row>
    <row r="5390" spans="2:15" x14ac:dyDescent="0.25">
      <c r="B5390" s="1" t="s">
        <v>3238</v>
      </c>
      <c r="C5390" s="2" t="s">
        <v>3239</v>
      </c>
      <c r="D5390" s="2" t="s">
        <v>3240</v>
      </c>
      <c r="E5390" s="2" t="s">
        <v>6123</v>
      </c>
      <c r="F5390" s="3">
        <f t="shared" si="454"/>
        <v>45449</v>
      </c>
      <c r="G5390" s="4">
        <f t="shared" si="450"/>
        <v>6</v>
      </c>
      <c r="H5390" s="4">
        <f t="shared" si="451"/>
        <v>2024</v>
      </c>
      <c r="I5390" s="2" t="s">
        <v>4</v>
      </c>
      <c r="J5390" s="2" t="s">
        <v>6124</v>
      </c>
      <c r="K5390" s="2" t="s">
        <v>6125</v>
      </c>
      <c r="L5390" s="2" t="s">
        <v>565</v>
      </c>
      <c r="M5390" s="2" t="s">
        <v>21</v>
      </c>
      <c r="N5390" s="4" t="str">
        <f t="shared" si="452"/>
        <v>GAL</v>
      </c>
      <c r="O5390" s="5">
        <v>250</v>
      </c>
    </row>
    <row r="5391" spans="2:15" x14ac:dyDescent="0.25">
      <c r="B5391" s="1" t="s">
        <v>3238</v>
      </c>
      <c r="C5391" s="2" t="s">
        <v>3239</v>
      </c>
      <c r="D5391" s="2" t="s">
        <v>3240</v>
      </c>
      <c r="E5391" s="2" t="s">
        <v>6123</v>
      </c>
      <c r="F5391" s="3">
        <f t="shared" si="454"/>
        <v>45449</v>
      </c>
      <c r="G5391" s="4">
        <f t="shared" si="450"/>
        <v>6</v>
      </c>
      <c r="H5391" s="4">
        <f t="shared" si="451"/>
        <v>2024</v>
      </c>
      <c r="I5391" s="2" t="s">
        <v>4</v>
      </c>
      <c r="J5391" s="2" t="s">
        <v>6126</v>
      </c>
      <c r="K5391" s="2" t="s">
        <v>5469</v>
      </c>
      <c r="L5391" s="2" t="s">
        <v>5470</v>
      </c>
      <c r="M5391" s="2" t="s">
        <v>1046</v>
      </c>
      <c r="N5391" s="4" t="str">
        <f t="shared" si="452"/>
        <v>GAL</v>
      </c>
      <c r="O5391" s="5">
        <v>5</v>
      </c>
    </row>
    <row r="5392" spans="2:15" x14ac:dyDescent="0.25">
      <c r="B5392" s="6" t="s">
        <v>3238</v>
      </c>
      <c r="C5392" s="7" t="s">
        <v>3239</v>
      </c>
      <c r="D5392" s="8" t="s">
        <v>3240</v>
      </c>
      <c r="E5392" s="8" t="s">
        <v>6123</v>
      </c>
      <c r="F5392" s="9">
        <f t="shared" si="454"/>
        <v>45449</v>
      </c>
      <c r="G5392" s="10">
        <f t="shared" si="450"/>
        <v>6</v>
      </c>
      <c r="H5392" s="10">
        <f t="shared" si="451"/>
        <v>2024</v>
      </c>
      <c r="I5392" s="8" t="s">
        <v>4</v>
      </c>
      <c r="J5392" s="7" t="s">
        <v>6126</v>
      </c>
      <c r="K5392" s="8" t="s">
        <v>3399</v>
      </c>
      <c r="L5392" s="8" t="s">
        <v>3400</v>
      </c>
      <c r="M5392" s="8" t="s">
        <v>3401</v>
      </c>
      <c r="N5392" s="10" t="str">
        <f t="shared" si="452"/>
        <v>GAL</v>
      </c>
      <c r="O5392" s="11">
        <v>250</v>
      </c>
    </row>
    <row r="5393" spans="2:15" x14ac:dyDescent="0.25">
      <c r="B5393" s="1" t="s">
        <v>3238</v>
      </c>
      <c r="C5393" s="2" t="s">
        <v>3239</v>
      </c>
      <c r="D5393" s="2" t="s">
        <v>3240</v>
      </c>
      <c r="E5393" s="2" t="s">
        <v>6123</v>
      </c>
      <c r="F5393" s="3">
        <f t="shared" si="454"/>
        <v>45449</v>
      </c>
      <c r="G5393" s="4">
        <f t="shared" si="450"/>
        <v>6</v>
      </c>
      <c r="H5393" s="4">
        <f t="shared" si="451"/>
        <v>2024</v>
      </c>
      <c r="I5393" s="2" t="s">
        <v>4</v>
      </c>
      <c r="J5393" s="2" t="s">
        <v>6127</v>
      </c>
      <c r="K5393" s="2" t="s">
        <v>1800</v>
      </c>
      <c r="L5393" s="2" t="s">
        <v>6128</v>
      </c>
      <c r="M5393" s="2" t="s">
        <v>119</v>
      </c>
      <c r="N5393" s="4" t="str">
        <f t="shared" si="452"/>
        <v>TON</v>
      </c>
      <c r="O5393" s="5">
        <v>1.5249999999999999</v>
      </c>
    </row>
    <row r="5394" spans="2:15" x14ac:dyDescent="0.25">
      <c r="B5394" s="1" t="s">
        <v>3238</v>
      </c>
      <c r="C5394" s="2" t="s">
        <v>3239</v>
      </c>
      <c r="D5394" s="2" t="s">
        <v>3240</v>
      </c>
      <c r="E5394" s="2" t="s">
        <v>6123</v>
      </c>
      <c r="F5394" s="3">
        <f t="shared" si="454"/>
        <v>45449</v>
      </c>
      <c r="G5394" s="4">
        <f t="shared" ref="G5394:G5457" si="455">+MONTH(F5394)</f>
        <v>6</v>
      </c>
      <c r="H5394" s="4">
        <f t="shared" ref="H5394:H5457" si="456">+YEAR(F5394)</f>
        <v>2024</v>
      </c>
      <c r="I5394" s="2" t="s">
        <v>4</v>
      </c>
      <c r="J5394" s="2" t="s">
        <v>6129</v>
      </c>
      <c r="K5394" s="2" t="s">
        <v>5452</v>
      </c>
      <c r="L5394" s="2" t="s">
        <v>3532</v>
      </c>
      <c r="M5394" s="2" t="s">
        <v>119</v>
      </c>
      <c r="N5394" s="4" t="str">
        <f t="shared" ref="N5394:N5437" si="457">LEFT(M5394,3)</f>
        <v>TON</v>
      </c>
      <c r="O5394" s="5">
        <v>1.38</v>
      </c>
    </row>
    <row r="5395" spans="2:15" x14ac:dyDescent="0.25">
      <c r="B5395" s="1" t="s">
        <v>3238</v>
      </c>
      <c r="C5395" s="2" t="s">
        <v>3239</v>
      </c>
      <c r="D5395" s="2" t="s">
        <v>6120</v>
      </c>
      <c r="E5395" s="2" t="s">
        <v>6130</v>
      </c>
      <c r="F5395" s="3">
        <f t="shared" si="454"/>
        <v>45449</v>
      </c>
      <c r="G5395" s="4">
        <f t="shared" si="455"/>
        <v>6</v>
      </c>
      <c r="H5395" s="4">
        <f t="shared" si="456"/>
        <v>2024</v>
      </c>
      <c r="I5395" s="2" t="s">
        <v>4</v>
      </c>
      <c r="J5395" s="2" t="s">
        <v>6131</v>
      </c>
      <c r="K5395" s="2" t="s">
        <v>998</v>
      </c>
      <c r="L5395" s="2" t="s">
        <v>999</v>
      </c>
      <c r="M5395" s="2" t="s">
        <v>1000</v>
      </c>
      <c r="N5395" s="4" t="str">
        <f t="shared" si="457"/>
        <v>GAL</v>
      </c>
      <c r="O5395" s="5">
        <v>250</v>
      </c>
    </row>
    <row r="5396" spans="2:15" x14ac:dyDescent="0.25">
      <c r="B5396" s="1" t="s">
        <v>3238</v>
      </c>
      <c r="C5396" s="2" t="s">
        <v>3239</v>
      </c>
      <c r="D5396" s="2" t="s">
        <v>6120</v>
      </c>
      <c r="E5396" s="2" t="s">
        <v>141</v>
      </c>
      <c r="F5396" s="3">
        <f t="shared" si="454"/>
        <v>45449</v>
      </c>
      <c r="G5396" s="4">
        <f t="shared" si="455"/>
        <v>6</v>
      </c>
      <c r="H5396" s="4">
        <f t="shared" si="456"/>
        <v>2024</v>
      </c>
      <c r="I5396" s="2" t="s">
        <v>4</v>
      </c>
      <c r="J5396" s="2" t="s">
        <v>6132</v>
      </c>
      <c r="K5396" s="2" t="s">
        <v>6133</v>
      </c>
      <c r="L5396" s="2" t="s">
        <v>6134</v>
      </c>
      <c r="M5396" s="2" t="s">
        <v>6135</v>
      </c>
      <c r="N5396" s="4" t="str">
        <f t="shared" si="457"/>
        <v>GAL</v>
      </c>
      <c r="O5396" s="5">
        <v>180</v>
      </c>
    </row>
    <row r="5397" spans="2:15" x14ac:dyDescent="0.25">
      <c r="B5397" s="1" t="s">
        <v>3238</v>
      </c>
      <c r="C5397" s="2" t="s">
        <v>3239</v>
      </c>
      <c r="D5397" s="2" t="s">
        <v>6120</v>
      </c>
      <c r="E5397" s="2" t="s">
        <v>141</v>
      </c>
      <c r="F5397" s="3">
        <f t="shared" si="454"/>
        <v>45449</v>
      </c>
      <c r="G5397" s="4">
        <f t="shared" si="455"/>
        <v>6</v>
      </c>
      <c r="H5397" s="4">
        <f t="shared" si="456"/>
        <v>2024</v>
      </c>
      <c r="I5397" s="2" t="s">
        <v>4</v>
      </c>
      <c r="J5397" s="2" t="s">
        <v>6132</v>
      </c>
      <c r="K5397" s="2" t="s">
        <v>6136</v>
      </c>
      <c r="L5397" s="2" t="s">
        <v>6137</v>
      </c>
      <c r="M5397" s="2" t="s">
        <v>30</v>
      </c>
      <c r="N5397" s="4" t="str">
        <f t="shared" si="457"/>
        <v>GAL</v>
      </c>
      <c r="O5397" s="5">
        <v>180</v>
      </c>
    </row>
    <row r="5398" spans="2:15" x14ac:dyDescent="0.25">
      <c r="B5398" s="1" t="s">
        <v>3238</v>
      </c>
      <c r="C5398" s="2" t="s">
        <v>3239</v>
      </c>
      <c r="D5398" s="2" t="s">
        <v>6120</v>
      </c>
      <c r="E5398" s="2" t="s">
        <v>141</v>
      </c>
      <c r="F5398" s="3">
        <f t="shared" si="454"/>
        <v>45449</v>
      </c>
      <c r="G5398" s="4">
        <f t="shared" si="455"/>
        <v>6</v>
      </c>
      <c r="H5398" s="4">
        <f t="shared" si="456"/>
        <v>2024</v>
      </c>
      <c r="I5398" s="2" t="s">
        <v>4</v>
      </c>
      <c r="J5398" s="2" t="s">
        <v>6132</v>
      </c>
      <c r="K5398" s="2" t="s">
        <v>6138</v>
      </c>
      <c r="L5398" s="2" t="s">
        <v>6139</v>
      </c>
      <c r="M5398" s="2" t="s">
        <v>6140</v>
      </c>
      <c r="N5398" s="4" t="str">
        <f t="shared" si="457"/>
        <v>GAL</v>
      </c>
      <c r="O5398" s="5">
        <v>180</v>
      </c>
    </row>
    <row r="5399" spans="2:15" x14ac:dyDescent="0.25">
      <c r="B5399" s="1" t="s">
        <v>3238</v>
      </c>
      <c r="C5399" s="2" t="s">
        <v>3239</v>
      </c>
      <c r="D5399" s="2" t="s">
        <v>6120</v>
      </c>
      <c r="E5399" s="2" t="s">
        <v>141</v>
      </c>
      <c r="F5399" s="3">
        <f t="shared" si="454"/>
        <v>45449</v>
      </c>
      <c r="G5399" s="4">
        <f t="shared" si="455"/>
        <v>6</v>
      </c>
      <c r="H5399" s="4">
        <f t="shared" si="456"/>
        <v>2024</v>
      </c>
      <c r="I5399" s="2" t="s">
        <v>4</v>
      </c>
      <c r="J5399" s="2" t="s">
        <v>6141</v>
      </c>
      <c r="K5399" s="2" t="s">
        <v>6142</v>
      </c>
      <c r="L5399" s="2" t="s">
        <v>6143</v>
      </c>
      <c r="M5399" s="2" t="s">
        <v>1472</v>
      </c>
      <c r="N5399" s="4" t="str">
        <f t="shared" si="457"/>
        <v>GAL</v>
      </c>
      <c r="O5399" s="5">
        <v>90</v>
      </c>
    </row>
    <row r="5400" spans="2:15" x14ac:dyDescent="0.25">
      <c r="B5400" s="1" t="s">
        <v>3238</v>
      </c>
      <c r="C5400" s="2" t="s">
        <v>3239</v>
      </c>
      <c r="D5400" s="2" t="s">
        <v>6120</v>
      </c>
      <c r="E5400" s="2" t="s">
        <v>141</v>
      </c>
      <c r="F5400" s="3">
        <f t="shared" si="454"/>
        <v>45449</v>
      </c>
      <c r="G5400" s="4">
        <f t="shared" si="455"/>
        <v>6</v>
      </c>
      <c r="H5400" s="4">
        <f t="shared" si="456"/>
        <v>2024</v>
      </c>
      <c r="I5400" s="2" t="s">
        <v>4</v>
      </c>
      <c r="J5400" s="2" t="s">
        <v>6141</v>
      </c>
      <c r="K5400" s="2" t="s">
        <v>6144</v>
      </c>
      <c r="L5400" s="2" t="s">
        <v>6145</v>
      </c>
      <c r="M5400" s="2" t="s">
        <v>49</v>
      </c>
      <c r="N5400" s="4" t="str">
        <f t="shared" si="457"/>
        <v>GAL</v>
      </c>
      <c r="O5400" s="5">
        <v>90</v>
      </c>
    </row>
    <row r="5401" spans="2:15" x14ac:dyDescent="0.25">
      <c r="B5401" s="1" t="s">
        <v>3238</v>
      </c>
      <c r="C5401" s="2" t="s">
        <v>3239</v>
      </c>
      <c r="D5401" s="2" t="s">
        <v>6120</v>
      </c>
      <c r="E5401" s="2" t="s">
        <v>141</v>
      </c>
      <c r="F5401" s="3">
        <f t="shared" si="454"/>
        <v>45449</v>
      </c>
      <c r="G5401" s="4">
        <f t="shared" si="455"/>
        <v>6</v>
      </c>
      <c r="H5401" s="4">
        <f t="shared" si="456"/>
        <v>2024</v>
      </c>
      <c r="I5401" s="2" t="s">
        <v>4</v>
      </c>
      <c r="J5401" s="2" t="s">
        <v>6141</v>
      </c>
      <c r="K5401" s="2" t="s">
        <v>6146</v>
      </c>
      <c r="L5401" s="2" t="s">
        <v>6147</v>
      </c>
      <c r="M5401" s="2" t="s">
        <v>3652</v>
      </c>
      <c r="N5401" s="4" t="str">
        <f t="shared" si="457"/>
        <v>GAL</v>
      </c>
      <c r="O5401" s="5">
        <v>90</v>
      </c>
    </row>
    <row r="5402" spans="2:15" x14ac:dyDescent="0.25">
      <c r="B5402" s="1" t="s">
        <v>3238</v>
      </c>
      <c r="C5402" s="2" t="s">
        <v>3239</v>
      </c>
      <c r="D5402" s="2" t="s">
        <v>6120</v>
      </c>
      <c r="E5402" s="2" t="s">
        <v>141</v>
      </c>
      <c r="F5402" s="3">
        <f t="shared" si="454"/>
        <v>45449</v>
      </c>
      <c r="G5402" s="4">
        <f t="shared" si="455"/>
        <v>6</v>
      </c>
      <c r="H5402" s="4">
        <f t="shared" si="456"/>
        <v>2024</v>
      </c>
      <c r="I5402" s="2" t="s">
        <v>4</v>
      </c>
      <c r="J5402" s="2" t="s">
        <v>6141</v>
      </c>
      <c r="K5402" s="2" t="s">
        <v>1266</v>
      </c>
      <c r="L5402" s="2" t="s">
        <v>6148</v>
      </c>
      <c r="M5402" s="2" t="s">
        <v>191</v>
      </c>
      <c r="N5402" s="4" t="str">
        <f t="shared" si="457"/>
        <v>GAL</v>
      </c>
      <c r="O5402" s="5">
        <v>90</v>
      </c>
    </row>
    <row r="5403" spans="2:15" x14ac:dyDescent="0.25">
      <c r="B5403" s="1" t="s">
        <v>3238</v>
      </c>
      <c r="C5403" s="2" t="s">
        <v>3239</v>
      </c>
      <c r="D5403" s="2" t="s">
        <v>3240</v>
      </c>
      <c r="E5403" s="2" t="s">
        <v>3388</v>
      </c>
      <c r="F5403" s="3">
        <f>DATE(2024,6,7)</f>
        <v>45450</v>
      </c>
      <c r="G5403" s="4">
        <f t="shared" si="455"/>
        <v>6</v>
      </c>
      <c r="H5403" s="4">
        <f t="shared" si="456"/>
        <v>2024</v>
      </c>
      <c r="I5403" s="2" t="s">
        <v>4</v>
      </c>
      <c r="J5403" s="2" t="s">
        <v>6149</v>
      </c>
      <c r="K5403" s="2" t="s">
        <v>6150</v>
      </c>
      <c r="L5403" s="2" t="s">
        <v>6151</v>
      </c>
      <c r="M5403" s="2" t="s">
        <v>6152</v>
      </c>
      <c r="N5403" s="4" t="str">
        <f t="shared" si="457"/>
        <v>GAL</v>
      </c>
      <c r="O5403" s="5">
        <v>500</v>
      </c>
    </row>
    <row r="5404" spans="2:15" x14ac:dyDescent="0.25">
      <c r="B5404" s="1" t="s">
        <v>3238</v>
      </c>
      <c r="C5404" s="2" t="s">
        <v>3239</v>
      </c>
      <c r="D5404" s="2" t="s">
        <v>3240</v>
      </c>
      <c r="E5404" s="2" t="s">
        <v>102</v>
      </c>
      <c r="F5404" s="3">
        <f t="shared" ref="F5404:F5409" si="458">DATE(2024,6,10)</f>
        <v>45453</v>
      </c>
      <c r="G5404" s="4">
        <f t="shared" si="455"/>
        <v>6</v>
      </c>
      <c r="H5404" s="4">
        <f t="shared" si="456"/>
        <v>2024</v>
      </c>
      <c r="I5404" s="2" t="s">
        <v>4</v>
      </c>
      <c r="J5404" s="2" t="s">
        <v>6153</v>
      </c>
      <c r="K5404" s="2" t="s">
        <v>36</v>
      </c>
      <c r="L5404" s="2" t="s">
        <v>6154</v>
      </c>
      <c r="M5404" s="2" t="s">
        <v>38</v>
      </c>
      <c r="N5404" s="4" t="str">
        <f t="shared" si="457"/>
        <v>GAL</v>
      </c>
      <c r="O5404" s="5">
        <v>60</v>
      </c>
    </row>
    <row r="5405" spans="2:15" x14ac:dyDescent="0.25">
      <c r="B5405" s="1" t="s">
        <v>3238</v>
      </c>
      <c r="C5405" s="2" t="s">
        <v>3239</v>
      </c>
      <c r="D5405" s="2" t="s">
        <v>3240</v>
      </c>
      <c r="E5405" s="2" t="s">
        <v>102</v>
      </c>
      <c r="F5405" s="3">
        <f t="shared" si="458"/>
        <v>45453</v>
      </c>
      <c r="G5405" s="4">
        <f t="shared" si="455"/>
        <v>6</v>
      </c>
      <c r="H5405" s="4">
        <f t="shared" si="456"/>
        <v>2024</v>
      </c>
      <c r="I5405" s="2" t="s">
        <v>4</v>
      </c>
      <c r="J5405" s="2" t="s">
        <v>6153</v>
      </c>
      <c r="K5405" s="2" t="s">
        <v>5968</v>
      </c>
      <c r="L5405" s="2" t="s">
        <v>5982</v>
      </c>
      <c r="M5405" s="2" t="s">
        <v>5970</v>
      </c>
      <c r="N5405" s="4" t="str">
        <f t="shared" si="457"/>
        <v>GAL</v>
      </c>
      <c r="O5405" s="5">
        <v>90</v>
      </c>
    </row>
    <row r="5406" spans="2:15" x14ac:dyDescent="0.25">
      <c r="B5406" s="1" t="s">
        <v>3238</v>
      </c>
      <c r="C5406" s="2" t="s">
        <v>3239</v>
      </c>
      <c r="D5406" s="2" t="s">
        <v>3240</v>
      </c>
      <c r="E5406" s="2" t="s">
        <v>102</v>
      </c>
      <c r="F5406" s="3">
        <f t="shared" si="458"/>
        <v>45453</v>
      </c>
      <c r="G5406" s="4">
        <f t="shared" si="455"/>
        <v>6</v>
      </c>
      <c r="H5406" s="4">
        <f t="shared" si="456"/>
        <v>2024</v>
      </c>
      <c r="I5406" s="2" t="s">
        <v>4</v>
      </c>
      <c r="J5406" s="2" t="s">
        <v>6153</v>
      </c>
      <c r="K5406" s="2" t="s">
        <v>2530</v>
      </c>
      <c r="L5406" s="2" t="s">
        <v>3503</v>
      </c>
      <c r="M5406" s="2" t="s">
        <v>2532</v>
      </c>
      <c r="N5406" s="4" t="str">
        <f t="shared" si="457"/>
        <v>GAL</v>
      </c>
      <c r="O5406" s="5">
        <v>90</v>
      </c>
    </row>
    <row r="5407" spans="2:15" x14ac:dyDescent="0.25">
      <c r="B5407" s="1" t="s">
        <v>3238</v>
      </c>
      <c r="C5407" s="2" t="s">
        <v>3239</v>
      </c>
      <c r="D5407" s="2" t="s">
        <v>3240</v>
      </c>
      <c r="E5407" s="2" t="s">
        <v>102</v>
      </c>
      <c r="F5407" s="3">
        <f t="shared" si="458"/>
        <v>45453</v>
      </c>
      <c r="G5407" s="4">
        <f t="shared" si="455"/>
        <v>6</v>
      </c>
      <c r="H5407" s="4">
        <f t="shared" si="456"/>
        <v>2024</v>
      </c>
      <c r="I5407" s="2" t="s">
        <v>4</v>
      </c>
      <c r="J5407" s="2" t="s">
        <v>6153</v>
      </c>
      <c r="K5407" s="2" t="s">
        <v>5998</v>
      </c>
      <c r="L5407" s="2" t="s">
        <v>4258</v>
      </c>
      <c r="M5407" s="2" t="s">
        <v>3251</v>
      </c>
      <c r="N5407" s="4" t="str">
        <f t="shared" si="457"/>
        <v>GAL</v>
      </c>
      <c r="O5407" s="5">
        <v>30</v>
      </c>
    </row>
    <row r="5408" spans="2:15" x14ac:dyDescent="0.25">
      <c r="B5408" s="1" t="s">
        <v>3238</v>
      </c>
      <c r="C5408" s="2" t="s">
        <v>3239</v>
      </c>
      <c r="D5408" s="2" t="s">
        <v>3240</v>
      </c>
      <c r="E5408" s="2" t="s">
        <v>102</v>
      </c>
      <c r="F5408" s="3">
        <f t="shared" si="458"/>
        <v>45453</v>
      </c>
      <c r="G5408" s="4">
        <f t="shared" si="455"/>
        <v>6</v>
      </c>
      <c r="H5408" s="4">
        <f t="shared" si="456"/>
        <v>2024</v>
      </c>
      <c r="I5408" s="2" t="s">
        <v>4</v>
      </c>
      <c r="J5408" s="2" t="s">
        <v>6153</v>
      </c>
      <c r="K5408" s="2" t="s">
        <v>19</v>
      </c>
      <c r="L5408" s="2" t="s">
        <v>6155</v>
      </c>
      <c r="M5408" s="2" t="s">
        <v>21</v>
      </c>
      <c r="N5408" s="4" t="str">
        <f t="shared" si="457"/>
        <v>GAL</v>
      </c>
      <c r="O5408" s="5">
        <v>30</v>
      </c>
    </row>
    <row r="5409" spans="2:15" x14ac:dyDescent="0.25">
      <c r="B5409" s="1" t="s">
        <v>3238</v>
      </c>
      <c r="C5409" s="2" t="s">
        <v>3239</v>
      </c>
      <c r="D5409" s="2" t="s">
        <v>3240</v>
      </c>
      <c r="E5409" s="2" t="s">
        <v>102</v>
      </c>
      <c r="F5409" s="3">
        <f t="shared" si="458"/>
        <v>45453</v>
      </c>
      <c r="G5409" s="4">
        <f t="shared" si="455"/>
        <v>6</v>
      </c>
      <c r="H5409" s="4">
        <f t="shared" si="456"/>
        <v>2024</v>
      </c>
      <c r="I5409" s="2" t="s">
        <v>4</v>
      </c>
      <c r="J5409" s="2" t="s">
        <v>6153</v>
      </c>
      <c r="K5409" s="2" t="s">
        <v>2098</v>
      </c>
      <c r="L5409" s="2" t="s">
        <v>6156</v>
      </c>
      <c r="M5409" s="2" t="s">
        <v>2100</v>
      </c>
      <c r="N5409" s="4" t="str">
        <f t="shared" si="457"/>
        <v>GAL</v>
      </c>
      <c r="O5409" s="5">
        <v>60</v>
      </c>
    </row>
    <row r="5410" spans="2:15" x14ac:dyDescent="0.25">
      <c r="B5410" s="1" t="s">
        <v>3238</v>
      </c>
      <c r="C5410" s="2" t="s">
        <v>3239</v>
      </c>
      <c r="D5410" s="2" t="s">
        <v>3240</v>
      </c>
      <c r="E5410" s="2" t="s">
        <v>102</v>
      </c>
      <c r="F5410" s="3">
        <f>DATE(2024,6,12)</f>
        <v>45455</v>
      </c>
      <c r="G5410" s="4">
        <f t="shared" si="455"/>
        <v>6</v>
      </c>
      <c r="H5410" s="4">
        <f t="shared" si="456"/>
        <v>2024</v>
      </c>
      <c r="I5410" s="2" t="s">
        <v>4</v>
      </c>
      <c r="J5410" s="2" t="s">
        <v>6157</v>
      </c>
      <c r="K5410" s="2" t="s">
        <v>3914</v>
      </c>
      <c r="L5410" s="2" t="s">
        <v>3915</v>
      </c>
      <c r="M5410" s="2" t="s">
        <v>3916</v>
      </c>
      <c r="N5410" s="4" t="str">
        <f t="shared" si="457"/>
        <v>GAL</v>
      </c>
      <c r="O5410" s="5">
        <v>120</v>
      </c>
    </row>
    <row r="5411" spans="2:15" x14ac:dyDescent="0.25">
      <c r="B5411" s="1" t="s">
        <v>3238</v>
      </c>
      <c r="C5411" s="2" t="s">
        <v>3239</v>
      </c>
      <c r="D5411" s="2" t="s">
        <v>3240</v>
      </c>
      <c r="E5411" s="2" t="s">
        <v>102</v>
      </c>
      <c r="F5411" s="3">
        <f>DATE(2024,6,12)</f>
        <v>45455</v>
      </c>
      <c r="G5411" s="4">
        <f t="shared" si="455"/>
        <v>6</v>
      </c>
      <c r="H5411" s="4">
        <f t="shared" si="456"/>
        <v>2024</v>
      </c>
      <c r="I5411" s="2" t="s">
        <v>4</v>
      </c>
      <c r="J5411" s="2" t="s">
        <v>6157</v>
      </c>
      <c r="K5411" s="2" t="s">
        <v>5994</v>
      </c>
      <c r="L5411" s="2" t="s">
        <v>5995</v>
      </c>
      <c r="M5411" s="2" t="s">
        <v>5996</v>
      </c>
      <c r="N5411" s="4" t="str">
        <f t="shared" si="457"/>
        <v>GAL</v>
      </c>
      <c r="O5411" s="5">
        <v>60</v>
      </c>
    </row>
    <row r="5412" spans="2:15" x14ac:dyDescent="0.25">
      <c r="B5412" s="6" t="s">
        <v>3238</v>
      </c>
      <c r="C5412" s="7" t="s">
        <v>3239</v>
      </c>
      <c r="D5412" s="8" t="s">
        <v>3240</v>
      </c>
      <c r="E5412" s="8" t="s">
        <v>102</v>
      </c>
      <c r="F5412" s="9">
        <f>DATE(2024,6,13)</f>
        <v>45456</v>
      </c>
      <c r="G5412" s="10">
        <f t="shared" si="455"/>
        <v>6</v>
      </c>
      <c r="H5412" s="10">
        <f t="shared" si="456"/>
        <v>2024</v>
      </c>
      <c r="I5412" s="8" t="s">
        <v>4</v>
      </c>
      <c r="J5412" s="7" t="s">
        <v>6158</v>
      </c>
      <c r="K5412" s="8" t="s">
        <v>3497</v>
      </c>
      <c r="L5412" s="8" t="s">
        <v>3498</v>
      </c>
      <c r="M5412" s="8" t="s">
        <v>556</v>
      </c>
      <c r="N5412" s="10" t="str">
        <f t="shared" si="457"/>
        <v>GAL</v>
      </c>
      <c r="O5412" s="11">
        <v>750</v>
      </c>
    </row>
    <row r="5413" spans="2:15" x14ac:dyDescent="0.25">
      <c r="B5413" s="1" t="s">
        <v>3238</v>
      </c>
      <c r="C5413" s="2" t="s">
        <v>3239</v>
      </c>
      <c r="D5413" s="2" t="s">
        <v>3240</v>
      </c>
      <c r="E5413" s="2" t="s">
        <v>102</v>
      </c>
      <c r="F5413" s="3">
        <f>DATE(2024,6,13)</f>
        <v>45456</v>
      </c>
      <c r="G5413" s="4">
        <f t="shared" si="455"/>
        <v>6</v>
      </c>
      <c r="H5413" s="4">
        <f t="shared" si="456"/>
        <v>2024</v>
      </c>
      <c r="I5413" s="2" t="s">
        <v>4</v>
      </c>
      <c r="J5413" s="2" t="s">
        <v>6158</v>
      </c>
      <c r="K5413" s="2" t="s">
        <v>4257</v>
      </c>
      <c r="L5413" s="2" t="s">
        <v>4258</v>
      </c>
      <c r="M5413" s="2" t="s">
        <v>3251</v>
      </c>
      <c r="N5413" s="4" t="str">
        <f t="shared" si="457"/>
        <v>GAL</v>
      </c>
      <c r="O5413" s="5">
        <v>550</v>
      </c>
    </row>
    <row r="5414" spans="2:15" x14ac:dyDescent="0.25">
      <c r="B5414" s="1" t="s">
        <v>3238</v>
      </c>
      <c r="C5414" s="2" t="s">
        <v>3239</v>
      </c>
      <c r="D5414" s="2" t="s">
        <v>6120</v>
      </c>
      <c r="E5414" s="2" t="s">
        <v>6159</v>
      </c>
      <c r="F5414" s="3">
        <f>DATE(2024,6,13)</f>
        <v>45456</v>
      </c>
      <c r="G5414" s="4">
        <f t="shared" si="455"/>
        <v>6</v>
      </c>
      <c r="H5414" s="4">
        <f t="shared" si="456"/>
        <v>2024</v>
      </c>
      <c r="I5414" s="2" t="s">
        <v>4</v>
      </c>
      <c r="J5414" s="2" t="s">
        <v>6160</v>
      </c>
      <c r="K5414" s="2" t="s">
        <v>5469</v>
      </c>
      <c r="L5414" s="2" t="s">
        <v>5470</v>
      </c>
      <c r="M5414" s="2" t="s">
        <v>1046</v>
      </c>
      <c r="N5414" s="4" t="str">
        <f t="shared" si="457"/>
        <v>GAL</v>
      </c>
      <c r="O5414" s="5">
        <v>10</v>
      </c>
    </row>
    <row r="5415" spans="2:15" x14ac:dyDescent="0.25">
      <c r="B5415" s="1" t="s">
        <v>3238</v>
      </c>
      <c r="C5415" s="2" t="s">
        <v>3239</v>
      </c>
      <c r="D5415" s="2" t="s">
        <v>6120</v>
      </c>
      <c r="E5415" s="2" t="s">
        <v>6159</v>
      </c>
      <c r="F5415" s="3">
        <f>DATE(2024,6,13)</f>
        <v>45456</v>
      </c>
      <c r="G5415" s="4">
        <f t="shared" si="455"/>
        <v>6</v>
      </c>
      <c r="H5415" s="4">
        <f t="shared" si="456"/>
        <v>2024</v>
      </c>
      <c r="I5415" s="2" t="s">
        <v>4</v>
      </c>
      <c r="J5415" s="2" t="s">
        <v>6160</v>
      </c>
      <c r="K5415" s="2" t="s">
        <v>551</v>
      </c>
      <c r="L5415" s="2" t="s">
        <v>6161</v>
      </c>
      <c r="M5415" s="2" t="s">
        <v>553</v>
      </c>
      <c r="N5415" s="4" t="str">
        <f t="shared" si="457"/>
        <v>GAL</v>
      </c>
      <c r="O5415" s="5">
        <v>15</v>
      </c>
    </row>
    <row r="5416" spans="2:15" x14ac:dyDescent="0.25">
      <c r="B5416" s="1" t="s">
        <v>3238</v>
      </c>
      <c r="C5416" s="2" t="s">
        <v>3239</v>
      </c>
      <c r="D5416" s="2" t="s">
        <v>6120</v>
      </c>
      <c r="E5416" s="2" t="s">
        <v>6162</v>
      </c>
      <c r="F5416" s="3">
        <f>DATE(2024,6,17)</f>
        <v>45460</v>
      </c>
      <c r="G5416" s="4">
        <f t="shared" si="455"/>
        <v>6</v>
      </c>
      <c r="H5416" s="4">
        <f t="shared" si="456"/>
        <v>2024</v>
      </c>
      <c r="I5416" s="2" t="s">
        <v>4</v>
      </c>
      <c r="J5416" s="2" t="s">
        <v>6163</v>
      </c>
      <c r="K5416" s="2" t="s">
        <v>6146</v>
      </c>
      <c r="L5416" s="2" t="s">
        <v>6147</v>
      </c>
      <c r="M5416" s="2" t="s">
        <v>3652</v>
      </c>
      <c r="N5416" s="4" t="str">
        <f t="shared" si="457"/>
        <v>GAL</v>
      </c>
      <c r="O5416" s="5">
        <v>90</v>
      </c>
    </row>
    <row r="5417" spans="2:15" x14ac:dyDescent="0.25">
      <c r="B5417" s="1" t="s">
        <v>3238</v>
      </c>
      <c r="C5417" s="2" t="s">
        <v>3239</v>
      </c>
      <c r="D5417" s="2" t="s">
        <v>6120</v>
      </c>
      <c r="E5417" s="2" t="s">
        <v>6162</v>
      </c>
      <c r="F5417" s="3">
        <f>DATE(2024,6,17)</f>
        <v>45460</v>
      </c>
      <c r="G5417" s="4">
        <f t="shared" si="455"/>
        <v>6</v>
      </c>
      <c r="H5417" s="4">
        <f t="shared" si="456"/>
        <v>2024</v>
      </c>
      <c r="I5417" s="2" t="s">
        <v>4</v>
      </c>
      <c r="J5417" s="2" t="s">
        <v>6163</v>
      </c>
      <c r="K5417" s="2" t="s">
        <v>2098</v>
      </c>
      <c r="L5417" s="2" t="s">
        <v>6164</v>
      </c>
      <c r="M5417" s="2" t="s">
        <v>2100</v>
      </c>
      <c r="N5417" s="4" t="str">
        <f t="shared" si="457"/>
        <v>GAL</v>
      </c>
      <c r="O5417" s="5">
        <v>90</v>
      </c>
    </row>
    <row r="5418" spans="2:15" x14ac:dyDescent="0.25">
      <c r="B5418" s="1" t="s">
        <v>3238</v>
      </c>
      <c r="C5418" s="2" t="s">
        <v>3239</v>
      </c>
      <c r="D5418" s="2" t="s">
        <v>3240</v>
      </c>
      <c r="E5418" s="2" t="s">
        <v>102</v>
      </c>
      <c r="F5418" s="3">
        <f>DATE(2024,6,19)</f>
        <v>45462</v>
      </c>
      <c r="G5418" s="4">
        <f t="shared" si="455"/>
        <v>6</v>
      </c>
      <c r="H5418" s="4">
        <f t="shared" si="456"/>
        <v>2024</v>
      </c>
      <c r="I5418" s="2" t="s">
        <v>4</v>
      </c>
      <c r="J5418" s="2" t="s">
        <v>6165</v>
      </c>
      <c r="K5418" s="2" t="s">
        <v>6166</v>
      </c>
      <c r="L5418" s="2" t="s">
        <v>3244</v>
      </c>
      <c r="M5418" s="2" t="s">
        <v>3245</v>
      </c>
      <c r="N5418" s="4" t="str">
        <f t="shared" si="457"/>
        <v>GAL</v>
      </c>
      <c r="O5418" s="5">
        <v>25</v>
      </c>
    </row>
    <row r="5419" spans="2:15" x14ac:dyDescent="0.25">
      <c r="B5419" s="1" t="s">
        <v>3238</v>
      </c>
      <c r="C5419" s="2" t="s">
        <v>3239</v>
      </c>
      <c r="D5419" s="2" t="s">
        <v>3240</v>
      </c>
      <c r="E5419" s="2" t="s">
        <v>3379</v>
      </c>
      <c r="F5419" s="3">
        <f>DATE(2024,6,20)</f>
        <v>45463</v>
      </c>
      <c r="G5419" s="4">
        <f t="shared" si="455"/>
        <v>6</v>
      </c>
      <c r="H5419" s="4">
        <f t="shared" si="456"/>
        <v>2024</v>
      </c>
      <c r="I5419" s="2" t="s">
        <v>4</v>
      </c>
      <c r="J5419" s="2" t="s">
        <v>6167</v>
      </c>
      <c r="K5419" s="2" t="s">
        <v>3653</v>
      </c>
      <c r="L5419" s="2" t="s">
        <v>3654</v>
      </c>
      <c r="M5419" s="2" t="s">
        <v>1071</v>
      </c>
      <c r="N5419" s="4" t="str">
        <f t="shared" si="457"/>
        <v>GAL</v>
      </c>
      <c r="O5419" s="5">
        <v>250</v>
      </c>
    </row>
    <row r="5420" spans="2:15" x14ac:dyDescent="0.25">
      <c r="B5420" s="1" t="s">
        <v>3238</v>
      </c>
      <c r="C5420" s="2" t="s">
        <v>3239</v>
      </c>
      <c r="D5420" s="2" t="s">
        <v>6120</v>
      </c>
      <c r="E5420" s="2" t="s">
        <v>141</v>
      </c>
      <c r="F5420" s="3">
        <f>DATE(2024,6,21)</f>
        <v>45464</v>
      </c>
      <c r="G5420" s="4">
        <f t="shared" si="455"/>
        <v>6</v>
      </c>
      <c r="H5420" s="4">
        <f t="shared" si="456"/>
        <v>2024</v>
      </c>
      <c r="I5420" s="2" t="s">
        <v>4</v>
      </c>
      <c r="J5420" s="2" t="s">
        <v>6168</v>
      </c>
      <c r="K5420" s="2" t="s">
        <v>1470</v>
      </c>
      <c r="L5420" s="2" t="s">
        <v>6169</v>
      </c>
      <c r="M5420" s="2" t="s">
        <v>1472</v>
      </c>
      <c r="N5420" s="4" t="str">
        <f t="shared" si="457"/>
        <v>GAL</v>
      </c>
      <c r="O5420" s="5">
        <v>180</v>
      </c>
    </row>
    <row r="5421" spans="2:15" x14ac:dyDescent="0.25">
      <c r="B5421" s="1" t="s">
        <v>3238</v>
      </c>
      <c r="C5421" s="2" t="s">
        <v>3239</v>
      </c>
      <c r="D5421" s="2" t="s">
        <v>6120</v>
      </c>
      <c r="E5421" s="2" t="s">
        <v>6170</v>
      </c>
      <c r="F5421" s="3">
        <f t="shared" ref="F5421:F5437" si="459">DATE(2024,6,26)</f>
        <v>45469</v>
      </c>
      <c r="G5421" s="4">
        <f t="shared" si="455"/>
        <v>6</v>
      </c>
      <c r="H5421" s="4">
        <f t="shared" si="456"/>
        <v>2024</v>
      </c>
      <c r="I5421" s="2" t="s">
        <v>4</v>
      </c>
      <c r="J5421" s="2" t="s">
        <v>6171</v>
      </c>
      <c r="K5421" s="2" t="s">
        <v>1470</v>
      </c>
      <c r="L5421" s="2" t="s">
        <v>6169</v>
      </c>
      <c r="M5421" s="2" t="s">
        <v>1472</v>
      </c>
      <c r="N5421" s="4" t="str">
        <f t="shared" si="457"/>
        <v>GAL</v>
      </c>
      <c r="O5421" s="5">
        <v>180</v>
      </c>
    </row>
    <row r="5422" spans="2:15" x14ac:dyDescent="0.25">
      <c r="B5422" s="1" t="s">
        <v>3238</v>
      </c>
      <c r="C5422" s="2" t="s">
        <v>3239</v>
      </c>
      <c r="D5422" s="2" t="s">
        <v>6120</v>
      </c>
      <c r="E5422" s="2" t="s">
        <v>6170</v>
      </c>
      <c r="F5422" s="3">
        <f t="shared" si="459"/>
        <v>45469</v>
      </c>
      <c r="G5422" s="4">
        <f t="shared" si="455"/>
        <v>6</v>
      </c>
      <c r="H5422" s="4">
        <f t="shared" si="456"/>
        <v>2024</v>
      </c>
      <c r="I5422" s="2" t="s">
        <v>4</v>
      </c>
      <c r="J5422" s="2" t="s">
        <v>6171</v>
      </c>
      <c r="K5422" s="2" t="s">
        <v>6133</v>
      </c>
      <c r="L5422" s="2" t="s">
        <v>6134</v>
      </c>
      <c r="M5422" s="2" t="s">
        <v>6135</v>
      </c>
      <c r="N5422" s="4" t="str">
        <f t="shared" si="457"/>
        <v>GAL</v>
      </c>
      <c r="O5422" s="5">
        <v>180</v>
      </c>
    </row>
    <row r="5423" spans="2:15" x14ac:dyDescent="0.25">
      <c r="B5423" s="1" t="s">
        <v>3238</v>
      </c>
      <c r="C5423" s="2" t="s">
        <v>3239</v>
      </c>
      <c r="D5423" s="2" t="s">
        <v>6120</v>
      </c>
      <c r="E5423" s="2" t="s">
        <v>6170</v>
      </c>
      <c r="F5423" s="3">
        <f t="shared" si="459"/>
        <v>45469</v>
      </c>
      <c r="G5423" s="4">
        <f t="shared" si="455"/>
        <v>6</v>
      </c>
      <c r="H5423" s="4">
        <f t="shared" si="456"/>
        <v>2024</v>
      </c>
      <c r="I5423" s="2" t="s">
        <v>4</v>
      </c>
      <c r="J5423" s="2" t="s">
        <v>6171</v>
      </c>
      <c r="K5423" s="2" t="s">
        <v>6172</v>
      </c>
      <c r="L5423" s="2" t="s">
        <v>6173</v>
      </c>
      <c r="M5423" s="2" t="s">
        <v>6174</v>
      </c>
      <c r="N5423" s="4" t="str">
        <f t="shared" si="457"/>
        <v>GAL</v>
      </c>
      <c r="O5423" s="5">
        <v>180</v>
      </c>
    </row>
    <row r="5424" spans="2:15" x14ac:dyDescent="0.25">
      <c r="B5424" s="1" t="s">
        <v>3238</v>
      </c>
      <c r="C5424" s="2" t="s">
        <v>3239</v>
      </c>
      <c r="D5424" s="2" t="s">
        <v>6120</v>
      </c>
      <c r="E5424" s="2" t="s">
        <v>6170</v>
      </c>
      <c r="F5424" s="3">
        <f t="shared" si="459"/>
        <v>45469</v>
      </c>
      <c r="G5424" s="4">
        <f t="shared" si="455"/>
        <v>6</v>
      </c>
      <c r="H5424" s="4">
        <f t="shared" si="456"/>
        <v>2024</v>
      </c>
      <c r="I5424" s="2" t="s">
        <v>4</v>
      </c>
      <c r="J5424" s="2" t="s">
        <v>6171</v>
      </c>
      <c r="K5424" s="2" t="s">
        <v>6142</v>
      </c>
      <c r="L5424" s="2" t="s">
        <v>6143</v>
      </c>
      <c r="M5424" s="2" t="s">
        <v>1472</v>
      </c>
      <c r="N5424" s="4" t="str">
        <f t="shared" si="457"/>
        <v>GAL</v>
      </c>
      <c r="O5424" s="5">
        <v>90</v>
      </c>
    </row>
    <row r="5425" spans="2:15" x14ac:dyDescent="0.25">
      <c r="B5425" s="1" t="s">
        <v>3238</v>
      </c>
      <c r="C5425" s="2" t="s">
        <v>3239</v>
      </c>
      <c r="D5425" s="2" t="s">
        <v>6120</v>
      </c>
      <c r="E5425" s="2" t="s">
        <v>6170</v>
      </c>
      <c r="F5425" s="3">
        <f t="shared" si="459"/>
        <v>45469</v>
      </c>
      <c r="G5425" s="4">
        <f t="shared" si="455"/>
        <v>6</v>
      </c>
      <c r="H5425" s="4">
        <f t="shared" si="456"/>
        <v>2024</v>
      </c>
      <c r="I5425" s="2" t="s">
        <v>4</v>
      </c>
      <c r="J5425" s="2" t="s">
        <v>6171</v>
      </c>
      <c r="K5425" s="2" t="s">
        <v>6144</v>
      </c>
      <c r="L5425" s="2" t="s">
        <v>6145</v>
      </c>
      <c r="M5425" s="2" t="s">
        <v>49</v>
      </c>
      <c r="N5425" s="4" t="str">
        <f t="shared" si="457"/>
        <v>GAL</v>
      </c>
      <c r="O5425" s="5">
        <v>90</v>
      </c>
    </row>
    <row r="5426" spans="2:15" x14ac:dyDescent="0.25">
      <c r="B5426" s="1" t="s">
        <v>3238</v>
      </c>
      <c r="C5426" s="2" t="s">
        <v>3239</v>
      </c>
      <c r="D5426" s="2" t="s">
        <v>6120</v>
      </c>
      <c r="E5426" s="2" t="s">
        <v>6170</v>
      </c>
      <c r="F5426" s="3">
        <f t="shared" si="459"/>
        <v>45469</v>
      </c>
      <c r="G5426" s="4">
        <f t="shared" si="455"/>
        <v>6</v>
      </c>
      <c r="H5426" s="4">
        <f t="shared" si="456"/>
        <v>2024</v>
      </c>
      <c r="I5426" s="2" t="s">
        <v>4</v>
      </c>
      <c r="J5426" s="2" t="s">
        <v>6171</v>
      </c>
      <c r="K5426" s="2" t="s">
        <v>6146</v>
      </c>
      <c r="L5426" s="2" t="s">
        <v>6147</v>
      </c>
      <c r="M5426" s="2" t="s">
        <v>3652</v>
      </c>
      <c r="N5426" s="4" t="str">
        <f t="shared" si="457"/>
        <v>GAL</v>
      </c>
      <c r="O5426" s="5">
        <v>90</v>
      </c>
    </row>
    <row r="5427" spans="2:15" x14ac:dyDescent="0.25">
      <c r="B5427" s="1" t="s">
        <v>3238</v>
      </c>
      <c r="C5427" s="2" t="s">
        <v>3239</v>
      </c>
      <c r="D5427" s="2" t="s">
        <v>6120</v>
      </c>
      <c r="E5427" s="2" t="s">
        <v>6170</v>
      </c>
      <c r="F5427" s="3">
        <f t="shared" si="459"/>
        <v>45469</v>
      </c>
      <c r="G5427" s="4">
        <f t="shared" si="455"/>
        <v>6</v>
      </c>
      <c r="H5427" s="4">
        <f t="shared" si="456"/>
        <v>2024</v>
      </c>
      <c r="I5427" s="2" t="s">
        <v>4</v>
      </c>
      <c r="J5427" s="2" t="s">
        <v>6171</v>
      </c>
      <c r="K5427" s="2" t="s">
        <v>6175</v>
      </c>
      <c r="L5427" s="2" t="s">
        <v>6176</v>
      </c>
      <c r="M5427" s="2" t="s">
        <v>3652</v>
      </c>
      <c r="N5427" s="4" t="str">
        <f t="shared" si="457"/>
        <v>GAL</v>
      </c>
      <c r="O5427" s="5">
        <v>180</v>
      </c>
    </row>
    <row r="5428" spans="2:15" x14ac:dyDescent="0.25">
      <c r="B5428" s="1" t="s">
        <v>3238</v>
      </c>
      <c r="C5428" s="2" t="s">
        <v>3239</v>
      </c>
      <c r="D5428" s="2" t="s">
        <v>6120</v>
      </c>
      <c r="E5428" s="2" t="s">
        <v>6170</v>
      </c>
      <c r="F5428" s="3">
        <f t="shared" si="459"/>
        <v>45469</v>
      </c>
      <c r="G5428" s="4">
        <f t="shared" si="455"/>
        <v>6</v>
      </c>
      <c r="H5428" s="4">
        <f t="shared" si="456"/>
        <v>2024</v>
      </c>
      <c r="I5428" s="2" t="s">
        <v>4</v>
      </c>
      <c r="J5428" s="2" t="s">
        <v>6171</v>
      </c>
      <c r="K5428" s="2" t="s">
        <v>1266</v>
      </c>
      <c r="L5428" s="2" t="s">
        <v>6148</v>
      </c>
      <c r="M5428" s="2" t="s">
        <v>191</v>
      </c>
      <c r="N5428" s="4" t="str">
        <f t="shared" si="457"/>
        <v>GAL</v>
      </c>
      <c r="O5428" s="5">
        <v>90</v>
      </c>
    </row>
    <row r="5429" spans="2:15" x14ac:dyDescent="0.25">
      <c r="B5429" s="1" t="s">
        <v>3238</v>
      </c>
      <c r="C5429" s="2" t="s">
        <v>3239</v>
      </c>
      <c r="D5429" s="2" t="s">
        <v>6120</v>
      </c>
      <c r="E5429" s="2" t="s">
        <v>6170</v>
      </c>
      <c r="F5429" s="3">
        <f t="shared" si="459"/>
        <v>45469</v>
      </c>
      <c r="G5429" s="4">
        <f t="shared" si="455"/>
        <v>6</v>
      </c>
      <c r="H5429" s="4">
        <f t="shared" si="456"/>
        <v>2024</v>
      </c>
      <c r="I5429" s="2" t="s">
        <v>4</v>
      </c>
      <c r="J5429" s="2" t="s">
        <v>6171</v>
      </c>
      <c r="K5429" s="2" t="s">
        <v>2098</v>
      </c>
      <c r="L5429" s="2" t="s">
        <v>6164</v>
      </c>
      <c r="M5429" s="2" t="s">
        <v>2100</v>
      </c>
      <c r="N5429" s="4" t="str">
        <f t="shared" si="457"/>
        <v>GAL</v>
      </c>
      <c r="O5429" s="5">
        <v>90</v>
      </c>
    </row>
    <row r="5430" spans="2:15" x14ac:dyDescent="0.25">
      <c r="B5430" s="1" t="s">
        <v>3238</v>
      </c>
      <c r="C5430" s="2" t="s">
        <v>3239</v>
      </c>
      <c r="D5430" s="2" t="s">
        <v>6120</v>
      </c>
      <c r="E5430" s="2" t="s">
        <v>6177</v>
      </c>
      <c r="F5430" s="3">
        <f t="shared" si="459"/>
        <v>45469</v>
      </c>
      <c r="G5430" s="4">
        <f t="shared" si="455"/>
        <v>6</v>
      </c>
      <c r="H5430" s="4">
        <f t="shared" si="456"/>
        <v>2024</v>
      </c>
      <c r="I5430" s="2" t="s">
        <v>4</v>
      </c>
      <c r="J5430" s="2" t="s">
        <v>6178</v>
      </c>
      <c r="K5430" s="2" t="s">
        <v>6179</v>
      </c>
      <c r="L5430" s="2" t="s">
        <v>6176</v>
      </c>
      <c r="M5430" s="2" t="s">
        <v>3652</v>
      </c>
      <c r="N5430" s="4" t="str">
        <f t="shared" si="457"/>
        <v>GAL</v>
      </c>
      <c r="O5430" s="5">
        <v>55</v>
      </c>
    </row>
    <row r="5431" spans="2:15" x14ac:dyDescent="0.25">
      <c r="B5431" s="1" t="s">
        <v>3238</v>
      </c>
      <c r="C5431" s="2" t="s">
        <v>3239</v>
      </c>
      <c r="D5431" s="2" t="s">
        <v>3240</v>
      </c>
      <c r="E5431" s="2" t="s">
        <v>102</v>
      </c>
      <c r="F5431" s="3">
        <f t="shared" si="459"/>
        <v>45469</v>
      </c>
      <c r="G5431" s="4">
        <f t="shared" si="455"/>
        <v>6</v>
      </c>
      <c r="H5431" s="4">
        <f t="shared" si="456"/>
        <v>2024</v>
      </c>
      <c r="I5431" s="2" t="s">
        <v>4</v>
      </c>
      <c r="J5431" s="2" t="s">
        <v>6180</v>
      </c>
      <c r="K5431" s="2" t="s">
        <v>2530</v>
      </c>
      <c r="L5431" s="2" t="s">
        <v>3503</v>
      </c>
      <c r="M5431" s="2" t="s">
        <v>2532</v>
      </c>
      <c r="N5431" s="4" t="str">
        <f t="shared" si="457"/>
        <v>GAL</v>
      </c>
      <c r="O5431" s="5">
        <v>60</v>
      </c>
    </row>
    <row r="5432" spans="2:15" x14ac:dyDescent="0.25">
      <c r="B5432" s="1" t="s">
        <v>3238</v>
      </c>
      <c r="C5432" s="2" t="s">
        <v>3239</v>
      </c>
      <c r="D5432" s="2" t="s">
        <v>3240</v>
      </c>
      <c r="E5432" s="2" t="s">
        <v>102</v>
      </c>
      <c r="F5432" s="3">
        <f t="shared" si="459"/>
        <v>45469</v>
      </c>
      <c r="G5432" s="4">
        <f t="shared" si="455"/>
        <v>6</v>
      </c>
      <c r="H5432" s="4">
        <f t="shared" si="456"/>
        <v>2024</v>
      </c>
      <c r="I5432" s="2" t="s">
        <v>4</v>
      </c>
      <c r="J5432" s="2" t="s">
        <v>6180</v>
      </c>
      <c r="K5432" s="2" t="s">
        <v>5971</v>
      </c>
      <c r="L5432" s="2" t="s">
        <v>3515</v>
      </c>
      <c r="M5432" s="2" t="s">
        <v>3516</v>
      </c>
      <c r="N5432" s="4" t="str">
        <f t="shared" si="457"/>
        <v>GAL</v>
      </c>
      <c r="O5432" s="5">
        <v>60</v>
      </c>
    </row>
    <row r="5433" spans="2:15" x14ac:dyDescent="0.25">
      <c r="B5433" s="1" t="s">
        <v>3238</v>
      </c>
      <c r="C5433" s="2" t="s">
        <v>3239</v>
      </c>
      <c r="D5433" s="2" t="s">
        <v>3240</v>
      </c>
      <c r="E5433" s="2" t="s">
        <v>102</v>
      </c>
      <c r="F5433" s="3">
        <f t="shared" si="459"/>
        <v>45469</v>
      </c>
      <c r="G5433" s="4">
        <f t="shared" si="455"/>
        <v>6</v>
      </c>
      <c r="H5433" s="4">
        <f t="shared" si="456"/>
        <v>2024</v>
      </c>
      <c r="I5433" s="2" t="s">
        <v>4</v>
      </c>
      <c r="J5433" s="2" t="s">
        <v>6180</v>
      </c>
      <c r="K5433" s="2" t="s">
        <v>6069</v>
      </c>
      <c r="L5433" s="2" t="s">
        <v>6070</v>
      </c>
      <c r="M5433" s="2" t="s">
        <v>1472</v>
      </c>
      <c r="N5433" s="4" t="str">
        <f t="shared" si="457"/>
        <v>GAL</v>
      </c>
      <c r="O5433" s="5">
        <v>60</v>
      </c>
    </row>
    <row r="5434" spans="2:15" x14ac:dyDescent="0.25">
      <c r="B5434" s="1" t="s">
        <v>3238</v>
      </c>
      <c r="C5434" s="2" t="s">
        <v>3239</v>
      </c>
      <c r="D5434" s="2" t="s">
        <v>3240</v>
      </c>
      <c r="E5434" s="2" t="s">
        <v>102</v>
      </c>
      <c r="F5434" s="3">
        <f t="shared" si="459"/>
        <v>45469</v>
      </c>
      <c r="G5434" s="4">
        <f t="shared" si="455"/>
        <v>6</v>
      </c>
      <c r="H5434" s="4">
        <f t="shared" si="456"/>
        <v>2024</v>
      </c>
      <c r="I5434" s="2" t="s">
        <v>4</v>
      </c>
      <c r="J5434" s="2" t="s">
        <v>6181</v>
      </c>
      <c r="K5434" s="2" t="s">
        <v>2530</v>
      </c>
      <c r="L5434" s="2" t="s">
        <v>3503</v>
      </c>
      <c r="M5434" s="2" t="s">
        <v>2532</v>
      </c>
      <c r="N5434" s="4" t="str">
        <f t="shared" si="457"/>
        <v>GAL</v>
      </c>
      <c r="O5434" s="5">
        <v>210</v>
      </c>
    </row>
    <row r="5435" spans="2:15" x14ac:dyDescent="0.25">
      <c r="B5435" s="6" t="s">
        <v>3238</v>
      </c>
      <c r="C5435" s="7" t="s">
        <v>3239</v>
      </c>
      <c r="D5435" s="8" t="s">
        <v>3240</v>
      </c>
      <c r="E5435" s="8" t="s">
        <v>102</v>
      </c>
      <c r="F5435" s="9">
        <f t="shared" si="459"/>
        <v>45469</v>
      </c>
      <c r="G5435" s="10">
        <f t="shared" si="455"/>
        <v>6</v>
      </c>
      <c r="H5435" s="10">
        <f t="shared" si="456"/>
        <v>2024</v>
      </c>
      <c r="I5435" s="8" t="s">
        <v>4</v>
      </c>
      <c r="J5435" s="7" t="s">
        <v>6181</v>
      </c>
      <c r="K5435" s="8" t="s">
        <v>3510</v>
      </c>
      <c r="L5435" s="8" t="s">
        <v>3400</v>
      </c>
      <c r="M5435" s="8" t="s">
        <v>3401</v>
      </c>
      <c r="N5435" s="10" t="str">
        <f t="shared" si="457"/>
        <v>GAL</v>
      </c>
      <c r="O5435" s="11">
        <v>420</v>
      </c>
    </row>
    <row r="5436" spans="2:15" x14ac:dyDescent="0.25">
      <c r="B5436" s="1" t="s">
        <v>3238</v>
      </c>
      <c r="C5436" s="2" t="s">
        <v>3239</v>
      </c>
      <c r="D5436" s="2" t="s">
        <v>6120</v>
      </c>
      <c r="E5436" s="2" t="s">
        <v>6182</v>
      </c>
      <c r="F5436" s="3">
        <f t="shared" si="459"/>
        <v>45469</v>
      </c>
      <c r="G5436" s="4">
        <f t="shared" si="455"/>
        <v>6</v>
      </c>
      <c r="H5436" s="4">
        <f t="shared" si="456"/>
        <v>2024</v>
      </c>
      <c r="I5436" s="2" t="s">
        <v>4</v>
      </c>
      <c r="J5436" s="2" t="s">
        <v>6183</v>
      </c>
      <c r="K5436" s="2" t="s">
        <v>4253</v>
      </c>
      <c r="L5436" s="2" t="s">
        <v>999</v>
      </c>
      <c r="M5436" s="2" t="s">
        <v>1000</v>
      </c>
      <c r="N5436" s="4" t="str">
        <f t="shared" si="457"/>
        <v>GAL</v>
      </c>
      <c r="O5436" s="5">
        <v>120</v>
      </c>
    </row>
    <row r="5437" spans="2:15" x14ac:dyDescent="0.25">
      <c r="B5437" s="6" t="s">
        <v>3238</v>
      </c>
      <c r="C5437" s="7" t="s">
        <v>3239</v>
      </c>
      <c r="D5437" s="8" t="s">
        <v>3240</v>
      </c>
      <c r="E5437" s="8" t="s">
        <v>102</v>
      </c>
      <c r="F5437" s="9">
        <f t="shared" si="459"/>
        <v>45469</v>
      </c>
      <c r="G5437" s="10">
        <f t="shared" si="455"/>
        <v>6</v>
      </c>
      <c r="H5437" s="10">
        <f t="shared" si="456"/>
        <v>2024</v>
      </c>
      <c r="I5437" s="8" t="s">
        <v>4</v>
      </c>
      <c r="J5437" s="7" t="s">
        <v>6184</v>
      </c>
      <c r="K5437" s="8" t="s">
        <v>5452</v>
      </c>
      <c r="L5437" s="8" t="s">
        <v>6185</v>
      </c>
      <c r="M5437" s="8" t="s">
        <v>119</v>
      </c>
      <c r="N5437" s="10" t="str">
        <f t="shared" si="457"/>
        <v>TON</v>
      </c>
      <c r="O5437" s="11">
        <v>0.1658</v>
      </c>
    </row>
    <row r="5438" spans="2:15" x14ac:dyDescent="0.25">
      <c r="B5438" s="1" t="s">
        <v>0</v>
      </c>
      <c r="C5438" s="2" t="s">
        <v>1</v>
      </c>
      <c r="D5438" s="2" t="s">
        <v>2</v>
      </c>
      <c r="E5438" s="2" t="s">
        <v>4287</v>
      </c>
      <c r="F5438" s="3">
        <f t="shared" ref="F5438:F5444" si="460">DATE(2024,7,9)</f>
        <v>45482</v>
      </c>
      <c r="G5438" s="4">
        <f t="shared" si="455"/>
        <v>7</v>
      </c>
      <c r="H5438" s="4">
        <f t="shared" si="456"/>
        <v>2024</v>
      </c>
      <c r="I5438" s="2" t="s">
        <v>4</v>
      </c>
      <c r="J5438" s="2" t="s">
        <v>6186</v>
      </c>
      <c r="K5438" s="2" t="s">
        <v>19</v>
      </c>
      <c r="L5438" s="2" t="s">
        <v>6006</v>
      </c>
      <c r="M5438" s="2" t="s">
        <v>21</v>
      </c>
      <c r="N5438" s="4" t="str">
        <f t="shared" ref="N5438:N5501" si="461">+LEFT(M5438,3)</f>
        <v>GAL</v>
      </c>
      <c r="O5438" s="5">
        <v>120</v>
      </c>
    </row>
    <row r="5439" spans="2:15" x14ac:dyDescent="0.25">
      <c r="B5439" s="1" t="s">
        <v>0</v>
      </c>
      <c r="C5439" s="2" t="s">
        <v>1</v>
      </c>
      <c r="D5439" s="2" t="s">
        <v>2</v>
      </c>
      <c r="E5439" s="2" t="s">
        <v>4287</v>
      </c>
      <c r="F5439" s="3">
        <f t="shared" si="460"/>
        <v>45482</v>
      </c>
      <c r="G5439" s="4">
        <f t="shared" si="455"/>
        <v>7</v>
      </c>
      <c r="H5439" s="4">
        <f t="shared" si="456"/>
        <v>2024</v>
      </c>
      <c r="I5439" s="2" t="s">
        <v>4</v>
      </c>
      <c r="J5439" s="2" t="s">
        <v>6186</v>
      </c>
      <c r="K5439" s="2" t="s">
        <v>36</v>
      </c>
      <c r="L5439" s="2" t="s">
        <v>37</v>
      </c>
      <c r="M5439" s="2" t="s">
        <v>38</v>
      </c>
      <c r="N5439" s="4" t="str">
        <f t="shared" si="461"/>
        <v>GAL</v>
      </c>
      <c r="O5439" s="5">
        <v>60</v>
      </c>
    </row>
    <row r="5440" spans="2:15" x14ac:dyDescent="0.25">
      <c r="B5440" s="1" t="s">
        <v>0</v>
      </c>
      <c r="C5440" s="2" t="s">
        <v>1</v>
      </c>
      <c r="D5440" s="2" t="s">
        <v>2</v>
      </c>
      <c r="E5440" s="2" t="s">
        <v>4287</v>
      </c>
      <c r="F5440" s="3">
        <f t="shared" si="460"/>
        <v>45482</v>
      </c>
      <c r="G5440" s="4">
        <f t="shared" si="455"/>
        <v>7</v>
      </c>
      <c r="H5440" s="4">
        <f t="shared" si="456"/>
        <v>2024</v>
      </c>
      <c r="I5440" s="2" t="s">
        <v>4</v>
      </c>
      <c r="J5440" s="2" t="s">
        <v>6186</v>
      </c>
      <c r="K5440" s="2" t="s">
        <v>80</v>
      </c>
      <c r="L5440" s="2" t="s">
        <v>81</v>
      </c>
      <c r="M5440" s="2" t="s">
        <v>82</v>
      </c>
      <c r="N5440" s="4" t="str">
        <f t="shared" si="461"/>
        <v>GAL</v>
      </c>
      <c r="O5440" s="5">
        <v>60</v>
      </c>
    </row>
    <row r="5441" spans="2:15" x14ac:dyDescent="0.25">
      <c r="B5441" s="1" t="s">
        <v>0</v>
      </c>
      <c r="C5441" s="2" t="s">
        <v>1</v>
      </c>
      <c r="D5441" s="2" t="s">
        <v>2</v>
      </c>
      <c r="E5441" s="2" t="s">
        <v>4287</v>
      </c>
      <c r="F5441" s="3">
        <f t="shared" si="460"/>
        <v>45482</v>
      </c>
      <c r="G5441" s="4">
        <f t="shared" si="455"/>
        <v>7</v>
      </c>
      <c r="H5441" s="4">
        <f t="shared" si="456"/>
        <v>2024</v>
      </c>
      <c r="I5441" s="2" t="s">
        <v>4</v>
      </c>
      <c r="J5441" s="2" t="s">
        <v>6186</v>
      </c>
      <c r="K5441" s="2" t="s">
        <v>83</v>
      </c>
      <c r="L5441" s="2" t="s">
        <v>84</v>
      </c>
      <c r="M5441" s="2" t="s">
        <v>85</v>
      </c>
      <c r="N5441" s="4" t="str">
        <f t="shared" si="461"/>
        <v>GAL</v>
      </c>
      <c r="O5441" s="5">
        <v>60</v>
      </c>
    </row>
    <row r="5442" spans="2:15" x14ac:dyDescent="0.25">
      <c r="B5442" s="1" t="s">
        <v>0</v>
      </c>
      <c r="C5442" s="2" t="s">
        <v>1</v>
      </c>
      <c r="D5442" s="2" t="s">
        <v>2</v>
      </c>
      <c r="E5442" s="2" t="s">
        <v>4287</v>
      </c>
      <c r="F5442" s="3">
        <f t="shared" si="460"/>
        <v>45482</v>
      </c>
      <c r="G5442" s="4">
        <f t="shared" si="455"/>
        <v>7</v>
      </c>
      <c r="H5442" s="4">
        <f t="shared" si="456"/>
        <v>2024</v>
      </c>
      <c r="I5442" s="2" t="s">
        <v>4</v>
      </c>
      <c r="J5442" s="2" t="s">
        <v>6186</v>
      </c>
      <c r="K5442" s="2" t="s">
        <v>50</v>
      </c>
      <c r="L5442" s="2" t="s">
        <v>51</v>
      </c>
      <c r="M5442" s="2" t="s">
        <v>52</v>
      </c>
      <c r="N5442" s="4" t="str">
        <f t="shared" si="461"/>
        <v>GAL</v>
      </c>
      <c r="O5442" s="5">
        <v>120</v>
      </c>
    </row>
    <row r="5443" spans="2:15" x14ac:dyDescent="0.25">
      <c r="B5443" s="1" t="s">
        <v>0</v>
      </c>
      <c r="C5443" s="2" t="s">
        <v>1</v>
      </c>
      <c r="D5443" s="2" t="s">
        <v>2</v>
      </c>
      <c r="E5443" s="2" t="s">
        <v>4287</v>
      </c>
      <c r="F5443" s="3">
        <f t="shared" si="460"/>
        <v>45482</v>
      </c>
      <c r="G5443" s="4">
        <f t="shared" si="455"/>
        <v>7</v>
      </c>
      <c r="H5443" s="4">
        <f t="shared" si="456"/>
        <v>2024</v>
      </c>
      <c r="I5443" s="2" t="s">
        <v>4</v>
      </c>
      <c r="J5443" s="2" t="s">
        <v>6186</v>
      </c>
      <c r="K5443" s="2" t="s">
        <v>28</v>
      </c>
      <c r="L5443" s="2" t="s">
        <v>29</v>
      </c>
      <c r="M5443" s="2" t="s">
        <v>30</v>
      </c>
      <c r="N5443" s="4" t="str">
        <f t="shared" si="461"/>
        <v>GAL</v>
      </c>
      <c r="O5443" s="5">
        <v>60</v>
      </c>
    </row>
    <row r="5444" spans="2:15" x14ac:dyDescent="0.25">
      <c r="B5444" s="1" t="s">
        <v>0</v>
      </c>
      <c r="C5444" s="2" t="s">
        <v>1</v>
      </c>
      <c r="D5444" s="2" t="s">
        <v>2</v>
      </c>
      <c r="E5444" s="2" t="s">
        <v>4287</v>
      </c>
      <c r="F5444" s="3">
        <f t="shared" si="460"/>
        <v>45482</v>
      </c>
      <c r="G5444" s="4">
        <f t="shared" si="455"/>
        <v>7</v>
      </c>
      <c r="H5444" s="4">
        <f t="shared" si="456"/>
        <v>2024</v>
      </c>
      <c r="I5444" s="2" t="s">
        <v>4</v>
      </c>
      <c r="J5444" s="2" t="s">
        <v>6186</v>
      </c>
      <c r="K5444" s="2" t="s">
        <v>16</v>
      </c>
      <c r="L5444" s="2" t="s">
        <v>7</v>
      </c>
      <c r="M5444" s="2" t="s">
        <v>8</v>
      </c>
      <c r="N5444" s="4" t="str">
        <f t="shared" si="461"/>
        <v>GAL</v>
      </c>
      <c r="O5444" s="5">
        <v>120</v>
      </c>
    </row>
    <row r="5445" spans="2:15" x14ac:dyDescent="0.25">
      <c r="B5445" s="1" t="s">
        <v>0</v>
      </c>
      <c r="C5445" s="2" t="s">
        <v>1</v>
      </c>
      <c r="D5445" s="2" t="s">
        <v>2</v>
      </c>
      <c r="E5445" s="2" t="s">
        <v>4287</v>
      </c>
      <c r="F5445" s="3">
        <f>DATE(2024,7,12)</f>
        <v>45485</v>
      </c>
      <c r="G5445" s="4">
        <f t="shared" si="455"/>
        <v>7</v>
      </c>
      <c r="H5445" s="4">
        <f t="shared" si="456"/>
        <v>2024</v>
      </c>
      <c r="I5445" s="2" t="s">
        <v>4</v>
      </c>
      <c r="J5445" s="2" t="s">
        <v>6187</v>
      </c>
      <c r="K5445" s="2" t="s">
        <v>33</v>
      </c>
      <c r="L5445" s="2" t="s">
        <v>34</v>
      </c>
      <c r="M5445" s="2" t="s">
        <v>35</v>
      </c>
      <c r="N5445" s="4" t="str">
        <f t="shared" si="461"/>
        <v>GAL</v>
      </c>
      <c r="O5445" s="5">
        <v>20</v>
      </c>
    </row>
    <row r="5446" spans="2:15" x14ac:dyDescent="0.25">
      <c r="B5446" s="1" t="s">
        <v>0</v>
      </c>
      <c r="C5446" s="2" t="s">
        <v>1</v>
      </c>
      <c r="D5446" s="2" t="s">
        <v>2</v>
      </c>
      <c r="E5446" s="2" t="s">
        <v>4287</v>
      </c>
      <c r="F5446" s="3">
        <f>DATE(2024,7,12)</f>
        <v>45485</v>
      </c>
      <c r="G5446" s="4">
        <f t="shared" si="455"/>
        <v>7</v>
      </c>
      <c r="H5446" s="4">
        <f t="shared" si="456"/>
        <v>2024</v>
      </c>
      <c r="I5446" s="2" t="s">
        <v>4</v>
      </c>
      <c r="J5446" s="2" t="s">
        <v>6187</v>
      </c>
      <c r="K5446" s="2" t="s">
        <v>28</v>
      </c>
      <c r="L5446" s="2" t="s">
        <v>29</v>
      </c>
      <c r="M5446" s="2" t="s">
        <v>30</v>
      </c>
      <c r="N5446" s="4" t="str">
        <f t="shared" si="461"/>
        <v>GAL</v>
      </c>
      <c r="O5446" s="5">
        <v>40</v>
      </c>
    </row>
    <row r="5447" spans="2:15" x14ac:dyDescent="0.25">
      <c r="B5447" s="1" t="s">
        <v>0</v>
      </c>
      <c r="C5447" s="2" t="s">
        <v>1</v>
      </c>
      <c r="D5447" s="2" t="s">
        <v>2</v>
      </c>
      <c r="E5447" s="2" t="s">
        <v>1790</v>
      </c>
      <c r="F5447" s="3">
        <f>DATE(2024,7,31)</f>
        <v>45504</v>
      </c>
      <c r="G5447" s="4">
        <f t="shared" si="455"/>
        <v>7</v>
      </c>
      <c r="H5447" s="4">
        <f t="shared" si="456"/>
        <v>2024</v>
      </c>
      <c r="I5447" s="2" t="s">
        <v>4</v>
      </c>
      <c r="J5447" s="2" t="s">
        <v>6188</v>
      </c>
      <c r="K5447" s="2" t="s">
        <v>19</v>
      </c>
      <c r="L5447" s="2" t="s">
        <v>6006</v>
      </c>
      <c r="M5447" s="2" t="s">
        <v>21</v>
      </c>
      <c r="N5447" s="4" t="str">
        <f t="shared" si="461"/>
        <v>GAL</v>
      </c>
      <c r="O5447" s="5">
        <v>40</v>
      </c>
    </row>
    <row r="5448" spans="2:15" x14ac:dyDescent="0.25">
      <c r="B5448" s="1" t="s">
        <v>0</v>
      </c>
      <c r="C5448" s="2" t="s">
        <v>1</v>
      </c>
      <c r="D5448" s="2" t="s">
        <v>2</v>
      </c>
      <c r="E5448" s="2" t="s">
        <v>1790</v>
      </c>
      <c r="F5448" s="3">
        <f>DATE(2024,7,31)</f>
        <v>45504</v>
      </c>
      <c r="G5448" s="4">
        <f t="shared" si="455"/>
        <v>7</v>
      </c>
      <c r="H5448" s="4">
        <f t="shared" si="456"/>
        <v>2024</v>
      </c>
      <c r="I5448" s="2" t="s">
        <v>4</v>
      </c>
      <c r="J5448" s="2" t="s">
        <v>6188</v>
      </c>
      <c r="K5448" s="2" t="s">
        <v>22</v>
      </c>
      <c r="L5448" s="2" t="s">
        <v>23</v>
      </c>
      <c r="M5448" s="2" t="s">
        <v>24</v>
      </c>
      <c r="N5448" s="4" t="str">
        <f t="shared" si="461"/>
        <v>GAL</v>
      </c>
      <c r="O5448" s="5">
        <v>40</v>
      </c>
    </row>
    <row r="5449" spans="2:15" x14ac:dyDescent="0.25">
      <c r="B5449" s="1" t="s">
        <v>0</v>
      </c>
      <c r="C5449" s="2" t="s">
        <v>1</v>
      </c>
      <c r="D5449" s="2" t="s">
        <v>2</v>
      </c>
      <c r="E5449" s="2" t="s">
        <v>1790</v>
      </c>
      <c r="F5449" s="3">
        <f>DATE(2024,7,31)</f>
        <v>45504</v>
      </c>
      <c r="G5449" s="4">
        <f t="shared" si="455"/>
        <v>7</v>
      </c>
      <c r="H5449" s="4">
        <f t="shared" si="456"/>
        <v>2024</v>
      </c>
      <c r="I5449" s="2" t="s">
        <v>4</v>
      </c>
      <c r="J5449" s="2" t="s">
        <v>6188</v>
      </c>
      <c r="K5449" s="2" t="s">
        <v>25</v>
      </c>
      <c r="L5449" s="2" t="s">
        <v>26</v>
      </c>
      <c r="M5449" s="2" t="s">
        <v>27</v>
      </c>
      <c r="N5449" s="4" t="str">
        <f t="shared" si="461"/>
        <v>GAL</v>
      </c>
      <c r="O5449" s="5">
        <v>40</v>
      </c>
    </row>
    <row r="5450" spans="2:15" x14ac:dyDescent="0.25">
      <c r="B5450" s="1" t="s">
        <v>0</v>
      </c>
      <c r="C5450" s="2" t="s">
        <v>1</v>
      </c>
      <c r="D5450" s="2" t="s">
        <v>2</v>
      </c>
      <c r="E5450" s="2" t="s">
        <v>1790</v>
      </c>
      <c r="F5450" s="3">
        <f>DATE(2024,7,31)</f>
        <v>45504</v>
      </c>
      <c r="G5450" s="4">
        <f t="shared" si="455"/>
        <v>7</v>
      </c>
      <c r="H5450" s="4">
        <f t="shared" si="456"/>
        <v>2024</v>
      </c>
      <c r="I5450" s="2" t="s">
        <v>4</v>
      </c>
      <c r="J5450" s="2" t="s">
        <v>6188</v>
      </c>
      <c r="K5450" s="2" t="s">
        <v>28</v>
      </c>
      <c r="L5450" s="2" t="s">
        <v>29</v>
      </c>
      <c r="M5450" s="2" t="s">
        <v>30</v>
      </c>
      <c r="N5450" s="4" t="str">
        <f t="shared" si="461"/>
        <v>GAL</v>
      </c>
      <c r="O5450" s="5">
        <v>40</v>
      </c>
    </row>
    <row r="5451" spans="2:15" x14ac:dyDescent="0.25">
      <c r="B5451" s="1" t="s">
        <v>0</v>
      </c>
      <c r="C5451" s="2" t="s">
        <v>1</v>
      </c>
      <c r="D5451" s="2" t="s">
        <v>2</v>
      </c>
      <c r="E5451" s="2" t="s">
        <v>1790</v>
      </c>
      <c r="F5451" s="3">
        <f>DATE(2024,7,31)</f>
        <v>45504</v>
      </c>
      <c r="G5451" s="4">
        <f t="shared" si="455"/>
        <v>7</v>
      </c>
      <c r="H5451" s="4">
        <f t="shared" si="456"/>
        <v>2024</v>
      </c>
      <c r="I5451" s="2" t="s">
        <v>4</v>
      </c>
      <c r="J5451" s="2" t="s">
        <v>6188</v>
      </c>
      <c r="K5451" s="2" t="s">
        <v>16</v>
      </c>
      <c r="L5451" s="2" t="s">
        <v>7</v>
      </c>
      <c r="M5451" s="2" t="s">
        <v>8</v>
      </c>
      <c r="N5451" s="4" t="str">
        <f t="shared" si="461"/>
        <v>GAL</v>
      </c>
      <c r="O5451" s="5">
        <v>40</v>
      </c>
    </row>
    <row r="5452" spans="2:15" x14ac:dyDescent="0.25">
      <c r="B5452" s="1" t="s">
        <v>88</v>
      </c>
      <c r="C5452" s="2" t="s">
        <v>89</v>
      </c>
      <c r="D5452" s="2" t="s">
        <v>2195</v>
      </c>
      <c r="E5452" s="2" t="s">
        <v>2196</v>
      </c>
      <c r="F5452" s="3">
        <f>DATE(2024,7,1)</f>
        <v>45474</v>
      </c>
      <c r="G5452" s="4">
        <f t="shared" si="455"/>
        <v>7</v>
      </c>
      <c r="H5452" s="4">
        <f t="shared" si="456"/>
        <v>2024</v>
      </c>
      <c r="I5452" s="2" t="s">
        <v>4</v>
      </c>
      <c r="J5452" s="2" t="s">
        <v>6189</v>
      </c>
      <c r="K5452" s="2" t="s">
        <v>1028</v>
      </c>
      <c r="L5452" s="2" t="s">
        <v>2198</v>
      </c>
      <c r="M5452" s="2" t="s">
        <v>106</v>
      </c>
      <c r="N5452" s="4" t="str">
        <f t="shared" si="461"/>
        <v>LBS</v>
      </c>
      <c r="O5452" s="5">
        <v>45320</v>
      </c>
    </row>
    <row r="5453" spans="2:15" x14ac:dyDescent="0.25">
      <c r="B5453" s="1" t="s">
        <v>88</v>
      </c>
      <c r="C5453" s="2" t="s">
        <v>89</v>
      </c>
      <c r="D5453" s="2" t="s">
        <v>6190</v>
      </c>
      <c r="E5453" s="2" t="s">
        <v>6191</v>
      </c>
      <c r="F5453" s="3">
        <f>DATE(2024,7,11)</f>
        <v>45484</v>
      </c>
      <c r="G5453" s="4">
        <f t="shared" si="455"/>
        <v>7</v>
      </c>
      <c r="H5453" s="4">
        <f t="shared" si="456"/>
        <v>2024</v>
      </c>
      <c r="I5453" s="2" t="s">
        <v>4</v>
      </c>
      <c r="J5453" s="2" t="s">
        <v>6192</v>
      </c>
      <c r="K5453" s="2" t="s">
        <v>6193</v>
      </c>
      <c r="L5453" s="2" t="s">
        <v>6194</v>
      </c>
      <c r="M5453" s="2" t="s">
        <v>106</v>
      </c>
      <c r="N5453" s="4" t="str">
        <f t="shared" si="461"/>
        <v>LBS</v>
      </c>
      <c r="O5453" s="5">
        <v>50</v>
      </c>
    </row>
    <row r="5454" spans="2:15" x14ac:dyDescent="0.25">
      <c r="B5454" s="1" t="s">
        <v>88</v>
      </c>
      <c r="C5454" s="2" t="s">
        <v>89</v>
      </c>
      <c r="D5454" s="2" t="s">
        <v>134</v>
      </c>
      <c r="E5454" s="2" t="s">
        <v>135</v>
      </c>
      <c r="F5454" s="3">
        <f>DATE(2024,7,17)</f>
        <v>45490</v>
      </c>
      <c r="G5454" s="4">
        <f t="shared" si="455"/>
        <v>7</v>
      </c>
      <c r="H5454" s="4">
        <f t="shared" si="456"/>
        <v>2024</v>
      </c>
      <c r="I5454" s="2" t="s">
        <v>4</v>
      </c>
      <c r="J5454" s="2" t="s">
        <v>6195</v>
      </c>
      <c r="K5454" s="2" t="s">
        <v>2884</v>
      </c>
      <c r="L5454" s="2" t="s">
        <v>138</v>
      </c>
      <c r="M5454" s="2" t="s">
        <v>139</v>
      </c>
      <c r="N5454" s="4" t="str">
        <f t="shared" si="461"/>
        <v>GAL</v>
      </c>
      <c r="O5454" s="5">
        <v>55</v>
      </c>
    </row>
    <row r="5455" spans="2:15" x14ac:dyDescent="0.25">
      <c r="B5455" s="1" t="s">
        <v>88</v>
      </c>
      <c r="C5455" s="2" t="s">
        <v>89</v>
      </c>
      <c r="D5455" s="2" t="s">
        <v>167</v>
      </c>
      <c r="E5455" s="2" t="s">
        <v>168</v>
      </c>
      <c r="F5455" s="3">
        <f>DATE(2024,7,24)</f>
        <v>45497</v>
      </c>
      <c r="G5455" s="4">
        <f t="shared" si="455"/>
        <v>7</v>
      </c>
      <c r="H5455" s="4">
        <f t="shared" si="456"/>
        <v>2024</v>
      </c>
      <c r="I5455" s="2" t="s">
        <v>4</v>
      </c>
      <c r="J5455" s="2" t="s">
        <v>6196</v>
      </c>
      <c r="K5455" s="2" t="s">
        <v>2629</v>
      </c>
      <c r="L5455" s="2" t="s">
        <v>2630</v>
      </c>
      <c r="M5455" s="2" t="s">
        <v>2631</v>
      </c>
      <c r="N5455" s="4" t="str">
        <f t="shared" si="461"/>
        <v>GAL</v>
      </c>
      <c r="O5455" s="5">
        <v>70</v>
      </c>
    </row>
    <row r="5456" spans="2:15" x14ac:dyDescent="0.25">
      <c r="B5456" s="1" t="s">
        <v>88</v>
      </c>
      <c r="C5456" s="2" t="s">
        <v>89</v>
      </c>
      <c r="D5456" s="2" t="s">
        <v>6197</v>
      </c>
      <c r="E5456" s="2" t="s">
        <v>6197</v>
      </c>
      <c r="F5456" s="3">
        <f t="shared" ref="F5456:F5462" si="462">DATE(2024,7,29)</f>
        <v>45502</v>
      </c>
      <c r="G5456" s="4">
        <f t="shared" si="455"/>
        <v>7</v>
      </c>
      <c r="H5456" s="4">
        <f t="shared" si="456"/>
        <v>2024</v>
      </c>
      <c r="I5456" s="2" t="s">
        <v>4</v>
      </c>
      <c r="J5456" s="2" t="s">
        <v>6198</v>
      </c>
      <c r="K5456" s="2" t="s">
        <v>6199</v>
      </c>
      <c r="L5456" s="2" t="s">
        <v>5923</v>
      </c>
      <c r="M5456" s="2" t="s">
        <v>5924</v>
      </c>
      <c r="N5456" s="4" t="str">
        <f t="shared" si="461"/>
        <v>GAL</v>
      </c>
      <c r="O5456" s="5">
        <v>55</v>
      </c>
    </row>
    <row r="5457" spans="2:15" x14ac:dyDescent="0.25">
      <c r="B5457" s="1" t="s">
        <v>88</v>
      </c>
      <c r="C5457" s="2" t="s">
        <v>89</v>
      </c>
      <c r="D5457" s="2" t="s">
        <v>6197</v>
      </c>
      <c r="E5457" s="2" t="s">
        <v>6197</v>
      </c>
      <c r="F5457" s="3">
        <f t="shared" si="462"/>
        <v>45502</v>
      </c>
      <c r="G5457" s="4">
        <f t="shared" si="455"/>
        <v>7</v>
      </c>
      <c r="H5457" s="4">
        <f t="shared" si="456"/>
        <v>2024</v>
      </c>
      <c r="I5457" s="2" t="s">
        <v>4</v>
      </c>
      <c r="J5457" s="2" t="s">
        <v>6198</v>
      </c>
      <c r="K5457" s="2" t="s">
        <v>2973</v>
      </c>
      <c r="L5457" s="2" t="s">
        <v>6200</v>
      </c>
      <c r="M5457" s="2" t="s">
        <v>917</v>
      </c>
      <c r="N5457" s="4" t="str">
        <f t="shared" si="461"/>
        <v>GAL</v>
      </c>
      <c r="O5457" s="5">
        <v>110</v>
      </c>
    </row>
    <row r="5458" spans="2:15" x14ac:dyDescent="0.25">
      <c r="B5458" s="1" t="s">
        <v>88</v>
      </c>
      <c r="C5458" s="2" t="s">
        <v>89</v>
      </c>
      <c r="D5458" s="2" t="s">
        <v>6197</v>
      </c>
      <c r="E5458" s="2" t="s">
        <v>6197</v>
      </c>
      <c r="F5458" s="3">
        <f t="shared" si="462"/>
        <v>45502</v>
      </c>
      <c r="G5458" s="4">
        <f t="shared" ref="G5458:G5521" si="463">+MONTH(F5458)</f>
        <v>7</v>
      </c>
      <c r="H5458" s="4">
        <f t="shared" ref="H5458:H5521" si="464">+YEAR(F5458)</f>
        <v>2024</v>
      </c>
      <c r="I5458" s="2" t="s">
        <v>4</v>
      </c>
      <c r="J5458" s="2" t="s">
        <v>6198</v>
      </c>
      <c r="K5458" s="2" t="s">
        <v>6201</v>
      </c>
      <c r="L5458" s="2" t="s">
        <v>6202</v>
      </c>
      <c r="M5458" s="2" t="s">
        <v>1397</v>
      </c>
      <c r="N5458" s="4" t="str">
        <f t="shared" si="461"/>
        <v>GAL</v>
      </c>
      <c r="O5458" s="5">
        <v>220</v>
      </c>
    </row>
    <row r="5459" spans="2:15" x14ac:dyDescent="0.25">
      <c r="B5459" s="1" t="s">
        <v>88</v>
      </c>
      <c r="C5459" s="2" t="s">
        <v>89</v>
      </c>
      <c r="D5459" s="2" t="s">
        <v>6197</v>
      </c>
      <c r="E5459" s="2" t="s">
        <v>6197</v>
      </c>
      <c r="F5459" s="3">
        <f t="shared" si="462"/>
        <v>45502</v>
      </c>
      <c r="G5459" s="4">
        <f t="shared" si="463"/>
        <v>7</v>
      </c>
      <c r="H5459" s="4">
        <f t="shared" si="464"/>
        <v>2024</v>
      </c>
      <c r="I5459" s="2" t="s">
        <v>4</v>
      </c>
      <c r="J5459" s="2" t="s">
        <v>6198</v>
      </c>
      <c r="K5459" s="2" t="s">
        <v>6203</v>
      </c>
      <c r="L5459" s="2" t="s">
        <v>1644</v>
      </c>
      <c r="M5459" s="2" t="s">
        <v>46</v>
      </c>
      <c r="N5459" s="4" t="str">
        <f t="shared" si="461"/>
        <v>GAL</v>
      </c>
      <c r="O5459" s="5">
        <v>55</v>
      </c>
    </row>
    <row r="5460" spans="2:15" x14ac:dyDescent="0.25">
      <c r="B5460" s="1" t="s">
        <v>88</v>
      </c>
      <c r="C5460" s="2" t="s">
        <v>89</v>
      </c>
      <c r="D5460" s="2" t="s">
        <v>6197</v>
      </c>
      <c r="E5460" s="2" t="s">
        <v>6197</v>
      </c>
      <c r="F5460" s="3">
        <f t="shared" si="462"/>
        <v>45502</v>
      </c>
      <c r="G5460" s="4">
        <f t="shared" si="463"/>
        <v>7</v>
      </c>
      <c r="H5460" s="4">
        <f t="shared" si="464"/>
        <v>2024</v>
      </c>
      <c r="I5460" s="2" t="s">
        <v>4</v>
      </c>
      <c r="J5460" s="2" t="s">
        <v>6198</v>
      </c>
      <c r="K5460" s="2" t="s">
        <v>6204</v>
      </c>
      <c r="L5460" s="2" t="s">
        <v>159</v>
      </c>
      <c r="M5460" s="2" t="s">
        <v>160</v>
      </c>
      <c r="N5460" s="4" t="str">
        <f t="shared" si="461"/>
        <v>GAL</v>
      </c>
      <c r="O5460" s="5">
        <v>55</v>
      </c>
    </row>
    <row r="5461" spans="2:15" x14ac:dyDescent="0.25">
      <c r="B5461" s="1" t="s">
        <v>88</v>
      </c>
      <c r="C5461" s="2" t="s">
        <v>89</v>
      </c>
      <c r="D5461" s="2" t="s">
        <v>6197</v>
      </c>
      <c r="E5461" s="2" t="s">
        <v>6197</v>
      </c>
      <c r="F5461" s="3">
        <f t="shared" si="462"/>
        <v>45502</v>
      </c>
      <c r="G5461" s="4">
        <f t="shared" si="463"/>
        <v>7</v>
      </c>
      <c r="H5461" s="4">
        <f t="shared" si="464"/>
        <v>2024</v>
      </c>
      <c r="I5461" s="2" t="s">
        <v>4</v>
      </c>
      <c r="J5461" s="2" t="s">
        <v>6198</v>
      </c>
      <c r="K5461" s="2" t="s">
        <v>6205</v>
      </c>
      <c r="L5461" s="2" t="s">
        <v>190</v>
      </c>
      <c r="M5461" s="2" t="s">
        <v>191</v>
      </c>
      <c r="N5461" s="4" t="str">
        <f t="shared" si="461"/>
        <v>GAL</v>
      </c>
      <c r="O5461" s="5">
        <v>110</v>
      </c>
    </row>
    <row r="5462" spans="2:15" x14ac:dyDescent="0.25">
      <c r="B5462" s="1" t="s">
        <v>88</v>
      </c>
      <c r="C5462" s="2" t="s">
        <v>89</v>
      </c>
      <c r="D5462" s="2" t="s">
        <v>6197</v>
      </c>
      <c r="E5462" s="2" t="s">
        <v>6197</v>
      </c>
      <c r="F5462" s="3">
        <f t="shared" si="462"/>
        <v>45502</v>
      </c>
      <c r="G5462" s="4">
        <f t="shared" si="463"/>
        <v>7</v>
      </c>
      <c r="H5462" s="4">
        <f t="shared" si="464"/>
        <v>2024</v>
      </c>
      <c r="I5462" s="2" t="s">
        <v>4</v>
      </c>
      <c r="J5462" s="2" t="s">
        <v>6198</v>
      </c>
      <c r="K5462" s="2" t="s">
        <v>6206</v>
      </c>
      <c r="L5462" s="2" t="s">
        <v>6066</v>
      </c>
      <c r="M5462" s="2" t="s">
        <v>1731</v>
      </c>
      <c r="N5462" s="4" t="str">
        <f t="shared" si="461"/>
        <v>GAL</v>
      </c>
      <c r="O5462" s="5">
        <v>55</v>
      </c>
    </row>
    <row r="5463" spans="2:15" x14ac:dyDescent="0.25">
      <c r="B5463" s="1" t="s">
        <v>154</v>
      </c>
      <c r="C5463" s="2" t="s">
        <v>155</v>
      </c>
      <c r="D5463" s="2" t="s">
        <v>178</v>
      </c>
      <c r="E5463" s="2" t="s">
        <v>179</v>
      </c>
      <c r="F5463" s="3">
        <f>DATE(2024,7,5)</f>
        <v>45478</v>
      </c>
      <c r="G5463" s="4">
        <f t="shared" si="463"/>
        <v>7</v>
      </c>
      <c r="H5463" s="4">
        <f t="shared" si="464"/>
        <v>2024</v>
      </c>
      <c r="I5463" s="2" t="s">
        <v>4</v>
      </c>
      <c r="J5463" s="2" t="s">
        <v>6207</v>
      </c>
      <c r="K5463" s="2" t="s">
        <v>171</v>
      </c>
      <c r="L5463" s="2" t="s">
        <v>172</v>
      </c>
      <c r="M5463" s="2" t="s">
        <v>27</v>
      </c>
      <c r="N5463" s="4" t="str">
        <f t="shared" si="461"/>
        <v>GAL</v>
      </c>
      <c r="O5463" s="5">
        <v>180</v>
      </c>
    </row>
    <row r="5464" spans="2:15" x14ac:dyDescent="0.25">
      <c r="B5464" s="1" t="s">
        <v>154</v>
      </c>
      <c r="C5464" s="2" t="s">
        <v>155</v>
      </c>
      <c r="D5464" s="2" t="s">
        <v>1838</v>
      </c>
      <c r="E5464" s="2" t="s">
        <v>1839</v>
      </c>
      <c r="F5464" s="3">
        <f>DATE(2024,7,5)</f>
        <v>45478</v>
      </c>
      <c r="G5464" s="4">
        <f t="shared" si="463"/>
        <v>7</v>
      </c>
      <c r="H5464" s="4">
        <f t="shared" si="464"/>
        <v>2024</v>
      </c>
      <c r="I5464" s="2" t="s">
        <v>4</v>
      </c>
      <c r="J5464" s="2" t="s">
        <v>6208</v>
      </c>
      <c r="K5464" s="2" t="s">
        <v>171</v>
      </c>
      <c r="L5464" s="2" t="s">
        <v>172</v>
      </c>
      <c r="M5464" s="2" t="s">
        <v>27</v>
      </c>
      <c r="N5464" s="4" t="str">
        <f t="shared" si="461"/>
        <v>GAL</v>
      </c>
      <c r="O5464" s="5">
        <v>720</v>
      </c>
    </row>
    <row r="5465" spans="2:15" x14ac:dyDescent="0.25">
      <c r="B5465" s="1" t="s">
        <v>154</v>
      </c>
      <c r="C5465" s="2" t="s">
        <v>155</v>
      </c>
      <c r="D5465" s="2" t="s">
        <v>1838</v>
      </c>
      <c r="E5465" s="2" t="s">
        <v>1839</v>
      </c>
      <c r="F5465" s="3">
        <f>DATE(2024,7,5)</f>
        <v>45478</v>
      </c>
      <c r="G5465" s="4">
        <f t="shared" si="463"/>
        <v>7</v>
      </c>
      <c r="H5465" s="4">
        <f t="shared" si="464"/>
        <v>2024</v>
      </c>
      <c r="I5465" s="2" t="s">
        <v>4</v>
      </c>
      <c r="J5465" s="2" t="s">
        <v>6208</v>
      </c>
      <c r="K5465" s="2" t="s">
        <v>1869</v>
      </c>
      <c r="L5465" s="2" t="s">
        <v>172</v>
      </c>
      <c r="M5465" s="2" t="s">
        <v>27</v>
      </c>
      <c r="N5465" s="4" t="str">
        <f t="shared" si="461"/>
        <v>GAL</v>
      </c>
      <c r="O5465" s="5">
        <v>250</v>
      </c>
    </row>
    <row r="5466" spans="2:15" x14ac:dyDescent="0.25">
      <c r="B5466" s="1" t="s">
        <v>154</v>
      </c>
      <c r="C5466" s="2" t="s">
        <v>155</v>
      </c>
      <c r="D5466" s="2" t="s">
        <v>1838</v>
      </c>
      <c r="E5466" s="2" t="s">
        <v>1839</v>
      </c>
      <c r="F5466" s="3">
        <f>DATE(2024,7,9)</f>
        <v>45482</v>
      </c>
      <c r="G5466" s="4">
        <f t="shared" si="463"/>
        <v>7</v>
      </c>
      <c r="H5466" s="4">
        <f t="shared" si="464"/>
        <v>2024</v>
      </c>
      <c r="I5466" s="2" t="s">
        <v>4</v>
      </c>
      <c r="J5466" s="2" t="s">
        <v>6209</v>
      </c>
      <c r="K5466" s="2" t="s">
        <v>609</v>
      </c>
      <c r="L5466" s="2" t="s">
        <v>610</v>
      </c>
      <c r="M5466" s="2" t="s">
        <v>611</v>
      </c>
      <c r="N5466" s="4" t="str">
        <f t="shared" si="461"/>
        <v>GAL</v>
      </c>
      <c r="O5466" s="5">
        <v>180</v>
      </c>
    </row>
    <row r="5467" spans="2:15" x14ac:dyDescent="0.25">
      <c r="B5467" s="1" t="s">
        <v>154</v>
      </c>
      <c r="C5467" s="2" t="s">
        <v>155</v>
      </c>
      <c r="D5467" s="2" t="s">
        <v>1838</v>
      </c>
      <c r="E5467" s="2" t="s">
        <v>1839</v>
      </c>
      <c r="F5467" s="3">
        <f>DATE(2024,7,9)</f>
        <v>45482</v>
      </c>
      <c r="G5467" s="4">
        <f t="shared" si="463"/>
        <v>7</v>
      </c>
      <c r="H5467" s="4">
        <f t="shared" si="464"/>
        <v>2024</v>
      </c>
      <c r="I5467" s="2" t="s">
        <v>4</v>
      </c>
      <c r="J5467" s="2" t="s">
        <v>6209</v>
      </c>
      <c r="K5467" s="2" t="s">
        <v>1869</v>
      </c>
      <c r="L5467" s="2" t="s">
        <v>172</v>
      </c>
      <c r="M5467" s="2" t="s">
        <v>27</v>
      </c>
      <c r="N5467" s="4" t="str">
        <f t="shared" si="461"/>
        <v>GAL</v>
      </c>
      <c r="O5467" s="5">
        <v>750</v>
      </c>
    </row>
    <row r="5468" spans="2:15" x14ac:dyDescent="0.25">
      <c r="B5468" s="1" t="s">
        <v>154</v>
      </c>
      <c r="C5468" s="2" t="s">
        <v>155</v>
      </c>
      <c r="D5468" s="2" t="s">
        <v>1103</v>
      </c>
      <c r="E5468" s="2" t="s">
        <v>1104</v>
      </c>
      <c r="F5468" s="3">
        <f>DATE(2024,7,12)</f>
        <v>45485</v>
      </c>
      <c r="G5468" s="4">
        <f t="shared" si="463"/>
        <v>7</v>
      </c>
      <c r="H5468" s="4">
        <f t="shared" si="464"/>
        <v>2024</v>
      </c>
      <c r="I5468" s="2" t="s">
        <v>4</v>
      </c>
      <c r="J5468" s="2" t="s">
        <v>6210</v>
      </c>
      <c r="K5468" s="2" t="s">
        <v>1106</v>
      </c>
      <c r="L5468" s="2" t="s">
        <v>1107</v>
      </c>
      <c r="M5468" s="2" t="s">
        <v>1108</v>
      </c>
      <c r="N5468" s="4" t="str">
        <f t="shared" si="461"/>
        <v>GAL</v>
      </c>
      <c r="O5468" s="5">
        <v>1000</v>
      </c>
    </row>
    <row r="5469" spans="2:15" x14ac:dyDescent="0.25">
      <c r="B5469" s="1" t="s">
        <v>154</v>
      </c>
      <c r="C5469" s="2" t="s">
        <v>155</v>
      </c>
      <c r="D5469" s="2" t="s">
        <v>1838</v>
      </c>
      <c r="E5469" s="2" t="s">
        <v>1839</v>
      </c>
      <c r="F5469" s="3">
        <f>DATE(2024,7,16)</f>
        <v>45489</v>
      </c>
      <c r="G5469" s="4">
        <f t="shared" si="463"/>
        <v>7</v>
      </c>
      <c r="H5469" s="4">
        <f t="shared" si="464"/>
        <v>2024</v>
      </c>
      <c r="I5469" s="2" t="s">
        <v>4</v>
      </c>
      <c r="J5469" s="2" t="s">
        <v>6211</v>
      </c>
      <c r="K5469" s="2" t="s">
        <v>171</v>
      </c>
      <c r="L5469" s="2" t="s">
        <v>172</v>
      </c>
      <c r="M5469" s="2" t="s">
        <v>27</v>
      </c>
      <c r="N5469" s="4" t="str">
        <f t="shared" si="461"/>
        <v>GAL</v>
      </c>
      <c r="O5469" s="5">
        <v>1080</v>
      </c>
    </row>
    <row r="5470" spans="2:15" x14ac:dyDescent="0.25">
      <c r="B5470" s="1" t="s">
        <v>154</v>
      </c>
      <c r="C5470" s="2" t="s">
        <v>155</v>
      </c>
      <c r="D5470" s="2" t="s">
        <v>1838</v>
      </c>
      <c r="E5470" s="2" t="s">
        <v>1839</v>
      </c>
      <c r="F5470" s="3">
        <f>DATE(2024,7,16)</f>
        <v>45489</v>
      </c>
      <c r="G5470" s="4">
        <f t="shared" si="463"/>
        <v>7</v>
      </c>
      <c r="H5470" s="4">
        <f t="shared" si="464"/>
        <v>2024</v>
      </c>
      <c r="I5470" s="2" t="s">
        <v>4</v>
      </c>
      <c r="J5470" s="2" t="s">
        <v>6211</v>
      </c>
      <c r="K5470" s="2" t="s">
        <v>1869</v>
      </c>
      <c r="L5470" s="2" t="s">
        <v>172</v>
      </c>
      <c r="M5470" s="2" t="s">
        <v>27</v>
      </c>
      <c r="N5470" s="4" t="str">
        <f t="shared" si="461"/>
        <v>GAL</v>
      </c>
      <c r="O5470" s="5">
        <v>500</v>
      </c>
    </row>
    <row r="5471" spans="2:15" x14ac:dyDescent="0.25">
      <c r="B5471" s="6" t="s">
        <v>154</v>
      </c>
      <c r="C5471" s="7" t="s">
        <v>155</v>
      </c>
      <c r="D5471" s="8" t="s">
        <v>1111</v>
      </c>
      <c r="E5471" s="8" t="s">
        <v>1112</v>
      </c>
      <c r="F5471" s="9">
        <f>DATE(2024,7,23)</f>
        <v>45496</v>
      </c>
      <c r="G5471" s="10">
        <f t="shared" si="463"/>
        <v>7</v>
      </c>
      <c r="H5471" s="10">
        <f t="shared" si="464"/>
        <v>2024</v>
      </c>
      <c r="I5471" s="8" t="s">
        <v>4</v>
      </c>
      <c r="J5471" s="7" t="s">
        <v>6212</v>
      </c>
      <c r="K5471" s="8" t="s">
        <v>510</v>
      </c>
      <c r="L5471" s="8" t="s">
        <v>511</v>
      </c>
      <c r="M5471" s="8" t="s">
        <v>38</v>
      </c>
      <c r="N5471" s="10" t="str">
        <f t="shared" si="461"/>
        <v>GAL</v>
      </c>
      <c r="O5471" s="11">
        <v>750</v>
      </c>
    </row>
    <row r="5472" spans="2:15" x14ac:dyDescent="0.25">
      <c r="B5472" s="1" t="s">
        <v>154</v>
      </c>
      <c r="C5472" s="2" t="s">
        <v>155</v>
      </c>
      <c r="D5472" s="2" t="s">
        <v>161</v>
      </c>
      <c r="E5472" s="2" t="s">
        <v>162</v>
      </c>
      <c r="F5472" s="3">
        <f>DATE(2024,7,23)</f>
        <v>45496</v>
      </c>
      <c r="G5472" s="4">
        <f t="shared" si="463"/>
        <v>7</v>
      </c>
      <c r="H5472" s="4">
        <f t="shared" si="464"/>
        <v>2024</v>
      </c>
      <c r="I5472" s="2" t="s">
        <v>4</v>
      </c>
      <c r="J5472" s="2" t="s">
        <v>6213</v>
      </c>
      <c r="K5472" s="2" t="s">
        <v>631</v>
      </c>
      <c r="L5472" s="2" t="s">
        <v>632</v>
      </c>
      <c r="M5472" s="2" t="s">
        <v>633</v>
      </c>
      <c r="N5472" s="4" t="str">
        <f t="shared" si="461"/>
        <v>GAL</v>
      </c>
      <c r="O5472" s="5">
        <v>2000</v>
      </c>
    </row>
    <row r="5473" spans="2:15" x14ac:dyDescent="0.25">
      <c r="B5473" s="1" t="s">
        <v>154</v>
      </c>
      <c r="C5473" s="2" t="s">
        <v>155</v>
      </c>
      <c r="D5473" s="2" t="s">
        <v>628</v>
      </c>
      <c r="E5473" s="2" t="s">
        <v>629</v>
      </c>
      <c r="F5473" s="3">
        <f>DATE(2024,7,24)</f>
        <v>45497</v>
      </c>
      <c r="G5473" s="4">
        <f t="shared" si="463"/>
        <v>7</v>
      </c>
      <c r="H5473" s="4">
        <f t="shared" si="464"/>
        <v>2024</v>
      </c>
      <c r="I5473" s="2" t="s">
        <v>4</v>
      </c>
      <c r="J5473" s="2" t="s">
        <v>6214</v>
      </c>
      <c r="K5473" s="2" t="s">
        <v>1869</v>
      </c>
      <c r="L5473" s="2" t="s">
        <v>172</v>
      </c>
      <c r="M5473" s="2" t="s">
        <v>27</v>
      </c>
      <c r="N5473" s="4" t="str">
        <f t="shared" si="461"/>
        <v>GAL</v>
      </c>
      <c r="O5473" s="5">
        <v>500</v>
      </c>
    </row>
    <row r="5474" spans="2:15" x14ac:dyDescent="0.25">
      <c r="B5474" s="1" t="s">
        <v>154</v>
      </c>
      <c r="C5474" s="2" t="s">
        <v>155</v>
      </c>
      <c r="D5474" s="2" t="s">
        <v>591</v>
      </c>
      <c r="E5474" s="2" t="s">
        <v>592</v>
      </c>
      <c r="F5474" s="3">
        <f>DATE(2024,7,24)</f>
        <v>45497</v>
      </c>
      <c r="G5474" s="4">
        <f t="shared" si="463"/>
        <v>7</v>
      </c>
      <c r="H5474" s="4">
        <f t="shared" si="464"/>
        <v>2024</v>
      </c>
      <c r="I5474" s="2" t="s">
        <v>4</v>
      </c>
      <c r="J5474" s="2" t="s">
        <v>6215</v>
      </c>
      <c r="K5474" s="2" t="s">
        <v>1098</v>
      </c>
      <c r="L5474" s="2" t="s">
        <v>632</v>
      </c>
      <c r="M5474" s="2" t="s">
        <v>633</v>
      </c>
      <c r="N5474" s="4" t="str">
        <f t="shared" si="461"/>
        <v>GAL</v>
      </c>
      <c r="O5474" s="5">
        <v>2994</v>
      </c>
    </row>
    <row r="5475" spans="2:15" x14ac:dyDescent="0.25">
      <c r="B5475" s="1" t="s">
        <v>154</v>
      </c>
      <c r="C5475" s="2" t="s">
        <v>155</v>
      </c>
      <c r="D5475" s="2" t="s">
        <v>161</v>
      </c>
      <c r="E5475" s="2" t="s">
        <v>162</v>
      </c>
      <c r="F5475" s="3">
        <f>DATE(2024,7,24)</f>
        <v>45497</v>
      </c>
      <c r="G5475" s="4">
        <f t="shared" si="463"/>
        <v>7</v>
      </c>
      <c r="H5475" s="4">
        <f t="shared" si="464"/>
        <v>2024</v>
      </c>
      <c r="I5475" s="2" t="s">
        <v>4</v>
      </c>
      <c r="J5475" s="2" t="s">
        <v>6216</v>
      </c>
      <c r="K5475" s="2" t="s">
        <v>2600</v>
      </c>
      <c r="L5475" s="2" t="s">
        <v>1644</v>
      </c>
      <c r="M5475" s="2" t="s">
        <v>46</v>
      </c>
      <c r="N5475" s="4" t="str">
        <f t="shared" si="461"/>
        <v>GAL</v>
      </c>
      <c r="O5475" s="5">
        <v>250</v>
      </c>
    </row>
    <row r="5476" spans="2:15" x14ac:dyDescent="0.25">
      <c r="B5476" s="1" t="s">
        <v>154</v>
      </c>
      <c r="C5476" s="2" t="s">
        <v>155</v>
      </c>
      <c r="D5476" s="2" t="s">
        <v>178</v>
      </c>
      <c r="E5476" s="2" t="s">
        <v>179</v>
      </c>
      <c r="F5476" s="3">
        <f>DATE(2024,7,25)</f>
        <v>45498</v>
      </c>
      <c r="G5476" s="4">
        <f t="shared" si="463"/>
        <v>7</v>
      </c>
      <c r="H5476" s="4">
        <f t="shared" si="464"/>
        <v>2024</v>
      </c>
      <c r="I5476" s="2" t="s">
        <v>4</v>
      </c>
      <c r="J5476" s="2" t="s">
        <v>6217</v>
      </c>
      <c r="K5476" s="2" t="s">
        <v>189</v>
      </c>
      <c r="L5476" s="2" t="s">
        <v>190</v>
      </c>
      <c r="M5476" s="2" t="s">
        <v>191</v>
      </c>
      <c r="N5476" s="4" t="str">
        <f t="shared" si="461"/>
        <v>GAL</v>
      </c>
      <c r="O5476" s="5">
        <v>180</v>
      </c>
    </row>
    <row r="5477" spans="2:15" x14ac:dyDescent="0.25">
      <c r="B5477" s="1" t="s">
        <v>154</v>
      </c>
      <c r="C5477" s="2" t="s">
        <v>155</v>
      </c>
      <c r="D5477" s="2" t="s">
        <v>167</v>
      </c>
      <c r="E5477" s="2" t="s">
        <v>168</v>
      </c>
      <c r="F5477" s="3">
        <f>DATE(2024,7,25)</f>
        <v>45498</v>
      </c>
      <c r="G5477" s="4">
        <f t="shared" si="463"/>
        <v>7</v>
      </c>
      <c r="H5477" s="4">
        <f t="shared" si="464"/>
        <v>2024</v>
      </c>
      <c r="I5477" s="2" t="s">
        <v>4</v>
      </c>
      <c r="J5477" s="2" t="s">
        <v>6218</v>
      </c>
      <c r="K5477" s="2" t="s">
        <v>631</v>
      </c>
      <c r="L5477" s="2" t="s">
        <v>632</v>
      </c>
      <c r="M5477" s="2" t="s">
        <v>633</v>
      </c>
      <c r="N5477" s="4" t="str">
        <f t="shared" si="461"/>
        <v>GAL</v>
      </c>
      <c r="O5477" s="5">
        <v>1060</v>
      </c>
    </row>
    <row r="5478" spans="2:15" x14ac:dyDescent="0.25">
      <c r="B5478" s="1" t="s">
        <v>154</v>
      </c>
      <c r="C5478" s="2" t="s">
        <v>155</v>
      </c>
      <c r="D5478" s="2" t="s">
        <v>167</v>
      </c>
      <c r="E5478" s="2" t="s">
        <v>168</v>
      </c>
      <c r="F5478" s="3">
        <f>DATE(2024,7,25)</f>
        <v>45498</v>
      </c>
      <c r="G5478" s="4">
        <f t="shared" si="463"/>
        <v>7</v>
      </c>
      <c r="H5478" s="4">
        <f t="shared" si="464"/>
        <v>2024</v>
      </c>
      <c r="I5478" s="2" t="s">
        <v>4</v>
      </c>
      <c r="J5478" s="2" t="s">
        <v>6218</v>
      </c>
      <c r="K5478" s="2" t="s">
        <v>3436</v>
      </c>
      <c r="L5478" s="2" t="s">
        <v>3437</v>
      </c>
      <c r="M5478" s="2" t="s">
        <v>67</v>
      </c>
      <c r="N5478" s="4" t="str">
        <f t="shared" si="461"/>
        <v>GAL</v>
      </c>
      <c r="O5478" s="5">
        <v>500</v>
      </c>
    </row>
    <row r="5479" spans="2:15" x14ac:dyDescent="0.25">
      <c r="B5479" s="1" t="s">
        <v>154</v>
      </c>
      <c r="C5479" s="2" t="s">
        <v>155</v>
      </c>
      <c r="D5479" s="2" t="s">
        <v>178</v>
      </c>
      <c r="E5479" s="2" t="s">
        <v>179</v>
      </c>
      <c r="F5479" s="3">
        <f>DATE(2024,7,26)</f>
        <v>45499</v>
      </c>
      <c r="G5479" s="4">
        <f t="shared" si="463"/>
        <v>7</v>
      </c>
      <c r="H5479" s="4">
        <f t="shared" si="464"/>
        <v>2024</v>
      </c>
      <c r="I5479" s="2" t="s">
        <v>4</v>
      </c>
      <c r="J5479" s="2" t="s">
        <v>6219</v>
      </c>
      <c r="K5479" s="2" t="s">
        <v>820</v>
      </c>
      <c r="L5479" s="2" t="s">
        <v>416</v>
      </c>
      <c r="M5479" s="2" t="s">
        <v>417</v>
      </c>
      <c r="N5479" s="4" t="str">
        <f t="shared" si="461"/>
        <v>GAL</v>
      </c>
      <c r="O5479" s="5">
        <v>35</v>
      </c>
    </row>
    <row r="5480" spans="2:15" x14ac:dyDescent="0.25">
      <c r="B5480" s="1" t="s">
        <v>154</v>
      </c>
      <c r="C5480" s="2" t="s">
        <v>155</v>
      </c>
      <c r="D5480" s="2" t="s">
        <v>1838</v>
      </c>
      <c r="E5480" s="2" t="s">
        <v>1839</v>
      </c>
      <c r="F5480" s="3">
        <f>DATE(2024,7,30)</f>
        <v>45503</v>
      </c>
      <c r="G5480" s="4">
        <f t="shared" si="463"/>
        <v>7</v>
      </c>
      <c r="H5480" s="4">
        <f t="shared" si="464"/>
        <v>2024</v>
      </c>
      <c r="I5480" s="2" t="s">
        <v>4</v>
      </c>
      <c r="J5480" s="2" t="s">
        <v>6220</v>
      </c>
      <c r="K5480" s="2" t="s">
        <v>609</v>
      </c>
      <c r="L5480" s="2" t="s">
        <v>610</v>
      </c>
      <c r="M5480" s="2" t="s">
        <v>611</v>
      </c>
      <c r="N5480" s="4" t="str">
        <f t="shared" si="461"/>
        <v>GAL</v>
      </c>
      <c r="O5480" s="5">
        <v>180</v>
      </c>
    </row>
    <row r="5481" spans="2:15" x14ac:dyDescent="0.25">
      <c r="B5481" s="1" t="s">
        <v>154</v>
      </c>
      <c r="C5481" s="2" t="s">
        <v>155</v>
      </c>
      <c r="D5481" s="2" t="s">
        <v>1838</v>
      </c>
      <c r="E5481" s="2" t="s">
        <v>1839</v>
      </c>
      <c r="F5481" s="3">
        <f>DATE(2024,7,30)</f>
        <v>45503</v>
      </c>
      <c r="G5481" s="4">
        <f t="shared" si="463"/>
        <v>7</v>
      </c>
      <c r="H5481" s="4">
        <f t="shared" si="464"/>
        <v>2024</v>
      </c>
      <c r="I5481" s="2" t="s">
        <v>4</v>
      </c>
      <c r="J5481" s="2" t="s">
        <v>6220</v>
      </c>
      <c r="K5481" s="2" t="s">
        <v>171</v>
      </c>
      <c r="L5481" s="2" t="s">
        <v>172</v>
      </c>
      <c r="M5481" s="2" t="s">
        <v>27</v>
      </c>
      <c r="N5481" s="4" t="str">
        <f t="shared" si="461"/>
        <v>GAL</v>
      </c>
      <c r="O5481" s="5">
        <v>1080</v>
      </c>
    </row>
    <row r="5482" spans="2:15" x14ac:dyDescent="0.25">
      <c r="B5482" s="1" t="s">
        <v>1520</v>
      </c>
      <c r="C5482" s="2" t="s">
        <v>196</v>
      </c>
      <c r="D5482" s="2" t="s">
        <v>270</v>
      </c>
      <c r="E5482" s="2" t="s">
        <v>271</v>
      </c>
      <c r="F5482" s="3">
        <f>DATE(2024,7,1)</f>
        <v>45474</v>
      </c>
      <c r="G5482" s="4">
        <f t="shared" si="463"/>
        <v>7</v>
      </c>
      <c r="H5482" s="4">
        <f t="shared" si="464"/>
        <v>2024</v>
      </c>
      <c r="I5482" s="2" t="s">
        <v>4</v>
      </c>
      <c r="J5482" s="2" t="s">
        <v>6221</v>
      </c>
      <c r="K5482" s="2" t="s">
        <v>205</v>
      </c>
      <c r="L5482" s="2" t="s">
        <v>206</v>
      </c>
      <c r="M5482" s="2" t="s">
        <v>119</v>
      </c>
      <c r="N5482" s="4" t="str">
        <f t="shared" si="461"/>
        <v>TON</v>
      </c>
      <c r="O5482" s="5">
        <v>0.5</v>
      </c>
    </row>
    <row r="5483" spans="2:15" x14ac:dyDescent="0.25">
      <c r="B5483" s="1" t="s">
        <v>1520</v>
      </c>
      <c r="C5483" s="2" t="s">
        <v>196</v>
      </c>
      <c r="D5483" s="2" t="s">
        <v>837</v>
      </c>
      <c r="E5483" s="2" t="s">
        <v>102</v>
      </c>
      <c r="F5483" s="3">
        <f>DATE(2024,7,2)</f>
        <v>45475</v>
      </c>
      <c r="G5483" s="4">
        <f t="shared" si="463"/>
        <v>7</v>
      </c>
      <c r="H5483" s="4">
        <f t="shared" si="464"/>
        <v>2024</v>
      </c>
      <c r="I5483" s="2" t="s">
        <v>4</v>
      </c>
      <c r="J5483" s="2" t="s">
        <v>6222</v>
      </c>
      <c r="K5483" s="2" t="s">
        <v>268</v>
      </c>
      <c r="L5483" s="2" t="s">
        <v>269</v>
      </c>
      <c r="M5483" s="2" t="s">
        <v>119</v>
      </c>
      <c r="N5483" s="4" t="str">
        <f t="shared" si="461"/>
        <v>TON</v>
      </c>
      <c r="O5483" s="5">
        <v>0.15</v>
      </c>
    </row>
    <row r="5484" spans="2:15" x14ac:dyDescent="0.25">
      <c r="B5484" s="1" t="s">
        <v>1520</v>
      </c>
      <c r="C5484" s="2" t="s">
        <v>196</v>
      </c>
      <c r="D5484" s="2" t="s">
        <v>2755</v>
      </c>
      <c r="E5484" s="2" t="s">
        <v>141</v>
      </c>
      <c r="F5484" s="3">
        <f>DATE(2024,7,2)</f>
        <v>45475</v>
      </c>
      <c r="G5484" s="4">
        <f t="shared" si="463"/>
        <v>7</v>
      </c>
      <c r="H5484" s="4">
        <f t="shared" si="464"/>
        <v>2024</v>
      </c>
      <c r="I5484" s="2" t="s">
        <v>4</v>
      </c>
      <c r="J5484" s="2" t="s">
        <v>6223</v>
      </c>
      <c r="K5484" s="2" t="s">
        <v>158</v>
      </c>
      <c r="L5484" s="2" t="s">
        <v>159</v>
      </c>
      <c r="M5484" s="2" t="s">
        <v>160</v>
      </c>
      <c r="N5484" s="4" t="str">
        <f t="shared" si="461"/>
        <v>GAL</v>
      </c>
      <c r="O5484" s="5">
        <v>2.5</v>
      </c>
    </row>
    <row r="5485" spans="2:15" x14ac:dyDescent="0.25">
      <c r="B5485" s="1" t="s">
        <v>1520</v>
      </c>
      <c r="C5485" s="2" t="s">
        <v>196</v>
      </c>
      <c r="D5485" s="2" t="s">
        <v>241</v>
      </c>
      <c r="E5485" s="2" t="s">
        <v>258</v>
      </c>
      <c r="F5485" s="3">
        <f>DATE(2024,7,3)</f>
        <v>45476</v>
      </c>
      <c r="G5485" s="4">
        <f t="shared" si="463"/>
        <v>7</v>
      </c>
      <c r="H5485" s="4">
        <f t="shared" si="464"/>
        <v>2024</v>
      </c>
      <c r="I5485" s="2" t="s">
        <v>4</v>
      </c>
      <c r="J5485" s="2" t="s">
        <v>6224</v>
      </c>
      <c r="K5485" s="2" t="s">
        <v>3458</v>
      </c>
      <c r="L5485" s="2" t="s">
        <v>3459</v>
      </c>
      <c r="M5485" s="2" t="s">
        <v>119</v>
      </c>
      <c r="N5485" s="4" t="str">
        <f t="shared" si="461"/>
        <v>TON</v>
      </c>
      <c r="O5485" s="5">
        <v>1.4975000000000001</v>
      </c>
    </row>
    <row r="5486" spans="2:15" x14ac:dyDescent="0.25">
      <c r="B5486" s="1" t="s">
        <v>1520</v>
      </c>
      <c r="C5486" s="2" t="s">
        <v>196</v>
      </c>
      <c r="D5486" s="2" t="s">
        <v>3469</v>
      </c>
      <c r="E5486" s="2" t="s">
        <v>56</v>
      </c>
      <c r="F5486" s="3">
        <f>DATE(2024,7,3)</f>
        <v>45476</v>
      </c>
      <c r="G5486" s="4">
        <f t="shared" si="463"/>
        <v>7</v>
      </c>
      <c r="H5486" s="4">
        <f t="shared" si="464"/>
        <v>2024</v>
      </c>
      <c r="I5486" s="2" t="s">
        <v>4</v>
      </c>
      <c r="J5486" s="2" t="s">
        <v>6225</v>
      </c>
      <c r="K5486" s="2" t="s">
        <v>3471</v>
      </c>
      <c r="L5486" s="2" t="s">
        <v>5951</v>
      </c>
      <c r="M5486" s="2" t="s">
        <v>24</v>
      </c>
      <c r="N5486" s="4" t="str">
        <f t="shared" si="461"/>
        <v>GAL</v>
      </c>
      <c r="O5486" s="5">
        <v>10</v>
      </c>
    </row>
    <row r="5487" spans="2:15" x14ac:dyDescent="0.25">
      <c r="B5487" s="1" t="s">
        <v>1520</v>
      </c>
      <c r="C5487" s="2" t="s">
        <v>196</v>
      </c>
      <c r="D5487" s="2" t="s">
        <v>321</v>
      </c>
      <c r="E5487" s="2" t="s">
        <v>392</v>
      </c>
      <c r="F5487" s="3">
        <f>DATE(2024,7,8)</f>
        <v>45481</v>
      </c>
      <c r="G5487" s="4">
        <f t="shared" si="463"/>
        <v>7</v>
      </c>
      <c r="H5487" s="4">
        <f t="shared" si="464"/>
        <v>2024</v>
      </c>
      <c r="I5487" s="2" t="s">
        <v>4</v>
      </c>
      <c r="J5487" s="2" t="s">
        <v>6226</v>
      </c>
      <c r="K5487" s="2" t="s">
        <v>447</v>
      </c>
      <c r="L5487" s="2" t="s">
        <v>448</v>
      </c>
      <c r="M5487" s="2" t="s">
        <v>119</v>
      </c>
      <c r="N5487" s="4" t="str">
        <f t="shared" si="461"/>
        <v>TON</v>
      </c>
      <c r="O5487" s="5">
        <v>1.3220000000000001</v>
      </c>
    </row>
    <row r="5488" spans="2:15" x14ac:dyDescent="0.25">
      <c r="B5488" s="1" t="s">
        <v>1520</v>
      </c>
      <c r="C5488" s="2" t="s">
        <v>196</v>
      </c>
      <c r="D5488" s="2" t="s">
        <v>253</v>
      </c>
      <c r="E5488" s="2" t="s">
        <v>254</v>
      </c>
      <c r="F5488" s="3">
        <f>DATE(2024,7,9)</f>
        <v>45482</v>
      </c>
      <c r="G5488" s="4">
        <f t="shared" si="463"/>
        <v>7</v>
      </c>
      <c r="H5488" s="4">
        <f t="shared" si="464"/>
        <v>2024</v>
      </c>
      <c r="I5488" s="2" t="s">
        <v>4</v>
      </c>
      <c r="J5488" s="2" t="s">
        <v>6227</v>
      </c>
      <c r="K5488" s="2" t="s">
        <v>256</v>
      </c>
      <c r="L5488" s="2" t="s">
        <v>257</v>
      </c>
      <c r="M5488" s="2" t="s">
        <v>119</v>
      </c>
      <c r="N5488" s="4" t="str">
        <f t="shared" si="461"/>
        <v>TON</v>
      </c>
      <c r="O5488" s="5">
        <v>2.5</v>
      </c>
    </row>
    <row r="5489" spans="2:15" x14ac:dyDescent="0.25">
      <c r="B5489" s="1" t="s">
        <v>1520</v>
      </c>
      <c r="C5489" s="2" t="s">
        <v>196</v>
      </c>
      <c r="D5489" s="2" t="s">
        <v>207</v>
      </c>
      <c r="E5489" s="2" t="s">
        <v>208</v>
      </c>
      <c r="F5489" s="3">
        <f>DATE(2024,7,9)</f>
        <v>45482</v>
      </c>
      <c r="G5489" s="4">
        <f t="shared" si="463"/>
        <v>7</v>
      </c>
      <c r="H5489" s="4">
        <f t="shared" si="464"/>
        <v>2024</v>
      </c>
      <c r="I5489" s="2" t="s">
        <v>4</v>
      </c>
      <c r="J5489" s="2" t="s">
        <v>6228</v>
      </c>
      <c r="K5489" s="2" t="s">
        <v>236</v>
      </c>
      <c r="L5489" s="2" t="s">
        <v>237</v>
      </c>
      <c r="M5489" s="2" t="s">
        <v>119</v>
      </c>
      <c r="N5489" s="4" t="str">
        <f t="shared" si="461"/>
        <v>TON</v>
      </c>
      <c r="O5489" s="5">
        <v>2.5</v>
      </c>
    </row>
    <row r="5490" spans="2:15" x14ac:dyDescent="0.25">
      <c r="B5490" s="1" t="s">
        <v>1520</v>
      </c>
      <c r="C5490" s="2" t="s">
        <v>196</v>
      </c>
      <c r="D5490" s="2" t="s">
        <v>241</v>
      </c>
      <c r="E5490" s="2" t="s">
        <v>258</v>
      </c>
      <c r="F5490" s="3">
        <f>DATE(2024,7,17)</f>
        <v>45490</v>
      </c>
      <c r="G5490" s="4">
        <f t="shared" si="463"/>
        <v>7</v>
      </c>
      <c r="H5490" s="4">
        <f t="shared" si="464"/>
        <v>2024</v>
      </c>
      <c r="I5490" s="2" t="s">
        <v>4</v>
      </c>
      <c r="J5490" s="2" t="s">
        <v>6229</v>
      </c>
      <c r="K5490" s="2" t="s">
        <v>3321</v>
      </c>
      <c r="L5490" s="2" t="s">
        <v>3322</v>
      </c>
      <c r="M5490" s="2" t="s">
        <v>106</v>
      </c>
      <c r="N5490" s="4" t="str">
        <f t="shared" si="461"/>
        <v>LBS</v>
      </c>
      <c r="O5490" s="5">
        <v>1750</v>
      </c>
    </row>
    <row r="5491" spans="2:15" x14ac:dyDescent="0.25">
      <c r="B5491" s="1" t="s">
        <v>1520</v>
      </c>
      <c r="C5491" s="2" t="s">
        <v>196</v>
      </c>
      <c r="D5491" s="2" t="s">
        <v>3469</v>
      </c>
      <c r="E5491" s="2" t="s">
        <v>56</v>
      </c>
      <c r="F5491" s="3">
        <f>DATE(2024,7,23)</f>
        <v>45496</v>
      </c>
      <c r="G5491" s="4">
        <f t="shared" si="463"/>
        <v>7</v>
      </c>
      <c r="H5491" s="4">
        <f t="shared" si="464"/>
        <v>2024</v>
      </c>
      <c r="I5491" s="2" t="s">
        <v>4</v>
      </c>
      <c r="J5491" s="2" t="s">
        <v>6230</v>
      </c>
      <c r="K5491" s="2" t="s">
        <v>171</v>
      </c>
      <c r="L5491" s="2" t="s">
        <v>172</v>
      </c>
      <c r="M5491" s="2" t="s">
        <v>27</v>
      </c>
      <c r="N5491" s="4" t="str">
        <f t="shared" si="461"/>
        <v>GAL</v>
      </c>
      <c r="O5491" s="5">
        <v>5</v>
      </c>
    </row>
    <row r="5492" spans="2:15" x14ac:dyDescent="0.25">
      <c r="B5492" s="1" t="s">
        <v>1520</v>
      </c>
      <c r="C5492" s="2" t="s">
        <v>196</v>
      </c>
      <c r="D5492" s="2" t="s">
        <v>241</v>
      </c>
      <c r="E5492" s="2" t="s">
        <v>258</v>
      </c>
      <c r="F5492" s="3">
        <f>DATE(2024,7,23)</f>
        <v>45496</v>
      </c>
      <c r="G5492" s="4">
        <f t="shared" si="463"/>
        <v>7</v>
      </c>
      <c r="H5492" s="4">
        <f t="shared" si="464"/>
        <v>2024</v>
      </c>
      <c r="I5492" s="2" t="s">
        <v>4</v>
      </c>
      <c r="J5492" s="2" t="s">
        <v>6231</v>
      </c>
      <c r="K5492" s="2" t="s">
        <v>3458</v>
      </c>
      <c r="L5492" s="2" t="s">
        <v>3459</v>
      </c>
      <c r="M5492" s="2" t="s">
        <v>119</v>
      </c>
      <c r="N5492" s="4" t="str">
        <f t="shared" si="461"/>
        <v>TON</v>
      </c>
      <c r="O5492" s="5">
        <v>1.5</v>
      </c>
    </row>
    <row r="5493" spans="2:15" x14ac:dyDescent="0.25">
      <c r="B5493" s="1" t="s">
        <v>1520</v>
      </c>
      <c r="C5493" s="2" t="s">
        <v>196</v>
      </c>
      <c r="D5493" s="2" t="s">
        <v>253</v>
      </c>
      <c r="E5493" s="2" t="s">
        <v>254</v>
      </c>
      <c r="F5493" s="3">
        <f>DATE(2024,7,26)</f>
        <v>45499</v>
      </c>
      <c r="G5493" s="4">
        <f t="shared" si="463"/>
        <v>7</v>
      </c>
      <c r="H5493" s="4">
        <f t="shared" si="464"/>
        <v>2024</v>
      </c>
      <c r="I5493" s="2" t="s">
        <v>4</v>
      </c>
      <c r="J5493" s="2" t="s">
        <v>6232</v>
      </c>
      <c r="K5493" s="2" t="s">
        <v>256</v>
      </c>
      <c r="L5493" s="2" t="s">
        <v>257</v>
      </c>
      <c r="M5493" s="2" t="s">
        <v>119</v>
      </c>
      <c r="N5493" s="4" t="str">
        <f t="shared" si="461"/>
        <v>TON</v>
      </c>
      <c r="O5493" s="5">
        <v>2.5</v>
      </c>
    </row>
    <row r="5494" spans="2:15" x14ac:dyDescent="0.25">
      <c r="B5494" s="1" t="s">
        <v>1520</v>
      </c>
      <c r="C5494" s="2" t="s">
        <v>196</v>
      </c>
      <c r="D5494" s="2" t="s">
        <v>331</v>
      </c>
      <c r="E5494" s="2" t="s">
        <v>332</v>
      </c>
      <c r="F5494" s="3">
        <f>DATE(2024,7,29)</f>
        <v>45502</v>
      </c>
      <c r="G5494" s="4">
        <f t="shared" si="463"/>
        <v>7</v>
      </c>
      <c r="H5494" s="4">
        <f t="shared" si="464"/>
        <v>2024</v>
      </c>
      <c r="I5494" s="2" t="s">
        <v>4</v>
      </c>
      <c r="J5494" s="2" t="s">
        <v>6233</v>
      </c>
      <c r="K5494" s="2" t="s">
        <v>6234</v>
      </c>
      <c r="L5494" s="2" t="s">
        <v>6235</v>
      </c>
      <c r="M5494" s="2" t="s">
        <v>106</v>
      </c>
      <c r="N5494" s="4" t="str">
        <f t="shared" si="461"/>
        <v>LBS</v>
      </c>
      <c r="O5494" s="5">
        <v>8000</v>
      </c>
    </row>
    <row r="5495" spans="2:15" x14ac:dyDescent="0.25">
      <c r="B5495" s="1" t="s">
        <v>1520</v>
      </c>
      <c r="C5495" s="2" t="s">
        <v>196</v>
      </c>
      <c r="D5495" s="2" t="s">
        <v>6236</v>
      </c>
      <c r="E5495" s="2" t="s">
        <v>6237</v>
      </c>
      <c r="F5495" s="3">
        <f>DATE(2024,7,31)</f>
        <v>45504</v>
      </c>
      <c r="G5495" s="4">
        <f t="shared" si="463"/>
        <v>7</v>
      </c>
      <c r="H5495" s="4">
        <f t="shared" si="464"/>
        <v>2024</v>
      </c>
      <c r="I5495" s="2" t="s">
        <v>4</v>
      </c>
      <c r="J5495" s="2" t="s">
        <v>6238</v>
      </c>
      <c r="K5495" s="2" t="s">
        <v>6239</v>
      </c>
      <c r="L5495" s="2" t="s">
        <v>1493</v>
      </c>
      <c r="M5495" s="2" t="s">
        <v>202</v>
      </c>
      <c r="N5495" s="4" t="str">
        <f t="shared" si="461"/>
        <v>GAL</v>
      </c>
      <c r="O5495" s="5">
        <v>153</v>
      </c>
    </row>
    <row r="5496" spans="2:15" x14ac:dyDescent="0.25">
      <c r="B5496" s="1" t="s">
        <v>382</v>
      </c>
      <c r="C5496" s="2" t="s">
        <v>506</v>
      </c>
      <c r="D5496" s="2" t="s">
        <v>515</v>
      </c>
      <c r="E5496" s="2" t="s">
        <v>516</v>
      </c>
      <c r="F5496" s="3">
        <f>DATE(2024,7,8)</f>
        <v>45481</v>
      </c>
      <c r="G5496" s="4">
        <f t="shared" si="463"/>
        <v>7</v>
      </c>
      <c r="H5496" s="4">
        <f t="shared" si="464"/>
        <v>2024</v>
      </c>
      <c r="I5496" s="2" t="s">
        <v>4</v>
      </c>
      <c r="J5496" s="2" t="s">
        <v>6240</v>
      </c>
      <c r="K5496" s="2" t="s">
        <v>25</v>
      </c>
      <c r="L5496" s="2" t="s">
        <v>6241</v>
      </c>
      <c r="M5496" s="2" t="s">
        <v>27</v>
      </c>
      <c r="N5496" s="4" t="str">
        <f t="shared" si="461"/>
        <v>GAL</v>
      </c>
      <c r="O5496" s="5">
        <v>540</v>
      </c>
    </row>
    <row r="5497" spans="2:15" x14ac:dyDescent="0.25">
      <c r="B5497" s="1" t="s">
        <v>382</v>
      </c>
      <c r="C5497" s="2" t="s">
        <v>506</v>
      </c>
      <c r="D5497" s="2" t="s">
        <v>1001</v>
      </c>
      <c r="E5497" s="2" t="s">
        <v>1002</v>
      </c>
      <c r="F5497" s="3">
        <f>DATE(2024,7,9)</f>
        <v>45482</v>
      </c>
      <c r="G5497" s="4">
        <f t="shared" si="463"/>
        <v>7</v>
      </c>
      <c r="H5497" s="4">
        <f t="shared" si="464"/>
        <v>2024</v>
      </c>
      <c r="I5497" s="2" t="s">
        <v>4</v>
      </c>
      <c r="J5497" s="2" t="s">
        <v>6242</v>
      </c>
      <c r="K5497" s="2" t="s">
        <v>642</v>
      </c>
      <c r="L5497" s="2" t="s">
        <v>111</v>
      </c>
      <c r="M5497" s="2" t="s">
        <v>112</v>
      </c>
      <c r="N5497" s="4" t="str">
        <f t="shared" si="461"/>
        <v>GAL</v>
      </c>
      <c r="O5497" s="5">
        <v>10</v>
      </c>
    </row>
    <row r="5498" spans="2:15" x14ac:dyDescent="0.25">
      <c r="B5498" s="6" t="s">
        <v>382</v>
      </c>
      <c r="C5498" s="7" t="s">
        <v>506</v>
      </c>
      <c r="D5498" s="8" t="s">
        <v>1001</v>
      </c>
      <c r="E5498" s="8" t="s">
        <v>1002</v>
      </c>
      <c r="F5498" s="9">
        <f>DATE(2024,7,9)</f>
        <v>45482</v>
      </c>
      <c r="G5498" s="10">
        <f t="shared" si="463"/>
        <v>7</v>
      </c>
      <c r="H5498" s="10">
        <f t="shared" si="464"/>
        <v>2024</v>
      </c>
      <c r="I5498" s="8" t="s">
        <v>4</v>
      </c>
      <c r="J5498" s="7" t="s">
        <v>6242</v>
      </c>
      <c r="K5498" s="8" t="s">
        <v>36</v>
      </c>
      <c r="L5498" s="8" t="s">
        <v>511</v>
      </c>
      <c r="M5498" s="8" t="s">
        <v>38</v>
      </c>
      <c r="N5498" s="10" t="str">
        <f t="shared" si="461"/>
        <v>GAL</v>
      </c>
      <c r="O5498" s="11">
        <v>20</v>
      </c>
    </row>
    <row r="5499" spans="2:15" x14ac:dyDescent="0.25">
      <c r="B5499" s="1" t="s">
        <v>382</v>
      </c>
      <c r="C5499" s="2" t="s">
        <v>506</v>
      </c>
      <c r="D5499" s="2" t="s">
        <v>515</v>
      </c>
      <c r="E5499" s="2" t="s">
        <v>516</v>
      </c>
      <c r="F5499" s="3">
        <f>DATE(2024,7,12)</f>
        <v>45485</v>
      </c>
      <c r="G5499" s="4">
        <f t="shared" si="463"/>
        <v>7</v>
      </c>
      <c r="H5499" s="4">
        <f t="shared" si="464"/>
        <v>2024</v>
      </c>
      <c r="I5499" s="2" t="s">
        <v>4</v>
      </c>
      <c r="J5499" s="2" t="s">
        <v>6243</v>
      </c>
      <c r="K5499" s="2" t="s">
        <v>149</v>
      </c>
      <c r="L5499" s="2" t="s">
        <v>150</v>
      </c>
      <c r="M5499" s="2" t="s">
        <v>21</v>
      </c>
      <c r="N5499" s="4" t="str">
        <f t="shared" si="461"/>
        <v>GAL</v>
      </c>
      <c r="O5499" s="5">
        <v>180</v>
      </c>
    </row>
    <row r="5500" spans="2:15" x14ac:dyDescent="0.25">
      <c r="B5500" s="1" t="s">
        <v>382</v>
      </c>
      <c r="C5500" s="2" t="s">
        <v>506</v>
      </c>
      <c r="D5500" s="2" t="s">
        <v>515</v>
      </c>
      <c r="E5500" s="2" t="s">
        <v>516</v>
      </c>
      <c r="F5500" s="3">
        <f>DATE(2024,7,19)</f>
        <v>45492</v>
      </c>
      <c r="G5500" s="4">
        <f t="shared" si="463"/>
        <v>7</v>
      </c>
      <c r="H5500" s="4">
        <f t="shared" si="464"/>
        <v>2024</v>
      </c>
      <c r="I5500" s="2" t="s">
        <v>4</v>
      </c>
      <c r="J5500" s="2" t="s">
        <v>6244</v>
      </c>
      <c r="K5500" s="2" t="s">
        <v>244</v>
      </c>
      <c r="L5500" s="2" t="s">
        <v>182</v>
      </c>
      <c r="M5500" s="2" t="s">
        <v>183</v>
      </c>
      <c r="N5500" s="4" t="str">
        <f t="shared" si="461"/>
        <v>GAL</v>
      </c>
      <c r="O5500" s="5">
        <v>180</v>
      </c>
    </row>
    <row r="5501" spans="2:15" x14ac:dyDescent="0.25">
      <c r="B5501" s="1" t="s">
        <v>382</v>
      </c>
      <c r="C5501" s="2" t="s">
        <v>506</v>
      </c>
      <c r="D5501" s="2" t="s">
        <v>521</v>
      </c>
      <c r="E5501" s="2" t="s">
        <v>522</v>
      </c>
      <c r="F5501" s="3">
        <f>DATE(2024,7,26)</f>
        <v>45499</v>
      </c>
      <c r="G5501" s="4">
        <f t="shared" si="463"/>
        <v>7</v>
      </c>
      <c r="H5501" s="4">
        <f t="shared" si="464"/>
        <v>2024</v>
      </c>
      <c r="I5501" s="2" t="s">
        <v>4</v>
      </c>
      <c r="J5501" s="2" t="s">
        <v>6245</v>
      </c>
      <c r="K5501" s="2" t="s">
        <v>5684</v>
      </c>
      <c r="L5501" s="2" t="s">
        <v>1267</v>
      </c>
      <c r="M5501" s="2" t="s">
        <v>191</v>
      </c>
      <c r="N5501" s="4" t="str">
        <f t="shared" si="461"/>
        <v>GAL</v>
      </c>
      <c r="O5501" s="5">
        <v>120</v>
      </c>
    </row>
    <row r="5502" spans="2:15" x14ac:dyDescent="0.25">
      <c r="B5502" s="1" t="s">
        <v>382</v>
      </c>
      <c r="C5502" s="2" t="s">
        <v>506</v>
      </c>
      <c r="D5502" s="2" t="s">
        <v>515</v>
      </c>
      <c r="E5502" s="2" t="s">
        <v>516</v>
      </c>
      <c r="F5502" s="3">
        <f>DATE(2024,7,26)</f>
        <v>45499</v>
      </c>
      <c r="G5502" s="4">
        <f t="shared" si="463"/>
        <v>7</v>
      </c>
      <c r="H5502" s="4">
        <f t="shared" si="464"/>
        <v>2024</v>
      </c>
      <c r="I5502" s="2" t="s">
        <v>4</v>
      </c>
      <c r="J5502" s="2" t="s">
        <v>6246</v>
      </c>
      <c r="K5502" s="2" t="s">
        <v>2120</v>
      </c>
      <c r="L5502" s="2" t="s">
        <v>2121</v>
      </c>
      <c r="M5502" s="2" t="s">
        <v>85</v>
      </c>
      <c r="N5502" s="4" t="str">
        <f t="shared" ref="N5502:N5565" si="465">+LEFT(M5502,3)</f>
        <v>GAL</v>
      </c>
      <c r="O5502" s="5">
        <v>60</v>
      </c>
    </row>
    <row r="5503" spans="2:15" x14ac:dyDescent="0.25">
      <c r="B5503" s="1" t="s">
        <v>382</v>
      </c>
      <c r="C5503" s="2" t="s">
        <v>506</v>
      </c>
      <c r="D5503" s="2" t="s">
        <v>515</v>
      </c>
      <c r="E5503" s="2" t="s">
        <v>516</v>
      </c>
      <c r="F5503" s="3">
        <f>DATE(2024,7,26)</f>
        <v>45499</v>
      </c>
      <c r="G5503" s="4">
        <f t="shared" si="463"/>
        <v>7</v>
      </c>
      <c r="H5503" s="4">
        <f t="shared" si="464"/>
        <v>2024</v>
      </c>
      <c r="I5503" s="2" t="s">
        <v>4</v>
      </c>
      <c r="J5503" s="2" t="s">
        <v>6247</v>
      </c>
      <c r="K5503" s="2" t="s">
        <v>1085</v>
      </c>
      <c r="L5503" s="2" t="s">
        <v>999</v>
      </c>
      <c r="M5503" s="2" t="s">
        <v>1000</v>
      </c>
      <c r="N5503" s="4" t="str">
        <f t="shared" si="465"/>
        <v>GAL</v>
      </c>
      <c r="O5503" s="5">
        <v>30</v>
      </c>
    </row>
    <row r="5504" spans="2:15" x14ac:dyDescent="0.25">
      <c r="B5504" s="1" t="s">
        <v>382</v>
      </c>
      <c r="C5504" s="2" t="s">
        <v>506</v>
      </c>
      <c r="D5504" s="2" t="s">
        <v>995</v>
      </c>
      <c r="E5504" s="2" t="s">
        <v>4494</v>
      </c>
      <c r="F5504" s="3">
        <f>DATE(2024,7,26)</f>
        <v>45499</v>
      </c>
      <c r="G5504" s="4">
        <f t="shared" si="463"/>
        <v>7</v>
      </c>
      <c r="H5504" s="4">
        <f t="shared" si="464"/>
        <v>2024</v>
      </c>
      <c r="I5504" s="2" t="s">
        <v>4</v>
      </c>
      <c r="J5504" s="2" t="s">
        <v>6248</v>
      </c>
      <c r="K5504" s="2" t="s">
        <v>3188</v>
      </c>
      <c r="L5504" s="2" t="s">
        <v>999</v>
      </c>
      <c r="M5504" s="2" t="s">
        <v>1000</v>
      </c>
      <c r="N5504" s="4" t="str">
        <f t="shared" si="465"/>
        <v>GAL</v>
      </c>
      <c r="O5504" s="5">
        <v>55</v>
      </c>
    </row>
    <row r="5505" spans="2:15" x14ac:dyDescent="0.25">
      <c r="B5505" s="1" t="s">
        <v>782</v>
      </c>
      <c r="C5505" s="2" t="s">
        <v>1018</v>
      </c>
      <c r="D5505" s="2" t="s">
        <v>2448</v>
      </c>
      <c r="E5505" s="2" t="s">
        <v>6249</v>
      </c>
      <c r="F5505" s="3">
        <f>DATE(2024,7,1)</f>
        <v>45474</v>
      </c>
      <c r="G5505" s="4">
        <f t="shared" si="463"/>
        <v>7</v>
      </c>
      <c r="H5505" s="4">
        <f t="shared" si="464"/>
        <v>2024</v>
      </c>
      <c r="I5505" s="2" t="s">
        <v>4</v>
      </c>
      <c r="J5505" s="2" t="s">
        <v>6250</v>
      </c>
      <c r="K5505" s="2" t="s">
        <v>560</v>
      </c>
      <c r="L5505" s="2" t="s">
        <v>602</v>
      </c>
      <c r="M5505" s="2" t="s">
        <v>41</v>
      </c>
      <c r="N5505" s="4" t="str">
        <f t="shared" si="465"/>
        <v>GAL</v>
      </c>
      <c r="O5505" s="5">
        <v>500</v>
      </c>
    </row>
    <row r="5506" spans="2:15" x14ac:dyDescent="0.25">
      <c r="B5506" s="1" t="s">
        <v>782</v>
      </c>
      <c r="C5506" s="2" t="s">
        <v>1018</v>
      </c>
      <c r="D5506" s="2" t="s">
        <v>6085</v>
      </c>
      <c r="E5506" s="2" t="s">
        <v>102</v>
      </c>
      <c r="F5506" s="3">
        <f>DATE(2024,7,10)</f>
        <v>45483</v>
      </c>
      <c r="G5506" s="4">
        <f t="shared" si="463"/>
        <v>7</v>
      </c>
      <c r="H5506" s="4">
        <f t="shared" si="464"/>
        <v>2024</v>
      </c>
      <c r="I5506" s="2" t="s">
        <v>4</v>
      </c>
      <c r="J5506" s="2" t="s">
        <v>6251</v>
      </c>
      <c r="K5506" s="2" t="s">
        <v>158</v>
      </c>
      <c r="L5506" s="2" t="s">
        <v>159</v>
      </c>
      <c r="M5506" s="2" t="s">
        <v>160</v>
      </c>
      <c r="N5506" s="4" t="str">
        <f t="shared" si="465"/>
        <v>GAL</v>
      </c>
      <c r="O5506" s="5">
        <v>540</v>
      </c>
    </row>
    <row r="5507" spans="2:15" x14ac:dyDescent="0.25">
      <c r="B5507" s="1" t="s">
        <v>782</v>
      </c>
      <c r="C5507" s="2" t="s">
        <v>1018</v>
      </c>
      <c r="D5507" s="2" t="s">
        <v>6085</v>
      </c>
      <c r="E5507" s="2" t="s">
        <v>102</v>
      </c>
      <c r="F5507" s="3">
        <f>DATE(2024,7,10)</f>
        <v>45483</v>
      </c>
      <c r="G5507" s="4">
        <f t="shared" si="463"/>
        <v>7</v>
      </c>
      <c r="H5507" s="4">
        <f t="shared" si="464"/>
        <v>2024</v>
      </c>
      <c r="I5507" s="2" t="s">
        <v>4</v>
      </c>
      <c r="J5507" s="2" t="s">
        <v>6251</v>
      </c>
      <c r="K5507" s="2" t="s">
        <v>1496</v>
      </c>
      <c r="L5507" s="2" t="s">
        <v>159</v>
      </c>
      <c r="M5507" s="2" t="s">
        <v>160</v>
      </c>
      <c r="N5507" s="4" t="str">
        <f t="shared" si="465"/>
        <v>GAL</v>
      </c>
      <c r="O5507" s="5">
        <v>250</v>
      </c>
    </row>
    <row r="5508" spans="2:15" x14ac:dyDescent="0.25">
      <c r="B5508" s="1" t="s">
        <v>782</v>
      </c>
      <c r="C5508" s="2" t="s">
        <v>1018</v>
      </c>
      <c r="D5508" s="2" t="s">
        <v>6085</v>
      </c>
      <c r="E5508" s="2" t="s">
        <v>102</v>
      </c>
      <c r="F5508" s="3">
        <f>DATE(2024,7,10)</f>
        <v>45483</v>
      </c>
      <c r="G5508" s="4">
        <f t="shared" si="463"/>
        <v>7</v>
      </c>
      <c r="H5508" s="4">
        <f t="shared" si="464"/>
        <v>2024</v>
      </c>
      <c r="I5508" s="2" t="s">
        <v>4</v>
      </c>
      <c r="J5508" s="2" t="s">
        <v>6252</v>
      </c>
      <c r="K5508" s="2" t="s">
        <v>1496</v>
      </c>
      <c r="L5508" s="2" t="s">
        <v>159</v>
      </c>
      <c r="M5508" s="2" t="s">
        <v>160</v>
      </c>
      <c r="N5508" s="4" t="str">
        <f t="shared" si="465"/>
        <v>GAL</v>
      </c>
      <c r="O5508" s="5">
        <v>1000</v>
      </c>
    </row>
    <row r="5509" spans="2:15" x14ac:dyDescent="0.25">
      <c r="B5509" s="1" t="s">
        <v>782</v>
      </c>
      <c r="C5509" s="2" t="s">
        <v>1018</v>
      </c>
      <c r="D5509" s="2" t="s">
        <v>2144</v>
      </c>
      <c r="E5509" s="2" t="s">
        <v>3030</v>
      </c>
      <c r="F5509" s="3">
        <f>DATE(2024,7,10)</f>
        <v>45483</v>
      </c>
      <c r="G5509" s="4">
        <f t="shared" si="463"/>
        <v>7</v>
      </c>
      <c r="H5509" s="4">
        <f t="shared" si="464"/>
        <v>2024</v>
      </c>
      <c r="I5509" s="2" t="s">
        <v>4</v>
      </c>
      <c r="J5509" s="2" t="s">
        <v>6253</v>
      </c>
      <c r="K5509" s="2" t="s">
        <v>158</v>
      </c>
      <c r="L5509" s="2" t="s">
        <v>159</v>
      </c>
      <c r="M5509" s="2" t="s">
        <v>160</v>
      </c>
      <c r="N5509" s="4" t="str">
        <f t="shared" si="465"/>
        <v>GAL</v>
      </c>
      <c r="O5509" s="5">
        <v>360</v>
      </c>
    </row>
    <row r="5510" spans="2:15" x14ac:dyDescent="0.25">
      <c r="B5510" s="1" t="s">
        <v>782</v>
      </c>
      <c r="C5510" s="2" t="s">
        <v>1018</v>
      </c>
      <c r="D5510" s="2" t="s">
        <v>2144</v>
      </c>
      <c r="E5510" s="2" t="s">
        <v>3030</v>
      </c>
      <c r="F5510" s="3">
        <f>DATE(2024,7,10)</f>
        <v>45483</v>
      </c>
      <c r="G5510" s="4">
        <f t="shared" si="463"/>
        <v>7</v>
      </c>
      <c r="H5510" s="4">
        <f t="shared" si="464"/>
        <v>2024</v>
      </c>
      <c r="I5510" s="2" t="s">
        <v>4</v>
      </c>
      <c r="J5510" s="2" t="s">
        <v>6253</v>
      </c>
      <c r="K5510" s="2" t="s">
        <v>1496</v>
      </c>
      <c r="L5510" s="2" t="s">
        <v>159</v>
      </c>
      <c r="M5510" s="2" t="s">
        <v>160</v>
      </c>
      <c r="N5510" s="4" t="str">
        <f t="shared" si="465"/>
        <v>GAL</v>
      </c>
      <c r="O5510" s="5">
        <v>250</v>
      </c>
    </row>
    <row r="5511" spans="2:15" x14ac:dyDescent="0.25">
      <c r="B5511" s="1" t="s">
        <v>645</v>
      </c>
      <c r="C5511" s="2" t="s">
        <v>1025</v>
      </c>
      <c r="D5511" s="2" t="s">
        <v>2092</v>
      </c>
      <c r="E5511" s="2" t="s">
        <v>2093</v>
      </c>
      <c r="F5511" s="3">
        <f>DATE(2024,7,1)</f>
        <v>45474</v>
      </c>
      <c r="G5511" s="4">
        <f t="shared" si="463"/>
        <v>7</v>
      </c>
      <c r="H5511" s="4">
        <f t="shared" si="464"/>
        <v>2024</v>
      </c>
      <c r="I5511" s="2" t="s">
        <v>4</v>
      </c>
      <c r="J5511" s="2" t="s">
        <v>6254</v>
      </c>
      <c r="K5511" s="2" t="s">
        <v>2095</v>
      </c>
      <c r="L5511" s="2" t="s">
        <v>2096</v>
      </c>
      <c r="M5511" s="2" t="s">
        <v>119</v>
      </c>
      <c r="N5511" s="4" t="str">
        <f t="shared" si="465"/>
        <v>TON</v>
      </c>
      <c r="O5511" s="5">
        <v>9.8825000000000003</v>
      </c>
    </row>
    <row r="5512" spans="2:15" x14ac:dyDescent="0.25">
      <c r="B5512" s="1" t="s">
        <v>1742</v>
      </c>
      <c r="C5512" s="2" t="s">
        <v>1025</v>
      </c>
      <c r="D5512" s="2" t="s">
        <v>496</v>
      </c>
      <c r="E5512" s="2" t="s">
        <v>497</v>
      </c>
      <c r="F5512" s="3">
        <f>DATE(2024,7,1)</f>
        <v>45474</v>
      </c>
      <c r="G5512" s="4">
        <f t="shared" si="463"/>
        <v>7</v>
      </c>
      <c r="H5512" s="4">
        <f t="shared" si="464"/>
        <v>2024</v>
      </c>
      <c r="I5512" s="2" t="s">
        <v>4</v>
      </c>
      <c r="J5512" s="2" t="s">
        <v>6255</v>
      </c>
      <c r="K5512" s="2" t="s">
        <v>499</v>
      </c>
      <c r="L5512" s="2" t="s">
        <v>500</v>
      </c>
      <c r="M5512" s="2" t="s">
        <v>119</v>
      </c>
      <c r="N5512" s="4" t="str">
        <f t="shared" si="465"/>
        <v>TON</v>
      </c>
      <c r="O5512" s="5">
        <v>2.5099999999999998</v>
      </c>
    </row>
    <row r="5513" spans="2:15" x14ac:dyDescent="0.25">
      <c r="B5513" s="1" t="s">
        <v>1742</v>
      </c>
      <c r="C5513" s="2" t="s">
        <v>1025</v>
      </c>
      <c r="D5513" s="2" t="s">
        <v>2092</v>
      </c>
      <c r="E5513" s="2" t="s">
        <v>2093</v>
      </c>
      <c r="F5513" s="3">
        <f>DATE(2024,7,9)</f>
        <v>45482</v>
      </c>
      <c r="G5513" s="4">
        <f t="shared" si="463"/>
        <v>7</v>
      </c>
      <c r="H5513" s="4">
        <f t="shared" si="464"/>
        <v>2024</v>
      </c>
      <c r="I5513" s="2" t="s">
        <v>4</v>
      </c>
      <c r="J5513" s="2" t="s">
        <v>6256</v>
      </c>
      <c r="K5513" s="2" t="s">
        <v>2095</v>
      </c>
      <c r="L5513" s="2" t="s">
        <v>2096</v>
      </c>
      <c r="M5513" s="2" t="s">
        <v>119</v>
      </c>
      <c r="N5513" s="4" t="str">
        <f t="shared" si="465"/>
        <v>TON</v>
      </c>
      <c r="O5513" s="5">
        <v>5.0025000000000004</v>
      </c>
    </row>
    <row r="5514" spans="2:15" x14ac:dyDescent="0.25">
      <c r="B5514" s="1" t="s">
        <v>1742</v>
      </c>
      <c r="C5514" s="2" t="s">
        <v>1025</v>
      </c>
      <c r="D5514" s="2" t="s">
        <v>628</v>
      </c>
      <c r="E5514" s="2" t="s">
        <v>3046</v>
      </c>
      <c r="F5514" s="3">
        <f>DATE(2024,7,17)</f>
        <v>45490</v>
      </c>
      <c r="G5514" s="4">
        <f t="shared" si="463"/>
        <v>7</v>
      </c>
      <c r="H5514" s="4">
        <f t="shared" si="464"/>
        <v>2024</v>
      </c>
      <c r="I5514" s="2" t="s">
        <v>4</v>
      </c>
      <c r="J5514" s="2" t="s">
        <v>6257</v>
      </c>
      <c r="K5514" s="2" t="s">
        <v>560</v>
      </c>
      <c r="L5514" s="2" t="s">
        <v>602</v>
      </c>
      <c r="M5514" s="2" t="s">
        <v>41</v>
      </c>
      <c r="N5514" s="4" t="str">
        <f t="shared" si="465"/>
        <v>GAL</v>
      </c>
      <c r="O5514" s="5">
        <v>750</v>
      </c>
    </row>
    <row r="5515" spans="2:15" x14ac:dyDescent="0.25">
      <c r="B5515" s="1" t="s">
        <v>645</v>
      </c>
      <c r="C5515" s="2" t="s">
        <v>1025</v>
      </c>
      <c r="D5515" s="2" t="s">
        <v>2092</v>
      </c>
      <c r="E5515" s="2" t="s">
        <v>2093</v>
      </c>
      <c r="F5515" s="3">
        <f>DATE(2024,7,31)</f>
        <v>45504</v>
      </c>
      <c r="G5515" s="4">
        <f t="shared" si="463"/>
        <v>7</v>
      </c>
      <c r="H5515" s="4">
        <f t="shared" si="464"/>
        <v>2024</v>
      </c>
      <c r="I5515" s="2" t="s">
        <v>4</v>
      </c>
      <c r="J5515" s="2" t="s">
        <v>6258</v>
      </c>
      <c r="K5515" s="2" t="s">
        <v>2095</v>
      </c>
      <c r="L5515" s="2" t="s">
        <v>2096</v>
      </c>
      <c r="M5515" s="2" t="s">
        <v>119</v>
      </c>
      <c r="N5515" s="4" t="str">
        <f t="shared" si="465"/>
        <v>TON</v>
      </c>
      <c r="O5515" s="5">
        <v>15.0075</v>
      </c>
    </row>
    <row r="5516" spans="2:15" x14ac:dyDescent="0.25">
      <c r="B5516" s="1" t="s">
        <v>1410</v>
      </c>
      <c r="C5516" s="2" t="s">
        <v>525</v>
      </c>
      <c r="D5516" s="2" t="s">
        <v>507</v>
      </c>
      <c r="E5516" s="2" t="s">
        <v>141</v>
      </c>
      <c r="F5516" s="3">
        <f>DATE(2024,7,1)</f>
        <v>45474</v>
      </c>
      <c r="G5516" s="4">
        <f t="shared" si="463"/>
        <v>7</v>
      </c>
      <c r="H5516" s="4">
        <f t="shared" si="464"/>
        <v>2024</v>
      </c>
      <c r="I5516" s="2" t="s">
        <v>4</v>
      </c>
      <c r="J5516" s="2" t="s">
        <v>6259</v>
      </c>
      <c r="K5516" s="2" t="s">
        <v>513</v>
      </c>
      <c r="L5516" s="2" t="s">
        <v>514</v>
      </c>
      <c r="M5516" s="2" t="s">
        <v>119</v>
      </c>
      <c r="N5516" s="4" t="str">
        <f t="shared" si="465"/>
        <v>TON</v>
      </c>
      <c r="O5516" s="5">
        <v>1.2450000000000001</v>
      </c>
    </row>
    <row r="5517" spans="2:15" x14ac:dyDescent="0.25">
      <c r="B5517" s="1" t="s">
        <v>1410</v>
      </c>
      <c r="C5517" s="2" t="s">
        <v>525</v>
      </c>
      <c r="D5517" s="2" t="s">
        <v>507</v>
      </c>
      <c r="E5517" s="2" t="s">
        <v>141</v>
      </c>
      <c r="F5517" s="3">
        <f>DATE(2024,7,1)</f>
        <v>45474</v>
      </c>
      <c r="G5517" s="4">
        <f t="shared" si="463"/>
        <v>7</v>
      </c>
      <c r="H5517" s="4">
        <f t="shared" si="464"/>
        <v>2024</v>
      </c>
      <c r="I5517" s="2" t="s">
        <v>4</v>
      </c>
      <c r="J5517" s="2" t="s">
        <v>6260</v>
      </c>
      <c r="K5517" s="2" t="s">
        <v>1505</v>
      </c>
      <c r="L5517" s="2" t="s">
        <v>182</v>
      </c>
      <c r="M5517" s="2" t="s">
        <v>183</v>
      </c>
      <c r="N5517" s="4" t="str">
        <f t="shared" si="465"/>
        <v>GAL</v>
      </c>
      <c r="O5517" s="5">
        <v>1000</v>
      </c>
    </row>
    <row r="5518" spans="2:15" x14ac:dyDescent="0.25">
      <c r="B5518" s="1" t="s">
        <v>1410</v>
      </c>
      <c r="C5518" s="2" t="s">
        <v>525</v>
      </c>
      <c r="D5518" s="2" t="s">
        <v>124</v>
      </c>
      <c r="E5518" s="2" t="s">
        <v>526</v>
      </c>
      <c r="F5518" s="3">
        <f>DATE(2024,7,19)</f>
        <v>45492</v>
      </c>
      <c r="G5518" s="4">
        <f t="shared" si="463"/>
        <v>7</v>
      </c>
      <c r="H5518" s="4">
        <f t="shared" si="464"/>
        <v>2024</v>
      </c>
      <c r="I5518" s="2" t="s">
        <v>4</v>
      </c>
      <c r="J5518" s="2" t="s">
        <v>6261</v>
      </c>
      <c r="K5518" s="2" t="s">
        <v>2113</v>
      </c>
      <c r="L5518" s="2" t="s">
        <v>2114</v>
      </c>
      <c r="M5518" s="2" t="s">
        <v>119</v>
      </c>
      <c r="N5518" s="4" t="str">
        <f t="shared" si="465"/>
        <v>TON</v>
      </c>
      <c r="O5518" s="5">
        <v>1</v>
      </c>
    </row>
    <row r="5519" spans="2:15" x14ac:dyDescent="0.25">
      <c r="B5519" s="1" t="s">
        <v>1050</v>
      </c>
      <c r="C5519" s="2" t="s">
        <v>533</v>
      </c>
      <c r="D5519" s="2" t="s">
        <v>628</v>
      </c>
      <c r="E5519" s="2" t="s">
        <v>2524</v>
      </c>
      <c r="F5519" s="3">
        <f>DATE(2024,7,2)</f>
        <v>45475</v>
      </c>
      <c r="G5519" s="4">
        <f t="shared" si="463"/>
        <v>7</v>
      </c>
      <c r="H5519" s="4">
        <f t="shared" si="464"/>
        <v>2024</v>
      </c>
      <c r="I5519" s="2" t="s">
        <v>4</v>
      </c>
      <c r="J5519" s="2" t="s">
        <v>6262</v>
      </c>
      <c r="K5519" s="2" t="s">
        <v>2553</v>
      </c>
      <c r="L5519" s="2" t="s">
        <v>2527</v>
      </c>
      <c r="M5519" s="2" t="s">
        <v>1448</v>
      </c>
      <c r="N5519" s="4" t="str">
        <f t="shared" si="465"/>
        <v>GAL</v>
      </c>
      <c r="O5519" s="5">
        <v>4000</v>
      </c>
    </row>
    <row r="5520" spans="2:15" x14ac:dyDescent="0.25">
      <c r="B5520" s="6" t="s">
        <v>645</v>
      </c>
      <c r="C5520" s="7" t="s">
        <v>533</v>
      </c>
      <c r="D5520" s="8" t="s">
        <v>557</v>
      </c>
      <c r="E5520" s="8" t="s">
        <v>3070</v>
      </c>
      <c r="F5520" s="9">
        <f>DATE(2024,7,3)</f>
        <v>45476</v>
      </c>
      <c r="G5520" s="10">
        <f t="shared" si="463"/>
        <v>7</v>
      </c>
      <c r="H5520" s="10">
        <f t="shared" si="464"/>
        <v>2024</v>
      </c>
      <c r="I5520" s="8" t="s">
        <v>4</v>
      </c>
      <c r="J5520" s="7" t="s">
        <v>6263</v>
      </c>
      <c r="K5520" s="8" t="s">
        <v>2823</v>
      </c>
      <c r="L5520" s="8" t="s">
        <v>2824</v>
      </c>
      <c r="M5520" s="8" t="s">
        <v>27</v>
      </c>
      <c r="N5520" s="10" t="str">
        <f t="shared" si="465"/>
        <v>GAL</v>
      </c>
      <c r="O5520" s="11">
        <v>250</v>
      </c>
    </row>
    <row r="5521" spans="2:15" x14ac:dyDescent="0.25">
      <c r="B5521" s="1" t="s">
        <v>645</v>
      </c>
      <c r="C5521" s="2" t="s">
        <v>533</v>
      </c>
      <c r="D5521" s="2" t="s">
        <v>557</v>
      </c>
      <c r="E5521" s="2" t="s">
        <v>2534</v>
      </c>
      <c r="F5521" s="3">
        <f>DATE(2024,7,15)</f>
        <v>45488</v>
      </c>
      <c r="G5521" s="4">
        <f t="shared" si="463"/>
        <v>7</v>
      </c>
      <c r="H5521" s="4">
        <f t="shared" si="464"/>
        <v>2024</v>
      </c>
      <c r="I5521" s="2" t="s">
        <v>4</v>
      </c>
      <c r="J5521" s="2" t="s">
        <v>6264</v>
      </c>
      <c r="K5521" s="2" t="s">
        <v>2536</v>
      </c>
      <c r="L5521" s="2" t="s">
        <v>2537</v>
      </c>
      <c r="M5521" s="2" t="s">
        <v>131</v>
      </c>
      <c r="N5521" s="4" t="str">
        <f t="shared" si="465"/>
        <v>GAL</v>
      </c>
      <c r="O5521" s="5">
        <v>1440</v>
      </c>
    </row>
    <row r="5522" spans="2:15" x14ac:dyDescent="0.25">
      <c r="B5522" s="1" t="s">
        <v>1050</v>
      </c>
      <c r="C5522" s="2" t="s">
        <v>533</v>
      </c>
      <c r="D5522" s="2" t="s">
        <v>628</v>
      </c>
      <c r="E5522" s="2" t="s">
        <v>2145</v>
      </c>
      <c r="F5522" s="3">
        <f>DATE(2024,7,18)</f>
        <v>45491</v>
      </c>
      <c r="G5522" s="4">
        <f t="shared" ref="G5522:G5585" si="466">+MONTH(F5522)</f>
        <v>7</v>
      </c>
      <c r="H5522" s="4">
        <f t="shared" ref="H5522:H5585" si="467">+YEAR(F5522)</f>
        <v>2024</v>
      </c>
      <c r="I5522" s="2" t="s">
        <v>4</v>
      </c>
      <c r="J5522" s="2" t="s">
        <v>6265</v>
      </c>
      <c r="K5522" s="2" t="s">
        <v>2836</v>
      </c>
      <c r="L5522" s="2" t="s">
        <v>2148</v>
      </c>
      <c r="M5522" s="2" t="s">
        <v>41</v>
      </c>
      <c r="N5522" s="4" t="str">
        <f t="shared" si="465"/>
        <v>GAL</v>
      </c>
      <c r="O5522" s="5">
        <v>250</v>
      </c>
    </row>
    <row r="5523" spans="2:15" x14ac:dyDescent="0.25">
      <c r="B5523" s="1" t="s">
        <v>1050</v>
      </c>
      <c r="C5523" s="2" t="s">
        <v>533</v>
      </c>
      <c r="D5523" s="2" t="s">
        <v>562</v>
      </c>
      <c r="E5523" s="2" t="s">
        <v>563</v>
      </c>
      <c r="F5523" s="3">
        <f>DATE(2024,7,23)</f>
        <v>45496</v>
      </c>
      <c r="G5523" s="4">
        <f t="shared" si="466"/>
        <v>7</v>
      </c>
      <c r="H5523" s="4">
        <f t="shared" si="467"/>
        <v>2024</v>
      </c>
      <c r="I5523" s="2" t="s">
        <v>4</v>
      </c>
      <c r="J5523" s="2" t="s">
        <v>6266</v>
      </c>
      <c r="K5523" s="2" t="s">
        <v>83</v>
      </c>
      <c r="L5523" s="2" t="s">
        <v>518</v>
      </c>
      <c r="M5523" s="2" t="s">
        <v>85</v>
      </c>
      <c r="N5523" s="4" t="str">
        <f t="shared" si="465"/>
        <v>GAL</v>
      </c>
      <c r="O5523" s="5">
        <v>180</v>
      </c>
    </row>
    <row r="5524" spans="2:15" x14ac:dyDescent="0.25">
      <c r="B5524" s="1" t="s">
        <v>1050</v>
      </c>
      <c r="C5524" s="2" t="s">
        <v>533</v>
      </c>
      <c r="D5524" s="2" t="s">
        <v>562</v>
      </c>
      <c r="E5524" s="2" t="s">
        <v>563</v>
      </c>
      <c r="F5524" s="3">
        <f>DATE(2024,7,23)</f>
        <v>45496</v>
      </c>
      <c r="G5524" s="4">
        <f t="shared" si="466"/>
        <v>7</v>
      </c>
      <c r="H5524" s="4">
        <f t="shared" si="467"/>
        <v>2024</v>
      </c>
      <c r="I5524" s="2" t="s">
        <v>4</v>
      </c>
      <c r="J5524" s="2" t="s">
        <v>6266</v>
      </c>
      <c r="K5524" s="2" t="s">
        <v>1729</v>
      </c>
      <c r="L5524" s="2" t="s">
        <v>2073</v>
      </c>
      <c r="M5524" s="2" t="s">
        <v>1731</v>
      </c>
      <c r="N5524" s="4" t="str">
        <f t="shared" si="465"/>
        <v>GAL</v>
      </c>
      <c r="O5524" s="5">
        <v>180</v>
      </c>
    </row>
    <row r="5525" spans="2:15" x14ac:dyDescent="0.25">
      <c r="B5525" s="1" t="s">
        <v>645</v>
      </c>
      <c r="C5525" s="2" t="s">
        <v>533</v>
      </c>
      <c r="D5525" s="2" t="s">
        <v>557</v>
      </c>
      <c r="E5525" s="2" t="s">
        <v>1090</v>
      </c>
      <c r="F5525" s="3">
        <f>DATE(2024,7,25)</f>
        <v>45498</v>
      </c>
      <c r="G5525" s="4">
        <f t="shared" si="466"/>
        <v>7</v>
      </c>
      <c r="H5525" s="4">
        <f t="shared" si="467"/>
        <v>2024</v>
      </c>
      <c r="I5525" s="2" t="s">
        <v>4</v>
      </c>
      <c r="J5525" s="2" t="s">
        <v>6267</v>
      </c>
      <c r="K5525" s="2" t="s">
        <v>2536</v>
      </c>
      <c r="L5525" s="2" t="s">
        <v>2537</v>
      </c>
      <c r="M5525" s="2" t="s">
        <v>131</v>
      </c>
      <c r="N5525" s="4" t="str">
        <f t="shared" si="465"/>
        <v>GAL</v>
      </c>
      <c r="O5525" s="5">
        <v>360</v>
      </c>
    </row>
    <row r="5526" spans="2:15" x14ac:dyDescent="0.25">
      <c r="B5526" s="1" t="s">
        <v>645</v>
      </c>
      <c r="C5526" s="2" t="s">
        <v>533</v>
      </c>
      <c r="D5526" s="2" t="s">
        <v>557</v>
      </c>
      <c r="E5526" s="2" t="s">
        <v>1090</v>
      </c>
      <c r="F5526" s="3">
        <f>DATE(2024,7,25)</f>
        <v>45498</v>
      </c>
      <c r="G5526" s="4">
        <f t="shared" si="466"/>
        <v>7</v>
      </c>
      <c r="H5526" s="4">
        <f t="shared" si="467"/>
        <v>2024</v>
      </c>
      <c r="I5526" s="2" t="s">
        <v>4</v>
      </c>
      <c r="J5526" s="2" t="s">
        <v>6267</v>
      </c>
      <c r="K5526" s="2" t="s">
        <v>6268</v>
      </c>
      <c r="L5526" s="2" t="s">
        <v>2537</v>
      </c>
      <c r="M5526" s="2" t="s">
        <v>106</v>
      </c>
      <c r="N5526" s="4" t="str">
        <f t="shared" si="465"/>
        <v>LBS</v>
      </c>
      <c r="O5526" s="5">
        <v>2500</v>
      </c>
    </row>
    <row r="5527" spans="2:15" x14ac:dyDescent="0.25">
      <c r="B5527" s="1" t="s">
        <v>1050</v>
      </c>
      <c r="C5527" s="2" t="s">
        <v>533</v>
      </c>
      <c r="D5527" s="2" t="s">
        <v>1047</v>
      </c>
      <c r="E5527" s="2" t="s">
        <v>2554</v>
      </c>
      <c r="F5527" s="3">
        <f>DATE(2024,7,30)</f>
        <v>45503</v>
      </c>
      <c r="G5527" s="4">
        <f t="shared" si="466"/>
        <v>7</v>
      </c>
      <c r="H5527" s="4">
        <f t="shared" si="467"/>
        <v>2024</v>
      </c>
      <c r="I5527" s="2" t="s">
        <v>4</v>
      </c>
      <c r="J5527" s="2" t="s">
        <v>6269</v>
      </c>
      <c r="K5527" s="2" t="s">
        <v>2530</v>
      </c>
      <c r="L5527" s="2" t="s">
        <v>2531</v>
      </c>
      <c r="M5527" s="2" t="s">
        <v>2532</v>
      </c>
      <c r="N5527" s="4" t="str">
        <f t="shared" si="465"/>
        <v>GAL</v>
      </c>
      <c r="O5527" s="5">
        <v>30</v>
      </c>
    </row>
    <row r="5528" spans="2:15" x14ac:dyDescent="0.25">
      <c r="B5528" s="1" t="s">
        <v>1050</v>
      </c>
      <c r="C5528" s="2" t="s">
        <v>533</v>
      </c>
      <c r="D5528" s="2" t="s">
        <v>1047</v>
      </c>
      <c r="E5528" s="2" t="s">
        <v>2554</v>
      </c>
      <c r="F5528" s="3">
        <f>DATE(2024,7,30)</f>
        <v>45503</v>
      </c>
      <c r="G5528" s="4">
        <f t="shared" si="466"/>
        <v>7</v>
      </c>
      <c r="H5528" s="4">
        <f t="shared" si="467"/>
        <v>2024</v>
      </c>
      <c r="I5528" s="2" t="s">
        <v>4</v>
      </c>
      <c r="J5528" s="2" t="s">
        <v>6269</v>
      </c>
      <c r="K5528" s="2" t="s">
        <v>1470</v>
      </c>
      <c r="L5528" s="2" t="s">
        <v>2558</v>
      </c>
      <c r="M5528" s="2" t="s">
        <v>1472</v>
      </c>
      <c r="N5528" s="4" t="str">
        <f t="shared" si="465"/>
        <v>GAL</v>
      </c>
      <c r="O5528" s="5">
        <v>50</v>
      </c>
    </row>
    <row r="5529" spans="2:15" x14ac:dyDescent="0.25">
      <c r="B5529" s="1" t="s">
        <v>1050</v>
      </c>
      <c r="C5529" s="2" t="s">
        <v>533</v>
      </c>
      <c r="D5529" s="2" t="s">
        <v>1047</v>
      </c>
      <c r="E5529" s="2" t="s">
        <v>2554</v>
      </c>
      <c r="F5529" s="3">
        <f>DATE(2024,7,30)</f>
        <v>45503</v>
      </c>
      <c r="G5529" s="4">
        <f t="shared" si="466"/>
        <v>7</v>
      </c>
      <c r="H5529" s="4">
        <f t="shared" si="467"/>
        <v>2024</v>
      </c>
      <c r="I5529" s="2" t="s">
        <v>4</v>
      </c>
      <c r="J5529" s="2" t="s">
        <v>6269</v>
      </c>
      <c r="K5529" s="2" t="s">
        <v>50</v>
      </c>
      <c r="L5529" s="2" t="s">
        <v>6270</v>
      </c>
      <c r="M5529" s="2" t="s">
        <v>52</v>
      </c>
      <c r="N5529" s="4" t="str">
        <f t="shared" si="465"/>
        <v>GAL</v>
      </c>
      <c r="O5529" s="5">
        <v>30</v>
      </c>
    </row>
    <row r="5530" spans="2:15" x14ac:dyDescent="0.25">
      <c r="B5530" s="1" t="s">
        <v>2837</v>
      </c>
      <c r="C5530" s="2" t="s">
        <v>2838</v>
      </c>
      <c r="D5530" s="2" t="s">
        <v>2839</v>
      </c>
      <c r="E5530" s="2" t="s">
        <v>102</v>
      </c>
      <c r="F5530" s="3">
        <f>DATE(2024,7,19)</f>
        <v>45492</v>
      </c>
      <c r="G5530" s="4">
        <f t="shared" si="466"/>
        <v>7</v>
      </c>
      <c r="H5530" s="4">
        <f t="shared" si="467"/>
        <v>2024</v>
      </c>
      <c r="I5530" s="2" t="s">
        <v>4</v>
      </c>
      <c r="J5530" s="2" t="s">
        <v>6271</v>
      </c>
      <c r="K5530" s="2" t="s">
        <v>22</v>
      </c>
      <c r="L5530" s="2" t="s">
        <v>5951</v>
      </c>
      <c r="M5530" s="2" t="s">
        <v>24</v>
      </c>
      <c r="N5530" s="4" t="str">
        <f t="shared" si="465"/>
        <v>GAL</v>
      </c>
      <c r="O5530" s="5">
        <v>180</v>
      </c>
    </row>
    <row r="5531" spans="2:15" x14ac:dyDescent="0.25">
      <c r="B5531" s="1" t="s">
        <v>3238</v>
      </c>
      <c r="C5531" s="2" t="s">
        <v>3239</v>
      </c>
      <c r="D5531" s="2" t="s">
        <v>3240</v>
      </c>
      <c r="E5531" s="2" t="s">
        <v>3379</v>
      </c>
      <c r="F5531" s="3">
        <f>DATE(2024,7,5)</f>
        <v>45478</v>
      </c>
      <c r="G5531" s="4">
        <f t="shared" si="466"/>
        <v>7</v>
      </c>
      <c r="H5531" s="4">
        <f t="shared" si="467"/>
        <v>2024</v>
      </c>
      <c r="I5531" s="2" t="s">
        <v>4</v>
      </c>
      <c r="J5531" s="2" t="s">
        <v>6272</v>
      </c>
      <c r="K5531" s="2" t="s">
        <v>3514</v>
      </c>
      <c r="L5531" s="2" t="s">
        <v>3515</v>
      </c>
      <c r="M5531" s="2" t="s">
        <v>3516</v>
      </c>
      <c r="N5531" s="4" t="str">
        <f t="shared" si="465"/>
        <v>GAL</v>
      </c>
      <c r="O5531" s="5">
        <v>250</v>
      </c>
    </row>
    <row r="5532" spans="2:15" x14ac:dyDescent="0.25">
      <c r="B5532" s="1" t="s">
        <v>3238</v>
      </c>
      <c r="C5532" s="2" t="s">
        <v>3239</v>
      </c>
      <c r="D5532" s="2" t="s">
        <v>3240</v>
      </c>
      <c r="E5532" s="2" t="s">
        <v>3379</v>
      </c>
      <c r="F5532" s="3">
        <f>DATE(2024,7,5)</f>
        <v>45478</v>
      </c>
      <c r="G5532" s="4">
        <f t="shared" si="466"/>
        <v>7</v>
      </c>
      <c r="H5532" s="4">
        <f t="shared" si="467"/>
        <v>2024</v>
      </c>
      <c r="I5532" s="2" t="s">
        <v>4</v>
      </c>
      <c r="J5532" s="2" t="s">
        <v>6272</v>
      </c>
      <c r="K5532" s="2" t="s">
        <v>3381</v>
      </c>
      <c r="L5532" s="2" t="s">
        <v>3382</v>
      </c>
      <c r="M5532" s="2" t="s">
        <v>3383</v>
      </c>
      <c r="N5532" s="4" t="str">
        <f t="shared" si="465"/>
        <v>GAL</v>
      </c>
      <c r="O5532" s="5">
        <v>250</v>
      </c>
    </row>
    <row r="5533" spans="2:15" x14ac:dyDescent="0.25">
      <c r="B5533" s="1" t="s">
        <v>3238</v>
      </c>
      <c r="C5533" s="2" t="s">
        <v>3239</v>
      </c>
      <c r="D5533" s="2" t="s">
        <v>3240</v>
      </c>
      <c r="E5533" s="2" t="s">
        <v>3388</v>
      </c>
      <c r="F5533" s="3">
        <f>DATE(2024,7,9)</f>
        <v>45482</v>
      </c>
      <c r="G5533" s="4">
        <f t="shared" si="466"/>
        <v>7</v>
      </c>
      <c r="H5533" s="4">
        <f t="shared" si="467"/>
        <v>2024</v>
      </c>
      <c r="I5533" s="2" t="s">
        <v>4</v>
      </c>
      <c r="J5533" s="2" t="s">
        <v>6273</v>
      </c>
      <c r="K5533" s="2" t="s">
        <v>6150</v>
      </c>
      <c r="L5533" s="2" t="s">
        <v>6151</v>
      </c>
      <c r="M5533" s="2" t="s">
        <v>6152</v>
      </c>
      <c r="N5533" s="4" t="str">
        <f t="shared" si="465"/>
        <v>GAL</v>
      </c>
      <c r="O5533" s="5">
        <v>250</v>
      </c>
    </row>
    <row r="5534" spans="2:15" x14ac:dyDescent="0.25">
      <c r="B5534" s="1" t="s">
        <v>3238</v>
      </c>
      <c r="C5534" s="2" t="s">
        <v>3239</v>
      </c>
      <c r="D5534" s="2" t="s">
        <v>3240</v>
      </c>
      <c r="E5534" s="2" t="s">
        <v>102</v>
      </c>
      <c r="F5534" s="3">
        <f>DATE(2024,7,9)</f>
        <v>45482</v>
      </c>
      <c r="G5534" s="4">
        <f t="shared" si="466"/>
        <v>7</v>
      </c>
      <c r="H5534" s="4">
        <f t="shared" si="467"/>
        <v>2024</v>
      </c>
      <c r="I5534" s="2" t="s">
        <v>4</v>
      </c>
      <c r="J5534" s="2" t="s">
        <v>6274</v>
      </c>
      <c r="K5534" s="2" t="s">
        <v>3917</v>
      </c>
      <c r="L5534" s="2" t="s">
        <v>3525</v>
      </c>
      <c r="M5534" s="2" t="s">
        <v>1397</v>
      </c>
      <c r="N5534" s="4" t="str">
        <f t="shared" si="465"/>
        <v>GAL</v>
      </c>
      <c r="O5534" s="5">
        <v>60</v>
      </c>
    </row>
    <row r="5535" spans="2:15" x14ac:dyDescent="0.25">
      <c r="B5535" s="1" t="s">
        <v>3238</v>
      </c>
      <c r="C5535" s="2" t="s">
        <v>3239</v>
      </c>
      <c r="D5535" s="2" t="s">
        <v>3240</v>
      </c>
      <c r="E5535" s="2" t="s">
        <v>102</v>
      </c>
      <c r="F5535" s="3">
        <f>DATE(2024,7,9)</f>
        <v>45482</v>
      </c>
      <c r="G5535" s="4">
        <f t="shared" si="466"/>
        <v>7</v>
      </c>
      <c r="H5535" s="4">
        <f t="shared" si="467"/>
        <v>2024</v>
      </c>
      <c r="I5535" s="2" t="s">
        <v>4</v>
      </c>
      <c r="J5535" s="2" t="s">
        <v>6274</v>
      </c>
      <c r="K5535" s="2" t="s">
        <v>19</v>
      </c>
      <c r="L5535" s="2" t="s">
        <v>6275</v>
      </c>
      <c r="M5535" s="2" t="s">
        <v>21</v>
      </c>
      <c r="N5535" s="4" t="str">
        <f t="shared" si="465"/>
        <v>GAL</v>
      </c>
      <c r="O5535" s="5">
        <v>60</v>
      </c>
    </row>
    <row r="5536" spans="2:15" x14ac:dyDescent="0.25">
      <c r="B5536" s="1" t="s">
        <v>3238</v>
      </c>
      <c r="C5536" s="2" t="s">
        <v>3239</v>
      </c>
      <c r="D5536" s="2" t="s">
        <v>3240</v>
      </c>
      <c r="E5536" s="2" t="s">
        <v>102</v>
      </c>
      <c r="F5536" s="3">
        <f>DATE(2024,7,9)</f>
        <v>45482</v>
      </c>
      <c r="G5536" s="4">
        <f t="shared" si="466"/>
        <v>7</v>
      </c>
      <c r="H5536" s="4">
        <f t="shared" si="467"/>
        <v>2024</v>
      </c>
      <c r="I5536" s="2" t="s">
        <v>4</v>
      </c>
      <c r="J5536" s="2" t="s">
        <v>6274</v>
      </c>
      <c r="K5536" s="2" t="s">
        <v>3507</v>
      </c>
      <c r="L5536" s="2" t="s">
        <v>3508</v>
      </c>
      <c r="M5536" s="2" t="s">
        <v>3509</v>
      </c>
      <c r="N5536" s="4" t="str">
        <f t="shared" si="465"/>
        <v>GAL</v>
      </c>
      <c r="O5536" s="5">
        <v>60</v>
      </c>
    </row>
    <row r="5537" spans="2:15" x14ac:dyDescent="0.25">
      <c r="B5537" s="1" t="s">
        <v>3238</v>
      </c>
      <c r="C5537" s="2" t="s">
        <v>3239</v>
      </c>
      <c r="D5537" s="2" t="s">
        <v>3240</v>
      </c>
      <c r="E5537" s="2" t="s">
        <v>6276</v>
      </c>
      <c r="F5537" s="3">
        <f>DATE(2024,7,15)</f>
        <v>45488</v>
      </c>
      <c r="G5537" s="4">
        <f t="shared" si="466"/>
        <v>7</v>
      </c>
      <c r="H5537" s="4">
        <f t="shared" si="467"/>
        <v>2024</v>
      </c>
      <c r="I5537" s="2" t="s">
        <v>4</v>
      </c>
      <c r="J5537" s="2" t="s">
        <v>6277</v>
      </c>
      <c r="K5537" s="2" t="s">
        <v>3395</v>
      </c>
      <c r="L5537" s="2" t="s">
        <v>3396</v>
      </c>
      <c r="M5537" s="2" t="s">
        <v>844</v>
      </c>
      <c r="N5537" s="4" t="str">
        <f t="shared" si="465"/>
        <v>GAL</v>
      </c>
      <c r="O5537" s="5">
        <v>275</v>
      </c>
    </row>
    <row r="5538" spans="2:15" x14ac:dyDescent="0.25">
      <c r="B5538" s="1" t="s">
        <v>3238</v>
      </c>
      <c r="C5538" s="2" t="s">
        <v>3239</v>
      </c>
      <c r="D5538" s="2" t="s">
        <v>3240</v>
      </c>
      <c r="E5538" s="2" t="s">
        <v>102</v>
      </c>
      <c r="F5538" s="3">
        <f>DATE(2024,7,16)</f>
        <v>45489</v>
      </c>
      <c r="G5538" s="4">
        <f t="shared" si="466"/>
        <v>7</v>
      </c>
      <c r="H5538" s="4">
        <f t="shared" si="467"/>
        <v>2024</v>
      </c>
      <c r="I5538" s="2" t="s">
        <v>4</v>
      </c>
      <c r="J5538" s="2" t="s">
        <v>6278</v>
      </c>
      <c r="K5538" s="2" t="s">
        <v>5968</v>
      </c>
      <c r="L5538" s="2" t="s">
        <v>5969</v>
      </c>
      <c r="M5538" s="2" t="s">
        <v>5970</v>
      </c>
      <c r="N5538" s="4" t="str">
        <f t="shared" si="465"/>
        <v>GAL</v>
      </c>
      <c r="O5538" s="5">
        <v>60</v>
      </c>
    </row>
    <row r="5539" spans="2:15" x14ac:dyDescent="0.25">
      <c r="B5539" s="1" t="s">
        <v>3238</v>
      </c>
      <c r="C5539" s="2" t="s">
        <v>3239</v>
      </c>
      <c r="D5539" s="2" t="s">
        <v>3240</v>
      </c>
      <c r="E5539" s="2" t="s">
        <v>102</v>
      </c>
      <c r="F5539" s="3">
        <f>DATE(2024,7,16)</f>
        <v>45489</v>
      </c>
      <c r="G5539" s="4">
        <f t="shared" si="466"/>
        <v>7</v>
      </c>
      <c r="H5539" s="4">
        <f t="shared" si="467"/>
        <v>2024</v>
      </c>
      <c r="I5539" s="2" t="s">
        <v>4</v>
      </c>
      <c r="J5539" s="2" t="s">
        <v>6278</v>
      </c>
      <c r="K5539" s="2" t="s">
        <v>5971</v>
      </c>
      <c r="L5539" s="2" t="s">
        <v>3515</v>
      </c>
      <c r="M5539" s="2" t="s">
        <v>3516</v>
      </c>
      <c r="N5539" s="4" t="str">
        <f t="shared" si="465"/>
        <v>GAL</v>
      </c>
      <c r="O5539" s="5">
        <v>60</v>
      </c>
    </row>
    <row r="5540" spans="2:15" x14ac:dyDescent="0.25">
      <c r="B5540" s="1" t="s">
        <v>3238</v>
      </c>
      <c r="C5540" s="2" t="s">
        <v>3239</v>
      </c>
      <c r="D5540" s="2" t="s">
        <v>3240</v>
      </c>
      <c r="E5540" s="2" t="s">
        <v>102</v>
      </c>
      <c r="F5540" s="3">
        <f>DATE(2024,7,16)</f>
        <v>45489</v>
      </c>
      <c r="G5540" s="4">
        <f t="shared" si="466"/>
        <v>7</v>
      </c>
      <c r="H5540" s="4">
        <f t="shared" si="467"/>
        <v>2024</v>
      </c>
      <c r="I5540" s="2" t="s">
        <v>4</v>
      </c>
      <c r="J5540" s="2" t="s">
        <v>6278</v>
      </c>
      <c r="K5540" s="2" t="s">
        <v>50</v>
      </c>
      <c r="L5540" s="2" t="s">
        <v>6279</v>
      </c>
      <c r="M5540" s="2" t="s">
        <v>52</v>
      </c>
      <c r="N5540" s="4" t="str">
        <f t="shared" si="465"/>
        <v>GAL</v>
      </c>
      <c r="O5540" s="5">
        <v>60</v>
      </c>
    </row>
    <row r="5541" spans="2:15" x14ac:dyDescent="0.25">
      <c r="B5541" s="1" t="s">
        <v>3238</v>
      </c>
      <c r="C5541" s="2" t="s">
        <v>3239</v>
      </c>
      <c r="D5541" s="2" t="s">
        <v>6120</v>
      </c>
      <c r="E5541" s="2" t="s">
        <v>6182</v>
      </c>
      <c r="F5541" s="3">
        <f>DATE(2024,7,22)</f>
        <v>45495</v>
      </c>
      <c r="G5541" s="4">
        <f t="shared" si="466"/>
        <v>7</v>
      </c>
      <c r="H5541" s="4">
        <f t="shared" si="467"/>
        <v>2024</v>
      </c>
      <c r="I5541" s="2" t="s">
        <v>4</v>
      </c>
      <c r="J5541" s="2" t="s">
        <v>6280</v>
      </c>
      <c r="K5541" s="2" t="s">
        <v>5469</v>
      </c>
      <c r="L5541" s="2" t="s">
        <v>5470</v>
      </c>
      <c r="M5541" s="2" t="s">
        <v>1046</v>
      </c>
      <c r="N5541" s="4" t="str">
        <f t="shared" si="465"/>
        <v>GAL</v>
      </c>
      <c r="O5541" s="5">
        <v>60</v>
      </c>
    </row>
    <row r="5542" spans="2:15" x14ac:dyDescent="0.25">
      <c r="B5542" s="1" t="s">
        <v>3238</v>
      </c>
      <c r="C5542" s="2" t="s">
        <v>3239</v>
      </c>
      <c r="D5542" s="2" t="s">
        <v>6120</v>
      </c>
      <c r="E5542" s="2" t="s">
        <v>6182</v>
      </c>
      <c r="F5542" s="3">
        <f>DATE(2024,7,22)</f>
        <v>45495</v>
      </c>
      <c r="G5542" s="4">
        <f t="shared" si="466"/>
        <v>7</v>
      </c>
      <c r="H5542" s="4">
        <f t="shared" si="467"/>
        <v>2024</v>
      </c>
      <c r="I5542" s="2" t="s">
        <v>4</v>
      </c>
      <c r="J5542" s="2" t="s">
        <v>6280</v>
      </c>
      <c r="K5542" s="2" t="s">
        <v>551</v>
      </c>
      <c r="L5542" s="2" t="s">
        <v>6161</v>
      </c>
      <c r="M5542" s="2" t="s">
        <v>553</v>
      </c>
      <c r="N5542" s="4" t="str">
        <f t="shared" si="465"/>
        <v>GAL</v>
      </c>
      <c r="O5542" s="5">
        <v>60</v>
      </c>
    </row>
    <row r="5543" spans="2:15" x14ac:dyDescent="0.25">
      <c r="B5543" s="1" t="s">
        <v>3238</v>
      </c>
      <c r="C5543" s="2" t="s">
        <v>3239</v>
      </c>
      <c r="D5543" s="2" t="s">
        <v>6120</v>
      </c>
      <c r="E5543" s="2" t="s">
        <v>6182</v>
      </c>
      <c r="F5543" s="3">
        <f>DATE(2024,7,22)</f>
        <v>45495</v>
      </c>
      <c r="G5543" s="4">
        <f t="shared" si="466"/>
        <v>7</v>
      </c>
      <c r="H5543" s="4">
        <f t="shared" si="467"/>
        <v>2024</v>
      </c>
      <c r="I5543" s="2" t="s">
        <v>4</v>
      </c>
      <c r="J5543" s="2" t="s">
        <v>6280</v>
      </c>
      <c r="K5543" s="2" t="s">
        <v>2120</v>
      </c>
      <c r="L5543" s="2" t="s">
        <v>2121</v>
      </c>
      <c r="M5543" s="2" t="s">
        <v>85</v>
      </c>
      <c r="N5543" s="4" t="str">
        <f t="shared" si="465"/>
        <v>GAL</v>
      </c>
      <c r="O5543" s="5">
        <v>60</v>
      </c>
    </row>
    <row r="5544" spans="2:15" x14ac:dyDescent="0.25">
      <c r="B5544" s="1" t="s">
        <v>3238</v>
      </c>
      <c r="C5544" s="2" t="s">
        <v>3239</v>
      </c>
      <c r="D5544" s="2" t="s">
        <v>3240</v>
      </c>
      <c r="E5544" s="2" t="s">
        <v>6281</v>
      </c>
      <c r="F5544" s="3">
        <f>DATE(2024,7,23)</f>
        <v>45496</v>
      </c>
      <c r="G5544" s="4">
        <f t="shared" si="466"/>
        <v>7</v>
      </c>
      <c r="H5544" s="4">
        <f t="shared" si="467"/>
        <v>2024</v>
      </c>
      <c r="I5544" s="2" t="s">
        <v>4</v>
      </c>
      <c r="J5544" s="2" t="s">
        <v>6282</v>
      </c>
      <c r="K5544" s="2" t="s">
        <v>998</v>
      </c>
      <c r="L5544" s="2" t="s">
        <v>3526</v>
      </c>
      <c r="M5544" s="2" t="s">
        <v>1000</v>
      </c>
      <c r="N5544" s="4" t="str">
        <f t="shared" si="465"/>
        <v>GAL</v>
      </c>
      <c r="O5544" s="5">
        <v>250</v>
      </c>
    </row>
    <row r="5545" spans="2:15" x14ac:dyDescent="0.25">
      <c r="B5545" s="1" t="s">
        <v>3238</v>
      </c>
      <c r="C5545" s="2" t="s">
        <v>3239</v>
      </c>
      <c r="D5545" s="2" t="s">
        <v>3240</v>
      </c>
      <c r="E5545" s="2" t="s">
        <v>3379</v>
      </c>
      <c r="F5545" s="3">
        <f>DATE(2024,7,25)</f>
        <v>45498</v>
      </c>
      <c r="G5545" s="4">
        <f t="shared" si="466"/>
        <v>7</v>
      </c>
      <c r="H5545" s="4">
        <f t="shared" si="467"/>
        <v>2024</v>
      </c>
      <c r="I5545" s="2" t="s">
        <v>4</v>
      </c>
      <c r="J5545" s="2" t="s">
        <v>6283</v>
      </c>
      <c r="K5545" s="2" t="s">
        <v>3381</v>
      </c>
      <c r="L5545" s="2" t="s">
        <v>3382</v>
      </c>
      <c r="M5545" s="2" t="s">
        <v>3383</v>
      </c>
      <c r="N5545" s="4" t="str">
        <f t="shared" si="465"/>
        <v>GAL</v>
      </c>
      <c r="O5545" s="5">
        <v>250</v>
      </c>
    </row>
    <row r="5546" spans="2:15" x14ac:dyDescent="0.25">
      <c r="B5546" s="1" t="s">
        <v>3238</v>
      </c>
      <c r="C5546" s="2" t="s">
        <v>3239</v>
      </c>
      <c r="D5546" s="2" t="s">
        <v>3240</v>
      </c>
      <c r="E5546" s="2" t="s">
        <v>102</v>
      </c>
      <c r="F5546" s="3">
        <f>DATE(2024,7,26)</f>
        <v>45499</v>
      </c>
      <c r="G5546" s="4">
        <f t="shared" si="466"/>
        <v>7</v>
      </c>
      <c r="H5546" s="4">
        <f t="shared" si="467"/>
        <v>2024</v>
      </c>
      <c r="I5546" s="2" t="s">
        <v>4</v>
      </c>
      <c r="J5546" s="2" t="s">
        <v>6284</v>
      </c>
      <c r="K5546" s="2" t="s">
        <v>2530</v>
      </c>
      <c r="L5546" s="2" t="s">
        <v>3503</v>
      </c>
      <c r="M5546" s="2" t="s">
        <v>2532</v>
      </c>
      <c r="N5546" s="4" t="str">
        <f t="shared" si="465"/>
        <v>GAL</v>
      </c>
      <c r="O5546" s="5">
        <v>60</v>
      </c>
    </row>
    <row r="5547" spans="2:15" x14ac:dyDescent="0.25">
      <c r="B5547" s="1" t="s">
        <v>3238</v>
      </c>
      <c r="C5547" s="2" t="s">
        <v>3239</v>
      </c>
      <c r="D5547" s="2" t="s">
        <v>3240</v>
      </c>
      <c r="E5547" s="2" t="s">
        <v>102</v>
      </c>
      <c r="F5547" s="3">
        <f>DATE(2024,7,26)</f>
        <v>45499</v>
      </c>
      <c r="G5547" s="4">
        <f t="shared" si="466"/>
        <v>7</v>
      </c>
      <c r="H5547" s="4">
        <f t="shared" si="467"/>
        <v>2024</v>
      </c>
      <c r="I5547" s="2" t="s">
        <v>4</v>
      </c>
      <c r="J5547" s="2" t="s">
        <v>6284</v>
      </c>
      <c r="K5547" s="2" t="s">
        <v>5998</v>
      </c>
      <c r="L5547" s="2" t="s">
        <v>4258</v>
      </c>
      <c r="M5547" s="2" t="s">
        <v>3251</v>
      </c>
      <c r="N5547" s="4" t="str">
        <f t="shared" si="465"/>
        <v>GAL</v>
      </c>
      <c r="O5547" s="5">
        <v>60</v>
      </c>
    </row>
    <row r="5548" spans="2:15" x14ac:dyDescent="0.25">
      <c r="B5548" s="6" t="s">
        <v>3238</v>
      </c>
      <c r="C5548" s="7" t="s">
        <v>3239</v>
      </c>
      <c r="D5548" s="8" t="s">
        <v>3240</v>
      </c>
      <c r="E5548" s="8" t="s">
        <v>102</v>
      </c>
      <c r="F5548" s="9">
        <f>DATE(2024,7,26)</f>
        <v>45499</v>
      </c>
      <c r="G5548" s="10">
        <f t="shared" si="466"/>
        <v>7</v>
      </c>
      <c r="H5548" s="10">
        <f t="shared" si="467"/>
        <v>2024</v>
      </c>
      <c r="I5548" s="8" t="s">
        <v>4</v>
      </c>
      <c r="J5548" s="7" t="s">
        <v>6284</v>
      </c>
      <c r="K5548" s="8" t="s">
        <v>3510</v>
      </c>
      <c r="L5548" s="8" t="s">
        <v>3400</v>
      </c>
      <c r="M5548" s="8" t="s">
        <v>3401</v>
      </c>
      <c r="N5548" s="10" t="str">
        <f t="shared" si="465"/>
        <v>GAL</v>
      </c>
      <c r="O5548" s="11">
        <v>60</v>
      </c>
    </row>
    <row r="5549" spans="2:15" x14ac:dyDescent="0.25">
      <c r="B5549" s="1" t="s">
        <v>3238</v>
      </c>
      <c r="C5549" s="2" t="s">
        <v>3239</v>
      </c>
      <c r="D5549" s="2" t="s">
        <v>3240</v>
      </c>
      <c r="E5549" s="2" t="s">
        <v>3529</v>
      </c>
      <c r="F5549" s="3">
        <f>DATE(2024,7,29)</f>
        <v>45502</v>
      </c>
      <c r="G5549" s="4">
        <f t="shared" si="466"/>
        <v>7</v>
      </c>
      <c r="H5549" s="4">
        <f t="shared" si="467"/>
        <v>2024</v>
      </c>
      <c r="I5549" s="2" t="s">
        <v>4</v>
      </c>
      <c r="J5549" s="2" t="s">
        <v>6285</v>
      </c>
      <c r="K5549" s="2" t="s">
        <v>3395</v>
      </c>
      <c r="L5549" s="2" t="s">
        <v>3396</v>
      </c>
      <c r="M5549" s="2" t="s">
        <v>844</v>
      </c>
      <c r="N5549" s="4" t="str">
        <f t="shared" si="465"/>
        <v>GAL</v>
      </c>
      <c r="O5549" s="5">
        <v>275</v>
      </c>
    </row>
    <row r="5550" spans="2:15" x14ac:dyDescent="0.25">
      <c r="B5550" s="1" t="s">
        <v>3238</v>
      </c>
      <c r="C5550" s="2" t="s">
        <v>3239</v>
      </c>
      <c r="D5550" s="2" t="s">
        <v>3240</v>
      </c>
      <c r="E5550" s="2" t="s">
        <v>102</v>
      </c>
      <c r="F5550" s="3">
        <f>DATE(2024,7,29)</f>
        <v>45502</v>
      </c>
      <c r="G5550" s="4">
        <f t="shared" si="466"/>
        <v>7</v>
      </c>
      <c r="H5550" s="4">
        <f t="shared" si="467"/>
        <v>2024</v>
      </c>
      <c r="I5550" s="2" t="s">
        <v>4</v>
      </c>
      <c r="J5550" s="2" t="s">
        <v>6286</v>
      </c>
      <c r="K5550" s="2" t="s">
        <v>3390</v>
      </c>
      <c r="L5550" s="2" t="s">
        <v>3250</v>
      </c>
      <c r="M5550" s="2" t="s">
        <v>3251</v>
      </c>
      <c r="N5550" s="4" t="str">
        <f t="shared" si="465"/>
        <v>GAL</v>
      </c>
      <c r="O5550" s="5">
        <v>1500</v>
      </c>
    </row>
    <row r="5551" spans="2:15" x14ac:dyDescent="0.25">
      <c r="B5551" s="1" t="s">
        <v>3238</v>
      </c>
      <c r="C5551" s="2" t="s">
        <v>3239</v>
      </c>
      <c r="D5551" s="2" t="s">
        <v>3240</v>
      </c>
      <c r="E5551" s="2" t="s">
        <v>102</v>
      </c>
      <c r="F5551" s="3">
        <f>DATE(2024,7,29)</f>
        <v>45502</v>
      </c>
      <c r="G5551" s="4">
        <f t="shared" si="466"/>
        <v>7</v>
      </c>
      <c r="H5551" s="4">
        <f t="shared" si="467"/>
        <v>2024</v>
      </c>
      <c r="I5551" s="2" t="s">
        <v>4</v>
      </c>
      <c r="J5551" s="2" t="s">
        <v>6286</v>
      </c>
      <c r="K5551" s="2" t="s">
        <v>3381</v>
      </c>
      <c r="L5551" s="2" t="s">
        <v>3382</v>
      </c>
      <c r="M5551" s="2" t="s">
        <v>3383</v>
      </c>
      <c r="N5551" s="4" t="str">
        <f t="shared" si="465"/>
        <v>GAL</v>
      </c>
      <c r="O5551" s="5">
        <v>1500</v>
      </c>
    </row>
    <row r="5552" spans="2:15" x14ac:dyDescent="0.25">
      <c r="B5552" s="1" t="s">
        <v>3238</v>
      </c>
      <c r="C5552" s="2" t="s">
        <v>3239</v>
      </c>
      <c r="D5552" s="2" t="s">
        <v>3240</v>
      </c>
      <c r="E5552" s="2" t="s">
        <v>4279</v>
      </c>
      <c r="F5552" s="3">
        <f>DATE(2024,7,29)</f>
        <v>45502</v>
      </c>
      <c r="G5552" s="4">
        <f t="shared" si="466"/>
        <v>7</v>
      </c>
      <c r="H5552" s="4">
        <f t="shared" si="467"/>
        <v>2024</v>
      </c>
      <c r="I5552" s="2" t="s">
        <v>4</v>
      </c>
      <c r="J5552" s="2" t="s">
        <v>6287</v>
      </c>
      <c r="K5552" s="2" t="s">
        <v>998</v>
      </c>
      <c r="L5552" s="2" t="s">
        <v>3526</v>
      </c>
      <c r="M5552" s="2" t="s">
        <v>1000</v>
      </c>
      <c r="N5552" s="4" t="str">
        <f t="shared" si="465"/>
        <v>GAL</v>
      </c>
      <c r="O5552" s="5">
        <v>250</v>
      </c>
    </row>
    <row r="5553" spans="2:15" x14ac:dyDescent="0.25">
      <c r="B5553" s="6" t="s">
        <v>3238</v>
      </c>
      <c r="C5553" s="7" t="s">
        <v>3239</v>
      </c>
      <c r="D5553" s="8" t="s">
        <v>3240</v>
      </c>
      <c r="E5553" s="8" t="s">
        <v>4822</v>
      </c>
      <c r="F5553" s="9">
        <f>DATE(2024,7,31)</f>
        <v>45504</v>
      </c>
      <c r="G5553" s="10">
        <f t="shared" si="466"/>
        <v>7</v>
      </c>
      <c r="H5553" s="10">
        <f t="shared" si="467"/>
        <v>2024</v>
      </c>
      <c r="I5553" s="8" t="s">
        <v>4</v>
      </c>
      <c r="J5553" s="7" t="s">
        <v>6288</v>
      </c>
      <c r="K5553" s="8" t="s">
        <v>5452</v>
      </c>
      <c r="L5553" s="8" t="s">
        <v>6185</v>
      </c>
      <c r="M5553" s="8" t="s">
        <v>119</v>
      </c>
      <c r="N5553" s="10" t="str">
        <f t="shared" si="465"/>
        <v>TON</v>
      </c>
      <c r="O5553" s="11">
        <v>1.5189999999999999</v>
      </c>
    </row>
    <row r="5554" spans="2:15" x14ac:dyDescent="0.25">
      <c r="B5554" s="1" t="s">
        <v>3238</v>
      </c>
      <c r="C5554" s="2" t="s">
        <v>3239</v>
      </c>
      <c r="D5554" s="2" t="s">
        <v>3240</v>
      </c>
      <c r="E5554" s="2" t="s">
        <v>3920</v>
      </c>
      <c r="F5554" s="3">
        <f>DATE(2024,7,31)</f>
        <v>45504</v>
      </c>
      <c r="G5554" s="4">
        <f t="shared" si="466"/>
        <v>7</v>
      </c>
      <c r="H5554" s="4">
        <f t="shared" si="467"/>
        <v>2024</v>
      </c>
      <c r="I5554" s="2" t="s">
        <v>4</v>
      </c>
      <c r="J5554" s="2" t="s">
        <v>6289</v>
      </c>
      <c r="K5554" s="2" t="s">
        <v>3390</v>
      </c>
      <c r="L5554" s="2" t="s">
        <v>3250</v>
      </c>
      <c r="M5554" s="2" t="s">
        <v>3251</v>
      </c>
      <c r="N5554" s="4" t="str">
        <f t="shared" si="465"/>
        <v>GAL</v>
      </c>
      <c r="O5554" s="5">
        <v>275</v>
      </c>
    </row>
    <row r="5555" spans="2:15" x14ac:dyDescent="0.25">
      <c r="B5555" s="1" t="s">
        <v>3238</v>
      </c>
      <c r="C5555" s="2" t="s">
        <v>3239</v>
      </c>
      <c r="D5555" s="2" t="s">
        <v>3240</v>
      </c>
      <c r="E5555" s="2" t="s">
        <v>4822</v>
      </c>
      <c r="F5555" s="3">
        <f>DATE(2024,7,31)</f>
        <v>45504</v>
      </c>
      <c r="G5555" s="4">
        <f t="shared" si="466"/>
        <v>7</v>
      </c>
      <c r="H5555" s="4">
        <f t="shared" si="467"/>
        <v>2024</v>
      </c>
      <c r="I5555" s="2" t="s">
        <v>4</v>
      </c>
      <c r="J5555" s="2" t="s">
        <v>6290</v>
      </c>
      <c r="K5555" s="2" t="s">
        <v>3395</v>
      </c>
      <c r="L5555" s="2" t="s">
        <v>3396</v>
      </c>
      <c r="M5555" s="2" t="s">
        <v>844</v>
      </c>
      <c r="N5555" s="4" t="str">
        <f t="shared" si="465"/>
        <v>GAL</v>
      </c>
      <c r="O5555" s="5">
        <v>275</v>
      </c>
    </row>
    <row r="5556" spans="2:15" x14ac:dyDescent="0.25">
      <c r="B5556" s="1" t="s">
        <v>0</v>
      </c>
      <c r="C5556" s="2" t="s">
        <v>1</v>
      </c>
      <c r="D5556" s="2" t="s">
        <v>2</v>
      </c>
      <c r="E5556" s="2" t="s">
        <v>4287</v>
      </c>
      <c r="F5556" s="3">
        <f t="shared" ref="F5556:F5561" si="468">DATE(2024,8,2)</f>
        <v>45506</v>
      </c>
      <c r="G5556" s="4">
        <f t="shared" si="466"/>
        <v>8</v>
      </c>
      <c r="H5556" s="4">
        <f t="shared" si="467"/>
        <v>2024</v>
      </c>
      <c r="I5556" s="2" t="s">
        <v>4</v>
      </c>
      <c r="J5556" s="2" t="s">
        <v>6291</v>
      </c>
      <c r="K5556" s="2" t="s">
        <v>19</v>
      </c>
      <c r="L5556" s="2" t="s">
        <v>6006</v>
      </c>
      <c r="M5556" s="2" t="s">
        <v>21</v>
      </c>
      <c r="N5556" s="4" t="str">
        <f t="shared" si="465"/>
        <v>GAL</v>
      </c>
      <c r="O5556" s="5">
        <v>120</v>
      </c>
    </row>
    <row r="5557" spans="2:15" x14ac:dyDescent="0.25">
      <c r="B5557" s="1" t="s">
        <v>0</v>
      </c>
      <c r="C5557" s="2" t="s">
        <v>1</v>
      </c>
      <c r="D5557" s="2" t="s">
        <v>2</v>
      </c>
      <c r="E5557" s="2" t="s">
        <v>4287</v>
      </c>
      <c r="F5557" s="3">
        <f t="shared" si="468"/>
        <v>45506</v>
      </c>
      <c r="G5557" s="4">
        <f t="shared" si="466"/>
        <v>8</v>
      </c>
      <c r="H5557" s="4">
        <f t="shared" si="467"/>
        <v>2024</v>
      </c>
      <c r="I5557" s="2" t="s">
        <v>4</v>
      </c>
      <c r="J5557" s="2" t="s">
        <v>6291</v>
      </c>
      <c r="K5557" s="2" t="s">
        <v>36</v>
      </c>
      <c r="L5557" s="2" t="s">
        <v>37</v>
      </c>
      <c r="M5557" s="2" t="s">
        <v>38</v>
      </c>
      <c r="N5557" s="4" t="str">
        <f t="shared" si="465"/>
        <v>GAL</v>
      </c>
      <c r="O5557" s="5">
        <v>60</v>
      </c>
    </row>
    <row r="5558" spans="2:15" x14ac:dyDescent="0.25">
      <c r="B5558" s="1" t="s">
        <v>0</v>
      </c>
      <c r="C5558" s="2" t="s">
        <v>1</v>
      </c>
      <c r="D5558" s="2" t="s">
        <v>2</v>
      </c>
      <c r="E5558" s="2" t="s">
        <v>4287</v>
      </c>
      <c r="F5558" s="3">
        <f t="shared" si="468"/>
        <v>45506</v>
      </c>
      <c r="G5558" s="4">
        <f t="shared" si="466"/>
        <v>8</v>
      </c>
      <c r="H5558" s="4">
        <f t="shared" si="467"/>
        <v>2024</v>
      </c>
      <c r="I5558" s="2" t="s">
        <v>4</v>
      </c>
      <c r="J5558" s="2" t="s">
        <v>6291</v>
      </c>
      <c r="K5558" s="2" t="s">
        <v>83</v>
      </c>
      <c r="L5558" s="2" t="s">
        <v>84</v>
      </c>
      <c r="M5558" s="2" t="s">
        <v>85</v>
      </c>
      <c r="N5558" s="4" t="str">
        <f t="shared" si="465"/>
        <v>GAL</v>
      </c>
      <c r="O5558" s="5">
        <v>60</v>
      </c>
    </row>
    <row r="5559" spans="2:15" x14ac:dyDescent="0.25">
      <c r="B5559" s="1" t="s">
        <v>0</v>
      </c>
      <c r="C5559" s="2" t="s">
        <v>1</v>
      </c>
      <c r="D5559" s="2" t="s">
        <v>2</v>
      </c>
      <c r="E5559" s="2" t="s">
        <v>4287</v>
      </c>
      <c r="F5559" s="3">
        <f t="shared" si="468"/>
        <v>45506</v>
      </c>
      <c r="G5559" s="4">
        <f t="shared" si="466"/>
        <v>8</v>
      </c>
      <c r="H5559" s="4">
        <f t="shared" si="467"/>
        <v>2024</v>
      </c>
      <c r="I5559" s="2" t="s">
        <v>4</v>
      </c>
      <c r="J5559" s="2" t="s">
        <v>6291</v>
      </c>
      <c r="K5559" s="2" t="s">
        <v>50</v>
      </c>
      <c r="L5559" s="2" t="s">
        <v>51</v>
      </c>
      <c r="M5559" s="2" t="s">
        <v>52</v>
      </c>
      <c r="N5559" s="4" t="str">
        <f t="shared" si="465"/>
        <v>GAL</v>
      </c>
      <c r="O5559" s="5">
        <v>120</v>
      </c>
    </row>
    <row r="5560" spans="2:15" x14ac:dyDescent="0.25">
      <c r="B5560" s="1" t="s">
        <v>0</v>
      </c>
      <c r="C5560" s="2" t="s">
        <v>1</v>
      </c>
      <c r="D5560" s="2" t="s">
        <v>2</v>
      </c>
      <c r="E5560" s="2" t="s">
        <v>4287</v>
      </c>
      <c r="F5560" s="3">
        <f t="shared" si="468"/>
        <v>45506</v>
      </c>
      <c r="G5560" s="4">
        <f t="shared" si="466"/>
        <v>8</v>
      </c>
      <c r="H5560" s="4">
        <f t="shared" si="467"/>
        <v>2024</v>
      </c>
      <c r="I5560" s="2" t="s">
        <v>4</v>
      </c>
      <c r="J5560" s="2" t="s">
        <v>6291</v>
      </c>
      <c r="K5560" s="2" t="s">
        <v>28</v>
      </c>
      <c r="L5560" s="2" t="s">
        <v>29</v>
      </c>
      <c r="M5560" s="2" t="s">
        <v>30</v>
      </c>
      <c r="N5560" s="4" t="str">
        <f t="shared" si="465"/>
        <v>GAL</v>
      </c>
      <c r="O5560" s="5">
        <v>120</v>
      </c>
    </row>
    <row r="5561" spans="2:15" x14ac:dyDescent="0.25">
      <c r="B5561" s="1" t="s">
        <v>0</v>
      </c>
      <c r="C5561" s="2" t="s">
        <v>1</v>
      </c>
      <c r="D5561" s="2" t="s">
        <v>2</v>
      </c>
      <c r="E5561" s="2" t="s">
        <v>4287</v>
      </c>
      <c r="F5561" s="3">
        <f t="shared" si="468"/>
        <v>45506</v>
      </c>
      <c r="G5561" s="4">
        <f t="shared" si="466"/>
        <v>8</v>
      </c>
      <c r="H5561" s="4">
        <f t="shared" si="467"/>
        <v>2024</v>
      </c>
      <c r="I5561" s="2" t="s">
        <v>4</v>
      </c>
      <c r="J5561" s="2" t="s">
        <v>6291</v>
      </c>
      <c r="K5561" s="2" t="s">
        <v>16</v>
      </c>
      <c r="L5561" s="2" t="s">
        <v>7</v>
      </c>
      <c r="M5561" s="2" t="s">
        <v>8</v>
      </c>
      <c r="N5561" s="4" t="str">
        <f t="shared" si="465"/>
        <v>GAL</v>
      </c>
      <c r="O5561" s="5">
        <v>120</v>
      </c>
    </row>
    <row r="5562" spans="2:15" x14ac:dyDescent="0.25">
      <c r="B5562" s="1" t="s">
        <v>0</v>
      </c>
      <c r="C5562" s="2" t="s">
        <v>1</v>
      </c>
      <c r="D5562" s="2" t="s">
        <v>2</v>
      </c>
      <c r="E5562" s="2" t="s">
        <v>61</v>
      </c>
      <c r="F5562" s="3">
        <f>DATE(2024,8,7)</f>
        <v>45511</v>
      </c>
      <c r="G5562" s="4">
        <f t="shared" si="466"/>
        <v>8</v>
      </c>
      <c r="H5562" s="4">
        <f t="shared" si="467"/>
        <v>2024</v>
      </c>
      <c r="I5562" s="2" t="s">
        <v>4</v>
      </c>
      <c r="J5562" s="2" t="s">
        <v>6292</v>
      </c>
      <c r="K5562" s="2" t="s">
        <v>19</v>
      </c>
      <c r="L5562" s="2" t="s">
        <v>6006</v>
      </c>
      <c r="M5562" s="2" t="s">
        <v>21</v>
      </c>
      <c r="N5562" s="4" t="str">
        <f t="shared" si="465"/>
        <v>GAL</v>
      </c>
      <c r="O5562" s="5">
        <v>50</v>
      </c>
    </row>
    <row r="5563" spans="2:15" x14ac:dyDescent="0.25">
      <c r="B5563" s="1" t="s">
        <v>0</v>
      </c>
      <c r="C5563" s="2" t="s">
        <v>1</v>
      </c>
      <c r="D5563" s="2" t="s">
        <v>2</v>
      </c>
      <c r="E5563" s="2" t="s">
        <v>61</v>
      </c>
      <c r="F5563" s="3">
        <f>DATE(2024,8,7)</f>
        <v>45511</v>
      </c>
      <c r="G5563" s="4">
        <f t="shared" si="466"/>
        <v>8</v>
      </c>
      <c r="H5563" s="4">
        <f t="shared" si="467"/>
        <v>2024</v>
      </c>
      <c r="I5563" s="2" t="s">
        <v>4</v>
      </c>
      <c r="J5563" s="2" t="s">
        <v>6292</v>
      </c>
      <c r="K5563" s="2" t="s">
        <v>25</v>
      </c>
      <c r="L5563" s="2" t="s">
        <v>26</v>
      </c>
      <c r="M5563" s="2" t="s">
        <v>27</v>
      </c>
      <c r="N5563" s="4" t="str">
        <f t="shared" si="465"/>
        <v>GAL</v>
      </c>
      <c r="O5563" s="5">
        <v>100</v>
      </c>
    </row>
    <row r="5564" spans="2:15" x14ac:dyDescent="0.25">
      <c r="B5564" s="1" t="s">
        <v>0</v>
      </c>
      <c r="C5564" s="2" t="s">
        <v>1</v>
      </c>
      <c r="D5564" s="2" t="s">
        <v>2</v>
      </c>
      <c r="E5564" s="2" t="s">
        <v>61</v>
      </c>
      <c r="F5564" s="3">
        <f>DATE(2024,8,7)</f>
        <v>45511</v>
      </c>
      <c r="G5564" s="4">
        <f t="shared" si="466"/>
        <v>8</v>
      </c>
      <c r="H5564" s="4">
        <f t="shared" si="467"/>
        <v>2024</v>
      </c>
      <c r="I5564" s="2" t="s">
        <v>4</v>
      </c>
      <c r="J5564" s="2" t="s">
        <v>6292</v>
      </c>
      <c r="K5564" s="2" t="s">
        <v>28</v>
      </c>
      <c r="L5564" s="2" t="s">
        <v>29</v>
      </c>
      <c r="M5564" s="2" t="s">
        <v>30</v>
      </c>
      <c r="N5564" s="4" t="str">
        <f t="shared" si="465"/>
        <v>GAL</v>
      </c>
      <c r="O5564" s="5">
        <v>50</v>
      </c>
    </row>
    <row r="5565" spans="2:15" x14ac:dyDescent="0.25">
      <c r="B5565" s="1" t="s">
        <v>0</v>
      </c>
      <c r="C5565" s="2" t="s">
        <v>1</v>
      </c>
      <c r="D5565" s="2" t="s">
        <v>2</v>
      </c>
      <c r="E5565" s="2" t="s">
        <v>61</v>
      </c>
      <c r="F5565" s="3">
        <f>DATE(2024,8,7)</f>
        <v>45511</v>
      </c>
      <c r="G5565" s="4">
        <f t="shared" si="466"/>
        <v>8</v>
      </c>
      <c r="H5565" s="4">
        <f t="shared" si="467"/>
        <v>2024</v>
      </c>
      <c r="I5565" s="2" t="s">
        <v>4</v>
      </c>
      <c r="J5565" s="2" t="s">
        <v>6292</v>
      </c>
      <c r="K5565" s="2" t="s">
        <v>16</v>
      </c>
      <c r="L5565" s="2" t="s">
        <v>7</v>
      </c>
      <c r="M5565" s="2" t="s">
        <v>8</v>
      </c>
      <c r="N5565" s="4" t="str">
        <f t="shared" si="465"/>
        <v>GAL</v>
      </c>
      <c r="O5565" s="5">
        <v>100</v>
      </c>
    </row>
    <row r="5566" spans="2:15" x14ac:dyDescent="0.25">
      <c r="B5566" s="1" t="s">
        <v>0</v>
      </c>
      <c r="C5566" s="2" t="s">
        <v>1</v>
      </c>
      <c r="D5566" s="2" t="s">
        <v>55</v>
      </c>
      <c r="E5566" s="2" t="s">
        <v>56</v>
      </c>
      <c r="F5566" s="3">
        <f>DATE(2024,8,9)</f>
        <v>45513</v>
      </c>
      <c r="G5566" s="4">
        <f t="shared" si="466"/>
        <v>8</v>
      </c>
      <c r="H5566" s="4">
        <f t="shared" si="467"/>
        <v>2024</v>
      </c>
      <c r="I5566" s="2" t="s">
        <v>4</v>
      </c>
      <c r="J5566" s="2" t="s">
        <v>6293</v>
      </c>
      <c r="K5566" s="2" t="s">
        <v>582</v>
      </c>
      <c r="L5566" s="2" t="s">
        <v>583</v>
      </c>
      <c r="M5566" s="2" t="s">
        <v>553</v>
      </c>
      <c r="N5566" s="4" t="str">
        <f t="shared" ref="N5566:N5629" si="469">+LEFT(M5566,3)</f>
        <v>GAL</v>
      </c>
      <c r="O5566" s="5">
        <v>55</v>
      </c>
    </row>
    <row r="5567" spans="2:15" x14ac:dyDescent="0.25">
      <c r="B5567" s="1" t="s">
        <v>0</v>
      </c>
      <c r="C5567" s="2" t="s">
        <v>1</v>
      </c>
      <c r="D5567" s="2" t="s">
        <v>55</v>
      </c>
      <c r="E5567" s="2" t="s">
        <v>56</v>
      </c>
      <c r="F5567" s="3">
        <f>DATE(2024,8,9)</f>
        <v>45513</v>
      </c>
      <c r="G5567" s="4">
        <f t="shared" si="466"/>
        <v>8</v>
      </c>
      <c r="H5567" s="4">
        <f t="shared" si="467"/>
        <v>2024</v>
      </c>
      <c r="I5567" s="2" t="s">
        <v>4</v>
      </c>
      <c r="J5567" s="2" t="s">
        <v>6293</v>
      </c>
      <c r="K5567" s="2" t="s">
        <v>83</v>
      </c>
      <c r="L5567" s="2" t="s">
        <v>584</v>
      </c>
      <c r="M5567" s="2" t="s">
        <v>85</v>
      </c>
      <c r="N5567" s="4" t="str">
        <f t="shared" si="469"/>
        <v>GAL</v>
      </c>
      <c r="O5567" s="5">
        <v>55</v>
      </c>
    </row>
    <row r="5568" spans="2:15" x14ac:dyDescent="0.25">
      <c r="B5568" s="1" t="s">
        <v>0</v>
      </c>
      <c r="C5568" s="2" t="s">
        <v>1</v>
      </c>
      <c r="D5568" s="2" t="s">
        <v>55</v>
      </c>
      <c r="E5568" s="2" t="s">
        <v>56</v>
      </c>
      <c r="F5568" s="3">
        <f>DATE(2024,8,9)</f>
        <v>45513</v>
      </c>
      <c r="G5568" s="4">
        <f t="shared" si="466"/>
        <v>8</v>
      </c>
      <c r="H5568" s="4">
        <f t="shared" si="467"/>
        <v>2024</v>
      </c>
      <c r="I5568" s="2" t="s">
        <v>4</v>
      </c>
      <c r="J5568" s="2" t="s">
        <v>6293</v>
      </c>
      <c r="K5568" s="2" t="s">
        <v>585</v>
      </c>
      <c r="L5568" s="2" t="s">
        <v>586</v>
      </c>
      <c r="M5568" s="2" t="s">
        <v>587</v>
      </c>
      <c r="N5568" s="4" t="str">
        <f t="shared" si="469"/>
        <v>GAL</v>
      </c>
      <c r="O5568" s="5">
        <v>55</v>
      </c>
    </row>
    <row r="5569" spans="2:15" x14ac:dyDescent="0.25">
      <c r="B5569" s="1" t="s">
        <v>0</v>
      </c>
      <c r="C5569" s="2" t="s">
        <v>1</v>
      </c>
      <c r="D5569" s="2" t="s">
        <v>2</v>
      </c>
      <c r="E5569" s="2" t="s">
        <v>1784</v>
      </c>
      <c r="F5569" s="3">
        <f>DATE(2024,8,13)</f>
        <v>45517</v>
      </c>
      <c r="G5569" s="4">
        <f t="shared" si="466"/>
        <v>8</v>
      </c>
      <c r="H5569" s="4">
        <f t="shared" si="467"/>
        <v>2024</v>
      </c>
      <c r="I5569" s="2" t="s">
        <v>4</v>
      </c>
      <c r="J5569" s="2" t="s">
        <v>6294</v>
      </c>
      <c r="K5569" s="2" t="s">
        <v>1786</v>
      </c>
      <c r="L5569" s="2" t="s">
        <v>84</v>
      </c>
      <c r="M5569" s="2" t="s">
        <v>85</v>
      </c>
      <c r="N5569" s="4" t="str">
        <f t="shared" si="469"/>
        <v>GAL</v>
      </c>
      <c r="O5569" s="5">
        <v>55</v>
      </c>
    </row>
    <row r="5570" spans="2:15" x14ac:dyDescent="0.25">
      <c r="B5570" s="1" t="s">
        <v>0</v>
      </c>
      <c r="C5570" s="2" t="s">
        <v>1</v>
      </c>
      <c r="D5570" s="2" t="s">
        <v>2</v>
      </c>
      <c r="E5570" s="2" t="s">
        <v>1784</v>
      </c>
      <c r="F5570" s="3">
        <f>DATE(2024,8,13)</f>
        <v>45517</v>
      </c>
      <c r="G5570" s="4">
        <f t="shared" si="466"/>
        <v>8</v>
      </c>
      <c r="H5570" s="4">
        <f t="shared" si="467"/>
        <v>2024</v>
      </c>
      <c r="I5570" s="2" t="s">
        <v>4</v>
      </c>
      <c r="J5570" s="2" t="s">
        <v>6294</v>
      </c>
      <c r="K5570" s="2" t="s">
        <v>28</v>
      </c>
      <c r="L5570" s="2" t="s">
        <v>29</v>
      </c>
      <c r="M5570" s="2" t="s">
        <v>30</v>
      </c>
      <c r="N5570" s="4" t="str">
        <f t="shared" si="469"/>
        <v>GAL</v>
      </c>
      <c r="O5570" s="5">
        <v>30</v>
      </c>
    </row>
    <row r="5571" spans="2:15" x14ac:dyDescent="0.25">
      <c r="B5571" s="1" t="s">
        <v>0</v>
      </c>
      <c r="C5571" s="2" t="s">
        <v>1</v>
      </c>
      <c r="D5571" s="2" t="s">
        <v>2</v>
      </c>
      <c r="E5571" s="2" t="s">
        <v>1784</v>
      </c>
      <c r="F5571" s="3">
        <f>DATE(2024,8,13)</f>
        <v>45517</v>
      </c>
      <c r="G5571" s="4">
        <f t="shared" si="466"/>
        <v>8</v>
      </c>
      <c r="H5571" s="4">
        <f t="shared" si="467"/>
        <v>2024</v>
      </c>
      <c r="I5571" s="2" t="s">
        <v>4</v>
      </c>
      <c r="J5571" s="2" t="s">
        <v>6294</v>
      </c>
      <c r="K5571" s="2" t="s">
        <v>6</v>
      </c>
      <c r="L5571" s="2" t="s">
        <v>7</v>
      </c>
      <c r="M5571" s="2" t="s">
        <v>8</v>
      </c>
      <c r="N5571" s="4" t="str">
        <f t="shared" si="469"/>
        <v>GAL</v>
      </c>
      <c r="O5571" s="5">
        <v>55</v>
      </c>
    </row>
    <row r="5572" spans="2:15" x14ac:dyDescent="0.25">
      <c r="B5572" s="1" t="s">
        <v>0</v>
      </c>
      <c r="C5572" s="2" t="s">
        <v>1</v>
      </c>
      <c r="D5572" s="2" t="s">
        <v>2</v>
      </c>
      <c r="E5572" s="2" t="s">
        <v>4287</v>
      </c>
      <c r="F5572" s="3">
        <f t="shared" ref="F5572:F5577" si="470">DATE(2024,8,27)</f>
        <v>45531</v>
      </c>
      <c r="G5572" s="4">
        <f t="shared" si="466"/>
        <v>8</v>
      </c>
      <c r="H5572" s="4">
        <f t="shared" si="467"/>
        <v>2024</v>
      </c>
      <c r="I5572" s="2" t="s">
        <v>4</v>
      </c>
      <c r="J5572" s="2" t="s">
        <v>6295</v>
      </c>
      <c r="K5572" s="2" t="s">
        <v>19</v>
      </c>
      <c r="L5572" s="2" t="s">
        <v>6006</v>
      </c>
      <c r="M5572" s="2" t="s">
        <v>21</v>
      </c>
      <c r="N5572" s="4" t="str">
        <f t="shared" si="469"/>
        <v>GAL</v>
      </c>
      <c r="O5572" s="5">
        <v>60</v>
      </c>
    </row>
    <row r="5573" spans="2:15" x14ac:dyDescent="0.25">
      <c r="B5573" s="1" t="s">
        <v>0</v>
      </c>
      <c r="C5573" s="2" t="s">
        <v>1</v>
      </c>
      <c r="D5573" s="2" t="s">
        <v>2</v>
      </c>
      <c r="E5573" s="2" t="s">
        <v>4287</v>
      </c>
      <c r="F5573" s="3">
        <f t="shared" si="470"/>
        <v>45531</v>
      </c>
      <c r="G5573" s="4">
        <f t="shared" si="466"/>
        <v>8</v>
      </c>
      <c r="H5573" s="4">
        <f t="shared" si="467"/>
        <v>2024</v>
      </c>
      <c r="I5573" s="2" t="s">
        <v>4</v>
      </c>
      <c r="J5573" s="2" t="s">
        <v>6295</v>
      </c>
      <c r="K5573" s="2" t="s">
        <v>80</v>
      </c>
      <c r="L5573" s="2" t="s">
        <v>81</v>
      </c>
      <c r="M5573" s="2" t="s">
        <v>82</v>
      </c>
      <c r="N5573" s="4" t="str">
        <f t="shared" si="469"/>
        <v>GAL</v>
      </c>
      <c r="O5573" s="5">
        <v>60</v>
      </c>
    </row>
    <row r="5574" spans="2:15" x14ac:dyDescent="0.25">
      <c r="B5574" s="1" t="s">
        <v>0</v>
      </c>
      <c r="C5574" s="2" t="s">
        <v>1</v>
      </c>
      <c r="D5574" s="2" t="s">
        <v>2</v>
      </c>
      <c r="E5574" s="2" t="s">
        <v>4287</v>
      </c>
      <c r="F5574" s="3">
        <f t="shared" si="470"/>
        <v>45531</v>
      </c>
      <c r="G5574" s="4">
        <f t="shared" si="466"/>
        <v>8</v>
      </c>
      <c r="H5574" s="4">
        <f t="shared" si="467"/>
        <v>2024</v>
      </c>
      <c r="I5574" s="2" t="s">
        <v>4</v>
      </c>
      <c r="J5574" s="2" t="s">
        <v>6295</v>
      </c>
      <c r="K5574" s="2" t="s">
        <v>25</v>
      </c>
      <c r="L5574" s="2" t="s">
        <v>26</v>
      </c>
      <c r="M5574" s="2" t="s">
        <v>27</v>
      </c>
      <c r="N5574" s="4" t="str">
        <f t="shared" si="469"/>
        <v>GAL</v>
      </c>
      <c r="O5574" s="5">
        <v>120</v>
      </c>
    </row>
    <row r="5575" spans="2:15" x14ac:dyDescent="0.25">
      <c r="B5575" s="1" t="s">
        <v>0</v>
      </c>
      <c r="C5575" s="2" t="s">
        <v>1</v>
      </c>
      <c r="D5575" s="2" t="s">
        <v>2</v>
      </c>
      <c r="E5575" s="2" t="s">
        <v>4287</v>
      </c>
      <c r="F5575" s="3">
        <f t="shared" si="470"/>
        <v>45531</v>
      </c>
      <c r="G5575" s="4">
        <f t="shared" si="466"/>
        <v>8</v>
      </c>
      <c r="H5575" s="4">
        <f t="shared" si="467"/>
        <v>2024</v>
      </c>
      <c r="I5575" s="2" t="s">
        <v>4</v>
      </c>
      <c r="J5575" s="2" t="s">
        <v>6295</v>
      </c>
      <c r="K5575" s="2" t="s">
        <v>83</v>
      </c>
      <c r="L5575" s="2" t="s">
        <v>84</v>
      </c>
      <c r="M5575" s="2" t="s">
        <v>85</v>
      </c>
      <c r="N5575" s="4" t="str">
        <f t="shared" si="469"/>
        <v>GAL</v>
      </c>
      <c r="O5575" s="5">
        <v>120</v>
      </c>
    </row>
    <row r="5576" spans="2:15" x14ac:dyDescent="0.25">
      <c r="B5576" s="1" t="s">
        <v>0</v>
      </c>
      <c r="C5576" s="2" t="s">
        <v>1</v>
      </c>
      <c r="D5576" s="2" t="s">
        <v>2</v>
      </c>
      <c r="E5576" s="2" t="s">
        <v>4287</v>
      </c>
      <c r="F5576" s="3">
        <f t="shared" si="470"/>
        <v>45531</v>
      </c>
      <c r="G5576" s="4">
        <f t="shared" si="466"/>
        <v>8</v>
      </c>
      <c r="H5576" s="4">
        <f t="shared" si="467"/>
        <v>2024</v>
      </c>
      <c r="I5576" s="2" t="s">
        <v>4</v>
      </c>
      <c r="J5576" s="2" t="s">
        <v>6295</v>
      </c>
      <c r="K5576" s="2" t="s">
        <v>28</v>
      </c>
      <c r="L5576" s="2" t="s">
        <v>29</v>
      </c>
      <c r="M5576" s="2" t="s">
        <v>30</v>
      </c>
      <c r="N5576" s="4" t="str">
        <f t="shared" si="469"/>
        <v>GAL</v>
      </c>
      <c r="O5576" s="5">
        <v>120</v>
      </c>
    </row>
    <row r="5577" spans="2:15" x14ac:dyDescent="0.25">
      <c r="B5577" s="1" t="s">
        <v>0</v>
      </c>
      <c r="C5577" s="2" t="s">
        <v>1</v>
      </c>
      <c r="D5577" s="2" t="s">
        <v>2</v>
      </c>
      <c r="E5577" s="2" t="s">
        <v>4287</v>
      </c>
      <c r="F5577" s="3">
        <f t="shared" si="470"/>
        <v>45531</v>
      </c>
      <c r="G5577" s="4">
        <f t="shared" si="466"/>
        <v>8</v>
      </c>
      <c r="H5577" s="4">
        <f t="shared" si="467"/>
        <v>2024</v>
      </c>
      <c r="I5577" s="2" t="s">
        <v>4</v>
      </c>
      <c r="J5577" s="2" t="s">
        <v>6295</v>
      </c>
      <c r="K5577" s="2" t="s">
        <v>16</v>
      </c>
      <c r="L5577" s="2" t="s">
        <v>7</v>
      </c>
      <c r="M5577" s="2" t="s">
        <v>8</v>
      </c>
      <c r="N5577" s="4" t="str">
        <f t="shared" si="469"/>
        <v>GAL</v>
      </c>
      <c r="O5577" s="5">
        <v>120</v>
      </c>
    </row>
    <row r="5578" spans="2:15" x14ac:dyDescent="0.25">
      <c r="B5578" s="1" t="s">
        <v>0</v>
      </c>
      <c r="C5578" s="2" t="s">
        <v>1</v>
      </c>
      <c r="D5578" s="2" t="s">
        <v>2</v>
      </c>
      <c r="E5578" s="2" t="s">
        <v>6296</v>
      </c>
      <c r="F5578" s="3">
        <f>DATE(2024,8,30)</f>
        <v>45534</v>
      </c>
      <c r="G5578" s="4">
        <f t="shared" si="466"/>
        <v>8</v>
      </c>
      <c r="H5578" s="4">
        <f t="shared" si="467"/>
        <v>2024</v>
      </c>
      <c r="I5578" s="2" t="s">
        <v>4</v>
      </c>
      <c r="J5578" s="2" t="s">
        <v>6297</v>
      </c>
      <c r="K5578" s="2" t="s">
        <v>609</v>
      </c>
      <c r="L5578" s="2" t="s">
        <v>6298</v>
      </c>
      <c r="M5578" s="2" t="s">
        <v>611</v>
      </c>
      <c r="N5578" s="4" t="str">
        <f t="shared" si="469"/>
        <v>GAL</v>
      </c>
      <c r="O5578" s="5">
        <v>10</v>
      </c>
    </row>
    <row r="5579" spans="2:15" x14ac:dyDescent="0.25">
      <c r="B5579" s="1" t="s">
        <v>88</v>
      </c>
      <c r="C5579" s="2" t="s">
        <v>89</v>
      </c>
      <c r="D5579" s="2" t="s">
        <v>1444</v>
      </c>
      <c r="E5579" s="2" t="s">
        <v>102</v>
      </c>
      <c r="F5579" s="3">
        <f>DATE(2024,8,2)</f>
        <v>45506</v>
      </c>
      <c r="G5579" s="4">
        <f t="shared" si="466"/>
        <v>8</v>
      </c>
      <c r="H5579" s="4">
        <f t="shared" si="467"/>
        <v>2024</v>
      </c>
      <c r="I5579" s="2" t="s">
        <v>4</v>
      </c>
      <c r="J5579" s="2" t="s">
        <v>6299</v>
      </c>
      <c r="K5579" s="2" t="s">
        <v>1446</v>
      </c>
      <c r="L5579" s="2" t="s">
        <v>2581</v>
      </c>
      <c r="M5579" s="2" t="s">
        <v>1448</v>
      </c>
      <c r="N5579" s="4" t="str">
        <f t="shared" si="469"/>
        <v>GAL</v>
      </c>
      <c r="O5579" s="5">
        <v>360</v>
      </c>
    </row>
    <row r="5580" spans="2:15" x14ac:dyDescent="0.25">
      <c r="B5580" s="1" t="s">
        <v>88</v>
      </c>
      <c r="C5580" s="2" t="s">
        <v>89</v>
      </c>
      <c r="D5580" s="2" t="s">
        <v>1111</v>
      </c>
      <c r="E5580" s="2" t="s">
        <v>1112</v>
      </c>
      <c r="F5580" s="3">
        <f>DATE(2024,8,9)</f>
        <v>45513</v>
      </c>
      <c r="G5580" s="4">
        <f t="shared" si="466"/>
        <v>8</v>
      </c>
      <c r="H5580" s="4">
        <f t="shared" si="467"/>
        <v>2024</v>
      </c>
      <c r="I5580" s="2" t="s">
        <v>4</v>
      </c>
      <c r="J5580" s="2" t="s">
        <v>6300</v>
      </c>
      <c r="K5580" s="2" t="s">
        <v>2629</v>
      </c>
      <c r="L5580" s="2" t="s">
        <v>2630</v>
      </c>
      <c r="M5580" s="2" t="s">
        <v>2631</v>
      </c>
      <c r="N5580" s="4" t="str">
        <f t="shared" si="469"/>
        <v>GAL</v>
      </c>
      <c r="O5580" s="5">
        <v>70</v>
      </c>
    </row>
    <row r="5581" spans="2:15" x14ac:dyDescent="0.25">
      <c r="B5581" s="1" t="s">
        <v>88</v>
      </c>
      <c r="C5581" s="2" t="s">
        <v>89</v>
      </c>
      <c r="D5581" s="2" t="s">
        <v>90</v>
      </c>
      <c r="E5581" s="2" t="s">
        <v>91</v>
      </c>
      <c r="F5581" s="3">
        <f>DATE(2024,8,14)</f>
        <v>45518</v>
      </c>
      <c r="G5581" s="4">
        <f t="shared" si="466"/>
        <v>8</v>
      </c>
      <c r="H5581" s="4">
        <f t="shared" si="467"/>
        <v>2024</v>
      </c>
      <c r="I5581" s="2" t="s">
        <v>4</v>
      </c>
      <c r="J5581" s="2" t="s">
        <v>6301</v>
      </c>
      <c r="K5581" s="2" t="s">
        <v>614</v>
      </c>
      <c r="L5581" s="2" t="s">
        <v>615</v>
      </c>
      <c r="M5581" s="2" t="s">
        <v>41</v>
      </c>
      <c r="N5581" s="4" t="str">
        <f t="shared" si="469"/>
        <v>GAL</v>
      </c>
      <c r="O5581" s="5">
        <v>250</v>
      </c>
    </row>
    <row r="5582" spans="2:15" x14ac:dyDescent="0.25">
      <c r="B5582" s="1" t="s">
        <v>88</v>
      </c>
      <c r="C5582" s="2" t="s">
        <v>89</v>
      </c>
      <c r="D5582" s="2" t="s">
        <v>90</v>
      </c>
      <c r="E5582" s="2" t="s">
        <v>91</v>
      </c>
      <c r="F5582" s="3">
        <f>DATE(2024,8,14)</f>
        <v>45518</v>
      </c>
      <c r="G5582" s="4">
        <f t="shared" si="466"/>
        <v>8</v>
      </c>
      <c r="H5582" s="4">
        <f t="shared" si="467"/>
        <v>2024</v>
      </c>
      <c r="I5582" s="2" t="s">
        <v>4</v>
      </c>
      <c r="J5582" s="2" t="s">
        <v>6301</v>
      </c>
      <c r="K5582" s="2" t="s">
        <v>2519</v>
      </c>
      <c r="L5582" s="2" t="s">
        <v>550</v>
      </c>
      <c r="M5582" s="2" t="s">
        <v>52</v>
      </c>
      <c r="N5582" s="4" t="str">
        <f t="shared" si="469"/>
        <v>GAL</v>
      </c>
      <c r="O5582" s="5">
        <v>250</v>
      </c>
    </row>
    <row r="5583" spans="2:15" x14ac:dyDescent="0.25">
      <c r="B5583" s="1" t="s">
        <v>88</v>
      </c>
      <c r="C5583" s="2" t="s">
        <v>89</v>
      </c>
      <c r="D5583" s="2" t="s">
        <v>515</v>
      </c>
      <c r="E5583" s="2" t="s">
        <v>516</v>
      </c>
      <c r="F5583" s="3">
        <f>DATE(2024,8,15)</f>
        <v>45519</v>
      </c>
      <c r="G5583" s="4">
        <f t="shared" si="466"/>
        <v>8</v>
      </c>
      <c r="H5583" s="4">
        <f t="shared" si="467"/>
        <v>2024</v>
      </c>
      <c r="I5583" s="2" t="s">
        <v>4</v>
      </c>
      <c r="J5583" s="2" t="s">
        <v>6302</v>
      </c>
      <c r="K5583" s="2" t="s">
        <v>110</v>
      </c>
      <c r="L5583" s="2" t="s">
        <v>111</v>
      </c>
      <c r="M5583" s="2" t="s">
        <v>112</v>
      </c>
      <c r="N5583" s="4" t="str">
        <f t="shared" si="469"/>
        <v>GAL</v>
      </c>
      <c r="O5583" s="5">
        <v>2740</v>
      </c>
    </row>
    <row r="5584" spans="2:15" x14ac:dyDescent="0.25">
      <c r="B5584" s="1" t="s">
        <v>88</v>
      </c>
      <c r="C5584" s="2" t="s">
        <v>89</v>
      </c>
      <c r="D5584" s="2" t="s">
        <v>1444</v>
      </c>
      <c r="E5584" s="2" t="s">
        <v>3965</v>
      </c>
      <c r="F5584" s="3">
        <f>DATE(2024,8,16)</f>
        <v>45520</v>
      </c>
      <c r="G5584" s="4">
        <f t="shared" si="466"/>
        <v>8</v>
      </c>
      <c r="H5584" s="4">
        <f t="shared" si="467"/>
        <v>2024</v>
      </c>
      <c r="I5584" s="2" t="s">
        <v>4</v>
      </c>
      <c r="J5584" s="2" t="s">
        <v>6303</v>
      </c>
      <c r="K5584" s="2" t="s">
        <v>3136</v>
      </c>
      <c r="L5584" s="2" t="s">
        <v>2581</v>
      </c>
      <c r="M5584" s="2" t="s">
        <v>1448</v>
      </c>
      <c r="N5584" s="4" t="str">
        <f t="shared" si="469"/>
        <v>GAL</v>
      </c>
      <c r="O5584" s="5">
        <v>150</v>
      </c>
    </row>
    <row r="5585" spans="2:15" x14ac:dyDescent="0.25">
      <c r="B5585" s="6" t="s">
        <v>88</v>
      </c>
      <c r="C5585" s="7" t="s">
        <v>89</v>
      </c>
      <c r="D5585" s="8" t="s">
        <v>2887</v>
      </c>
      <c r="E5585" s="8" t="s">
        <v>617</v>
      </c>
      <c r="F5585" s="9">
        <f>DATE(2024,8,26)</f>
        <v>45530</v>
      </c>
      <c r="G5585" s="10">
        <f t="shared" si="466"/>
        <v>8</v>
      </c>
      <c r="H5585" s="10">
        <f t="shared" si="467"/>
        <v>2024</v>
      </c>
      <c r="I5585" s="8" t="s">
        <v>4</v>
      </c>
      <c r="J5585" s="7" t="s">
        <v>6304</v>
      </c>
      <c r="K5585" s="8" t="s">
        <v>2889</v>
      </c>
      <c r="L5585" s="8" t="s">
        <v>99</v>
      </c>
      <c r="M5585" s="8" t="s">
        <v>100</v>
      </c>
      <c r="N5585" s="10" t="str">
        <f t="shared" si="469"/>
        <v>GAL</v>
      </c>
      <c r="O5585" s="11">
        <v>55</v>
      </c>
    </row>
    <row r="5586" spans="2:15" x14ac:dyDescent="0.25">
      <c r="B5586" s="1" t="s">
        <v>88</v>
      </c>
      <c r="C5586" s="2" t="s">
        <v>89</v>
      </c>
      <c r="D5586" s="2" t="s">
        <v>6305</v>
      </c>
      <c r="E5586" s="2" t="s">
        <v>6306</v>
      </c>
      <c r="F5586" s="3">
        <f>DATE(2024,8,28)</f>
        <v>45532</v>
      </c>
      <c r="G5586" s="4">
        <f t="shared" ref="G5586:G5649" si="471">+MONTH(F5586)</f>
        <v>8</v>
      </c>
      <c r="H5586" s="4">
        <f t="shared" ref="H5586:H5649" si="472">+YEAR(F5586)</f>
        <v>2024</v>
      </c>
      <c r="I5586" s="2" t="s">
        <v>4</v>
      </c>
      <c r="J5586" s="2" t="s">
        <v>6307</v>
      </c>
      <c r="K5586" s="2" t="s">
        <v>619</v>
      </c>
      <c r="L5586" s="2" t="s">
        <v>6308</v>
      </c>
      <c r="M5586" s="2" t="s">
        <v>621</v>
      </c>
      <c r="N5586" s="4" t="str">
        <f t="shared" si="469"/>
        <v>GAL</v>
      </c>
      <c r="O5586" s="5">
        <v>75</v>
      </c>
    </row>
    <row r="5587" spans="2:15" x14ac:dyDescent="0.25">
      <c r="B5587" s="1" t="s">
        <v>88</v>
      </c>
      <c r="C5587" s="2" t="s">
        <v>89</v>
      </c>
      <c r="D5587" s="2" t="s">
        <v>6305</v>
      </c>
      <c r="E5587" s="2" t="s">
        <v>6306</v>
      </c>
      <c r="F5587" s="3">
        <f>DATE(2024,8,28)</f>
        <v>45532</v>
      </c>
      <c r="G5587" s="4">
        <f t="shared" si="471"/>
        <v>8</v>
      </c>
      <c r="H5587" s="4">
        <f t="shared" si="472"/>
        <v>2024</v>
      </c>
      <c r="I5587" s="2" t="s">
        <v>4</v>
      </c>
      <c r="J5587" s="2" t="s">
        <v>6307</v>
      </c>
      <c r="K5587" s="2" t="s">
        <v>19</v>
      </c>
      <c r="L5587" s="2" t="s">
        <v>565</v>
      </c>
      <c r="M5587" s="2" t="s">
        <v>21</v>
      </c>
      <c r="N5587" s="4" t="str">
        <f t="shared" si="469"/>
        <v>GAL</v>
      </c>
      <c r="O5587" s="5">
        <v>25</v>
      </c>
    </row>
    <row r="5588" spans="2:15" x14ac:dyDescent="0.25">
      <c r="B5588" s="1" t="s">
        <v>88</v>
      </c>
      <c r="C5588" s="2" t="s">
        <v>89</v>
      </c>
      <c r="D5588" s="2" t="s">
        <v>6305</v>
      </c>
      <c r="E5588" s="2" t="s">
        <v>6306</v>
      </c>
      <c r="F5588" s="3">
        <f>DATE(2024,8,28)</f>
        <v>45532</v>
      </c>
      <c r="G5588" s="4">
        <f t="shared" si="471"/>
        <v>8</v>
      </c>
      <c r="H5588" s="4">
        <f t="shared" si="472"/>
        <v>2024</v>
      </c>
      <c r="I5588" s="2" t="s">
        <v>4</v>
      </c>
      <c r="J5588" s="2" t="s">
        <v>6307</v>
      </c>
      <c r="K5588" s="2" t="s">
        <v>3297</v>
      </c>
      <c r="L5588" s="2" t="s">
        <v>6309</v>
      </c>
      <c r="M5588" s="2" t="s">
        <v>3588</v>
      </c>
      <c r="N5588" s="4" t="str">
        <f t="shared" si="469"/>
        <v>GAL</v>
      </c>
      <c r="O5588" s="5">
        <v>50</v>
      </c>
    </row>
    <row r="5589" spans="2:15" x14ac:dyDescent="0.25">
      <c r="B5589" s="1" t="s">
        <v>88</v>
      </c>
      <c r="C5589" s="2" t="s">
        <v>89</v>
      </c>
      <c r="D5589" s="2" t="s">
        <v>6305</v>
      </c>
      <c r="E5589" s="2" t="s">
        <v>6306</v>
      </c>
      <c r="F5589" s="3">
        <f>DATE(2024,8,28)</f>
        <v>45532</v>
      </c>
      <c r="G5589" s="4">
        <f t="shared" si="471"/>
        <v>8</v>
      </c>
      <c r="H5589" s="4">
        <f t="shared" si="472"/>
        <v>2024</v>
      </c>
      <c r="I5589" s="2" t="s">
        <v>4</v>
      </c>
      <c r="J5589" s="2" t="s">
        <v>6307</v>
      </c>
      <c r="K5589" s="2" t="s">
        <v>1460</v>
      </c>
      <c r="L5589" s="2" t="s">
        <v>1461</v>
      </c>
      <c r="M5589" s="2" t="s">
        <v>553</v>
      </c>
      <c r="N5589" s="4" t="str">
        <f t="shared" si="469"/>
        <v>GAL</v>
      </c>
      <c r="O5589" s="5">
        <v>35</v>
      </c>
    </row>
    <row r="5590" spans="2:15" x14ac:dyDescent="0.25">
      <c r="B5590" s="1" t="s">
        <v>154</v>
      </c>
      <c r="C5590" s="2" t="s">
        <v>155</v>
      </c>
      <c r="D5590" s="2" t="s">
        <v>628</v>
      </c>
      <c r="E5590" s="2" t="s">
        <v>629</v>
      </c>
      <c r="F5590" s="3">
        <f>DATE(2024,8,1)</f>
        <v>45505</v>
      </c>
      <c r="G5590" s="4">
        <f t="shared" si="471"/>
        <v>8</v>
      </c>
      <c r="H5590" s="4">
        <f t="shared" si="472"/>
        <v>2024</v>
      </c>
      <c r="I5590" s="2" t="s">
        <v>4</v>
      </c>
      <c r="J5590" s="2" t="s">
        <v>6310</v>
      </c>
      <c r="K5590" s="2" t="s">
        <v>171</v>
      </c>
      <c r="L5590" s="2" t="s">
        <v>172</v>
      </c>
      <c r="M5590" s="2" t="s">
        <v>27</v>
      </c>
      <c r="N5590" s="4" t="str">
        <f t="shared" si="469"/>
        <v>GAL</v>
      </c>
      <c r="O5590" s="5">
        <v>60</v>
      </c>
    </row>
    <row r="5591" spans="2:15" x14ac:dyDescent="0.25">
      <c r="B5591" s="1" t="s">
        <v>154</v>
      </c>
      <c r="C5591" s="2" t="s">
        <v>155</v>
      </c>
      <c r="D5591" s="2" t="s">
        <v>1111</v>
      </c>
      <c r="E5591" s="2" t="s">
        <v>1112</v>
      </c>
      <c r="F5591" s="3">
        <f>DATE(2024,8,7)</f>
        <v>45511</v>
      </c>
      <c r="G5591" s="4">
        <f t="shared" si="471"/>
        <v>8</v>
      </c>
      <c r="H5591" s="4">
        <f t="shared" si="472"/>
        <v>2024</v>
      </c>
      <c r="I5591" s="2" t="s">
        <v>4</v>
      </c>
      <c r="J5591" s="2" t="s">
        <v>6311</v>
      </c>
      <c r="K5591" s="2" t="s">
        <v>1869</v>
      </c>
      <c r="L5591" s="2" t="s">
        <v>172</v>
      </c>
      <c r="M5591" s="2" t="s">
        <v>27</v>
      </c>
      <c r="N5591" s="4" t="str">
        <f t="shared" si="469"/>
        <v>GAL</v>
      </c>
      <c r="O5591" s="5">
        <v>500</v>
      </c>
    </row>
    <row r="5592" spans="2:15" x14ac:dyDescent="0.25">
      <c r="B5592" s="1" t="s">
        <v>154</v>
      </c>
      <c r="C5592" s="2" t="s">
        <v>155</v>
      </c>
      <c r="D5592" s="2" t="s">
        <v>1111</v>
      </c>
      <c r="E5592" s="2" t="s">
        <v>1112</v>
      </c>
      <c r="F5592" s="3">
        <f>DATE(2024,8,7)</f>
        <v>45511</v>
      </c>
      <c r="G5592" s="4">
        <f t="shared" si="471"/>
        <v>8</v>
      </c>
      <c r="H5592" s="4">
        <f t="shared" si="472"/>
        <v>2024</v>
      </c>
      <c r="I5592" s="2" t="s">
        <v>4</v>
      </c>
      <c r="J5592" s="2" t="s">
        <v>6311</v>
      </c>
      <c r="K5592" s="2" t="s">
        <v>171</v>
      </c>
      <c r="L5592" s="2" t="s">
        <v>172</v>
      </c>
      <c r="M5592" s="2" t="s">
        <v>27</v>
      </c>
      <c r="N5592" s="4" t="str">
        <f t="shared" si="469"/>
        <v>GAL</v>
      </c>
      <c r="O5592" s="5">
        <v>180</v>
      </c>
    </row>
    <row r="5593" spans="2:15" x14ac:dyDescent="0.25">
      <c r="B5593" s="1" t="s">
        <v>154</v>
      </c>
      <c r="C5593" s="2" t="s">
        <v>155</v>
      </c>
      <c r="D5593" s="2" t="s">
        <v>1111</v>
      </c>
      <c r="E5593" s="2" t="s">
        <v>1112</v>
      </c>
      <c r="F5593" s="3">
        <f>DATE(2024,8,7)</f>
        <v>45511</v>
      </c>
      <c r="G5593" s="4">
        <f t="shared" si="471"/>
        <v>8</v>
      </c>
      <c r="H5593" s="4">
        <f t="shared" si="472"/>
        <v>2024</v>
      </c>
      <c r="I5593" s="2" t="s">
        <v>4</v>
      </c>
      <c r="J5593" s="2" t="s">
        <v>6312</v>
      </c>
      <c r="K5593" s="2" t="s">
        <v>6065</v>
      </c>
      <c r="L5593" s="2" t="s">
        <v>6066</v>
      </c>
      <c r="M5593" s="2" t="s">
        <v>1731</v>
      </c>
      <c r="N5593" s="4" t="str">
        <f t="shared" si="469"/>
        <v>GAL</v>
      </c>
      <c r="O5593" s="5">
        <v>30</v>
      </c>
    </row>
    <row r="5594" spans="2:15" x14ac:dyDescent="0.25">
      <c r="B5594" s="6" t="s">
        <v>154</v>
      </c>
      <c r="C5594" s="7" t="s">
        <v>155</v>
      </c>
      <c r="D5594" s="8" t="s">
        <v>1111</v>
      </c>
      <c r="E5594" s="8" t="s">
        <v>1112</v>
      </c>
      <c r="F5594" s="9">
        <f>DATE(2024,8,7)</f>
        <v>45511</v>
      </c>
      <c r="G5594" s="10">
        <f t="shared" si="471"/>
        <v>8</v>
      </c>
      <c r="H5594" s="10">
        <f t="shared" si="472"/>
        <v>2024</v>
      </c>
      <c r="I5594" s="8" t="s">
        <v>4</v>
      </c>
      <c r="J5594" s="7" t="s">
        <v>6313</v>
      </c>
      <c r="K5594" s="8" t="s">
        <v>510</v>
      </c>
      <c r="L5594" s="8" t="s">
        <v>511</v>
      </c>
      <c r="M5594" s="8" t="s">
        <v>38</v>
      </c>
      <c r="N5594" s="10" t="str">
        <f t="shared" si="469"/>
        <v>GAL</v>
      </c>
      <c r="O5594" s="11">
        <v>250</v>
      </c>
    </row>
    <row r="5595" spans="2:15" x14ac:dyDescent="0.25">
      <c r="B5595" s="6" t="s">
        <v>154</v>
      </c>
      <c r="C5595" s="7" t="s">
        <v>155</v>
      </c>
      <c r="D5595" s="8" t="s">
        <v>1111</v>
      </c>
      <c r="E5595" s="8" t="s">
        <v>1112</v>
      </c>
      <c r="F5595" s="9">
        <f>DATE(2024,8,8)</f>
        <v>45512</v>
      </c>
      <c r="G5595" s="10">
        <f t="shared" si="471"/>
        <v>8</v>
      </c>
      <c r="H5595" s="10">
        <f t="shared" si="472"/>
        <v>2024</v>
      </c>
      <c r="I5595" s="8" t="s">
        <v>4</v>
      </c>
      <c r="J5595" s="7" t="s">
        <v>6314</v>
      </c>
      <c r="K5595" s="8" t="s">
        <v>510</v>
      </c>
      <c r="L5595" s="8" t="s">
        <v>511</v>
      </c>
      <c r="M5595" s="8" t="s">
        <v>38</v>
      </c>
      <c r="N5595" s="10" t="str">
        <f t="shared" si="469"/>
        <v>GAL</v>
      </c>
      <c r="O5595" s="11">
        <v>1000</v>
      </c>
    </row>
    <row r="5596" spans="2:15" x14ac:dyDescent="0.25">
      <c r="B5596" s="6" t="s">
        <v>154</v>
      </c>
      <c r="C5596" s="7" t="s">
        <v>155</v>
      </c>
      <c r="D5596" s="8" t="s">
        <v>161</v>
      </c>
      <c r="E5596" s="8" t="s">
        <v>162</v>
      </c>
      <c r="F5596" s="9">
        <f>DATE(2024,8,9)</f>
        <v>45513</v>
      </c>
      <c r="G5596" s="10">
        <f t="shared" si="471"/>
        <v>8</v>
      </c>
      <c r="H5596" s="10">
        <f t="shared" si="472"/>
        <v>2024</v>
      </c>
      <c r="I5596" s="8" t="s">
        <v>4</v>
      </c>
      <c r="J5596" s="7" t="s">
        <v>6315</v>
      </c>
      <c r="K5596" s="8" t="s">
        <v>36</v>
      </c>
      <c r="L5596" s="8" t="s">
        <v>511</v>
      </c>
      <c r="M5596" s="8" t="s">
        <v>38</v>
      </c>
      <c r="N5596" s="10" t="str">
        <f t="shared" si="469"/>
        <v>GAL</v>
      </c>
      <c r="O5596" s="11">
        <v>180</v>
      </c>
    </row>
    <row r="5597" spans="2:15" x14ac:dyDescent="0.25">
      <c r="B5597" s="1" t="s">
        <v>154</v>
      </c>
      <c r="C5597" s="2" t="s">
        <v>155</v>
      </c>
      <c r="D5597" s="2" t="s">
        <v>591</v>
      </c>
      <c r="E5597" s="2" t="s">
        <v>592</v>
      </c>
      <c r="F5597" s="3">
        <f>DATE(2024,8,12)</f>
        <v>45516</v>
      </c>
      <c r="G5597" s="4">
        <f t="shared" si="471"/>
        <v>8</v>
      </c>
      <c r="H5597" s="4">
        <f t="shared" si="472"/>
        <v>2024</v>
      </c>
      <c r="I5597" s="2" t="s">
        <v>4</v>
      </c>
      <c r="J5597" s="2" t="s">
        <v>6316</v>
      </c>
      <c r="K5597" s="2" t="s">
        <v>1098</v>
      </c>
      <c r="L5597" s="2" t="s">
        <v>632</v>
      </c>
      <c r="M5597" s="2" t="s">
        <v>633</v>
      </c>
      <c r="N5597" s="4" t="str">
        <f t="shared" si="469"/>
        <v>GAL</v>
      </c>
      <c r="O5597" s="5">
        <v>2009</v>
      </c>
    </row>
    <row r="5598" spans="2:15" x14ac:dyDescent="0.25">
      <c r="B5598" s="6" t="s">
        <v>154</v>
      </c>
      <c r="C5598" s="7" t="s">
        <v>155</v>
      </c>
      <c r="D5598" s="8" t="s">
        <v>173</v>
      </c>
      <c r="E5598" s="8" t="s">
        <v>174</v>
      </c>
      <c r="F5598" s="9">
        <f>DATE(2024,8,13)</f>
        <v>45517</v>
      </c>
      <c r="G5598" s="10">
        <f t="shared" si="471"/>
        <v>8</v>
      </c>
      <c r="H5598" s="10">
        <f t="shared" si="472"/>
        <v>2024</v>
      </c>
      <c r="I5598" s="8" t="s">
        <v>4</v>
      </c>
      <c r="J5598" s="7" t="s">
        <v>6317</v>
      </c>
      <c r="K5598" s="8" t="s">
        <v>510</v>
      </c>
      <c r="L5598" s="8" t="s">
        <v>511</v>
      </c>
      <c r="M5598" s="8" t="s">
        <v>38</v>
      </c>
      <c r="N5598" s="10" t="str">
        <f t="shared" si="469"/>
        <v>GAL</v>
      </c>
      <c r="O5598" s="11">
        <v>150</v>
      </c>
    </row>
    <row r="5599" spans="2:15" x14ac:dyDescent="0.25">
      <c r="B5599" s="1" t="s">
        <v>154</v>
      </c>
      <c r="C5599" s="2" t="s">
        <v>155</v>
      </c>
      <c r="D5599" s="2" t="s">
        <v>167</v>
      </c>
      <c r="E5599" s="2" t="s">
        <v>168</v>
      </c>
      <c r="F5599" s="3">
        <f>DATE(2024,8,14)</f>
        <v>45518</v>
      </c>
      <c r="G5599" s="4">
        <f t="shared" si="471"/>
        <v>8</v>
      </c>
      <c r="H5599" s="4">
        <f t="shared" si="472"/>
        <v>2024</v>
      </c>
      <c r="I5599" s="2" t="s">
        <v>4</v>
      </c>
      <c r="J5599" s="2" t="s">
        <v>6318</v>
      </c>
      <c r="K5599" s="2" t="s">
        <v>171</v>
      </c>
      <c r="L5599" s="2" t="s">
        <v>172</v>
      </c>
      <c r="M5599" s="2" t="s">
        <v>27</v>
      </c>
      <c r="N5599" s="4" t="str">
        <f t="shared" si="469"/>
        <v>GAL</v>
      </c>
      <c r="O5599" s="5">
        <v>180</v>
      </c>
    </row>
    <row r="5600" spans="2:15" x14ac:dyDescent="0.25">
      <c r="B5600" s="6" t="s">
        <v>154</v>
      </c>
      <c r="C5600" s="7" t="s">
        <v>155</v>
      </c>
      <c r="D5600" s="8" t="s">
        <v>1111</v>
      </c>
      <c r="E5600" s="8" t="s">
        <v>1112</v>
      </c>
      <c r="F5600" s="9">
        <f>DATE(2024,8,14)</f>
        <v>45518</v>
      </c>
      <c r="G5600" s="10">
        <f t="shared" si="471"/>
        <v>8</v>
      </c>
      <c r="H5600" s="10">
        <f t="shared" si="472"/>
        <v>2024</v>
      </c>
      <c r="I5600" s="8" t="s">
        <v>4</v>
      </c>
      <c r="J5600" s="7" t="s">
        <v>6319</v>
      </c>
      <c r="K5600" s="8" t="s">
        <v>510</v>
      </c>
      <c r="L5600" s="8" t="s">
        <v>511</v>
      </c>
      <c r="M5600" s="8" t="s">
        <v>38</v>
      </c>
      <c r="N5600" s="10" t="str">
        <f t="shared" si="469"/>
        <v>GAL</v>
      </c>
      <c r="O5600" s="11">
        <v>250</v>
      </c>
    </row>
    <row r="5601" spans="2:15" x14ac:dyDescent="0.25">
      <c r="B5601" s="6" t="s">
        <v>154</v>
      </c>
      <c r="C5601" s="7" t="s">
        <v>155</v>
      </c>
      <c r="D5601" s="8" t="s">
        <v>167</v>
      </c>
      <c r="E5601" s="8" t="s">
        <v>168</v>
      </c>
      <c r="F5601" s="9">
        <f>DATE(2024,8,16)</f>
        <v>45520</v>
      </c>
      <c r="G5601" s="10">
        <f t="shared" si="471"/>
        <v>8</v>
      </c>
      <c r="H5601" s="10">
        <f t="shared" si="472"/>
        <v>2024</v>
      </c>
      <c r="I5601" s="8" t="s">
        <v>4</v>
      </c>
      <c r="J5601" s="7" t="s">
        <v>6320</v>
      </c>
      <c r="K5601" s="8" t="s">
        <v>510</v>
      </c>
      <c r="L5601" s="8" t="s">
        <v>511</v>
      </c>
      <c r="M5601" s="8" t="s">
        <v>38</v>
      </c>
      <c r="N5601" s="10" t="str">
        <f t="shared" si="469"/>
        <v>GAL</v>
      </c>
      <c r="O5601" s="11">
        <v>500</v>
      </c>
    </row>
    <row r="5602" spans="2:15" x14ac:dyDescent="0.25">
      <c r="B5602" s="6" t="s">
        <v>154</v>
      </c>
      <c r="C5602" s="7" t="s">
        <v>155</v>
      </c>
      <c r="D5602" s="8" t="s">
        <v>1111</v>
      </c>
      <c r="E5602" s="8" t="s">
        <v>1112</v>
      </c>
      <c r="F5602" s="9">
        <f>DATE(2024,8,16)</f>
        <v>45520</v>
      </c>
      <c r="G5602" s="10">
        <f t="shared" si="471"/>
        <v>8</v>
      </c>
      <c r="H5602" s="10">
        <f t="shared" si="472"/>
        <v>2024</v>
      </c>
      <c r="I5602" s="8" t="s">
        <v>4</v>
      </c>
      <c r="J5602" s="7" t="s">
        <v>6321</v>
      </c>
      <c r="K5602" s="8" t="s">
        <v>510</v>
      </c>
      <c r="L5602" s="8" t="s">
        <v>511</v>
      </c>
      <c r="M5602" s="8" t="s">
        <v>38</v>
      </c>
      <c r="N5602" s="10" t="str">
        <f t="shared" si="469"/>
        <v>GAL</v>
      </c>
      <c r="O5602" s="11">
        <v>250</v>
      </c>
    </row>
    <row r="5603" spans="2:15" x14ac:dyDescent="0.25">
      <c r="B5603" s="1" t="s">
        <v>154</v>
      </c>
      <c r="C5603" s="2" t="s">
        <v>155</v>
      </c>
      <c r="D5603" s="2" t="s">
        <v>178</v>
      </c>
      <c r="E5603" s="2" t="s">
        <v>179</v>
      </c>
      <c r="F5603" s="3">
        <f>DATE(2024,8,21)</f>
        <v>45525</v>
      </c>
      <c r="G5603" s="4">
        <f t="shared" si="471"/>
        <v>8</v>
      </c>
      <c r="H5603" s="4">
        <f t="shared" si="472"/>
        <v>2024</v>
      </c>
      <c r="I5603" s="2" t="s">
        <v>4</v>
      </c>
      <c r="J5603" s="2" t="s">
        <v>6322</v>
      </c>
      <c r="K5603" s="2" t="s">
        <v>6035</v>
      </c>
      <c r="L5603" s="2" t="s">
        <v>165</v>
      </c>
      <c r="M5603" s="2" t="s">
        <v>166</v>
      </c>
      <c r="N5603" s="4" t="str">
        <f t="shared" si="469"/>
        <v>GAL</v>
      </c>
      <c r="O5603" s="5">
        <v>300</v>
      </c>
    </row>
    <row r="5604" spans="2:15" x14ac:dyDescent="0.25">
      <c r="B5604" s="1" t="s">
        <v>154</v>
      </c>
      <c r="C5604" s="2" t="s">
        <v>155</v>
      </c>
      <c r="D5604" s="2" t="s">
        <v>167</v>
      </c>
      <c r="E5604" s="2" t="s">
        <v>168</v>
      </c>
      <c r="F5604" s="3">
        <f>DATE(2024,8,28)</f>
        <v>45532</v>
      </c>
      <c r="G5604" s="4">
        <f t="shared" si="471"/>
        <v>8</v>
      </c>
      <c r="H5604" s="4">
        <f t="shared" si="472"/>
        <v>2024</v>
      </c>
      <c r="I5604" s="2" t="s">
        <v>4</v>
      </c>
      <c r="J5604" s="2" t="s">
        <v>6323</v>
      </c>
      <c r="K5604" s="2" t="s">
        <v>1814</v>
      </c>
      <c r="L5604" s="2" t="s">
        <v>1815</v>
      </c>
      <c r="M5604" s="2" t="s">
        <v>1816</v>
      </c>
      <c r="N5604" s="4" t="str">
        <f t="shared" si="469"/>
        <v>GAL</v>
      </c>
      <c r="O5604" s="5">
        <v>720</v>
      </c>
    </row>
    <row r="5605" spans="2:15" x14ac:dyDescent="0.25">
      <c r="B5605" s="1" t="s">
        <v>154</v>
      </c>
      <c r="C5605" s="2" t="s">
        <v>155</v>
      </c>
      <c r="D5605" s="2" t="s">
        <v>167</v>
      </c>
      <c r="E5605" s="2" t="s">
        <v>168</v>
      </c>
      <c r="F5605" s="3">
        <f>DATE(2024,8,28)</f>
        <v>45532</v>
      </c>
      <c r="G5605" s="4">
        <f t="shared" si="471"/>
        <v>8</v>
      </c>
      <c r="H5605" s="4">
        <f t="shared" si="472"/>
        <v>2024</v>
      </c>
      <c r="I5605" s="2" t="s">
        <v>4</v>
      </c>
      <c r="J5605" s="2" t="s">
        <v>6324</v>
      </c>
      <c r="K5605" s="2" t="s">
        <v>631</v>
      </c>
      <c r="L5605" s="2" t="s">
        <v>632</v>
      </c>
      <c r="M5605" s="2" t="s">
        <v>633</v>
      </c>
      <c r="N5605" s="4" t="str">
        <f t="shared" si="469"/>
        <v>GAL</v>
      </c>
      <c r="O5605" s="5">
        <v>500</v>
      </c>
    </row>
    <row r="5606" spans="2:15" x14ac:dyDescent="0.25">
      <c r="B5606" s="6" t="s">
        <v>154</v>
      </c>
      <c r="C5606" s="7" t="s">
        <v>155</v>
      </c>
      <c r="D5606" s="8" t="s">
        <v>173</v>
      </c>
      <c r="E5606" s="8" t="s">
        <v>174</v>
      </c>
      <c r="F5606" s="9">
        <f>DATE(2024,8,28)</f>
        <v>45532</v>
      </c>
      <c r="G5606" s="10">
        <f t="shared" si="471"/>
        <v>8</v>
      </c>
      <c r="H5606" s="10">
        <f t="shared" si="472"/>
        <v>2024</v>
      </c>
      <c r="I5606" s="8" t="s">
        <v>4</v>
      </c>
      <c r="J5606" s="7" t="s">
        <v>6325</v>
      </c>
      <c r="K5606" s="8" t="s">
        <v>510</v>
      </c>
      <c r="L5606" s="8" t="s">
        <v>511</v>
      </c>
      <c r="M5606" s="8" t="s">
        <v>38</v>
      </c>
      <c r="N5606" s="10" t="str">
        <f t="shared" si="469"/>
        <v>GAL</v>
      </c>
      <c r="O5606" s="11">
        <v>150</v>
      </c>
    </row>
    <row r="5607" spans="2:15" x14ac:dyDescent="0.25">
      <c r="B5607" s="1" t="s">
        <v>154</v>
      </c>
      <c r="C5607" s="2" t="s">
        <v>155</v>
      </c>
      <c r="D5607" s="2" t="s">
        <v>161</v>
      </c>
      <c r="E5607" s="2" t="s">
        <v>162</v>
      </c>
      <c r="F5607" s="3">
        <f>DATE(2024,8,28)</f>
        <v>45532</v>
      </c>
      <c r="G5607" s="4">
        <f t="shared" si="471"/>
        <v>8</v>
      </c>
      <c r="H5607" s="4">
        <f t="shared" si="472"/>
        <v>2024</v>
      </c>
      <c r="I5607" s="2" t="s">
        <v>4</v>
      </c>
      <c r="J5607" s="2" t="s">
        <v>6326</v>
      </c>
      <c r="K5607" s="2" t="s">
        <v>1814</v>
      </c>
      <c r="L5607" s="2" t="s">
        <v>1815</v>
      </c>
      <c r="M5607" s="2" t="s">
        <v>1816</v>
      </c>
      <c r="N5607" s="4" t="str">
        <f t="shared" si="469"/>
        <v>GAL</v>
      </c>
      <c r="O5607" s="5">
        <v>180</v>
      </c>
    </row>
    <row r="5608" spans="2:15" x14ac:dyDescent="0.25">
      <c r="B5608" s="6" t="s">
        <v>154</v>
      </c>
      <c r="C5608" s="7" t="s">
        <v>155</v>
      </c>
      <c r="D5608" s="8" t="s">
        <v>1111</v>
      </c>
      <c r="E5608" s="8" t="s">
        <v>1112</v>
      </c>
      <c r="F5608" s="9">
        <f>DATE(2024,8,29)</f>
        <v>45533</v>
      </c>
      <c r="G5608" s="10">
        <f t="shared" si="471"/>
        <v>8</v>
      </c>
      <c r="H5608" s="10">
        <f t="shared" si="472"/>
        <v>2024</v>
      </c>
      <c r="I5608" s="8" t="s">
        <v>4</v>
      </c>
      <c r="J5608" s="7" t="s">
        <v>6327</v>
      </c>
      <c r="K5608" s="8" t="s">
        <v>510</v>
      </c>
      <c r="L5608" s="8" t="s">
        <v>511</v>
      </c>
      <c r="M5608" s="8" t="s">
        <v>38</v>
      </c>
      <c r="N5608" s="10" t="str">
        <f t="shared" si="469"/>
        <v>GAL</v>
      </c>
      <c r="O5608" s="11">
        <v>500</v>
      </c>
    </row>
    <row r="5609" spans="2:15" x14ac:dyDescent="0.25">
      <c r="B5609" s="1" t="s">
        <v>154</v>
      </c>
      <c r="C5609" s="2" t="s">
        <v>155</v>
      </c>
      <c r="D5609" s="2" t="s">
        <v>1111</v>
      </c>
      <c r="E5609" s="2" t="s">
        <v>1112</v>
      </c>
      <c r="F5609" s="3">
        <f>DATE(2024,8,29)</f>
        <v>45533</v>
      </c>
      <c r="G5609" s="4">
        <f t="shared" si="471"/>
        <v>8</v>
      </c>
      <c r="H5609" s="4">
        <f t="shared" si="472"/>
        <v>2024</v>
      </c>
      <c r="I5609" s="2" t="s">
        <v>4</v>
      </c>
      <c r="J5609" s="2" t="s">
        <v>6328</v>
      </c>
      <c r="K5609" s="2" t="s">
        <v>2629</v>
      </c>
      <c r="L5609" s="2" t="s">
        <v>2630</v>
      </c>
      <c r="M5609" s="2" t="s">
        <v>2631</v>
      </c>
      <c r="N5609" s="4" t="str">
        <f t="shared" si="469"/>
        <v>GAL</v>
      </c>
      <c r="O5609" s="5">
        <v>40</v>
      </c>
    </row>
    <row r="5610" spans="2:15" x14ac:dyDescent="0.25">
      <c r="B5610" s="6" t="s">
        <v>154</v>
      </c>
      <c r="C5610" s="7" t="s">
        <v>155</v>
      </c>
      <c r="D5610" s="8" t="s">
        <v>628</v>
      </c>
      <c r="E5610" s="8" t="s">
        <v>629</v>
      </c>
      <c r="F5610" s="9">
        <f>DATE(2024,8,30)</f>
        <v>45534</v>
      </c>
      <c r="G5610" s="10">
        <f t="shared" si="471"/>
        <v>8</v>
      </c>
      <c r="H5610" s="10">
        <f t="shared" si="472"/>
        <v>2024</v>
      </c>
      <c r="I5610" s="8" t="s">
        <v>4</v>
      </c>
      <c r="J5610" s="7" t="s">
        <v>6329</v>
      </c>
      <c r="K5610" s="8" t="s">
        <v>36</v>
      </c>
      <c r="L5610" s="8" t="s">
        <v>511</v>
      </c>
      <c r="M5610" s="8" t="s">
        <v>38</v>
      </c>
      <c r="N5610" s="10" t="str">
        <f t="shared" si="469"/>
        <v>GAL</v>
      </c>
      <c r="O5610" s="11">
        <v>80</v>
      </c>
    </row>
    <row r="5611" spans="2:15" x14ac:dyDescent="0.25">
      <c r="B5611" s="6" t="s">
        <v>1520</v>
      </c>
      <c r="C5611" s="7" t="s">
        <v>196</v>
      </c>
      <c r="D5611" s="8" t="s">
        <v>207</v>
      </c>
      <c r="E5611" s="8" t="s">
        <v>208</v>
      </c>
      <c r="F5611" s="9">
        <f>DATE(2024,8,2)</f>
        <v>45506</v>
      </c>
      <c r="G5611" s="10">
        <f t="shared" si="471"/>
        <v>8</v>
      </c>
      <c r="H5611" s="10">
        <f t="shared" si="472"/>
        <v>2024</v>
      </c>
      <c r="I5611" s="8" t="s">
        <v>4</v>
      </c>
      <c r="J5611" s="7" t="s">
        <v>6330</v>
      </c>
      <c r="K5611" s="8" t="s">
        <v>3455</v>
      </c>
      <c r="L5611" s="8" t="s">
        <v>3456</v>
      </c>
      <c r="M5611" s="8" t="s">
        <v>119</v>
      </c>
      <c r="N5611" s="10" t="str">
        <f t="shared" si="469"/>
        <v>TON</v>
      </c>
      <c r="O5611" s="11">
        <v>2.5</v>
      </c>
    </row>
    <row r="5612" spans="2:15" x14ac:dyDescent="0.25">
      <c r="B5612" s="1" t="s">
        <v>1520</v>
      </c>
      <c r="C5612" s="2" t="s">
        <v>196</v>
      </c>
      <c r="D5612" s="2" t="s">
        <v>888</v>
      </c>
      <c r="E5612" s="2" t="s">
        <v>888</v>
      </c>
      <c r="F5612" s="3">
        <f>DATE(2024,8,7)</f>
        <v>45511</v>
      </c>
      <c r="G5612" s="4">
        <f t="shared" si="471"/>
        <v>8</v>
      </c>
      <c r="H5612" s="4">
        <f t="shared" si="472"/>
        <v>2024</v>
      </c>
      <c r="I5612" s="2" t="s">
        <v>4</v>
      </c>
      <c r="J5612" s="2" t="s">
        <v>6331</v>
      </c>
      <c r="K5612" s="2" t="s">
        <v>268</v>
      </c>
      <c r="L5612" s="2" t="s">
        <v>269</v>
      </c>
      <c r="M5612" s="2" t="s">
        <v>119</v>
      </c>
      <c r="N5612" s="4" t="str">
        <f t="shared" si="469"/>
        <v>TON</v>
      </c>
      <c r="O5612" s="5">
        <v>0.3</v>
      </c>
    </row>
    <row r="5613" spans="2:15" x14ac:dyDescent="0.25">
      <c r="B5613" s="1" t="s">
        <v>1520</v>
      </c>
      <c r="C5613" s="2" t="s">
        <v>196</v>
      </c>
      <c r="D5613" s="2" t="s">
        <v>888</v>
      </c>
      <c r="E5613" s="2" t="s">
        <v>888</v>
      </c>
      <c r="F5613" s="3">
        <f>DATE(2024,8,9)</f>
        <v>45513</v>
      </c>
      <c r="G5613" s="4">
        <f t="shared" si="471"/>
        <v>8</v>
      </c>
      <c r="H5613" s="4">
        <f t="shared" si="472"/>
        <v>2024</v>
      </c>
      <c r="I5613" s="2" t="s">
        <v>4</v>
      </c>
      <c r="J5613" s="2" t="s">
        <v>6332</v>
      </c>
      <c r="K5613" s="2" t="s">
        <v>1239</v>
      </c>
      <c r="L5613" s="2" t="s">
        <v>916</v>
      </c>
      <c r="M5613" s="2" t="s">
        <v>917</v>
      </c>
      <c r="N5613" s="4" t="str">
        <f t="shared" si="469"/>
        <v>GAL</v>
      </c>
      <c r="O5613" s="5">
        <v>5</v>
      </c>
    </row>
    <row r="5614" spans="2:15" x14ac:dyDescent="0.25">
      <c r="B5614" s="1" t="s">
        <v>1520</v>
      </c>
      <c r="C5614" s="2" t="s">
        <v>196</v>
      </c>
      <c r="D5614" s="2" t="s">
        <v>210</v>
      </c>
      <c r="E5614" s="2" t="s">
        <v>3176</v>
      </c>
      <c r="F5614" s="3">
        <f>DATE(2024,8,13)</f>
        <v>45517</v>
      </c>
      <c r="G5614" s="4">
        <f t="shared" si="471"/>
        <v>8</v>
      </c>
      <c r="H5614" s="4">
        <f t="shared" si="472"/>
        <v>2024</v>
      </c>
      <c r="I5614" s="2" t="s">
        <v>4</v>
      </c>
      <c r="J5614" s="2" t="s">
        <v>6333</v>
      </c>
      <c r="K5614" s="2" t="s">
        <v>351</v>
      </c>
      <c r="L5614" s="2" t="s">
        <v>352</v>
      </c>
      <c r="M5614" s="2" t="s">
        <v>119</v>
      </c>
      <c r="N5614" s="4" t="str">
        <f t="shared" si="469"/>
        <v>TON</v>
      </c>
      <c r="O5614" s="5">
        <v>15.01</v>
      </c>
    </row>
    <row r="5615" spans="2:15" x14ac:dyDescent="0.25">
      <c r="B5615" s="1" t="s">
        <v>1520</v>
      </c>
      <c r="C5615" s="2" t="s">
        <v>196</v>
      </c>
      <c r="D5615" s="2" t="s">
        <v>253</v>
      </c>
      <c r="E5615" s="2" t="s">
        <v>254</v>
      </c>
      <c r="F5615" s="3">
        <f>DATE(2024,8,13)</f>
        <v>45517</v>
      </c>
      <c r="G5615" s="4">
        <f t="shared" si="471"/>
        <v>8</v>
      </c>
      <c r="H5615" s="4">
        <f t="shared" si="472"/>
        <v>2024</v>
      </c>
      <c r="I5615" s="2" t="s">
        <v>4</v>
      </c>
      <c r="J5615" s="2" t="s">
        <v>6334</v>
      </c>
      <c r="K5615" s="2" t="s">
        <v>256</v>
      </c>
      <c r="L5615" s="2" t="s">
        <v>257</v>
      </c>
      <c r="M5615" s="2" t="s">
        <v>119</v>
      </c>
      <c r="N5615" s="4" t="str">
        <f t="shared" si="469"/>
        <v>TON</v>
      </c>
      <c r="O5615" s="5">
        <v>2.5074999999999998</v>
      </c>
    </row>
    <row r="5616" spans="2:15" x14ac:dyDescent="0.25">
      <c r="B5616" s="1" t="s">
        <v>1520</v>
      </c>
      <c r="C5616" s="2" t="s">
        <v>196</v>
      </c>
      <c r="D5616" s="2" t="s">
        <v>294</v>
      </c>
      <c r="E5616" s="2" t="s">
        <v>295</v>
      </c>
      <c r="F5616" s="3">
        <f>DATE(2024,8,15)</f>
        <v>45519</v>
      </c>
      <c r="G5616" s="4">
        <f t="shared" si="471"/>
        <v>8</v>
      </c>
      <c r="H5616" s="4">
        <f t="shared" si="472"/>
        <v>2024</v>
      </c>
      <c r="I5616" s="2" t="s">
        <v>4</v>
      </c>
      <c r="J5616" s="2" t="s">
        <v>6335</v>
      </c>
      <c r="K5616" s="2" t="s">
        <v>122</v>
      </c>
      <c r="L5616" s="2" t="s">
        <v>123</v>
      </c>
      <c r="M5616" s="2" t="s">
        <v>119</v>
      </c>
      <c r="N5616" s="4" t="str">
        <f t="shared" si="469"/>
        <v>TON</v>
      </c>
      <c r="O5616" s="5">
        <v>7.5</v>
      </c>
    </row>
    <row r="5617" spans="2:15" x14ac:dyDescent="0.25">
      <c r="B5617" s="1" t="s">
        <v>1520</v>
      </c>
      <c r="C5617" s="2" t="s">
        <v>196</v>
      </c>
      <c r="D5617" s="2" t="s">
        <v>207</v>
      </c>
      <c r="E5617" s="2" t="s">
        <v>208</v>
      </c>
      <c r="F5617" s="3">
        <f>DATE(2024,8,21)</f>
        <v>45525</v>
      </c>
      <c r="G5617" s="4">
        <f t="shared" si="471"/>
        <v>8</v>
      </c>
      <c r="H5617" s="4">
        <f t="shared" si="472"/>
        <v>2024</v>
      </c>
      <c r="I5617" s="2" t="s">
        <v>4</v>
      </c>
      <c r="J5617" s="2" t="s">
        <v>6336</v>
      </c>
      <c r="K5617" s="2" t="s">
        <v>205</v>
      </c>
      <c r="L5617" s="2" t="s">
        <v>206</v>
      </c>
      <c r="M5617" s="2" t="s">
        <v>119</v>
      </c>
      <c r="N5617" s="4" t="str">
        <f t="shared" si="469"/>
        <v>TON</v>
      </c>
      <c r="O5617" s="5">
        <v>3.01</v>
      </c>
    </row>
    <row r="5618" spans="2:15" x14ac:dyDescent="0.25">
      <c r="B5618" s="1" t="s">
        <v>1520</v>
      </c>
      <c r="C5618" s="2" t="s">
        <v>196</v>
      </c>
      <c r="D5618" s="2" t="s">
        <v>289</v>
      </c>
      <c r="E5618" s="2" t="s">
        <v>2380</v>
      </c>
      <c r="F5618" s="3">
        <f>DATE(2024,8,26)</f>
        <v>45530</v>
      </c>
      <c r="G5618" s="4">
        <f t="shared" si="471"/>
        <v>8</v>
      </c>
      <c r="H5618" s="4">
        <f t="shared" si="472"/>
        <v>2024</v>
      </c>
      <c r="I5618" s="2" t="s">
        <v>4</v>
      </c>
      <c r="J5618" s="2" t="s">
        <v>6337</v>
      </c>
      <c r="K5618" s="2" t="s">
        <v>268</v>
      </c>
      <c r="L5618" s="2" t="s">
        <v>269</v>
      </c>
      <c r="M5618" s="2" t="s">
        <v>119</v>
      </c>
      <c r="N5618" s="4" t="str">
        <f t="shared" si="469"/>
        <v>TON</v>
      </c>
      <c r="O5618" s="5">
        <v>0.75</v>
      </c>
    </row>
    <row r="5619" spans="2:15" x14ac:dyDescent="0.25">
      <c r="B5619" s="1" t="s">
        <v>1520</v>
      </c>
      <c r="C5619" s="2" t="s">
        <v>196</v>
      </c>
      <c r="D5619" s="2" t="s">
        <v>321</v>
      </c>
      <c r="E5619" s="2" t="s">
        <v>392</v>
      </c>
      <c r="F5619" s="3">
        <f>DATE(2024,8,27)</f>
        <v>45531</v>
      </c>
      <c r="G5619" s="4">
        <f t="shared" si="471"/>
        <v>8</v>
      </c>
      <c r="H5619" s="4">
        <f t="shared" si="472"/>
        <v>2024</v>
      </c>
      <c r="I5619" s="2" t="s">
        <v>4</v>
      </c>
      <c r="J5619" s="2" t="s">
        <v>6338</v>
      </c>
      <c r="K5619" s="2" t="s">
        <v>447</v>
      </c>
      <c r="L5619" s="2" t="s">
        <v>448</v>
      </c>
      <c r="M5619" s="2" t="s">
        <v>119</v>
      </c>
      <c r="N5619" s="4" t="str">
        <f t="shared" si="469"/>
        <v>TON</v>
      </c>
      <c r="O5619" s="5">
        <v>1.25</v>
      </c>
    </row>
    <row r="5620" spans="2:15" x14ac:dyDescent="0.25">
      <c r="B5620" s="1" t="s">
        <v>1520</v>
      </c>
      <c r="C5620" s="2" t="s">
        <v>196</v>
      </c>
      <c r="D5620" s="2" t="s">
        <v>6339</v>
      </c>
      <c r="E5620" s="2" t="s">
        <v>102</v>
      </c>
      <c r="F5620" s="3">
        <f>DATE(2024,8,27)</f>
        <v>45531</v>
      </c>
      <c r="G5620" s="4">
        <f t="shared" si="471"/>
        <v>8</v>
      </c>
      <c r="H5620" s="4">
        <f t="shared" si="472"/>
        <v>2024</v>
      </c>
      <c r="I5620" s="2" t="s">
        <v>4</v>
      </c>
      <c r="J5620" s="2" t="s">
        <v>6340</v>
      </c>
      <c r="K5620" s="2" t="s">
        <v>39</v>
      </c>
      <c r="L5620" s="2" t="s">
        <v>932</v>
      </c>
      <c r="M5620" s="2" t="s">
        <v>41</v>
      </c>
      <c r="N5620" s="4" t="str">
        <f t="shared" si="469"/>
        <v>GAL</v>
      </c>
      <c r="O5620" s="5">
        <v>5</v>
      </c>
    </row>
    <row r="5621" spans="2:15" x14ac:dyDescent="0.25">
      <c r="B5621" s="1" t="s">
        <v>1520</v>
      </c>
      <c r="C5621" s="2" t="s">
        <v>196</v>
      </c>
      <c r="D5621" s="2" t="s">
        <v>241</v>
      </c>
      <c r="E5621" s="2" t="s">
        <v>258</v>
      </c>
      <c r="F5621" s="3">
        <f>DATE(2024,8,29)</f>
        <v>45533</v>
      </c>
      <c r="G5621" s="4">
        <f t="shared" si="471"/>
        <v>8</v>
      </c>
      <c r="H5621" s="4">
        <f t="shared" si="472"/>
        <v>2024</v>
      </c>
      <c r="I5621" s="2" t="s">
        <v>4</v>
      </c>
      <c r="J5621" s="2" t="s">
        <v>6341</v>
      </c>
      <c r="K5621" s="2" t="s">
        <v>3458</v>
      </c>
      <c r="L5621" s="2" t="s">
        <v>3459</v>
      </c>
      <c r="M5621" s="2" t="s">
        <v>119</v>
      </c>
      <c r="N5621" s="4" t="str">
        <f t="shared" si="469"/>
        <v>TON</v>
      </c>
      <c r="O5621" s="5">
        <v>2.25</v>
      </c>
    </row>
    <row r="5622" spans="2:15" x14ac:dyDescent="0.25">
      <c r="B5622" s="1" t="s">
        <v>382</v>
      </c>
      <c r="C5622" s="2" t="s">
        <v>506</v>
      </c>
      <c r="D5622" s="2" t="s">
        <v>1006</v>
      </c>
      <c r="E5622" s="2" t="s">
        <v>1007</v>
      </c>
      <c r="F5622" s="3">
        <f>DATE(2024,8,7)</f>
        <v>45511</v>
      </c>
      <c r="G5622" s="4">
        <f t="shared" si="471"/>
        <v>8</v>
      </c>
      <c r="H5622" s="4">
        <f t="shared" si="472"/>
        <v>2024</v>
      </c>
      <c r="I5622" s="2" t="s">
        <v>4</v>
      </c>
      <c r="J5622" s="2" t="s">
        <v>6342</v>
      </c>
      <c r="K5622" s="2" t="s">
        <v>25</v>
      </c>
      <c r="L5622" s="2" t="s">
        <v>541</v>
      </c>
      <c r="M5622" s="2" t="s">
        <v>27</v>
      </c>
      <c r="N5622" s="4" t="str">
        <f t="shared" si="469"/>
        <v>GAL</v>
      </c>
      <c r="O5622" s="5">
        <v>180</v>
      </c>
    </row>
    <row r="5623" spans="2:15" x14ac:dyDescent="0.25">
      <c r="B5623" s="1" t="s">
        <v>382</v>
      </c>
      <c r="C5623" s="2" t="s">
        <v>506</v>
      </c>
      <c r="D5623" s="2" t="s">
        <v>1006</v>
      </c>
      <c r="E5623" s="2" t="s">
        <v>1007</v>
      </c>
      <c r="F5623" s="3">
        <f>DATE(2024,8,7)</f>
        <v>45511</v>
      </c>
      <c r="G5623" s="4">
        <f t="shared" si="471"/>
        <v>8</v>
      </c>
      <c r="H5623" s="4">
        <f t="shared" si="472"/>
        <v>2024</v>
      </c>
      <c r="I5623" s="2" t="s">
        <v>4</v>
      </c>
      <c r="J5623" s="2" t="s">
        <v>6343</v>
      </c>
      <c r="K5623" s="2" t="s">
        <v>1009</v>
      </c>
      <c r="L5623" s="2" t="s">
        <v>1010</v>
      </c>
      <c r="M5623" s="2" t="s">
        <v>13</v>
      </c>
      <c r="N5623" s="4" t="str">
        <f t="shared" si="469"/>
        <v>GAL</v>
      </c>
      <c r="O5623" s="5">
        <v>180</v>
      </c>
    </row>
    <row r="5624" spans="2:15" x14ac:dyDescent="0.25">
      <c r="B5624" s="1" t="s">
        <v>382</v>
      </c>
      <c r="C5624" s="2" t="s">
        <v>506</v>
      </c>
      <c r="D5624" s="2" t="s">
        <v>521</v>
      </c>
      <c r="E5624" s="2" t="s">
        <v>522</v>
      </c>
      <c r="F5624" s="3">
        <f>DATE(2024,8,7)</f>
        <v>45511</v>
      </c>
      <c r="G5624" s="4">
        <f t="shared" si="471"/>
        <v>8</v>
      </c>
      <c r="H5624" s="4">
        <f t="shared" si="472"/>
        <v>2024</v>
      </c>
      <c r="I5624" s="2" t="s">
        <v>4</v>
      </c>
      <c r="J5624" s="2" t="s">
        <v>6344</v>
      </c>
      <c r="K5624" s="2" t="s">
        <v>1395</v>
      </c>
      <c r="L5624" s="2" t="s">
        <v>1396</v>
      </c>
      <c r="M5624" s="2" t="s">
        <v>1397</v>
      </c>
      <c r="N5624" s="4" t="str">
        <f t="shared" si="469"/>
        <v>GAL</v>
      </c>
      <c r="O5624" s="5">
        <v>180</v>
      </c>
    </row>
    <row r="5625" spans="2:15" x14ac:dyDescent="0.25">
      <c r="B5625" s="1" t="s">
        <v>382</v>
      </c>
      <c r="C5625" s="2" t="s">
        <v>506</v>
      </c>
      <c r="D5625" s="2" t="s">
        <v>515</v>
      </c>
      <c r="E5625" s="2" t="s">
        <v>516</v>
      </c>
      <c r="F5625" s="3">
        <f>DATE(2024,8,16)</f>
        <v>45520</v>
      </c>
      <c r="G5625" s="4">
        <f t="shared" si="471"/>
        <v>8</v>
      </c>
      <c r="H5625" s="4">
        <f t="shared" si="472"/>
        <v>2024</v>
      </c>
      <c r="I5625" s="2" t="s">
        <v>4</v>
      </c>
      <c r="J5625" s="2" t="s">
        <v>6345</v>
      </c>
      <c r="K5625" s="2" t="s">
        <v>1266</v>
      </c>
      <c r="L5625" s="2" t="s">
        <v>1267</v>
      </c>
      <c r="M5625" s="2" t="s">
        <v>191</v>
      </c>
      <c r="N5625" s="4" t="str">
        <f t="shared" si="469"/>
        <v>GAL</v>
      </c>
      <c r="O5625" s="5">
        <v>30</v>
      </c>
    </row>
    <row r="5626" spans="2:15" x14ac:dyDescent="0.25">
      <c r="B5626" s="1" t="s">
        <v>382</v>
      </c>
      <c r="C5626" s="2" t="s">
        <v>506</v>
      </c>
      <c r="D5626" s="2" t="s">
        <v>515</v>
      </c>
      <c r="E5626" s="2" t="s">
        <v>516</v>
      </c>
      <c r="F5626" s="3">
        <f>DATE(2024,8,16)</f>
        <v>45520</v>
      </c>
      <c r="G5626" s="4">
        <f t="shared" si="471"/>
        <v>8</v>
      </c>
      <c r="H5626" s="4">
        <f t="shared" si="472"/>
        <v>2024</v>
      </c>
      <c r="I5626" s="2" t="s">
        <v>4</v>
      </c>
      <c r="J5626" s="2" t="s">
        <v>6345</v>
      </c>
      <c r="K5626" s="2" t="s">
        <v>33</v>
      </c>
      <c r="L5626" s="2" t="s">
        <v>2786</v>
      </c>
      <c r="M5626" s="2" t="s">
        <v>35</v>
      </c>
      <c r="N5626" s="4" t="str">
        <f t="shared" si="469"/>
        <v>GAL</v>
      </c>
      <c r="O5626" s="5">
        <v>60</v>
      </c>
    </row>
    <row r="5627" spans="2:15" x14ac:dyDescent="0.25">
      <c r="B5627" s="1" t="s">
        <v>382</v>
      </c>
      <c r="C5627" s="2" t="s">
        <v>506</v>
      </c>
      <c r="D5627" s="2" t="s">
        <v>515</v>
      </c>
      <c r="E5627" s="2" t="s">
        <v>516</v>
      </c>
      <c r="F5627" s="3">
        <f>DATE(2024,8,16)</f>
        <v>45520</v>
      </c>
      <c r="G5627" s="4">
        <f t="shared" si="471"/>
        <v>8</v>
      </c>
      <c r="H5627" s="4">
        <f t="shared" si="472"/>
        <v>2024</v>
      </c>
      <c r="I5627" s="2" t="s">
        <v>4</v>
      </c>
      <c r="J5627" s="2" t="s">
        <v>6345</v>
      </c>
      <c r="K5627" s="2" t="s">
        <v>83</v>
      </c>
      <c r="L5627" s="2" t="s">
        <v>518</v>
      </c>
      <c r="M5627" s="2" t="s">
        <v>85</v>
      </c>
      <c r="N5627" s="4" t="str">
        <f t="shared" si="469"/>
        <v>GAL</v>
      </c>
      <c r="O5627" s="5">
        <v>180</v>
      </c>
    </row>
    <row r="5628" spans="2:15" x14ac:dyDescent="0.25">
      <c r="B5628" s="1" t="s">
        <v>645</v>
      </c>
      <c r="C5628" s="2" t="s">
        <v>1025</v>
      </c>
      <c r="D5628" s="2" t="s">
        <v>2079</v>
      </c>
      <c r="E5628" s="2" t="s">
        <v>1402</v>
      </c>
      <c r="F5628" s="3">
        <f>DATE(2024,8,6)</f>
        <v>45510</v>
      </c>
      <c r="G5628" s="4">
        <f t="shared" si="471"/>
        <v>8</v>
      </c>
      <c r="H5628" s="4">
        <f t="shared" si="472"/>
        <v>2024</v>
      </c>
      <c r="I5628" s="2" t="s">
        <v>4</v>
      </c>
      <c r="J5628" s="2" t="s">
        <v>6346</v>
      </c>
      <c r="K5628" s="2" t="s">
        <v>816</v>
      </c>
      <c r="L5628" s="2" t="s">
        <v>545</v>
      </c>
      <c r="M5628" s="2" t="s">
        <v>67</v>
      </c>
      <c r="N5628" s="4" t="str">
        <f t="shared" si="469"/>
        <v>GAL</v>
      </c>
      <c r="O5628" s="5">
        <v>180</v>
      </c>
    </row>
    <row r="5629" spans="2:15" x14ac:dyDescent="0.25">
      <c r="B5629" s="1" t="s">
        <v>1742</v>
      </c>
      <c r="C5629" s="2" t="s">
        <v>1025</v>
      </c>
      <c r="D5629" s="2" t="s">
        <v>496</v>
      </c>
      <c r="E5629" s="2" t="s">
        <v>497</v>
      </c>
      <c r="F5629" s="3">
        <f>DATE(2024,8,12)</f>
        <v>45516</v>
      </c>
      <c r="G5629" s="4">
        <f t="shared" si="471"/>
        <v>8</v>
      </c>
      <c r="H5629" s="4">
        <f t="shared" si="472"/>
        <v>2024</v>
      </c>
      <c r="I5629" s="2" t="s">
        <v>4</v>
      </c>
      <c r="J5629" s="2" t="s">
        <v>6347</v>
      </c>
      <c r="K5629" s="2" t="s">
        <v>499</v>
      </c>
      <c r="L5629" s="2" t="s">
        <v>500</v>
      </c>
      <c r="M5629" s="2" t="s">
        <v>119</v>
      </c>
      <c r="N5629" s="4" t="str">
        <f t="shared" si="469"/>
        <v>TON</v>
      </c>
      <c r="O5629" s="5">
        <v>2.5099999999999998</v>
      </c>
    </row>
    <row r="5630" spans="2:15" x14ac:dyDescent="0.25">
      <c r="B5630" s="1" t="s">
        <v>645</v>
      </c>
      <c r="C5630" s="2" t="s">
        <v>1025</v>
      </c>
      <c r="D5630" s="2" t="s">
        <v>2079</v>
      </c>
      <c r="E5630" s="2" t="s">
        <v>1402</v>
      </c>
      <c r="F5630" s="3">
        <f>DATE(2024,8,21)</f>
        <v>45525</v>
      </c>
      <c r="G5630" s="4">
        <f t="shared" si="471"/>
        <v>8</v>
      </c>
      <c r="H5630" s="4">
        <f t="shared" si="472"/>
        <v>2024</v>
      </c>
      <c r="I5630" s="2" t="s">
        <v>4</v>
      </c>
      <c r="J5630" s="2" t="s">
        <v>6348</v>
      </c>
      <c r="K5630" s="2" t="s">
        <v>817</v>
      </c>
      <c r="L5630" s="2" t="s">
        <v>818</v>
      </c>
      <c r="M5630" s="2" t="s">
        <v>556</v>
      </c>
      <c r="N5630" s="4" t="str">
        <f t="shared" ref="N5630:N5693" si="473">+LEFT(M5630,3)</f>
        <v>GAL</v>
      </c>
      <c r="O5630" s="5">
        <v>180</v>
      </c>
    </row>
    <row r="5631" spans="2:15" x14ac:dyDescent="0.25">
      <c r="B5631" s="1" t="s">
        <v>1410</v>
      </c>
      <c r="C5631" s="2" t="s">
        <v>525</v>
      </c>
      <c r="D5631" s="2" t="s">
        <v>1956</v>
      </c>
      <c r="E5631" s="2" t="s">
        <v>102</v>
      </c>
      <c r="F5631" s="3">
        <f>DATE(2024,8,2)</f>
        <v>45506</v>
      </c>
      <c r="G5631" s="4">
        <f t="shared" si="471"/>
        <v>8</v>
      </c>
      <c r="H5631" s="4">
        <f t="shared" si="472"/>
        <v>2024</v>
      </c>
      <c r="I5631" s="2" t="s">
        <v>4</v>
      </c>
      <c r="J5631" s="2" t="s">
        <v>6349</v>
      </c>
      <c r="K5631" s="2" t="s">
        <v>122</v>
      </c>
      <c r="L5631" s="2" t="s">
        <v>123</v>
      </c>
      <c r="M5631" s="2" t="s">
        <v>119</v>
      </c>
      <c r="N5631" s="4" t="str">
        <f t="shared" si="473"/>
        <v>TON</v>
      </c>
      <c r="O5631" s="5">
        <v>0.15</v>
      </c>
    </row>
    <row r="5632" spans="2:15" x14ac:dyDescent="0.25">
      <c r="B5632" s="1" t="s">
        <v>1410</v>
      </c>
      <c r="C5632" s="2" t="s">
        <v>525</v>
      </c>
      <c r="D5632" s="2" t="s">
        <v>628</v>
      </c>
      <c r="E5632" s="2" t="s">
        <v>1036</v>
      </c>
      <c r="F5632" s="3">
        <f>DATE(2024,8,6)</f>
        <v>45510</v>
      </c>
      <c r="G5632" s="4">
        <f t="shared" si="471"/>
        <v>8</v>
      </c>
      <c r="H5632" s="4">
        <f t="shared" si="472"/>
        <v>2024</v>
      </c>
      <c r="I5632" s="2" t="s">
        <v>4</v>
      </c>
      <c r="J5632" s="2" t="s">
        <v>6350</v>
      </c>
      <c r="K5632" s="2" t="s">
        <v>164</v>
      </c>
      <c r="L5632" s="2" t="s">
        <v>165</v>
      </c>
      <c r="M5632" s="2" t="s">
        <v>166</v>
      </c>
      <c r="N5632" s="4" t="str">
        <f t="shared" si="473"/>
        <v>GAL</v>
      </c>
      <c r="O5632" s="5">
        <v>120</v>
      </c>
    </row>
    <row r="5633" spans="2:15" x14ac:dyDescent="0.25">
      <c r="B5633" s="1" t="s">
        <v>1410</v>
      </c>
      <c r="C5633" s="2" t="s">
        <v>525</v>
      </c>
      <c r="D5633" s="2" t="s">
        <v>124</v>
      </c>
      <c r="E5633" s="2" t="s">
        <v>526</v>
      </c>
      <c r="F5633" s="3">
        <f>DATE(2024,8,8)</f>
        <v>45512</v>
      </c>
      <c r="G5633" s="4">
        <f t="shared" si="471"/>
        <v>8</v>
      </c>
      <c r="H5633" s="4">
        <f t="shared" si="472"/>
        <v>2024</v>
      </c>
      <c r="I5633" s="2" t="s">
        <v>4</v>
      </c>
      <c r="J5633" s="2" t="s">
        <v>6351</v>
      </c>
      <c r="K5633" s="2" t="s">
        <v>6352</v>
      </c>
      <c r="L5633" s="2" t="s">
        <v>6353</v>
      </c>
      <c r="M5633" s="2" t="s">
        <v>119</v>
      </c>
      <c r="N5633" s="4" t="str">
        <f t="shared" si="473"/>
        <v>TON</v>
      </c>
      <c r="O5633" s="5">
        <v>1.25</v>
      </c>
    </row>
    <row r="5634" spans="2:15" x14ac:dyDescent="0.25">
      <c r="B5634" s="1" t="s">
        <v>1410</v>
      </c>
      <c r="C5634" s="2" t="s">
        <v>525</v>
      </c>
      <c r="D5634" s="2" t="s">
        <v>507</v>
      </c>
      <c r="E5634" s="2" t="s">
        <v>508</v>
      </c>
      <c r="F5634" s="3">
        <f>DATE(2024,8,20)</f>
        <v>45524</v>
      </c>
      <c r="G5634" s="4">
        <f t="shared" si="471"/>
        <v>8</v>
      </c>
      <c r="H5634" s="4">
        <f t="shared" si="472"/>
        <v>2024</v>
      </c>
      <c r="I5634" s="2" t="s">
        <v>4</v>
      </c>
      <c r="J5634" s="2" t="s">
        <v>6354</v>
      </c>
      <c r="K5634" s="2" t="s">
        <v>609</v>
      </c>
      <c r="L5634" s="2" t="s">
        <v>610</v>
      </c>
      <c r="M5634" s="2" t="s">
        <v>611</v>
      </c>
      <c r="N5634" s="4" t="str">
        <f t="shared" si="473"/>
        <v>GAL</v>
      </c>
      <c r="O5634" s="5">
        <v>120</v>
      </c>
    </row>
    <row r="5635" spans="2:15" x14ac:dyDescent="0.25">
      <c r="B5635" s="1" t="s">
        <v>1410</v>
      </c>
      <c r="C5635" s="2" t="s">
        <v>525</v>
      </c>
      <c r="D5635" s="2" t="s">
        <v>1956</v>
      </c>
      <c r="E5635" s="2" t="s">
        <v>102</v>
      </c>
      <c r="F5635" s="3">
        <f>DATE(2024,8,29)</f>
        <v>45533</v>
      </c>
      <c r="G5635" s="4">
        <f t="shared" si="471"/>
        <v>8</v>
      </c>
      <c r="H5635" s="4">
        <f t="shared" si="472"/>
        <v>2024</v>
      </c>
      <c r="I5635" s="2" t="s">
        <v>4</v>
      </c>
      <c r="J5635" s="2" t="s">
        <v>6355</v>
      </c>
      <c r="K5635" s="2" t="s">
        <v>122</v>
      </c>
      <c r="L5635" s="2" t="s">
        <v>123</v>
      </c>
      <c r="M5635" s="2" t="s">
        <v>119</v>
      </c>
      <c r="N5635" s="4" t="str">
        <f t="shared" si="473"/>
        <v>TON</v>
      </c>
      <c r="O5635" s="5">
        <v>0.15</v>
      </c>
    </row>
    <row r="5636" spans="2:15" x14ac:dyDescent="0.25">
      <c r="B5636" s="1" t="s">
        <v>1410</v>
      </c>
      <c r="C5636" s="2" t="s">
        <v>525</v>
      </c>
      <c r="D5636" s="2" t="s">
        <v>124</v>
      </c>
      <c r="E5636" s="2" t="s">
        <v>526</v>
      </c>
      <c r="F5636" s="3">
        <f>DATE(2024,8,30)</f>
        <v>45534</v>
      </c>
      <c r="G5636" s="4">
        <f t="shared" si="471"/>
        <v>8</v>
      </c>
      <c r="H5636" s="4">
        <f t="shared" si="472"/>
        <v>2024</v>
      </c>
      <c r="I5636" s="2" t="s">
        <v>4</v>
      </c>
      <c r="J5636" s="2" t="s">
        <v>6356</v>
      </c>
      <c r="K5636" s="2" t="s">
        <v>1031</v>
      </c>
      <c r="L5636" s="2" t="s">
        <v>1032</v>
      </c>
      <c r="M5636" s="2" t="s">
        <v>119</v>
      </c>
      <c r="N5636" s="4" t="str">
        <f t="shared" si="473"/>
        <v>TON</v>
      </c>
      <c r="O5636" s="5">
        <v>12</v>
      </c>
    </row>
    <row r="5637" spans="2:15" x14ac:dyDescent="0.25">
      <c r="B5637" s="1" t="s">
        <v>645</v>
      </c>
      <c r="C5637" s="2" t="s">
        <v>533</v>
      </c>
      <c r="D5637" s="2" t="s">
        <v>562</v>
      </c>
      <c r="E5637" s="2" t="s">
        <v>2118</v>
      </c>
      <c r="F5637" s="3">
        <f>DATE(2024,8,8)</f>
        <v>45512</v>
      </c>
      <c r="G5637" s="4">
        <f t="shared" si="471"/>
        <v>8</v>
      </c>
      <c r="H5637" s="4">
        <f t="shared" si="472"/>
        <v>2024</v>
      </c>
      <c r="I5637" s="2" t="s">
        <v>4</v>
      </c>
      <c r="J5637" s="2" t="s">
        <v>6357</v>
      </c>
      <c r="K5637" s="2" t="s">
        <v>19</v>
      </c>
      <c r="L5637" s="2" t="s">
        <v>565</v>
      </c>
      <c r="M5637" s="2" t="s">
        <v>21</v>
      </c>
      <c r="N5637" s="4" t="str">
        <f t="shared" si="473"/>
        <v>GAL</v>
      </c>
      <c r="O5637" s="5">
        <v>360</v>
      </c>
    </row>
    <row r="5638" spans="2:15" x14ac:dyDescent="0.25">
      <c r="B5638" s="1" t="s">
        <v>645</v>
      </c>
      <c r="C5638" s="2" t="s">
        <v>533</v>
      </c>
      <c r="D5638" s="2" t="s">
        <v>557</v>
      </c>
      <c r="E5638" s="2" t="s">
        <v>3111</v>
      </c>
      <c r="F5638" s="3">
        <f>DATE(2024,8,12)</f>
        <v>45516</v>
      </c>
      <c r="G5638" s="4">
        <f t="shared" si="471"/>
        <v>8</v>
      </c>
      <c r="H5638" s="4">
        <f t="shared" si="472"/>
        <v>2024</v>
      </c>
      <c r="I5638" s="2" t="s">
        <v>4</v>
      </c>
      <c r="J5638" s="2" t="s">
        <v>6358</v>
      </c>
      <c r="K5638" s="2" t="s">
        <v>2536</v>
      </c>
      <c r="L5638" s="2" t="s">
        <v>2537</v>
      </c>
      <c r="M5638" s="2" t="s">
        <v>131</v>
      </c>
      <c r="N5638" s="4" t="str">
        <f t="shared" si="473"/>
        <v>GAL</v>
      </c>
      <c r="O5638" s="5">
        <v>540</v>
      </c>
    </row>
    <row r="5639" spans="2:15" x14ac:dyDescent="0.25">
      <c r="B5639" s="1" t="s">
        <v>645</v>
      </c>
      <c r="C5639" s="2" t="s">
        <v>533</v>
      </c>
      <c r="D5639" s="2" t="s">
        <v>557</v>
      </c>
      <c r="E5639" s="2" t="s">
        <v>1090</v>
      </c>
      <c r="F5639" s="3">
        <f>DATE(2024,8,13)</f>
        <v>45517</v>
      </c>
      <c r="G5639" s="4">
        <f t="shared" si="471"/>
        <v>8</v>
      </c>
      <c r="H5639" s="4">
        <f t="shared" si="472"/>
        <v>2024</v>
      </c>
      <c r="I5639" s="2" t="s">
        <v>4</v>
      </c>
      <c r="J5639" s="2" t="s">
        <v>6359</v>
      </c>
      <c r="K5639" s="2" t="s">
        <v>2536</v>
      </c>
      <c r="L5639" s="2" t="s">
        <v>2537</v>
      </c>
      <c r="M5639" s="2" t="s">
        <v>131</v>
      </c>
      <c r="N5639" s="4" t="str">
        <f t="shared" si="473"/>
        <v>GAL</v>
      </c>
      <c r="O5639" s="5">
        <v>360</v>
      </c>
    </row>
    <row r="5640" spans="2:15" x14ac:dyDescent="0.25">
      <c r="B5640" s="1" t="s">
        <v>645</v>
      </c>
      <c r="C5640" s="2" t="s">
        <v>533</v>
      </c>
      <c r="D5640" s="2" t="s">
        <v>562</v>
      </c>
      <c r="E5640" s="2" t="s">
        <v>563</v>
      </c>
      <c r="F5640" s="3">
        <f>DATE(2024,8,15)</f>
        <v>45519</v>
      </c>
      <c r="G5640" s="4">
        <f t="shared" si="471"/>
        <v>8</v>
      </c>
      <c r="H5640" s="4">
        <f t="shared" si="472"/>
        <v>2024</v>
      </c>
      <c r="I5640" s="2" t="s">
        <v>4</v>
      </c>
      <c r="J5640" s="2" t="s">
        <v>6360</v>
      </c>
      <c r="K5640" s="2" t="s">
        <v>19</v>
      </c>
      <c r="L5640" s="2" t="s">
        <v>565</v>
      </c>
      <c r="M5640" s="2" t="s">
        <v>21</v>
      </c>
      <c r="N5640" s="4" t="str">
        <f t="shared" si="473"/>
        <v>GAL</v>
      </c>
      <c r="O5640" s="5">
        <v>720</v>
      </c>
    </row>
    <row r="5641" spans="2:15" x14ac:dyDescent="0.25">
      <c r="B5641" s="1" t="s">
        <v>1050</v>
      </c>
      <c r="C5641" s="2" t="s">
        <v>533</v>
      </c>
      <c r="D5641" s="2" t="s">
        <v>557</v>
      </c>
      <c r="E5641" s="2" t="s">
        <v>2142</v>
      </c>
      <c r="F5641" s="3">
        <f>DATE(2024,8,15)</f>
        <v>45519</v>
      </c>
      <c r="G5641" s="4">
        <f t="shared" si="471"/>
        <v>8</v>
      </c>
      <c r="H5641" s="4">
        <f t="shared" si="472"/>
        <v>2024</v>
      </c>
      <c r="I5641" s="2" t="s">
        <v>4</v>
      </c>
      <c r="J5641" s="2" t="s">
        <v>6361</v>
      </c>
      <c r="K5641" s="2" t="s">
        <v>5125</v>
      </c>
      <c r="L5641" s="2" t="s">
        <v>2124</v>
      </c>
      <c r="M5641" s="2" t="s">
        <v>106</v>
      </c>
      <c r="N5641" s="4" t="str">
        <f t="shared" si="473"/>
        <v>LBS</v>
      </c>
      <c r="O5641" s="5">
        <v>2500</v>
      </c>
    </row>
    <row r="5642" spans="2:15" x14ac:dyDescent="0.25">
      <c r="B5642" s="1" t="s">
        <v>645</v>
      </c>
      <c r="C5642" s="2" t="s">
        <v>533</v>
      </c>
      <c r="D5642" s="2" t="s">
        <v>1047</v>
      </c>
      <c r="E5642" s="2" t="s">
        <v>6362</v>
      </c>
      <c r="F5642" s="3">
        <f>DATE(2024,8,23)</f>
        <v>45527</v>
      </c>
      <c r="G5642" s="4">
        <f t="shared" si="471"/>
        <v>8</v>
      </c>
      <c r="H5642" s="4">
        <f t="shared" si="472"/>
        <v>2024</v>
      </c>
      <c r="I5642" s="2" t="s">
        <v>4</v>
      </c>
      <c r="J5642" s="2" t="s">
        <v>6363</v>
      </c>
      <c r="K5642" s="2" t="s">
        <v>50</v>
      </c>
      <c r="L5642" s="2" t="s">
        <v>6270</v>
      </c>
      <c r="M5642" s="2" t="s">
        <v>52</v>
      </c>
      <c r="N5642" s="4" t="str">
        <f t="shared" si="473"/>
        <v>GAL</v>
      </c>
      <c r="O5642" s="5">
        <v>30</v>
      </c>
    </row>
    <row r="5643" spans="2:15" x14ac:dyDescent="0.25">
      <c r="B5643" s="1" t="s">
        <v>645</v>
      </c>
      <c r="C5643" s="2" t="s">
        <v>533</v>
      </c>
      <c r="D5643" s="2" t="s">
        <v>1047</v>
      </c>
      <c r="E5643" s="2" t="s">
        <v>6362</v>
      </c>
      <c r="F5643" s="3">
        <f>DATE(2024,8,23)</f>
        <v>45527</v>
      </c>
      <c r="G5643" s="4">
        <f t="shared" si="471"/>
        <v>8</v>
      </c>
      <c r="H5643" s="4">
        <f t="shared" si="472"/>
        <v>2024</v>
      </c>
      <c r="I5643" s="2" t="s">
        <v>4</v>
      </c>
      <c r="J5643" s="2" t="s">
        <v>6363</v>
      </c>
      <c r="K5643" s="2" t="s">
        <v>189</v>
      </c>
      <c r="L5643" s="2" t="s">
        <v>190</v>
      </c>
      <c r="M5643" s="2" t="s">
        <v>191</v>
      </c>
      <c r="N5643" s="4" t="str">
        <f t="shared" si="473"/>
        <v>GAL</v>
      </c>
      <c r="O5643" s="5">
        <v>20</v>
      </c>
    </row>
    <row r="5644" spans="2:15" x14ac:dyDescent="0.25">
      <c r="B5644" s="1" t="s">
        <v>1050</v>
      </c>
      <c r="C5644" s="2" t="s">
        <v>533</v>
      </c>
      <c r="D5644" s="2" t="s">
        <v>1047</v>
      </c>
      <c r="E5644" s="2" t="s">
        <v>5441</v>
      </c>
      <c r="F5644" s="3">
        <f>DATE(2024,8,23)</f>
        <v>45527</v>
      </c>
      <c r="G5644" s="4">
        <f t="shared" si="471"/>
        <v>8</v>
      </c>
      <c r="H5644" s="4">
        <f t="shared" si="472"/>
        <v>2024</v>
      </c>
      <c r="I5644" s="2" t="s">
        <v>4</v>
      </c>
      <c r="J5644" s="2" t="s">
        <v>6364</v>
      </c>
      <c r="K5644" s="2" t="s">
        <v>5443</v>
      </c>
      <c r="L5644" s="2" t="s">
        <v>2139</v>
      </c>
      <c r="M5644" s="2" t="s">
        <v>1472</v>
      </c>
      <c r="N5644" s="4" t="str">
        <f t="shared" si="473"/>
        <v>GAL</v>
      </c>
      <c r="O5644" s="5">
        <v>125</v>
      </c>
    </row>
    <row r="5645" spans="2:15" x14ac:dyDescent="0.25">
      <c r="B5645" s="6" t="s">
        <v>645</v>
      </c>
      <c r="C5645" s="7" t="s">
        <v>533</v>
      </c>
      <c r="D5645" s="8" t="s">
        <v>562</v>
      </c>
      <c r="E5645" s="8" t="s">
        <v>2151</v>
      </c>
      <c r="F5645" s="9">
        <f>DATE(2024,8,28)</f>
        <v>45532</v>
      </c>
      <c r="G5645" s="10">
        <f t="shared" si="471"/>
        <v>8</v>
      </c>
      <c r="H5645" s="10">
        <f t="shared" si="472"/>
        <v>2024</v>
      </c>
      <c r="I5645" s="8" t="s">
        <v>4</v>
      </c>
      <c r="J5645" s="7" t="s">
        <v>6365</v>
      </c>
      <c r="K5645" s="8" t="s">
        <v>2484</v>
      </c>
      <c r="L5645" s="8" t="s">
        <v>99</v>
      </c>
      <c r="M5645" s="8" t="s">
        <v>100</v>
      </c>
      <c r="N5645" s="10" t="str">
        <f t="shared" si="473"/>
        <v>GAL</v>
      </c>
      <c r="O5645" s="11">
        <v>500</v>
      </c>
    </row>
    <row r="5646" spans="2:15" x14ac:dyDescent="0.25">
      <c r="B5646" s="1" t="s">
        <v>1050</v>
      </c>
      <c r="C5646" s="2" t="s">
        <v>533</v>
      </c>
      <c r="D5646" s="2" t="s">
        <v>1047</v>
      </c>
      <c r="E5646" s="2" t="s">
        <v>2522</v>
      </c>
      <c r="F5646" s="3">
        <f>DATE(2024,8,29)</f>
        <v>45533</v>
      </c>
      <c r="G5646" s="4">
        <f t="shared" si="471"/>
        <v>8</v>
      </c>
      <c r="H5646" s="4">
        <f t="shared" si="472"/>
        <v>2024</v>
      </c>
      <c r="I5646" s="2" t="s">
        <v>4</v>
      </c>
      <c r="J5646" s="2" t="s">
        <v>6366</v>
      </c>
      <c r="K5646" s="2" t="s">
        <v>549</v>
      </c>
      <c r="L5646" s="2" t="s">
        <v>550</v>
      </c>
      <c r="M5646" s="2" t="s">
        <v>52</v>
      </c>
      <c r="N5646" s="4" t="str">
        <f t="shared" si="473"/>
        <v>GAL</v>
      </c>
      <c r="O5646" s="5">
        <v>55</v>
      </c>
    </row>
    <row r="5647" spans="2:15" x14ac:dyDescent="0.25">
      <c r="B5647" s="1" t="s">
        <v>3238</v>
      </c>
      <c r="C5647" s="2" t="s">
        <v>3239</v>
      </c>
      <c r="D5647" s="2" t="s">
        <v>3240</v>
      </c>
      <c r="E5647" s="2" t="s">
        <v>3923</v>
      </c>
      <c r="F5647" s="3">
        <f>DATE(2024,8,2)</f>
        <v>45506</v>
      </c>
      <c r="G5647" s="4">
        <f t="shared" si="471"/>
        <v>8</v>
      </c>
      <c r="H5647" s="4">
        <f t="shared" si="472"/>
        <v>2024</v>
      </c>
      <c r="I5647" s="2" t="s">
        <v>4</v>
      </c>
      <c r="J5647" s="2" t="s">
        <v>6367</v>
      </c>
      <c r="K5647" s="2" t="s">
        <v>3925</v>
      </c>
      <c r="L5647" s="2" t="s">
        <v>4264</v>
      </c>
      <c r="M5647" s="2" t="s">
        <v>119</v>
      </c>
      <c r="N5647" s="4" t="str">
        <f t="shared" si="473"/>
        <v>TON</v>
      </c>
      <c r="O5647" s="5">
        <v>1.2537499999999999</v>
      </c>
    </row>
    <row r="5648" spans="2:15" x14ac:dyDescent="0.25">
      <c r="B5648" s="1" t="s">
        <v>3238</v>
      </c>
      <c r="C5648" s="2" t="s">
        <v>3239</v>
      </c>
      <c r="D5648" s="2" t="s">
        <v>6120</v>
      </c>
      <c r="E5648" s="2" t="s">
        <v>6368</v>
      </c>
      <c r="F5648" s="3">
        <f>DATE(2024,8,2)</f>
        <v>45506</v>
      </c>
      <c r="G5648" s="4">
        <f t="shared" si="471"/>
        <v>8</v>
      </c>
      <c r="H5648" s="4">
        <f t="shared" si="472"/>
        <v>2024</v>
      </c>
      <c r="I5648" s="2" t="s">
        <v>4</v>
      </c>
      <c r="J5648" s="2" t="s">
        <v>6369</v>
      </c>
      <c r="K5648" s="2" t="s">
        <v>22</v>
      </c>
      <c r="L5648" s="2" t="s">
        <v>6370</v>
      </c>
      <c r="M5648" s="2" t="s">
        <v>24</v>
      </c>
      <c r="N5648" s="4" t="str">
        <f t="shared" si="473"/>
        <v>GAL</v>
      </c>
      <c r="O5648" s="5">
        <v>25</v>
      </c>
    </row>
    <row r="5649" spans="2:15" x14ac:dyDescent="0.25">
      <c r="B5649" s="1" t="s">
        <v>3238</v>
      </c>
      <c r="C5649" s="2" t="s">
        <v>3239</v>
      </c>
      <c r="D5649" s="2" t="s">
        <v>6120</v>
      </c>
      <c r="E5649" s="2" t="s">
        <v>6177</v>
      </c>
      <c r="F5649" s="3">
        <f>DATE(2024,8,2)</f>
        <v>45506</v>
      </c>
      <c r="G5649" s="4">
        <f t="shared" si="471"/>
        <v>8</v>
      </c>
      <c r="H5649" s="4">
        <f t="shared" si="472"/>
        <v>2024</v>
      </c>
      <c r="I5649" s="2" t="s">
        <v>4</v>
      </c>
      <c r="J5649" s="2" t="s">
        <v>6371</v>
      </c>
      <c r="K5649" s="2" t="s">
        <v>6179</v>
      </c>
      <c r="L5649" s="2" t="s">
        <v>6176</v>
      </c>
      <c r="M5649" s="2" t="s">
        <v>3652</v>
      </c>
      <c r="N5649" s="4" t="str">
        <f t="shared" si="473"/>
        <v>GAL</v>
      </c>
      <c r="O5649" s="5">
        <v>55</v>
      </c>
    </row>
    <row r="5650" spans="2:15" x14ac:dyDescent="0.25">
      <c r="B5650" s="1" t="s">
        <v>3238</v>
      </c>
      <c r="C5650" s="2" t="s">
        <v>3239</v>
      </c>
      <c r="D5650" s="2" t="s">
        <v>3240</v>
      </c>
      <c r="E5650" s="2" t="s">
        <v>102</v>
      </c>
      <c r="F5650" s="3">
        <f>DATE(2024,8,5)</f>
        <v>45509</v>
      </c>
      <c r="G5650" s="4">
        <f t="shared" ref="G5650:G5713" si="474">+MONTH(F5650)</f>
        <v>8</v>
      </c>
      <c r="H5650" s="4">
        <f t="shared" ref="H5650:H5713" si="475">+YEAR(F5650)</f>
        <v>2024</v>
      </c>
      <c r="I5650" s="2" t="s">
        <v>4</v>
      </c>
      <c r="J5650" s="2" t="s">
        <v>6372</v>
      </c>
      <c r="K5650" s="2" t="s">
        <v>6373</v>
      </c>
      <c r="L5650" s="2" t="s">
        <v>6374</v>
      </c>
      <c r="M5650" s="2" t="s">
        <v>6375</v>
      </c>
      <c r="N5650" s="4" t="str">
        <f t="shared" si="473"/>
        <v>GAL</v>
      </c>
      <c r="O5650" s="5">
        <v>50</v>
      </c>
    </row>
    <row r="5651" spans="2:15" x14ac:dyDescent="0.25">
      <c r="B5651" s="1" t="s">
        <v>3238</v>
      </c>
      <c r="C5651" s="2" t="s">
        <v>3239</v>
      </c>
      <c r="D5651" s="2" t="s">
        <v>3240</v>
      </c>
      <c r="E5651" s="2" t="s">
        <v>3388</v>
      </c>
      <c r="F5651" s="3">
        <f>DATE(2024,8,6)</f>
        <v>45510</v>
      </c>
      <c r="G5651" s="4">
        <f t="shared" si="474"/>
        <v>8</v>
      </c>
      <c r="H5651" s="4">
        <f t="shared" si="475"/>
        <v>2024</v>
      </c>
      <c r="I5651" s="2" t="s">
        <v>4</v>
      </c>
      <c r="J5651" s="2" t="s">
        <v>6376</v>
      </c>
      <c r="K5651" s="2" t="s">
        <v>6377</v>
      </c>
      <c r="L5651" s="2" t="s">
        <v>6374</v>
      </c>
      <c r="M5651" s="2" t="s">
        <v>6375</v>
      </c>
      <c r="N5651" s="4" t="str">
        <f t="shared" si="473"/>
        <v>GAL</v>
      </c>
      <c r="O5651" s="5">
        <v>250</v>
      </c>
    </row>
    <row r="5652" spans="2:15" x14ac:dyDescent="0.25">
      <c r="B5652" s="1" t="s">
        <v>3238</v>
      </c>
      <c r="C5652" s="2" t="s">
        <v>3239</v>
      </c>
      <c r="D5652" s="2" t="s">
        <v>3240</v>
      </c>
      <c r="E5652" s="2" t="s">
        <v>4251</v>
      </c>
      <c r="F5652" s="3">
        <f>DATE(2024,8,7)</f>
        <v>45511</v>
      </c>
      <c r="G5652" s="4">
        <f t="shared" si="474"/>
        <v>8</v>
      </c>
      <c r="H5652" s="4">
        <f t="shared" si="475"/>
        <v>2024</v>
      </c>
      <c r="I5652" s="2" t="s">
        <v>4</v>
      </c>
      <c r="J5652" s="2" t="s">
        <v>6378</v>
      </c>
      <c r="K5652" s="2" t="s">
        <v>3925</v>
      </c>
      <c r="L5652" s="2" t="s">
        <v>4264</v>
      </c>
      <c r="M5652" s="2" t="s">
        <v>119</v>
      </c>
      <c r="N5652" s="4" t="str">
        <f t="shared" si="473"/>
        <v>TON</v>
      </c>
      <c r="O5652" s="5">
        <v>4.9400000000000004</v>
      </c>
    </row>
    <row r="5653" spans="2:15" x14ac:dyDescent="0.25">
      <c r="B5653" s="1" t="s">
        <v>3238</v>
      </c>
      <c r="C5653" s="2" t="s">
        <v>3239</v>
      </c>
      <c r="D5653" s="2" t="s">
        <v>3240</v>
      </c>
      <c r="E5653" s="2" t="s">
        <v>102</v>
      </c>
      <c r="F5653" s="3">
        <f t="shared" ref="F5653:F5658" si="476">DATE(2024,8,9)</f>
        <v>45513</v>
      </c>
      <c r="G5653" s="4">
        <f t="shared" si="474"/>
        <v>8</v>
      </c>
      <c r="H5653" s="4">
        <f t="shared" si="475"/>
        <v>2024</v>
      </c>
      <c r="I5653" s="2" t="s">
        <v>4</v>
      </c>
      <c r="J5653" s="2" t="s">
        <v>6379</v>
      </c>
      <c r="K5653" s="2" t="s">
        <v>36</v>
      </c>
      <c r="L5653" s="2" t="s">
        <v>6154</v>
      </c>
      <c r="M5653" s="2" t="s">
        <v>38</v>
      </c>
      <c r="N5653" s="4" t="str">
        <f t="shared" si="473"/>
        <v>GAL</v>
      </c>
      <c r="O5653" s="5">
        <v>60</v>
      </c>
    </row>
    <row r="5654" spans="2:15" x14ac:dyDescent="0.25">
      <c r="B5654" s="1" t="s">
        <v>3238</v>
      </c>
      <c r="C5654" s="2" t="s">
        <v>3239</v>
      </c>
      <c r="D5654" s="2" t="s">
        <v>3240</v>
      </c>
      <c r="E5654" s="2" t="s">
        <v>102</v>
      </c>
      <c r="F5654" s="3">
        <f t="shared" si="476"/>
        <v>45513</v>
      </c>
      <c r="G5654" s="4">
        <f t="shared" si="474"/>
        <v>8</v>
      </c>
      <c r="H5654" s="4">
        <f t="shared" si="475"/>
        <v>2024</v>
      </c>
      <c r="I5654" s="2" t="s">
        <v>4</v>
      </c>
      <c r="J5654" s="2" t="s">
        <v>6379</v>
      </c>
      <c r="K5654" s="2" t="s">
        <v>19</v>
      </c>
      <c r="L5654" s="2" t="s">
        <v>6275</v>
      </c>
      <c r="M5654" s="2" t="s">
        <v>21</v>
      </c>
      <c r="N5654" s="4" t="str">
        <f t="shared" si="473"/>
        <v>GAL</v>
      </c>
      <c r="O5654" s="5">
        <v>60</v>
      </c>
    </row>
    <row r="5655" spans="2:15" x14ac:dyDescent="0.25">
      <c r="B5655" s="1" t="s">
        <v>3238</v>
      </c>
      <c r="C5655" s="2" t="s">
        <v>3239</v>
      </c>
      <c r="D5655" s="2" t="s">
        <v>3240</v>
      </c>
      <c r="E5655" s="2" t="s">
        <v>102</v>
      </c>
      <c r="F5655" s="3">
        <f t="shared" si="476"/>
        <v>45513</v>
      </c>
      <c r="G5655" s="4">
        <f t="shared" si="474"/>
        <v>8</v>
      </c>
      <c r="H5655" s="4">
        <f t="shared" si="475"/>
        <v>2024</v>
      </c>
      <c r="I5655" s="2" t="s">
        <v>4</v>
      </c>
      <c r="J5655" s="2" t="s">
        <v>6379</v>
      </c>
      <c r="K5655" s="2" t="s">
        <v>39</v>
      </c>
      <c r="L5655" s="2" t="s">
        <v>6380</v>
      </c>
      <c r="M5655" s="2" t="s">
        <v>41</v>
      </c>
      <c r="N5655" s="4" t="str">
        <f t="shared" si="473"/>
        <v>GAL</v>
      </c>
      <c r="O5655" s="5">
        <v>60</v>
      </c>
    </row>
    <row r="5656" spans="2:15" x14ac:dyDescent="0.25">
      <c r="B5656" s="1" t="s">
        <v>3238</v>
      </c>
      <c r="C5656" s="2" t="s">
        <v>3239</v>
      </c>
      <c r="D5656" s="2" t="s">
        <v>3240</v>
      </c>
      <c r="E5656" s="2" t="s">
        <v>102</v>
      </c>
      <c r="F5656" s="3">
        <f t="shared" si="476"/>
        <v>45513</v>
      </c>
      <c r="G5656" s="4">
        <f t="shared" si="474"/>
        <v>8</v>
      </c>
      <c r="H5656" s="4">
        <f t="shared" si="475"/>
        <v>2024</v>
      </c>
      <c r="I5656" s="2" t="s">
        <v>4</v>
      </c>
      <c r="J5656" s="2" t="s">
        <v>6381</v>
      </c>
      <c r="K5656" s="2" t="s">
        <v>5469</v>
      </c>
      <c r="L5656" s="2" t="s">
        <v>5470</v>
      </c>
      <c r="M5656" s="2" t="s">
        <v>1046</v>
      </c>
      <c r="N5656" s="4" t="str">
        <f t="shared" si="473"/>
        <v>GAL</v>
      </c>
      <c r="O5656" s="5">
        <v>60</v>
      </c>
    </row>
    <row r="5657" spans="2:15" x14ac:dyDescent="0.25">
      <c r="B5657" s="1" t="s">
        <v>3238</v>
      </c>
      <c r="C5657" s="2" t="s">
        <v>3239</v>
      </c>
      <c r="D5657" s="2" t="s">
        <v>3240</v>
      </c>
      <c r="E5657" s="2" t="s">
        <v>102</v>
      </c>
      <c r="F5657" s="3">
        <f t="shared" si="476"/>
        <v>45513</v>
      </c>
      <c r="G5657" s="4">
        <f t="shared" si="474"/>
        <v>8</v>
      </c>
      <c r="H5657" s="4">
        <f t="shared" si="475"/>
        <v>2024</v>
      </c>
      <c r="I5657" s="2" t="s">
        <v>4</v>
      </c>
      <c r="J5657" s="2" t="s">
        <v>6381</v>
      </c>
      <c r="K5657" s="2" t="s">
        <v>5971</v>
      </c>
      <c r="L5657" s="2" t="s">
        <v>3515</v>
      </c>
      <c r="M5657" s="2" t="s">
        <v>3516</v>
      </c>
      <c r="N5657" s="4" t="str">
        <f t="shared" si="473"/>
        <v>GAL</v>
      </c>
      <c r="O5657" s="5">
        <v>60</v>
      </c>
    </row>
    <row r="5658" spans="2:15" x14ac:dyDescent="0.25">
      <c r="B5658" s="1" t="s">
        <v>3238</v>
      </c>
      <c r="C5658" s="2" t="s">
        <v>3239</v>
      </c>
      <c r="D5658" s="2" t="s">
        <v>3240</v>
      </c>
      <c r="E5658" s="2" t="s">
        <v>102</v>
      </c>
      <c r="F5658" s="3">
        <f t="shared" si="476"/>
        <v>45513</v>
      </c>
      <c r="G5658" s="4">
        <f t="shared" si="474"/>
        <v>8</v>
      </c>
      <c r="H5658" s="4">
        <f t="shared" si="475"/>
        <v>2024</v>
      </c>
      <c r="I5658" s="2" t="s">
        <v>4</v>
      </c>
      <c r="J5658" s="2" t="s">
        <v>6381</v>
      </c>
      <c r="K5658" s="2" t="s">
        <v>3941</v>
      </c>
      <c r="L5658" s="2" t="s">
        <v>3911</v>
      </c>
      <c r="M5658" s="2" t="s">
        <v>2100</v>
      </c>
      <c r="N5658" s="4" t="str">
        <f t="shared" si="473"/>
        <v>GAL</v>
      </c>
      <c r="O5658" s="5">
        <v>60</v>
      </c>
    </row>
    <row r="5659" spans="2:15" x14ac:dyDescent="0.25">
      <c r="B5659" s="1" t="s">
        <v>3238</v>
      </c>
      <c r="C5659" s="2" t="s">
        <v>3239</v>
      </c>
      <c r="D5659" s="2" t="s">
        <v>3240</v>
      </c>
      <c r="E5659" s="2" t="s">
        <v>6382</v>
      </c>
      <c r="F5659" s="3">
        <f t="shared" ref="F5659:F5664" si="477">DATE(2024,8,13)</f>
        <v>45517</v>
      </c>
      <c r="G5659" s="4">
        <f t="shared" si="474"/>
        <v>8</v>
      </c>
      <c r="H5659" s="4">
        <f t="shared" si="475"/>
        <v>2024</v>
      </c>
      <c r="I5659" s="2" t="s">
        <v>4</v>
      </c>
      <c r="J5659" s="2" t="s">
        <v>6383</v>
      </c>
      <c r="K5659" s="2" t="s">
        <v>4267</v>
      </c>
      <c r="L5659" s="2" t="s">
        <v>4268</v>
      </c>
      <c r="M5659" s="2" t="s">
        <v>119</v>
      </c>
      <c r="N5659" s="4" t="str">
        <f t="shared" si="473"/>
        <v>TON</v>
      </c>
      <c r="O5659" s="5">
        <v>0.27</v>
      </c>
    </row>
    <row r="5660" spans="2:15" x14ac:dyDescent="0.25">
      <c r="B5660" s="1" t="s">
        <v>3238</v>
      </c>
      <c r="C5660" s="2" t="s">
        <v>3239</v>
      </c>
      <c r="D5660" s="2" t="s">
        <v>3240</v>
      </c>
      <c r="E5660" s="2" t="s">
        <v>3902</v>
      </c>
      <c r="F5660" s="3">
        <f t="shared" si="477"/>
        <v>45517</v>
      </c>
      <c r="G5660" s="4">
        <f t="shared" si="474"/>
        <v>8</v>
      </c>
      <c r="H5660" s="4">
        <f t="shared" si="475"/>
        <v>2024</v>
      </c>
      <c r="I5660" s="2" t="s">
        <v>4</v>
      </c>
      <c r="J5660" s="2" t="s">
        <v>6384</v>
      </c>
      <c r="K5660" s="2" t="s">
        <v>6385</v>
      </c>
      <c r="L5660" s="2" t="s">
        <v>3396</v>
      </c>
      <c r="M5660" s="2" t="s">
        <v>844</v>
      </c>
      <c r="N5660" s="4" t="str">
        <f t="shared" si="473"/>
        <v>GAL</v>
      </c>
      <c r="O5660" s="5">
        <v>275</v>
      </c>
    </row>
    <row r="5661" spans="2:15" x14ac:dyDescent="0.25">
      <c r="B5661" s="1" t="s">
        <v>3238</v>
      </c>
      <c r="C5661" s="2" t="s">
        <v>3239</v>
      </c>
      <c r="D5661" s="2" t="s">
        <v>3240</v>
      </c>
      <c r="E5661" s="2" t="s">
        <v>6382</v>
      </c>
      <c r="F5661" s="3">
        <f t="shared" si="477"/>
        <v>45517</v>
      </c>
      <c r="G5661" s="4">
        <f t="shared" si="474"/>
        <v>8</v>
      </c>
      <c r="H5661" s="4">
        <f t="shared" si="475"/>
        <v>2024</v>
      </c>
      <c r="I5661" s="2" t="s">
        <v>4</v>
      </c>
      <c r="J5661" s="2" t="s">
        <v>6386</v>
      </c>
      <c r="K5661" s="2" t="s">
        <v>6387</v>
      </c>
      <c r="L5661" s="2" t="s">
        <v>3525</v>
      </c>
      <c r="M5661" s="2" t="s">
        <v>1397</v>
      </c>
      <c r="N5661" s="4" t="str">
        <f t="shared" si="473"/>
        <v>GAL</v>
      </c>
      <c r="O5661" s="5">
        <v>55</v>
      </c>
    </row>
    <row r="5662" spans="2:15" x14ac:dyDescent="0.25">
      <c r="B5662" s="1" t="s">
        <v>3238</v>
      </c>
      <c r="C5662" s="2" t="s">
        <v>3239</v>
      </c>
      <c r="D5662" s="2" t="s">
        <v>3240</v>
      </c>
      <c r="E5662" s="2" t="s">
        <v>6382</v>
      </c>
      <c r="F5662" s="3">
        <f t="shared" si="477"/>
        <v>45517</v>
      </c>
      <c r="G5662" s="4">
        <f t="shared" si="474"/>
        <v>8</v>
      </c>
      <c r="H5662" s="4">
        <f t="shared" si="475"/>
        <v>2024</v>
      </c>
      <c r="I5662" s="2" t="s">
        <v>4</v>
      </c>
      <c r="J5662" s="2" t="s">
        <v>6386</v>
      </c>
      <c r="K5662" s="2" t="s">
        <v>2973</v>
      </c>
      <c r="L5662" s="2" t="s">
        <v>3506</v>
      </c>
      <c r="M5662" s="2" t="s">
        <v>917</v>
      </c>
      <c r="N5662" s="4" t="str">
        <f t="shared" si="473"/>
        <v>GAL</v>
      </c>
      <c r="O5662" s="5">
        <v>55</v>
      </c>
    </row>
    <row r="5663" spans="2:15" x14ac:dyDescent="0.25">
      <c r="B5663" s="1" t="s">
        <v>3238</v>
      </c>
      <c r="C5663" s="2" t="s">
        <v>3239</v>
      </c>
      <c r="D5663" s="2" t="s">
        <v>3240</v>
      </c>
      <c r="E5663" s="2" t="s">
        <v>6382</v>
      </c>
      <c r="F5663" s="3">
        <f t="shared" si="477"/>
        <v>45517</v>
      </c>
      <c r="G5663" s="4">
        <f t="shared" si="474"/>
        <v>8</v>
      </c>
      <c r="H5663" s="4">
        <f t="shared" si="475"/>
        <v>2024</v>
      </c>
      <c r="I5663" s="2" t="s">
        <v>4</v>
      </c>
      <c r="J5663" s="2" t="s">
        <v>6386</v>
      </c>
      <c r="K5663" s="2" t="s">
        <v>6388</v>
      </c>
      <c r="L5663" s="2" t="s">
        <v>3396</v>
      </c>
      <c r="M5663" s="2" t="s">
        <v>844</v>
      </c>
      <c r="N5663" s="4" t="str">
        <f t="shared" si="473"/>
        <v>GAL</v>
      </c>
      <c r="O5663" s="5">
        <v>110</v>
      </c>
    </row>
    <row r="5664" spans="2:15" x14ac:dyDescent="0.25">
      <c r="B5664" s="1" t="s">
        <v>3238</v>
      </c>
      <c r="C5664" s="2" t="s">
        <v>3239</v>
      </c>
      <c r="D5664" s="2" t="s">
        <v>3240</v>
      </c>
      <c r="E5664" s="2" t="s">
        <v>6382</v>
      </c>
      <c r="F5664" s="3">
        <f t="shared" si="477"/>
        <v>45517</v>
      </c>
      <c r="G5664" s="4">
        <f t="shared" si="474"/>
        <v>8</v>
      </c>
      <c r="H5664" s="4">
        <f t="shared" si="475"/>
        <v>2024</v>
      </c>
      <c r="I5664" s="2" t="s">
        <v>4</v>
      </c>
      <c r="J5664" s="2" t="s">
        <v>6389</v>
      </c>
      <c r="K5664" s="2" t="s">
        <v>6390</v>
      </c>
      <c r="L5664" s="2" t="s">
        <v>5978</v>
      </c>
      <c r="M5664" s="2" t="s">
        <v>3299</v>
      </c>
      <c r="N5664" s="4" t="str">
        <f t="shared" si="473"/>
        <v>GAL</v>
      </c>
      <c r="O5664" s="5">
        <v>55</v>
      </c>
    </row>
    <row r="5665" spans="2:15" x14ac:dyDescent="0.25">
      <c r="B5665" s="1" t="s">
        <v>3238</v>
      </c>
      <c r="C5665" s="2" t="s">
        <v>3239</v>
      </c>
      <c r="D5665" s="2" t="s">
        <v>3240</v>
      </c>
      <c r="E5665" s="2" t="s">
        <v>3902</v>
      </c>
      <c r="F5665" s="3">
        <f>DATE(2024,8,16)</f>
        <v>45520</v>
      </c>
      <c r="G5665" s="4">
        <f t="shared" si="474"/>
        <v>8</v>
      </c>
      <c r="H5665" s="4">
        <f t="shared" si="475"/>
        <v>2024</v>
      </c>
      <c r="I5665" s="2" t="s">
        <v>4</v>
      </c>
      <c r="J5665" s="2" t="s">
        <v>6391</v>
      </c>
      <c r="K5665" s="2" t="s">
        <v>6392</v>
      </c>
      <c r="L5665" s="2" t="s">
        <v>3382</v>
      </c>
      <c r="M5665" s="2" t="s">
        <v>3383</v>
      </c>
      <c r="N5665" s="4" t="str">
        <f t="shared" si="473"/>
        <v>GAL</v>
      </c>
      <c r="O5665" s="5">
        <v>275</v>
      </c>
    </row>
    <row r="5666" spans="2:15" x14ac:dyDescent="0.25">
      <c r="B5666" s="1" t="s">
        <v>3238</v>
      </c>
      <c r="C5666" s="2" t="s">
        <v>3239</v>
      </c>
      <c r="D5666" s="2" t="s">
        <v>3240</v>
      </c>
      <c r="E5666" s="2" t="s">
        <v>3379</v>
      </c>
      <c r="F5666" s="3">
        <f>DATE(2024,8,16)</f>
        <v>45520</v>
      </c>
      <c r="G5666" s="4">
        <f t="shared" si="474"/>
        <v>8</v>
      </c>
      <c r="H5666" s="4">
        <f t="shared" si="475"/>
        <v>2024</v>
      </c>
      <c r="I5666" s="2" t="s">
        <v>4</v>
      </c>
      <c r="J5666" s="2" t="s">
        <v>6393</v>
      </c>
      <c r="K5666" s="2" t="s">
        <v>3381</v>
      </c>
      <c r="L5666" s="2" t="s">
        <v>3382</v>
      </c>
      <c r="M5666" s="2" t="s">
        <v>3383</v>
      </c>
      <c r="N5666" s="4" t="str">
        <f t="shared" si="473"/>
        <v>GAL</v>
      </c>
      <c r="O5666" s="5">
        <v>250</v>
      </c>
    </row>
    <row r="5667" spans="2:15" x14ac:dyDescent="0.25">
      <c r="B5667" s="1" t="s">
        <v>3238</v>
      </c>
      <c r="C5667" s="2" t="s">
        <v>3239</v>
      </c>
      <c r="D5667" s="2" t="s">
        <v>3240</v>
      </c>
      <c r="E5667" s="2" t="s">
        <v>102</v>
      </c>
      <c r="F5667" s="3">
        <f>DATE(2024,8,19)</f>
        <v>45523</v>
      </c>
      <c r="G5667" s="4">
        <f t="shared" si="474"/>
        <v>8</v>
      </c>
      <c r="H5667" s="4">
        <f t="shared" si="475"/>
        <v>2024</v>
      </c>
      <c r="I5667" s="2" t="s">
        <v>4</v>
      </c>
      <c r="J5667" s="2" t="s">
        <v>6394</v>
      </c>
      <c r="K5667" s="2" t="s">
        <v>3925</v>
      </c>
      <c r="L5667" s="2" t="s">
        <v>4264</v>
      </c>
      <c r="M5667" s="2" t="s">
        <v>119</v>
      </c>
      <c r="N5667" s="4" t="str">
        <f t="shared" si="473"/>
        <v>TON</v>
      </c>
      <c r="O5667" s="5">
        <v>2.5000000000000001E-2</v>
      </c>
    </row>
    <row r="5668" spans="2:15" x14ac:dyDescent="0.25">
      <c r="B5668" s="1" t="s">
        <v>3238</v>
      </c>
      <c r="C5668" s="2" t="s">
        <v>3239</v>
      </c>
      <c r="D5668" s="2" t="s">
        <v>3240</v>
      </c>
      <c r="E5668" s="2" t="s">
        <v>102</v>
      </c>
      <c r="F5668" s="3">
        <f>DATE(2024,8,19)</f>
        <v>45523</v>
      </c>
      <c r="G5668" s="4">
        <f t="shared" si="474"/>
        <v>8</v>
      </c>
      <c r="H5668" s="4">
        <f t="shared" si="475"/>
        <v>2024</v>
      </c>
      <c r="I5668" s="2" t="s">
        <v>4</v>
      </c>
      <c r="J5668" s="2" t="s">
        <v>6395</v>
      </c>
      <c r="K5668" s="2" t="s">
        <v>5469</v>
      </c>
      <c r="L5668" s="2" t="s">
        <v>5470</v>
      </c>
      <c r="M5668" s="2" t="s">
        <v>1046</v>
      </c>
      <c r="N5668" s="4" t="str">
        <f t="shared" si="473"/>
        <v>GAL</v>
      </c>
      <c r="O5668" s="5">
        <v>85</v>
      </c>
    </row>
    <row r="5669" spans="2:15" x14ac:dyDescent="0.25">
      <c r="B5669" s="1" t="s">
        <v>3238</v>
      </c>
      <c r="C5669" s="2" t="s">
        <v>3239</v>
      </c>
      <c r="D5669" s="2" t="s">
        <v>3240</v>
      </c>
      <c r="E5669" s="2" t="s">
        <v>102</v>
      </c>
      <c r="F5669" s="3">
        <f>DATE(2024,8,19)</f>
        <v>45523</v>
      </c>
      <c r="G5669" s="4">
        <f t="shared" si="474"/>
        <v>8</v>
      </c>
      <c r="H5669" s="4">
        <f t="shared" si="475"/>
        <v>2024</v>
      </c>
      <c r="I5669" s="2" t="s">
        <v>4</v>
      </c>
      <c r="J5669" s="2" t="s">
        <v>6395</v>
      </c>
      <c r="K5669" s="2" t="s">
        <v>2530</v>
      </c>
      <c r="L5669" s="2" t="s">
        <v>3503</v>
      </c>
      <c r="M5669" s="2" t="s">
        <v>2532</v>
      </c>
      <c r="N5669" s="4" t="str">
        <f t="shared" si="473"/>
        <v>GAL</v>
      </c>
      <c r="O5669" s="5">
        <v>90</v>
      </c>
    </row>
    <row r="5670" spans="2:15" x14ac:dyDescent="0.25">
      <c r="B5670" s="1" t="s">
        <v>3238</v>
      </c>
      <c r="C5670" s="2" t="s">
        <v>3239</v>
      </c>
      <c r="D5670" s="2" t="s">
        <v>6120</v>
      </c>
      <c r="E5670" s="2" t="s">
        <v>3223</v>
      </c>
      <c r="F5670" s="3">
        <f>DATE(2024,8,20)</f>
        <v>45524</v>
      </c>
      <c r="G5670" s="4">
        <f t="shared" si="474"/>
        <v>8</v>
      </c>
      <c r="H5670" s="4">
        <f t="shared" si="475"/>
        <v>2024</v>
      </c>
      <c r="I5670" s="2" t="s">
        <v>4</v>
      </c>
      <c r="J5670" s="2" t="s">
        <v>6396</v>
      </c>
      <c r="K5670" s="2" t="s">
        <v>6172</v>
      </c>
      <c r="L5670" s="2" t="s">
        <v>6173</v>
      </c>
      <c r="M5670" s="2" t="s">
        <v>6174</v>
      </c>
      <c r="N5670" s="4" t="str">
        <f t="shared" si="473"/>
        <v>GAL</v>
      </c>
      <c r="O5670" s="5">
        <v>5</v>
      </c>
    </row>
    <row r="5671" spans="2:15" x14ac:dyDescent="0.25">
      <c r="B5671" s="1" t="s">
        <v>3238</v>
      </c>
      <c r="C5671" s="2" t="s">
        <v>3239</v>
      </c>
      <c r="D5671" s="2" t="s">
        <v>6120</v>
      </c>
      <c r="E5671" s="2" t="s">
        <v>3223</v>
      </c>
      <c r="F5671" s="3">
        <f>DATE(2024,8,20)</f>
        <v>45524</v>
      </c>
      <c r="G5671" s="4">
        <f t="shared" si="474"/>
        <v>8</v>
      </c>
      <c r="H5671" s="4">
        <f t="shared" si="475"/>
        <v>2024</v>
      </c>
      <c r="I5671" s="2" t="s">
        <v>4</v>
      </c>
      <c r="J5671" s="2" t="s">
        <v>6396</v>
      </c>
      <c r="K5671" s="2" t="s">
        <v>6144</v>
      </c>
      <c r="L5671" s="2" t="s">
        <v>6145</v>
      </c>
      <c r="M5671" s="2" t="s">
        <v>49</v>
      </c>
      <c r="N5671" s="4" t="str">
        <f t="shared" si="473"/>
        <v>GAL</v>
      </c>
      <c r="O5671" s="5">
        <v>5</v>
      </c>
    </row>
    <row r="5672" spans="2:15" x14ac:dyDescent="0.25">
      <c r="B5672" s="1" t="s">
        <v>3238</v>
      </c>
      <c r="C5672" s="2" t="s">
        <v>3239</v>
      </c>
      <c r="D5672" s="2" t="s">
        <v>6120</v>
      </c>
      <c r="E5672" s="2" t="s">
        <v>3223</v>
      </c>
      <c r="F5672" s="3">
        <f>DATE(2024,8,20)</f>
        <v>45524</v>
      </c>
      <c r="G5672" s="4">
        <f t="shared" si="474"/>
        <v>8</v>
      </c>
      <c r="H5672" s="4">
        <f t="shared" si="475"/>
        <v>2024</v>
      </c>
      <c r="I5672" s="2" t="s">
        <v>4</v>
      </c>
      <c r="J5672" s="2" t="s">
        <v>6396</v>
      </c>
      <c r="K5672" s="2" t="s">
        <v>6136</v>
      </c>
      <c r="L5672" s="2" t="s">
        <v>6137</v>
      </c>
      <c r="M5672" s="2" t="s">
        <v>30</v>
      </c>
      <c r="N5672" s="4" t="str">
        <f t="shared" si="473"/>
        <v>GAL</v>
      </c>
      <c r="O5672" s="5">
        <v>5</v>
      </c>
    </row>
    <row r="5673" spans="2:15" x14ac:dyDescent="0.25">
      <c r="B5673" s="1" t="s">
        <v>3238</v>
      </c>
      <c r="C5673" s="2" t="s">
        <v>3239</v>
      </c>
      <c r="D5673" s="2" t="s">
        <v>6120</v>
      </c>
      <c r="E5673" s="2" t="s">
        <v>141</v>
      </c>
      <c r="F5673" s="3">
        <f>DATE(2024,8,20)</f>
        <v>45524</v>
      </c>
      <c r="G5673" s="4">
        <f t="shared" si="474"/>
        <v>8</v>
      </c>
      <c r="H5673" s="4">
        <f t="shared" si="475"/>
        <v>2024</v>
      </c>
      <c r="I5673" s="2" t="s">
        <v>4</v>
      </c>
      <c r="J5673" s="2" t="s">
        <v>6397</v>
      </c>
      <c r="K5673" s="2" t="s">
        <v>6144</v>
      </c>
      <c r="L5673" s="2" t="s">
        <v>6145</v>
      </c>
      <c r="M5673" s="2" t="s">
        <v>49</v>
      </c>
      <c r="N5673" s="4" t="str">
        <f t="shared" si="473"/>
        <v>GAL</v>
      </c>
      <c r="O5673" s="5">
        <v>180</v>
      </c>
    </row>
    <row r="5674" spans="2:15" x14ac:dyDescent="0.25">
      <c r="B5674" s="1" t="s">
        <v>3238</v>
      </c>
      <c r="C5674" s="2" t="s">
        <v>3239</v>
      </c>
      <c r="D5674" s="2" t="s">
        <v>6120</v>
      </c>
      <c r="E5674" s="2" t="s">
        <v>141</v>
      </c>
      <c r="F5674" s="3">
        <f t="shared" ref="F5674:F5682" si="478">DATE(2024,8,21)</f>
        <v>45525</v>
      </c>
      <c r="G5674" s="4">
        <f t="shared" si="474"/>
        <v>8</v>
      </c>
      <c r="H5674" s="4">
        <f t="shared" si="475"/>
        <v>2024</v>
      </c>
      <c r="I5674" s="2" t="s">
        <v>4</v>
      </c>
      <c r="J5674" s="2" t="s">
        <v>6398</v>
      </c>
      <c r="K5674" s="2" t="s">
        <v>5469</v>
      </c>
      <c r="L5674" s="2" t="s">
        <v>5470</v>
      </c>
      <c r="M5674" s="2" t="s">
        <v>1046</v>
      </c>
      <c r="N5674" s="4" t="str">
        <f t="shared" si="473"/>
        <v>GAL</v>
      </c>
      <c r="O5674" s="5">
        <v>90</v>
      </c>
    </row>
    <row r="5675" spans="2:15" x14ac:dyDescent="0.25">
      <c r="B5675" s="1" t="s">
        <v>3238</v>
      </c>
      <c r="C5675" s="2" t="s">
        <v>3239</v>
      </c>
      <c r="D5675" s="2" t="s">
        <v>6120</v>
      </c>
      <c r="E5675" s="2" t="s">
        <v>141</v>
      </c>
      <c r="F5675" s="3">
        <f t="shared" si="478"/>
        <v>45525</v>
      </c>
      <c r="G5675" s="4">
        <f t="shared" si="474"/>
        <v>8</v>
      </c>
      <c r="H5675" s="4">
        <f t="shared" si="475"/>
        <v>2024</v>
      </c>
      <c r="I5675" s="2" t="s">
        <v>4</v>
      </c>
      <c r="J5675" s="2" t="s">
        <v>6398</v>
      </c>
      <c r="K5675" s="2" t="s">
        <v>6133</v>
      </c>
      <c r="L5675" s="2" t="s">
        <v>6134</v>
      </c>
      <c r="M5675" s="2" t="s">
        <v>6135</v>
      </c>
      <c r="N5675" s="4" t="str">
        <f t="shared" si="473"/>
        <v>GAL</v>
      </c>
      <c r="O5675" s="5">
        <v>90</v>
      </c>
    </row>
    <row r="5676" spans="2:15" x14ac:dyDescent="0.25">
      <c r="B5676" s="1" t="s">
        <v>3238</v>
      </c>
      <c r="C5676" s="2" t="s">
        <v>3239</v>
      </c>
      <c r="D5676" s="2" t="s">
        <v>6120</v>
      </c>
      <c r="E5676" s="2" t="s">
        <v>141</v>
      </c>
      <c r="F5676" s="3">
        <f t="shared" si="478"/>
        <v>45525</v>
      </c>
      <c r="G5676" s="4">
        <f t="shared" si="474"/>
        <v>8</v>
      </c>
      <c r="H5676" s="4">
        <f t="shared" si="475"/>
        <v>2024</v>
      </c>
      <c r="I5676" s="2" t="s">
        <v>4</v>
      </c>
      <c r="J5676" s="2" t="s">
        <v>6398</v>
      </c>
      <c r="K5676" s="2" t="s">
        <v>1239</v>
      </c>
      <c r="L5676" s="2" t="s">
        <v>6399</v>
      </c>
      <c r="M5676" s="2" t="s">
        <v>917</v>
      </c>
      <c r="N5676" s="4" t="str">
        <f t="shared" si="473"/>
        <v>GAL</v>
      </c>
      <c r="O5676" s="5">
        <v>90</v>
      </c>
    </row>
    <row r="5677" spans="2:15" x14ac:dyDescent="0.25">
      <c r="B5677" s="1" t="s">
        <v>3238</v>
      </c>
      <c r="C5677" s="2" t="s">
        <v>3239</v>
      </c>
      <c r="D5677" s="2" t="s">
        <v>6120</v>
      </c>
      <c r="E5677" s="2" t="s">
        <v>141</v>
      </c>
      <c r="F5677" s="3">
        <f t="shared" si="478"/>
        <v>45525</v>
      </c>
      <c r="G5677" s="4">
        <f t="shared" si="474"/>
        <v>8</v>
      </c>
      <c r="H5677" s="4">
        <f t="shared" si="475"/>
        <v>2024</v>
      </c>
      <c r="I5677" s="2" t="s">
        <v>4</v>
      </c>
      <c r="J5677" s="2" t="s">
        <v>6398</v>
      </c>
      <c r="K5677" s="2" t="s">
        <v>6144</v>
      </c>
      <c r="L5677" s="2" t="s">
        <v>6145</v>
      </c>
      <c r="M5677" s="2" t="s">
        <v>49</v>
      </c>
      <c r="N5677" s="4" t="str">
        <f t="shared" si="473"/>
        <v>GAL</v>
      </c>
      <c r="O5677" s="5">
        <v>90</v>
      </c>
    </row>
    <row r="5678" spans="2:15" x14ac:dyDescent="0.25">
      <c r="B5678" s="1" t="s">
        <v>3238</v>
      </c>
      <c r="C5678" s="2" t="s">
        <v>3239</v>
      </c>
      <c r="D5678" s="2" t="s">
        <v>6120</v>
      </c>
      <c r="E5678" s="2" t="s">
        <v>141</v>
      </c>
      <c r="F5678" s="3">
        <f t="shared" si="478"/>
        <v>45525</v>
      </c>
      <c r="G5678" s="4">
        <f t="shared" si="474"/>
        <v>8</v>
      </c>
      <c r="H5678" s="4">
        <f t="shared" si="475"/>
        <v>2024</v>
      </c>
      <c r="I5678" s="2" t="s">
        <v>4</v>
      </c>
      <c r="J5678" s="2" t="s">
        <v>6398</v>
      </c>
      <c r="K5678" s="2" t="s">
        <v>6400</v>
      </c>
      <c r="L5678" s="2" t="s">
        <v>6401</v>
      </c>
      <c r="M5678" s="2" t="s">
        <v>6402</v>
      </c>
      <c r="N5678" s="4" t="str">
        <f t="shared" si="473"/>
        <v>GAL</v>
      </c>
      <c r="O5678" s="5">
        <v>90</v>
      </c>
    </row>
    <row r="5679" spans="2:15" x14ac:dyDescent="0.25">
      <c r="B5679" s="1" t="s">
        <v>3238</v>
      </c>
      <c r="C5679" s="2" t="s">
        <v>3239</v>
      </c>
      <c r="D5679" s="2" t="s">
        <v>6120</v>
      </c>
      <c r="E5679" s="2" t="s">
        <v>141</v>
      </c>
      <c r="F5679" s="3">
        <f t="shared" si="478"/>
        <v>45525</v>
      </c>
      <c r="G5679" s="4">
        <f t="shared" si="474"/>
        <v>8</v>
      </c>
      <c r="H5679" s="4">
        <f t="shared" si="475"/>
        <v>2024</v>
      </c>
      <c r="I5679" s="2" t="s">
        <v>4</v>
      </c>
      <c r="J5679" s="2" t="s">
        <v>6398</v>
      </c>
      <c r="K5679" s="2" t="s">
        <v>6138</v>
      </c>
      <c r="L5679" s="2" t="s">
        <v>6139</v>
      </c>
      <c r="M5679" s="2" t="s">
        <v>6140</v>
      </c>
      <c r="N5679" s="4" t="str">
        <f t="shared" si="473"/>
        <v>GAL</v>
      </c>
      <c r="O5679" s="5">
        <v>90</v>
      </c>
    </row>
    <row r="5680" spans="2:15" x14ac:dyDescent="0.25">
      <c r="B5680" s="1" t="s">
        <v>3238</v>
      </c>
      <c r="C5680" s="2" t="s">
        <v>3239</v>
      </c>
      <c r="D5680" s="2" t="s">
        <v>6120</v>
      </c>
      <c r="E5680" s="2" t="s">
        <v>141</v>
      </c>
      <c r="F5680" s="3">
        <f t="shared" si="478"/>
        <v>45525</v>
      </c>
      <c r="G5680" s="4">
        <f t="shared" si="474"/>
        <v>8</v>
      </c>
      <c r="H5680" s="4">
        <f t="shared" si="475"/>
        <v>2024</v>
      </c>
      <c r="I5680" s="2" t="s">
        <v>4</v>
      </c>
      <c r="J5680" s="2" t="s">
        <v>6403</v>
      </c>
      <c r="K5680" s="2" t="s">
        <v>6172</v>
      </c>
      <c r="L5680" s="2" t="s">
        <v>6173</v>
      </c>
      <c r="M5680" s="2" t="s">
        <v>6174</v>
      </c>
      <c r="N5680" s="4" t="str">
        <f t="shared" si="473"/>
        <v>GAL</v>
      </c>
      <c r="O5680" s="5">
        <v>90</v>
      </c>
    </row>
    <row r="5681" spans="2:15" x14ac:dyDescent="0.25">
      <c r="B5681" s="1" t="s">
        <v>3238</v>
      </c>
      <c r="C5681" s="2" t="s">
        <v>3239</v>
      </c>
      <c r="D5681" s="2" t="s">
        <v>6120</v>
      </c>
      <c r="E5681" s="2" t="s">
        <v>141</v>
      </c>
      <c r="F5681" s="3">
        <f t="shared" si="478"/>
        <v>45525</v>
      </c>
      <c r="G5681" s="4">
        <f t="shared" si="474"/>
        <v>8</v>
      </c>
      <c r="H5681" s="4">
        <f t="shared" si="475"/>
        <v>2024</v>
      </c>
      <c r="I5681" s="2" t="s">
        <v>4</v>
      </c>
      <c r="J5681" s="2" t="s">
        <v>6403</v>
      </c>
      <c r="K5681" s="2" t="s">
        <v>6142</v>
      </c>
      <c r="L5681" s="2" t="s">
        <v>6143</v>
      </c>
      <c r="M5681" s="2" t="s">
        <v>1472</v>
      </c>
      <c r="N5681" s="4" t="str">
        <f t="shared" si="473"/>
        <v>GAL</v>
      </c>
      <c r="O5681" s="5">
        <v>90</v>
      </c>
    </row>
    <row r="5682" spans="2:15" x14ac:dyDescent="0.25">
      <c r="B5682" s="1" t="s">
        <v>3238</v>
      </c>
      <c r="C5682" s="2" t="s">
        <v>3239</v>
      </c>
      <c r="D5682" s="2" t="s">
        <v>6120</v>
      </c>
      <c r="E5682" s="2" t="s">
        <v>141</v>
      </c>
      <c r="F5682" s="3">
        <f t="shared" si="478"/>
        <v>45525</v>
      </c>
      <c r="G5682" s="4">
        <f t="shared" si="474"/>
        <v>8</v>
      </c>
      <c r="H5682" s="4">
        <f t="shared" si="475"/>
        <v>2024</v>
      </c>
      <c r="I5682" s="2" t="s">
        <v>4</v>
      </c>
      <c r="J5682" s="2" t="s">
        <v>6403</v>
      </c>
      <c r="K5682" s="2" t="s">
        <v>6175</v>
      </c>
      <c r="L5682" s="2" t="s">
        <v>6176</v>
      </c>
      <c r="M5682" s="2" t="s">
        <v>3652</v>
      </c>
      <c r="N5682" s="4" t="str">
        <f t="shared" si="473"/>
        <v>GAL</v>
      </c>
      <c r="O5682" s="5">
        <v>180</v>
      </c>
    </row>
    <row r="5683" spans="2:15" x14ac:dyDescent="0.25">
      <c r="B5683" s="1" t="s">
        <v>3238</v>
      </c>
      <c r="C5683" s="2" t="s">
        <v>3239</v>
      </c>
      <c r="D5683" s="2" t="s">
        <v>3240</v>
      </c>
      <c r="E5683" s="2" t="s">
        <v>102</v>
      </c>
      <c r="F5683" s="3">
        <f>DATE(2024,8,22)</f>
        <v>45526</v>
      </c>
      <c r="G5683" s="4">
        <f t="shared" si="474"/>
        <v>8</v>
      </c>
      <c r="H5683" s="4">
        <f t="shared" si="475"/>
        <v>2024</v>
      </c>
      <c r="I5683" s="2" t="s">
        <v>4</v>
      </c>
      <c r="J5683" s="2" t="s">
        <v>6404</v>
      </c>
      <c r="K5683" s="2" t="s">
        <v>69</v>
      </c>
      <c r="L5683" s="2" t="s">
        <v>6275</v>
      </c>
      <c r="M5683" s="2" t="s">
        <v>21</v>
      </c>
      <c r="N5683" s="4" t="str">
        <f t="shared" si="473"/>
        <v>GAL</v>
      </c>
      <c r="O5683" s="5">
        <v>60</v>
      </c>
    </row>
    <row r="5684" spans="2:15" x14ac:dyDescent="0.25">
      <c r="B5684" s="1" t="s">
        <v>3238</v>
      </c>
      <c r="C5684" s="2" t="s">
        <v>3239</v>
      </c>
      <c r="D5684" s="2" t="s">
        <v>3240</v>
      </c>
      <c r="E5684" s="2" t="s">
        <v>4279</v>
      </c>
      <c r="F5684" s="3">
        <f>DATE(2024,8,27)</f>
        <v>45531</v>
      </c>
      <c r="G5684" s="4">
        <f t="shared" si="474"/>
        <v>8</v>
      </c>
      <c r="H5684" s="4">
        <f t="shared" si="475"/>
        <v>2024</v>
      </c>
      <c r="I5684" s="2" t="s">
        <v>4</v>
      </c>
      <c r="J5684" s="2" t="s">
        <v>6405</v>
      </c>
      <c r="K5684" s="2" t="s">
        <v>3395</v>
      </c>
      <c r="L5684" s="2" t="s">
        <v>3396</v>
      </c>
      <c r="M5684" s="2" t="s">
        <v>844</v>
      </c>
      <c r="N5684" s="4" t="str">
        <f t="shared" si="473"/>
        <v>GAL</v>
      </c>
      <c r="O5684" s="5">
        <v>275</v>
      </c>
    </row>
    <row r="5685" spans="2:15" x14ac:dyDescent="0.25">
      <c r="B5685" s="1" t="s">
        <v>3238</v>
      </c>
      <c r="C5685" s="2" t="s">
        <v>3239</v>
      </c>
      <c r="D5685" s="2" t="s">
        <v>3240</v>
      </c>
      <c r="E5685" s="2" t="s">
        <v>102</v>
      </c>
      <c r="F5685" s="3">
        <f t="shared" ref="F5685:F5691" si="479">DATE(2024,8,29)</f>
        <v>45533</v>
      </c>
      <c r="G5685" s="4">
        <f t="shared" si="474"/>
        <v>8</v>
      </c>
      <c r="H5685" s="4">
        <f t="shared" si="475"/>
        <v>2024</v>
      </c>
      <c r="I5685" s="2" t="s">
        <v>4</v>
      </c>
      <c r="J5685" s="2" t="s">
        <v>6406</v>
      </c>
      <c r="K5685" s="2" t="s">
        <v>5968</v>
      </c>
      <c r="L5685" s="2" t="s">
        <v>5969</v>
      </c>
      <c r="M5685" s="2" t="s">
        <v>5970</v>
      </c>
      <c r="N5685" s="4" t="str">
        <f t="shared" si="473"/>
        <v>GAL</v>
      </c>
      <c r="O5685" s="5">
        <v>60</v>
      </c>
    </row>
    <row r="5686" spans="2:15" x14ac:dyDescent="0.25">
      <c r="B5686" s="1" t="s">
        <v>3238</v>
      </c>
      <c r="C5686" s="2" t="s">
        <v>3239</v>
      </c>
      <c r="D5686" s="2" t="s">
        <v>3240</v>
      </c>
      <c r="E5686" s="2" t="s">
        <v>102</v>
      </c>
      <c r="F5686" s="3">
        <f t="shared" si="479"/>
        <v>45533</v>
      </c>
      <c r="G5686" s="4">
        <f t="shared" si="474"/>
        <v>8</v>
      </c>
      <c r="H5686" s="4">
        <f t="shared" si="475"/>
        <v>2024</v>
      </c>
      <c r="I5686" s="2" t="s">
        <v>4</v>
      </c>
      <c r="J5686" s="2" t="s">
        <v>6406</v>
      </c>
      <c r="K5686" s="2" t="s">
        <v>5129</v>
      </c>
      <c r="L5686" s="2" t="s">
        <v>3654</v>
      </c>
      <c r="M5686" s="2" t="s">
        <v>1071</v>
      </c>
      <c r="N5686" s="4" t="str">
        <f t="shared" si="473"/>
        <v>GAL</v>
      </c>
      <c r="O5686" s="5">
        <v>60</v>
      </c>
    </row>
    <row r="5687" spans="2:15" x14ac:dyDescent="0.25">
      <c r="B5687" s="1" t="s">
        <v>3238</v>
      </c>
      <c r="C5687" s="2" t="s">
        <v>3239</v>
      </c>
      <c r="D5687" s="2" t="s">
        <v>3240</v>
      </c>
      <c r="E5687" s="2" t="s">
        <v>102</v>
      </c>
      <c r="F5687" s="3">
        <f t="shared" si="479"/>
        <v>45533</v>
      </c>
      <c r="G5687" s="4">
        <f t="shared" si="474"/>
        <v>8</v>
      </c>
      <c r="H5687" s="4">
        <f t="shared" si="475"/>
        <v>2024</v>
      </c>
      <c r="I5687" s="2" t="s">
        <v>4</v>
      </c>
      <c r="J5687" s="2" t="s">
        <v>6406</v>
      </c>
      <c r="K5687" s="2" t="s">
        <v>19</v>
      </c>
      <c r="L5687" s="2" t="s">
        <v>6275</v>
      </c>
      <c r="M5687" s="2" t="s">
        <v>21</v>
      </c>
      <c r="N5687" s="4" t="str">
        <f t="shared" si="473"/>
        <v>GAL</v>
      </c>
      <c r="O5687" s="5">
        <v>60</v>
      </c>
    </row>
    <row r="5688" spans="2:15" x14ac:dyDescent="0.25">
      <c r="B5688" s="1" t="s">
        <v>3238</v>
      </c>
      <c r="C5688" s="2" t="s">
        <v>3239</v>
      </c>
      <c r="D5688" s="2" t="s">
        <v>3240</v>
      </c>
      <c r="E5688" s="2" t="s">
        <v>102</v>
      </c>
      <c r="F5688" s="3">
        <f t="shared" si="479"/>
        <v>45533</v>
      </c>
      <c r="G5688" s="4">
        <f t="shared" si="474"/>
        <v>8</v>
      </c>
      <c r="H5688" s="4">
        <f t="shared" si="475"/>
        <v>2024</v>
      </c>
      <c r="I5688" s="2" t="s">
        <v>4</v>
      </c>
      <c r="J5688" s="2" t="s">
        <v>6407</v>
      </c>
      <c r="K5688" s="2" t="s">
        <v>5129</v>
      </c>
      <c r="L5688" s="2" t="s">
        <v>3654</v>
      </c>
      <c r="M5688" s="2" t="s">
        <v>1071</v>
      </c>
      <c r="N5688" s="4" t="str">
        <f t="shared" si="473"/>
        <v>GAL</v>
      </c>
      <c r="O5688" s="5">
        <v>20</v>
      </c>
    </row>
    <row r="5689" spans="2:15" x14ac:dyDescent="0.25">
      <c r="B5689" s="1" t="s">
        <v>3238</v>
      </c>
      <c r="C5689" s="2" t="s">
        <v>3239</v>
      </c>
      <c r="D5689" s="2" t="s">
        <v>3240</v>
      </c>
      <c r="E5689" s="2" t="s">
        <v>102</v>
      </c>
      <c r="F5689" s="3">
        <f t="shared" si="479"/>
        <v>45533</v>
      </c>
      <c r="G5689" s="4">
        <f t="shared" si="474"/>
        <v>8</v>
      </c>
      <c r="H5689" s="4">
        <f t="shared" si="475"/>
        <v>2024</v>
      </c>
      <c r="I5689" s="2" t="s">
        <v>4</v>
      </c>
      <c r="J5689" s="2" t="s">
        <v>6408</v>
      </c>
      <c r="K5689" s="2" t="s">
        <v>5994</v>
      </c>
      <c r="L5689" s="2" t="s">
        <v>5995</v>
      </c>
      <c r="M5689" s="2" t="s">
        <v>5996</v>
      </c>
      <c r="N5689" s="4" t="str">
        <f t="shared" si="473"/>
        <v>GAL</v>
      </c>
      <c r="O5689" s="5">
        <v>150</v>
      </c>
    </row>
    <row r="5690" spans="2:15" x14ac:dyDescent="0.25">
      <c r="B5690" s="1" t="s">
        <v>3238</v>
      </c>
      <c r="C5690" s="2" t="s">
        <v>3239</v>
      </c>
      <c r="D5690" s="2" t="s">
        <v>3240</v>
      </c>
      <c r="E5690" s="2" t="s">
        <v>102</v>
      </c>
      <c r="F5690" s="3">
        <f t="shared" si="479"/>
        <v>45533</v>
      </c>
      <c r="G5690" s="4">
        <f t="shared" si="474"/>
        <v>8</v>
      </c>
      <c r="H5690" s="4">
        <f t="shared" si="475"/>
        <v>2024</v>
      </c>
      <c r="I5690" s="2" t="s">
        <v>4</v>
      </c>
      <c r="J5690" s="2" t="s">
        <v>6409</v>
      </c>
      <c r="K5690" s="2" t="s">
        <v>6373</v>
      </c>
      <c r="L5690" s="2" t="s">
        <v>6374</v>
      </c>
      <c r="M5690" s="2" t="s">
        <v>6375</v>
      </c>
      <c r="N5690" s="4" t="str">
        <f t="shared" si="473"/>
        <v>GAL</v>
      </c>
      <c r="O5690" s="5">
        <v>50</v>
      </c>
    </row>
    <row r="5691" spans="2:15" x14ac:dyDescent="0.25">
      <c r="B5691" s="1" t="s">
        <v>3238</v>
      </c>
      <c r="C5691" s="2" t="s">
        <v>3239</v>
      </c>
      <c r="D5691" s="2" t="s">
        <v>3240</v>
      </c>
      <c r="E5691" s="2" t="s">
        <v>102</v>
      </c>
      <c r="F5691" s="3">
        <f t="shared" si="479"/>
        <v>45533</v>
      </c>
      <c r="G5691" s="4">
        <f t="shared" si="474"/>
        <v>8</v>
      </c>
      <c r="H5691" s="4">
        <f t="shared" si="475"/>
        <v>2024</v>
      </c>
      <c r="I5691" s="2" t="s">
        <v>4</v>
      </c>
      <c r="J5691" s="2" t="s">
        <v>6410</v>
      </c>
      <c r="K5691" s="2" t="s">
        <v>3243</v>
      </c>
      <c r="L5691" s="2" t="s">
        <v>3244</v>
      </c>
      <c r="M5691" s="2" t="s">
        <v>3245</v>
      </c>
      <c r="N5691" s="4" t="str">
        <f t="shared" si="473"/>
        <v>GAL</v>
      </c>
      <c r="O5691" s="5">
        <v>250</v>
      </c>
    </row>
    <row r="5692" spans="2:15" x14ac:dyDescent="0.25">
      <c r="B5692" s="1" t="s">
        <v>3238</v>
      </c>
      <c r="C5692" s="2" t="s">
        <v>3239</v>
      </c>
      <c r="D5692" s="2" t="s">
        <v>3240</v>
      </c>
      <c r="E5692" s="2" t="s">
        <v>102</v>
      </c>
      <c r="F5692" s="3">
        <f>DATE(2024,8,30)</f>
        <v>45534</v>
      </c>
      <c r="G5692" s="4">
        <f t="shared" si="474"/>
        <v>8</v>
      </c>
      <c r="H5692" s="4">
        <f t="shared" si="475"/>
        <v>2024</v>
      </c>
      <c r="I5692" s="2" t="s">
        <v>4</v>
      </c>
      <c r="J5692" s="2" t="s">
        <v>6411</v>
      </c>
      <c r="K5692" s="2" t="s">
        <v>5971</v>
      </c>
      <c r="L5692" s="2" t="s">
        <v>3515</v>
      </c>
      <c r="M5692" s="2" t="s">
        <v>3516</v>
      </c>
      <c r="N5692" s="4" t="str">
        <f t="shared" si="473"/>
        <v>GAL</v>
      </c>
      <c r="O5692" s="5">
        <v>60</v>
      </c>
    </row>
    <row r="5693" spans="2:15" x14ac:dyDescent="0.25">
      <c r="B5693" s="1" t="s">
        <v>3238</v>
      </c>
      <c r="C5693" s="2" t="s">
        <v>3239</v>
      </c>
      <c r="D5693" s="2" t="s">
        <v>3240</v>
      </c>
      <c r="E5693" s="2" t="s">
        <v>102</v>
      </c>
      <c r="F5693" s="3">
        <f>DATE(2024,8,30)</f>
        <v>45534</v>
      </c>
      <c r="G5693" s="4">
        <f t="shared" si="474"/>
        <v>8</v>
      </c>
      <c r="H5693" s="4">
        <f t="shared" si="475"/>
        <v>2024</v>
      </c>
      <c r="I5693" s="2" t="s">
        <v>4</v>
      </c>
      <c r="J5693" s="2" t="s">
        <v>6411</v>
      </c>
      <c r="K5693" s="2" t="s">
        <v>3507</v>
      </c>
      <c r="L5693" s="2" t="s">
        <v>3508</v>
      </c>
      <c r="M5693" s="2" t="s">
        <v>3509</v>
      </c>
      <c r="N5693" s="4" t="str">
        <f t="shared" si="473"/>
        <v>GAL</v>
      </c>
      <c r="O5693" s="5">
        <v>60</v>
      </c>
    </row>
    <row r="5694" spans="2:15" x14ac:dyDescent="0.25">
      <c r="B5694" s="6" t="s">
        <v>3238</v>
      </c>
      <c r="C5694" s="7" t="s">
        <v>3239</v>
      </c>
      <c r="D5694" s="8" t="s">
        <v>3240</v>
      </c>
      <c r="E5694" s="8" t="s">
        <v>102</v>
      </c>
      <c r="F5694" s="9">
        <f>DATE(2024,8,30)</f>
        <v>45534</v>
      </c>
      <c r="G5694" s="10">
        <f t="shared" si="474"/>
        <v>8</v>
      </c>
      <c r="H5694" s="10">
        <f t="shared" si="475"/>
        <v>2024</v>
      </c>
      <c r="I5694" s="8" t="s">
        <v>4</v>
      </c>
      <c r="J5694" s="7" t="s">
        <v>6411</v>
      </c>
      <c r="K5694" s="8" t="s">
        <v>3510</v>
      </c>
      <c r="L5694" s="8" t="s">
        <v>3400</v>
      </c>
      <c r="M5694" s="8" t="s">
        <v>3401</v>
      </c>
      <c r="N5694" s="10" t="str">
        <f t="shared" ref="N5694:N5757" si="480">+LEFT(M5694,3)</f>
        <v>GAL</v>
      </c>
      <c r="O5694" s="11">
        <v>60</v>
      </c>
    </row>
    <row r="5695" spans="2:15" x14ac:dyDescent="0.25">
      <c r="B5695" s="1" t="s">
        <v>3238</v>
      </c>
      <c r="C5695" s="2" t="s">
        <v>3239</v>
      </c>
      <c r="D5695" s="2" t="s">
        <v>3240</v>
      </c>
      <c r="E5695" s="2" t="s">
        <v>102</v>
      </c>
      <c r="F5695" s="3">
        <f>DATE(2024,8,30)</f>
        <v>45534</v>
      </c>
      <c r="G5695" s="4">
        <f t="shared" si="474"/>
        <v>8</v>
      </c>
      <c r="H5695" s="4">
        <f t="shared" si="475"/>
        <v>2024</v>
      </c>
      <c r="I5695" s="2" t="s">
        <v>4</v>
      </c>
      <c r="J5695" s="2" t="s">
        <v>6412</v>
      </c>
      <c r="K5695" s="2" t="s">
        <v>3188</v>
      </c>
      <c r="L5695" s="2" t="s">
        <v>3526</v>
      </c>
      <c r="M5695" s="2" t="s">
        <v>1000</v>
      </c>
      <c r="N5695" s="4" t="str">
        <f t="shared" si="480"/>
        <v>GAL</v>
      </c>
      <c r="O5695" s="5">
        <v>55</v>
      </c>
    </row>
    <row r="5696" spans="2:15" x14ac:dyDescent="0.25">
      <c r="B5696" s="1" t="s">
        <v>0</v>
      </c>
      <c r="C5696" s="2" t="s">
        <v>1</v>
      </c>
      <c r="D5696" s="2" t="s">
        <v>2</v>
      </c>
      <c r="E5696" s="2" t="s">
        <v>6413</v>
      </c>
      <c r="F5696" s="3">
        <f>DATE(2024,9,3)</f>
        <v>45538</v>
      </c>
      <c r="G5696" s="10">
        <f t="shared" si="474"/>
        <v>9</v>
      </c>
      <c r="H5696" s="10">
        <f t="shared" si="475"/>
        <v>2024</v>
      </c>
      <c r="I5696" s="2" t="s">
        <v>4</v>
      </c>
      <c r="J5696" s="2" t="s">
        <v>6414</v>
      </c>
      <c r="K5696" s="2" t="s">
        <v>36</v>
      </c>
      <c r="L5696" s="2" t="s">
        <v>37</v>
      </c>
      <c r="M5696" s="2" t="s">
        <v>38</v>
      </c>
      <c r="N5696" s="10" t="str">
        <f t="shared" si="480"/>
        <v>GAL</v>
      </c>
      <c r="O5696" s="14">
        <v>20</v>
      </c>
    </row>
    <row r="5697" spans="2:15" x14ac:dyDescent="0.25">
      <c r="B5697" s="1" t="s">
        <v>0</v>
      </c>
      <c r="C5697" s="2" t="s">
        <v>1</v>
      </c>
      <c r="D5697" s="2" t="s">
        <v>2</v>
      </c>
      <c r="E5697" s="2" t="s">
        <v>6413</v>
      </c>
      <c r="F5697" s="3">
        <f>DATE(2024,9,3)</f>
        <v>45538</v>
      </c>
      <c r="G5697" s="10">
        <f t="shared" si="474"/>
        <v>9</v>
      </c>
      <c r="H5697" s="10">
        <f t="shared" si="475"/>
        <v>2024</v>
      </c>
      <c r="I5697" s="2" t="s">
        <v>4</v>
      </c>
      <c r="J5697" s="2" t="s">
        <v>6414</v>
      </c>
      <c r="K5697" s="2" t="s">
        <v>28</v>
      </c>
      <c r="L5697" s="2" t="s">
        <v>29</v>
      </c>
      <c r="M5697" s="2" t="s">
        <v>30</v>
      </c>
      <c r="N5697" s="10" t="str">
        <f t="shared" si="480"/>
        <v>GAL</v>
      </c>
      <c r="O5697" s="14">
        <v>20</v>
      </c>
    </row>
    <row r="5698" spans="2:15" x14ac:dyDescent="0.25">
      <c r="B5698" s="1" t="s">
        <v>0</v>
      </c>
      <c r="C5698" s="2" t="s">
        <v>1</v>
      </c>
      <c r="D5698" s="2" t="s">
        <v>2</v>
      </c>
      <c r="E5698" s="2" t="s">
        <v>1787</v>
      </c>
      <c r="F5698" s="3">
        <f>DATE(2024,9,4)</f>
        <v>45539</v>
      </c>
      <c r="G5698" s="10">
        <f t="shared" si="474"/>
        <v>9</v>
      </c>
      <c r="H5698" s="10">
        <f t="shared" si="475"/>
        <v>2024</v>
      </c>
      <c r="I5698" s="2" t="s">
        <v>4</v>
      </c>
      <c r="J5698" s="2" t="s">
        <v>6415</v>
      </c>
      <c r="K5698" s="2" t="s">
        <v>566</v>
      </c>
      <c r="L5698" s="2" t="s">
        <v>20</v>
      </c>
      <c r="M5698" s="2" t="s">
        <v>21</v>
      </c>
      <c r="N5698" s="10" t="str">
        <f t="shared" si="480"/>
        <v>GAL</v>
      </c>
      <c r="O5698" s="14">
        <v>55</v>
      </c>
    </row>
    <row r="5699" spans="2:15" x14ac:dyDescent="0.25">
      <c r="B5699" s="1" t="s">
        <v>0</v>
      </c>
      <c r="C5699" s="2" t="s">
        <v>1</v>
      </c>
      <c r="D5699" s="2" t="s">
        <v>2</v>
      </c>
      <c r="E5699" s="2" t="s">
        <v>1787</v>
      </c>
      <c r="F5699" s="3">
        <f>DATE(2024,9,4)</f>
        <v>45539</v>
      </c>
      <c r="G5699" s="10">
        <f t="shared" si="474"/>
        <v>9</v>
      </c>
      <c r="H5699" s="10">
        <f t="shared" si="475"/>
        <v>2024</v>
      </c>
      <c r="I5699" s="2" t="s">
        <v>4</v>
      </c>
      <c r="J5699" s="2" t="s">
        <v>6415</v>
      </c>
      <c r="K5699" s="2" t="s">
        <v>1786</v>
      </c>
      <c r="L5699" s="2" t="s">
        <v>84</v>
      </c>
      <c r="M5699" s="2" t="s">
        <v>85</v>
      </c>
      <c r="N5699" s="10" t="str">
        <f t="shared" si="480"/>
        <v>GAL</v>
      </c>
      <c r="O5699" s="14">
        <v>55</v>
      </c>
    </row>
    <row r="5700" spans="2:15" x14ac:dyDescent="0.25">
      <c r="B5700" s="1" t="s">
        <v>0</v>
      </c>
      <c r="C5700" s="2" t="s">
        <v>1</v>
      </c>
      <c r="D5700" s="2" t="s">
        <v>2</v>
      </c>
      <c r="E5700" s="2" t="s">
        <v>1787</v>
      </c>
      <c r="F5700" s="3">
        <f>DATE(2024,9,4)</f>
        <v>45539</v>
      </c>
      <c r="G5700" s="10">
        <f t="shared" si="474"/>
        <v>9</v>
      </c>
      <c r="H5700" s="10">
        <f t="shared" si="475"/>
        <v>2024</v>
      </c>
      <c r="I5700" s="2" t="s">
        <v>4</v>
      </c>
      <c r="J5700" s="2" t="s">
        <v>6415</v>
      </c>
      <c r="K5700" s="2" t="s">
        <v>28</v>
      </c>
      <c r="L5700" s="2" t="s">
        <v>29</v>
      </c>
      <c r="M5700" s="2" t="s">
        <v>30</v>
      </c>
      <c r="N5700" s="10" t="str">
        <f t="shared" si="480"/>
        <v>GAL</v>
      </c>
      <c r="O5700" s="14">
        <v>30</v>
      </c>
    </row>
    <row r="5701" spans="2:15" x14ac:dyDescent="0.25">
      <c r="B5701" s="1" t="s">
        <v>0</v>
      </c>
      <c r="C5701" s="2" t="s">
        <v>1</v>
      </c>
      <c r="D5701" s="2" t="s">
        <v>2</v>
      </c>
      <c r="E5701" s="2" t="s">
        <v>1787</v>
      </c>
      <c r="F5701" s="3">
        <f>DATE(2024,9,4)</f>
        <v>45539</v>
      </c>
      <c r="G5701" s="10">
        <f t="shared" si="474"/>
        <v>9</v>
      </c>
      <c r="H5701" s="10">
        <f t="shared" si="475"/>
        <v>2024</v>
      </c>
      <c r="I5701" s="2" t="s">
        <v>4</v>
      </c>
      <c r="J5701" s="2" t="s">
        <v>6415</v>
      </c>
      <c r="K5701" s="2" t="s">
        <v>6</v>
      </c>
      <c r="L5701" s="2" t="s">
        <v>7</v>
      </c>
      <c r="M5701" s="2" t="s">
        <v>8</v>
      </c>
      <c r="N5701" s="10" t="str">
        <f t="shared" si="480"/>
        <v>GAL</v>
      </c>
      <c r="O5701" s="14">
        <v>55</v>
      </c>
    </row>
    <row r="5702" spans="2:15" x14ac:dyDescent="0.25">
      <c r="B5702" s="1" t="s">
        <v>0</v>
      </c>
      <c r="C5702" s="2" t="s">
        <v>1</v>
      </c>
      <c r="D5702" s="2" t="s">
        <v>55</v>
      </c>
      <c r="E5702" s="2" t="s">
        <v>56</v>
      </c>
      <c r="F5702" s="3">
        <f>DATE(2024,9,10)</f>
        <v>45545</v>
      </c>
      <c r="G5702" s="10">
        <f t="shared" si="474"/>
        <v>9</v>
      </c>
      <c r="H5702" s="10">
        <f t="shared" si="475"/>
        <v>2024</v>
      </c>
      <c r="I5702" s="2" t="s">
        <v>4</v>
      </c>
      <c r="J5702" s="2" t="s">
        <v>6416</v>
      </c>
      <c r="K5702" s="2" t="s">
        <v>582</v>
      </c>
      <c r="L5702" s="2" t="s">
        <v>583</v>
      </c>
      <c r="M5702" s="2" t="s">
        <v>553</v>
      </c>
      <c r="N5702" s="10" t="str">
        <f t="shared" si="480"/>
        <v>GAL</v>
      </c>
      <c r="O5702" s="14">
        <v>55</v>
      </c>
    </row>
    <row r="5703" spans="2:15" x14ac:dyDescent="0.25">
      <c r="B5703" s="1" t="s">
        <v>0</v>
      </c>
      <c r="C5703" s="2" t="s">
        <v>1</v>
      </c>
      <c r="D5703" s="2" t="s">
        <v>55</v>
      </c>
      <c r="E5703" s="2" t="s">
        <v>56</v>
      </c>
      <c r="F5703" s="3">
        <f>DATE(2024,9,10)</f>
        <v>45545</v>
      </c>
      <c r="G5703" s="10">
        <f t="shared" si="474"/>
        <v>9</v>
      </c>
      <c r="H5703" s="10">
        <f t="shared" si="475"/>
        <v>2024</v>
      </c>
      <c r="I5703" s="2" t="s">
        <v>4</v>
      </c>
      <c r="J5703" s="2" t="s">
        <v>6416</v>
      </c>
      <c r="K5703" s="2" t="s">
        <v>83</v>
      </c>
      <c r="L5703" s="2" t="s">
        <v>584</v>
      </c>
      <c r="M5703" s="2" t="s">
        <v>85</v>
      </c>
      <c r="N5703" s="10" t="str">
        <f t="shared" si="480"/>
        <v>GAL</v>
      </c>
      <c r="O5703" s="14">
        <v>55</v>
      </c>
    </row>
    <row r="5704" spans="2:15" x14ac:dyDescent="0.25">
      <c r="B5704" s="1" t="s">
        <v>0</v>
      </c>
      <c r="C5704" s="2" t="s">
        <v>1</v>
      </c>
      <c r="D5704" s="2" t="s">
        <v>55</v>
      </c>
      <c r="E5704" s="2" t="s">
        <v>56</v>
      </c>
      <c r="F5704" s="3">
        <f>DATE(2024,9,10)</f>
        <v>45545</v>
      </c>
      <c r="G5704" s="10">
        <f t="shared" si="474"/>
        <v>9</v>
      </c>
      <c r="H5704" s="10">
        <f t="shared" si="475"/>
        <v>2024</v>
      </c>
      <c r="I5704" s="2" t="s">
        <v>4</v>
      </c>
      <c r="J5704" s="2" t="s">
        <v>6416</v>
      </c>
      <c r="K5704" s="2" t="s">
        <v>585</v>
      </c>
      <c r="L5704" s="2" t="s">
        <v>586</v>
      </c>
      <c r="M5704" s="2" t="s">
        <v>587</v>
      </c>
      <c r="N5704" s="10" t="str">
        <f t="shared" si="480"/>
        <v>GAL</v>
      </c>
      <c r="O5704" s="14">
        <v>55</v>
      </c>
    </row>
    <row r="5705" spans="2:15" x14ac:dyDescent="0.25">
      <c r="B5705" s="1" t="s">
        <v>0</v>
      </c>
      <c r="C5705" s="2" t="s">
        <v>1</v>
      </c>
      <c r="D5705" s="2" t="s">
        <v>2</v>
      </c>
      <c r="E5705" s="2" t="s">
        <v>3</v>
      </c>
      <c r="F5705" s="3">
        <f>DATE(2024,9,10)</f>
        <v>45545</v>
      </c>
      <c r="G5705" s="10">
        <f t="shared" si="474"/>
        <v>9</v>
      </c>
      <c r="H5705" s="10">
        <f t="shared" si="475"/>
        <v>2024</v>
      </c>
      <c r="I5705" s="2" t="s">
        <v>4</v>
      </c>
      <c r="J5705" s="2" t="s">
        <v>6417</v>
      </c>
      <c r="K5705" s="2" t="s">
        <v>566</v>
      </c>
      <c r="L5705" s="2" t="s">
        <v>20</v>
      </c>
      <c r="M5705" s="2" t="s">
        <v>21</v>
      </c>
      <c r="N5705" s="10" t="str">
        <f t="shared" si="480"/>
        <v>GAL</v>
      </c>
      <c r="O5705" s="14">
        <v>55</v>
      </c>
    </row>
    <row r="5706" spans="2:15" x14ac:dyDescent="0.25">
      <c r="B5706" s="1" t="s">
        <v>0</v>
      </c>
      <c r="C5706" s="2" t="s">
        <v>1</v>
      </c>
      <c r="D5706" s="2" t="s">
        <v>2</v>
      </c>
      <c r="E5706" s="2" t="s">
        <v>3952</v>
      </c>
      <c r="F5706" s="3">
        <f>DATE(2024,9,13)</f>
        <v>45548</v>
      </c>
      <c r="G5706" s="10">
        <f t="shared" si="474"/>
        <v>9</v>
      </c>
      <c r="H5706" s="10">
        <f t="shared" si="475"/>
        <v>2024</v>
      </c>
      <c r="I5706" s="2" t="s">
        <v>4</v>
      </c>
      <c r="J5706" s="2" t="s">
        <v>6418</v>
      </c>
      <c r="K5706" s="2" t="s">
        <v>25</v>
      </c>
      <c r="L5706" s="2" t="s">
        <v>26</v>
      </c>
      <c r="M5706" s="2" t="s">
        <v>27</v>
      </c>
      <c r="N5706" s="10" t="str">
        <f t="shared" si="480"/>
        <v>GAL</v>
      </c>
      <c r="O5706" s="14">
        <v>30</v>
      </c>
    </row>
    <row r="5707" spans="2:15" x14ac:dyDescent="0.25">
      <c r="B5707" s="1" t="s">
        <v>0</v>
      </c>
      <c r="C5707" s="2" t="s">
        <v>1</v>
      </c>
      <c r="D5707" s="2" t="s">
        <v>2</v>
      </c>
      <c r="E5707" s="2" t="s">
        <v>3952</v>
      </c>
      <c r="F5707" s="3">
        <f>DATE(2024,9,13)</f>
        <v>45548</v>
      </c>
      <c r="G5707" s="10">
        <f t="shared" si="474"/>
        <v>9</v>
      </c>
      <c r="H5707" s="10">
        <f t="shared" si="475"/>
        <v>2024</v>
      </c>
      <c r="I5707" s="2" t="s">
        <v>4</v>
      </c>
      <c r="J5707" s="2" t="s">
        <v>6418</v>
      </c>
      <c r="K5707" s="2" t="s">
        <v>83</v>
      </c>
      <c r="L5707" s="2" t="s">
        <v>84</v>
      </c>
      <c r="M5707" s="2" t="s">
        <v>85</v>
      </c>
      <c r="N5707" s="10" t="str">
        <f t="shared" si="480"/>
        <v>GAL</v>
      </c>
      <c r="O5707" s="14">
        <v>5</v>
      </c>
    </row>
    <row r="5708" spans="2:15" x14ac:dyDescent="0.25">
      <c r="B5708" s="1" t="s">
        <v>0</v>
      </c>
      <c r="C5708" s="2" t="s">
        <v>1</v>
      </c>
      <c r="D5708" s="2" t="s">
        <v>2</v>
      </c>
      <c r="E5708" s="2" t="s">
        <v>3952</v>
      </c>
      <c r="F5708" s="3">
        <f>DATE(2024,9,13)</f>
        <v>45548</v>
      </c>
      <c r="G5708" s="10">
        <f t="shared" si="474"/>
        <v>9</v>
      </c>
      <c r="H5708" s="10">
        <f t="shared" si="475"/>
        <v>2024</v>
      </c>
      <c r="I5708" s="2" t="s">
        <v>4</v>
      </c>
      <c r="J5708" s="2" t="s">
        <v>6418</v>
      </c>
      <c r="K5708" s="2" t="s">
        <v>28</v>
      </c>
      <c r="L5708" s="2" t="s">
        <v>29</v>
      </c>
      <c r="M5708" s="2" t="s">
        <v>30</v>
      </c>
      <c r="N5708" s="10" t="str">
        <f t="shared" si="480"/>
        <v>GAL</v>
      </c>
      <c r="O5708" s="14">
        <v>15</v>
      </c>
    </row>
    <row r="5709" spans="2:15" x14ac:dyDescent="0.25">
      <c r="B5709" s="1" t="s">
        <v>0</v>
      </c>
      <c r="C5709" s="2" t="s">
        <v>1</v>
      </c>
      <c r="D5709" s="2" t="s">
        <v>2</v>
      </c>
      <c r="E5709" s="2" t="s">
        <v>3952</v>
      </c>
      <c r="F5709" s="3">
        <f>DATE(2024,9,13)</f>
        <v>45548</v>
      </c>
      <c r="G5709" s="10">
        <f t="shared" si="474"/>
        <v>9</v>
      </c>
      <c r="H5709" s="10">
        <f t="shared" si="475"/>
        <v>2024</v>
      </c>
      <c r="I5709" s="2" t="s">
        <v>4</v>
      </c>
      <c r="J5709" s="2" t="s">
        <v>6418</v>
      </c>
      <c r="K5709" s="2" t="s">
        <v>16</v>
      </c>
      <c r="L5709" s="2" t="s">
        <v>7</v>
      </c>
      <c r="M5709" s="2" t="s">
        <v>8</v>
      </c>
      <c r="N5709" s="10" t="str">
        <f t="shared" si="480"/>
        <v>GAL</v>
      </c>
      <c r="O5709" s="14">
        <v>30</v>
      </c>
    </row>
    <row r="5710" spans="2:15" x14ac:dyDescent="0.25">
      <c r="B5710" s="1" t="s">
        <v>0</v>
      </c>
      <c r="C5710" s="2" t="s">
        <v>1</v>
      </c>
      <c r="D5710" s="2" t="s">
        <v>2</v>
      </c>
      <c r="E5710" s="2" t="s">
        <v>4287</v>
      </c>
      <c r="F5710" s="3">
        <f t="shared" ref="F5710:F5721" si="481">DATE(2024,9,25)</f>
        <v>45560</v>
      </c>
      <c r="G5710" s="10">
        <f t="shared" si="474"/>
        <v>9</v>
      </c>
      <c r="H5710" s="10">
        <f t="shared" si="475"/>
        <v>2024</v>
      </c>
      <c r="I5710" s="2" t="s">
        <v>4</v>
      </c>
      <c r="J5710" s="2" t="s">
        <v>6419</v>
      </c>
      <c r="K5710" s="2" t="s">
        <v>574</v>
      </c>
      <c r="L5710" s="2" t="s">
        <v>66</v>
      </c>
      <c r="M5710" s="2" t="s">
        <v>67</v>
      </c>
      <c r="N5710" s="10" t="str">
        <f t="shared" si="480"/>
        <v>GAL</v>
      </c>
      <c r="O5710" s="14">
        <v>60</v>
      </c>
    </row>
    <row r="5711" spans="2:15" x14ac:dyDescent="0.25">
      <c r="B5711" s="1" t="s">
        <v>0</v>
      </c>
      <c r="C5711" s="2" t="s">
        <v>1</v>
      </c>
      <c r="D5711" s="2" t="s">
        <v>2</v>
      </c>
      <c r="E5711" s="2" t="s">
        <v>4287</v>
      </c>
      <c r="F5711" s="3">
        <f t="shared" si="481"/>
        <v>45560</v>
      </c>
      <c r="G5711" s="10">
        <f t="shared" si="474"/>
        <v>9</v>
      </c>
      <c r="H5711" s="10">
        <f t="shared" si="475"/>
        <v>2024</v>
      </c>
      <c r="I5711" s="2" t="s">
        <v>4</v>
      </c>
      <c r="J5711" s="2" t="s">
        <v>6419</v>
      </c>
      <c r="K5711" s="2" t="s">
        <v>33</v>
      </c>
      <c r="L5711" s="2" t="s">
        <v>34</v>
      </c>
      <c r="M5711" s="2" t="s">
        <v>35</v>
      </c>
      <c r="N5711" s="10" t="str">
        <f t="shared" si="480"/>
        <v>GAL</v>
      </c>
      <c r="O5711" s="14">
        <v>60</v>
      </c>
    </row>
    <row r="5712" spans="2:15" x14ac:dyDescent="0.25">
      <c r="B5712" s="1" t="s">
        <v>0</v>
      </c>
      <c r="C5712" s="2" t="s">
        <v>1</v>
      </c>
      <c r="D5712" s="2" t="s">
        <v>2</v>
      </c>
      <c r="E5712" s="2" t="s">
        <v>4287</v>
      </c>
      <c r="F5712" s="3">
        <f t="shared" si="481"/>
        <v>45560</v>
      </c>
      <c r="G5712" s="10">
        <f t="shared" si="474"/>
        <v>9</v>
      </c>
      <c r="H5712" s="10">
        <f t="shared" si="475"/>
        <v>2024</v>
      </c>
      <c r="I5712" s="2" t="s">
        <v>4</v>
      </c>
      <c r="J5712" s="2" t="s">
        <v>6419</v>
      </c>
      <c r="K5712" s="2" t="s">
        <v>19</v>
      </c>
      <c r="L5712" s="2" t="s">
        <v>6006</v>
      </c>
      <c r="M5712" s="2" t="s">
        <v>21</v>
      </c>
      <c r="N5712" s="10" t="str">
        <f t="shared" si="480"/>
        <v>GAL</v>
      </c>
      <c r="O5712" s="14">
        <v>120</v>
      </c>
    </row>
    <row r="5713" spans="2:15" x14ac:dyDescent="0.25">
      <c r="B5713" s="1" t="s">
        <v>0</v>
      </c>
      <c r="C5713" s="2" t="s">
        <v>1</v>
      </c>
      <c r="D5713" s="2" t="s">
        <v>2</v>
      </c>
      <c r="E5713" s="2" t="s">
        <v>4287</v>
      </c>
      <c r="F5713" s="3">
        <f t="shared" si="481"/>
        <v>45560</v>
      </c>
      <c r="G5713" s="10">
        <f t="shared" si="474"/>
        <v>9</v>
      </c>
      <c r="H5713" s="10">
        <f t="shared" si="475"/>
        <v>2024</v>
      </c>
      <c r="I5713" s="2" t="s">
        <v>4</v>
      </c>
      <c r="J5713" s="2" t="s">
        <v>6419</v>
      </c>
      <c r="K5713" s="2" t="s">
        <v>22</v>
      </c>
      <c r="L5713" s="2" t="s">
        <v>23</v>
      </c>
      <c r="M5713" s="2" t="s">
        <v>24</v>
      </c>
      <c r="N5713" s="10" t="str">
        <f t="shared" si="480"/>
        <v>GAL</v>
      </c>
      <c r="O5713" s="14">
        <v>60</v>
      </c>
    </row>
    <row r="5714" spans="2:15" x14ac:dyDescent="0.25">
      <c r="B5714" s="1" t="s">
        <v>0</v>
      </c>
      <c r="C5714" s="2" t="s">
        <v>1</v>
      </c>
      <c r="D5714" s="2" t="s">
        <v>2</v>
      </c>
      <c r="E5714" s="2" t="s">
        <v>4287</v>
      </c>
      <c r="F5714" s="3">
        <f t="shared" si="481"/>
        <v>45560</v>
      </c>
      <c r="G5714" s="10">
        <f t="shared" ref="G5714:G5777" si="482">+MONTH(F5714)</f>
        <v>9</v>
      </c>
      <c r="H5714" s="10">
        <f t="shared" ref="H5714:H5777" si="483">+YEAR(F5714)</f>
        <v>2024</v>
      </c>
      <c r="I5714" s="2" t="s">
        <v>4</v>
      </c>
      <c r="J5714" s="2" t="s">
        <v>6419</v>
      </c>
      <c r="K5714" s="2" t="s">
        <v>36</v>
      </c>
      <c r="L5714" s="2" t="s">
        <v>37</v>
      </c>
      <c r="M5714" s="2" t="s">
        <v>38</v>
      </c>
      <c r="N5714" s="10" t="str">
        <f t="shared" si="480"/>
        <v>GAL</v>
      </c>
      <c r="O5714" s="14">
        <v>60</v>
      </c>
    </row>
    <row r="5715" spans="2:15" x14ac:dyDescent="0.25">
      <c r="B5715" s="1" t="s">
        <v>0</v>
      </c>
      <c r="C5715" s="2" t="s">
        <v>1</v>
      </c>
      <c r="D5715" s="2" t="s">
        <v>2</v>
      </c>
      <c r="E5715" s="2" t="s">
        <v>4287</v>
      </c>
      <c r="F5715" s="3">
        <f t="shared" si="481"/>
        <v>45560</v>
      </c>
      <c r="G5715" s="10">
        <f t="shared" si="482"/>
        <v>9</v>
      </c>
      <c r="H5715" s="10">
        <f t="shared" si="483"/>
        <v>2024</v>
      </c>
      <c r="I5715" s="2" t="s">
        <v>4</v>
      </c>
      <c r="J5715" s="2" t="s">
        <v>6419</v>
      </c>
      <c r="K5715" s="2" t="s">
        <v>25</v>
      </c>
      <c r="L5715" s="2" t="s">
        <v>26</v>
      </c>
      <c r="M5715" s="2" t="s">
        <v>27</v>
      </c>
      <c r="N5715" s="10" t="str">
        <f t="shared" si="480"/>
        <v>GAL</v>
      </c>
      <c r="O5715" s="14">
        <v>60</v>
      </c>
    </row>
    <row r="5716" spans="2:15" x14ac:dyDescent="0.25">
      <c r="B5716" s="1" t="s">
        <v>0</v>
      </c>
      <c r="C5716" s="2" t="s">
        <v>1</v>
      </c>
      <c r="D5716" s="2" t="s">
        <v>2</v>
      </c>
      <c r="E5716" s="2" t="s">
        <v>4287</v>
      </c>
      <c r="F5716" s="3">
        <f t="shared" si="481"/>
        <v>45560</v>
      </c>
      <c r="G5716" s="10">
        <f t="shared" si="482"/>
        <v>9</v>
      </c>
      <c r="H5716" s="10">
        <f t="shared" si="483"/>
        <v>2024</v>
      </c>
      <c r="I5716" s="2" t="s">
        <v>4</v>
      </c>
      <c r="J5716" s="2" t="s">
        <v>6419</v>
      </c>
      <c r="K5716" s="2" t="s">
        <v>28</v>
      </c>
      <c r="L5716" s="2" t="s">
        <v>29</v>
      </c>
      <c r="M5716" s="2" t="s">
        <v>30</v>
      </c>
      <c r="N5716" s="10" t="str">
        <f t="shared" si="480"/>
        <v>GAL</v>
      </c>
      <c r="O5716" s="14">
        <v>60</v>
      </c>
    </row>
    <row r="5717" spans="2:15" x14ac:dyDescent="0.25">
      <c r="B5717" s="1" t="s">
        <v>0</v>
      </c>
      <c r="C5717" s="2" t="s">
        <v>1</v>
      </c>
      <c r="D5717" s="2" t="s">
        <v>2</v>
      </c>
      <c r="E5717" s="2" t="s">
        <v>4287</v>
      </c>
      <c r="F5717" s="3">
        <f t="shared" si="481"/>
        <v>45560</v>
      </c>
      <c r="G5717" s="10">
        <f t="shared" si="482"/>
        <v>9</v>
      </c>
      <c r="H5717" s="10">
        <f t="shared" si="483"/>
        <v>2024</v>
      </c>
      <c r="I5717" s="2" t="s">
        <v>4</v>
      </c>
      <c r="J5717" s="2" t="s">
        <v>6419</v>
      </c>
      <c r="K5717" s="2" t="s">
        <v>16</v>
      </c>
      <c r="L5717" s="2" t="s">
        <v>7</v>
      </c>
      <c r="M5717" s="2" t="s">
        <v>8</v>
      </c>
      <c r="N5717" s="10" t="str">
        <f t="shared" si="480"/>
        <v>GAL</v>
      </c>
      <c r="O5717" s="14">
        <v>120</v>
      </c>
    </row>
    <row r="5718" spans="2:15" x14ac:dyDescent="0.25">
      <c r="B5718" s="1" t="s">
        <v>0</v>
      </c>
      <c r="C5718" s="2" t="s">
        <v>1</v>
      </c>
      <c r="D5718" s="2" t="s">
        <v>2</v>
      </c>
      <c r="E5718" s="2" t="s">
        <v>61</v>
      </c>
      <c r="F5718" s="3">
        <f t="shared" si="481"/>
        <v>45560</v>
      </c>
      <c r="G5718" s="10">
        <f t="shared" si="482"/>
        <v>9</v>
      </c>
      <c r="H5718" s="10">
        <f t="shared" si="483"/>
        <v>2024</v>
      </c>
      <c r="I5718" s="2" t="s">
        <v>4</v>
      </c>
      <c r="J5718" s="2" t="s">
        <v>6420</v>
      </c>
      <c r="K5718" s="2" t="s">
        <v>19</v>
      </c>
      <c r="L5718" s="2" t="s">
        <v>6006</v>
      </c>
      <c r="M5718" s="2" t="s">
        <v>21</v>
      </c>
      <c r="N5718" s="10" t="str">
        <f t="shared" si="480"/>
        <v>GAL</v>
      </c>
      <c r="O5718" s="14">
        <v>50</v>
      </c>
    </row>
    <row r="5719" spans="2:15" x14ac:dyDescent="0.25">
      <c r="B5719" s="1" t="s">
        <v>0</v>
      </c>
      <c r="C5719" s="2" t="s">
        <v>1</v>
      </c>
      <c r="D5719" s="2" t="s">
        <v>2</v>
      </c>
      <c r="E5719" s="2" t="s">
        <v>61</v>
      </c>
      <c r="F5719" s="3">
        <f t="shared" si="481"/>
        <v>45560</v>
      </c>
      <c r="G5719" s="10">
        <f t="shared" si="482"/>
        <v>9</v>
      </c>
      <c r="H5719" s="10">
        <f t="shared" si="483"/>
        <v>2024</v>
      </c>
      <c r="I5719" s="2" t="s">
        <v>4</v>
      </c>
      <c r="J5719" s="2" t="s">
        <v>6420</v>
      </c>
      <c r="K5719" s="2" t="s">
        <v>25</v>
      </c>
      <c r="L5719" s="2" t="s">
        <v>26</v>
      </c>
      <c r="M5719" s="2" t="s">
        <v>27</v>
      </c>
      <c r="N5719" s="10" t="str">
        <f t="shared" si="480"/>
        <v>GAL</v>
      </c>
      <c r="O5719" s="14">
        <v>100</v>
      </c>
    </row>
    <row r="5720" spans="2:15" x14ac:dyDescent="0.25">
      <c r="B5720" s="1" t="s">
        <v>0</v>
      </c>
      <c r="C5720" s="2" t="s">
        <v>1</v>
      </c>
      <c r="D5720" s="2" t="s">
        <v>2</v>
      </c>
      <c r="E5720" s="2" t="s">
        <v>61</v>
      </c>
      <c r="F5720" s="3">
        <f t="shared" si="481"/>
        <v>45560</v>
      </c>
      <c r="G5720" s="10">
        <f t="shared" si="482"/>
        <v>9</v>
      </c>
      <c r="H5720" s="10">
        <f t="shared" si="483"/>
        <v>2024</v>
      </c>
      <c r="I5720" s="2" t="s">
        <v>4</v>
      </c>
      <c r="J5720" s="2" t="s">
        <v>6420</v>
      </c>
      <c r="K5720" s="2" t="s">
        <v>28</v>
      </c>
      <c r="L5720" s="2" t="s">
        <v>29</v>
      </c>
      <c r="M5720" s="2" t="s">
        <v>30</v>
      </c>
      <c r="N5720" s="10" t="str">
        <f t="shared" si="480"/>
        <v>GAL</v>
      </c>
      <c r="O5720" s="14">
        <v>50</v>
      </c>
    </row>
    <row r="5721" spans="2:15" x14ac:dyDescent="0.25">
      <c r="B5721" s="1" t="s">
        <v>0</v>
      </c>
      <c r="C5721" s="2" t="s">
        <v>1</v>
      </c>
      <c r="D5721" s="2" t="s">
        <v>2</v>
      </c>
      <c r="E5721" s="2" t="s">
        <v>61</v>
      </c>
      <c r="F5721" s="3">
        <f t="shared" si="481"/>
        <v>45560</v>
      </c>
      <c r="G5721" s="10">
        <f t="shared" si="482"/>
        <v>9</v>
      </c>
      <c r="H5721" s="10">
        <f t="shared" si="483"/>
        <v>2024</v>
      </c>
      <c r="I5721" s="2" t="s">
        <v>4</v>
      </c>
      <c r="J5721" s="2" t="s">
        <v>6420</v>
      </c>
      <c r="K5721" s="2" t="s">
        <v>16</v>
      </c>
      <c r="L5721" s="2" t="s">
        <v>7</v>
      </c>
      <c r="M5721" s="2" t="s">
        <v>8</v>
      </c>
      <c r="N5721" s="10" t="str">
        <f t="shared" si="480"/>
        <v>GAL</v>
      </c>
      <c r="O5721" s="14">
        <v>100</v>
      </c>
    </row>
    <row r="5722" spans="2:15" x14ac:dyDescent="0.25">
      <c r="B5722" s="1" t="s">
        <v>88</v>
      </c>
      <c r="C5722" s="2" t="s">
        <v>89</v>
      </c>
      <c r="D5722" s="2" t="s">
        <v>107</v>
      </c>
      <c r="E5722" s="2" t="s">
        <v>108</v>
      </c>
      <c r="F5722" s="3">
        <f>DATE(2024,9,3)</f>
        <v>45538</v>
      </c>
      <c r="G5722" s="10">
        <f t="shared" si="482"/>
        <v>9</v>
      </c>
      <c r="H5722" s="10">
        <f t="shared" si="483"/>
        <v>2024</v>
      </c>
      <c r="I5722" s="2" t="s">
        <v>4</v>
      </c>
      <c r="J5722" s="2" t="s">
        <v>6421</v>
      </c>
      <c r="K5722" s="2" t="s">
        <v>110</v>
      </c>
      <c r="L5722" s="2" t="s">
        <v>111</v>
      </c>
      <c r="M5722" s="2" t="s">
        <v>112</v>
      </c>
      <c r="N5722" s="10" t="str">
        <f t="shared" si="480"/>
        <v>GAL</v>
      </c>
      <c r="O5722" s="14">
        <v>434</v>
      </c>
    </row>
    <row r="5723" spans="2:15" x14ac:dyDescent="0.25">
      <c r="B5723" s="1" t="s">
        <v>88</v>
      </c>
      <c r="C5723" s="2" t="s">
        <v>89</v>
      </c>
      <c r="D5723" s="2" t="s">
        <v>1444</v>
      </c>
      <c r="E5723" s="2" t="s">
        <v>2864</v>
      </c>
      <c r="F5723" s="3">
        <f>DATE(2024,9,5)</f>
        <v>45540</v>
      </c>
      <c r="G5723" s="10">
        <f t="shared" si="482"/>
        <v>9</v>
      </c>
      <c r="H5723" s="10">
        <f t="shared" si="483"/>
        <v>2024</v>
      </c>
      <c r="I5723" s="2" t="s">
        <v>4</v>
      </c>
      <c r="J5723" s="2" t="s">
        <v>6422</v>
      </c>
      <c r="K5723" s="2" t="s">
        <v>1446</v>
      </c>
      <c r="L5723" s="2" t="s">
        <v>2581</v>
      </c>
      <c r="M5723" s="2" t="s">
        <v>1448</v>
      </c>
      <c r="N5723" s="10" t="str">
        <f t="shared" si="480"/>
        <v>GAL</v>
      </c>
      <c r="O5723" s="14">
        <v>360</v>
      </c>
    </row>
    <row r="5724" spans="2:15" x14ac:dyDescent="0.25">
      <c r="B5724" s="1" t="s">
        <v>88</v>
      </c>
      <c r="C5724" s="2" t="s">
        <v>89</v>
      </c>
      <c r="D5724" s="2" t="s">
        <v>1026</v>
      </c>
      <c r="E5724" s="2" t="s">
        <v>102</v>
      </c>
      <c r="F5724" s="3">
        <f>DATE(2024,9,16)</f>
        <v>45551</v>
      </c>
      <c r="G5724" s="10">
        <f t="shared" si="482"/>
        <v>9</v>
      </c>
      <c r="H5724" s="10">
        <f t="shared" si="483"/>
        <v>2024</v>
      </c>
      <c r="I5724" s="2" t="s">
        <v>4</v>
      </c>
      <c r="J5724" s="2" t="s">
        <v>6423</v>
      </c>
      <c r="K5724" s="2" t="s">
        <v>1028</v>
      </c>
      <c r="L5724" s="2" t="s">
        <v>1029</v>
      </c>
      <c r="M5724" s="2" t="s">
        <v>106</v>
      </c>
      <c r="N5724" s="10" t="str">
        <f t="shared" si="480"/>
        <v>LBS</v>
      </c>
      <c r="O5724" s="14">
        <v>22920</v>
      </c>
    </row>
    <row r="5725" spans="2:15" x14ac:dyDescent="0.25">
      <c r="B5725" s="1" t="s">
        <v>88</v>
      </c>
      <c r="C5725" s="2" t="s">
        <v>89</v>
      </c>
      <c r="D5725" s="2" t="s">
        <v>1103</v>
      </c>
      <c r="E5725" s="2" t="s">
        <v>1104</v>
      </c>
      <c r="F5725" s="3">
        <f>DATE(2024,9,18)</f>
        <v>45553</v>
      </c>
      <c r="G5725" s="10">
        <f t="shared" si="482"/>
        <v>9</v>
      </c>
      <c r="H5725" s="10">
        <f t="shared" si="483"/>
        <v>2024</v>
      </c>
      <c r="I5725" s="2" t="s">
        <v>4</v>
      </c>
      <c r="J5725" s="2" t="s">
        <v>6424</v>
      </c>
      <c r="K5725" s="2" t="s">
        <v>126</v>
      </c>
      <c r="L5725" s="2" t="s">
        <v>127</v>
      </c>
      <c r="M5725" s="2" t="s">
        <v>106</v>
      </c>
      <c r="N5725" s="10" t="str">
        <f t="shared" si="480"/>
        <v>LBS</v>
      </c>
      <c r="O5725" s="14">
        <v>13124</v>
      </c>
    </row>
    <row r="5726" spans="2:15" x14ac:dyDescent="0.25">
      <c r="B5726" s="1" t="s">
        <v>88</v>
      </c>
      <c r="C5726" s="2" t="s">
        <v>89</v>
      </c>
      <c r="D5726" s="2" t="s">
        <v>646</v>
      </c>
      <c r="E5726" s="2" t="s">
        <v>647</v>
      </c>
      <c r="F5726" s="3">
        <f>DATE(2024,9,23)</f>
        <v>45558</v>
      </c>
      <c r="G5726" s="10">
        <f t="shared" si="482"/>
        <v>9</v>
      </c>
      <c r="H5726" s="10">
        <f t="shared" si="483"/>
        <v>2024</v>
      </c>
      <c r="I5726" s="2" t="s">
        <v>4</v>
      </c>
      <c r="J5726" s="2" t="s">
        <v>6425</v>
      </c>
      <c r="K5726" s="2" t="s">
        <v>143</v>
      </c>
      <c r="L5726" s="2" t="s">
        <v>6426</v>
      </c>
      <c r="M5726" s="2" t="s">
        <v>145</v>
      </c>
      <c r="N5726" s="10" t="str">
        <f t="shared" si="480"/>
        <v>GAL</v>
      </c>
      <c r="O5726" s="14">
        <v>3240</v>
      </c>
    </row>
    <row r="5727" spans="2:15" x14ac:dyDescent="0.25">
      <c r="B5727" s="1" t="s">
        <v>154</v>
      </c>
      <c r="C5727" s="2" t="s">
        <v>155</v>
      </c>
      <c r="D5727" s="2" t="s">
        <v>1111</v>
      </c>
      <c r="E5727" s="2" t="s">
        <v>1112</v>
      </c>
      <c r="F5727" s="3">
        <f>DATE(2024,9,5)</f>
        <v>45540</v>
      </c>
      <c r="G5727" s="10">
        <f t="shared" si="482"/>
        <v>9</v>
      </c>
      <c r="H5727" s="10">
        <f t="shared" si="483"/>
        <v>2024</v>
      </c>
      <c r="I5727" s="2" t="s">
        <v>4</v>
      </c>
      <c r="J5727" s="2" t="s">
        <v>6427</v>
      </c>
      <c r="K5727" s="2" t="s">
        <v>25</v>
      </c>
      <c r="L5727" s="2" t="s">
        <v>541</v>
      </c>
      <c r="M5727" s="2" t="s">
        <v>27</v>
      </c>
      <c r="N5727" s="10" t="str">
        <f t="shared" si="480"/>
        <v>GAL</v>
      </c>
      <c r="O5727" s="14">
        <v>180</v>
      </c>
    </row>
    <row r="5728" spans="2:15" x14ac:dyDescent="0.25">
      <c r="B5728" s="1" t="s">
        <v>154</v>
      </c>
      <c r="C5728" s="2" t="s">
        <v>155</v>
      </c>
      <c r="D5728" s="2" t="s">
        <v>628</v>
      </c>
      <c r="E5728" s="2" t="s">
        <v>629</v>
      </c>
      <c r="F5728" s="3">
        <f>DATE(2024,9,5)</f>
        <v>45540</v>
      </c>
      <c r="G5728" s="10">
        <f t="shared" si="482"/>
        <v>9</v>
      </c>
      <c r="H5728" s="10">
        <f t="shared" si="483"/>
        <v>2024</v>
      </c>
      <c r="I5728" s="2" t="s">
        <v>4</v>
      </c>
      <c r="J5728" s="2" t="s">
        <v>6428</v>
      </c>
      <c r="K5728" s="2" t="s">
        <v>1869</v>
      </c>
      <c r="L5728" s="2" t="s">
        <v>172</v>
      </c>
      <c r="M5728" s="2" t="s">
        <v>27</v>
      </c>
      <c r="N5728" s="10" t="str">
        <f t="shared" si="480"/>
        <v>GAL</v>
      </c>
      <c r="O5728" s="14">
        <v>250</v>
      </c>
    </row>
    <row r="5729" spans="2:15" x14ac:dyDescent="0.25">
      <c r="B5729" s="1" t="s">
        <v>154</v>
      </c>
      <c r="C5729" s="2" t="s">
        <v>155</v>
      </c>
      <c r="D5729" s="2" t="s">
        <v>628</v>
      </c>
      <c r="E5729" s="2" t="s">
        <v>629</v>
      </c>
      <c r="F5729" s="3">
        <f>DATE(2024,9,5)</f>
        <v>45540</v>
      </c>
      <c r="G5729" s="10">
        <f t="shared" si="482"/>
        <v>9</v>
      </c>
      <c r="H5729" s="10">
        <f t="shared" si="483"/>
        <v>2024</v>
      </c>
      <c r="I5729" s="2" t="s">
        <v>4</v>
      </c>
      <c r="J5729" s="2" t="s">
        <v>6428</v>
      </c>
      <c r="K5729" s="2" t="s">
        <v>171</v>
      </c>
      <c r="L5729" s="2" t="s">
        <v>172</v>
      </c>
      <c r="M5729" s="2" t="s">
        <v>27</v>
      </c>
      <c r="N5729" s="10" t="str">
        <f t="shared" si="480"/>
        <v>GAL</v>
      </c>
      <c r="O5729" s="14">
        <v>60</v>
      </c>
    </row>
    <row r="5730" spans="2:15" x14ac:dyDescent="0.25">
      <c r="B5730" s="6" t="s">
        <v>154</v>
      </c>
      <c r="C5730" s="7" t="s">
        <v>155</v>
      </c>
      <c r="D5730" s="8" t="s">
        <v>161</v>
      </c>
      <c r="E5730" s="8" t="s">
        <v>162</v>
      </c>
      <c r="F5730" s="9">
        <f>DATE(2024,9,9)</f>
        <v>45544</v>
      </c>
      <c r="G5730" s="10">
        <f t="shared" si="482"/>
        <v>9</v>
      </c>
      <c r="H5730" s="10">
        <f t="shared" si="483"/>
        <v>2024</v>
      </c>
      <c r="I5730" s="8" t="s">
        <v>4</v>
      </c>
      <c r="J5730" s="7" t="s">
        <v>6429</v>
      </c>
      <c r="K5730" s="8" t="s">
        <v>36</v>
      </c>
      <c r="L5730" s="8" t="s">
        <v>511</v>
      </c>
      <c r="M5730" s="8" t="s">
        <v>38</v>
      </c>
      <c r="N5730" s="10" t="str">
        <f t="shared" si="480"/>
        <v>GAL</v>
      </c>
      <c r="O5730" s="15">
        <v>180</v>
      </c>
    </row>
    <row r="5731" spans="2:15" x14ac:dyDescent="0.25">
      <c r="B5731" s="1" t="s">
        <v>154</v>
      </c>
      <c r="C5731" s="2" t="s">
        <v>155</v>
      </c>
      <c r="D5731" s="2" t="s">
        <v>178</v>
      </c>
      <c r="E5731" s="2" t="s">
        <v>179</v>
      </c>
      <c r="F5731" s="3">
        <f>DATE(2024,9,10)</f>
        <v>45545</v>
      </c>
      <c r="G5731" s="10">
        <f t="shared" si="482"/>
        <v>9</v>
      </c>
      <c r="H5731" s="10">
        <f t="shared" si="483"/>
        <v>2024</v>
      </c>
      <c r="I5731" s="2" t="s">
        <v>4</v>
      </c>
      <c r="J5731" s="2" t="s">
        <v>6430</v>
      </c>
      <c r="K5731" s="2" t="s">
        <v>158</v>
      </c>
      <c r="L5731" s="2" t="s">
        <v>159</v>
      </c>
      <c r="M5731" s="2" t="s">
        <v>160</v>
      </c>
      <c r="N5731" s="10" t="str">
        <f t="shared" si="480"/>
        <v>GAL</v>
      </c>
      <c r="O5731" s="14">
        <v>180</v>
      </c>
    </row>
    <row r="5732" spans="2:15" x14ac:dyDescent="0.25">
      <c r="B5732" s="1" t="s">
        <v>154</v>
      </c>
      <c r="C5732" s="2" t="s">
        <v>155</v>
      </c>
      <c r="D5732" s="2" t="s">
        <v>107</v>
      </c>
      <c r="E5732" s="2" t="s">
        <v>108</v>
      </c>
      <c r="F5732" s="3">
        <f>DATE(2024,9,11)</f>
        <v>45546</v>
      </c>
      <c r="G5732" s="10">
        <f t="shared" si="482"/>
        <v>9</v>
      </c>
      <c r="H5732" s="10">
        <f t="shared" si="483"/>
        <v>2024</v>
      </c>
      <c r="I5732" s="2" t="s">
        <v>4</v>
      </c>
      <c r="J5732" s="2" t="s">
        <v>6431</v>
      </c>
      <c r="K5732" s="2" t="s">
        <v>642</v>
      </c>
      <c r="L5732" s="2" t="s">
        <v>111</v>
      </c>
      <c r="M5732" s="2" t="s">
        <v>112</v>
      </c>
      <c r="N5732" s="10" t="str">
        <f t="shared" si="480"/>
        <v>GAL</v>
      </c>
      <c r="O5732" s="14">
        <v>30</v>
      </c>
    </row>
    <row r="5733" spans="2:15" x14ac:dyDescent="0.25">
      <c r="B5733" s="1" t="s">
        <v>154</v>
      </c>
      <c r="C5733" s="2" t="s">
        <v>155</v>
      </c>
      <c r="D5733" s="2" t="s">
        <v>107</v>
      </c>
      <c r="E5733" s="2" t="s">
        <v>108</v>
      </c>
      <c r="F5733" s="3">
        <f>DATE(2024,9,11)</f>
        <v>45546</v>
      </c>
      <c r="G5733" s="10">
        <f t="shared" si="482"/>
        <v>9</v>
      </c>
      <c r="H5733" s="10">
        <f t="shared" si="483"/>
        <v>2024</v>
      </c>
      <c r="I5733" s="2" t="s">
        <v>4</v>
      </c>
      <c r="J5733" s="2" t="s">
        <v>6431</v>
      </c>
      <c r="K5733" s="2" t="s">
        <v>1502</v>
      </c>
      <c r="L5733" s="2" t="s">
        <v>1503</v>
      </c>
      <c r="M5733" s="2" t="s">
        <v>8</v>
      </c>
      <c r="N5733" s="10" t="str">
        <f t="shared" si="480"/>
        <v>GAL</v>
      </c>
      <c r="O5733" s="14">
        <v>120</v>
      </c>
    </row>
    <row r="5734" spans="2:15" x14ac:dyDescent="0.25">
      <c r="B5734" s="1" t="s">
        <v>154</v>
      </c>
      <c r="C5734" s="2" t="s">
        <v>155</v>
      </c>
      <c r="D5734" s="2" t="s">
        <v>107</v>
      </c>
      <c r="E5734" s="2" t="s">
        <v>108</v>
      </c>
      <c r="F5734" s="3">
        <f>DATE(2024,9,11)</f>
        <v>45546</v>
      </c>
      <c r="G5734" s="10">
        <f t="shared" si="482"/>
        <v>9</v>
      </c>
      <c r="H5734" s="10">
        <f t="shared" si="483"/>
        <v>2024</v>
      </c>
      <c r="I5734" s="2" t="s">
        <v>4</v>
      </c>
      <c r="J5734" s="2" t="s">
        <v>6431</v>
      </c>
      <c r="K5734" s="2" t="s">
        <v>189</v>
      </c>
      <c r="L5734" s="2" t="s">
        <v>190</v>
      </c>
      <c r="M5734" s="2" t="s">
        <v>191</v>
      </c>
      <c r="N5734" s="10" t="str">
        <f t="shared" si="480"/>
        <v>GAL</v>
      </c>
      <c r="O5734" s="14">
        <v>360</v>
      </c>
    </row>
    <row r="5735" spans="2:15" x14ac:dyDescent="0.25">
      <c r="B5735" s="6" t="s">
        <v>154</v>
      </c>
      <c r="C5735" s="7" t="s">
        <v>155</v>
      </c>
      <c r="D5735" s="8" t="s">
        <v>167</v>
      </c>
      <c r="E5735" s="8" t="s">
        <v>168</v>
      </c>
      <c r="F5735" s="9">
        <f>DATE(2024,9,12)</f>
        <v>45547</v>
      </c>
      <c r="G5735" s="10">
        <f t="shared" si="482"/>
        <v>9</v>
      </c>
      <c r="H5735" s="10">
        <f t="shared" si="483"/>
        <v>2024</v>
      </c>
      <c r="I5735" s="8" t="s">
        <v>4</v>
      </c>
      <c r="J5735" s="7" t="s">
        <v>6432</v>
      </c>
      <c r="K5735" s="8" t="s">
        <v>510</v>
      </c>
      <c r="L5735" s="8" t="s">
        <v>511</v>
      </c>
      <c r="M5735" s="8" t="s">
        <v>38</v>
      </c>
      <c r="N5735" s="10" t="str">
        <f t="shared" si="480"/>
        <v>GAL</v>
      </c>
      <c r="O5735" s="15">
        <v>250</v>
      </c>
    </row>
    <row r="5736" spans="2:15" x14ac:dyDescent="0.25">
      <c r="B5736" s="6" t="s">
        <v>154</v>
      </c>
      <c r="C5736" s="7" t="s">
        <v>155</v>
      </c>
      <c r="D5736" s="8" t="s">
        <v>1111</v>
      </c>
      <c r="E5736" s="8" t="s">
        <v>1112</v>
      </c>
      <c r="F5736" s="9">
        <f>DATE(2024,9,12)</f>
        <v>45547</v>
      </c>
      <c r="G5736" s="10">
        <f t="shared" si="482"/>
        <v>9</v>
      </c>
      <c r="H5736" s="10">
        <f t="shared" si="483"/>
        <v>2024</v>
      </c>
      <c r="I5736" s="8" t="s">
        <v>4</v>
      </c>
      <c r="J5736" s="7" t="s">
        <v>6433</v>
      </c>
      <c r="K5736" s="8" t="s">
        <v>510</v>
      </c>
      <c r="L5736" s="8" t="s">
        <v>511</v>
      </c>
      <c r="M5736" s="8" t="s">
        <v>38</v>
      </c>
      <c r="N5736" s="10" t="str">
        <f t="shared" si="480"/>
        <v>GAL</v>
      </c>
      <c r="O5736" s="15">
        <v>250</v>
      </c>
    </row>
    <row r="5737" spans="2:15" x14ac:dyDescent="0.25">
      <c r="B5737" s="1" t="s">
        <v>154</v>
      </c>
      <c r="C5737" s="2" t="s">
        <v>155</v>
      </c>
      <c r="D5737" s="2" t="s">
        <v>161</v>
      </c>
      <c r="E5737" s="2" t="s">
        <v>162</v>
      </c>
      <c r="F5737" s="3">
        <f>DATE(2024,9,13)</f>
        <v>45548</v>
      </c>
      <c r="G5737" s="10">
        <f t="shared" si="482"/>
        <v>9</v>
      </c>
      <c r="H5737" s="10">
        <f t="shared" si="483"/>
        <v>2024</v>
      </c>
      <c r="I5737" s="2" t="s">
        <v>4</v>
      </c>
      <c r="J5737" s="2" t="s">
        <v>6434</v>
      </c>
      <c r="K5737" s="2" t="s">
        <v>164</v>
      </c>
      <c r="L5737" s="2" t="s">
        <v>165</v>
      </c>
      <c r="M5737" s="2" t="s">
        <v>166</v>
      </c>
      <c r="N5737" s="10" t="str">
        <f t="shared" si="480"/>
        <v>GAL</v>
      </c>
      <c r="O5737" s="14">
        <v>180</v>
      </c>
    </row>
    <row r="5738" spans="2:15" x14ac:dyDescent="0.25">
      <c r="B5738" s="1" t="s">
        <v>154</v>
      </c>
      <c r="C5738" s="2" t="s">
        <v>155</v>
      </c>
      <c r="D5738" s="2" t="s">
        <v>591</v>
      </c>
      <c r="E5738" s="2" t="s">
        <v>592</v>
      </c>
      <c r="F5738" s="3">
        <f>DATE(2024,9,16)</f>
        <v>45551</v>
      </c>
      <c r="G5738" s="10">
        <f t="shared" si="482"/>
        <v>9</v>
      </c>
      <c r="H5738" s="10">
        <f t="shared" si="483"/>
        <v>2024</v>
      </c>
      <c r="I5738" s="2" t="s">
        <v>4</v>
      </c>
      <c r="J5738" s="2" t="s">
        <v>6435</v>
      </c>
      <c r="K5738" s="2" t="s">
        <v>1098</v>
      </c>
      <c r="L5738" s="2" t="s">
        <v>632</v>
      </c>
      <c r="M5738" s="2" t="s">
        <v>633</v>
      </c>
      <c r="N5738" s="10" t="str">
        <f t="shared" si="480"/>
        <v>GAL</v>
      </c>
      <c r="O5738" s="14">
        <v>1935</v>
      </c>
    </row>
    <row r="5739" spans="2:15" x14ac:dyDescent="0.25">
      <c r="B5739" s="1" t="s">
        <v>154</v>
      </c>
      <c r="C5739" s="2" t="s">
        <v>155</v>
      </c>
      <c r="D5739" s="2" t="s">
        <v>167</v>
      </c>
      <c r="E5739" s="2" t="s">
        <v>168</v>
      </c>
      <c r="F5739" s="3">
        <f>DATE(2024,9,18)</f>
        <v>45553</v>
      </c>
      <c r="G5739" s="10">
        <f t="shared" si="482"/>
        <v>9</v>
      </c>
      <c r="H5739" s="10">
        <f t="shared" si="483"/>
        <v>2024</v>
      </c>
      <c r="I5739" s="2" t="s">
        <v>4</v>
      </c>
      <c r="J5739" s="2" t="s">
        <v>6436</v>
      </c>
      <c r="K5739" s="2" t="s">
        <v>631</v>
      </c>
      <c r="L5739" s="2" t="s">
        <v>632</v>
      </c>
      <c r="M5739" s="2" t="s">
        <v>633</v>
      </c>
      <c r="N5739" s="10" t="str">
        <f t="shared" si="480"/>
        <v>GAL</v>
      </c>
      <c r="O5739" s="14">
        <v>500</v>
      </c>
    </row>
    <row r="5740" spans="2:15" x14ac:dyDescent="0.25">
      <c r="B5740" s="1" t="s">
        <v>154</v>
      </c>
      <c r="C5740" s="2" t="s">
        <v>155</v>
      </c>
      <c r="D5740" s="2" t="s">
        <v>167</v>
      </c>
      <c r="E5740" s="2" t="s">
        <v>168</v>
      </c>
      <c r="F5740" s="3">
        <f>DATE(2024,9,18)</f>
        <v>45553</v>
      </c>
      <c r="G5740" s="10">
        <f t="shared" si="482"/>
        <v>9</v>
      </c>
      <c r="H5740" s="10">
        <f t="shared" si="483"/>
        <v>2024</v>
      </c>
      <c r="I5740" s="2" t="s">
        <v>4</v>
      </c>
      <c r="J5740" s="2" t="s">
        <v>6436</v>
      </c>
      <c r="K5740" s="2" t="s">
        <v>3436</v>
      </c>
      <c r="L5740" s="2" t="s">
        <v>3437</v>
      </c>
      <c r="M5740" s="2" t="s">
        <v>67</v>
      </c>
      <c r="N5740" s="10" t="str">
        <f t="shared" si="480"/>
        <v>GAL</v>
      </c>
      <c r="O5740" s="14">
        <v>500</v>
      </c>
    </row>
    <row r="5741" spans="2:15" x14ac:dyDescent="0.25">
      <c r="B5741" s="1" t="s">
        <v>154</v>
      </c>
      <c r="C5741" s="2" t="s">
        <v>155</v>
      </c>
      <c r="D5741" s="2" t="s">
        <v>161</v>
      </c>
      <c r="E5741" s="2" t="s">
        <v>162</v>
      </c>
      <c r="F5741" s="3">
        <f>DATE(2024,9,19)</f>
        <v>45554</v>
      </c>
      <c r="G5741" s="10">
        <f t="shared" si="482"/>
        <v>9</v>
      </c>
      <c r="H5741" s="10">
        <f t="shared" si="483"/>
        <v>2024</v>
      </c>
      <c r="I5741" s="2" t="s">
        <v>4</v>
      </c>
      <c r="J5741" s="2" t="s">
        <v>6437</v>
      </c>
      <c r="K5741" s="2" t="s">
        <v>164</v>
      </c>
      <c r="L5741" s="2" t="s">
        <v>165</v>
      </c>
      <c r="M5741" s="2" t="s">
        <v>166</v>
      </c>
      <c r="N5741" s="10" t="str">
        <f t="shared" si="480"/>
        <v>GAL</v>
      </c>
      <c r="O5741" s="14">
        <v>180</v>
      </c>
    </row>
    <row r="5742" spans="2:15" x14ac:dyDescent="0.25">
      <c r="B5742" s="1" t="s">
        <v>154</v>
      </c>
      <c r="C5742" s="2" t="s">
        <v>155</v>
      </c>
      <c r="D5742" s="2" t="s">
        <v>161</v>
      </c>
      <c r="E5742" s="2" t="s">
        <v>162</v>
      </c>
      <c r="F5742" s="3">
        <f>DATE(2024,9,19)</f>
        <v>45554</v>
      </c>
      <c r="G5742" s="10">
        <f t="shared" si="482"/>
        <v>9</v>
      </c>
      <c r="H5742" s="10">
        <f t="shared" si="483"/>
        <v>2024</v>
      </c>
      <c r="I5742" s="2" t="s">
        <v>4</v>
      </c>
      <c r="J5742" s="2" t="s">
        <v>6437</v>
      </c>
      <c r="K5742" s="2" t="s">
        <v>1814</v>
      </c>
      <c r="L5742" s="2" t="s">
        <v>1815</v>
      </c>
      <c r="M5742" s="2" t="s">
        <v>1816</v>
      </c>
      <c r="N5742" s="10" t="str">
        <f t="shared" si="480"/>
        <v>GAL</v>
      </c>
      <c r="O5742" s="14">
        <v>180</v>
      </c>
    </row>
    <row r="5743" spans="2:15" x14ac:dyDescent="0.25">
      <c r="B5743" s="1" t="s">
        <v>154</v>
      </c>
      <c r="C5743" s="2" t="s">
        <v>155</v>
      </c>
      <c r="D5743" s="2" t="s">
        <v>178</v>
      </c>
      <c r="E5743" s="2" t="s">
        <v>179</v>
      </c>
      <c r="F5743" s="3">
        <f>DATE(2024,9,19)</f>
        <v>45554</v>
      </c>
      <c r="G5743" s="10">
        <f t="shared" si="482"/>
        <v>9</v>
      </c>
      <c r="H5743" s="10">
        <f t="shared" si="483"/>
        <v>2024</v>
      </c>
      <c r="I5743" s="2" t="s">
        <v>4</v>
      </c>
      <c r="J5743" s="2" t="s">
        <v>6438</v>
      </c>
      <c r="K5743" s="2" t="s">
        <v>158</v>
      </c>
      <c r="L5743" s="2" t="s">
        <v>159</v>
      </c>
      <c r="M5743" s="2" t="s">
        <v>160</v>
      </c>
      <c r="N5743" s="10" t="str">
        <f t="shared" si="480"/>
        <v>GAL</v>
      </c>
      <c r="O5743" s="14">
        <v>180</v>
      </c>
    </row>
    <row r="5744" spans="2:15" x14ac:dyDescent="0.25">
      <c r="B5744" s="1" t="s">
        <v>154</v>
      </c>
      <c r="C5744" s="2" t="s">
        <v>155</v>
      </c>
      <c r="D5744" s="2" t="s">
        <v>167</v>
      </c>
      <c r="E5744" s="2" t="s">
        <v>168</v>
      </c>
      <c r="F5744" s="3">
        <f>DATE(2024,9,25)</f>
        <v>45560</v>
      </c>
      <c r="G5744" s="10">
        <f t="shared" si="482"/>
        <v>9</v>
      </c>
      <c r="H5744" s="10">
        <f t="shared" si="483"/>
        <v>2024</v>
      </c>
      <c r="I5744" s="2" t="s">
        <v>4</v>
      </c>
      <c r="J5744" s="2" t="s">
        <v>6439</v>
      </c>
      <c r="K5744" s="2" t="s">
        <v>1853</v>
      </c>
      <c r="L5744" s="2" t="s">
        <v>1854</v>
      </c>
      <c r="M5744" s="2" t="s">
        <v>1816</v>
      </c>
      <c r="N5744" s="10" t="str">
        <f t="shared" si="480"/>
        <v>GAL</v>
      </c>
      <c r="O5744" s="14">
        <v>180</v>
      </c>
    </row>
    <row r="5745" spans="2:15" x14ac:dyDescent="0.25">
      <c r="B5745" s="1" t="s">
        <v>154</v>
      </c>
      <c r="C5745" s="2" t="s">
        <v>155</v>
      </c>
      <c r="D5745" s="2" t="s">
        <v>167</v>
      </c>
      <c r="E5745" s="2" t="s">
        <v>168</v>
      </c>
      <c r="F5745" s="3">
        <f>DATE(2024,9,27)</f>
        <v>45562</v>
      </c>
      <c r="G5745" s="10">
        <f t="shared" si="482"/>
        <v>9</v>
      </c>
      <c r="H5745" s="10">
        <f t="shared" si="483"/>
        <v>2024</v>
      </c>
      <c r="I5745" s="2" t="s">
        <v>4</v>
      </c>
      <c r="J5745" s="2" t="s">
        <v>6440</v>
      </c>
      <c r="K5745" s="2" t="s">
        <v>3436</v>
      </c>
      <c r="L5745" s="2" t="s">
        <v>3437</v>
      </c>
      <c r="M5745" s="2" t="s">
        <v>67</v>
      </c>
      <c r="N5745" s="10" t="str">
        <f t="shared" si="480"/>
        <v>GAL</v>
      </c>
      <c r="O5745" s="14">
        <v>1000</v>
      </c>
    </row>
    <row r="5746" spans="2:15" x14ac:dyDescent="0.25">
      <c r="B5746" s="1" t="s">
        <v>1520</v>
      </c>
      <c r="C5746" s="2" t="s">
        <v>196</v>
      </c>
      <c r="D5746" s="2" t="s">
        <v>294</v>
      </c>
      <c r="E5746" s="2" t="s">
        <v>295</v>
      </c>
      <c r="F5746" s="3">
        <f>DATE(2024,9,3)</f>
        <v>45538</v>
      </c>
      <c r="G5746" s="10">
        <f t="shared" si="482"/>
        <v>9</v>
      </c>
      <c r="H5746" s="10">
        <f t="shared" si="483"/>
        <v>2024</v>
      </c>
      <c r="I5746" s="2" t="s">
        <v>4</v>
      </c>
      <c r="J5746" s="2" t="s">
        <v>6441</v>
      </c>
      <c r="K5746" s="2" t="s">
        <v>122</v>
      </c>
      <c r="L5746" s="2" t="s">
        <v>123</v>
      </c>
      <c r="M5746" s="2" t="s">
        <v>119</v>
      </c>
      <c r="N5746" s="10" t="str">
        <f t="shared" si="480"/>
        <v>TON</v>
      </c>
      <c r="O5746" s="14">
        <v>7.5025000000000004</v>
      </c>
    </row>
    <row r="5747" spans="2:15" x14ac:dyDescent="0.25">
      <c r="B5747" s="6" t="s">
        <v>1520</v>
      </c>
      <c r="C5747" s="7" t="s">
        <v>196</v>
      </c>
      <c r="D5747" s="8" t="s">
        <v>207</v>
      </c>
      <c r="E5747" s="8" t="s">
        <v>208</v>
      </c>
      <c r="F5747" s="9">
        <f>DATE(2024,9,4)</f>
        <v>45539</v>
      </c>
      <c r="G5747" s="10">
        <f t="shared" si="482"/>
        <v>9</v>
      </c>
      <c r="H5747" s="10">
        <f t="shared" si="483"/>
        <v>2024</v>
      </c>
      <c r="I5747" s="8" t="s">
        <v>4</v>
      </c>
      <c r="J5747" s="7" t="s">
        <v>6442</v>
      </c>
      <c r="K5747" s="8" t="s">
        <v>3455</v>
      </c>
      <c r="L5747" s="8" t="s">
        <v>3456</v>
      </c>
      <c r="M5747" s="8" t="s">
        <v>119</v>
      </c>
      <c r="N5747" s="10" t="str">
        <f t="shared" si="480"/>
        <v>TON</v>
      </c>
      <c r="O5747" s="15">
        <v>2.5074999999999998</v>
      </c>
    </row>
    <row r="5748" spans="2:15" x14ac:dyDescent="0.25">
      <c r="B5748" s="1" t="s">
        <v>1520</v>
      </c>
      <c r="C5748" s="2" t="s">
        <v>196</v>
      </c>
      <c r="D5748" s="2" t="s">
        <v>207</v>
      </c>
      <c r="E5748" s="2" t="s">
        <v>208</v>
      </c>
      <c r="F5748" s="3">
        <f>DATE(2024,9,4)</f>
        <v>45539</v>
      </c>
      <c r="G5748" s="10">
        <f t="shared" si="482"/>
        <v>9</v>
      </c>
      <c r="H5748" s="10">
        <f t="shared" si="483"/>
        <v>2024</v>
      </c>
      <c r="I5748" s="2" t="s">
        <v>4</v>
      </c>
      <c r="J5748" s="2" t="s">
        <v>6443</v>
      </c>
      <c r="K5748" s="2" t="s">
        <v>205</v>
      </c>
      <c r="L5748" s="2" t="s">
        <v>206</v>
      </c>
      <c r="M5748" s="2" t="s">
        <v>119</v>
      </c>
      <c r="N5748" s="10" t="str">
        <f t="shared" si="480"/>
        <v>TON</v>
      </c>
      <c r="O5748" s="14">
        <v>2.5</v>
      </c>
    </row>
    <row r="5749" spans="2:15" x14ac:dyDescent="0.25">
      <c r="B5749" s="1" t="s">
        <v>1520</v>
      </c>
      <c r="C5749" s="2" t="s">
        <v>196</v>
      </c>
      <c r="D5749" s="2" t="s">
        <v>4013</v>
      </c>
      <c r="E5749" s="2" t="s">
        <v>2868</v>
      </c>
      <c r="F5749" s="3">
        <f>DATE(2024,9,4)</f>
        <v>45539</v>
      </c>
      <c r="G5749" s="10">
        <f t="shared" si="482"/>
        <v>9</v>
      </c>
      <c r="H5749" s="10">
        <f t="shared" si="483"/>
        <v>2024</v>
      </c>
      <c r="I5749" s="2" t="s">
        <v>4</v>
      </c>
      <c r="J5749" s="2" t="s">
        <v>6444</v>
      </c>
      <c r="K5749" s="2" t="s">
        <v>205</v>
      </c>
      <c r="L5749" s="2" t="s">
        <v>206</v>
      </c>
      <c r="M5749" s="2" t="s">
        <v>119</v>
      </c>
      <c r="N5749" s="10" t="str">
        <f t="shared" si="480"/>
        <v>TON</v>
      </c>
      <c r="O5749" s="14">
        <v>1.0024999999999999</v>
      </c>
    </row>
    <row r="5750" spans="2:15" x14ac:dyDescent="0.25">
      <c r="B5750" s="1" t="s">
        <v>1520</v>
      </c>
      <c r="C5750" s="2" t="s">
        <v>196</v>
      </c>
      <c r="D5750" s="2" t="s">
        <v>1375</v>
      </c>
      <c r="E5750" s="2" t="s">
        <v>102</v>
      </c>
      <c r="F5750" s="3">
        <f>DATE(2024,9,4)</f>
        <v>45539</v>
      </c>
      <c r="G5750" s="10">
        <f t="shared" si="482"/>
        <v>9</v>
      </c>
      <c r="H5750" s="10">
        <f t="shared" si="483"/>
        <v>2024</v>
      </c>
      <c r="I5750" s="2" t="s">
        <v>4</v>
      </c>
      <c r="J5750" s="2" t="s">
        <v>6445</v>
      </c>
      <c r="K5750" s="2" t="s">
        <v>205</v>
      </c>
      <c r="L5750" s="2" t="s">
        <v>206</v>
      </c>
      <c r="M5750" s="2" t="s">
        <v>119</v>
      </c>
      <c r="N5750" s="10" t="str">
        <f t="shared" si="480"/>
        <v>TON</v>
      </c>
      <c r="O5750" s="14">
        <v>5.0125000000000002</v>
      </c>
    </row>
    <row r="5751" spans="2:15" x14ac:dyDescent="0.25">
      <c r="B5751" s="1" t="s">
        <v>1520</v>
      </c>
      <c r="C5751" s="2" t="s">
        <v>196</v>
      </c>
      <c r="D5751" s="2" t="s">
        <v>888</v>
      </c>
      <c r="E5751" s="2" t="s">
        <v>888</v>
      </c>
      <c r="F5751" s="3">
        <f>DATE(2024,9,5)</f>
        <v>45540</v>
      </c>
      <c r="G5751" s="10">
        <f t="shared" si="482"/>
        <v>9</v>
      </c>
      <c r="H5751" s="10">
        <f t="shared" si="483"/>
        <v>2024</v>
      </c>
      <c r="I5751" s="2" t="s">
        <v>4</v>
      </c>
      <c r="J5751" s="2" t="s">
        <v>6446</v>
      </c>
      <c r="K5751" s="2" t="s">
        <v>268</v>
      </c>
      <c r="L5751" s="2" t="s">
        <v>269</v>
      </c>
      <c r="M5751" s="2" t="s">
        <v>119</v>
      </c>
      <c r="N5751" s="10" t="str">
        <f t="shared" si="480"/>
        <v>TON</v>
      </c>
      <c r="O5751" s="14">
        <v>0.75</v>
      </c>
    </row>
    <row r="5752" spans="2:15" x14ac:dyDescent="0.25">
      <c r="B5752" s="1" t="s">
        <v>1520</v>
      </c>
      <c r="C5752" s="2" t="s">
        <v>196</v>
      </c>
      <c r="D5752" s="2" t="s">
        <v>265</v>
      </c>
      <c r="E5752" s="2" t="s">
        <v>266</v>
      </c>
      <c r="F5752" s="3">
        <f>DATE(2024,9,6)</f>
        <v>45541</v>
      </c>
      <c r="G5752" s="10">
        <f t="shared" si="482"/>
        <v>9</v>
      </c>
      <c r="H5752" s="10">
        <f t="shared" si="483"/>
        <v>2024</v>
      </c>
      <c r="I5752" s="2" t="s">
        <v>4</v>
      </c>
      <c r="J5752" s="2" t="s">
        <v>6447</v>
      </c>
      <c r="K5752" s="2" t="s">
        <v>268</v>
      </c>
      <c r="L5752" s="2" t="s">
        <v>269</v>
      </c>
      <c r="M5752" s="2" t="s">
        <v>119</v>
      </c>
      <c r="N5752" s="10" t="str">
        <f t="shared" si="480"/>
        <v>TON</v>
      </c>
      <c r="O5752" s="14">
        <v>0.15</v>
      </c>
    </row>
    <row r="5753" spans="2:15" x14ac:dyDescent="0.25">
      <c r="B5753" s="1" t="s">
        <v>1520</v>
      </c>
      <c r="C5753" s="2" t="s">
        <v>196</v>
      </c>
      <c r="D5753" s="2" t="s">
        <v>262</v>
      </c>
      <c r="E5753" s="2" t="s">
        <v>747</v>
      </c>
      <c r="F5753" s="3">
        <f>DATE(2024,9,9)</f>
        <v>45544</v>
      </c>
      <c r="G5753" s="10">
        <f t="shared" si="482"/>
        <v>9</v>
      </c>
      <c r="H5753" s="10">
        <f t="shared" si="483"/>
        <v>2024</v>
      </c>
      <c r="I5753" s="2" t="s">
        <v>4</v>
      </c>
      <c r="J5753" s="2" t="s">
        <v>6448</v>
      </c>
      <c r="K5753" s="2" t="s">
        <v>205</v>
      </c>
      <c r="L5753" s="2" t="s">
        <v>206</v>
      </c>
      <c r="M5753" s="2" t="s">
        <v>119</v>
      </c>
      <c r="N5753" s="10" t="str">
        <f t="shared" si="480"/>
        <v>TON</v>
      </c>
      <c r="O5753" s="14">
        <v>5.0125000000000002</v>
      </c>
    </row>
    <row r="5754" spans="2:15" x14ac:dyDescent="0.25">
      <c r="B5754" s="1" t="s">
        <v>1520</v>
      </c>
      <c r="C5754" s="2" t="s">
        <v>196</v>
      </c>
      <c r="D5754" s="2" t="s">
        <v>6339</v>
      </c>
      <c r="E5754" s="2" t="s">
        <v>102</v>
      </c>
      <c r="F5754" s="3">
        <f>DATE(2024,9,9)</f>
        <v>45544</v>
      </c>
      <c r="G5754" s="10">
        <f t="shared" si="482"/>
        <v>9</v>
      </c>
      <c r="H5754" s="10">
        <f t="shared" si="483"/>
        <v>2024</v>
      </c>
      <c r="I5754" s="2" t="s">
        <v>4</v>
      </c>
      <c r="J5754" s="2" t="s">
        <v>6449</v>
      </c>
      <c r="K5754" s="2" t="s">
        <v>39</v>
      </c>
      <c r="L5754" s="2" t="s">
        <v>932</v>
      </c>
      <c r="M5754" s="2" t="s">
        <v>41</v>
      </c>
      <c r="N5754" s="10" t="str">
        <f t="shared" si="480"/>
        <v>GAL</v>
      </c>
      <c r="O5754" s="14">
        <v>10</v>
      </c>
    </row>
    <row r="5755" spans="2:15" x14ac:dyDescent="0.25">
      <c r="B5755" s="1" t="s">
        <v>1520</v>
      </c>
      <c r="C5755" s="2" t="s">
        <v>196</v>
      </c>
      <c r="D5755" s="2" t="s">
        <v>265</v>
      </c>
      <c r="E5755" s="2" t="s">
        <v>266</v>
      </c>
      <c r="F5755" s="3">
        <f>DATE(2024,9,13)</f>
        <v>45548</v>
      </c>
      <c r="G5755" s="10">
        <f t="shared" si="482"/>
        <v>9</v>
      </c>
      <c r="H5755" s="10">
        <f t="shared" si="483"/>
        <v>2024</v>
      </c>
      <c r="I5755" s="2" t="s">
        <v>4</v>
      </c>
      <c r="J5755" s="2" t="s">
        <v>6450</v>
      </c>
      <c r="K5755" s="2" t="s">
        <v>268</v>
      </c>
      <c r="L5755" s="2" t="s">
        <v>269</v>
      </c>
      <c r="M5755" s="2" t="s">
        <v>119</v>
      </c>
      <c r="N5755" s="10" t="str">
        <f t="shared" si="480"/>
        <v>TON</v>
      </c>
      <c r="O5755" s="14">
        <v>0.15</v>
      </c>
    </row>
    <row r="5756" spans="2:15" x14ac:dyDescent="0.25">
      <c r="B5756" s="1" t="s">
        <v>1520</v>
      </c>
      <c r="C5756" s="2" t="s">
        <v>196</v>
      </c>
      <c r="D5756" s="2" t="s">
        <v>3764</v>
      </c>
      <c r="E5756" s="2" t="s">
        <v>3765</v>
      </c>
      <c r="F5756" s="3">
        <f>DATE(2024,9,13)</f>
        <v>45548</v>
      </c>
      <c r="G5756" s="10">
        <f t="shared" si="482"/>
        <v>9</v>
      </c>
      <c r="H5756" s="10">
        <f t="shared" si="483"/>
        <v>2024</v>
      </c>
      <c r="I5756" s="2" t="s">
        <v>4</v>
      </c>
      <c r="J5756" s="2" t="s">
        <v>6451</v>
      </c>
      <c r="K5756" s="2" t="s">
        <v>205</v>
      </c>
      <c r="L5756" s="2" t="s">
        <v>206</v>
      </c>
      <c r="M5756" s="2" t="s">
        <v>119</v>
      </c>
      <c r="N5756" s="10" t="str">
        <f t="shared" si="480"/>
        <v>TON</v>
      </c>
      <c r="O5756" s="14">
        <v>1.2649999999999999</v>
      </c>
    </row>
    <row r="5757" spans="2:15" x14ac:dyDescent="0.25">
      <c r="B5757" s="1" t="s">
        <v>1520</v>
      </c>
      <c r="C5757" s="2" t="s">
        <v>196</v>
      </c>
      <c r="D5757" s="2" t="s">
        <v>207</v>
      </c>
      <c r="E5757" s="2" t="s">
        <v>208</v>
      </c>
      <c r="F5757" s="3">
        <f>DATE(2024,9,17)</f>
        <v>45552</v>
      </c>
      <c r="G5757" s="10">
        <f t="shared" si="482"/>
        <v>9</v>
      </c>
      <c r="H5757" s="10">
        <f t="shared" si="483"/>
        <v>2024</v>
      </c>
      <c r="I5757" s="2" t="s">
        <v>4</v>
      </c>
      <c r="J5757" s="2" t="s">
        <v>6452</v>
      </c>
      <c r="K5757" s="2" t="s">
        <v>205</v>
      </c>
      <c r="L5757" s="2" t="s">
        <v>206</v>
      </c>
      <c r="M5757" s="2" t="s">
        <v>119</v>
      </c>
      <c r="N5757" s="10" t="str">
        <f t="shared" si="480"/>
        <v>TON</v>
      </c>
      <c r="O5757" s="14">
        <v>2.25</v>
      </c>
    </row>
    <row r="5758" spans="2:15" x14ac:dyDescent="0.25">
      <c r="B5758" s="1" t="s">
        <v>1520</v>
      </c>
      <c r="C5758" s="2" t="s">
        <v>196</v>
      </c>
      <c r="D5758" s="2" t="s">
        <v>404</v>
      </c>
      <c r="E5758" s="2" t="s">
        <v>405</v>
      </c>
      <c r="F5758" s="3">
        <f>DATE(2024,9,17)</f>
        <v>45552</v>
      </c>
      <c r="G5758" s="10">
        <f t="shared" si="482"/>
        <v>9</v>
      </c>
      <c r="H5758" s="10">
        <f t="shared" si="483"/>
        <v>2024</v>
      </c>
      <c r="I5758" s="2" t="s">
        <v>4</v>
      </c>
      <c r="J5758" s="2" t="s">
        <v>6453</v>
      </c>
      <c r="K5758" s="2" t="s">
        <v>122</v>
      </c>
      <c r="L5758" s="2" t="s">
        <v>123</v>
      </c>
      <c r="M5758" s="2" t="s">
        <v>119</v>
      </c>
      <c r="N5758" s="10" t="str">
        <f t="shared" ref="N5758:N5821" si="484">+LEFT(M5758,3)</f>
        <v>TON</v>
      </c>
      <c r="O5758" s="14">
        <v>2.5049999999999999</v>
      </c>
    </row>
    <row r="5759" spans="2:15" x14ac:dyDescent="0.25">
      <c r="B5759" s="6" t="s">
        <v>1520</v>
      </c>
      <c r="C5759" s="7" t="s">
        <v>196</v>
      </c>
      <c r="D5759" s="8" t="s">
        <v>227</v>
      </c>
      <c r="E5759" s="8" t="s">
        <v>228</v>
      </c>
      <c r="F5759" s="9">
        <f>DATE(2024,9,17)</f>
        <v>45552</v>
      </c>
      <c r="G5759" s="10">
        <f t="shared" si="482"/>
        <v>9</v>
      </c>
      <c r="H5759" s="10">
        <f t="shared" si="483"/>
        <v>2024</v>
      </c>
      <c r="I5759" s="8" t="s">
        <v>4</v>
      </c>
      <c r="J5759" s="7" t="s">
        <v>6454</v>
      </c>
      <c r="K5759" s="8" t="s">
        <v>230</v>
      </c>
      <c r="L5759" s="8" t="s">
        <v>231</v>
      </c>
      <c r="M5759" s="8" t="s">
        <v>119</v>
      </c>
      <c r="N5759" s="10" t="str">
        <f t="shared" si="484"/>
        <v>TON</v>
      </c>
      <c r="O5759" s="15">
        <v>7.5049999999999999</v>
      </c>
    </row>
    <row r="5760" spans="2:15" x14ac:dyDescent="0.25">
      <c r="B5760" s="1" t="s">
        <v>1520</v>
      </c>
      <c r="C5760" s="2" t="s">
        <v>196</v>
      </c>
      <c r="D5760" s="2" t="s">
        <v>289</v>
      </c>
      <c r="E5760" s="2" t="s">
        <v>2380</v>
      </c>
      <c r="F5760" s="3">
        <f>DATE(2024,9,18)</f>
        <v>45553</v>
      </c>
      <c r="G5760" s="10">
        <f t="shared" si="482"/>
        <v>9</v>
      </c>
      <c r="H5760" s="10">
        <f t="shared" si="483"/>
        <v>2024</v>
      </c>
      <c r="I5760" s="2" t="s">
        <v>4</v>
      </c>
      <c r="J5760" s="2" t="s">
        <v>6455</v>
      </c>
      <c r="K5760" s="2" t="s">
        <v>292</v>
      </c>
      <c r="L5760" s="2" t="s">
        <v>293</v>
      </c>
      <c r="M5760" s="2" t="s">
        <v>119</v>
      </c>
      <c r="N5760" s="10" t="str">
        <f t="shared" si="484"/>
        <v>TON</v>
      </c>
      <c r="O5760" s="14">
        <v>1</v>
      </c>
    </row>
    <row r="5761" spans="2:15" x14ac:dyDescent="0.25">
      <c r="B5761" s="1" t="s">
        <v>1520</v>
      </c>
      <c r="C5761" s="2" t="s">
        <v>196</v>
      </c>
      <c r="D5761" s="2" t="s">
        <v>3469</v>
      </c>
      <c r="E5761" s="2" t="s">
        <v>56</v>
      </c>
      <c r="F5761" s="3">
        <f>DATE(2024,9,19)</f>
        <v>45554</v>
      </c>
      <c r="G5761" s="10">
        <f t="shared" si="482"/>
        <v>9</v>
      </c>
      <c r="H5761" s="10">
        <f t="shared" si="483"/>
        <v>2024</v>
      </c>
      <c r="I5761" s="2" t="s">
        <v>4</v>
      </c>
      <c r="J5761" s="2" t="s">
        <v>6456</v>
      </c>
      <c r="K5761" s="2" t="s">
        <v>3471</v>
      </c>
      <c r="L5761" s="2" t="s">
        <v>5951</v>
      </c>
      <c r="M5761" s="2" t="s">
        <v>24</v>
      </c>
      <c r="N5761" s="10" t="str">
        <f t="shared" si="484"/>
        <v>GAL</v>
      </c>
      <c r="O5761" s="14">
        <v>5</v>
      </c>
    </row>
    <row r="5762" spans="2:15" x14ac:dyDescent="0.25">
      <c r="B5762" s="1" t="s">
        <v>1520</v>
      </c>
      <c r="C5762" s="2" t="s">
        <v>196</v>
      </c>
      <c r="D5762" s="2" t="s">
        <v>215</v>
      </c>
      <c r="E5762" s="2" t="s">
        <v>4113</v>
      </c>
      <c r="F5762" s="3">
        <f>DATE(2024,9,20)</f>
        <v>45555</v>
      </c>
      <c r="G5762" s="10">
        <f t="shared" si="482"/>
        <v>9</v>
      </c>
      <c r="H5762" s="10">
        <f t="shared" si="483"/>
        <v>2024</v>
      </c>
      <c r="I5762" s="2" t="s">
        <v>4</v>
      </c>
      <c r="J5762" s="2" t="s">
        <v>6457</v>
      </c>
      <c r="K5762" s="2" t="s">
        <v>205</v>
      </c>
      <c r="L5762" s="2" t="s">
        <v>206</v>
      </c>
      <c r="M5762" s="2" t="s">
        <v>119</v>
      </c>
      <c r="N5762" s="10" t="str">
        <f t="shared" si="484"/>
        <v>TON</v>
      </c>
      <c r="O5762" s="14">
        <v>10.0075</v>
      </c>
    </row>
    <row r="5763" spans="2:15" x14ac:dyDescent="0.25">
      <c r="B5763" s="1" t="s">
        <v>1520</v>
      </c>
      <c r="C5763" s="2" t="s">
        <v>196</v>
      </c>
      <c r="D5763" s="2" t="s">
        <v>265</v>
      </c>
      <c r="E5763" s="2" t="s">
        <v>266</v>
      </c>
      <c r="F5763" s="3">
        <f>DATE(2024,9,20)</f>
        <v>45555</v>
      </c>
      <c r="G5763" s="10">
        <f t="shared" si="482"/>
        <v>9</v>
      </c>
      <c r="H5763" s="10">
        <f t="shared" si="483"/>
        <v>2024</v>
      </c>
      <c r="I5763" s="2" t="s">
        <v>4</v>
      </c>
      <c r="J5763" s="2" t="s">
        <v>6458</v>
      </c>
      <c r="K5763" s="2" t="s">
        <v>268</v>
      </c>
      <c r="L5763" s="2" t="s">
        <v>269</v>
      </c>
      <c r="M5763" s="2" t="s">
        <v>119</v>
      </c>
      <c r="N5763" s="10" t="str">
        <f t="shared" si="484"/>
        <v>TON</v>
      </c>
      <c r="O5763" s="14">
        <v>0.15</v>
      </c>
    </row>
    <row r="5764" spans="2:15" x14ac:dyDescent="0.25">
      <c r="B5764" s="1" t="s">
        <v>1520</v>
      </c>
      <c r="C5764" s="2" t="s">
        <v>196</v>
      </c>
      <c r="D5764" s="2" t="s">
        <v>2002</v>
      </c>
      <c r="E5764" s="2" t="s">
        <v>102</v>
      </c>
      <c r="F5764" s="3">
        <f>DATE(2024,9,23)</f>
        <v>45558</v>
      </c>
      <c r="G5764" s="10">
        <f t="shared" si="482"/>
        <v>9</v>
      </c>
      <c r="H5764" s="10">
        <f t="shared" si="483"/>
        <v>2024</v>
      </c>
      <c r="I5764" s="2" t="s">
        <v>4</v>
      </c>
      <c r="J5764" s="2" t="s">
        <v>6459</v>
      </c>
      <c r="K5764" s="2" t="s">
        <v>1119</v>
      </c>
      <c r="L5764" s="2" t="s">
        <v>1023</v>
      </c>
      <c r="M5764" s="2" t="s">
        <v>1024</v>
      </c>
      <c r="N5764" s="10" t="str">
        <f t="shared" si="484"/>
        <v>GAL</v>
      </c>
      <c r="O5764" s="14">
        <v>10</v>
      </c>
    </row>
    <row r="5765" spans="2:15" x14ac:dyDescent="0.25">
      <c r="B5765" s="1" t="s">
        <v>1520</v>
      </c>
      <c r="C5765" s="2" t="s">
        <v>196</v>
      </c>
      <c r="D5765" s="2" t="s">
        <v>210</v>
      </c>
      <c r="E5765" s="2" t="s">
        <v>735</v>
      </c>
      <c r="F5765" s="3">
        <f>DATE(2024,9,23)</f>
        <v>45558</v>
      </c>
      <c r="G5765" s="10">
        <f t="shared" si="482"/>
        <v>9</v>
      </c>
      <c r="H5765" s="10">
        <f t="shared" si="483"/>
        <v>2024</v>
      </c>
      <c r="I5765" s="2" t="s">
        <v>4</v>
      </c>
      <c r="J5765" s="2" t="s">
        <v>6460</v>
      </c>
      <c r="K5765" s="2" t="s">
        <v>489</v>
      </c>
      <c r="L5765" s="2" t="s">
        <v>490</v>
      </c>
      <c r="M5765" s="2" t="s">
        <v>119</v>
      </c>
      <c r="N5765" s="10" t="str">
        <f t="shared" si="484"/>
        <v>TON</v>
      </c>
      <c r="O5765" s="14">
        <v>20.0275</v>
      </c>
    </row>
    <row r="5766" spans="2:15" x14ac:dyDescent="0.25">
      <c r="B5766" s="1" t="s">
        <v>1520</v>
      </c>
      <c r="C5766" s="2" t="s">
        <v>196</v>
      </c>
      <c r="D5766" s="2" t="s">
        <v>253</v>
      </c>
      <c r="E5766" s="2" t="s">
        <v>254</v>
      </c>
      <c r="F5766" s="3">
        <f>DATE(2024,9,24)</f>
        <v>45559</v>
      </c>
      <c r="G5766" s="10">
        <f t="shared" si="482"/>
        <v>9</v>
      </c>
      <c r="H5766" s="10">
        <f t="shared" si="483"/>
        <v>2024</v>
      </c>
      <c r="I5766" s="2" t="s">
        <v>4</v>
      </c>
      <c r="J5766" s="2" t="s">
        <v>6461</v>
      </c>
      <c r="K5766" s="2" t="s">
        <v>256</v>
      </c>
      <c r="L5766" s="2" t="s">
        <v>257</v>
      </c>
      <c r="M5766" s="2" t="s">
        <v>119</v>
      </c>
      <c r="N5766" s="10" t="str">
        <f t="shared" si="484"/>
        <v>TON</v>
      </c>
      <c r="O5766" s="14">
        <v>2.4950000000000001</v>
      </c>
    </row>
    <row r="5767" spans="2:15" x14ac:dyDescent="0.25">
      <c r="B5767" s="1" t="s">
        <v>1520</v>
      </c>
      <c r="C5767" s="2" t="s">
        <v>196</v>
      </c>
      <c r="D5767" s="2" t="s">
        <v>262</v>
      </c>
      <c r="E5767" s="2" t="s">
        <v>747</v>
      </c>
      <c r="F5767" s="3">
        <f>DATE(2024,9,24)</f>
        <v>45559</v>
      </c>
      <c r="G5767" s="10">
        <f t="shared" si="482"/>
        <v>9</v>
      </c>
      <c r="H5767" s="10">
        <f t="shared" si="483"/>
        <v>2024</v>
      </c>
      <c r="I5767" s="2" t="s">
        <v>4</v>
      </c>
      <c r="J5767" s="2" t="s">
        <v>6462</v>
      </c>
      <c r="K5767" s="2" t="s">
        <v>329</v>
      </c>
      <c r="L5767" s="2" t="s">
        <v>330</v>
      </c>
      <c r="M5767" s="2" t="s">
        <v>119</v>
      </c>
      <c r="N5767" s="10" t="str">
        <f t="shared" si="484"/>
        <v>TON</v>
      </c>
      <c r="O5767" s="14">
        <v>5.0125000000000002</v>
      </c>
    </row>
    <row r="5768" spans="2:15" x14ac:dyDescent="0.25">
      <c r="B5768" s="1" t="s">
        <v>1520</v>
      </c>
      <c r="C5768" s="2" t="s">
        <v>196</v>
      </c>
      <c r="D5768" s="2" t="s">
        <v>3469</v>
      </c>
      <c r="E5768" s="2" t="s">
        <v>56</v>
      </c>
      <c r="F5768" s="3">
        <f>DATE(2024,9,24)</f>
        <v>45559</v>
      </c>
      <c r="G5768" s="10">
        <f t="shared" si="482"/>
        <v>9</v>
      </c>
      <c r="H5768" s="10">
        <f t="shared" si="483"/>
        <v>2024</v>
      </c>
      <c r="I5768" s="2" t="s">
        <v>4</v>
      </c>
      <c r="J5768" s="2" t="s">
        <v>6463</v>
      </c>
      <c r="K5768" s="2" t="s">
        <v>22</v>
      </c>
      <c r="L5768" s="2" t="s">
        <v>5951</v>
      </c>
      <c r="M5768" s="2" t="s">
        <v>24</v>
      </c>
      <c r="N5768" s="10" t="str">
        <f t="shared" si="484"/>
        <v>GAL</v>
      </c>
      <c r="O5768" s="14">
        <v>2.5</v>
      </c>
    </row>
    <row r="5769" spans="2:15" x14ac:dyDescent="0.25">
      <c r="B5769" s="1" t="s">
        <v>1520</v>
      </c>
      <c r="C5769" s="2" t="s">
        <v>196</v>
      </c>
      <c r="D5769" s="2" t="s">
        <v>6464</v>
      </c>
      <c r="E5769" s="2" t="s">
        <v>102</v>
      </c>
      <c r="F5769" s="3">
        <f>DATE(2024,9,30)</f>
        <v>45565</v>
      </c>
      <c r="G5769" s="10">
        <f t="shared" si="482"/>
        <v>9</v>
      </c>
      <c r="H5769" s="10">
        <f t="shared" si="483"/>
        <v>2024</v>
      </c>
      <c r="I5769" s="2" t="s">
        <v>4</v>
      </c>
      <c r="J5769" s="2" t="s">
        <v>6465</v>
      </c>
      <c r="K5769" s="2" t="s">
        <v>1014</v>
      </c>
      <c r="L5769" s="2" t="s">
        <v>472</v>
      </c>
      <c r="M5769" s="2" t="s">
        <v>473</v>
      </c>
      <c r="N5769" s="10" t="str">
        <f t="shared" si="484"/>
        <v>GAL</v>
      </c>
      <c r="O5769" s="14">
        <v>10</v>
      </c>
    </row>
    <row r="5770" spans="2:15" x14ac:dyDescent="0.25">
      <c r="B5770" s="1" t="s">
        <v>1520</v>
      </c>
      <c r="C5770" s="2" t="s">
        <v>196</v>
      </c>
      <c r="D5770" s="2" t="s">
        <v>207</v>
      </c>
      <c r="E5770" s="2" t="s">
        <v>208</v>
      </c>
      <c r="F5770" s="3">
        <f>DATE(2024,9,25)</f>
        <v>45560</v>
      </c>
      <c r="G5770" s="10">
        <f t="shared" si="482"/>
        <v>9</v>
      </c>
      <c r="H5770" s="10">
        <f t="shared" si="483"/>
        <v>2024</v>
      </c>
      <c r="I5770" s="2" t="s">
        <v>4</v>
      </c>
      <c r="J5770" s="2" t="s">
        <v>6466</v>
      </c>
      <c r="K5770" s="2" t="s">
        <v>205</v>
      </c>
      <c r="L5770" s="2" t="s">
        <v>206</v>
      </c>
      <c r="M5770" s="2" t="s">
        <v>119</v>
      </c>
      <c r="N5770" s="10" t="str">
        <f t="shared" si="484"/>
        <v>TON</v>
      </c>
      <c r="O5770" s="14">
        <v>2.5125000000000002</v>
      </c>
    </row>
    <row r="5771" spans="2:15" x14ac:dyDescent="0.25">
      <c r="B5771" s="1" t="s">
        <v>1520</v>
      </c>
      <c r="C5771" s="2" t="s">
        <v>196</v>
      </c>
      <c r="D5771" s="2" t="s">
        <v>294</v>
      </c>
      <c r="E5771" s="2" t="s">
        <v>295</v>
      </c>
      <c r="F5771" s="3">
        <f>DATE(2024,9,25)</f>
        <v>45560</v>
      </c>
      <c r="G5771" s="10">
        <f t="shared" si="482"/>
        <v>9</v>
      </c>
      <c r="H5771" s="10">
        <f t="shared" si="483"/>
        <v>2024</v>
      </c>
      <c r="I5771" s="2" t="s">
        <v>4</v>
      </c>
      <c r="J5771" s="2" t="s">
        <v>6467</v>
      </c>
      <c r="K5771" s="2" t="s">
        <v>122</v>
      </c>
      <c r="L5771" s="2" t="s">
        <v>123</v>
      </c>
      <c r="M5771" s="2" t="s">
        <v>119</v>
      </c>
      <c r="N5771" s="10" t="str">
        <f t="shared" si="484"/>
        <v>TON</v>
      </c>
      <c r="O5771" s="14">
        <v>7.51</v>
      </c>
    </row>
    <row r="5772" spans="2:15" x14ac:dyDescent="0.25">
      <c r="B5772" s="1" t="s">
        <v>1520</v>
      </c>
      <c r="C5772" s="2" t="s">
        <v>196</v>
      </c>
      <c r="D5772" s="2" t="s">
        <v>276</v>
      </c>
      <c r="E5772" s="2" t="s">
        <v>277</v>
      </c>
      <c r="F5772" s="3">
        <f>DATE(2024,9,27)</f>
        <v>45562</v>
      </c>
      <c r="G5772" s="10">
        <f t="shared" si="482"/>
        <v>9</v>
      </c>
      <c r="H5772" s="10">
        <f t="shared" si="483"/>
        <v>2024</v>
      </c>
      <c r="I5772" s="2" t="s">
        <v>4</v>
      </c>
      <c r="J5772" s="2" t="s">
        <v>6468</v>
      </c>
      <c r="K5772" s="2" t="s">
        <v>205</v>
      </c>
      <c r="L5772" s="2" t="s">
        <v>206</v>
      </c>
      <c r="M5772" s="2" t="s">
        <v>119</v>
      </c>
      <c r="N5772" s="10" t="str">
        <f t="shared" si="484"/>
        <v>TON</v>
      </c>
      <c r="O5772" s="14">
        <v>1.9950000000000001</v>
      </c>
    </row>
    <row r="5773" spans="2:15" x14ac:dyDescent="0.25">
      <c r="B5773" s="1" t="s">
        <v>1520</v>
      </c>
      <c r="C5773" s="2" t="s">
        <v>196</v>
      </c>
      <c r="D5773" s="2" t="s">
        <v>276</v>
      </c>
      <c r="E5773" s="2" t="s">
        <v>878</v>
      </c>
      <c r="F5773" s="3">
        <f>DATE(2024,9,27)</f>
        <v>45562</v>
      </c>
      <c r="G5773" s="10">
        <f t="shared" si="482"/>
        <v>9</v>
      </c>
      <c r="H5773" s="10">
        <f t="shared" si="483"/>
        <v>2024</v>
      </c>
      <c r="I5773" s="2" t="s">
        <v>4</v>
      </c>
      <c r="J5773" s="2" t="s">
        <v>6469</v>
      </c>
      <c r="K5773" s="2" t="s">
        <v>205</v>
      </c>
      <c r="L5773" s="2" t="s">
        <v>206</v>
      </c>
      <c r="M5773" s="2" t="s">
        <v>119</v>
      </c>
      <c r="N5773" s="10" t="str">
        <f t="shared" si="484"/>
        <v>TON</v>
      </c>
      <c r="O5773" s="14">
        <v>5.0199999999999996</v>
      </c>
    </row>
    <row r="5774" spans="2:15" x14ac:dyDescent="0.25">
      <c r="B5774" s="1" t="s">
        <v>1520</v>
      </c>
      <c r="C5774" s="2" t="s">
        <v>196</v>
      </c>
      <c r="D5774" s="2" t="s">
        <v>241</v>
      </c>
      <c r="E5774" s="2" t="s">
        <v>258</v>
      </c>
      <c r="F5774" s="3">
        <f>DATE(2024,9,30)</f>
        <v>45565</v>
      </c>
      <c r="G5774" s="10">
        <f t="shared" si="482"/>
        <v>9</v>
      </c>
      <c r="H5774" s="10">
        <f t="shared" si="483"/>
        <v>2024</v>
      </c>
      <c r="I5774" s="2" t="s">
        <v>4</v>
      </c>
      <c r="J5774" s="2" t="s">
        <v>6470</v>
      </c>
      <c r="K5774" s="2" t="s">
        <v>3458</v>
      </c>
      <c r="L5774" s="2" t="s">
        <v>3459</v>
      </c>
      <c r="M5774" s="2" t="s">
        <v>119</v>
      </c>
      <c r="N5774" s="10" t="str">
        <f t="shared" si="484"/>
        <v>TON</v>
      </c>
      <c r="O5774" s="14">
        <v>2.25</v>
      </c>
    </row>
    <row r="5775" spans="2:15" x14ac:dyDescent="0.25">
      <c r="B5775" s="1" t="s">
        <v>382</v>
      </c>
      <c r="C5775" s="2" t="s">
        <v>506</v>
      </c>
      <c r="D5775" s="2" t="s">
        <v>1006</v>
      </c>
      <c r="E5775" s="2" t="s">
        <v>1007</v>
      </c>
      <c r="F5775" s="3">
        <f>DATE(2024,9,5)</f>
        <v>45540</v>
      </c>
      <c r="G5775" s="10">
        <f t="shared" si="482"/>
        <v>9</v>
      </c>
      <c r="H5775" s="10">
        <f t="shared" si="483"/>
        <v>2024</v>
      </c>
      <c r="I5775" s="2" t="s">
        <v>4</v>
      </c>
      <c r="J5775" s="2" t="s">
        <v>6471</v>
      </c>
      <c r="K5775" s="2" t="s">
        <v>25</v>
      </c>
      <c r="L5775" s="2" t="s">
        <v>541</v>
      </c>
      <c r="M5775" s="2" t="s">
        <v>27</v>
      </c>
      <c r="N5775" s="10" t="str">
        <f t="shared" si="484"/>
        <v>GAL</v>
      </c>
      <c r="O5775" s="14">
        <v>180</v>
      </c>
    </row>
    <row r="5776" spans="2:15" x14ac:dyDescent="0.25">
      <c r="B5776" s="1" t="s">
        <v>382</v>
      </c>
      <c r="C5776" s="2" t="s">
        <v>506</v>
      </c>
      <c r="D5776" s="2" t="s">
        <v>515</v>
      </c>
      <c r="E5776" s="2" t="s">
        <v>516</v>
      </c>
      <c r="F5776" s="3">
        <f>DATE(2024,9,9)</f>
        <v>45544</v>
      </c>
      <c r="G5776" s="10">
        <f t="shared" si="482"/>
        <v>9</v>
      </c>
      <c r="H5776" s="10">
        <f t="shared" si="483"/>
        <v>2024</v>
      </c>
      <c r="I5776" s="2" t="s">
        <v>4</v>
      </c>
      <c r="J5776" s="2" t="s">
        <v>6472</v>
      </c>
      <c r="K5776" s="2" t="s">
        <v>149</v>
      </c>
      <c r="L5776" s="2" t="s">
        <v>150</v>
      </c>
      <c r="M5776" s="2" t="s">
        <v>21</v>
      </c>
      <c r="N5776" s="10" t="str">
        <f t="shared" si="484"/>
        <v>GAL</v>
      </c>
      <c r="O5776" s="14">
        <v>180</v>
      </c>
    </row>
    <row r="5777" spans="2:15" x14ac:dyDescent="0.25">
      <c r="B5777" s="1" t="s">
        <v>382</v>
      </c>
      <c r="C5777" s="2" t="s">
        <v>506</v>
      </c>
      <c r="D5777" s="2" t="s">
        <v>515</v>
      </c>
      <c r="E5777" s="2" t="s">
        <v>516</v>
      </c>
      <c r="F5777" s="3">
        <f>DATE(2024,9,9)</f>
        <v>45544</v>
      </c>
      <c r="G5777" s="10">
        <f t="shared" si="482"/>
        <v>9</v>
      </c>
      <c r="H5777" s="10">
        <f t="shared" si="483"/>
        <v>2024</v>
      </c>
      <c r="I5777" s="2" t="s">
        <v>4</v>
      </c>
      <c r="J5777" s="2" t="s">
        <v>6472</v>
      </c>
      <c r="K5777" s="2" t="s">
        <v>2447</v>
      </c>
      <c r="L5777" s="2" t="s">
        <v>547</v>
      </c>
      <c r="M5777" s="2" t="s">
        <v>160</v>
      </c>
      <c r="N5777" s="10" t="str">
        <f t="shared" si="484"/>
        <v>GAL</v>
      </c>
      <c r="O5777" s="14">
        <v>180</v>
      </c>
    </row>
    <row r="5778" spans="2:15" x14ac:dyDescent="0.25">
      <c r="B5778" s="1" t="s">
        <v>382</v>
      </c>
      <c r="C5778" s="2" t="s">
        <v>506</v>
      </c>
      <c r="D5778" s="2" t="s">
        <v>515</v>
      </c>
      <c r="E5778" s="2" t="s">
        <v>516</v>
      </c>
      <c r="F5778" s="3">
        <f>DATE(2024,9,9)</f>
        <v>45544</v>
      </c>
      <c r="G5778" s="10">
        <f t="shared" ref="G5778:G5841" si="485">+MONTH(F5778)</f>
        <v>9</v>
      </c>
      <c r="H5778" s="10">
        <f t="shared" ref="H5778:H5841" si="486">+YEAR(F5778)</f>
        <v>2024</v>
      </c>
      <c r="I5778" s="2" t="s">
        <v>4</v>
      </c>
      <c r="J5778" s="2" t="s">
        <v>6472</v>
      </c>
      <c r="K5778" s="2" t="s">
        <v>3877</v>
      </c>
      <c r="L5778" s="2" t="s">
        <v>94</v>
      </c>
      <c r="M5778" s="2" t="s">
        <v>95</v>
      </c>
      <c r="N5778" s="10" t="str">
        <f t="shared" si="484"/>
        <v>GAL</v>
      </c>
      <c r="O5778" s="14">
        <v>180</v>
      </c>
    </row>
    <row r="5779" spans="2:15" x14ac:dyDescent="0.25">
      <c r="B5779" s="1" t="s">
        <v>382</v>
      </c>
      <c r="C5779" s="2" t="s">
        <v>506</v>
      </c>
      <c r="D5779" s="2" t="s">
        <v>995</v>
      </c>
      <c r="E5779" s="2" t="s">
        <v>1721</v>
      </c>
      <c r="F5779" s="3">
        <f>DATE(2024,9,9)</f>
        <v>45544</v>
      </c>
      <c r="G5779" s="10">
        <f t="shared" si="485"/>
        <v>9</v>
      </c>
      <c r="H5779" s="10">
        <f t="shared" si="486"/>
        <v>2024</v>
      </c>
      <c r="I5779" s="2" t="s">
        <v>4</v>
      </c>
      <c r="J5779" s="2" t="s">
        <v>6473</v>
      </c>
      <c r="K5779" s="2" t="s">
        <v>3188</v>
      </c>
      <c r="L5779" s="2" t="s">
        <v>999</v>
      </c>
      <c r="M5779" s="2" t="s">
        <v>1000</v>
      </c>
      <c r="N5779" s="10" t="str">
        <f t="shared" si="484"/>
        <v>GAL</v>
      </c>
      <c r="O5779" s="14">
        <v>55</v>
      </c>
    </row>
    <row r="5780" spans="2:15" x14ac:dyDescent="0.25">
      <c r="B5780" s="1" t="s">
        <v>382</v>
      </c>
      <c r="C5780" s="2" t="s">
        <v>506</v>
      </c>
      <c r="D5780" s="2" t="s">
        <v>521</v>
      </c>
      <c r="E5780" s="2" t="s">
        <v>522</v>
      </c>
      <c r="F5780" s="3">
        <f>DATE(2024,9,10)</f>
        <v>45545</v>
      </c>
      <c r="G5780" s="10">
        <f t="shared" si="485"/>
        <v>9</v>
      </c>
      <c r="H5780" s="10">
        <f t="shared" si="486"/>
        <v>2024</v>
      </c>
      <c r="I5780" s="2" t="s">
        <v>4</v>
      </c>
      <c r="J5780" s="2" t="s">
        <v>6474</v>
      </c>
      <c r="K5780" s="2" t="s">
        <v>5684</v>
      </c>
      <c r="L5780" s="2" t="s">
        <v>1267</v>
      </c>
      <c r="M5780" s="2" t="s">
        <v>191</v>
      </c>
      <c r="N5780" s="10" t="str">
        <f t="shared" si="484"/>
        <v>GAL</v>
      </c>
      <c r="O5780" s="14">
        <v>120</v>
      </c>
    </row>
    <row r="5781" spans="2:15" x14ac:dyDescent="0.25">
      <c r="B5781" s="1" t="s">
        <v>382</v>
      </c>
      <c r="C5781" s="2" t="s">
        <v>506</v>
      </c>
      <c r="D5781" s="2" t="s">
        <v>995</v>
      </c>
      <c r="E5781" s="2" t="s">
        <v>3327</v>
      </c>
      <c r="F5781" s="3">
        <f>DATE(2024,9,13)</f>
        <v>45548</v>
      </c>
      <c r="G5781" s="10">
        <f t="shared" si="485"/>
        <v>9</v>
      </c>
      <c r="H5781" s="10">
        <f t="shared" si="486"/>
        <v>2024</v>
      </c>
      <c r="I5781" s="2" t="s">
        <v>4</v>
      </c>
      <c r="J5781" s="2" t="s">
        <v>6475</v>
      </c>
      <c r="K5781" s="2" t="s">
        <v>3329</v>
      </c>
      <c r="L5781" s="2" t="s">
        <v>1471</v>
      </c>
      <c r="M5781" s="2" t="s">
        <v>1472</v>
      </c>
      <c r="N5781" s="10" t="str">
        <f t="shared" si="484"/>
        <v>GAL</v>
      </c>
      <c r="O5781" s="14">
        <v>250</v>
      </c>
    </row>
    <row r="5782" spans="2:15" x14ac:dyDescent="0.25">
      <c r="B5782" s="1" t="s">
        <v>645</v>
      </c>
      <c r="C5782" s="2" t="s">
        <v>1025</v>
      </c>
      <c r="D5782" s="2" t="s">
        <v>2079</v>
      </c>
      <c r="E5782" s="2" t="s">
        <v>1402</v>
      </c>
      <c r="F5782" s="3">
        <f>DATE(2024,9,4)</f>
        <v>45539</v>
      </c>
      <c r="G5782" s="10">
        <f t="shared" si="485"/>
        <v>9</v>
      </c>
      <c r="H5782" s="10">
        <f t="shared" si="486"/>
        <v>2024</v>
      </c>
      <c r="I5782" s="2" t="s">
        <v>4</v>
      </c>
      <c r="J5782" s="2" t="s">
        <v>6476</v>
      </c>
      <c r="K5782" s="2" t="s">
        <v>816</v>
      </c>
      <c r="L5782" s="2" t="s">
        <v>545</v>
      </c>
      <c r="M5782" s="2" t="s">
        <v>67</v>
      </c>
      <c r="N5782" s="10" t="str">
        <f t="shared" si="484"/>
        <v>GAL</v>
      </c>
      <c r="O5782" s="14">
        <v>180</v>
      </c>
    </row>
    <row r="5783" spans="2:15" x14ac:dyDescent="0.25">
      <c r="B5783" s="1" t="s">
        <v>645</v>
      </c>
      <c r="C5783" s="2" t="s">
        <v>1025</v>
      </c>
      <c r="D5783" s="2" t="s">
        <v>2079</v>
      </c>
      <c r="E5783" s="2" t="s">
        <v>1402</v>
      </c>
      <c r="F5783" s="3">
        <f>DATE(2024,9,4)</f>
        <v>45539</v>
      </c>
      <c r="G5783" s="10">
        <f t="shared" si="485"/>
        <v>9</v>
      </c>
      <c r="H5783" s="10">
        <f t="shared" si="486"/>
        <v>2024</v>
      </c>
      <c r="I5783" s="2" t="s">
        <v>4</v>
      </c>
      <c r="J5783" s="2" t="s">
        <v>6476</v>
      </c>
      <c r="K5783" s="2" t="s">
        <v>817</v>
      </c>
      <c r="L5783" s="2" t="s">
        <v>818</v>
      </c>
      <c r="M5783" s="2" t="s">
        <v>556</v>
      </c>
      <c r="N5783" s="10" t="str">
        <f t="shared" si="484"/>
        <v>GAL</v>
      </c>
      <c r="O5783" s="14">
        <v>180</v>
      </c>
    </row>
    <row r="5784" spans="2:15" x14ac:dyDescent="0.25">
      <c r="B5784" s="1" t="s">
        <v>645</v>
      </c>
      <c r="C5784" s="2" t="s">
        <v>1025</v>
      </c>
      <c r="D5784" s="2" t="s">
        <v>2464</v>
      </c>
      <c r="E5784" s="2" t="s">
        <v>102</v>
      </c>
      <c r="F5784" s="3">
        <f>DATE(2024,9,4)</f>
        <v>45539</v>
      </c>
      <c r="G5784" s="10">
        <f t="shared" si="485"/>
        <v>9</v>
      </c>
      <c r="H5784" s="10">
        <f t="shared" si="486"/>
        <v>2024</v>
      </c>
      <c r="I5784" s="2" t="s">
        <v>4</v>
      </c>
      <c r="J5784" s="2" t="s">
        <v>6477</v>
      </c>
      <c r="K5784" s="2" t="s">
        <v>2466</v>
      </c>
      <c r="L5784" s="2" t="s">
        <v>2467</v>
      </c>
      <c r="M5784" s="2" t="s">
        <v>2468</v>
      </c>
      <c r="N5784" s="10" t="str">
        <f t="shared" si="484"/>
        <v>GAL</v>
      </c>
      <c r="O5784" s="14">
        <v>180</v>
      </c>
    </row>
    <row r="5785" spans="2:15" x14ac:dyDescent="0.25">
      <c r="B5785" s="1" t="s">
        <v>645</v>
      </c>
      <c r="C5785" s="2" t="s">
        <v>1025</v>
      </c>
      <c r="D5785" s="2" t="s">
        <v>2079</v>
      </c>
      <c r="E5785" s="2" t="s">
        <v>1402</v>
      </c>
      <c r="F5785" s="3">
        <f>DATE(2024,9,9)</f>
        <v>45544</v>
      </c>
      <c r="G5785" s="10">
        <f t="shared" si="485"/>
        <v>9</v>
      </c>
      <c r="H5785" s="10">
        <f t="shared" si="486"/>
        <v>2024</v>
      </c>
      <c r="I5785" s="2" t="s">
        <v>4</v>
      </c>
      <c r="J5785" s="2" t="s">
        <v>6478</v>
      </c>
      <c r="K5785" s="2" t="s">
        <v>609</v>
      </c>
      <c r="L5785" s="2" t="s">
        <v>610</v>
      </c>
      <c r="M5785" s="2" t="s">
        <v>611</v>
      </c>
      <c r="N5785" s="10" t="str">
        <f t="shared" si="484"/>
        <v>GAL</v>
      </c>
      <c r="O5785" s="14">
        <v>180</v>
      </c>
    </row>
    <row r="5786" spans="2:15" x14ac:dyDescent="0.25">
      <c r="B5786" s="1" t="s">
        <v>1742</v>
      </c>
      <c r="C5786" s="2" t="s">
        <v>1025</v>
      </c>
      <c r="D5786" s="2" t="s">
        <v>496</v>
      </c>
      <c r="E5786" s="2" t="s">
        <v>497</v>
      </c>
      <c r="F5786" s="3">
        <f>DATE(2024,9,13)</f>
        <v>45548</v>
      </c>
      <c r="G5786" s="10">
        <f t="shared" si="485"/>
        <v>9</v>
      </c>
      <c r="H5786" s="10">
        <f t="shared" si="486"/>
        <v>2024</v>
      </c>
      <c r="I5786" s="2" t="s">
        <v>4</v>
      </c>
      <c r="J5786" s="2" t="s">
        <v>6479</v>
      </c>
      <c r="K5786" s="2" t="s">
        <v>499</v>
      </c>
      <c r="L5786" s="2" t="s">
        <v>500</v>
      </c>
      <c r="M5786" s="2" t="s">
        <v>119</v>
      </c>
      <c r="N5786" s="10" t="str">
        <f t="shared" si="484"/>
        <v>TON</v>
      </c>
      <c r="O5786" s="14">
        <v>2.5</v>
      </c>
    </row>
    <row r="5787" spans="2:15" x14ac:dyDescent="0.25">
      <c r="B5787" s="1" t="s">
        <v>645</v>
      </c>
      <c r="C5787" s="2" t="s">
        <v>1025</v>
      </c>
      <c r="D5787" s="2" t="s">
        <v>1026</v>
      </c>
      <c r="E5787" s="2" t="s">
        <v>3262</v>
      </c>
      <c r="F5787" s="3">
        <f>DATE(2024,9,16)</f>
        <v>45551</v>
      </c>
      <c r="G5787" s="10">
        <f t="shared" si="485"/>
        <v>9</v>
      </c>
      <c r="H5787" s="10">
        <f t="shared" si="486"/>
        <v>2024</v>
      </c>
      <c r="I5787" s="2" t="s">
        <v>4</v>
      </c>
      <c r="J5787" s="2" t="s">
        <v>6480</v>
      </c>
      <c r="K5787" s="2" t="s">
        <v>1028</v>
      </c>
      <c r="L5787" s="2" t="s">
        <v>1029</v>
      </c>
      <c r="M5787" s="2" t="s">
        <v>106</v>
      </c>
      <c r="N5787" s="10" t="str">
        <f t="shared" si="484"/>
        <v>LBS</v>
      </c>
      <c r="O5787" s="14">
        <v>22920</v>
      </c>
    </row>
    <row r="5788" spans="2:15" x14ac:dyDescent="0.25">
      <c r="B5788" s="1" t="s">
        <v>1410</v>
      </c>
      <c r="C5788" s="2" t="s">
        <v>525</v>
      </c>
      <c r="D5788" s="2" t="s">
        <v>507</v>
      </c>
      <c r="E5788" s="2" t="s">
        <v>508</v>
      </c>
      <c r="F5788" s="3">
        <f>DATE(2024,9,5)</f>
        <v>45540</v>
      </c>
      <c r="G5788" s="10">
        <f t="shared" si="485"/>
        <v>9</v>
      </c>
      <c r="H5788" s="10">
        <f t="shared" si="486"/>
        <v>2024</v>
      </c>
      <c r="I5788" s="2" t="s">
        <v>4</v>
      </c>
      <c r="J5788" s="2" t="s">
        <v>6481</v>
      </c>
      <c r="K5788" s="2" t="s">
        <v>329</v>
      </c>
      <c r="L5788" s="2" t="s">
        <v>330</v>
      </c>
      <c r="M5788" s="2" t="s">
        <v>119</v>
      </c>
      <c r="N5788" s="10" t="str">
        <f t="shared" si="484"/>
        <v>TON</v>
      </c>
      <c r="O5788" s="14">
        <v>5.0075000000000003</v>
      </c>
    </row>
    <row r="5789" spans="2:15" x14ac:dyDescent="0.25">
      <c r="B5789" s="1" t="s">
        <v>1410</v>
      </c>
      <c r="C5789" s="2" t="s">
        <v>525</v>
      </c>
      <c r="D5789" s="2" t="s">
        <v>1956</v>
      </c>
      <c r="E5789" s="2" t="s">
        <v>102</v>
      </c>
      <c r="F5789" s="3">
        <f>DATE(2024,9,19)</f>
        <v>45554</v>
      </c>
      <c r="G5789" s="10">
        <f t="shared" si="485"/>
        <v>9</v>
      </c>
      <c r="H5789" s="10">
        <f t="shared" si="486"/>
        <v>2024</v>
      </c>
      <c r="I5789" s="2" t="s">
        <v>4</v>
      </c>
      <c r="J5789" s="2" t="s">
        <v>6482</v>
      </c>
      <c r="K5789" s="2" t="s">
        <v>122</v>
      </c>
      <c r="L5789" s="2" t="s">
        <v>123</v>
      </c>
      <c r="M5789" s="2" t="s">
        <v>119</v>
      </c>
      <c r="N5789" s="10" t="str">
        <f t="shared" si="484"/>
        <v>TON</v>
      </c>
      <c r="O5789" s="14">
        <v>0.15</v>
      </c>
    </row>
    <row r="5790" spans="2:15" x14ac:dyDescent="0.25">
      <c r="B5790" s="1" t="s">
        <v>1410</v>
      </c>
      <c r="C5790" s="2" t="s">
        <v>525</v>
      </c>
      <c r="D5790" s="2" t="s">
        <v>646</v>
      </c>
      <c r="E5790" s="2" t="s">
        <v>647</v>
      </c>
      <c r="F5790" s="3">
        <f>DATE(2024,9,24)</f>
        <v>45559</v>
      </c>
      <c r="G5790" s="10">
        <f t="shared" si="485"/>
        <v>9</v>
      </c>
      <c r="H5790" s="10">
        <f t="shared" si="486"/>
        <v>2024</v>
      </c>
      <c r="I5790" s="2" t="s">
        <v>4</v>
      </c>
      <c r="J5790" s="2" t="s">
        <v>6483</v>
      </c>
      <c r="K5790" s="2" t="s">
        <v>649</v>
      </c>
      <c r="L5790" s="2" t="s">
        <v>538</v>
      </c>
      <c r="M5790" s="2" t="s">
        <v>4243</v>
      </c>
      <c r="N5790" s="10" t="str">
        <f t="shared" si="484"/>
        <v>GAL</v>
      </c>
      <c r="O5790" s="14">
        <v>2000</v>
      </c>
    </row>
    <row r="5791" spans="2:15" x14ac:dyDescent="0.25">
      <c r="B5791" s="1" t="s">
        <v>645</v>
      </c>
      <c r="C5791" s="2" t="s">
        <v>533</v>
      </c>
      <c r="D5791" s="2" t="s">
        <v>562</v>
      </c>
      <c r="E5791" s="2" t="s">
        <v>563</v>
      </c>
      <c r="F5791" s="3">
        <f>DATE(2024,9,11)</f>
        <v>45546</v>
      </c>
      <c r="G5791" s="10">
        <f t="shared" si="485"/>
        <v>9</v>
      </c>
      <c r="H5791" s="10">
        <f t="shared" si="486"/>
        <v>2024</v>
      </c>
      <c r="I5791" s="2" t="s">
        <v>4</v>
      </c>
      <c r="J5791" s="2" t="s">
        <v>6484</v>
      </c>
      <c r="K5791" s="2" t="s">
        <v>566</v>
      </c>
      <c r="L5791" s="2" t="s">
        <v>565</v>
      </c>
      <c r="M5791" s="2" t="s">
        <v>21</v>
      </c>
      <c r="N5791" s="10" t="str">
        <f t="shared" si="484"/>
        <v>GAL</v>
      </c>
      <c r="O5791" s="14">
        <v>55</v>
      </c>
    </row>
    <row r="5792" spans="2:15" x14ac:dyDescent="0.25">
      <c r="B5792" s="1" t="s">
        <v>645</v>
      </c>
      <c r="C5792" s="2" t="s">
        <v>533</v>
      </c>
      <c r="D5792" s="2" t="s">
        <v>562</v>
      </c>
      <c r="E5792" s="2" t="s">
        <v>563</v>
      </c>
      <c r="F5792" s="3">
        <f>DATE(2024,9,11)</f>
        <v>45546</v>
      </c>
      <c r="G5792" s="10">
        <f t="shared" si="485"/>
        <v>9</v>
      </c>
      <c r="H5792" s="10">
        <f t="shared" si="486"/>
        <v>2024</v>
      </c>
      <c r="I5792" s="2" t="s">
        <v>4</v>
      </c>
      <c r="J5792" s="2" t="s">
        <v>6484</v>
      </c>
      <c r="K5792" s="2" t="s">
        <v>19</v>
      </c>
      <c r="L5792" s="2" t="s">
        <v>565</v>
      </c>
      <c r="M5792" s="2" t="s">
        <v>21</v>
      </c>
      <c r="N5792" s="10" t="str">
        <f t="shared" si="484"/>
        <v>GAL</v>
      </c>
      <c r="O5792" s="14">
        <v>180</v>
      </c>
    </row>
    <row r="5793" spans="2:15" x14ac:dyDescent="0.25">
      <c r="B5793" s="1" t="s">
        <v>645</v>
      </c>
      <c r="C5793" s="2" t="s">
        <v>533</v>
      </c>
      <c r="D5793" s="2" t="s">
        <v>534</v>
      </c>
      <c r="E5793" s="2" t="s">
        <v>535</v>
      </c>
      <c r="F5793" s="3">
        <f t="shared" ref="F5793:F5798" si="487">DATE(2024,9,12)</f>
        <v>45547</v>
      </c>
      <c r="G5793" s="10">
        <f t="shared" si="485"/>
        <v>9</v>
      </c>
      <c r="H5793" s="10">
        <f t="shared" si="486"/>
        <v>2024</v>
      </c>
      <c r="I5793" s="2" t="s">
        <v>4</v>
      </c>
      <c r="J5793" s="2" t="s">
        <v>6485</v>
      </c>
      <c r="K5793" s="2" t="s">
        <v>537</v>
      </c>
      <c r="L5793" s="2" t="s">
        <v>538</v>
      </c>
      <c r="M5793" s="2" t="s">
        <v>4243</v>
      </c>
      <c r="N5793" s="10" t="str">
        <f t="shared" si="484"/>
        <v>GAL</v>
      </c>
      <c r="O5793" s="14">
        <v>55</v>
      </c>
    </row>
    <row r="5794" spans="2:15" x14ac:dyDescent="0.25">
      <c r="B5794" s="1" t="s">
        <v>645</v>
      </c>
      <c r="C5794" s="2" t="s">
        <v>533</v>
      </c>
      <c r="D5794" s="2" t="s">
        <v>534</v>
      </c>
      <c r="E5794" s="2" t="s">
        <v>535</v>
      </c>
      <c r="F5794" s="3">
        <f t="shared" si="487"/>
        <v>45547</v>
      </c>
      <c r="G5794" s="10">
        <f t="shared" si="485"/>
        <v>9</v>
      </c>
      <c r="H5794" s="10">
        <f t="shared" si="486"/>
        <v>2024</v>
      </c>
      <c r="I5794" s="2" t="s">
        <v>4</v>
      </c>
      <c r="J5794" s="2" t="s">
        <v>6485</v>
      </c>
      <c r="K5794" s="2" t="s">
        <v>2539</v>
      </c>
      <c r="L5794" s="2" t="s">
        <v>150</v>
      </c>
      <c r="M5794" s="2" t="s">
        <v>21</v>
      </c>
      <c r="N5794" s="10" t="str">
        <f t="shared" si="484"/>
        <v>GAL</v>
      </c>
      <c r="O5794" s="14">
        <v>55</v>
      </c>
    </row>
    <row r="5795" spans="2:15" x14ac:dyDescent="0.25">
      <c r="B5795" s="1" t="s">
        <v>645</v>
      </c>
      <c r="C5795" s="2" t="s">
        <v>533</v>
      </c>
      <c r="D5795" s="2" t="s">
        <v>534</v>
      </c>
      <c r="E5795" s="2" t="s">
        <v>535</v>
      </c>
      <c r="F5795" s="3">
        <f t="shared" si="487"/>
        <v>45547</v>
      </c>
      <c r="G5795" s="10">
        <f t="shared" si="485"/>
        <v>9</v>
      </c>
      <c r="H5795" s="10">
        <f t="shared" si="486"/>
        <v>2024</v>
      </c>
      <c r="I5795" s="2" t="s">
        <v>4</v>
      </c>
      <c r="J5795" s="2" t="s">
        <v>6485</v>
      </c>
      <c r="K5795" s="2" t="s">
        <v>540</v>
      </c>
      <c r="L5795" s="2" t="s">
        <v>541</v>
      </c>
      <c r="M5795" s="2" t="s">
        <v>27</v>
      </c>
      <c r="N5795" s="10" t="str">
        <f t="shared" si="484"/>
        <v>GAL</v>
      </c>
      <c r="O5795" s="14">
        <v>55</v>
      </c>
    </row>
    <row r="5796" spans="2:15" x14ac:dyDescent="0.25">
      <c r="B5796" s="1" t="s">
        <v>645</v>
      </c>
      <c r="C5796" s="2" t="s">
        <v>533</v>
      </c>
      <c r="D5796" s="2" t="s">
        <v>534</v>
      </c>
      <c r="E5796" s="2" t="s">
        <v>535</v>
      </c>
      <c r="F5796" s="3">
        <f t="shared" si="487"/>
        <v>45547</v>
      </c>
      <c r="G5796" s="10">
        <f t="shared" si="485"/>
        <v>9</v>
      </c>
      <c r="H5796" s="10">
        <f t="shared" si="486"/>
        <v>2024</v>
      </c>
      <c r="I5796" s="2" t="s">
        <v>4</v>
      </c>
      <c r="J5796" s="2" t="s">
        <v>6485</v>
      </c>
      <c r="K5796" s="2" t="s">
        <v>1786</v>
      </c>
      <c r="L5796" s="2" t="s">
        <v>518</v>
      </c>
      <c r="M5796" s="2" t="s">
        <v>85</v>
      </c>
      <c r="N5796" s="10" t="str">
        <f t="shared" si="484"/>
        <v>GAL</v>
      </c>
      <c r="O5796" s="14">
        <v>110</v>
      </c>
    </row>
    <row r="5797" spans="2:15" x14ac:dyDescent="0.25">
      <c r="B5797" s="1" t="s">
        <v>645</v>
      </c>
      <c r="C5797" s="2" t="s">
        <v>533</v>
      </c>
      <c r="D5797" s="2" t="s">
        <v>534</v>
      </c>
      <c r="E5797" s="2" t="s">
        <v>535</v>
      </c>
      <c r="F5797" s="3">
        <f t="shared" si="487"/>
        <v>45547</v>
      </c>
      <c r="G5797" s="10">
        <f t="shared" si="485"/>
        <v>9</v>
      </c>
      <c r="H5797" s="10">
        <f t="shared" si="486"/>
        <v>2024</v>
      </c>
      <c r="I5797" s="2" t="s">
        <v>4</v>
      </c>
      <c r="J5797" s="2" t="s">
        <v>6485</v>
      </c>
      <c r="K5797" s="2" t="s">
        <v>11</v>
      </c>
      <c r="L5797" s="2" t="s">
        <v>1010</v>
      </c>
      <c r="M5797" s="2" t="s">
        <v>13</v>
      </c>
      <c r="N5797" s="10" t="str">
        <f t="shared" si="484"/>
        <v>GAL</v>
      </c>
      <c r="O5797" s="14">
        <v>55</v>
      </c>
    </row>
    <row r="5798" spans="2:15" x14ac:dyDescent="0.25">
      <c r="B5798" s="1" t="s">
        <v>645</v>
      </c>
      <c r="C5798" s="2" t="s">
        <v>533</v>
      </c>
      <c r="D5798" s="2" t="s">
        <v>534</v>
      </c>
      <c r="E5798" s="2" t="s">
        <v>535</v>
      </c>
      <c r="F5798" s="3">
        <f t="shared" si="487"/>
        <v>45547</v>
      </c>
      <c r="G5798" s="10">
        <f t="shared" si="485"/>
        <v>9</v>
      </c>
      <c r="H5798" s="10">
        <f t="shared" si="486"/>
        <v>2024</v>
      </c>
      <c r="I5798" s="2" t="s">
        <v>4</v>
      </c>
      <c r="J5798" s="2" t="s">
        <v>6485</v>
      </c>
      <c r="K5798" s="2" t="s">
        <v>3900</v>
      </c>
      <c r="L5798" s="2" t="s">
        <v>555</v>
      </c>
      <c r="M5798" s="2" t="s">
        <v>556</v>
      </c>
      <c r="N5798" s="10" t="str">
        <f t="shared" si="484"/>
        <v>GAL</v>
      </c>
      <c r="O5798" s="14">
        <v>110</v>
      </c>
    </row>
    <row r="5799" spans="2:15" x14ac:dyDescent="0.25">
      <c r="B5799" s="1" t="s">
        <v>3113</v>
      </c>
      <c r="C5799" s="2" t="s">
        <v>3114</v>
      </c>
      <c r="D5799" s="2" t="s">
        <v>5736</v>
      </c>
      <c r="E5799" s="2" t="s">
        <v>102</v>
      </c>
      <c r="F5799" s="3">
        <f>DATE(2024,9,30)</f>
        <v>45565</v>
      </c>
      <c r="G5799" s="10">
        <f t="shared" si="485"/>
        <v>9</v>
      </c>
      <c r="H5799" s="10">
        <f t="shared" si="486"/>
        <v>2024</v>
      </c>
      <c r="I5799" s="2" t="s">
        <v>4</v>
      </c>
      <c r="J5799" s="2" t="s">
        <v>6486</v>
      </c>
      <c r="K5799" s="2" t="s">
        <v>1501</v>
      </c>
      <c r="L5799" s="2" t="s">
        <v>602</v>
      </c>
      <c r="M5799" s="2" t="s">
        <v>41</v>
      </c>
      <c r="N5799" s="10" t="str">
        <f t="shared" si="484"/>
        <v>GAL</v>
      </c>
      <c r="O5799" s="14">
        <v>105</v>
      </c>
    </row>
    <row r="5800" spans="2:15" x14ac:dyDescent="0.25">
      <c r="B5800" s="1" t="s">
        <v>3113</v>
      </c>
      <c r="C5800" s="2" t="s">
        <v>3114</v>
      </c>
      <c r="D5800" s="2" t="s">
        <v>5736</v>
      </c>
      <c r="E5800" s="2" t="s">
        <v>102</v>
      </c>
      <c r="F5800" s="3">
        <f>DATE(2024,9,30)</f>
        <v>45565</v>
      </c>
      <c r="G5800" s="10">
        <f t="shared" si="485"/>
        <v>9</v>
      </c>
      <c r="H5800" s="10">
        <f t="shared" si="486"/>
        <v>2024</v>
      </c>
      <c r="I5800" s="2" t="s">
        <v>4</v>
      </c>
      <c r="J5800" s="2" t="s">
        <v>6486</v>
      </c>
      <c r="K5800" s="2" t="s">
        <v>158</v>
      </c>
      <c r="L5800" s="2" t="s">
        <v>159</v>
      </c>
      <c r="M5800" s="2" t="s">
        <v>160</v>
      </c>
      <c r="N5800" s="10" t="str">
        <f t="shared" si="484"/>
        <v>GAL</v>
      </c>
      <c r="O5800" s="14">
        <v>20</v>
      </c>
    </row>
    <row r="5801" spans="2:15" x14ac:dyDescent="0.25">
      <c r="B5801" s="1" t="s">
        <v>3238</v>
      </c>
      <c r="C5801" s="2" t="s">
        <v>3239</v>
      </c>
      <c r="D5801" s="2" t="s">
        <v>3240</v>
      </c>
      <c r="E5801" s="2" t="s">
        <v>102</v>
      </c>
      <c r="F5801" s="3">
        <f>DATE(2024,9,4)</f>
        <v>45539</v>
      </c>
      <c r="G5801" s="10">
        <f t="shared" si="485"/>
        <v>9</v>
      </c>
      <c r="H5801" s="10">
        <f t="shared" si="486"/>
        <v>2024</v>
      </c>
      <c r="I5801" s="2" t="s">
        <v>4</v>
      </c>
      <c r="J5801" s="2" t="s">
        <v>6487</v>
      </c>
      <c r="K5801" s="2" t="s">
        <v>3188</v>
      </c>
      <c r="L5801" s="2" t="s">
        <v>3526</v>
      </c>
      <c r="M5801" s="2" t="s">
        <v>1000</v>
      </c>
      <c r="N5801" s="10" t="str">
        <f t="shared" si="484"/>
        <v>GAL</v>
      </c>
      <c r="O5801" s="14">
        <v>55</v>
      </c>
    </row>
    <row r="5802" spans="2:15" x14ac:dyDescent="0.25">
      <c r="B5802" s="1" t="s">
        <v>3238</v>
      </c>
      <c r="C5802" s="2" t="s">
        <v>3239</v>
      </c>
      <c r="D5802" s="2" t="s">
        <v>6120</v>
      </c>
      <c r="E5802" s="2" t="s">
        <v>141</v>
      </c>
      <c r="F5802" s="3">
        <f>DATE(2024,9,4)</f>
        <v>45539</v>
      </c>
      <c r="G5802" s="10">
        <f t="shared" si="485"/>
        <v>9</v>
      </c>
      <c r="H5802" s="10">
        <f t="shared" si="486"/>
        <v>2024</v>
      </c>
      <c r="I5802" s="2" t="s">
        <v>4</v>
      </c>
      <c r="J5802" s="2" t="s">
        <v>6488</v>
      </c>
      <c r="K5802" s="2" t="s">
        <v>6489</v>
      </c>
      <c r="L5802" s="2" t="s">
        <v>6490</v>
      </c>
      <c r="M5802" s="2" t="s">
        <v>2528</v>
      </c>
      <c r="N5802" s="10" t="str">
        <f t="shared" si="484"/>
        <v>GAL</v>
      </c>
      <c r="O5802" s="14">
        <v>60</v>
      </c>
    </row>
    <row r="5803" spans="2:15" x14ac:dyDescent="0.25">
      <c r="B5803" s="1" t="s">
        <v>3238</v>
      </c>
      <c r="C5803" s="2" t="s">
        <v>3239</v>
      </c>
      <c r="D5803" s="2" t="s">
        <v>6120</v>
      </c>
      <c r="E5803" s="2" t="s">
        <v>141</v>
      </c>
      <c r="F5803" s="3">
        <f>DATE(2024,9,4)</f>
        <v>45539</v>
      </c>
      <c r="G5803" s="10">
        <f t="shared" si="485"/>
        <v>9</v>
      </c>
      <c r="H5803" s="10">
        <f t="shared" si="486"/>
        <v>2024</v>
      </c>
      <c r="I5803" s="2" t="s">
        <v>4</v>
      </c>
      <c r="J5803" s="2" t="s">
        <v>6488</v>
      </c>
      <c r="K5803" s="2" t="s">
        <v>6491</v>
      </c>
      <c r="L5803" s="2" t="s">
        <v>6492</v>
      </c>
      <c r="M5803" s="2" t="s">
        <v>2455</v>
      </c>
      <c r="N5803" s="10" t="str">
        <f t="shared" si="484"/>
        <v>GAL</v>
      </c>
      <c r="O5803" s="14">
        <v>60</v>
      </c>
    </row>
    <row r="5804" spans="2:15" x14ac:dyDescent="0.25">
      <c r="B5804" s="1" t="s">
        <v>3238</v>
      </c>
      <c r="C5804" s="2" t="s">
        <v>3239</v>
      </c>
      <c r="D5804" s="2" t="s">
        <v>6120</v>
      </c>
      <c r="E5804" s="2" t="s">
        <v>6170</v>
      </c>
      <c r="F5804" s="3">
        <f>DATE(2024,9,4)</f>
        <v>45539</v>
      </c>
      <c r="G5804" s="10">
        <f t="shared" si="485"/>
        <v>9</v>
      </c>
      <c r="H5804" s="10">
        <f t="shared" si="486"/>
        <v>2024</v>
      </c>
      <c r="I5804" s="2" t="s">
        <v>4</v>
      </c>
      <c r="J5804" s="2" t="s">
        <v>6493</v>
      </c>
      <c r="K5804" s="2" t="s">
        <v>6079</v>
      </c>
      <c r="L5804" s="2" t="s">
        <v>6080</v>
      </c>
      <c r="M5804" s="2" t="s">
        <v>6081</v>
      </c>
      <c r="N5804" s="10" t="str">
        <f t="shared" si="484"/>
        <v>GAL</v>
      </c>
      <c r="O5804" s="14">
        <v>60</v>
      </c>
    </row>
    <row r="5805" spans="2:15" x14ac:dyDescent="0.25">
      <c r="B5805" s="1" t="s">
        <v>3238</v>
      </c>
      <c r="C5805" s="2" t="s">
        <v>3239</v>
      </c>
      <c r="D5805" s="2" t="s">
        <v>6120</v>
      </c>
      <c r="E5805" s="2" t="s">
        <v>6130</v>
      </c>
      <c r="F5805" s="3">
        <f>DATE(2024,9,6)</f>
        <v>45541</v>
      </c>
      <c r="G5805" s="10">
        <f t="shared" si="485"/>
        <v>9</v>
      </c>
      <c r="H5805" s="10">
        <f t="shared" si="486"/>
        <v>2024</v>
      </c>
      <c r="I5805" s="2" t="s">
        <v>4</v>
      </c>
      <c r="J5805" s="2" t="s">
        <v>6494</v>
      </c>
      <c r="K5805" s="2" t="s">
        <v>998</v>
      </c>
      <c r="L5805" s="2" t="s">
        <v>999</v>
      </c>
      <c r="M5805" s="2" t="s">
        <v>1000</v>
      </c>
      <c r="N5805" s="10" t="str">
        <f t="shared" si="484"/>
        <v>GAL</v>
      </c>
      <c r="O5805" s="14">
        <v>250</v>
      </c>
    </row>
    <row r="5806" spans="2:15" x14ac:dyDescent="0.25">
      <c r="B5806" s="1" t="s">
        <v>3238</v>
      </c>
      <c r="C5806" s="2" t="s">
        <v>3239</v>
      </c>
      <c r="D5806" s="2" t="s">
        <v>6120</v>
      </c>
      <c r="E5806" s="2" t="s">
        <v>141</v>
      </c>
      <c r="F5806" s="3">
        <f>DATE(2024,9,6)</f>
        <v>45541</v>
      </c>
      <c r="G5806" s="10">
        <f t="shared" si="485"/>
        <v>9</v>
      </c>
      <c r="H5806" s="10">
        <f t="shared" si="486"/>
        <v>2024</v>
      </c>
      <c r="I5806" s="2" t="s">
        <v>4</v>
      </c>
      <c r="J5806" s="2" t="s">
        <v>6495</v>
      </c>
      <c r="K5806" s="2" t="s">
        <v>6489</v>
      </c>
      <c r="L5806" s="2" t="s">
        <v>6490</v>
      </c>
      <c r="M5806" s="2" t="s">
        <v>2528</v>
      </c>
      <c r="N5806" s="10" t="str">
        <f t="shared" si="484"/>
        <v>GAL</v>
      </c>
      <c r="O5806" s="14">
        <v>90</v>
      </c>
    </row>
    <row r="5807" spans="2:15" x14ac:dyDescent="0.25">
      <c r="B5807" s="1" t="s">
        <v>3238</v>
      </c>
      <c r="C5807" s="2" t="s">
        <v>3239</v>
      </c>
      <c r="D5807" s="2" t="s">
        <v>6120</v>
      </c>
      <c r="E5807" s="2" t="s">
        <v>141</v>
      </c>
      <c r="F5807" s="3">
        <f>DATE(2024,9,6)</f>
        <v>45541</v>
      </c>
      <c r="G5807" s="10">
        <f t="shared" si="485"/>
        <v>9</v>
      </c>
      <c r="H5807" s="10">
        <f t="shared" si="486"/>
        <v>2024</v>
      </c>
      <c r="I5807" s="2" t="s">
        <v>4</v>
      </c>
      <c r="J5807" s="2" t="s">
        <v>6495</v>
      </c>
      <c r="K5807" s="2" t="s">
        <v>6491</v>
      </c>
      <c r="L5807" s="2" t="s">
        <v>6492</v>
      </c>
      <c r="M5807" s="2" t="s">
        <v>2455</v>
      </c>
      <c r="N5807" s="10" t="str">
        <f t="shared" si="484"/>
        <v>GAL</v>
      </c>
      <c r="O5807" s="14">
        <v>90</v>
      </c>
    </row>
    <row r="5808" spans="2:15" x14ac:dyDescent="0.25">
      <c r="B5808" s="1" t="s">
        <v>3238</v>
      </c>
      <c r="C5808" s="2" t="s">
        <v>3239</v>
      </c>
      <c r="D5808" s="2" t="s">
        <v>3240</v>
      </c>
      <c r="E5808" s="2" t="s">
        <v>3388</v>
      </c>
      <c r="F5808" s="3">
        <f>DATE(2024,9,9)</f>
        <v>45544</v>
      </c>
      <c r="G5808" s="10">
        <f t="shared" si="485"/>
        <v>9</v>
      </c>
      <c r="H5808" s="10">
        <f t="shared" si="486"/>
        <v>2024</v>
      </c>
      <c r="I5808" s="2" t="s">
        <v>4</v>
      </c>
      <c r="J5808" s="2" t="s">
        <v>6496</v>
      </c>
      <c r="K5808" s="2" t="s">
        <v>3404</v>
      </c>
      <c r="L5808" s="2" t="s">
        <v>3405</v>
      </c>
      <c r="M5808" s="2" t="s">
        <v>3406</v>
      </c>
      <c r="N5808" s="10" t="str">
        <f t="shared" si="484"/>
        <v>GAL</v>
      </c>
      <c r="O5808" s="14">
        <v>250</v>
      </c>
    </row>
    <row r="5809" spans="2:15" x14ac:dyDescent="0.25">
      <c r="B5809" s="1" t="s">
        <v>3238</v>
      </c>
      <c r="C5809" s="2" t="s">
        <v>3239</v>
      </c>
      <c r="D5809" s="2" t="s">
        <v>3240</v>
      </c>
      <c r="E5809" s="2" t="s">
        <v>102</v>
      </c>
      <c r="F5809" s="3">
        <f>DATE(2024,9,10)</f>
        <v>45545</v>
      </c>
      <c r="G5809" s="10">
        <f t="shared" si="485"/>
        <v>9</v>
      </c>
      <c r="H5809" s="10">
        <f t="shared" si="486"/>
        <v>2024</v>
      </c>
      <c r="I5809" s="2" t="s">
        <v>4</v>
      </c>
      <c r="J5809" s="2" t="s">
        <v>6497</v>
      </c>
      <c r="K5809" s="2" t="s">
        <v>5968</v>
      </c>
      <c r="L5809" s="2" t="s">
        <v>5969</v>
      </c>
      <c r="M5809" s="2" t="s">
        <v>5970</v>
      </c>
      <c r="N5809" s="10" t="str">
        <f t="shared" si="484"/>
        <v>GAL</v>
      </c>
      <c r="O5809" s="14">
        <v>90</v>
      </c>
    </row>
    <row r="5810" spans="2:15" x14ac:dyDescent="0.25">
      <c r="B5810" s="1" t="s">
        <v>3238</v>
      </c>
      <c r="C5810" s="2" t="s">
        <v>3239</v>
      </c>
      <c r="D5810" s="2" t="s">
        <v>3240</v>
      </c>
      <c r="E5810" s="2" t="s">
        <v>102</v>
      </c>
      <c r="F5810" s="3">
        <f>DATE(2024,9,10)</f>
        <v>45545</v>
      </c>
      <c r="G5810" s="10">
        <f t="shared" si="485"/>
        <v>9</v>
      </c>
      <c r="H5810" s="10">
        <f t="shared" si="486"/>
        <v>2024</v>
      </c>
      <c r="I5810" s="2" t="s">
        <v>4</v>
      </c>
      <c r="J5810" s="2" t="s">
        <v>6497</v>
      </c>
      <c r="K5810" s="2" t="s">
        <v>5971</v>
      </c>
      <c r="L5810" s="2" t="s">
        <v>3515</v>
      </c>
      <c r="M5810" s="2" t="s">
        <v>3516</v>
      </c>
      <c r="N5810" s="10" t="str">
        <f t="shared" si="484"/>
        <v>GAL</v>
      </c>
      <c r="O5810" s="14">
        <v>90</v>
      </c>
    </row>
    <row r="5811" spans="2:15" x14ac:dyDescent="0.25">
      <c r="B5811" s="1" t="s">
        <v>3238</v>
      </c>
      <c r="C5811" s="2" t="s">
        <v>3239</v>
      </c>
      <c r="D5811" s="2" t="s">
        <v>3240</v>
      </c>
      <c r="E5811" s="2" t="s">
        <v>102</v>
      </c>
      <c r="F5811" s="3">
        <f>DATE(2024,9,10)</f>
        <v>45545</v>
      </c>
      <c r="G5811" s="10">
        <f t="shared" si="485"/>
        <v>9</v>
      </c>
      <c r="H5811" s="10">
        <f t="shared" si="486"/>
        <v>2024</v>
      </c>
      <c r="I5811" s="2" t="s">
        <v>4</v>
      </c>
      <c r="J5811" s="2" t="s">
        <v>6498</v>
      </c>
      <c r="K5811" s="2" t="s">
        <v>2530</v>
      </c>
      <c r="L5811" s="2" t="s">
        <v>3503</v>
      </c>
      <c r="M5811" s="2" t="s">
        <v>2532</v>
      </c>
      <c r="N5811" s="10" t="str">
        <f t="shared" si="484"/>
        <v>GAL</v>
      </c>
      <c r="O5811" s="14">
        <v>90</v>
      </c>
    </row>
    <row r="5812" spans="2:15" x14ac:dyDescent="0.25">
      <c r="B5812" s="1" t="s">
        <v>3238</v>
      </c>
      <c r="C5812" s="2" t="s">
        <v>3239</v>
      </c>
      <c r="D5812" s="2" t="s">
        <v>3240</v>
      </c>
      <c r="E5812" s="2" t="s">
        <v>102</v>
      </c>
      <c r="F5812" s="3">
        <f>DATE(2024,9,10)</f>
        <v>45545</v>
      </c>
      <c r="G5812" s="10">
        <f t="shared" si="485"/>
        <v>9</v>
      </c>
      <c r="H5812" s="10">
        <f t="shared" si="486"/>
        <v>2024</v>
      </c>
      <c r="I5812" s="2" t="s">
        <v>4</v>
      </c>
      <c r="J5812" s="2" t="s">
        <v>6498</v>
      </c>
      <c r="K5812" s="2" t="s">
        <v>3941</v>
      </c>
      <c r="L5812" s="2" t="s">
        <v>3911</v>
      </c>
      <c r="M5812" s="2" t="s">
        <v>2100</v>
      </c>
      <c r="N5812" s="10" t="str">
        <f t="shared" si="484"/>
        <v>GAL</v>
      </c>
      <c r="O5812" s="14">
        <v>90</v>
      </c>
    </row>
    <row r="5813" spans="2:15" x14ac:dyDescent="0.25">
      <c r="B5813" s="1" t="s">
        <v>3238</v>
      </c>
      <c r="C5813" s="2" t="s">
        <v>3239</v>
      </c>
      <c r="D5813" s="2" t="s">
        <v>3240</v>
      </c>
      <c r="E5813" s="2" t="s">
        <v>5974</v>
      </c>
      <c r="F5813" s="3">
        <f>DATE(2024,9,10)</f>
        <v>45545</v>
      </c>
      <c r="G5813" s="10">
        <f t="shared" si="485"/>
        <v>9</v>
      </c>
      <c r="H5813" s="10">
        <f t="shared" si="486"/>
        <v>2024</v>
      </c>
      <c r="I5813" s="2" t="s">
        <v>4</v>
      </c>
      <c r="J5813" s="2" t="s">
        <v>6499</v>
      </c>
      <c r="K5813" s="2" t="s">
        <v>5976</v>
      </c>
      <c r="L5813" s="2" t="s">
        <v>3915</v>
      </c>
      <c r="M5813" s="2" t="s">
        <v>3916</v>
      </c>
      <c r="N5813" s="10" t="str">
        <f t="shared" si="484"/>
        <v>GAL</v>
      </c>
      <c r="O5813" s="14">
        <v>275</v>
      </c>
    </row>
    <row r="5814" spans="2:15" x14ac:dyDescent="0.25">
      <c r="B5814" s="1" t="s">
        <v>3238</v>
      </c>
      <c r="C5814" s="2" t="s">
        <v>3239</v>
      </c>
      <c r="D5814" s="2" t="s">
        <v>3240</v>
      </c>
      <c r="E5814" s="2" t="s">
        <v>5137</v>
      </c>
      <c r="F5814" s="3">
        <f t="shared" ref="F5814:F5819" si="488">DATE(2024,9,11)</f>
        <v>45546</v>
      </c>
      <c r="G5814" s="10">
        <f t="shared" si="485"/>
        <v>9</v>
      </c>
      <c r="H5814" s="10">
        <f t="shared" si="486"/>
        <v>2024</v>
      </c>
      <c r="I5814" s="2" t="s">
        <v>4</v>
      </c>
      <c r="J5814" s="2" t="s">
        <v>6500</v>
      </c>
      <c r="K5814" s="2" t="s">
        <v>510</v>
      </c>
      <c r="L5814" s="2" t="s">
        <v>6154</v>
      </c>
      <c r="M5814" s="2" t="s">
        <v>38</v>
      </c>
      <c r="N5814" s="10" t="str">
        <f t="shared" si="484"/>
        <v>GAL</v>
      </c>
      <c r="O5814" s="14">
        <v>250</v>
      </c>
    </row>
    <row r="5815" spans="2:15" x14ac:dyDescent="0.25">
      <c r="B5815" s="1" t="s">
        <v>3238</v>
      </c>
      <c r="C5815" s="2" t="s">
        <v>3239</v>
      </c>
      <c r="D5815" s="2" t="s">
        <v>3240</v>
      </c>
      <c r="E5815" s="2" t="s">
        <v>5137</v>
      </c>
      <c r="F5815" s="3">
        <f t="shared" si="488"/>
        <v>45546</v>
      </c>
      <c r="G5815" s="10">
        <f t="shared" si="485"/>
        <v>9</v>
      </c>
      <c r="H5815" s="10">
        <f t="shared" si="486"/>
        <v>2024</v>
      </c>
      <c r="I5815" s="2" t="s">
        <v>4</v>
      </c>
      <c r="J5815" s="2" t="s">
        <v>6501</v>
      </c>
      <c r="K5815" s="2" t="s">
        <v>5469</v>
      </c>
      <c r="L5815" s="2" t="s">
        <v>5470</v>
      </c>
      <c r="M5815" s="2" t="s">
        <v>1046</v>
      </c>
      <c r="N5815" s="10" t="str">
        <f t="shared" si="484"/>
        <v>GAL</v>
      </c>
      <c r="O5815" s="14">
        <v>5</v>
      </c>
    </row>
    <row r="5816" spans="2:15" x14ac:dyDescent="0.25">
      <c r="B5816" s="1" t="s">
        <v>3238</v>
      </c>
      <c r="C5816" s="2" t="s">
        <v>3239</v>
      </c>
      <c r="D5816" s="2" t="s">
        <v>3240</v>
      </c>
      <c r="E5816" s="2" t="s">
        <v>5137</v>
      </c>
      <c r="F5816" s="3">
        <f t="shared" si="488"/>
        <v>45546</v>
      </c>
      <c r="G5816" s="10">
        <f t="shared" si="485"/>
        <v>9</v>
      </c>
      <c r="H5816" s="10">
        <f t="shared" si="486"/>
        <v>2024</v>
      </c>
      <c r="I5816" s="2" t="s">
        <v>4</v>
      </c>
      <c r="J5816" s="2" t="s">
        <v>6501</v>
      </c>
      <c r="K5816" s="2" t="s">
        <v>3910</v>
      </c>
      <c r="L5816" s="2" t="s">
        <v>3911</v>
      </c>
      <c r="M5816" s="2" t="s">
        <v>2100</v>
      </c>
      <c r="N5816" s="10" t="str">
        <f t="shared" si="484"/>
        <v>GAL</v>
      </c>
      <c r="O5816" s="14">
        <v>250</v>
      </c>
    </row>
    <row r="5817" spans="2:15" x14ac:dyDescent="0.25">
      <c r="B5817" s="1" t="s">
        <v>3238</v>
      </c>
      <c r="C5817" s="2" t="s">
        <v>3239</v>
      </c>
      <c r="D5817" s="2" t="s">
        <v>6120</v>
      </c>
      <c r="E5817" s="2" t="s">
        <v>141</v>
      </c>
      <c r="F5817" s="3">
        <f t="shared" si="488"/>
        <v>45546</v>
      </c>
      <c r="G5817" s="10">
        <f t="shared" si="485"/>
        <v>9</v>
      </c>
      <c r="H5817" s="10">
        <f t="shared" si="486"/>
        <v>2024</v>
      </c>
      <c r="I5817" s="2" t="s">
        <v>4</v>
      </c>
      <c r="J5817" s="2" t="s">
        <v>6502</v>
      </c>
      <c r="K5817" s="2" t="s">
        <v>6489</v>
      </c>
      <c r="L5817" s="2" t="s">
        <v>6490</v>
      </c>
      <c r="M5817" s="2" t="s">
        <v>2528</v>
      </c>
      <c r="N5817" s="10" t="str">
        <f t="shared" si="484"/>
        <v>GAL</v>
      </c>
      <c r="O5817" s="14">
        <v>30</v>
      </c>
    </row>
    <row r="5818" spans="2:15" x14ac:dyDescent="0.25">
      <c r="B5818" s="1" t="s">
        <v>3238</v>
      </c>
      <c r="C5818" s="2" t="s">
        <v>3239</v>
      </c>
      <c r="D5818" s="2" t="s">
        <v>6120</v>
      </c>
      <c r="E5818" s="2" t="s">
        <v>141</v>
      </c>
      <c r="F5818" s="3">
        <f t="shared" si="488"/>
        <v>45546</v>
      </c>
      <c r="G5818" s="10">
        <f t="shared" si="485"/>
        <v>9</v>
      </c>
      <c r="H5818" s="10">
        <f t="shared" si="486"/>
        <v>2024</v>
      </c>
      <c r="I5818" s="2" t="s">
        <v>4</v>
      </c>
      <c r="J5818" s="2" t="s">
        <v>6502</v>
      </c>
      <c r="K5818" s="2" t="s">
        <v>6491</v>
      </c>
      <c r="L5818" s="2" t="s">
        <v>6492</v>
      </c>
      <c r="M5818" s="2" t="s">
        <v>2455</v>
      </c>
      <c r="N5818" s="10" t="str">
        <f t="shared" si="484"/>
        <v>GAL</v>
      </c>
      <c r="O5818" s="14">
        <v>30</v>
      </c>
    </row>
    <row r="5819" spans="2:15" x14ac:dyDescent="0.25">
      <c r="B5819" s="1" t="s">
        <v>3238</v>
      </c>
      <c r="C5819" s="2" t="s">
        <v>3239</v>
      </c>
      <c r="D5819" s="2" t="s">
        <v>6120</v>
      </c>
      <c r="E5819" s="2" t="s">
        <v>6503</v>
      </c>
      <c r="F5819" s="3">
        <f t="shared" si="488"/>
        <v>45546</v>
      </c>
      <c r="G5819" s="10">
        <f t="shared" si="485"/>
        <v>9</v>
      </c>
      <c r="H5819" s="10">
        <f t="shared" si="486"/>
        <v>2024</v>
      </c>
      <c r="I5819" s="2" t="s">
        <v>4</v>
      </c>
      <c r="J5819" s="2" t="s">
        <v>6504</v>
      </c>
      <c r="K5819" s="2" t="s">
        <v>3188</v>
      </c>
      <c r="L5819" s="2" t="s">
        <v>999</v>
      </c>
      <c r="M5819" s="2" t="s">
        <v>1000</v>
      </c>
      <c r="N5819" s="10" t="str">
        <f t="shared" si="484"/>
        <v>GAL</v>
      </c>
      <c r="O5819" s="14">
        <v>55</v>
      </c>
    </row>
    <row r="5820" spans="2:15" x14ac:dyDescent="0.25">
      <c r="B5820" s="1" t="s">
        <v>3238</v>
      </c>
      <c r="C5820" s="2" t="s">
        <v>3239</v>
      </c>
      <c r="D5820" s="2" t="s">
        <v>3240</v>
      </c>
      <c r="E5820" s="2" t="s">
        <v>3944</v>
      </c>
      <c r="F5820" s="3">
        <f t="shared" ref="F5820:F5826" si="489">DATE(2024,9,16)</f>
        <v>45551</v>
      </c>
      <c r="G5820" s="10">
        <f t="shared" si="485"/>
        <v>9</v>
      </c>
      <c r="H5820" s="10">
        <f t="shared" si="486"/>
        <v>2024</v>
      </c>
      <c r="I5820" s="2" t="s">
        <v>4</v>
      </c>
      <c r="J5820" s="2" t="s">
        <v>6505</v>
      </c>
      <c r="K5820" s="2" t="s">
        <v>3925</v>
      </c>
      <c r="L5820" s="2" t="s">
        <v>4264</v>
      </c>
      <c r="M5820" s="2" t="s">
        <v>119</v>
      </c>
      <c r="N5820" s="10" t="str">
        <f t="shared" si="484"/>
        <v>TON</v>
      </c>
      <c r="O5820" s="14">
        <v>1.39</v>
      </c>
    </row>
    <row r="5821" spans="2:15" x14ac:dyDescent="0.25">
      <c r="B5821" s="1" t="s">
        <v>3238</v>
      </c>
      <c r="C5821" s="2" t="s">
        <v>3239</v>
      </c>
      <c r="D5821" s="2" t="s">
        <v>3240</v>
      </c>
      <c r="E5821" s="2" t="s">
        <v>6382</v>
      </c>
      <c r="F5821" s="3">
        <f t="shared" si="489"/>
        <v>45551</v>
      </c>
      <c r="G5821" s="10">
        <f t="shared" si="485"/>
        <v>9</v>
      </c>
      <c r="H5821" s="10">
        <f t="shared" si="486"/>
        <v>2024</v>
      </c>
      <c r="I5821" s="2" t="s">
        <v>4</v>
      </c>
      <c r="J5821" s="2" t="s">
        <v>6506</v>
      </c>
      <c r="K5821" s="2" t="s">
        <v>3946</v>
      </c>
      <c r="L5821" s="2" t="s">
        <v>3506</v>
      </c>
      <c r="M5821" s="2" t="s">
        <v>917</v>
      </c>
      <c r="N5821" s="10" t="str">
        <f t="shared" si="484"/>
        <v>GAL</v>
      </c>
      <c r="O5821" s="14">
        <v>250</v>
      </c>
    </row>
    <row r="5822" spans="2:15" x14ac:dyDescent="0.25">
      <c r="B5822" s="1" t="s">
        <v>3238</v>
      </c>
      <c r="C5822" s="2" t="s">
        <v>3239</v>
      </c>
      <c r="D5822" s="2" t="s">
        <v>3240</v>
      </c>
      <c r="E5822" s="2" t="s">
        <v>3944</v>
      </c>
      <c r="F5822" s="3">
        <f t="shared" si="489"/>
        <v>45551</v>
      </c>
      <c r="G5822" s="10">
        <f t="shared" si="485"/>
        <v>9</v>
      </c>
      <c r="H5822" s="10">
        <f t="shared" si="486"/>
        <v>2024</v>
      </c>
      <c r="I5822" s="2" t="s">
        <v>4</v>
      </c>
      <c r="J5822" s="2" t="s">
        <v>6507</v>
      </c>
      <c r="K5822" s="2" t="s">
        <v>3524</v>
      </c>
      <c r="L5822" s="2" t="s">
        <v>3525</v>
      </c>
      <c r="M5822" s="2" t="s">
        <v>1397</v>
      </c>
      <c r="N5822" s="10" t="str">
        <f t="shared" ref="N5822:N5885" si="490">+LEFT(M5822,3)</f>
        <v>GAL</v>
      </c>
      <c r="O5822" s="14">
        <v>275</v>
      </c>
    </row>
    <row r="5823" spans="2:15" x14ac:dyDescent="0.25">
      <c r="B5823" s="1" t="s">
        <v>3238</v>
      </c>
      <c r="C5823" s="2" t="s">
        <v>3239</v>
      </c>
      <c r="D5823" s="2" t="s">
        <v>3240</v>
      </c>
      <c r="E5823" s="2" t="s">
        <v>3944</v>
      </c>
      <c r="F5823" s="3">
        <f t="shared" si="489"/>
        <v>45551</v>
      </c>
      <c r="G5823" s="10">
        <f t="shared" si="485"/>
        <v>9</v>
      </c>
      <c r="H5823" s="10">
        <f t="shared" si="486"/>
        <v>2024</v>
      </c>
      <c r="I5823" s="2" t="s">
        <v>4</v>
      </c>
      <c r="J5823" s="2" t="s">
        <v>6507</v>
      </c>
      <c r="K5823" s="2" t="s">
        <v>3946</v>
      </c>
      <c r="L5823" s="2" t="s">
        <v>3506</v>
      </c>
      <c r="M5823" s="2" t="s">
        <v>917</v>
      </c>
      <c r="N5823" s="10" t="str">
        <f t="shared" si="490"/>
        <v>GAL</v>
      </c>
      <c r="O5823" s="14">
        <v>275</v>
      </c>
    </row>
    <row r="5824" spans="2:15" x14ac:dyDescent="0.25">
      <c r="B5824" s="20" t="s">
        <v>3238</v>
      </c>
      <c r="C5824" s="21" t="s">
        <v>3239</v>
      </c>
      <c r="D5824" s="22" t="s">
        <v>3240</v>
      </c>
      <c r="E5824" s="22" t="s">
        <v>3944</v>
      </c>
      <c r="F5824" s="23">
        <f t="shared" si="489"/>
        <v>45551</v>
      </c>
      <c r="G5824" s="22">
        <f t="shared" si="485"/>
        <v>9</v>
      </c>
      <c r="H5824" s="22">
        <f t="shared" si="486"/>
        <v>2024</v>
      </c>
      <c r="I5824" s="22" t="s">
        <v>4</v>
      </c>
      <c r="J5824" s="21" t="s">
        <v>6507</v>
      </c>
      <c r="K5824" s="22" t="s">
        <v>3399</v>
      </c>
      <c r="L5824" s="22" t="s">
        <v>3400</v>
      </c>
      <c r="M5824" s="22" t="s">
        <v>3401</v>
      </c>
      <c r="N5824" s="22" t="str">
        <f t="shared" si="490"/>
        <v>GAL</v>
      </c>
      <c r="O5824" s="24">
        <v>275</v>
      </c>
    </row>
    <row r="5825" spans="2:15" x14ac:dyDescent="0.25">
      <c r="B5825" s="16" t="s">
        <v>3238</v>
      </c>
      <c r="C5825" s="17" t="s">
        <v>3239</v>
      </c>
      <c r="D5825" s="17" t="s">
        <v>3240</v>
      </c>
      <c r="E5825" s="17" t="s">
        <v>6382</v>
      </c>
      <c r="F5825" s="18">
        <f t="shared" si="489"/>
        <v>45551</v>
      </c>
      <c r="G5825" s="22">
        <f t="shared" si="485"/>
        <v>9</v>
      </c>
      <c r="H5825" s="22">
        <f t="shared" si="486"/>
        <v>2024</v>
      </c>
      <c r="I5825" s="17" t="s">
        <v>4</v>
      </c>
      <c r="J5825" s="17" t="s">
        <v>6508</v>
      </c>
      <c r="K5825" s="17" t="s">
        <v>3925</v>
      </c>
      <c r="L5825" s="17" t="s">
        <v>4264</v>
      </c>
      <c r="M5825" s="17" t="s">
        <v>119</v>
      </c>
      <c r="N5825" s="22" t="str">
        <f t="shared" si="490"/>
        <v>TON</v>
      </c>
      <c r="O5825" s="19">
        <v>1.2549999999999999</v>
      </c>
    </row>
    <row r="5826" spans="2:15" x14ac:dyDescent="0.25">
      <c r="B5826" s="16" t="s">
        <v>3238</v>
      </c>
      <c r="C5826" s="17" t="s">
        <v>3239</v>
      </c>
      <c r="D5826" s="17" t="s">
        <v>3240</v>
      </c>
      <c r="E5826" s="17" t="s">
        <v>102</v>
      </c>
      <c r="F5826" s="18">
        <f t="shared" si="489"/>
        <v>45551</v>
      </c>
      <c r="G5826" s="22">
        <f t="shared" si="485"/>
        <v>9</v>
      </c>
      <c r="H5826" s="22">
        <f t="shared" si="486"/>
        <v>2024</v>
      </c>
      <c r="I5826" s="17" t="s">
        <v>4</v>
      </c>
      <c r="J5826" s="17" t="s">
        <v>6509</v>
      </c>
      <c r="K5826" s="17" t="s">
        <v>3188</v>
      </c>
      <c r="L5826" s="17" t="s">
        <v>3526</v>
      </c>
      <c r="M5826" s="17" t="s">
        <v>1000</v>
      </c>
      <c r="N5826" s="22" t="str">
        <f t="shared" si="490"/>
        <v>GAL</v>
      </c>
      <c r="O5826" s="19">
        <v>55</v>
      </c>
    </row>
    <row r="5827" spans="2:15" x14ac:dyDescent="0.25">
      <c r="B5827" s="20" t="s">
        <v>3238</v>
      </c>
      <c r="C5827" s="21" t="s">
        <v>3239</v>
      </c>
      <c r="D5827" s="22" t="s">
        <v>3240</v>
      </c>
      <c r="E5827" s="22" t="s">
        <v>6123</v>
      </c>
      <c r="F5827" s="23">
        <f>DATE(2024,9,19)</f>
        <v>45554</v>
      </c>
      <c r="G5827" s="22">
        <f t="shared" si="485"/>
        <v>9</v>
      </c>
      <c r="H5827" s="22">
        <f t="shared" si="486"/>
        <v>2024</v>
      </c>
      <c r="I5827" s="22" t="s">
        <v>4</v>
      </c>
      <c r="J5827" s="21" t="s">
        <v>6510</v>
      </c>
      <c r="K5827" s="22" t="s">
        <v>3399</v>
      </c>
      <c r="L5827" s="22" t="s">
        <v>3400</v>
      </c>
      <c r="M5827" s="22" t="s">
        <v>3401</v>
      </c>
      <c r="N5827" s="22" t="str">
        <f t="shared" si="490"/>
        <v>GAL</v>
      </c>
      <c r="O5827" s="24">
        <v>250</v>
      </c>
    </row>
    <row r="5828" spans="2:15" x14ac:dyDescent="0.25">
      <c r="B5828" s="16" t="s">
        <v>3238</v>
      </c>
      <c r="C5828" s="17" t="s">
        <v>3239</v>
      </c>
      <c r="D5828" s="17" t="s">
        <v>6120</v>
      </c>
      <c r="E5828" s="17" t="s">
        <v>141</v>
      </c>
      <c r="F5828" s="18">
        <f>DATE(2024,9,24)</f>
        <v>45559</v>
      </c>
      <c r="G5828" s="22">
        <f t="shared" si="485"/>
        <v>9</v>
      </c>
      <c r="H5828" s="22">
        <f t="shared" si="486"/>
        <v>2024</v>
      </c>
      <c r="I5828" s="17" t="s">
        <v>4</v>
      </c>
      <c r="J5828" s="17" t="s">
        <v>6511</v>
      </c>
      <c r="K5828" s="17" t="s">
        <v>6133</v>
      </c>
      <c r="L5828" s="17" t="s">
        <v>6134</v>
      </c>
      <c r="M5828" s="17" t="s">
        <v>6135</v>
      </c>
      <c r="N5828" s="22" t="str">
        <f t="shared" si="490"/>
        <v>GAL</v>
      </c>
      <c r="O5828" s="19">
        <v>180</v>
      </c>
    </row>
    <row r="5829" spans="2:15" x14ac:dyDescent="0.25">
      <c r="B5829" s="16" t="s">
        <v>3238</v>
      </c>
      <c r="C5829" s="17" t="s">
        <v>3239</v>
      </c>
      <c r="D5829" s="17" t="s">
        <v>6120</v>
      </c>
      <c r="E5829" s="17" t="s">
        <v>141</v>
      </c>
      <c r="F5829" s="18">
        <f>DATE(2024,9,24)</f>
        <v>45559</v>
      </c>
      <c r="G5829" s="22">
        <f t="shared" si="485"/>
        <v>9</v>
      </c>
      <c r="H5829" s="22">
        <f t="shared" si="486"/>
        <v>2024</v>
      </c>
      <c r="I5829" s="17" t="s">
        <v>4</v>
      </c>
      <c r="J5829" s="17" t="s">
        <v>6511</v>
      </c>
      <c r="K5829" s="17" t="s">
        <v>6142</v>
      </c>
      <c r="L5829" s="17" t="s">
        <v>6143</v>
      </c>
      <c r="M5829" s="17" t="s">
        <v>1472</v>
      </c>
      <c r="N5829" s="22" t="str">
        <f t="shared" si="490"/>
        <v>GAL</v>
      </c>
      <c r="O5829" s="19">
        <v>180</v>
      </c>
    </row>
    <row r="5830" spans="2:15" x14ac:dyDescent="0.25">
      <c r="B5830" s="16" t="s">
        <v>3238</v>
      </c>
      <c r="C5830" s="17" t="s">
        <v>3239</v>
      </c>
      <c r="D5830" s="17" t="s">
        <v>6120</v>
      </c>
      <c r="E5830" s="17" t="s">
        <v>141</v>
      </c>
      <c r="F5830" s="18">
        <f>DATE(2024,9,24)</f>
        <v>45559</v>
      </c>
      <c r="G5830" s="22">
        <f t="shared" si="485"/>
        <v>9</v>
      </c>
      <c r="H5830" s="22">
        <f t="shared" si="486"/>
        <v>2024</v>
      </c>
      <c r="I5830" s="17" t="s">
        <v>4</v>
      </c>
      <c r="J5830" s="17" t="s">
        <v>6511</v>
      </c>
      <c r="K5830" s="17" t="s">
        <v>6512</v>
      </c>
      <c r="L5830" s="17" t="s">
        <v>6513</v>
      </c>
      <c r="M5830" s="17" t="s">
        <v>6514</v>
      </c>
      <c r="N5830" s="22" t="str">
        <f t="shared" si="490"/>
        <v>GAL</v>
      </c>
      <c r="O5830" s="19">
        <v>180</v>
      </c>
    </row>
    <row r="5831" spans="2:15" x14ac:dyDescent="0.25">
      <c r="B5831" s="16" t="s">
        <v>3238</v>
      </c>
      <c r="C5831" s="17" t="s">
        <v>3239</v>
      </c>
      <c r="D5831" s="17" t="s">
        <v>3240</v>
      </c>
      <c r="E5831" s="17" t="s">
        <v>102</v>
      </c>
      <c r="F5831" s="18">
        <f>DATE(2024,9,24)</f>
        <v>45559</v>
      </c>
      <c r="G5831" s="22">
        <f t="shared" si="485"/>
        <v>9</v>
      </c>
      <c r="H5831" s="22">
        <f t="shared" si="486"/>
        <v>2024</v>
      </c>
      <c r="I5831" s="17" t="s">
        <v>4</v>
      </c>
      <c r="J5831" s="17" t="s">
        <v>6515</v>
      </c>
      <c r="K5831" s="17" t="s">
        <v>1085</v>
      </c>
      <c r="L5831" s="17" t="s">
        <v>3526</v>
      </c>
      <c r="M5831" s="17" t="s">
        <v>1000</v>
      </c>
      <c r="N5831" s="22" t="str">
        <f t="shared" si="490"/>
        <v>GAL</v>
      </c>
      <c r="O5831" s="19">
        <v>20</v>
      </c>
    </row>
    <row r="5832" spans="2:15" x14ac:dyDescent="0.25">
      <c r="B5832" s="16" t="s">
        <v>3238</v>
      </c>
      <c r="C5832" s="17" t="s">
        <v>3239</v>
      </c>
      <c r="D5832" s="17" t="s">
        <v>3240</v>
      </c>
      <c r="E5832" s="17" t="s">
        <v>102</v>
      </c>
      <c r="F5832" s="18">
        <f>DATE(2024,9,24)</f>
        <v>45559</v>
      </c>
      <c r="G5832" s="22">
        <f t="shared" si="485"/>
        <v>9</v>
      </c>
      <c r="H5832" s="22">
        <f t="shared" si="486"/>
        <v>2024</v>
      </c>
      <c r="I5832" s="17" t="s">
        <v>4</v>
      </c>
      <c r="J5832" s="17" t="s">
        <v>6515</v>
      </c>
      <c r="K5832" s="17" t="s">
        <v>6516</v>
      </c>
      <c r="L5832" s="17" t="s">
        <v>3396</v>
      </c>
      <c r="M5832" s="17" t="s">
        <v>844</v>
      </c>
      <c r="N5832" s="22" t="str">
        <f t="shared" si="490"/>
        <v>GAL</v>
      </c>
      <c r="O5832" s="19">
        <v>20</v>
      </c>
    </row>
    <row r="5833" spans="2:15" x14ac:dyDescent="0.25">
      <c r="B5833" s="16" t="s">
        <v>3238</v>
      </c>
      <c r="C5833" s="17" t="s">
        <v>3239</v>
      </c>
      <c r="D5833" s="17" t="s">
        <v>3240</v>
      </c>
      <c r="E5833" s="17" t="s">
        <v>3529</v>
      </c>
      <c r="F5833" s="18">
        <f>DATE(2024,9,25)</f>
        <v>45560</v>
      </c>
      <c r="G5833" s="22">
        <f t="shared" si="485"/>
        <v>9</v>
      </c>
      <c r="H5833" s="22">
        <f t="shared" si="486"/>
        <v>2024</v>
      </c>
      <c r="I5833" s="17" t="s">
        <v>4</v>
      </c>
      <c r="J5833" s="17" t="s">
        <v>6517</v>
      </c>
      <c r="K5833" s="17" t="s">
        <v>998</v>
      </c>
      <c r="L5833" s="17" t="s">
        <v>3526</v>
      </c>
      <c r="M5833" s="17" t="s">
        <v>1000</v>
      </c>
      <c r="N5833" s="22" t="str">
        <f t="shared" si="490"/>
        <v>GAL</v>
      </c>
      <c r="O5833" s="19">
        <v>250</v>
      </c>
    </row>
    <row r="5834" spans="2:15" x14ac:dyDescent="0.25">
      <c r="B5834" s="16" t="s">
        <v>3238</v>
      </c>
      <c r="C5834" s="17" t="s">
        <v>3239</v>
      </c>
      <c r="D5834" s="17" t="s">
        <v>3240</v>
      </c>
      <c r="E5834" s="17" t="s">
        <v>102</v>
      </c>
      <c r="F5834" s="18">
        <f>DATE(2024,9,27)</f>
        <v>45562</v>
      </c>
      <c r="G5834" s="22">
        <f t="shared" si="485"/>
        <v>9</v>
      </c>
      <c r="H5834" s="22">
        <f t="shared" si="486"/>
        <v>2024</v>
      </c>
      <c r="I5834" s="17" t="s">
        <v>4</v>
      </c>
      <c r="J5834" s="17" t="s">
        <v>6518</v>
      </c>
      <c r="K5834" s="17" t="s">
        <v>3390</v>
      </c>
      <c r="L5834" s="17" t="s">
        <v>3250</v>
      </c>
      <c r="M5834" s="17" t="s">
        <v>3251</v>
      </c>
      <c r="N5834" s="22" t="str">
        <f t="shared" si="490"/>
        <v>GAL</v>
      </c>
      <c r="O5834" s="19">
        <v>1000</v>
      </c>
    </row>
    <row r="5835" spans="2:15" x14ac:dyDescent="0.25">
      <c r="B5835" s="16" t="s">
        <v>3238</v>
      </c>
      <c r="C5835" s="17" t="s">
        <v>3239</v>
      </c>
      <c r="D5835" s="17" t="s">
        <v>3240</v>
      </c>
      <c r="E5835" s="17" t="s">
        <v>102</v>
      </c>
      <c r="F5835" s="18">
        <f>DATE(2024,9,27)</f>
        <v>45562</v>
      </c>
      <c r="G5835" s="22">
        <f t="shared" si="485"/>
        <v>9</v>
      </c>
      <c r="H5835" s="22">
        <f t="shared" si="486"/>
        <v>2024</v>
      </c>
      <c r="I5835" s="17" t="s">
        <v>4</v>
      </c>
      <c r="J5835" s="17" t="s">
        <v>6519</v>
      </c>
      <c r="K5835" s="17" t="s">
        <v>3917</v>
      </c>
      <c r="L5835" s="17" t="s">
        <v>3525</v>
      </c>
      <c r="M5835" s="17" t="s">
        <v>1397</v>
      </c>
      <c r="N5835" s="22" t="str">
        <f t="shared" si="490"/>
        <v>GAL</v>
      </c>
      <c r="O5835" s="19">
        <v>60</v>
      </c>
    </row>
    <row r="5836" spans="2:15" x14ac:dyDescent="0.25">
      <c r="B5836" s="16" t="s">
        <v>3238</v>
      </c>
      <c r="C5836" s="17" t="s">
        <v>3239</v>
      </c>
      <c r="D5836" s="17" t="s">
        <v>3240</v>
      </c>
      <c r="E5836" s="17" t="s">
        <v>102</v>
      </c>
      <c r="F5836" s="18">
        <f>DATE(2024,9,27)</f>
        <v>45562</v>
      </c>
      <c r="G5836" s="22">
        <f t="shared" si="485"/>
        <v>9</v>
      </c>
      <c r="H5836" s="22">
        <f t="shared" si="486"/>
        <v>2024</v>
      </c>
      <c r="I5836" s="17" t="s">
        <v>4</v>
      </c>
      <c r="J5836" s="17" t="s">
        <v>6519</v>
      </c>
      <c r="K5836" s="17" t="s">
        <v>19</v>
      </c>
      <c r="L5836" s="17" t="s">
        <v>6275</v>
      </c>
      <c r="M5836" s="17" t="s">
        <v>21</v>
      </c>
      <c r="N5836" s="22" t="str">
        <f t="shared" si="490"/>
        <v>GAL</v>
      </c>
      <c r="O5836" s="19">
        <v>60</v>
      </c>
    </row>
    <row r="5837" spans="2:15" x14ac:dyDescent="0.25">
      <c r="B5837" s="16" t="s">
        <v>3238</v>
      </c>
      <c r="C5837" s="17" t="s">
        <v>3239</v>
      </c>
      <c r="D5837" s="17" t="s">
        <v>3240</v>
      </c>
      <c r="E5837" s="17" t="s">
        <v>102</v>
      </c>
      <c r="F5837" s="18">
        <f>DATE(2024,9,27)</f>
        <v>45562</v>
      </c>
      <c r="G5837" s="22">
        <f t="shared" si="485"/>
        <v>9</v>
      </c>
      <c r="H5837" s="22">
        <f t="shared" si="486"/>
        <v>2024</v>
      </c>
      <c r="I5837" s="17" t="s">
        <v>4</v>
      </c>
      <c r="J5837" s="17" t="s">
        <v>6519</v>
      </c>
      <c r="K5837" s="17" t="s">
        <v>3249</v>
      </c>
      <c r="L5837" s="17" t="s">
        <v>3250</v>
      </c>
      <c r="M5837" s="17" t="s">
        <v>3251</v>
      </c>
      <c r="N5837" s="22" t="str">
        <f t="shared" si="490"/>
        <v>GAL</v>
      </c>
      <c r="O5837" s="19">
        <v>60</v>
      </c>
    </row>
    <row r="5838" spans="2:15" x14ac:dyDescent="0.25">
      <c r="B5838" s="20" t="s">
        <v>3238</v>
      </c>
      <c r="C5838" s="21" t="s">
        <v>3239</v>
      </c>
      <c r="D5838" s="22" t="s">
        <v>3240</v>
      </c>
      <c r="E5838" s="22" t="s">
        <v>5477</v>
      </c>
      <c r="F5838" s="23">
        <f>DATE(2024,9,30)</f>
        <v>45565</v>
      </c>
      <c r="G5838" s="22">
        <f t="shared" si="485"/>
        <v>9</v>
      </c>
      <c r="H5838" s="22">
        <f t="shared" si="486"/>
        <v>2024</v>
      </c>
      <c r="I5838" s="22" t="s">
        <v>4</v>
      </c>
      <c r="J5838" s="21" t="s">
        <v>6520</v>
      </c>
      <c r="K5838" s="22" t="s">
        <v>3930</v>
      </c>
      <c r="L5838" s="22" t="s">
        <v>3931</v>
      </c>
      <c r="M5838" s="22" t="s">
        <v>119</v>
      </c>
      <c r="N5838" s="22" t="str">
        <f t="shared" si="490"/>
        <v>TON</v>
      </c>
      <c r="O5838" s="24">
        <v>0.55500000000000005</v>
      </c>
    </row>
    <row r="5839" spans="2:15" x14ac:dyDescent="0.25">
      <c r="B5839" s="16" t="s">
        <v>3238</v>
      </c>
      <c r="C5839" s="17" t="s">
        <v>3239</v>
      </c>
      <c r="D5839" s="17" t="s">
        <v>3240</v>
      </c>
      <c r="E5839" s="17" t="s">
        <v>3388</v>
      </c>
      <c r="F5839" s="18">
        <f>DATE(2024,9,30)</f>
        <v>45565</v>
      </c>
      <c r="G5839" s="22">
        <f t="shared" si="485"/>
        <v>9</v>
      </c>
      <c r="H5839" s="22">
        <f t="shared" si="486"/>
        <v>2024</v>
      </c>
      <c r="I5839" s="17" t="s">
        <v>4</v>
      </c>
      <c r="J5839" s="17" t="s">
        <v>6521</v>
      </c>
      <c r="K5839" s="17" t="s">
        <v>6150</v>
      </c>
      <c r="L5839" s="17" t="s">
        <v>6151</v>
      </c>
      <c r="M5839" s="17" t="s">
        <v>6152</v>
      </c>
      <c r="N5839" s="22" t="str">
        <f t="shared" si="490"/>
        <v>GAL</v>
      </c>
      <c r="O5839" s="19">
        <v>250</v>
      </c>
    </row>
    <row r="5840" spans="2:15" x14ac:dyDescent="0.25">
      <c r="B5840" s="16" t="s">
        <v>3238</v>
      </c>
      <c r="C5840" s="17" t="s">
        <v>3239</v>
      </c>
      <c r="D5840" s="17" t="s">
        <v>3240</v>
      </c>
      <c r="E5840" s="17" t="s">
        <v>5477</v>
      </c>
      <c r="F5840" s="18">
        <f>DATE(2024,9,30)</f>
        <v>45565</v>
      </c>
      <c r="G5840" s="22">
        <f t="shared" si="485"/>
        <v>9</v>
      </c>
      <c r="H5840" s="22">
        <f t="shared" si="486"/>
        <v>2024</v>
      </c>
      <c r="I5840" s="17" t="s">
        <v>4</v>
      </c>
      <c r="J5840" s="17" t="s">
        <v>6522</v>
      </c>
      <c r="K5840" s="17" t="s">
        <v>3933</v>
      </c>
      <c r="L5840" s="17" t="s">
        <v>3934</v>
      </c>
      <c r="M5840" s="17" t="s">
        <v>556</v>
      </c>
      <c r="N5840" s="22" t="str">
        <f t="shared" si="490"/>
        <v>GAL</v>
      </c>
      <c r="O5840" s="19">
        <v>110</v>
      </c>
    </row>
    <row r="5841" spans="2:15" x14ac:dyDescent="0.25">
      <c r="B5841" s="16" t="s">
        <v>0</v>
      </c>
      <c r="C5841" s="17" t="s">
        <v>1</v>
      </c>
      <c r="D5841" s="17" t="s">
        <v>2</v>
      </c>
      <c r="E5841" s="17" t="s">
        <v>6413</v>
      </c>
      <c r="F5841" s="18">
        <f>DATE(2024,10,2)</f>
        <v>45567</v>
      </c>
      <c r="G5841" s="17">
        <f t="shared" si="485"/>
        <v>10</v>
      </c>
      <c r="H5841" s="17">
        <f t="shared" si="486"/>
        <v>2024</v>
      </c>
      <c r="I5841" s="17" t="s">
        <v>4</v>
      </c>
      <c r="J5841" s="17" t="s">
        <v>6523</v>
      </c>
      <c r="K5841" s="17" t="s">
        <v>566</v>
      </c>
      <c r="L5841" s="17" t="s">
        <v>20</v>
      </c>
      <c r="M5841" s="17" t="s">
        <v>21</v>
      </c>
      <c r="N5841" s="17" t="str">
        <f t="shared" si="490"/>
        <v>GAL</v>
      </c>
      <c r="O5841" s="25">
        <v>55</v>
      </c>
    </row>
    <row r="5842" spans="2:15" x14ac:dyDescent="0.25">
      <c r="B5842" s="16" t="s">
        <v>0</v>
      </c>
      <c r="C5842" s="17" t="s">
        <v>1</v>
      </c>
      <c r="D5842" s="17" t="s">
        <v>2</v>
      </c>
      <c r="E5842" s="17" t="s">
        <v>6413</v>
      </c>
      <c r="F5842" s="18">
        <f>DATE(2024,10,2)</f>
        <v>45567</v>
      </c>
      <c r="G5842" s="17">
        <f t="shared" ref="G5842:G5905" si="491">+MONTH(F5842)</f>
        <v>10</v>
      </c>
      <c r="H5842" s="17">
        <f t="shared" ref="H5842:H5905" si="492">+YEAR(F5842)</f>
        <v>2024</v>
      </c>
      <c r="I5842" s="17" t="s">
        <v>4</v>
      </c>
      <c r="J5842" s="17" t="s">
        <v>6523</v>
      </c>
      <c r="K5842" s="17" t="s">
        <v>6</v>
      </c>
      <c r="L5842" s="17" t="s">
        <v>7</v>
      </c>
      <c r="M5842" s="17" t="s">
        <v>8</v>
      </c>
      <c r="N5842" s="17" t="str">
        <f t="shared" si="490"/>
        <v>GAL</v>
      </c>
      <c r="O5842" s="25">
        <v>55</v>
      </c>
    </row>
    <row r="5843" spans="2:15" x14ac:dyDescent="0.25">
      <c r="B5843" s="16" t="s">
        <v>0</v>
      </c>
      <c r="C5843" s="17" t="s">
        <v>1</v>
      </c>
      <c r="D5843" s="17" t="s">
        <v>2</v>
      </c>
      <c r="E5843" s="17" t="s">
        <v>3952</v>
      </c>
      <c r="F5843" s="18">
        <f>DATE(2024,10,3)</f>
        <v>45568</v>
      </c>
      <c r="G5843" s="17">
        <f t="shared" si="491"/>
        <v>10</v>
      </c>
      <c r="H5843" s="17">
        <f t="shared" si="492"/>
        <v>2024</v>
      </c>
      <c r="I5843" s="17" t="s">
        <v>4</v>
      </c>
      <c r="J5843" s="17" t="s">
        <v>6524</v>
      </c>
      <c r="K5843" s="17" t="s">
        <v>25</v>
      </c>
      <c r="L5843" s="17" t="s">
        <v>26</v>
      </c>
      <c r="M5843" s="17" t="s">
        <v>27</v>
      </c>
      <c r="N5843" s="17" t="str">
        <f t="shared" si="490"/>
        <v>GAL</v>
      </c>
      <c r="O5843" s="25">
        <v>30</v>
      </c>
    </row>
    <row r="5844" spans="2:15" x14ac:dyDescent="0.25">
      <c r="B5844" s="16" t="s">
        <v>0</v>
      </c>
      <c r="C5844" s="17" t="s">
        <v>1</v>
      </c>
      <c r="D5844" s="17" t="s">
        <v>2</v>
      </c>
      <c r="E5844" s="17" t="s">
        <v>3952</v>
      </c>
      <c r="F5844" s="18">
        <f>DATE(2024,10,3)</f>
        <v>45568</v>
      </c>
      <c r="G5844" s="17">
        <f t="shared" si="491"/>
        <v>10</v>
      </c>
      <c r="H5844" s="17">
        <f t="shared" si="492"/>
        <v>2024</v>
      </c>
      <c r="I5844" s="17" t="s">
        <v>4</v>
      </c>
      <c r="J5844" s="17" t="s">
        <v>6524</v>
      </c>
      <c r="K5844" s="17" t="s">
        <v>83</v>
      </c>
      <c r="L5844" s="17" t="s">
        <v>84</v>
      </c>
      <c r="M5844" s="17" t="s">
        <v>85</v>
      </c>
      <c r="N5844" s="17" t="str">
        <f t="shared" si="490"/>
        <v>GAL</v>
      </c>
      <c r="O5844" s="25">
        <v>30</v>
      </c>
    </row>
    <row r="5845" spans="2:15" x14ac:dyDescent="0.25">
      <c r="B5845" s="16" t="s">
        <v>0</v>
      </c>
      <c r="C5845" s="17" t="s">
        <v>1</v>
      </c>
      <c r="D5845" s="17" t="s">
        <v>2</v>
      </c>
      <c r="E5845" s="17" t="s">
        <v>3952</v>
      </c>
      <c r="F5845" s="18">
        <f>DATE(2024,10,3)</f>
        <v>45568</v>
      </c>
      <c r="G5845" s="17">
        <f t="shared" si="491"/>
        <v>10</v>
      </c>
      <c r="H5845" s="17">
        <f t="shared" si="492"/>
        <v>2024</v>
      </c>
      <c r="I5845" s="17" t="s">
        <v>4</v>
      </c>
      <c r="J5845" s="17" t="s">
        <v>6524</v>
      </c>
      <c r="K5845" s="17" t="s">
        <v>28</v>
      </c>
      <c r="L5845" s="17" t="s">
        <v>29</v>
      </c>
      <c r="M5845" s="17" t="s">
        <v>30</v>
      </c>
      <c r="N5845" s="17" t="str">
        <f t="shared" si="490"/>
        <v>GAL</v>
      </c>
      <c r="O5845" s="25">
        <v>20</v>
      </c>
    </row>
    <row r="5846" spans="2:15" x14ac:dyDescent="0.25">
      <c r="B5846" s="16" t="s">
        <v>0</v>
      </c>
      <c r="C5846" s="17" t="s">
        <v>1</v>
      </c>
      <c r="D5846" s="17" t="s">
        <v>2</v>
      </c>
      <c r="E5846" s="17" t="s">
        <v>3952</v>
      </c>
      <c r="F5846" s="18">
        <f>DATE(2024,10,3)</f>
        <v>45568</v>
      </c>
      <c r="G5846" s="17">
        <f t="shared" si="491"/>
        <v>10</v>
      </c>
      <c r="H5846" s="17">
        <f t="shared" si="492"/>
        <v>2024</v>
      </c>
      <c r="I5846" s="17" t="s">
        <v>4</v>
      </c>
      <c r="J5846" s="17" t="s">
        <v>6524</v>
      </c>
      <c r="K5846" s="17" t="s">
        <v>16</v>
      </c>
      <c r="L5846" s="17" t="s">
        <v>7</v>
      </c>
      <c r="M5846" s="17" t="s">
        <v>8</v>
      </c>
      <c r="N5846" s="17" t="str">
        <f t="shared" si="490"/>
        <v>GAL</v>
      </c>
      <c r="O5846" s="25">
        <v>30</v>
      </c>
    </row>
    <row r="5847" spans="2:15" x14ac:dyDescent="0.25">
      <c r="B5847" s="16" t="s">
        <v>0</v>
      </c>
      <c r="C5847" s="17" t="s">
        <v>1</v>
      </c>
      <c r="D5847" s="17" t="s">
        <v>2</v>
      </c>
      <c r="E5847" s="17" t="s">
        <v>1784</v>
      </c>
      <c r="F5847" s="18">
        <f>DATE(2024,10,16)</f>
        <v>45581</v>
      </c>
      <c r="G5847" s="17">
        <f t="shared" si="491"/>
        <v>10</v>
      </c>
      <c r="H5847" s="17">
        <f t="shared" si="492"/>
        <v>2024</v>
      </c>
      <c r="I5847" s="17" t="s">
        <v>4</v>
      </c>
      <c r="J5847" s="17" t="s">
        <v>6525</v>
      </c>
      <c r="K5847" s="17" t="s">
        <v>1786</v>
      </c>
      <c r="L5847" s="17" t="s">
        <v>84</v>
      </c>
      <c r="M5847" s="17" t="s">
        <v>85</v>
      </c>
      <c r="N5847" s="17" t="str">
        <f t="shared" si="490"/>
        <v>GAL</v>
      </c>
      <c r="O5847" s="25">
        <v>55</v>
      </c>
    </row>
    <row r="5848" spans="2:15" x14ac:dyDescent="0.25">
      <c r="B5848" s="16" t="s">
        <v>0</v>
      </c>
      <c r="C5848" s="17" t="s">
        <v>1</v>
      </c>
      <c r="D5848" s="17" t="s">
        <v>2</v>
      </c>
      <c r="E5848" s="17" t="s">
        <v>1784</v>
      </c>
      <c r="F5848" s="18">
        <f>DATE(2024,10,16)</f>
        <v>45581</v>
      </c>
      <c r="G5848" s="17">
        <f t="shared" si="491"/>
        <v>10</v>
      </c>
      <c r="H5848" s="17">
        <f t="shared" si="492"/>
        <v>2024</v>
      </c>
      <c r="I5848" s="17" t="s">
        <v>4</v>
      </c>
      <c r="J5848" s="17" t="s">
        <v>6525</v>
      </c>
      <c r="K5848" s="17" t="s">
        <v>28</v>
      </c>
      <c r="L5848" s="17" t="s">
        <v>29</v>
      </c>
      <c r="M5848" s="17" t="s">
        <v>30</v>
      </c>
      <c r="N5848" s="17" t="str">
        <f t="shared" si="490"/>
        <v>GAL</v>
      </c>
      <c r="O5848" s="25">
        <v>30</v>
      </c>
    </row>
    <row r="5849" spans="2:15" x14ac:dyDescent="0.25">
      <c r="B5849" s="16" t="s">
        <v>0</v>
      </c>
      <c r="C5849" s="17" t="s">
        <v>1</v>
      </c>
      <c r="D5849" s="17" t="s">
        <v>2</v>
      </c>
      <c r="E5849" s="17" t="s">
        <v>1784</v>
      </c>
      <c r="F5849" s="18">
        <f>DATE(2024,10,16)</f>
        <v>45581</v>
      </c>
      <c r="G5849" s="17">
        <f t="shared" si="491"/>
        <v>10</v>
      </c>
      <c r="H5849" s="17">
        <f t="shared" si="492"/>
        <v>2024</v>
      </c>
      <c r="I5849" s="17" t="s">
        <v>4</v>
      </c>
      <c r="J5849" s="17" t="s">
        <v>6525</v>
      </c>
      <c r="K5849" s="17" t="s">
        <v>6</v>
      </c>
      <c r="L5849" s="17" t="s">
        <v>7</v>
      </c>
      <c r="M5849" s="17" t="s">
        <v>8</v>
      </c>
      <c r="N5849" s="17" t="str">
        <f t="shared" si="490"/>
        <v>GAL</v>
      </c>
      <c r="O5849" s="25">
        <v>55</v>
      </c>
    </row>
    <row r="5850" spans="2:15" x14ac:dyDescent="0.25">
      <c r="B5850" s="16" t="s">
        <v>0</v>
      </c>
      <c r="C5850" s="17" t="s">
        <v>1</v>
      </c>
      <c r="D5850" s="17" t="s">
        <v>2</v>
      </c>
      <c r="E5850" s="17" t="s">
        <v>4287</v>
      </c>
      <c r="F5850" s="18">
        <f t="shared" ref="F5850:F5857" si="493">DATE(2024,10,18)</f>
        <v>45583</v>
      </c>
      <c r="G5850" s="17">
        <f t="shared" si="491"/>
        <v>10</v>
      </c>
      <c r="H5850" s="17">
        <f t="shared" si="492"/>
        <v>2024</v>
      </c>
      <c r="I5850" s="17" t="s">
        <v>4</v>
      </c>
      <c r="J5850" s="17" t="s">
        <v>6526</v>
      </c>
      <c r="K5850" s="17" t="s">
        <v>22</v>
      </c>
      <c r="L5850" s="17" t="s">
        <v>23</v>
      </c>
      <c r="M5850" s="17" t="s">
        <v>24</v>
      </c>
      <c r="N5850" s="17" t="str">
        <f t="shared" si="490"/>
        <v>GAL</v>
      </c>
      <c r="O5850" s="25">
        <v>60</v>
      </c>
    </row>
    <row r="5851" spans="2:15" x14ac:dyDescent="0.25">
      <c r="B5851" s="16" t="s">
        <v>0</v>
      </c>
      <c r="C5851" s="17" t="s">
        <v>1</v>
      </c>
      <c r="D5851" s="17" t="s">
        <v>2</v>
      </c>
      <c r="E5851" s="17" t="s">
        <v>4287</v>
      </c>
      <c r="F5851" s="18">
        <f t="shared" si="493"/>
        <v>45583</v>
      </c>
      <c r="G5851" s="17">
        <f t="shared" si="491"/>
        <v>10</v>
      </c>
      <c r="H5851" s="17">
        <f t="shared" si="492"/>
        <v>2024</v>
      </c>
      <c r="I5851" s="17" t="s">
        <v>4</v>
      </c>
      <c r="J5851" s="17" t="s">
        <v>6526</v>
      </c>
      <c r="K5851" s="17" t="s">
        <v>36</v>
      </c>
      <c r="L5851" s="17" t="s">
        <v>37</v>
      </c>
      <c r="M5851" s="17" t="s">
        <v>38</v>
      </c>
      <c r="N5851" s="17" t="str">
        <f t="shared" si="490"/>
        <v>GAL</v>
      </c>
      <c r="O5851" s="25">
        <v>60</v>
      </c>
    </row>
    <row r="5852" spans="2:15" x14ac:dyDescent="0.25">
      <c r="B5852" s="16" t="s">
        <v>0</v>
      </c>
      <c r="C5852" s="17" t="s">
        <v>1</v>
      </c>
      <c r="D5852" s="17" t="s">
        <v>2</v>
      </c>
      <c r="E5852" s="17" t="s">
        <v>4287</v>
      </c>
      <c r="F5852" s="18">
        <f t="shared" si="493"/>
        <v>45583</v>
      </c>
      <c r="G5852" s="17">
        <f t="shared" si="491"/>
        <v>10</v>
      </c>
      <c r="H5852" s="17">
        <f t="shared" si="492"/>
        <v>2024</v>
      </c>
      <c r="I5852" s="17" t="s">
        <v>4</v>
      </c>
      <c r="J5852" s="17" t="s">
        <v>6526</v>
      </c>
      <c r="K5852" s="17" t="s">
        <v>44</v>
      </c>
      <c r="L5852" s="17" t="s">
        <v>45</v>
      </c>
      <c r="M5852" s="17" t="s">
        <v>46</v>
      </c>
      <c r="N5852" s="17" t="str">
        <f t="shared" si="490"/>
        <v>GAL</v>
      </c>
      <c r="O5852" s="25">
        <v>30</v>
      </c>
    </row>
    <row r="5853" spans="2:15" x14ac:dyDescent="0.25">
      <c r="B5853" s="16" t="s">
        <v>0</v>
      </c>
      <c r="C5853" s="17" t="s">
        <v>1</v>
      </c>
      <c r="D5853" s="17" t="s">
        <v>2</v>
      </c>
      <c r="E5853" s="17" t="s">
        <v>4287</v>
      </c>
      <c r="F5853" s="18">
        <f t="shared" si="493"/>
        <v>45583</v>
      </c>
      <c r="G5853" s="17">
        <f t="shared" si="491"/>
        <v>10</v>
      </c>
      <c r="H5853" s="17">
        <f t="shared" si="492"/>
        <v>2024</v>
      </c>
      <c r="I5853" s="17" t="s">
        <v>4</v>
      </c>
      <c r="J5853" s="17" t="s">
        <v>6526</v>
      </c>
      <c r="K5853" s="17" t="s">
        <v>47</v>
      </c>
      <c r="L5853" s="17" t="s">
        <v>48</v>
      </c>
      <c r="M5853" s="17" t="s">
        <v>49</v>
      </c>
      <c r="N5853" s="17" t="str">
        <f t="shared" si="490"/>
        <v>GAL</v>
      </c>
      <c r="O5853" s="25">
        <v>30</v>
      </c>
    </row>
    <row r="5854" spans="2:15" x14ac:dyDescent="0.25">
      <c r="B5854" s="16" t="s">
        <v>0</v>
      </c>
      <c r="C5854" s="17" t="s">
        <v>1</v>
      </c>
      <c r="D5854" s="17" t="s">
        <v>2</v>
      </c>
      <c r="E5854" s="17" t="s">
        <v>4287</v>
      </c>
      <c r="F5854" s="18">
        <f t="shared" si="493"/>
        <v>45583</v>
      </c>
      <c r="G5854" s="17">
        <f t="shared" si="491"/>
        <v>10</v>
      </c>
      <c r="H5854" s="17">
        <f t="shared" si="492"/>
        <v>2024</v>
      </c>
      <c r="I5854" s="17" t="s">
        <v>4</v>
      </c>
      <c r="J5854" s="17" t="s">
        <v>6526</v>
      </c>
      <c r="K5854" s="17" t="s">
        <v>80</v>
      </c>
      <c r="L5854" s="17" t="s">
        <v>81</v>
      </c>
      <c r="M5854" s="17" t="s">
        <v>82</v>
      </c>
      <c r="N5854" s="17" t="str">
        <f t="shared" si="490"/>
        <v>GAL</v>
      </c>
      <c r="O5854" s="25">
        <v>120</v>
      </c>
    </row>
    <row r="5855" spans="2:15" x14ac:dyDescent="0.25">
      <c r="B5855" s="16" t="s">
        <v>0</v>
      </c>
      <c r="C5855" s="17" t="s">
        <v>1</v>
      </c>
      <c r="D5855" s="17" t="s">
        <v>2</v>
      </c>
      <c r="E5855" s="17" t="s">
        <v>4287</v>
      </c>
      <c r="F5855" s="18">
        <f t="shared" si="493"/>
        <v>45583</v>
      </c>
      <c r="G5855" s="17">
        <f t="shared" si="491"/>
        <v>10</v>
      </c>
      <c r="H5855" s="17">
        <f t="shared" si="492"/>
        <v>2024</v>
      </c>
      <c r="I5855" s="17" t="s">
        <v>4</v>
      </c>
      <c r="J5855" s="17" t="s">
        <v>6526</v>
      </c>
      <c r="K5855" s="17" t="s">
        <v>2166</v>
      </c>
      <c r="L5855" s="17" t="s">
        <v>2167</v>
      </c>
      <c r="M5855" s="17" t="s">
        <v>2168</v>
      </c>
      <c r="N5855" s="17" t="str">
        <f t="shared" si="490"/>
        <v>GAL</v>
      </c>
      <c r="O5855" s="25">
        <v>55</v>
      </c>
    </row>
    <row r="5856" spans="2:15" x14ac:dyDescent="0.25">
      <c r="B5856" s="16" t="s">
        <v>0</v>
      </c>
      <c r="C5856" s="17" t="s">
        <v>1</v>
      </c>
      <c r="D5856" s="17" t="s">
        <v>2</v>
      </c>
      <c r="E5856" s="17" t="s">
        <v>4287</v>
      </c>
      <c r="F5856" s="18">
        <f t="shared" si="493"/>
        <v>45583</v>
      </c>
      <c r="G5856" s="17">
        <f t="shared" si="491"/>
        <v>10</v>
      </c>
      <c r="H5856" s="17">
        <f t="shared" si="492"/>
        <v>2024</v>
      </c>
      <c r="I5856" s="17" t="s">
        <v>4</v>
      </c>
      <c r="J5856" s="17" t="s">
        <v>6526</v>
      </c>
      <c r="K5856" s="17" t="s">
        <v>28</v>
      </c>
      <c r="L5856" s="17" t="s">
        <v>29</v>
      </c>
      <c r="M5856" s="17" t="s">
        <v>30</v>
      </c>
      <c r="N5856" s="17" t="str">
        <f t="shared" si="490"/>
        <v>GAL</v>
      </c>
      <c r="O5856" s="25">
        <v>120</v>
      </c>
    </row>
    <row r="5857" spans="2:15" x14ac:dyDescent="0.25">
      <c r="B5857" s="16" t="s">
        <v>0</v>
      </c>
      <c r="C5857" s="17" t="s">
        <v>1</v>
      </c>
      <c r="D5857" s="17" t="s">
        <v>2</v>
      </c>
      <c r="E5857" s="17" t="s">
        <v>4287</v>
      </c>
      <c r="F5857" s="18">
        <f t="shared" si="493"/>
        <v>45583</v>
      </c>
      <c r="G5857" s="17">
        <f t="shared" si="491"/>
        <v>10</v>
      </c>
      <c r="H5857" s="17">
        <f t="shared" si="492"/>
        <v>2024</v>
      </c>
      <c r="I5857" s="17" t="s">
        <v>4</v>
      </c>
      <c r="J5857" s="17" t="s">
        <v>6526</v>
      </c>
      <c r="K5857" s="17" t="s">
        <v>16</v>
      </c>
      <c r="L5857" s="17" t="s">
        <v>7</v>
      </c>
      <c r="M5857" s="17" t="s">
        <v>8</v>
      </c>
      <c r="N5857" s="17" t="str">
        <f t="shared" si="490"/>
        <v>GAL</v>
      </c>
      <c r="O5857" s="25">
        <v>120</v>
      </c>
    </row>
    <row r="5858" spans="2:15" x14ac:dyDescent="0.25">
      <c r="B5858" s="16" t="s">
        <v>0</v>
      </c>
      <c r="C5858" s="17" t="s">
        <v>1</v>
      </c>
      <c r="D5858" s="17" t="s">
        <v>2</v>
      </c>
      <c r="E5858" s="17" t="s">
        <v>3</v>
      </c>
      <c r="F5858" s="18">
        <f>DATE(2024,10,22)</f>
        <v>45587</v>
      </c>
      <c r="G5858" s="17">
        <f t="shared" si="491"/>
        <v>10</v>
      </c>
      <c r="H5858" s="17">
        <f t="shared" si="492"/>
        <v>2024</v>
      </c>
      <c r="I5858" s="17" t="s">
        <v>4</v>
      </c>
      <c r="J5858" s="17" t="s">
        <v>6527</v>
      </c>
      <c r="K5858" s="17" t="s">
        <v>6528</v>
      </c>
      <c r="L5858" s="17" t="s">
        <v>37</v>
      </c>
      <c r="M5858" s="17" t="s">
        <v>38</v>
      </c>
      <c r="N5858" s="17" t="str">
        <f t="shared" si="490"/>
        <v>GAL</v>
      </c>
      <c r="O5858" s="25">
        <v>55</v>
      </c>
    </row>
    <row r="5859" spans="2:15" x14ac:dyDescent="0.25">
      <c r="B5859" s="16" t="s">
        <v>0</v>
      </c>
      <c r="C5859" s="17" t="s">
        <v>1</v>
      </c>
      <c r="D5859" s="17" t="s">
        <v>2</v>
      </c>
      <c r="E5859" s="17" t="s">
        <v>4287</v>
      </c>
      <c r="F5859" s="18">
        <f>DATE(2024,10,28)</f>
        <v>45593</v>
      </c>
      <c r="G5859" s="17">
        <f t="shared" si="491"/>
        <v>10</v>
      </c>
      <c r="H5859" s="17">
        <f t="shared" si="492"/>
        <v>2024</v>
      </c>
      <c r="I5859" s="17" t="s">
        <v>4</v>
      </c>
      <c r="J5859" s="17" t="s">
        <v>6529</v>
      </c>
      <c r="K5859" s="17" t="s">
        <v>19</v>
      </c>
      <c r="L5859" s="17" t="s">
        <v>6006</v>
      </c>
      <c r="M5859" s="17" t="s">
        <v>21</v>
      </c>
      <c r="N5859" s="17" t="str">
        <f t="shared" si="490"/>
        <v>GAL</v>
      </c>
      <c r="O5859" s="25">
        <v>120</v>
      </c>
    </row>
    <row r="5860" spans="2:15" x14ac:dyDescent="0.25">
      <c r="B5860" s="16" t="s">
        <v>0</v>
      </c>
      <c r="C5860" s="17" t="s">
        <v>1</v>
      </c>
      <c r="D5860" s="17" t="s">
        <v>2</v>
      </c>
      <c r="E5860" s="17" t="s">
        <v>4287</v>
      </c>
      <c r="F5860" s="18">
        <f>DATE(2024,10,28)</f>
        <v>45593</v>
      </c>
      <c r="G5860" s="17">
        <f t="shared" si="491"/>
        <v>10</v>
      </c>
      <c r="H5860" s="17">
        <f t="shared" si="492"/>
        <v>2024</v>
      </c>
      <c r="I5860" s="17" t="s">
        <v>4</v>
      </c>
      <c r="J5860" s="17" t="s">
        <v>6529</v>
      </c>
      <c r="K5860" s="17" t="s">
        <v>16</v>
      </c>
      <c r="L5860" s="17" t="s">
        <v>7</v>
      </c>
      <c r="M5860" s="17" t="s">
        <v>8</v>
      </c>
      <c r="N5860" s="17" t="str">
        <f t="shared" si="490"/>
        <v>GAL</v>
      </c>
      <c r="O5860" s="25">
        <v>120</v>
      </c>
    </row>
    <row r="5861" spans="2:15" x14ac:dyDescent="0.25">
      <c r="B5861" s="16" t="s">
        <v>88</v>
      </c>
      <c r="C5861" s="17" t="s">
        <v>89</v>
      </c>
      <c r="D5861" s="17" t="s">
        <v>1047</v>
      </c>
      <c r="E5861" s="17" t="s">
        <v>1468</v>
      </c>
      <c r="F5861" s="18">
        <f>DATE(2024,10,4)</f>
        <v>45569</v>
      </c>
      <c r="G5861" s="17">
        <f t="shared" si="491"/>
        <v>10</v>
      </c>
      <c r="H5861" s="17">
        <f t="shared" si="492"/>
        <v>2024</v>
      </c>
      <c r="I5861" s="17" t="s">
        <v>4</v>
      </c>
      <c r="J5861" s="17" t="s">
        <v>6530</v>
      </c>
      <c r="K5861" s="17" t="s">
        <v>1470</v>
      </c>
      <c r="L5861" s="17" t="s">
        <v>2558</v>
      </c>
      <c r="M5861" s="17" t="s">
        <v>1472</v>
      </c>
      <c r="N5861" s="17" t="str">
        <f t="shared" si="490"/>
        <v>GAL</v>
      </c>
      <c r="O5861" s="25">
        <v>40</v>
      </c>
    </row>
    <row r="5862" spans="2:15" x14ac:dyDescent="0.25">
      <c r="B5862" s="16" t="s">
        <v>88</v>
      </c>
      <c r="C5862" s="17" t="s">
        <v>89</v>
      </c>
      <c r="D5862" s="17" t="s">
        <v>2195</v>
      </c>
      <c r="E5862" s="17" t="s">
        <v>2196</v>
      </c>
      <c r="F5862" s="18">
        <f>DATE(2024,10,8)</f>
        <v>45573</v>
      </c>
      <c r="G5862" s="17">
        <f t="shared" si="491"/>
        <v>10</v>
      </c>
      <c r="H5862" s="17">
        <f t="shared" si="492"/>
        <v>2024</v>
      </c>
      <c r="I5862" s="17" t="s">
        <v>4</v>
      </c>
      <c r="J5862" s="17" t="s">
        <v>6531</v>
      </c>
      <c r="K5862" s="17" t="s">
        <v>1028</v>
      </c>
      <c r="L5862" s="17" t="s">
        <v>1029</v>
      </c>
      <c r="M5862" s="17" t="s">
        <v>106</v>
      </c>
      <c r="N5862" s="17" t="str">
        <f t="shared" si="490"/>
        <v>LBS</v>
      </c>
      <c r="O5862" s="25">
        <v>41540</v>
      </c>
    </row>
    <row r="5863" spans="2:15" x14ac:dyDescent="0.25">
      <c r="B5863" s="16" t="s">
        <v>88</v>
      </c>
      <c r="C5863" s="17" t="s">
        <v>89</v>
      </c>
      <c r="D5863" s="17" t="s">
        <v>1444</v>
      </c>
      <c r="E5863" s="17" t="s">
        <v>102</v>
      </c>
      <c r="F5863" s="18">
        <f>DATE(2024,10,16)</f>
        <v>45581</v>
      </c>
      <c r="G5863" s="17">
        <f t="shared" si="491"/>
        <v>10</v>
      </c>
      <c r="H5863" s="17">
        <f t="shared" si="492"/>
        <v>2024</v>
      </c>
      <c r="I5863" s="17" t="s">
        <v>4</v>
      </c>
      <c r="J5863" s="17" t="s">
        <v>6532</v>
      </c>
      <c r="K5863" s="17" t="s">
        <v>1446</v>
      </c>
      <c r="L5863" s="17" t="s">
        <v>2581</v>
      </c>
      <c r="M5863" s="17" t="s">
        <v>1448</v>
      </c>
      <c r="N5863" s="17" t="str">
        <f t="shared" si="490"/>
        <v>GAL</v>
      </c>
      <c r="O5863" s="25">
        <v>360</v>
      </c>
    </row>
    <row r="5864" spans="2:15" x14ac:dyDescent="0.25">
      <c r="B5864" s="16" t="s">
        <v>88</v>
      </c>
      <c r="C5864" s="17" t="s">
        <v>89</v>
      </c>
      <c r="D5864" s="17" t="s">
        <v>1444</v>
      </c>
      <c r="E5864" s="17" t="s">
        <v>102</v>
      </c>
      <c r="F5864" s="18">
        <f>DATE(2024,10,16)</f>
        <v>45581</v>
      </c>
      <c r="G5864" s="17">
        <f t="shared" si="491"/>
        <v>10</v>
      </c>
      <c r="H5864" s="17">
        <f t="shared" si="492"/>
        <v>2024</v>
      </c>
      <c r="I5864" s="17" t="s">
        <v>4</v>
      </c>
      <c r="J5864" s="17" t="s">
        <v>6533</v>
      </c>
      <c r="K5864" s="17" t="s">
        <v>1446</v>
      </c>
      <c r="L5864" s="17" t="s">
        <v>2581</v>
      </c>
      <c r="M5864" s="17" t="s">
        <v>1448</v>
      </c>
      <c r="N5864" s="17" t="str">
        <f t="shared" si="490"/>
        <v>GAL</v>
      </c>
      <c r="O5864" s="25">
        <v>360</v>
      </c>
    </row>
    <row r="5865" spans="2:15" x14ac:dyDescent="0.25">
      <c r="B5865" s="16" t="s">
        <v>88</v>
      </c>
      <c r="C5865" s="17" t="s">
        <v>89</v>
      </c>
      <c r="D5865" s="17" t="s">
        <v>616</v>
      </c>
      <c r="E5865" s="17" t="s">
        <v>2215</v>
      </c>
      <c r="F5865" s="18">
        <f>DATE(2024,10,22)</f>
        <v>45587</v>
      </c>
      <c r="G5865" s="17">
        <f t="shared" si="491"/>
        <v>10</v>
      </c>
      <c r="H5865" s="17">
        <f t="shared" si="492"/>
        <v>2024</v>
      </c>
      <c r="I5865" s="17" t="s">
        <v>4</v>
      </c>
      <c r="J5865" s="17" t="s">
        <v>6534</v>
      </c>
      <c r="K5865" s="17" t="s">
        <v>3297</v>
      </c>
      <c r="L5865" s="17" t="s">
        <v>3298</v>
      </c>
      <c r="M5865" s="17" t="s">
        <v>3588</v>
      </c>
      <c r="N5865" s="17" t="str">
        <f t="shared" si="490"/>
        <v>GAL</v>
      </c>
      <c r="O5865" s="25">
        <v>50</v>
      </c>
    </row>
    <row r="5866" spans="2:15" x14ac:dyDescent="0.25">
      <c r="B5866" s="16" t="s">
        <v>88</v>
      </c>
      <c r="C5866" s="17" t="s">
        <v>89</v>
      </c>
      <c r="D5866" s="17" t="s">
        <v>167</v>
      </c>
      <c r="E5866" s="17" t="s">
        <v>168</v>
      </c>
      <c r="F5866" s="18">
        <f>DATE(2024,10,31)</f>
        <v>45596</v>
      </c>
      <c r="G5866" s="17">
        <f t="shared" si="491"/>
        <v>10</v>
      </c>
      <c r="H5866" s="17">
        <f t="shared" si="492"/>
        <v>2024</v>
      </c>
      <c r="I5866" s="17" t="s">
        <v>4</v>
      </c>
      <c r="J5866" s="17" t="s">
        <v>6535</v>
      </c>
      <c r="K5866" s="17" t="s">
        <v>2629</v>
      </c>
      <c r="L5866" s="17" t="s">
        <v>2630</v>
      </c>
      <c r="M5866" s="17" t="s">
        <v>2631</v>
      </c>
      <c r="N5866" s="17" t="str">
        <f t="shared" si="490"/>
        <v>GAL</v>
      </c>
      <c r="O5866" s="25">
        <v>70</v>
      </c>
    </row>
    <row r="5867" spans="2:15" x14ac:dyDescent="0.25">
      <c r="B5867" s="16" t="s">
        <v>88</v>
      </c>
      <c r="C5867" s="17" t="s">
        <v>89</v>
      </c>
      <c r="D5867" s="17" t="s">
        <v>167</v>
      </c>
      <c r="E5867" s="17" t="s">
        <v>168</v>
      </c>
      <c r="F5867" s="18">
        <f>DATE(2024,10,31)</f>
        <v>45596</v>
      </c>
      <c r="G5867" s="17">
        <f t="shared" si="491"/>
        <v>10</v>
      </c>
      <c r="H5867" s="17">
        <f t="shared" si="492"/>
        <v>2024</v>
      </c>
      <c r="I5867" s="17" t="s">
        <v>4</v>
      </c>
      <c r="J5867" s="17" t="s">
        <v>6536</v>
      </c>
      <c r="K5867" s="17" t="s">
        <v>2629</v>
      </c>
      <c r="L5867" s="17" t="s">
        <v>2630</v>
      </c>
      <c r="M5867" s="17" t="s">
        <v>2631</v>
      </c>
      <c r="N5867" s="17" t="str">
        <f t="shared" si="490"/>
        <v>GAL</v>
      </c>
      <c r="O5867" s="25">
        <v>70</v>
      </c>
    </row>
    <row r="5868" spans="2:15" x14ac:dyDescent="0.25">
      <c r="B5868" s="16" t="s">
        <v>645</v>
      </c>
      <c r="C5868" s="17" t="s">
        <v>155</v>
      </c>
      <c r="D5868" s="17" t="s">
        <v>646</v>
      </c>
      <c r="E5868" s="17" t="s">
        <v>647</v>
      </c>
      <c r="F5868" s="18">
        <f>DATE(2024,10,4)</f>
        <v>45569</v>
      </c>
      <c r="G5868" s="17">
        <f t="shared" si="491"/>
        <v>10</v>
      </c>
      <c r="H5868" s="17">
        <f t="shared" si="492"/>
        <v>2024</v>
      </c>
      <c r="I5868" s="17" t="s">
        <v>4</v>
      </c>
      <c r="J5868" s="17" t="s">
        <v>6537</v>
      </c>
      <c r="K5868" s="17" t="s">
        <v>25</v>
      </c>
      <c r="L5868" s="17" t="s">
        <v>541</v>
      </c>
      <c r="M5868" s="17" t="s">
        <v>27</v>
      </c>
      <c r="N5868" s="17" t="str">
        <f t="shared" si="490"/>
        <v>GAL</v>
      </c>
      <c r="O5868" s="25">
        <v>540</v>
      </c>
    </row>
    <row r="5869" spans="2:15" x14ac:dyDescent="0.25">
      <c r="B5869" s="16" t="s">
        <v>645</v>
      </c>
      <c r="C5869" s="17" t="s">
        <v>155</v>
      </c>
      <c r="D5869" s="17" t="s">
        <v>646</v>
      </c>
      <c r="E5869" s="17" t="s">
        <v>647</v>
      </c>
      <c r="F5869" s="18">
        <f>DATE(2024,10,4)</f>
        <v>45569</v>
      </c>
      <c r="G5869" s="17">
        <f t="shared" si="491"/>
        <v>10</v>
      </c>
      <c r="H5869" s="17">
        <f t="shared" si="492"/>
        <v>2024</v>
      </c>
      <c r="I5869" s="17" t="s">
        <v>4</v>
      </c>
      <c r="J5869" s="17" t="s">
        <v>6537</v>
      </c>
      <c r="K5869" s="17" t="s">
        <v>158</v>
      </c>
      <c r="L5869" s="17" t="s">
        <v>159</v>
      </c>
      <c r="M5869" s="17" t="s">
        <v>160</v>
      </c>
      <c r="N5869" s="17" t="str">
        <f t="shared" si="490"/>
        <v>GAL</v>
      </c>
      <c r="O5869" s="25">
        <v>540</v>
      </c>
    </row>
    <row r="5870" spans="2:15" x14ac:dyDescent="0.25">
      <c r="B5870" s="16" t="s">
        <v>645</v>
      </c>
      <c r="C5870" s="17" t="s">
        <v>155</v>
      </c>
      <c r="D5870" s="17" t="s">
        <v>646</v>
      </c>
      <c r="E5870" s="17" t="s">
        <v>647</v>
      </c>
      <c r="F5870" s="18">
        <f>DATE(2024,10,4)</f>
        <v>45569</v>
      </c>
      <c r="G5870" s="17">
        <f t="shared" si="491"/>
        <v>10</v>
      </c>
      <c r="H5870" s="17">
        <f t="shared" si="492"/>
        <v>2024</v>
      </c>
      <c r="I5870" s="17" t="s">
        <v>4</v>
      </c>
      <c r="J5870" s="17" t="s">
        <v>6537</v>
      </c>
      <c r="K5870" s="17" t="s">
        <v>189</v>
      </c>
      <c r="L5870" s="17" t="s">
        <v>190</v>
      </c>
      <c r="M5870" s="17" t="s">
        <v>191</v>
      </c>
      <c r="N5870" s="17" t="str">
        <f t="shared" si="490"/>
        <v>GAL</v>
      </c>
      <c r="O5870" s="25">
        <v>180</v>
      </c>
    </row>
    <row r="5871" spans="2:15" x14ac:dyDescent="0.25">
      <c r="B5871" s="16" t="s">
        <v>154</v>
      </c>
      <c r="C5871" s="17" t="s">
        <v>155</v>
      </c>
      <c r="D5871" s="17" t="s">
        <v>623</v>
      </c>
      <c r="E5871" s="17" t="s">
        <v>624</v>
      </c>
      <c r="F5871" s="18">
        <f>DATE(2024,10,16)</f>
        <v>45581</v>
      </c>
      <c r="G5871" s="17">
        <f t="shared" si="491"/>
        <v>10</v>
      </c>
      <c r="H5871" s="17">
        <f t="shared" si="492"/>
        <v>2024</v>
      </c>
      <c r="I5871" s="17" t="s">
        <v>4</v>
      </c>
      <c r="J5871" s="17" t="s">
        <v>6538</v>
      </c>
      <c r="K5871" s="17" t="s">
        <v>626</v>
      </c>
      <c r="L5871" s="17" t="s">
        <v>627</v>
      </c>
      <c r="M5871" s="17" t="s">
        <v>119</v>
      </c>
      <c r="N5871" s="17" t="str">
        <f t="shared" si="490"/>
        <v>TON</v>
      </c>
      <c r="O5871" s="25">
        <v>15</v>
      </c>
    </row>
    <row r="5872" spans="2:15" x14ac:dyDescent="0.25">
      <c r="B5872" s="16" t="s">
        <v>154</v>
      </c>
      <c r="C5872" s="17" t="s">
        <v>155</v>
      </c>
      <c r="D5872" s="17" t="s">
        <v>107</v>
      </c>
      <c r="E5872" s="17" t="s">
        <v>108</v>
      </c>
      <c r="F5872" s="18">
        <f>DATE(2024,10,22)</f>
        <v>45587</v>
      </c>
      <c r="G5872" s="17">
        <f t="shared" si="491"/>
        <v>10</v>
      </c>
      <c r="H5872" s="17">
        <f t="shared" si="492"/>
        <v>2024</v>
      </c>
      <c r="I5872" s="17" t="s">
        <v>4</v>
      </c>
      <c r="J5872" s="17" t="s">
        <v>6539</v>
      </c>
      <c r="K5872" s="17" t="s">
        <v>158</v>
      </c>
      <c r="L5872" s="17" t="s">
        <v>159</v>
      </c>
      <c r="M5872" s="17" t="s">
        <v>160</v>
      </c>
      <c r="N5872" s="17" t="str">
        <f t="shared" si="490"/>
        <v>GAL</v>
      </c>
      <c r="O5872" s="25">
        <v>360</v>
      </c>
    </row>
    <row r="5873" spans="2:15" x14ac:dyDescent="0.25">
      <c r="B5873" s="16" t="s">
        <v>154</v>
      </c>
      <c r="C5873" s="17" t="s">
        <v>155</v>
      </c>
      <c r="D5873" s="17" t="s">
        <v>623</v>
      </c>
      <c r="E5873" s="17" t="s">
        <v>624</v>
      </c>
      <c r="F5873" s="18">
        <f>DATE(2024,10,22)</f>
        <v>45587</v>
      </c>
      <c r="G5873" s="17">
        <f t="shared" si="491"/>
        <v>10</v>
      </c>
      <c r="H5873" s="17">
        <f t="shared" si="492"/>
        <v>2024</v>
      </c>
      <c r="I5873" s="17" t="s">
        <v>4</v>
      </c>
      <c r="J5873" s="17" t="s">
        <v>6540</v>
      </c>
      <c r="K5873" s="17" t="s">
        <v>626</v>
      </c>
      <c r="L5873" s="17" t="s">
        <v>627</v>
      </c>
      <c r="M5873" s="17" t="s">
        <v>119</v>
      </c>
      <c r="N5873" s="17" t="str">
        <f t="shared" si="490"/>
        <v>TON</v>
      </c>
      <c r="O5873" s="25">
        <v>15.04</v>
      </c>
    </row>
    <row r="5874" spans="2:15" x14ac:dyDescent="0.25">
      <c r="B5874" s="16" t="s">
        <v>154</v>
      </c>
      <c r="C5874" s="17" t="s">
        <v>155</v>
      </c>
      <c r="D5874" s="17" t="s">
        <v>628</v>
      </c>
      <c r="E5874" s="17" t="s">
        <v>629</v>
      </c>
      <c r="F5874" s="18">
        <f>DATE(2024,10,24)</f>
        <v>45589</v>
      </c>
      <c r="G5874" s="17">
        <f t="shared" si="491"/>
        <v>10</v>
      </c>
      <c r="H5874" s="17">
        <f t="shared" si="492"/>
        <v>2024</v>
      </c>
      <c r="I5874" s="17" t="s">
        <v>4</v>
      </c>
      <c r="J5874" s="17" t="s">
        <v>6541</v>
      </c>
      <c r="K5874" s="17" t="s">
        <v>1130</v>
      </c>
      <c r="L5874" s="17" t="s">
        <v>632</v>
      </c>
      <c r="M5874" s="17" t="s">
        <v>633</v>
      </c>
      <c r="N5874" s="17" t="str">
        <f t="shared" si="490"/>
        <v>GAL</v>
      </c>
      <c r="O5874" s="25">
        <v>65</v>
      </c>
    </row>
    <row r="5875" spans="2:15" x14ac:dyDescent="0.25">
      <c r="B5875" s="16" t="s">
        <v>154</v>
      </c>
      <c r="C5875" s="17" t="s">
        <v>155</v>
      </c>
      <c r="D5875" s="17" t="s">
        <v>1838</v>
      </c>
      <c r="E5875" s="17" t="s">
        <v>1839</v>
      </c>
      <c r="F5875" s="18">
        <f>DATE(2024,10,25)</f>
        <v>45590</v>
      </c>
      <c r="G5875" s="17">
        <f t="shared" si="491"/>
        <v>10</v>
      </c>
      <c r="H5875" s="17">
        <f t="shared" si="492"/>
        <v>2024</v>
      </c>
      <c r="I5875" s="17" t="s">
        <v>4</v>
      </c>
      <c r="J5875" s="17" t="s">
        <v>6542</v>
      </c>
      <c r="K5875" s="17" t="s">
        <v>1119</v>
      </c>
      <c r="L5875" s="17" t="s">
        <v>1023</v>
      </c>
      <c r="M5875" s="17" t="s">
        <v>1024</v>
      </c>
      <c r="N5875" s="17" t="str">
        <f t="shared" si="490"/>
        <v>GAL</v>
      </c>
      <c r="O5875" s="25">
        <v>120</v>
      </c>
    </row>
    <row r="5876" spans="2:15" x14ac:dyDescent="0.25">
      <c r="B5876" s="16" t="s">
        <v>154</v>
      </c>
      <c r="C5876" s="17" t="s">
        <v>155</v>
      </c>
      <c r="D5876" s="17" t="s">
        <v>623</v>
      </c>
      <c r="E5876" s="17" t="s">
        <v>624</v>
      </c>
      <c r="F5876" s="18">
        <f>DATE(2024,10,28)</f>
        <v>45593</v>
      </c>
      <c r="G5876" s="17">
        <f t="shared" si="491"/>
        <v>10</v>
      </c>
      <c r="H5876" s="17">
        <f t="shared" si="492"/>
        <v>2024</v>
      </c>
      <c r="I5876" s="17" t="s">
        <v>4</v>
      </c>
      <c r="J5876" s="17" t="s">
        <v>6543</v>
      </c>
      <c r="K5876" s="17" t="s">
        <v>626</v>
      </c>
      <c r="L5876" s="17" t="s">
        <v>627</v>
      </c>
      <c r="M5876" s="17" t="s">
        <v>119</v>
      </c>
      <c r="N5876" s="17" t="str">
        <f t="shared" si="490"/>
        <v>TON</v>
      </c>
      <c r="O5876" s="25">
        <v>15.015000000000001</v>
      </c>
    </row>
    <row r="5877" spans="2:15" x14ac:dyDescent="0.25">
      <c r="B5877" s="20" t="s">
        <v>154</v>
      </c>
      <c r="C5877" s="21" t="s">
        <v>155</v>
      </c>
      <c r="D5877" s="22" t="s">
        <v>5173</v>
      </c>
      <c r="E5877" s="22" t="s">
        <v>5174</v>
      </c>
      <c r="F5877" s="23">
        <f>DATE(2024,10,30)</f>
        <v>45595</v>
      </c>
      <c r="G5877" s="22">
        <f t="shared" si="491"/>
        <v>10</v>
      </c>
      <c r="H5877" s="22">
        <f t="shared" si="492"/>
        <v>2024</v>
      </c>
      <c r="I5877" s="22" t="s">
        <v>4</v>
      </c>
      <c r="J5877" s="21" t="s">
        <v>6544</v>
      </c>
      <c r="K5877" s="22" t="s">
        <v>5200</v>
      </c>
      <c r="L5877" s="22" t="s">
        <v>5201</v>
      </c>
      <c r="M5877" s="22" t="s">
        <v>5202</v>
      </c>
      <c r="N5877" s="22" t="str">
        <f t="shared" si="490"/>
        <v>GAL</v>
      </c>
      <c r="O5877" s="27">
        <v>2.5</v>
      </c>
    </row>
    <row r="5878" spans="2:15" x14ac:dyDescent="0.25">
      <c r="B5878" s="20" t="s">
        <v>154</v>
      </c>
      <c r="C5878" s="21" t="s">
        <v>155</v>
      </c>
      <c r="D5878" s="22" t="s">
        <v>6545</v>
      </c>
      <c r="E5878" s="22" t="s">
        <v>141</v>
      </c>
      <c r="F5878" s="23">
        <f>DATE(2024,10,30)</f>
        <v>45595</v>
      </c>
      <c r="G5878" s="22">
        <f t="shared" si="491"/>
        <v>10</v>
      </c>
      <c r="H5878" s="22">
        <f t="shared" si="492"/>
        <v>2024</v>
      </c>
      <c r="I5878" s="22" t="s">
        <v>4</v>
      </c>
      <c r="J5878" s="21" t="s">
        <v>6546</v>
      </c>
      <c r="K5878" s="22" t="s">
        <v>5200</v>
      </c>
      <c r="L5878" s="22" t="s">
        <v>5201</v>
      </c>
      <c r="M5878" s="22" t="s">
        <v>5202</v>
      </c>
      <c r="N5878" s="22" t="str">
        <f t="shared" si="490"/>
        <v>GAL</v>
      </c>
      <c r="O5878" s="27">
        <v>2.5</v>
      </c>
    </row>
    <row r="5879" spans="2:15" x14ac:dyDescent="0.25">
      <c r="B5879" s="16" t="s">
        <v>154</v>
      </c>
      <c r="C5879" s="17" t="s">
        <v>155</v>
      </c>
      <c r="D5879" s="17" t="s">
        <v>178</v>
      </c>
      <c r="E5879" s="17" t="s">
        <v>179</v>
      </c>
      <c r="F5879" s="18">
        <f>DATE(2024,10,31)</f>
        <v>45596</v>
      </c>
      <c r="G5879" s="17">
        <f t="shared" si="491"/>
        <v>10</v>
      </c>
      <c r="H5879" s="17">
        <f t="shared" si="492"/>
        <v>2024</v>
      </c>
      <c r="I5879" s="17" t="s">
        <v>4</v>
      </c>
      <c r="J5879" s="17" t="s">
        <v>6547</v>
      </c>
      <c r="K5879" s="17" t="s">
        <v>158</v>
      </c>
      <c r="L5879" s="17" t="s">
        <v>159</v>
      </c>
      <c r="M5879" s="17" t="s">
        <v>160</v>
      </c>
      <c r="N5879" s="17" t="str">
        <f t="shared" si="490"/>
        <v>GAL</v>
      </c>
      <c r="O5879" s="25">
        <v>180</v>
      </c>
    </row>
    <row r="5880" spans="2:15" x14ac:dyDescent="0.25">
      <c r="B5880" s="16" t="s">
        <v>154</v>
      </c>
      <c r="C5880" s="17" t="s">
        <v>155</v>
      </c>
      <c r="D5880" s="17" t="s">
        <v>178</v>
      </c>
      <c r="E5880" s="17" t="s">
        <v>179</v>
      </c>
      <c r="F5880" s="18">
        <f>DATE(2024,10,31)</f>
        <v>45596</v>
      </c>
      <c r="G5880" s="17">
        <f t="shared" si="491"/>
        <v>10</v>
      </c>
      <c r="H5880" s="17">
        <f t="shared" si="492"/>
        <v>2024</v>
      </c>
      <c r="I5880" s="17" t="s">
        <v>4</v>
      </c>
      <c r="J5880" s="17" t="s">
        <v>6547</v>
      </c>
      <c r="K5880" s="17" t="s">
        <v>189</v>
      </c>
      <c r="L5880" s="17" t="s">
        <v>190</v>
      </c>
      <c r="M5880" s="17" t="s">
        <v>191</v>
      </c>
      <c r="N5880" s="17" t="str">
        <f t="shared" si="490"/>
        <v>GAL</v>
      </c>
      <c r="O5880" s="25">
        <v>180</v>
      </c>
    </row>
    <row r="5881" spans="2:15" x14ac:dyDescent="0.25">
      <c r="B5881" s="16" t="s">
        <v>154</v>
      </c>
      <c r="C5881" s="17" t="s">
        <v>155</v>
      </c>
      <c r="D5881" s="17" t="s">
        <v>107</v>
      </c>
      <c r="E5881" s="17" t="s">
        <v>108</v>
      </c>
      <c r="F5881" s="18">
        <f>DATE(2024,10,31)</f>
        <v>45596</v>
      </c>
      <c r="G5881" s="17">
        <f t="shared" si="491"/>
        <v>10</v>
      </c>
      <c r="H5881" s="17">
        <f t="shared" si="492"/>
        <v>2024</v>
      </c>
      <c r="I5881" s="17" t="s">
        <v>4</v>
      </c>
      <c r="J5881" s="17" t="s">
        <v>6548</v>
      </c>
      <c r="K5881" s="17" t="s">
        <v>244</v>
      </c>
      <c r="L5881" s="17" t="s">
        <v>182</v>
      </c>
      <c r="M5881" s="17" t="s">
        <v>183</v>
      </c>
      <c r="N5881" s="17" t="str">
        <f t="shared" si="490"/>
        <v>GAL</v>
      </c>
      <c r="O5881" s="25">
        <v>25</v>
      </c>
    </row>
    <row r="5882" spans="2:15" x14ac:dyDescent="0.25">
      <c r="B5882" s="16" t="s">
        <v>1520</v>
      </c>
      <c r="C5882" s="17" t="s">
        <v>196</v>
      </c>
      <c r="D5882" s="17" t="s">
        <v>2002</v>
      </c>
      <c r="E5882" s="17" t="s">
        <v>6549</v>
      </c>
      <c r="F5882" s="18">
        <f>DATE(2024,10,1)</f>
        <v>45566</v>
      </c>
      <c r="G5882" s="17">
        <f t="shared" si="491"/>
        <v>10</v>
      </c>
      <c r="H5882" s="17">
        <f t="shared" si="492"/>
        <v>2024</v>
      </c>
      <c r="I5882" s="17" t="s">
        <v>4</v>
      </c>
      <c r="J5882" s="17" t="s">
        <v>6550</v>
      </c>
      <c r="K5882" s="17" t="s">
        <v>205</v>
      </c>
      <c r="L5882" s="17" t="s">
        <v>206</v>
      </c>
      <c r="M5882" s="17" t="s">
        <v>119</v>
      </c>
      <c r="N5882" s="17" t="str">
        <f t="shared" si="490"/>
        <v>TON</v>
      </c>
      <c r="O5882" s="25">
        <v>1.2625</v>
      </c>
    </row>
    <row r="5883" spans="2:15" x14ac:dyDescent="0.25">
      <c r="B5883" s="16" t="s">
        <v>1520</v>
      </c>
      <c r="C5883" s="17" t="s">
        <v>196</v>
      </c>
      <c r="D5883" s="17" t="s">
        <v>265</v>
      </c>
      <c r="E5883" s="17" t="s">
        <v>266</v>
      </c>
      <c r="F5883" s="18">
        <f>DATE(2024,10,1)</f>
        <v>45566</v>
      </c>
      <c r="G5883" s="17">
        <f t="shared" si="491"/>
        <v>10</v>
      </c>
      <c r="H5883" s="17">
        <f t="shared" si="492"/>
        <v>2024</v>
      </c>
      <c r="I5883" s="17" t="s">
        <v>4</v>
      </c>
      <c r="J5883" s="17" t="s">
        <v>6551</v>
      </c>
      <c r="K5883" s="17" t="s">
        <v>268</v>
      </c>
      <c r="L5883" s="17" t="s">
        <v>269</v>
      </c>
      <c r="M5883" s="17" t="s">
        <v>119</v>
      </c>
      <c r="N5883" s="17" t="str">
        <f t="shared" si="490"/>
        <v>TON</v>
      </c>
      <c r="O5883" s="25">
        <v>0.15</v>
      </c>
    </row>
    <row r="5884" spans="2:15" x14ac:dyDescent="0.25">
      <c r="B5884" s="16" t="s">
        <v>1520</v>
      </c>
      <c r="C5884" s="17" t="s">
        <v>196</v>
      </c>
      <c r="D5884" s="17" t="s">
        <v>387</v>
      </c>
      <c r="E5884" s="17" t="s">
        <v>797</v>
      </c>
      <c r="F5884" s="18">
        <f>DATE(2024,10,2)</f>
        <v>45567</v>
      </c>
      <c r="G5884" s="17">
        <f t="shared" si="491"/>
        <v>10</v>
      </c>
      <c r="H5884" s="17">
        <f t="shared" si="492"/>
        <v>2024</v>
      </c>
      <c r="I5884" s="17" t="s">
        <v>4</v>
      </c>
      <c r="J5884" s="17" t="s">
        <v>6552</v>
      </c>
      <c r="K5884" s="17" t="s">
        <v>422</v>
      </c>
      <c r="L5884" s="17" t="s">
        <v>423</v>
      </c>
      <c r="M5884" s="17" t="s">
        <v>119</v>
      </c>
      <c r="N5884" s="17" t="str">
        <f t="shared" si="490"/>
        <v>TON</v>
      </c>
      <c r="O5884" s="25">
        <v>15.057499999999999</v>
      </c>
    </row>
    <row r="5885" spans="2:15" x14ac:dyDescent="0.25">
      <c r="B5885" s="16" t="s">
        <v>1520</v>
      </c>
      <c r="C5885" s="17" t="s">
        <v>196</v>
      </c>
      <c r="D5885" s="17" t="s">
        <v>660</v>
      </c>
      <c r="E5885" s="17" t="s">
        <v>4023</v>
      </c>
      <c r="F5885" s="18">
        <f>DATE(2024,10,2)</f>
        <v>45567</v>
      </c>
      <c r="G5885" s="17">
        <f t="shared" si="491"/>
        <v>10</v>
      </c>
      <c r="H5885" s="17">
        <f t="shared" si="492"/>
        <v>2024</v>
      </c>
      <c r="I5885" s="17" t="s">
        <v>4</v>
      </c>
      <c r="J5885" s="17" t="s">
        <v>6553</v>
      </c>
      <c r="K5885" s="17" t="s">
        <v>6554</v>
      </c>
      <c r="L5885" s="17" t="s">
        <v>6555</v>
      </c>
      <c r="M5885" s="17" t="s">
        <v>119</v>
      </c>
      <c r="N5885" s="17" t="str">
        <f t="shared" si="490"/>
        <v>TON</v>
      </c>
      <c r="O5885" s="25">
        <v>2.5</v>
      </c>
    </row>
    <row r="5886" spans="2:15" x14ac:dyDescent="0.25">
      <c r="B5886" s="16" t="s">
        <v>1520</v>
      </c>
      <c r="C5886" s="17" t="s">
        <v>196</v>
      </c>
      <c r="D5886" s="17" t="s">
        <v>440</v>
      </c>
      <c r="E5886" s="17" t="s">
        <v>1369</v>
      </c>
      <c r="F5886" s="18">
        <f>DATE(2024,10,3)</f>
        <v>45568</v>
      </c>
      <c r="G5886" s="17">
        <f t="shared" si="491"/>
        <v>10</v>
      </c>
      <c r="H5886" s="17">
        <f t="shared" si="492"/>
        <v>2024</v>
      </c>
      <c r="I5886" s="17" t="s">
        <v>4</v>
      </c>
      <c r="J5886" s="17" t="s">
        <v>6556</v>
      </c>
      <c r="K5886" s="17" t="s">
        <v>422</v>
      </c>
      <c r="L5886" s="17" t="s">
        <v>423</v>
      </c>
      <c r="M5886" s="17" t="s">
        <v>119</v>
      </c>
      <c r="N5886" s="17" t="str">
        <f t="shared" ref="N5886:N5949" si="494">+LEFT(M5886,3)</f>
        <v>TON</v>
      </c>
      <c r="O5886" s="25">
        <v>5.0149999999999997</v>
      </c>
    </row>
    <row r="5887" spans="2:15" x14ac:dyDescent="0.25">
      <c r="B5887" s="16" t="s">
        <v>1520</v>
      </c>
      <c r="C5887" s="17" t="s">
        <v>196</v>
      </c>
      <c r="D5887" s="17" t="s">
        <v>440</v>
      </c>
      <c r="E5887" s="17" t="s">
        <v>441</v>
      </c>
      <c r="F5887" s="18">
        <f>DATE(2024,10,3)</f>
        <v>45568</v>
      </c>
      <c r="G5887" s="17">
        <f t="shared" si="491"/>
        <v>10</v>
      </c>
      <c r="H5887" s="17">
        <f t="shared" si="492"/>
        <v>2024</v>
      </c>
      <c r="I5887" s="17" t="s">
        <v>4</v>
      </c>
      <c r="J5887" s="17" t="s">
        <v>6557</v>
      </c>
      <c r="K5887" s="17" t="s">
        <v>422</v>
      </c>
      <c r="L5887" s="17" t="s">
        <v>423</v>
      </c>
      <c r="M5887" s="17" t="s">
        <v>119</v>
      </c>
      <c r="N5887" s="17" t="str">
        <f t="shared" si="494"/>
        <v>TON</v>
      </c>
      <c r="O5887" s="25">
        <v>10.0175</v>
      </c>
    </row>
    <row r="5888" spans="2:15" x14ac:dyDescent="0.25">
      <c r="B5888" s="16" t="s">
        <v>1520</v>
      </c>
      <c r="C5888" s="17" t="s">
        <v>196</v>
      </c>
      <c r="D5888" s="17" t="s">
        <v>294</v>
      </c>
      <c r="E5888" s="17" t="s">
        <v>295</v>
      </c>
      <c r="F5888" s="18">
        <f>DATE(2024,10,3)</f>
        <v>45568</v>
      </c>
      <c r="G5888" s="17">
        <f t="shared" si="491"/>
        <v>10</v>
      </c>
      <c r="H5888" s="17">
        <f t="shared" si="492"/>
        <v>2024</v>
      </c>
      <c r="I5888" s="17" t="s">
        <v>4</v>
      </c>
      <c r="J5888" s="17" t="s">
        <v>6558</v>
      </c>
      <c r="K5888" s="17" t="s">
        <v>834</v>
      </c>
      <c r="L5888" s="17" t="s">
        <v>835</v>
      </c>
      <c r="M5888" s="17" t="s">
        <v>119</v>
      </c>
      <c r="N5888" s="17" t="str">
        <f t="shared" si="494"/>
        <v>TON</v>
      </c>
      <c r="O5888" s="25">
        <v>2.5</v>
      </c>
    </row>
    <row r="5889" spans="2:15" x14ac:dyDescent="0.25">
      <c r="B5889" s="16" t="s">
        <v>1520</v>
      </c>
      <c r="C5889" s="17" t="s">
        <v>196</v>
      </c>
      <c r="D5889" s="17" t="s">
        <v>207</v>
      </c>
      <c r="E5889" s="17" t="s">
        <v>208</v>
      </c>
      <c r="F5889" s="18">
        <f>DATE(2024,10,4)</f>
        <v>45569</v>
      </c>
      <c r="G5889" s="17">
        <f t="shared" si="491"/>
        <v>10</v>
      </c>
      <c r="H5889" s="17">
        <f t="shared" si="492"/>
        <v>2024</v>
      </c>
      <c r="I5889" s="17" t="s">
        <v>4</v>
      </c>
      <c r="J5889" s="17" t="s">
        <v>6559</v>
      </c>
      <c r="K5889" s="17" t="s">
        <v>205</v>
      </c>
      <c r="L5889" s="17" t="s">
        <v>206</v>
      </c>
      <c r="M5889" s="17" t="s">
        <v>119</v>
      </c>
      <c r="N5889" s="17" t="str">
        <f t="shared" si="494"/>
        <v>TON</v>
      </c>
      <c r="O5889" s="25">
        <v>2.5175000000000001</v>
      </c>
    </row>
    <row r="5890" spans="2:15" x14ac:dyDescent="0.25">
      <c r="B5890" s="20" t="s">
        <v>1520</v>
      </c>
      <c r="C5890" s="21" t="s">
        <v>196</v>
      </c>
      <c r="D5890" s="22" t="s">
        <v>232</v>
      </c>
      <c r="E5890" s="22" t="s">
        <v>233</v>
      </c>
      <c r="F5890" s="23">
        <f>DATE(2024,10,7)</f>
        <v>45572</v>
      </c>
      <c r="G5890" s="22">
        <f t="shared" si="491"/>
        <v>10</v>
      </c>
      <c r="H5890" s="22">
        <f t="shared" si="492"/>
        <v>2024</v>
      </c>
      <c r="I5890" s="22" t="s">
        <v>4</v>
      </c>
      <c r="J5890" s="21" t="s">
        <v>6560</v>
      </c>
      <c r="K5890" s="22" t="s">
        <v>230</v>
      </c>
      <c r="L5890" s="22" t="s">
        <v>231</v>
      </c>
      <c r="M5890" s="22" t="s">
        <v>119</v>
      </c>
      <c r="N5890" s="22" t="str">
        <f t="shared" si="494"/>
        <v>TON</v>
      </c>
      <c r="O5890" s="27">
        <v>1.5</v>
      </c>
    </row>
    <row r="5891" spans="2:15" x14ac:dyDescent="0.25">
      <c r="B5891" s="20" t="s">
        <v>1520</v>
      </c>
      <c r="C5891" s="21" t="s">
        <v>196</v>
      </c>
      <c r="D5891" s="22" t="s">
        <v>232</v>
      </c>
      <c r="E5891" s="22" t="s">
        <v>102</v>
      </c>
      <c r="F5891" s="23">
        <f>DATE(2024,10,7)</f>
        <v>45572</v>
      </c>
      <c r="G5891" s="22">
        <f t="shared" si="491"/>
        <v>10</v>
      </c>
      <c r="H5891" s="22">
        <f t="shared" si="492"/>
        <v>2024</v>
      </c>
      <c r="I5891" s="22" t="s">
        <v>4</v>
      </c>
      <c r="J5891" s="22" t="s">
        <v>6561</v>
      </c>
      <c r="K5891" s="22" t="s">
        <v>230</v>
      </c>
      <c r="L5891" s="22" t="s">
        <v>231</v>
      </c>
      <c r="M5891" s="22" t="s">
        <v>119</v>
      </c>
      <c r="N5891" s="22" t="str">
        <f t="shared" si="494"/>
        <v>TON</v>
      </c>
      <c r="O5891" s="27">
        <v>4.875</v>
      </c>
    </row>
    <row r="5892" spans="2:15" x14ac:dyDescent="0.25">
      <c r="B5892" s="16" t="s">
        <v>1520</v>
      </c>
      <c r="C5892" s="17" t="s">
        <v>196</v>
      </c>
      <c r="D5892" s="17" t="s">
        <v>215</v>
      </c>
      <c r="E5892" s="17" t="s">
        <v>4113</v>
      </c>
      <c r="F5892" s="18">
        <f>DATE(2024,10,7)</f>
        <v>45572</v>
      </c>
      <c r="G5892" s="17">
        <f t="shared" si="491"/>
        <v>10</v>
      </c>
      <c r="H5892" s="17">
        <f t="shared" si="492"/>
        <v>2024</v>
      </c>
      <c r="I5892" s="17" t="s">
        <v>4</v>
      </c>
      <c r="J5892" s="17" t="s">
        <v>6562</v>
      </c>
      <c r="K5892" s="17" t="s">
        <v>205</v>
      </c>
      <c r="L5892" s="17" t="s">
        <v>206</v>
      </c>
      <c r="M5892" s="17" t="s">
        <v>119</v>
      </c>
      <c r="N5892" s="17" t="str">
        <f t="shared" si="494"/>
        <v>TON</v>
      </c>
      <c r="O5892" s="25">
        <v>12.505000000000001</v>
      </c>
    </row>
    <row r="5893" spans="2:15" x14ac:dyDescent="0.25">
      <c r="B5893" s="16" t="s">
        <v>1520</v>
      </c>
      <c r="C5893" s="17" t="s">
        <v>196</v>
      </c>
      <c r="D5893" s="17" t="s">
        <v>248</v>
      </c>
      <c r="E5893" s="17" t="s">
        <v>735</v>
      </c>
      <c r="F5893" s="18">
        <f>DATE(2024,10,8)</f>
        <v>45573</v>
      </c>
      <c r="G5893" s="17">
        <f t="shared" si="491"/>
        <v>10</v>
      </c>
      <c r="H5893" s="17">
        <f t="shared" si="492"/>
        <v>2024</v>
      </c>
      <c r="I5893" s="17" t="s">
        <v>4</v>
      </c>
      <c r="J5893" s="17" t="s">
        <v>6563</v>
      </c>
      <c r="K5893" s="17" t="s">
        <v>251</v>
      </c>
      <c r="L5893" s="17" t="s">
        <v>252</v>
      </c>
      <c r="M5893" s="17" t="s">
        <v>119</v>
      </c>
      <c r="N5893" s="17" t="str">
        <f t="shared" si="494"/>
        <v>TON</v>
      </c>
      <c r="O5893" s="25">
        <v>15.035</v>
      </c>
    </row>
    <row r="5894" spans="2:15" x14ac:dyDescent="0.25">
      <c r="B5894" s="16" t="s">
        <v>1520</v>
      </c>
      <c r="C5894" s="17" t="s">
        <v>196</v>
      </c>
      <c r="D5894" s="17" t="s">
        <v>114</v>
      </c>
      <c r="E5894" s="17" t="s">
        <v>369</v>
      </c>
      <c r="F5894" s="18">
        <f>DATE(2024,10,14)</f>
        <v>45579</v>
      </c>
      <c r="G5894" s="17">
        <f t="shared" si="491"/>
        <v>10</v>
      </c>
      <c r="H5894" s="17">
        <f t="shared" si="492"/>
        <v>2024</v>
      </c>
      <c r="I5894" s="17" t="s">
        <v>4</v>
      </c>
      <c r="J5894" s="17" t="s">
        <v>6564</v>
      </c>
      <c r="K5894" s="17" t="s">
        <v>422</v>
      </c>
      <c r="L5894" s="17" t="s">
        <v>423</v>
      </c>
      <c r="M5894" s="17" t="s">
        <v>119</v>
      </c>
      <c r="N5894" s="17" t="str">
        <f t="shared" si="494"/>
        <v>TON</v>
      </c>
      <c r="O5894" s="25">
        <v>2</v>
      </c>
    </row>
    <row r="5895" spans="2:15" x14ac:dyDescent="0.25">
      <c r="B5895" s="16" t="s">
        <v>1520</v>
      </c>
      <c r="C5895" s="17" t="s">
        <v>196</v>
      </c>
      <c r="D5895" s="17" t="s">
        <v>317</v>
      </c>
      <c r="E5895" s="17" t="s">
        <v>677</v>
      </c>
      <c r="F5895" s="18">
        <f>DATE(2024,10,14)</f>
        <v>45579</v>
      </c>
      <c r="G5895" s="17">
        <f t="shared" si="491"/>
        <v>10</v>
      </c>
      <c r="H5895" s="17">
        <f t="shared" si="492"/>
        <v>2024</v>
      </c>
      <c r="I5895" s="17" t="s">
        <v>4</v>
      </c>
      <c r="J5895" s="17" t="s">
        <v>6565</v>
      </c>
      <c r="K5895" s="17" t="s">
        <v>422</v>
      </c>
      <c r="L5895" s="17" t="s">
        <v>423</v>
      </c>
      <c r="M5895" s="17" t="s">
        <v>119</v>
      </c>
      <c r="N5895" s="17" t="str">
        <f t="shared" si="494"/>
        <v>TON</v>
      </c>
      <c r="O5895" s="25">
        <v>5</v>
      </c>
    </row>
    <row r="5896" spans="2:15" x14ac:dyDescent="0.25">
      <c r="B5896" s="16" t="s">
        <v>1520</v>
      </c>
      <c r="C5896" s="17" t="s">
        <v>196</v>
      </c>
      <c r="D5896" s="17" t="s">
        <v>280</v>
      </c>
      <c r="E5896" s="17" t="s">
        <v>254</v>
      </c>
      <c r="F5896" s="18">
        <f>DATE(2024,10,15)</f>
        <v>45580</v>
      </c>
      <c r="G5896" s="17">
        <f t="shared" si="491"/>
        <v>10</v>
      </c>
      <c r="H5896" s="17">
        <f t="shared" si="492"/>
        <v>2024</v>
      </c>
      <c r="I5896" s="17" t="s">
        <v>4</v>
      </c>
      <c r="J5896" s="17" t="s">
        <v>6566</v>
      </c>
      <c r="K5896" s="17" t="s">
        <v>422</v>
      </c>
      <c r="L5896" s="17" t="s">
        <v>423</v>
      </c>
      <c r="M5896" s="17" t="s">
        <v>119</v>
      </c>
      <c r="N5896" s="17" t="str">
        <f t="shared" si="494"/>
        <v>TON</v>
      </c>
      <c r="O5896" s="25">
        <v>15.045</v>
      </c>
    </row>
    <row r="5897" spans="2:15" x14ac:dyDescent="0.25">
      <c r="B5897" s="16" t="s">
        <v>1520</v>
      </c>
      <c r="C5897" s="17" t="s">
        <v>196</v>
      </c>
      <c r="D5897" s="17" t="s">
        <v>207</v>
      </c>
      <c r="E5897" s="17" t="s">
        <v>208</v>
      </c>
      <c r="F5897" s="18">
        <f>DATE(2024,10,15)</f>
        <v>45580</v>
      </c>
      <c r="G5897" s="17">
        <f t="shared" si="491"/>
        <v>10</v>
      </c>
      <c r="H5897" s="17">
        <f t="shared" si="492"/>
        <v>2024</v>
      </c>
      <c r="I5897" s="17" t="s">
        <v>4</v>
      </c>
      <c r="J5897" s="17" t="s">
        <v>6567</v>
      </c>
      <c r="K5897" s="17" t="s">
        <v>205</v>
      </c>
      <c r="L5897" s="17" t="s">
        <v>206</v>
      </c>
      <c r="M5897" s="17" t="s">
        <v>119</v>
      </c>
      <c r="N5897" s="17" t="str">
        <f t="shared" si="494"/>
        <v>TON</v>
      </c>
      <c r="O5897" s="25">
        <v>1.0049999999999999</v>
      </c>
    </row>
    <row r="5898" spans="2:15" x14ac:dyDescent="0.25">
      <c r="B5898" s="16" t="s">
        <v>1520</v>
      </c>
      <c r="C5898" s="17" t="s">
        <v>196</v>
      </c>
      <c r="D5898" s="17" t="s">
        <v>215</v>
      </c>
      <c r="E5898" s="17" t="s">
        <v>313</v>
      </c>
      <c r="F5898" s="18">
        <f>DATE(2024,10,15)</f>
        <v>45580</v>
      </c>
      <c r="G5898" s="17">
        <f t="shared" si="491"/>
        <v>10</v>
      </c>
      <c r="H5898" s="17">
        <f t="shared" si="492"/>
        <v>2024</v>
      </c>
      <c r="I5898" s="17" t="s">
        <v>4</v>
      </c>
      <c r="J5898" s="17" t="s">
        <v>6568</v>
      </c>
      <c r="K5898" s="17" t="s">
        <v>205</v>
      </c>
      <c r="L5898" s="17" t="s">
        <v>206</v>
      </c>
      <c r="M5898" s="17" t="s">
        <v>119</v>
      </c>
      <c r="N5898" s="17" t="str">
        <f t="shared" si="494"/>
        <v>TON</v>
      </c>
      <c r="O5898" s="25">
        <v>3.76</v>
      </c>
    </row>
    <row r="5899" spans="2:15" x14ac:dyDescent="0.25">
      <c r="B5899" s="16" t="s">
        <v>1520</v>
      </c>
      <c r="C5899" s="17" t="s">
        <v>196</v>
      </c>
      <c r="D5899" s="17" t="s">
        <v>317</v>
      </c>
      <c r="E5899" s="17" t="s">
        <v>829</v>
      </c>
      <c r="F5899" s="18">
        <f>DATE(2024,10,15)</f>
        <v>45580</v>
      </c>
      <c r="G5899" s="17">
        <f t="shared" si="491"/>
        <v>10</v>
      </c>
      <c r="H5899" s="17">
        <f t="shared" si="492"/>
        <v>2024</v>
      </c>
      <c r="I5899" s="17" t="s">
        <v>4</v>
      </c>
      <c r="J5899" s="17" t="s">
        <v>6569</v>
      </c>
      <c r="K5899" s="17" t="s">
        <v>422</v>
      </c>
      <c r="L5899" s="17" t="s">
        <v>423</v>
      </c>
      <c r="M5899" s="17" t="s">
        <v>119</v>
      </c>
      <c r="N5899" s="17" t="str">
        <f t="shared" si="494"/>
        <v>TON</v>
      </c>
      <c r="O5899" s="25">
        <v>1.2675000000000001</v>
      </c>
    </row>
    <row r="5900" spans="2:15" x14ac:dyDescent="0.25">
      <c r="B5900" s="16" t="s">
        <v>1520</v>
      </c>
      <c r="C5900" s="17" t="s">
        <v>196</v>
      </c>
      <c r="D5900" s="17" t="s">
        <v>418</v>
      </c>
      <c r="E5900" s="17" t="s">
        <v>2027</v>
      </c>
      <c r="F5900" s="18">
        <f>DATE(2024,10,16)</f>
        <v>45581</v>
      </c>
      <c r="G5900" s="17">
        <f t="shared" si="491"/>
        <v>10</v>
      </c>
      <c r="H5900" s="17">
        <f t="shared" si="492"/>
        <v>2024</v>
      </c>
      <c r="I5900" s="17" t="s">
        <v>4</v>
      </c>
      <c r="J5900" s="17" t="s">
        <v>6570</v>
      </c>
      <c r="K5900" s="17" t="s">
        <v>422</v>
      </c>
      <c r="L5900" s="17" t="s">
        <v>423</v>
      </c>
      <c r="M5900" s="17" t="s">
        <v>119</v>
      </c>
      <c r="N5900" s="17" t="str">
        <f t="shared" si="494"/>
        <v>TON</v>
      </c>
      <c r="O5900" s="25">
        <v>12.53</v>
      </c>
    </row>
    <row r="5901" spans="2:15" x14ac:dyDescent="0.25">
      <c r="B5901" s="16" t="s">
        <v>1520</v>
      </c>
      <c r="C5901" s="17" t="s">
        <v>196</v>
      </c>
      <c r="D5901" s="17" t="s">
        <v>437</v>
      </c>
      <c r="E5901" s="17" t="s">
        <v>3820</v>
      </c>
      <c r="F5901" s="18">
        <f>DATE(2024,10,16)</f>
        <v>45581</v>
      </c>
      <c r="G5901" s="17">
        <f t="shared" si="491"/>
        <v>10</v>
      </c>
      <c r="H5901" s="17">
        <f t="shared" si="492"/>
        <v>2024</v>
      </c>
      <c r="I5901" s="17" t="s">
        <v>4</v>
      </c>
      <c r="J5901" s="17" t="s">
        <v>6571</v>
      </c>
      <c r="K5901" s="17" t="s">
        <v>447</v>
      </c>
      <c r="L5901" s="17" t="s">
        <v>448</v>
      </c>
      <c r="M5901" s="17" t="s">
        <v>119</v>
      </c>
      <c r="N5901" s="17" t="str">
        <f t="shared" si="494"/>
        <v>TON</v>
      </c>
      <c r="O5901" s="25">
        <v>5.0025000000000004</v>
      </c>
    </row>
    <row r="5902" spans="2:15" x14ac:dyDescent="0.25">
      <c r="B5902" s="16" t="s">
        <v>1520</v>
      </c>
      <c r="C5902" s="17" t="s">
        <v>196</v>
      </c>
      <c r="D5902" s="17" t="s">
        <v>294</v>
      </c>
      <c r="E5902" s="17" t="s">
        <v>295</v>
      </c>
      <c r="F5902" s="18">
        <f>DATE(2024,10,17)</f>
        <v>45582</v>
      </c>
      <c r="G5902" s="17">
        <f t="shared" si="491"/>
        <v>10</v>
      </c>
      <c r="H5902" s="17">
        <f t="shared" si="492"/>
        <v>2024</v>
      </c>
      <c r="I5902" s="17" t="s">
        <v>4</v>
      </c>
      <c r="J5902" s="17" t="s">
        <v>6572</v>
      </c>
      <c r="K5902" s="17" t="s">
        <v>122</v>
      </c>
      <c r="L5902" s="17" t="s">
        <v>123</v>
      </c>
      <c r="M5902" s="17" t="s">
        <v>119</v>
      </c>
      <c r="N5902" s="17" t="str">
        <f t="shared" si="494"/>
        <v>TON</v>
      </c>
      <c r="O5902" s="25">
        <v>7.4950000000000001</v>
      </c>
    </row>
    <row r="5903" spans="2:15" x14ac:dyDescent="0.25">
      <c r="B5903" s="16" t="s">
        <v>1520</v>
      </c>
      <c r="C5903" s="17" t="s">
        <v>196</v>
      </c>
      <c r="D5903" s="17" t="s">
        <v>114</v>
      </c>
      <c r="E5903" s="17" t="s">
        <v>491</v>
      </c>
      <c r="F5903" s="18">
        <f>DATE(2024,10,17)</f>
        <v>45582</v>
      </c>
      <c r="G5903" s="17">
        <f t="shared" si="491"/>
        <v>10</v>
      </c>
      <c r="H5903" s="17">
        <f t="shared" si="492"/>
        <v>2024</v>
      </c>
      <c r="I5903" s="17" t="s">
        <v>4</v>
      </c>
      <c r="J5903" s="17" t="s">
        <v>6573</v>
      </c>
      <c r="K5903" s="17" t="s">
        <v>422</v>
      </c>
      <c r="L5903" s="17" t="s">
        <v>423</v>
      </c>
      <c r="M5903" s="17" t="s">
        <v>119</v>
      </c>
      <c r="N5903" s="17" t="str">
        <f t="shared" si="494"/>
        <v>TON</v>
      </c>
      <c r="O5903" s="25">
        <v>2.5</v>
      </c>
    </row>
    <row r="5904" spans="2:15" x14ac:dyDescent="0.25">
      <c r="B5904" s="16" t="s">
        <v>1520</v>
      </c>
      <c r="C5904" s="17" t="s">
        <v>196</v>
      </c>
      <c r="D5904" s="17" t="s">
        <v>227</v>
      </c>
      <c r="E5904" s="17" t="s">
        <v>757</v>
      </c>
      <c r="F5904" s="18">
        <f>DATE(2024,10,17)</f>
        <v>45582</v>
      </c>
      <c r="G5904" s="17">
        <f t="shared" si="491"/>
        <v>10</v>
      </c>
      <c r="H5904" s="17">
        <f t="shared" si="492"/>
        <v>2024</v>
      </c>
      <c r="I5904" s="17" t="s">
        <v>4</v>
      </c>
      <c r="J5904" s="17" t="s">
        <v>6574</v>
      </c>
      <c r="K5904" s="17" t="s">
        <v>220</v>
      </c>
      <c r="L5904" s="17" t="s">
        <v>201</v>
      </c>
      <c r="M5904" s="17" t="s">
        <v>202</v>
      </c>
      <c r="N5904" s="17" t="str">
        <f t="shared" si="494"/>
        <v>GAL</v>
      </c>
      <c r="O5904" s="25">
        <v>500</v>
      </c>
    </row>
    <row r="5905" spans="2:15" x14ac:dyDescent="0.25">
      <c r="B5905" s="16" t="s">
        <v>1520</v>
      </c>
      <c r="C5905" s="17" t="s">
        <v>196</v>
      </c>
      <c r="D5905" s="17" t="s">
        <v>227</v>
      </c>
      <c r="E5905" s="17" t="s">
        <v>757</v>
      </c>
      <c r="F5905" s="18">
        <f>DATE(2024,10,17)</f>
        <v>45582</v>
      </c>
      <c r="G5905" s="17">
        <f t="shared" si="491"/>
        <v>10</v>
      </c>
      <c r="H5905" s="17">
        <f t="shared" si="492"/>
        <v>2024</v>
      </c>
      <c r="I5905" s="17" t="s">
        <v>4</v>
      </c>
      <c r="J5905" s="17" t="s">
        <v>6575</v>
      </c>
      <c r="K5905" s="17" t="s">
        <v>122</v>
      </c>
      <c r="L5905" s="17" t="s">
        <v>123</v>
      </c>
      <c r="M5905" s="17" t="s">
        <v>119</v>
      </c>
      <c r="N5905" s="17" t="str">
        <f t="shared" si="494"/>
        <v>TON</v>
      </c>
      <c r="O5905" s="25">
        <v>10</v>
      </c>
    </row>
    <row r="5906" spans="2:15" x14ac:dyDescent="0.25">
      <c r="B5906" s="16" t="s">
        <v>1520</v>
      </c>
      <c r="C5906" s="17" t="s">
        <v>196</v>
      </c>
      <c r="D5906" s="17" t="s">
        <v>1343</v>
      </c>
      <c r="E5906" s="17" t="s">
        <v>3729</v>
      </c>
      <c r="F5906" s="18">
        <f>DATE(2024,10,17)</f>
        <v>45582</v>
      </c>
      <c r="G5906" s="17">
        <f t="shared" ref="G5906:G5969" si="495">+MONTH(F5906)</f>
        <v>10</v>
      </c>
      <c r="H5906" s="17">
        <f t="shared" ref="H5906:H5969" si="496">+YEAR(F5906)</f>
        <v>2024</v>
      </c>
      <c r="I5906" s="17" t="s">
        <v>4</v>
      </c>
      <c r="J5906" s="17" t="s">
        <v>6576</v>
      </c>
      <c r="K5906" s="17" t="s">
        <v>422</v>
      </c>
      <c r="L5906" s="17" t="s">
        <v>423</v>
      </c>
      <c r="M5906" s="17" t="s">
        <v>119</v>
      </c>
      <c r="N5906" s="17" t="str">
        <f t="shared" si="494"/>
        <v>TON</v>
      </c>
      <c r="O5906" s="25">
        <v>15.022500000000001</v>
      </c>
    </row>
    <row r="5907" spans="2:15" x14ac:dyDescent="0.25">
      <c r="B5907" s="16" t="s">
        <v>1520</v>
      </c>
      <c r="C5907" s="17" t="s">
        <v>196</v>
      </c>
      <c r="D5907" s="17" t="s">
        <v>3767</v>
      </c>
      <c r="E5907" s="17" t="s">
        <v>3768</v>
      </c>
      <c r="F5907" s="18">
        <f>DATE(2024,10,18)</f>
        <v>45583</v>
      </c>
      <c r="G5907" s="17">
        <f t="shared" si="495"/>
        <v>10</v>
      </c>
      <c r="H5907" s="17">
        <f t="shared" si="496"/>
        <v>2024</v>
      </c>
      <c r="I5907" s="17" t="s">
        <v>4</v>
      </c>
      <c r="J5907" s="17" t="s">
        <v>6577</v>
      </c>
      <c r="K5907" s="17" t="s">
        <v>205</v>
      </c>
      <c r="L5907" s="17" t="s">
        <v>206</v>
      </c>
      <c r="M5907" s="17" t="s">
        <v>119</v>
      </c>
      <c r="N5907" s="17" t="str">
        <f t="shared" si="494"/>
        <v>TON</v>
      </c>
      <c r="O5907" s="25">
        <v>1.2524999999999999</v>
      </c>
    </row>
    <row r="5908" spans="2:15" x14ac:dyDescent="0.25">
      <c r="B5908" s="16" t="s">
        <v>1520</v>
      </c>
      <c r="C5908" s="17" t="s">
        <v>196</v>
      </c>
      <c r="D5908" s="17" t="s">
        <v>265</v>
      </c>
      <c r="E5908" s="17" t="s">
        <v>266</v>
      </c>
      <c r="F5908" s="18">
        <f>DATE(2024,10,18)</f>
        <v>45583</v>
      </c>
      <c r="G5908" s="17">
        <f t="shared" si="495"/>
        <v>10</v>
      </c>
      <c r="H5908" s="17">
        <f t="shared" si="496"/>
        <v>2024</v>
      </c>
      <c r="I5908" s="17" t="s">
        <v>4</v>
      </c>
      <c r="J5908" s="17" t="s">
        <v>6578</v>
      </c>
      <c r="K5908" s="17" t="s">
        <v>268</v>
      </c>
      <c r="L5908" s="17" t="s">
        <v>269</v>
      </c>
      <c r="M5908" s="17" t="s">
        <v>119</v>
      </c>
      <c r="N5908" s="17" t="str">
        <f t="shared" si="494"/>
        <v>TON</v>
      </c>
      <c r="O5908" s="25">
        <v>0.15</v>
      </c>
    </row>
    <row r="5909" spans="2:15" x14ac:dyDescent="0.25">
      <c r="B5909" s="16" t="s">
        <v>1520</v>
      </c>
      <c r="C5909" s="17" t="s">
        <v>196</v>
      </c>
      <c r="D5909" s="17" t="s">
        <v>2002</v>
      </c>
      <c r="E5909" s="17" t="s">
        <v>6549</v>
      </c>
      <c r="F5909" s="18">
        <f>DATE(2024,10,18)</f>
        <v>45583</v>
      </c>
      <c r="G5909" s="17">
        <f t="shared" si="495"/>
        <v>10</v>
      </c>
      <c r="H5909" s="17">
        <f t="shared" si="496"/>
        <v>2024</v>
      </c>
      <c r="I5909" s="17" t="s">
        <v>4</v>
      </c>
      <c r="J5909" s="17" t="s">
        <v>6579</v>
      </c>
      <c r="K5909" s="17" t="s">
        <v>205</v>
      </c>
      <c r="L5909" s="17" t="s">
        <v>206</v>
      </c>
      <c r="M5909" s="17" t="s">
        <v>119</v>
      </c>
      <c r="N5909" s="17" t="str">
        <f t="shared" si="494"/>
        <v>TON</v>
      </c>
      <c r="O5909" s="25">
        <v>1.25</v>
      </c>
    </row>
    <row r="5910" spans="2:15" x14ac:dyDescent="0.25">
      <c r="B5910" s="16" t="s">
        <v>1520</v>
      </c>
      <c r="C5910" s="17" t="s">
        <v>196</v>
      </c>
      <c r="D5910" s="17" t="s">
        <v>114</v>
      </c>
      <c r="E5910" s="17" t="s">
        <v>274</v>
      </c>
      <c r="F5910" s="18">
        <f>DATE(2024,10,18)</f>
        <v>45583</v>
      </c>
      <c r="G5910" s="17">
        <f t="shared" si="495"/>
        <v>10</v>
      </c>
      <c r="H5910" s="17">
        <f t="shared" si="496"/>
        <v>2024</v>
      </c>
      <c r="I5910" s="17" t="s">
        <v>4</v>
      </c>
      <c r="J5910" s="17" t="s">
        <v>6580</v>
      </c>
      <c r="K5910" s="17" t="s">
        <v>422</v>
      </c>
      <c r="L5910" s="17" t="s">
        <v>423</v>
      </c>
      <c r="M5910" s="17" t="s">
        <v>119</v>
      </c>
      <c r="N5910" s="17" t="str">
        <f t="shared" si="494"/>
        <v>TON</v>
      </c>
      <c r="O5910" s="25">
        <v>9.9949999999999992</v>
      </c>
    </row>
    <row r="5911" spans="2:15" x14ac:dyDescent="0.25">
      <c r="B5911" s="16" t="s">
        <v>1520</v>
      </c>
      <c r="C5911" s="17" t="s">
        <v>196</v>
      </c>
      <c r="D5911" s="17" t="s">
        <v>280</v>
      </c>
      <c r="E5911" s="17" t="s">
        <v>371</v>
      </c>
      <c r="F5911" s="18">
        <f>DATE(2024,10,18)</f>
        <v>45583</v>
      </c>
      <c r="G5911" s="17">
        <f t="shared" si="495"/>
        <v>10</v>
      </c>
      <c r="H5911" s="17">
        <f t="shared" si="496"/>
        <v>2024</v>
      </c>
      <c r="I5911" s="17" t="s">
        <v>4</v>
      </c>
      <c r="J5911" s="17" t="s">
        <v>6581</v>
      </c>
      <c r="K5911" s="17" t="s">
        <v>422</v>
      </c>
      <c r="L5911" s="17" t="s">
        <v>423</v>
      </c>
      <c r="M5911" s="17" t="s">
        <v>119</v>
      </c>
      <c r="N5911" s="17" t="str">
        <f t="shared" si="494"/>
        <v>TON</v>
      </c>
      <c r="O5911" s="25">
        <v>5.0350000000000001</v>
      </c>
    </row>
    <row r="5912" spans="2:15" x14ac:dyDescent="0.25">
      <c r="B5912" s="16" t="s">
        <v>1520</v>
      </c>
      <c r="C5912" s="17" t="s">
        <v>196</v>
      </c>
      <c r="D5912" s="17" t="s">
        <v>663</v>
      </c>
      <c r="E5912" s="17" t="s">
        <v>222</v>
      </c>
      <c r="F5912" s="18">
        <f>DATE(2024,10,21)</f>
        <v>45586</v>
      </c>
      <c r="G5912" s="17">
        <f t="shared" si="495"/>
        <v>10</v>
      </c>
      <c r="H5912" s="17">
        <f t="shared" si="496"/>
        <v>2024</v>
      </c>
      <c r="I5912" s="17" t="s">
        <v>4</v>
      </c>
      <c r="J5912" s="17" t="s">
        <v>6582</v>
      </c>
      <c r="K5912" s="17" t="s">
        <v>384</v>
      </c>
      <c r="L5912" s="17" t="s">
        <v>385</v>
      </c>
      <c r="M5912" s="17" t="s">
        <v>119</v>
      </c>
      <c r="N5912" s="17" t="str">
        <f t="shared" si="494"/>
        <v>TON</v>
      </c>
      <c r="O5912" s="25">
        <v>3</v>
      </c>
    </row>
    <row r="5913" spans="2:15" x14ac:dyDescent="0.25">
      <c r="B5913" s="16" t="s">
        <v>1520</v>
      </c>
      <c r="C5913" s="17" t="s">
        <v>196</v>
      </c>
      <c r="D5913" s="17" t="s">
        <v>299</v>
      </c>
      <c r="E5913" s="17" t="s">
        <v>300</v>
      </c>
      <c r="F5913" s="18">
        <f>DATE(2024,10,21)</f>
        <v>45586</v>
      </c>
      <c r="G5913" s="17">
        <f t="shared" si="495"/>
        <v>10</v>
      </c>
      <c r="H5913" s="17">
        <f t="shared" si="496"/>
        <v>2024</v>
      </c>
      <c r="I5913" s="17" t="s">
        <v>4</v>
      </c>
      <c r="J5913" s="17" t="s">
        <v>6583</v>
      </c>
      <c r="K5913" s="17" t="s">
        <v>422</v>
      </c>
      <c r="L5913" s="17" t="s">
        <v>423</v>
      </c>
      <c r="M5913" s="17" t="s">
        <v>119</v>
      </c>
      <c r="N5913" s="17" t="str">
        <f t="shared" si="494"/>
        <v>TON</v>
      </c>
      <c r="O5913" s="25">
        <v>15.015000000000001</v>
      </c>
    </row>
    <row r="5914" spans="2:15" x14ac:dyDescent="0.25">
      <c r="B5914" s="16" t="s">
        <v>1520</v>
      </c>
      <c r="C5914" s="17" t="s">
        <v>196</v>
      </c>
      <c r="D5914" s="17" t="s">
        <v>207</v>
      </c>
      <c r="E5914" s="17" t="s">
        <v>208</v>
      </c>
      <c r="F5914" s="18">
        <f>DATE(2024,10,21)</f>
        <v>45586</v>
      </c>
      <c r="G5914" s="17">
        <f t="shared" si="495"/>
        <v>10</v>
      </c>
      <c r="H5914" s="17">
        <f t="shared" si="496"/>
        <v>2024</v>
      </c>
      <c r="I5914" s="17" t="s">
        <v>4</v>
      </c>
      <c r="J5914" s="17" t="s">
        <v>6584</v>
      </c>
      <c r="K5914" s="17" t="s">
        <v>489</v>
      </c>
      <c r="L5914" s="17" t="s">
        <v>490</v>
      </c>
      <c r="M5914" s="17" t="s">
        <v>119</v>
      </c>
      <c r="N5914" s="17" t="str">
        <f t="shared" si="494"/>
        <v>TON</v>
      </c>
      <c r="O5914" s="25">
        <v>5</v>
      </c>
    </row>
    <row r="5915" spans="2:15" x14ac:dyDescent="0.25">
      <c r="B5915" s="16" t="s">
        <v>1520</v>
      </c>
      <c r="C5915" s="17" t="s">
        <v>196</v>
      </c>
      <c r="D5915" s="17" t="s">
        <v>303</v>
      </c>
      <c r="E5915" s="17" t="s">
        <v>942</v>
      </c>
      <c r="F5915" s="18">
        <f>DATE(2024,10,21)</f>
        <v>45586</v>
      </c>
      <c r="G5915" s="17">
        <f t="shared" si="495"/>
        <v>10</v>
      </c>
      <c r="H5915" s="17">
        <f t="shared" si="496"/>
        <v>2024</v>
      </c>
      <c r="I5915" s="17" t="s">
        <v>4</v>
      </c>
      <c r="J5915" s="17" t="s">
        <v>6585</v>
      </c>
      <c r="K5915" s="17" t="s">
        <v>2635</v>
      </c>
      <c r="L5915" s="17" t="s">
        <v>2636</v>
      </c>
      <c r="M5915" s="17" t="s">
        <v>119</v>
      </c>
      <c r="N5915" s="17" t="str">
        <f t="shared" si="494"/>
        <v>TON</v>
      </c>
      <c r="O5915" s="25">
        <v>10.022500000000001</v>
      </c>
    </row>
    <row r="5916" spans="2:15" x14ac:dyDescent="0.25">
      <c r="B5916" s="16" t="s">
        <v>1520</v>
      </c>
      <c r="C5916" s="17" t="s">
        <v>196</v>
      </c>
      <c r="D5916" s="17" t="s">
        <v>317</v>
      </c>
      <c r="E5916" s="17" t="s">
        <v>677</v>
      </c>
      <c r="F5916" s="18">
        <f>DATE(2024,10,21)</f>
        <v>45586</v>
      </c>
      <c r="G5916" s="17">
        <f t="shared" si="495"/>
        <v>10</v>
      </c>
      <c r="H5916" s="17">
        <f t="shared" si="496"/>
        <v>2024</v>
      </c>
      <c r="I5916" s="17" t="s">
        <v>4</v>
      </c>
      <c r="J5916" s="17" t="s">
        <v>6586</v>
      </c>
      <c r="K5916" s="17" t="s">
        <v>422</v>
      </c>
      <c r="L5916" s="17" t="s">
        <v>423</v>
      </c>
      <c r="M5916" s="17" t="s">
        <v>119</v>
      </c>
      <c r="N5916" s="17" t="str">
        <f t="shared" si="494"/>
        <v>TON</v>
      </c>
      <c r="O5916" s="25">
        <v>7.9974999999999996</v>
      </c>
    </row>
    <row r="5917" spans="2:15" x14ac:dyDescent="0.25">
      <c r="B5917" s="16" t="s">
        <v>1520</v>
      </c>
      <c r="C5917" s="17" t="s">
        <v>196</v>
      </c>
      <c r="D5917" s="17" t="s">
        <v>3761</v>
      </c>
      <c r="E5917" s="17" t="s">
        <v>3762</v>
      </c>
      <c r="F5917" s="18">
        <f>DATE(2024,10,22)</f>
        <v>45587</v>
      </c>
      <c r="G5917" s="17">
        <f t="shared" si="495"/>
        <v>10</v>
      </c>
      <c r="H5917" s="17">
        <f t="shared" si="496"/>
        <v>2024</v>
      </c>
      <c r="I5917" s="17" t="s">
        <v>4</v>
      </c>
      <c r="J5917" s="17" t="s">
        <v>6587</v>
      </c>
      <c r="K5917" s="17" t="s">
        <v>205</v>
      </c>
      <c r="L5917" s="17" t="s">
        <v>206</v>
      </c>
      <c r="M5917" s="17" t="s">
        <v>119</v>
      </c>
      <c r="N5917" s="17" t="str">
        <f t="shared" si="494"/>
        <v>TON</v>
      </c>
      <c r="O5917" s="25">
        <v>5.0075000000000003</v>
      </c>
    </row>
    <row r="5918" spans="2:15" x14ac:dyDescent="0.25">
      <c r="B5918" s="16" t="s">
        <v>1520</v>
      </c>
      <c r="C5918" s="17" t="s">
        <v>196</v>
      </c>
      <c r="D5918" s="17" t="s">
        <v>232</v>
      </c>
      <c r="E5918" s="17" t="s">
        <v>778</v>
      </c>
      <c r="F5918" s="18">
        <f>DATE(2024,10,22)</f>
        <v>45587</v>
      </c>
      <c r="G5918" s="17">
        <f t="shared" si="495"/>
        <v>10</v>
      </c>
      <c r="H5918" s="17">
        <f t="shared" si="496"/>
        <v>2024</v>
      </c>
      <c r="I5918" s="17" t="s">
        <v>4</v>
      </c>
      <c r="J5918" s="17" t="s">
        <v>6588</v>
      </c>
      <c r="K5918" s="17" t="s">
        <v>205</v>
      </c>
      <c r="L5918" s="17" t="s">
        <v>206</v>
      </c>
      <c r="M5918" s="17" t="s">
        <v>119</v>
      </c>
      <c r="N5918" s="17" t="str">
        <f t="shared" si="494"/>
        <v>TON</v>
      </c>
      <c r="O5918" s="25">
        <v>7.5</v>
      </c>
    </row>
    <row r="5919" spans="2:15" x14ac:dyDescent="0.25">
      <c r="B5919" s="16" t="s">
        <v>1520</v>
      </c>
      <c r="C5919" s="17" t="s">
        <v>196</v>
      </c>
      <c r="D5919" s="17" t="s">
        <v>114</v>
      </c>
      <c r="E5919" s="17" t="s">
        <v>369</v>
      </c>
      <c r="F5919" s="18">
        <f>DATE(2024,10,22)</f>
        <v>45587</v>
      </c>
      <c r="G5919" s="17">
        <f t="shared" si="495"/>
        <v>10</v>
      </c>
      <c r="H5919" s="17">
        <f t="shared" si="496"/>
        <v>2024</v>
      </c>
      <c r="I5919" s="17" t="s">
        <v>4</v>
      </c>
      <c r="J5919" s="17" t="s">
        <v>6589</v>
      </c>
      <c r="K5919" s="17" t="s">
        <v>422</v>
      </c>
      <c r="L5919" s="17" t="s">
        <v>423</v>
      </c>
      <c r="M5919" s="17" t="s">
        <v>119</v>
      </c>
      <c r="N5919" s="17" t="str">
        <f t="shared" si="494"/>
        <v>TON</v>
      </c>
      <c r="O5919" s="25">
        <v>2.0049999999999999</v>
      </c>
    </row>
    <row r="5920" spans="2:15" x14ac:dyDescent="0.25">
      <c r="B5920" s="16" t="s">
        <v>1520</v>
      </c>
      <c r="C5920" s="17" t="s">
        <v>196</v>
      </c>
      <c r="D5920" s="17" t="s">
        <v>331</v>
      </c>
      <c r="E5920" s="17" t="s">
        <v>432</v>
      </c>
      <c r="F5920" s="18">
        <f>DATE(2024,10,22)</f>
        <v>45587</v>
      </c>
      <c r="G5920" s="17">
        <f t="shared" si="495"/>
        <v>10</v>
      </c>
      <c r="H5920" s="17">
        <f t="shared" si="496"/>
        <v>2024</v>
      </c>
      <c r="I5920" s="17" t="s">
        <v>4</v>
      </c>
      <c r="J5920" s="17" t="s">
        <v>6590</v>
      </c>
      <c r="K5920" s="17" t="s">
        <v>205</v>
      </c>
      <c r="L5920" s="17" t="s">
        <v>206</v>
      </c>
      <c r="M5920" s="17" t="s">
        <v>119</v>
      </c>
      <c r="N5920" s="17" t="str">
        <f t="shared" si="494"/>
        <v>TON</v>
      </c>
      <c r="O5920" s="25">
        <v>15.015000000000001</v>
      </c>
    </row>
    <row r="5921" spans="2:15" x14ac:dyDescent="0.25">
      <c r="B5921" s="16" t="s">
        <v>1520</v>
      </c>
      <c r="C5921" s="17" t="s">
        <v>196</v>
      </c>
      <c r="D5921" s="17" t="s">
        <v>348</v>
      </c>
      <c r="E5921" s="17" t="s">
        <v>349</v>
      </c>
      <c r="F5921" s="18">
        <f>DATE(2024,10,22)</f>
        <v>45587</v>
      </c>
      <c r="G5921" s="17">
        <f t="shared" si="495"/>
        <v>10</v>
      </c>
      <c r="H5921" s="17">
        <f t="shared" si="496"/>
        <v>2024</v>
      </c>
      <c r="I5921" s="17" t="s">
        <v>4</v>
      </c>
      <c r="J5921" s="17" t="s">
        <v>6591</v>
      </c>
      <c r="K5921" s="17" t="s">
        <v>3593</v>
      </c>
      <c r="L5921" s="17" t="s">
        <v>416</v>
      </c>
      <c r="M5921" s="17" t="s">
        <v>417</v>
      </c>
      <c r="N5921" s="17" t="str">
        <f t="shared" si="494"/>
        <v>GAL</v>
      </c>
      <c r="O5921" s="25">
        <v>250</v>
      </c>
    </row>
    <row r="5922" spans="2:15" x14ac:dyDescent="0.25">
      <c r="B5922" s="16" t="s">
        <v>1520</v>
      </c>
      <c r="C5922" s="17" t="s">
        <v>196</v>
      </c>
      <c r="D5922" s="17" t="s">
        <v>241</v>
      </c>
      <c r="E5922" s="17" t="s">
        <v>258</v>
      </c>
      <c r="F5922" s="18">
        <f t="shared" ref="F5922:F5931" si="497">DATE(2024,10,23)</f>
        <v>45588</v>
      </c>
      <c r="G5922" s="17">
        <f t="shared" si="495"/>
        <v>10</v>
      </c>
      <c r="H5922" s="17">
        <f t="shared" si="496"/>
        <v>2024</v>
      </c>
      <c r="I5922" s="17" t="s">
        <v>4</v>
      </c>
      <c r="J5922" s="17" t="s">
        <v>6592</v>
      </c>
      <c r="K5922" s="17" t="s">
        <v>3458</v>
      </c>
      <c r="L5922" s="17" t="s">
        <v>3459</v>
      </c>
      <c r="M5922" s="17" t="s">
        <v>119</v>
      </c>
      <c r="N5922" s="17" t="str">
        <f t="shared" si="494"/>
        <v>TON</v>
      </c>
      <c r="O5922" s="25">
        <v>2.2625000000000002</v>
      </c>
    </row>
    <row r="5923" spans="2:15" x14ac:dyDescent="0.25">
      <c r="B5923" s="16" t="s">
        <v>1520</v>
      </c>
      <c r="C5923" s="17" t="s">
        <v>196</v>
      </c>
      <c r="D5923" s="17" t="s">
        <v>303</v>
      </c>
      <c r="E5923" s="17" t="s">
        <v>501</v>
      </c>
      <c r="F5923" s="18">
        <f t="shared" si="497"/>
        <v>45588</v>
      </c>
      <c r="G5923" s="17">
        <f t="shared" si="495"/>
        <v>10</v>
      </c>
      <c r="H5923" s="17">
        <f t="shared" si="496"/>
        <v>2024</v>
      </c>
      <c r="I5923" s="17" t="s">
        <v>4</v>
      </c>
      <c r="J5923" s="17" t="s">
        <v>6593</v>
      </c>
      <c r="K5923" s="17" t="s">
        <v>6594</v>
      </c>
      <c r="L5923" s="17" t="s">
        <v>6595</v>
      </c>
      <c r="M5923" s="17" t="s">
        <v>119</v>
      </c>
      <c r="N5923" s="17" t="str">
        <f t="shared" si="494"/>
        <v>TON</v>
      </c>
      <c r="O5923" s="25">
        <v>5</v>
      </c>
    </row>
    <row r="5924" spans="2:15" x14ac:dyDescent="0.25">
      <c r="B5924" s="16" t="s">
        <v>1520</v>
      </c>
      <c r="C5924" s="17" t="s">
        <v>196</v>
      </c>
      <c r="D5924" s="17" t="s">
        <v>303</v>
      </c>
      <c r="E5924" s="17" t="s">
        <v>501</v>
      </c>
      <c r="F5924" s="18">
        <f t="shared" si="497"/>
        <v>45588</v>
      </c>
      <c r="G5924" s="17">
        <f t="shared" si="495"/>
        <v>10</v>
      </c>
      <c r="H5924" s="17">
        <f t="shared" si="496"/>
        <v>2024</v>
      </c>
      <c r="I5924" s="17" t="s">
        <v>4</v>
      </c>
      <c r="J5924" s="17" t="s">
        <v>6593</v>
      </c>
      <c r="K5924" s="17" t="s">
        <v>3726</v>
      </c>
      <c r="L5924" s="17" t="s">
        <v>3727</v>
      </c>
      <c r="M5924" s="17" t="s">
        <v>145</v>
      </c>
      <c r="N5924" s="17" t="str">
        <f t="shared" si="494"/>
        <v>GAL</v>
      </c>
      <c r="O5924" s="25">
        <v>1.875</v>
      </c>
    </row>
    <row r="5925" spans="2:15" x14ac:dyDescent="0.25">
      <c r="B5925" s="16" t="s">
        <v>1520</v>
      </c>
      <c r="C5925" s="17" t="s">
        <v>196</v>
      </c>
      <c r="D5925" s="17" t="s">
        <v>114</v>
      </c>
      <c r="E5925" s="17" t="s">
        <v>3751</v>
      </c>
      <c r="F5925" s="18">
        <f t="shared" si="497"/>
        <v>45588</v>
      </c>
      <c r="G5925" s="17">
        <f t="shared" si="495"/>
        <v>10</v>
      </c>
      <c r="H5925" s="17">
        <f t="shared" si="496"/>
        <v>2024</v>
      </c>
      <c r="I5925" s="17" t="s">
        <v>4</v>
      </c>
      <c r="J5925" s="17" t="s">
        <v>6596</v>
      </c>
      <c r="K5925" s="17" t="s">
        <v>422</v>
      </c>
      <c r="L5925" s="17" t="s">
        <v>423</v>
      </c>
      <c r="M5925" s="17" t="s">
        <v>119</v>
      </c>
      <c r="N5925" s="17" t="str">
        <f t="shared" si="494"/>
        <v>TON</v>
      </c>
      <c r="O5925" s="25">
        <v>4.5125000000000002</v>
      </c>
    </row>
    <row r="5926" spans="2:15" x14ac:dyDescent="0.25">
      <c r="B5926" s="16" t="s">
        <v>1520</v>
      </c>
      <c r="C5926" s="17" t="s">
        <v>196</v>
      </c>
      <c r="D5926" s="17" t="s">
        <v>317</v>
      </c>
      <c r="E5926" s="17" t="s">
        <v>366</v>
      </c>
      <c r="F5926" s="18">
        <f t="shared" si="497"/>
        <v>45588</v>
      </c>
      <c r="G5926" s="17">
        <f t="shared" si="495"/>
        <v>10</v>
      </c>
      <c r="H5926" s="17">
        <f t="shared" si="496"/>
        <v>2024</v>
      </c>
      <c r="I5926" s="17" t="s">
        <v>4</v>
      </c>
      <c r="J5926" s="17" t="s">
        <v>6597</v>
      </c>
      <c r="K5926" s="17" t="s">
        <v>422</v>
      </c>
      <c r="L5926" s="17" t="s">
        <v>423</v>
      </c>
      <c r="M5926" s="17" t="s">
        <v>119</v>
      </c>
      <c r="N5926" s="17" t="str">
        <f t="shared" si="494"/>
        <v>TON</v>
      </c>
      <c r="O5926" s="25">
        <v>3.5024999999999999</v>
      </c>
    </row>
    <row r="5927" spans="2:15" x14ac:dyDescent="0.25">
      <c r="B5927" s="16" t="s">
        <v>1520</v>
      </c>
      <c r="C5927" s="17" t="s">
        <v>196</v>
      </c>
      <c r="D5927" s="17" t="s">
        <v>232</v>
      </c>
      <c r="E5927" s="17" t="s">
        <v>233</v>
      </c>
      <c r="F5927" s="18">
        <f t="shared" si="497"/>
        <v>45588</v>
      </c>
      <c r="G5927" s="17">
        <f t="shared" si="495"/>
        <v>10</v>
      </c>
      <c r="H5927" s="17">
        <f t="shared" si="496"/>
        <v>2024</v>
      </c>
      <c r="I5927" s="17" t="s">
        <v>4</v>
      </c>
      <c r="J5927" s="17" t="s">
        <v>6598</v>
      </c>
      <c r="K5927" s="17" t="s">
        <v>205</v>
      </c>
      <c r="L5927" s="17" t="s">
        <v>206</v>
      </c>
      <c r="M5927" s="17" t="s">
        <v>119</v>
      </c>
      <c r="N5927" s="17" t="str">
        <f t="shared" si="494"/>
        <v>TON</v>
      </c>
      <c r="O5927" s="25">
        <v>7.5</v>
      </c>
    </row>
    <row r="5928" spans="2:15" x14ac:dyDescent="0.25">
      <c r="B5928" s="16" t="s">
        <v>645</v>
      </c>
      <c r="C5928" s="17" t="s">
        <v>196</v>
      </c>
      <c r="D5928" s="17" t="s">
        <v>904</v>
      </c>
      <c r="E5928" s="17" t="s">
        <v>141</v>
      </c>
      <c r="F5928" s="18">
        <f t="shared" si="497"/>
        <v>45588</v>
      </c>
      <c r="G5928" s="17">
        <f t="shared" si="495"/>
        <v>10</v>
      </c>
      <c r="H5928" s="17">
        <f t="shared" si="496"/>
        <v>2024</v>
      </c>
      <c r="I5928" s="17" t="s">
        <v>4</v>
      </c>
      <c r="J5928" s="17" t="s">
        <v>6599</v>
      </c>
      <c r="K5928" s="17" t="s">
        <v>551</v>
      </c>
      <c r="L5928" s="17" t="s">
        <v>2426</v>
      </c>
      <c r="M5928" s="17" t="s">
        <v>553</v>
      </c>
      <c r="N5928" s="17" t="str">
        <f t="shared" si="494"/>
        <v>GAL</v>
      </c>
      <c r="O5928" s="25">
        <v>10</v>
      </c>
    </row>
    <row r="5929" spans="2:15" x14ac:dyDescent="0.25">
      <c r="B5929" s="16" t="s">
        <v>1520</v>
      </c>
      <c r="C5929" s="17" t="s">
        <v>196</v>
      </c>
      <c r="D5929" s="17" t="s">
        <v>262</v>
      </c>
      <c r="E5929" s="17" t="s">
        <v>747</v>
      </c>
      <c r="F5929" s="18">
        <f t="shared" si="497"/>
        <v>45588</v>
      </c>
      <c r="G5929" s="17">
        <f t="shared" si="495"/>
        <v>10</v>
      </c>
      <c r="H5929" s="17">
        <f t="shared" si="496"/>
        <v>2024</v>
      </c>
      <c r="I5929" s="17" t="s">
        <v>4</v>
      </c>
      <c r="J5929" s="17" t="s">
        <v>6600</v>
      </c>
      <c r="K5929" s="17" t="s">
        <v>205</v>
      </c>
      <c r="L5929" s="17" t="s">
        <v>206</v>
      </c>
      <c r="M5929" s="17" t="s">
        <v>119</v>
      </c>
      <c r="N5929" s="17" t="str">
        <f t="shared" si="494"/>
        <v>TON</v>
      </c>
      <c r="O5929" s="25">
        <v>7.5075000000000003</v>
      </c>
    </row>
    <row r="5930" spans="2:15" x14ac:dyDescent="0.25">
      <c r="B5930" s="16" t="s">
        <v>1520</v>
      </c>
      <c r="C5930" s="17" t="s">
        <v>196</v>
      </c>
      <c r="D5930" s="17" t="s">
        <v>241</v>
      </c>
      <c r="E5930" s="17" t="s">
        <v>242</v>
      </c>
      <c r="F5930" s="18">
        <f t="shared" si="497"/>
        <v>45588</v>
      </c>
      <c r="G5930" s="17">
        <f t="shared" si="495"/>
        <v>10</v>
      </c>
      <c r="H5930" s="17">
        <f t="shared" si="496"/>
        <v>2024</v>
      </c>
      <c r="I5930" s="17" t="s">
        <v>4</v>
      </c>
      <c r="J5930" s="17" t="s">
        <v>6601</v>
      </c>
      <c r="K5930" s="17" t="s">
        <v>260</v>
      </c>
      <c r="L5930" s="17" t="s">
        <v>261</v>
      </c>
      <c r="M5930" s="17" t="s">
        <v>119</v>
      </c>
      <c r="N5930" s="17" t="str">
        <f t="shared" si="494"/>
        <v>TON</v>
      </c>
      <c r="O5930" s="25">
        <v>2.5049999999999999</v>
      </c>
    </row>
    <row r="5931" spans="2:15" x14ac:dyDescent="0.25">
      <c r="B5931" s="16" t="s">
        <v>1520</v>
      </c>
      <c r="C5931" s="17" t="s">
        <v>196</v>
      </c>
      <c r="D5931" s="17" t="s">
        <v>248</v>
      </c>
      <c r="E5931" s="17" t="s">
        <v>409</v>
      </c>
      <c r="F5931" s="18">
        <f t="shared" si="497"/>
        <v>45588</v>
      </c>
      <c r="G5931" s="17">
        <f t="shared" si="495"/>
        <v>10</v>
      </c>
      <c r="H5931" s="17">
        <f t="shared" si="496"/>
        <v>2024</v>
      </c>
      <c r="I5931" s="17" t="s">
        <v>4</v>
      </c>
      <c r="J5931" s="17" t="s">
        <v>6602</v>
      </c>
      <c r="K5931" s="17" t="s">
        <v>251</v>
      </c>
      <c r="L5931" s="17" t="s">
        <v>252</v>
      </c>
      <c r="M5931" s="17" t="s">
        <v>119</v>
      </c>
      <c r="N5931" s="17" t="str">
        <f t="shared" si="494"/>
        <v>TON</v>
      </c>
      <c r="O5931" s="25">
        <v>12.02</v>
      </c>
    </row>
    <row r="5932" spans="2:15" x14ac:dyDescent="0.25">
      <c r="B5932" s="16" t="s">
        <v>1520</v>
      </c>
      <c r="C5932" s="17" t="s">
        <v>196</v>
      </c>
      <c r="D5932" s="17" t="s">
        <v>280</v>
      </c>
      <c r="E5932" s="17" t="s">
        <v>364</v>
      </c>
      <c r="F5932" s="18">
        <f>DATE(2024,10,24)</f>
        <v>45589</v>
      </c>
      <c r="G5932" s="17">
        <f t="shared" si="495"/>
        <v>10</v>
      </c>
      <c r="H5932" s="17">
        <f t="shared" si="496"/>
        <v>2024</v>
      </c>
      <c r="I5932" s="17" t="s">
        <v>4</v>
      </c>
      <c r="J5932" s="17" t="s">
        <v>6603</v>
      </c>
      <c r="K5932" s="17" t="s">
        <v>422</v>
      </c>
      <c r="L5932" s="17" t="s">
        <v>423</v>
      </c>
      <c r="M5932" s="17" t="s">
        <v>119</v>
      </c>
      <c r="N5932" s="17" t="str">
        <f t="shared" si="494"/>
        <v>TON</v>
      </c>
      <c r="O5932" s="25">
        <v>15.03</v>
      </c>
    </row>
    <row r="5933" spans="2:15" x14ac:dyDescent="0.25">
      <c r="B5933" s="16" t="s">
        <v>1520</v>
      </c>
      <c r="C5933" s="17" t="s">
        <v>196</v>
      </c>
      <c r="D5933" s="17" t="s">
        <v>248</v>
      </c>
      <c r="E5933" s="17" t="s">
        <v>3610</v>
      </c>
      <c r="F5933" s="18">
        <f>DATE(2024,10,24)</f>
        <v>45589</v>
      </c>
      <c r="G5933" s="17">
        <f t="shared" si="495"/>
        <v>10</v>
      </c>
      <c r="H5933" s="17">
        <f t="shared" si="496"/>
        <v>2024</v>
      </c>
      <c r="I5933" s="17" t="s">
        <v>4</v>
      </c>
      <c r="J5933" s="17" t="s">
        <v>6604</v>
      </c>
      <c r="K5933" s="17" t="s">
        <v>251</v>
      </c>
      <c r="L5933" s="17" t="s">
        <v>252</v>
      </c>
      <c r="M5933" s="17" t="s">
        <v>119</v>
      </c>
      <c r="N5933" s="17" t="str">
        <f t="shared" si="494"/>
        <v>TON</v>
      </c>
      <c r="O5933" s="25">
        <v>2.5</v>
      </c>
    </row>
    <row r="5934" spans="2:15" x14ac:dyDescent="0.25">
      <c r="B5934" s="16" t="s">
        <v>1520</v>
      </c>
      <c r="C5934" s="17" t="s">
        <v>196</v>
      </c>
      <c r="D5934" s="17" t="s">
        <v>248</v>
      </c>
      <c r="E5934" s="17" t="s">
        <v>3608</v>
      </c>
      <c r="F5934" s="18">
        <f>DATE(2024,10,24)</f>
        <v>45589</v>
      </c>
      <c r="G5934" s="17">
        <f t="shared" si="495"/>
        <v>10</v>
      </c>
      <c r="H5934" s="17">
        <f t="shared" si="496"/>
        <v>2024</v>
      </c>
      <c r="I5934" s="17" t="s">
        <v>4</v>
      </c>
      <c r="J5934" s="17" t="s">
        <v>6605</v>
      </c>
      <c r="K5934" s="17" t="s">
        <v>251</v>
      </c>
      <c r="L5934" s="17" t="s">
        <v>252</v>
      </c>
      <c r="M5934" s="17" t="s">
        <v>119</v>
      </c>
      <c r="N5934" s="17" t="str">
        <f t="shared" si="494"/>
        <v>TON</v>
      </c>
      <c r="O5934" s="25">
        <v>5</v>
      </c>
    </row>
    <row r="5935" spans="2:15" x14ac:dyDescent="0.25">
      <c r="B5935" s="16" t="s">
        <v>1520</v>
      </c>
      <c r="C5935" s="17" t="s">
        <v>196</v>
      </c>
      <c r="D5935" s="17" t="s">
        <v>265</v>
      </c>
      <c r="E5935" s="17" t="s">
        <v>266</v>
      </c>
      <c r="F5935" s="18">
        <f>DATE(2024,10,24)</f>
        <v>45589</v>
      </c>
      <c r="G5935" s="17">
        <f t="shared" si="495"/>
        <v>10</v>
      </c>
      <c r="H5935" s="17">
        <f t="shared" si="496"/>
        <v>2024</v>
      </c>
      <c r="I5935" s="17" t="s">
        <v>4</v>
      </c>
      <c r="J5935" s="17" t="s">
        <v>6606</v>
      </c>
      <c r="K5935" s="17" t="s">
        <v>268</v>
      </c>
      <c r="L5935" s="17" t="s">
        <v>269</v>
      </c>
      <c r="M5935" s="17" t="s">
        <v>119</v>
      </c>
      <c r="N5935" s="17" t="str">
        <f t="shared" si="494"/>
        <v>TON</v>
      </c>
      <c r="O5935" s="25">
        <v>0.3</v>
      </c>
    </row>
    <row r="5936" spans="2:15" x14ac:dyDescent="0.25">
      <c r="B5936" s="16" t="s">
        <v>1520</v>
      </c>
      <c r="C5936" s="17" t="s">
        <v>196</v>
      </c>
      <c r="D5936" s="17" t="s">
        <v>280</v>
      </c>
      <c r="E5936" s="17" t="s">
        <v>1308</v>
      </c>
      <c r="F5936" s="18">
        <f t="shared" ref="F5936:F5941" si="498">DATE(2024,10,25)</f>
        <v>45590</v>
      </c>
      <c r="G5936" s="17">
        <f t="shared" si="495"/>
        <v>10</v>
      </c>
      <c r="H5936" s="17">
        <f t="shared" si="496"/>
        <v>2024</v>
      </c>
      <c r="I5936" s="17" t="s">
        <v>4</v>
      </c>
      <c r="J5936" s="17" t="s">
        <v>6607</v>
      </c>
      <c r="K5936" s="17" t="s">
        <v>422</v>
      </c>
      <c r="L5936" s="17" t="s">
        <v>423</v>
      </c>
      <c r="M5936" s="17" t="s">
        <v>119</v>
      </c>
      <c r="N5936" s="17" t="str">
        <f t="shared" si="494"/>
        <v>TON</v>
      </c>
      <c r="O5936" s="25">
        <v>10.015000000000001</v>
      </c>
    </row>
    <row r="5937" spans="2:15" x14ac:dyDescent="0.25">
      <c r="B5937" s="16" t="s">
        <v>1520</v>
      </c>
      <c r="C5937" s="17" t="s">
        <v>196</v>
      </c>
      <c r="D5937" s="17" t="s">
        <v>387</v>
      </c>
      <c r="E5937" s="17" t="s">
        <v>797</v>
      </c>
      <c r="F5937" s="18">
        <f t="shared" si="498"/>
        <v>45590</v>
      </c>
      <c r="G5937" s="17">
        <f t="shared" si="495"/>
        <v>10</v>
      </c>
      <c r="H5937" s="17">
        <f t="shared" si="496"/>
        <v>2024</v>
      </c>
      <c r="I5937" s="17" t="s">
        <v>4</v>
      </c>
      <c r="J5937" s="17" t="s">
        <v>6608</v>
      </c>
      <c r="K5937" s="17" t="s">
        <v>422</v>
      </c>
      <c r="L5937" s="17" t="s">
        <v>423</v>
      </c>
      <c r="M5937" s="17" t="s">
        <v>119</v>
      </c>
      <c r="N5937" s="17" t="str">
        <f t="shared" si="494"/>
        <v>TON</v>
      </c>
      <c r="O5937" s="25">
        <v>6.7069999999999999</v>
      </c>
    </row>
    <row r="5938" spans="2:15" x14ac:dyDescent="0.25">
      <c r="B5938" s="16" t="s">
        <v>1520</v>
      </c>
      <c r="C5938" s="17" t="s">
        <v>196</v>
      </c>
      <c r="D5938" s="17" t="s">
        <v>387</v>
      </c>
      <c r="E5938" s="17" t="s">
        <v>797</v>
      </c>
      <c r="F5938" s="18">
        <f t="shared" si="498"/>
        <v>45590</v>
      </c>
      <c r="G5938" s="17">
        <f t="shared" si="495"/>
        <v>10</v>
      </c>
      <c r="H5938" s="17">
        <f t="shared" si="496"/>
        <v>2024</v>
      </c>
      <c r="I5938" s="17" t="s">
        <v>4</v>
      </c>
      <c r="J5938" s="17" t="s">
        <v>6608</v>
      </c>
      <c r="K5938" s="17" t="s">
        <v>3726</v>
      </c>
      <c r="L5938" s="17" t="s">
        <v>3727</v>
      </c>
      <c r="M5938" s="17" t="s">
        <v>145</v>
      </c>
      <c r="N5938" s="17" t="str">
        <f t="shared" si="494"/>
        <v>GAL</v>
      </c>
      <c r="O5938" s="25">
        <v>2.625</v>
      </c>
    </row>
    <row r="5939" spans="2:15" x14ac:dyDescent="0.25">
      <c r="B5939" s="16" t="s">
        <v>1520</v>
      </c>
      <c r="C5939" s="17" t="s">
        <v>196</v>
      </c>
      <c r="D5939" s="17" t="s">
        <v>660</v>
      </c>
      <c r="E5939" s="17" t="s">
        <v>661</v>
      </c>
      <c r="F5939" s="18">
        <f t="shared" si="498"/>
        <v>45590</v>
      </c>
      <c r="G5939" s="17">
        <f t="shared" si="495"/>
        <v>10</v>
      </c>
      <c r="H5939" s="17">
        <f t="shared" si="496"/>
        <v>2024</v>
      </c>
      <c r="I5939" s="17" t="s">
        <v>4</v>
      </c>
      <c r="J5939" s="17" t="s">
        <v>6609</v>
      </c>
      <c r="K5939" s="17" t="s">
        <v>329</v>
      </c>
      <c r="L5939" s="17" t="s">
        <v>330</v>
      </c>
      <c r="M5939" s="17" t="s">
        <v>119</v>
      </c>
      <c r="N5939" s="17" t="str">
        <f t="shared" si="494"/>
        <v>TON</v>
      </c>
      <c r="O5939" s="25">
        <v>2.5</v>
      </c>
    </row>
    <row r="5940" spans="2:15" x14ac:dyDescent="0.25">
      <c r="B5940" s="16" t="s">
        <v>1520</v>
      </c>
      <c r="C5940" s="17" t="s">
        <v>196</v>
      </c>
      <c r="D5940" s="17" t="s">
        <v>114</v>
      </c>
      <c r="E5940" s="17" t="s">
        <v>1585</v>
      </c>
      <c r="F5940" s="18">
        <f t="shared" si="498"/>
        <v>45590</v>
      </c>
      <c r="G5940" s="17">
        <f t="shared" si="495"/>
        <v>10</v>
      </c>
      <c r="H5940" s="17">
        <f t="shared" si="496"/>
        <v>2024</v>
      </c>
      <c r="I5940" s="17" t="s">
        <v>4</v>
      </c>
      <c r="J5940" s="17" t="s">
        <v>6610</v>
      </c>
      <c r="K5940" s="17" t="s">
        <v>422</v>
      </c>
      <c r="L5940" s="17" t="s">
        <v>423</v>
      </c>
      <c r="M5940" s="17" t="s">
        <v>119</v>
      </c>
      <c r="N5940" s="17" t="str">
        <f t="shared" si="494"/>
        <v>TON</v>
      </c>
      <c r="O5940" s="25">
        <v>12.505000000000001</v>
      </c>
    </row>
    <row r="5941" spans="2:15" x14ac:dyDescent="0.25">
      <c r="B5941" s="16" t="s">
        <v>1520</v>
      </c>
      <c r="C5941" s="17" t="s">
        <v>196</v>
      </c>
      <c r="D5941" s="17" t="s">
        <v>197</v>
      </c>
      <c r="E5941" s="17" t="s">
        <v>198</v>
      </c>
      <c r="F5941" s="18">
        <f t="shared" si="498"/>
        <v>45590</v>
      </c>
      <c r="G5941" s="17">
        <f t="shared" si="495"/>
        <v>10</v>
      </c>
      <c r="H5941" s="17">
        <f t="shared" si="496"/>
        <v>2024</v>
      </c>
      <c r="I5941" s="17" t="s">
        <v>4</v>
      </c>
      <c r="J5941" s="17" t="s">
        <v>6611</v>
      </c>
      <c r="K5941" s="17" t="s">
        <v>307</v>
      </c>
      <c r="L5941" s="17" t="s">
        <v>308</v>
      </c>
      <c r="M5941" s="17" t="s">
        <v>119</v>
      </c>
      <c r="N5941" s="17" t="str">
        <f t="shared" si="494"/>
        <v>TON</v>
      </c>
      <c r="O5941" s="25">
        <v>4</v>
      </c>
    </row>
    <row r="5942" spans="2:15" x14ac:dyDescent="0.25">
      <c r="B5942" s="16" t="s">
        <v>1520</v>
      </c>
      <c r="C5942" s="17" t="s">
        <v>196</v>
      </c>
      <c r="D5942" s="17" t="s">
        <v>114</v>
      </c>
      <c r="E5942" s="17" t="s">
        <v>3751</v>
      </c>
      <c r="F5942" s="18">
        <f>DATE(2024,10,28)</f>
        <v>45593</v>
      </c>
      <c r="G5942" s="17">
        <f t="shared" si="495"/>
        <v>10</v>
      </c>
      <c r="H5942" s="17">
        <f t="shared" si="496"/>
        <v>2024</v>
      </c>
      <c r="I5942" s="17" t="s">
        <v>4</v>
      </c>
      <c r="J5942" s="17" t="s">
        <v>6612</v>
      </c>
      <c r="K5942" s="17" t="s">
        <v>422</v>
      </c>
      <c r="L5942" s="17" t="s">
        <v>423</v>
      </c>
      <c r="M5942" s="17" t="s">
        <v>119</v>
      </c>
      <c r="N5942" s="17" t="str">
        <f t="shared" si="494"/>
        <v>TON</v>
      </c>
      <c r="O5942" s="25">
        <v>11.045</v>
      </c>
    </row>
    <row r="5943" spans="2:15" x14ac:dyDescent="0.25">
      <c r="B5943" s="16" t="s">
        <v>1520</v>
      </c>
      <c r="C5943" s="17" t="s">
        <v>196</v>
      </c>
      <c r="D5943" s="17" t="s">
        <v>114</v>
      </c>
      <c r="E5943" s="17" t="s">
        <v>491</v>
      </c>
      <c r="F5943" s="18">
        <f>DATE(2024,10,28)</f>
        <v>45593</v>
      </c>
      <c r="G5943" s="17">
        <f t="shared" si="495"/>
        <v>10</v>
      </c>
      <c r="H5943" s="17">
        <f t="shared" si="496"/>
        <v>2024</v>
      </c>
      <c r="I5943" s="17" t="s">
        <v>4</v>
      </c>
      <c r="J5943" s="17" t="s">
        <v>6613</v>
      </c>
      <c r="K5943" s="17" t="s">
        <v>422</v>
      </c>
      <c r="L5943" s="17" t="s">
        <v>423</v>
      </c>
      <c r="M5943" s="17" t="s">
        <v>119</v>
      </c>
      <c r="N5943" s="17" t="str">
        <f t="shared" si="494"/>
        <v>TON</v>
      </c>
      <c r="O5943" s="25">
        <v>3.01</v>
      </c>
    </row>
    <row r="5944" spans="2:15" x14ac:dyDescent="0.25">
      <c r="B5944" s="16" t="s">
        <v>1520</v>
      </c>
      <c r="C5944" s="17" t="s">
        <v>196</v>
      </c>
      <c r="D5944" s="17" t="s">
        <v>294</v>
      </c>
      <c r="E5944" s="17" t="s">
        <v>295</v>
      </c>
      <c r="F5944" s="18">
        <f>DATE(2024,10,28)</f>
        <v>45593</v>
      </c>
      <c r="G5944" s="17">
        <f t="shared" si="495"/>
        <v>10</v>
      </c>
      <c r="H5944" s="17">
        <f t="shared" si="496"/>
        <v>2024</v>
      </c>
      <c r="I5944" s="17" t="s">
        <v>4</v>
      </c>
      <c r="J5944" s="17" t="s">
        <v>6614</v>
      </c>
      <c r="K5944" s="17" t="s">
        <v>6615</v>
      </c>
      <c r="L5944" s="17" t="s">
        <v>6616</v>
      </c>
      <c r="M5944" s="17" t="s">
        <v>119</v>
      </c>
      <c r="N5944" s="17" t="str">
        <f t="shared" si="494"/>
        <v>TON</v>
      </c>
      <c r="O5944" s="25">
        <v>0.15</v>
      </c>
    </row>
    <row r="5945" spans="2:15" x14ac:dyDescent="0.25">
      <c r="B5945" s="16" t="s">
        <v>1520</v>
      </c>
      <c r="C5945" s="17" t="s">
        <v>196</v>
      </c>
      <c r="D5945" s="17" t="s">
        <v>294</v>
      </c>
      <c r="E5945" s="17" t="s">
        <v>295</v>
      </c>
      <c r="F5945" s="18">
        <f>DATE(2024,10,28)</f>
        <v>45593</v>
      </c>
      <c r="G5945" s="17">
        <f t="shared" si="495"/>
        <v>10</v>
      </c>
      <c r="H5945" s="17">
        <f t="shared" si="496"/>
        <v>2024</v>
      </c>
      <c r="I5945" s="17" t="s">
        <v>4</v>
      </c>
      <c r="J5945" s="17" t="s">
        <v>6617</v>
      </c>
      <c r="K5945" s="17" t="s">
        <v>6618</v>
      </c>
      <c r="L5945" s="17" t="s">
        <v>150</v>
      </c>
      <c r="M5945" s="17" t="s">
        <v>21</v>
      </c>
      <c r="N5945" s="17" t="str">
        <f t="shared" si="494"/>
        <v>GAL</v>
      </c>
      <c r="O5945" s="25">
        <v>30</v>
      </c>
    </row>
    <row r="5946" spans="2:15" x14ac:dyDescent="0.25">
      <c r="B5946" s="16" t="s">
        <v>1520</v>
      </c>
      <c r="C5946" s="17" t="s">
        <v>196</v>
      </c>
      <c r="D5946" s="17" t="s">
        <v>207</v>
      </c>
      <c r="E5946" s="17" t="s">
        <v>208</v>
      </c>
      <c r="F5946" s="18">
        <f>DATE(2024,10,28)</f>
        <v>45593</v>
      </c>
      <c r="G5946" s="17">
        <f t="shared" si="495"/>
        <v>10</v>
      </c>
      <c r="H5946" s="17">
        <f t="shared" si="496"/>
        <v>2024</v>
      </c>
      <c r="I5946" s="17" t="s">
        <v>4</v>
      </c>
      <c r="J5946" s="17" t="s">
        <v>6619</v>
      </c>
      <c r="K5946" s="17" t="s">
        <v>205</v>
      </c>
      <c r="L5946" s="17" t="s">
        <v>206</v>
      </c>
      <c r="M5946" s="17" t="s">
        <v>119</v>
      </c>
      <c r="N5946" s="17" t="str">
        <f t="shared" si="494"/>
        <v>TON</v>
      </c>
      <c r="O5946" s="25">
        <v>2.5</v>
      </c>
    </row>
    <row r="5947" spans="2:15" x14ac:dyDescent="0.25">
      <c r="B5947" s="16" t="s">
        <v>1520</v>
      </c>
      <c r="C5947" s="17" t="s">
        <v>196</v>
      </c>
      <c r="D5947" s="17" t="s">
        <v>273</v>
      </c>
      <c r="E5947" s="17" t="s">
        <v>976</v>
      </c>
      <c r="F5947" s="18">
        <f t="shared" ref="F5947:F5956" si="499">DATE(2024,10,29)</f>
        <v>45594</v>
      </c>
      <c r="G5947" s="17">
        <f t="shared" si="495"/>
        <v>10</v>
      </c>
      <c r="H5947" s="17">
        <f t="shared" si="496"/>
        <v>2024</v>
      </c>
      <c r="I5947" s="17" t="s">
        <v>4</v>
      </c>
      <c r="J5947" s="17" t="s">
        <v>6620</v>
      </c>
      <c r="K5947" s="17" t="s">
        <v>384</v>
      </c>
      <c r="L5947" s="17" t="s">
        <v>385</v>
      </c>
      <c r="M5947" s="17" t="s">
        <v>119</v>
      </c>
      <c r="N5947" s="17" t="str">
        <f t="shared" si="494"/>
        <v>TON</v>
      </c>
      <c r="O5947" s="25">
        <v>2.5024999999999999</v>
      </c>
    </row>
    <row r="5948" spans="2:15" x14ac:dyDescent="0.25">
      <c r="B5948" s="16" t="s">
        <v>1520</v>
      </c>
      <c r="C5948" s="17" t="s">
        <v>196</v>
      </c>
      <c r="D5948" s="17" t="s">
        <v>299</v>
      </c>
      <c r="E5948" s="17" t="s">
        <v>300</v>
      </c>
      <c r="F5948" s="18">
        <f t="shared" si="499"/>
        <v>45594</v>
      </c>
      <c r="G5948" s="17">
        <f t="shared" si="495"/>
        <v>10</v>
      </c>
      <c r="H5948" s="17">
        <f t="shared" si="496"/>
        <v>2024</v>
      </c>
      <c r="I5948" s="17" t="s">
        <v>4</v>
      </c>
      <c r="J5948" s="17" t="s">
        <v>6621</v>
      </c>
      <c r="K5948" s="17" t="s">
        <v>422</v>
      </c>
      <c r="L5948" s="17" t="s">
        <v>423</v>
      </c>
      <c r="M5948" s="17" t="s">
        <v>119</v>
      </c>
      <c r="N5948" s="17" t="str">
        <f t="shared" si="494"/>
        <v>TON</v>
      </c>
      <c r="O5948" s="25">
        <v>15.022500000000001</v>
      </c>
    </row>
    <row r="5949" spans="2:15" x14ac:dyDescent="0.25">
      <c r="B5949" s="16" t="s">
        <v>1520</v>
      </c>
      <c r="C5949" s="17" t="s">
        <v>196</v>
      </c>
      <c r="D5949" s="17" t="s">
        <v>299</v>
      </c>
      <c r="E5949" s="17" t="s">
        <v>398</v>
      </c>
      <c r="F5949" s="18">
        <f t="shared" si="499"/>
        <v>45594</v>
      </c>
      <c r="G5949" s="17">
        <f t="shared" si="495"/>
        <v>10</v>
      </c>
      <c r="H5949" s="17">
        <f t="shared" si="496"/>
        <v>2024</v>
      </c>
      <c r="I5949" s="17" t="s">
        <v>4</v>
      </c>
      <c r="J5949" s="17" t="s">
        <v>6622</v>
      </c>
      <c r="K5949" s="17" t="s">
        <v>422</v>
      </c>
      <c r="L5949" s="17" t="s">
        <v>423</v>
      </c>
      <c r="M5949" s="17" t="s">
        <v>119</v>
      </c>
      <c r="N5949" s="17" t="str">
        <f t="shared" si="494"/>
        <v>TON</v>
      </c>
      <c r="O5949" s="25">
        <v>15.022</v>
      </c>
    </row>
    <row r="5950" spans="2:15" x14ac:dyDescent="0.25">
      <c r="B5950" s="16" t="s">
        <v>1520</v>
      </c>
      <c r="C5950" s="17" t="s">
        <v>196</v>
      </c>
      <c r="D5950" s="17" t="s">
        <v>317</v>
      </c>
      <c r="E5950" s="17" t="s">
        <v>677</v>
      </c>
      <c r="F5950" s="18">
        <f t="shared" si="499"/>
        <v>45594</v>
      </c>
      <c r="G5950" s="17">
        <f t="shared" si="495"/>
        <v>10</v>
      </c>
      <c r="H5950" s="17">
        <f t="shared" si="496"/>
        <v>2024</v>
      </c>
      <c r="I5950" s="17" t="s">
        <v>4</v>
      </c>
      <c r="J5950" s="17" t="s">
        <v>6623</v>
      </c>
      <c r="K5950" s="17" t="s">
        <v>422</v>
      </c>
      <c r="L5950" s="17" t="s">
        <v>423</v>
      </c>
      <c r="M5950" s="17" t="s">
        <v>119</v>
      </c>
      <c r="N5950" s="17" t="str">
        <f t="shared" ref="N5950:N6013" si="500">+LEFT(M5950,3)</f>
        <v>TON</v>
      </c>
      <c r="O5950" s="25">
        <v>15.03</v>
      </c>
    </row>
    <row r="5951" spans="2:15" x14ac:dyDescent="0.25">
      <c r="B5951" s="16" t="s">
        <v>1520</v>
      </c>
      <c r="C5951" s="17" t="s">
        <v>196</v>
      </c>
      <c r="D5951" s="17" t="s">
        <v>276</v>
      </c>
      <c r="E5951" s="17" t="s">
        <v>878</v>
      </c>
      <c r="F5951" s="18">
        <f t="shared" si="499"/>
        <v>45594</v>
      </c>
      <c r="G5951" s="17">
        <f t="shared" si="495"/>
        <v>10</v>
      </c>
      <c r="H5951" s="17">
        <f t="shared" si="496"/>
        <v>2024</v>
      </c>
      <c r="I5951" s="17" t="s">
        <v>4</v>
      </c>
      <c r="J5951" s="17" t="s">
        <v>6624</v>
      </c>
      <c r="K5951" s="17" t="s">
        <v>205</v>
      </c>
      <c r="L5951" s="17" t="s">
        <v>206</v>
      </c>
      <c r="M5951" s="17" t="s">
        <v>119</v>
      </c>
      <c r="N5951" s="17" t="str">
        <f t="shared" si="500"/>
        <v>TON</v>
      </c>
      <c r="O5951" s="25">
        <v>8.0124999999999993</v>
      </c>
    </row>
    <row r="5952" spans="2:15" x14ac:dyDescent="0.25">
      <c r="B5952" s="16" t="s">
        <v>1520</v>
      </c>
      <c r="C5952" s="17" t="s">
        <v>196</v>
      </c>
      <c r="D5952" s="17" t="s">
        <v>2002</v>
      </c>
      <c r="E5952" s="17" t="s">
        <v>6549</v>
      </c>
      <c r="F5952" s="18">
        <f t="shared" si="499"/>
        <v>45594</v>
      </c>
      <c r="G5952" s="17">
        <f t="shared" si="495"/>
        <v>10</v>
      </c>
      <c r="H5952" s="17">
        <f t="shared" si="496"/>
        <v>2024</v>
      </c>
      <c r="I5952" s="17" t="s">
        <v>4</v>
      </c>
      <c r="J5952" s="17" t="s">
        <v>6625</v>
      </c>
      <c r="K5952" s="17" t="s">
        <v>205</v>
      </c>
      <c r="L5952" s="17" t="s">
        <v>206</v>
      </c>
      <c r="M5952" s="17" t="s">
        <v>119</v>
      </c>
      <c r="N5952" s="17" t="str">
        <f t="shared" si="500"/>
        <v>TON</v>
      </c>
      <c r="O5952" s="25">
        <v>2.5</v>
      </c>
    </row>
    <row r="5953" spans="2:15" x14ac:dyDescent="0.25">
      <c r="B5953" s="16" t="s">
        <v>1520</v>
      </c>
      <c r="C5953" s="17" t="s">
        <v>196</v>
      </c>
      <c r="D5953" s="17" t="s">
        <v>262</v>
      </c>
      <c r="E5953" s="17" t="s">
        <v>1563</v>
      </c>
      <c r="F5953" s="18">
        <f t="shared" si="499"/>
        <v>45594</v>
      </c>
      <c r="G5953" s="17">
        <f t="shared" si="495"/>
        <v>10</v>
      </c>
      <c r="H5953" s="17">
        <f t="shared" si="496"/>
        <v>2024</v>
      </c>
      <c r="I5953" s="17" t="s">
        <v>4</v>
      </c>
      <c r="J5953" s="17" t="s">
        <v>6626</v>
      </c>
      <c r="K5953" s="17" t="s">
        <v>205</v>
      </c>
      <c r="L5953" s="17" t="s">
        <v>206</v>
      </c>
      <c r="M5953" s="17" t="s">
        <v>119</v>
      </c>
      <c r="N5953" s="17" t="str">
        <f t="shared" si="500"/>
        <v>TON</v>
      </c>
      <c r="O5953" s="25">
        <v>9.0124999999999993</v>
      </c>
    </row>
    <row r="5954" spans="2:15" x14ac:dyDescent="0.25">
      <c r="B5954" s="16" t="s">
        <v>1520</v>
      </c>
      <c r="C5954" s="17" t="s">
        <v>196</v>
      </c>
      <c r="D5954" s="17" t="s">
        <v>800</v>
      </c>
      <c r="E5954" s="17" t="s">
        <v>911</v>
      </c>
      <c r="F5954" s="18">
        <f t="shared" si="499"/>
        <v>45594</v>
      </c>
      <c r="G5954" s="17">
        <f t="shared" si="495"/>
        <v>10</v>
      </c>
      <c r="H5954" s="17">
        <f t="shared" si="496"/>
        <v>2024</v>
      </c>
      <c r="I5954" s="17" t="s">
        <v>4</v>
      </c>
      <c r="J5954" s="17" t="s">
        <v>6627</v>
      </c>
      <c r="K5954" s="17" t="s">
        <v>329</v>
      </c>
      <c r="L5954" s="17" t="s">
        <v>330</v>
      </c>
      <c r="M5954" s="17" t="s">
        <v>119</v>
      </c>
      <c r="N5954" s="17" t="str">
        <f t="shared" si="500"/>
        <v>TON</v>
      </c>
      <c r="O5954" s="25">
        <v>1.0425</v>
      </c>
    </row>
    <row r="5955" spans="2:15" x14ac:dyDescent="0.25">
      <c r="B5955" s="16" t="s">
        <v>1520</v>
      </c>
      <c r="C5955" s="17" t="s">
        <v>196</v>
      </c>
      <c r="D5955" s="17" t="s">
        <v>3764</v>
      </c>
      <c r="E5955" s="17" t="s">
        <v>91</v>
      </c>
      <c r="F5955" s="18">
        <f t="shared" si="499"/>
        <v>45594</v>
      </c>
      <c r="G5955" s="17">
        <f t="shared" si="495"/>
        <v>10</v>
      </c>
      <c r="H5955" s="17">
        <f t="shared" si="496"/>
        <v>2024</v>
      </c>
      <c r="I5955" s="17" t="s">
        <v>4</v>
      </c>
      <c r="J5955" s="17" t="s">
        <v>6628</v>
      </c>
      <c r="K5955" s="17" t="s">
        <v>329</v>
      </c>
      <c r="L5955" s="17" t="s">
        <v>330</v>
      </c>
      <c r="M5955" s="17" t="s">
        <v>119</v>
      </c>
      <c r="N5955" s="17" t="str">
        <f t="shared" si="500"/>
        <v>TON</v>
      </c>
      <c r="O5955" s="25">
        <v>1.29</v>
      </c>
    </row>
    <row r="5956" spans="2:15" x14ac:dyDescent="0.25">
      <c r="B5956" s="16" t="s">
        <v>1520</v>
      </c>
      <c r="C5956" s="17" t="s">
        <v>196</v>
      </c>
      <c r="D5956" s="17" t="s">
        <v>321</v>
      </c>
      <c r="E5956" s="17" t="s">
        <v>697</v>
      </c>
      <c r="F5956" s="18">
        <f t="shared" si="499"/>
        <v>45594</v>
      </c>
      <c r="G5956" s="17">
        <f t="shared" si="495"/>
        <v>10</v>
      </c>
      <c r="H5956" s="17">
        <f t="shared" si="496"/>
        <v>2024</v>
      </c>
      <c r="I5956" s="17" t="s">
        <v>4</v>
      </c>
      <c r="J5956" s="17" t="s">
        <v>6629</v>
      </c>
      <c r="K5956" s="17" t="s">
        <v>447</v>
      </c>
      <c r="L5956" s="17" t="s">
        <v>448</v>
      </c>
      <c r="M5956" s="17" t="s">
        <v>119</v>
      </c>
      <c r="N5956" s="17" t="str">
        <f t="shared" si="500"/>
        <v>TON</v>
      </c>
      <c r="O5956" s="25">
        <v>10.0275</v>
      </c>
    </row>
    <row r="5957" spans="2:15" x14ac:dyDescent="0.25">
      <c r="B5957" s="16" t="s">
        <v>1520</v>
      </c>
      <c r="C5957" s="17" t="s">
        <v>196</v>
      </c>
      <c r="D5957" s="17" t="s">
        <v>294</v>
      </c>
      <c r="E5957" s="17" t="s">
        <v>295</v>
      </c>
      <c r="F5957" s="18">
        <f t="shared" ref="F5957:F5968" si="501">DATE(2024,10,30)</f>
        <v>45595</v>
      </c>
      <c r="G5957" s="17">
        <f t="shared" si="495"/>
        <v>10</v>
      </c>
      <c r="H5957" s="17">
        <f t="shared" si="496"/>
        <v>2024</v>
      </c>
      <c r="I5957" s="17" t="s">
        <v>4</v>
      </c>
      <c r="J5957" s="17" t="s">
        <v>6630</v>
      </c>
      <c r="K5957" s="17" t="s">
        <v>6631</v>
      </c>
      <c r="L5957" s="17" t="s">
        <v>6632</v>
      </c>
      <c r="M5957" s="17" t="s">
        <v>119</v>
      </c>
      <c r="N5957" s="17" t="str">
        <f t="shared" si="500"/>
        <v>TON</v>
      </c>
      <c r="O5957" s="25">
        <v>0.15</v>
      </c>
    </row>
    <row r="5958" spans="2:15" x14ac:dyDescent="0.25">
      <c r="B5958" s="16" t="s">
        <v>1520</v>
      </c>
      <c r="C5958" s="17" t="s">
        <v>196</v>
      </c>
      <c r="D5958" s="17" t="s">
        <v>294</v>
      </c>
      <c r="E5958" s="17" t="s">
        <v>295</v>
      </c>
      <c r="F5958" s="18">
        <f t="shared" si="501"/>
        <v>45595</v>
      </c>
      <c r="G5958" s="17">
        <f t="shared" si="495"/>
        <v>10</v>
      </c>
      <c r="H5958" s="17">
        <f t="shared" si="496"/>
        <v>2024</v>
      </c>
      <c r="I5958" s="17" t="s">
        <v>4</v>
      </c>
      <c r="J5958" s="17" t="s">
        <v>6633</v>
      </c>
      <c r="K5958" s="17" t="s">
        <v>6634</v>
      </c>
      <c r="L5958" s="17" t="s">
        <v>6635</v>
      </c>
      <c r="M5958" s="17" t="s">
        <v>119</v>
      </c>
      <c r="N5958" s="17" t="str">
        <f t="shared" si="500"/>
        <v>TON</v>
      </c>
      <c r="O5958" s="25">
        <v>0.15</v>
      </c>
    </row>
    <row r="5959" spans="2:15" x14ac:dyDescent="0.25">
      <c r="B5959" s="16" t="s">
        <v>1520</v>
      </c>
      <c r="C5959" s="17" t="s">
        <v>196</v>
      </c>
      <c r="D5959" s="17" t="s">
        <v>294</v>
      </c>
      <c r="E5959" s="17" t="s">
        <v>295</v>
      </c>
      <c r="F5959" s="18">
        <f t="shared" si="501"/>
        <v>45595</v>
      </c>
      <c r="G5959" s="17">
        <f t="shared" si="495"/>
        <v>10</v>
      </c>
      <c r="H5959" s="17">
        <f t="shared" si="496"/>
        <v>2024</v>
      </c>
      <c r="I5959" s="17" t="s">
        <v>4</v>
      </c>
      <c r="J5959" s="17" t="s">
        <v>6636</v>
      </c>
      <c r="K5959" s="17" t="s">
        <v>6637</v>
      </c>
      <c r="L5959" s="17" t="s">
        <v>6638</v>
      </c>
      <c r="M5959" s="17" t="s">
        <v>119</v>
      </c>
      <c r="N5959" s="17" t="str">
        <f t="shared" si="500"/>
        <v>TON</v>
      </c>
      <c r="O5959" s="25">
        <v>0.15</v>
      </c>
    </row>
    <row r="5960" spans="2:15" x14ac:dyDescent="0.25">
      <c r="B5960" s="16" t="s">
        <v>1520</v>
      </c>
      <c r="C5960" s="17" t="s">
        <v>196</v>
      </c>
      <c r="D5960" s="17" t="s">
        <v>294</v>
      </c>
      <c r="E5960" s="17" t="s">
        <v>295</v>
      </c>
      <c r="F5960" s="18">
        <f t="shared" si="501"/>
        <v>45595</v>
      </c>
      <c r="G5960" s="17">
        <f t="shared" si="495"/>
        <v>10</v>
      </c>
      <c r="H5960" s="17">
        <f t="shared" si="496"/>
        <v>2024</v>
      </c>
      <c r="I5960" s="17" t="s">
        <v>4</v>
      </c>
      <c r="J5960" s="17" t="s">
        <v>6639</v>
      </c>
      <c r="K5960" s="17" t="s">
        <v>6640</v>
      </c>
      <c r="L5960" s="17" t="s">
        <v>6641</v>
      </c>
      <c r="M5960" s="17" t="s">
        <v>119</v>
      </c>
      <c r="N5960" s="17" t="str">
        <f t="shared" si="500"/>
        <v>TON</v>
      </c>
      <c r="O5960" s="25">
        <v>0.15</v>
      </c>
    </row>
    <row r="5961" spans="2:15" x14ac:dyDescent="0.25">
      <c r="B5961" s="16" t="s">
        <v>1520</v>
      </c>
      <c r="C5961" s="17" t="s">
        <v>196</v>
      </c>
      <c r="D5961" s="17" t="s">
        <v>310</v>
      </c>
      <c r="E5961" s="17" t="s">
        <v>426</v>
      </c>
      <c r="F5961" s="18">
        <f t="shared" si="501"/>
        <v>45595</v>
      </c>
      <c r="G5961" s="17">
        <f t="shared" si="495"/>
        <v>10</v>
      </c>
      <c r="H5961" s="17">
        <f t="shared" si="496"/>
        <v>2024</v>
      </c>
      <c r="I5961" s="17" t="s">
        <v>4</v>
      </c>
      <c r="J5961" s="17" t="s">
        <v>6642</v>
      </c>
      <c r="K5961" s="17" t="s">
        <v>205</v>
      </c>
      <c r="L5961" s="17" t="s">
        <v>206</v>
      </c>
      <c r="M5961" s="17" t="s">
        <v>119</v>
      </c>
      <c r="N5961" s="17" t="str">
        <f t="shared" si="500"/>
        <v>TON</v>
      </c>
      <c r="O5961" s="25">
        <v>2.0024999999999999</v>
      </c>
    </row>
    <row r="5962" spans="2:15" x14ac:dyDescent="0.25">
      <c r="B5962" s="16" t="s">
        <v>1520</v>
      </c>
      <c r="C5962" s="17" t="s">
        <v>196</v>
      </c>
      <c r="D5962" s="17" t="s">
        <v>280</v>
      </c>
      <c r="E5962" s="17" t="s">
        <v>254</v>
      </c>
      <c r="F5962" s="18">
        <f t="shared" si="501"/>
        <v>45595</v>
      </c>
      <c r="G5962" s="17">
        <f t="shared" si="495"/>
        <v>10</v>
      </c>
      <c r="H5962" s="17">
        <f t="shared" si="496"/>
        <v>2024</v>
      </c>
      <c r="I5962" s="17" t="s">
        <v>4</v>
      </c>
      <c r="J5962" s="17" t="s">
        <v>6643</v>
      </c>
      <c r="K5962" s="17" t="s">
        <v>422</v>
      </c>
      <c r="L5962" s="17" t="s">
        <v>423</v>
      </c>
      <c r="M5962" s="17" t="s">
        <v>119</v>
      </c>
      <c r="N5962" s="17" t="str">
        <f t="shared" si="500"/>
        <v>TON</v>
      </c>
      <c r="O5962" s="25">
        <v>20.02</v>
      </c>
    </row>
    <row r="5963" spans="2:15" x14ac:dyDescent="0.25">
      <c r="B5963" s="16" t="s">
        <v>1520</v>
      </c>
      <c r="C5963" s="17" t="s">
        <v>196</v>
      </c>
      <c r="D5963" s="17" t="s">
        <v>721</v>
      </c>
      <c r="E5963" s="17" t="s">
        <v>722</v>
      </c>
      <c r="F5963" s="18">
        <f t="shared" si="501"/>
        <v>45595</v>
      </c>
      <c r="G5963" s="17">
        <f t="shared" si="495"/>
        <v>10</v>
      </c>
      <c r="H5963" s="17">
        <f t="shared" si="496"/>
        <v>2024</v>
      </c>
      <c r="I5963" s="17" t="s">
        <v>4</v>
      </c>
      <c r="J5963" s="17" t="s">
        <v>6644</v>
      </c>
      <c r="K5963" s="17" t="s">
        <v>384</v>
      </c>
      <c r="L5963" s="17" t="s">
        <v>385</v>
      </c>
      <c r="M5963" s="17" t="s">
        <v>119</v>
      </c>
      <c r="N5963" s="17" t="str">
        <f t="shared" si="500"/>
        <v>TON</v>
      </c>
      <c r="O5963" s="25">
        <v>2.75</v>
      </c>
    </row>
    <row r="5964" spans="2:15" x14ac:dyDescent="0.25">
      <c r="B5964" s="16" t="s">
        <v>1520</v>
      </c>
      <c r="C5964" s="17" t="s">
        <v>196</v>
      </c>
      <c r="D5964" s="17" t="s">
        <v>114</v>
      </c>
      <c r="E5964" s="17" t="s">
        <v>369</v>
      </c>
      <c r="F5964" s="18">
        <f t="shared" si="501"/>
        <v>45595</v>
      </c>
      <c r="G5964" s="17">
        <f t="shared" si="495"/>
        <v>10</v>
      </c>
      <c r="H5964" s="17">
        <f t="shared" si="496"/>
        <v>2024</v>
      </c>
      <c r="I5964" s="17" t="s">
        <v>4</v>
      </c>
      <c r="J5964" s="17" t="s">
        <v>6645</v>
      </c>
      <c r="K5964" s="17" t="s">
        <v>422</v>
      </c>
      <c r="L5964" s="17" t="s">
        <v>423</v>
      </c>
      <c r="M5964" s="17" t="s">
        <v>119</v>
      </c>
      <c r="N5964" s="17" t="str">
        <f t="shared" si="500"/>
        <v>TON</v>
      </c>
      <c r="O5964" s="25">
        <v>2.2675000000000001</v>
      </c>
    </row>
    <row r="5965" spans="2:15" x14ac:dyDescent="0.25">
      <c r="B5965" s="16" t="s">
        <v>1520</v>
      </c>
      <c r="C5965" s="17" t="s">
        <v>196</v>
      </c>
      <c r="D5965" s="17" t="s">
        <v>280</v>
      </c>
      <c r="E5965" s="17" t="s">
        <v>462</v>
      </c>
      <c r="F5965" s="18">
        <f t="shared" si="501"/>
        <v>45595</v>
      </c>
      <c r="G5965" s="17">
        <f t="shared" si="495"/>
        <v>10</v>
      </c>
      <c r="H5965" s="17">
        <f t="shared" si="496"/>
        <v>2024</v>
      </c>
      <c r="I5965" s="17" t="s">
        <v>4</v>
      </c>
      <c r="J5965" s="17" t="s">
        <v>6646</v>
      </c>
      <c r="K5965" s="17" t="s">
        <v>422</v>
      </c>
      <c r="L5965" s="17" t="s">
        <v>423</v>
      </c>
      <c r="M5965" s="17" t="s">
        <v>119</v>
      </c>
      <c r="N5965" s="17" t="str">
        <f t="shared" si="500"/>
        <v>TON</v>
      </c>
      <c r="O5965" s="25">
        <v>7.5149999999999997</v>
      </c>
    </row>
    <row r="5966" spans="2:15" x14ac:dyDescent="0.25">
      <c r="B5966" s="16" t="s">
        <v>1520</v>
      </c>
      <c r="C5966" s="17" t="s">
        <v>196</v>
      </c>
      <c r="D5966" s="17" t="s">
        <v>114</v>
      </c>
      <c r="E5966" s="17" t="s">
        <v>3751</v>
      </c>
      <c r="F5966" s="18">
        <f t="shared" si="501"/>
        <v>45595</v>
      </c>
      <c r="G5966" s="17">
        <f t="shared" si="495"/>
        <v>10</v>
      </c>
      <c r="H5966" s="17">
        <f t="shared" si="496"/>
        <v>2024</v>
      </c>
      <c r="I5966" s="17" t="s">
        <v>4</v>
      </c>
      <c r="J5966" s="17" t="s">
        <v>6647</v>
      </c>
      <c r="K5966" s="17" t="s">
        <v>422</v>
      </c>
      <c r="L5966" s="17" t="s">
        <v>423</v>
      </c>
      <c r="M5966" s="17" t="s">
        <v>119</v>
      </c>
      <c r="N5966" s="17" t="str">
        <f t="shared" si="500"/>
        <v>TON</v>
      </c>
      <c r="O5966" s="25">
        <v>4.0049999999999999</v>
      </c>
    </row>
    <row r="5967" spans="2:15" x14ac:dyDescent="0.25">
      <c r="B5967" s="16" t="s">
        <v>1520</v>
      </c>
      <c r="C5967" s="17" t="s">
        <v>196</v>
      </c>
      <c r="D5967" s="17" t="s">
        <v>449</v>
      </c>
      <c r="E5967" s="17" t="s">
        <v>450</v>
      </c>
      <c r="F5967" s="18">
        <f t="shared" si="501"/>
        <v>45595</v>
      </c>
      <c r="G5967" s="17">
        <f t="shared" si="495"/>
        <v>10</v>
      </c>
      <c r="H5967" s="17">
        <f t="shared" si="496"/>
        <v>2024</v>
      </c>
      <c r="I5967" s="17" t="s">
        <v>4</v>
      </c>
      <c r="J5967" s="17" t="s">
        <v>6648</v>
      </c>
      <c r="K5967" s="17" t="s">
        <v>329</v>
      </c>
      <c r="L5967" s="17" t="s">
        <v>330</v>
      </c>
      <c r="M5967" s="17" t="s">
        <v>119</v>
      </c>
      <c r="N5967" s="17" t="str">
        <f t="shared" si="500"/>
        <v>TON</v>
      </c>
      <c r="O5967" s="25">
        <v>5</v>
      </c>
    </row>
    <row r="5968" spans="2:15" x14ac:dyDescent="0.25">
      <c r="B5968" s="16" t="s">
        <v>1520</v>
      </c>
      <c r="C5968" s="17" t="s">
        <v>196</v>
      </c>
      <c r="D5968" s="17" t="s">
        <v>114</v>
      </c>
      <c r="E5968" s="17" t="s">
        <v>402</v>
      </c>
      <c r="F5968" s="18">
        <f t="shared" si="501"/>
        <v>45595</v>
      </c>
      <c r="G5968" s="17">
        <f t="shared" si="495"/>
        <v>10</v>
      </c>
      <c r="H5968" s="17">
        <f t="shared" si="496"/>
        <v>2024</v>
      </c>
      <c r="I5968" s="17" t="s">
        <v>4</v>
      </c>
      <c r="J5968" s="17" t="s">
        <v>6649</v>
      </c>
      <c r="K5968" s="17" t="s">
        <v>422</v>
      </c>
      <c r="L5968" s="17" t="s">
        <v>423</v>
      </c>
      <c r="M5968" s="17" t="s">
        <v>119</v>
      </c>
      <c r="N5968" s="17" t="str">
        <f t="shared" si="500"/>
        <v>TON</v>
      </c>
      <c r="O5968" s="25">
        <v>4.5075000000000003</v>
      </c>
    </row>
    <row r="5969" spans="2:15" x14ac:dyDescent="0.25">
      <c r="B5969" s="16" t="s">
        <v>1520</v>
      </c>
      <c r="C5969" s="17" t="s">
        <v>196</v>
      </c>
      <c r="D5969" s="17" t="s">
        <v>3761</v>
      </c>
      <c r="E5969" s="17" t="s">
        <v>102</v>
      </c>
      <c r="F5969" s="18">
        <f t="shared" ref="F5969:F5979" si="502">DATE(2024,10,31)</f>
        <v>45596</v>
      </c>
      <c r="G5969" s="17">
        <f t="shared" si="495"/>
        <v>10</v>
      </c>
      <c r="H5969" s="17">
        <f t="shared" si="496"/>
        <v>2024</v>
      </c>
      <c r="I5969" s="17" t="s">
        <v>4</v>
      </c>
      <c r="J5969" s="17" t="s">
        <v>6650</v>
      </c>
      <c r="K5969" s="17" t="s">
        <v>205</v>
      </c>
      <c r="L5969" s="17" t="s">
        <v>206</v>
      </c>
      <c r="M5969" s="17" t="s">
        <v>119</v>
      </c>
      <c r="N5969" s="17" t="str">
        <f t="shared" si="500"/>
        <v>TON</v>
      </c>
      <c r="O5969" s="25">
        <v>10.01</v>
      </c>
    </row>
    <row r="5970" spans="2:15" x14ac:dyDescent="0.25">
      <c r="B5970" s="16" t="s">
        <v>1520</v>
      </c>
      <c r="C5970" s="17" t="s">
        <v>196</v>
      </c>
      <c r="D5970" s="17" t="s">
        <v>6651</v>
      </c>
      <c r="E5970" s="17" t="s">
        <v>6652</v>
      </c>
      <c r="F5970" s="18">
        <f t="shared" si="502"/>
        <v>45596</v>
      </c>
      <c r="G5970" s="17">
        <f t="shared" ref="G5970:G6033" si="503">+MONTH(F5970)</f>
        <v>10</v>
      </c>
      <c r="H5970" s="17">
        <f t="shared" ref="H5970:H6033" si="504">+YEAR(F5970)</f>
        <v>2024</v>
      </c>
      <c r="I5970" s="17" t="s">
        <v>4</v>
      </c>
      <c r="J5970" s="17" t="s">
        <v>6653</v>
      </c>
      <c r="K5970" s="17" t="s">
        <v>205</v>
      </c>
      <c r="L5970" s="17" t="s">
        <v>206</v>
      </c>
      <c r="M5970" s="17" t="s">
        <v>119</v>
      </c>
      <c r="N5970" s="17" t="str">
        <f t="shared" si="500"/>
        <v>TON</v>
      </c>
      <c r="O5970" s="25">
        <v>5.0149999999999997</v>
      </c>
    </row>
    <row r="5971" spans="2:15" x14ac:dyDescent="0.25">
      <c r="B5971" s="16" t="s">
        <v>1520</v>
      </c>
      <c r="C5971" s="17" t="s">
        <v>196</v>
      </c>
      <c r="D5971" s="17" t="s">
        <v>215</v>
      </c>
      <c r="E5971" s="17" t="s">
        <v>4113</v>
      </c>
      <c r="F5971" s="18">
        <f t="shared" si="502"/>
        <v>45596</v>
      </c>
      <c r="G5971" s="17">
        <f t="shared" si="503"/>
        <v>10</v>
      </c>
      <c r="H5971" s="17">
        <f t="shared" si="504"/>
        <v>2024</v>
      </c>
      <c r="I5971" s="17" t="s">
        <v>4</v>
      </c>
      <c r="J5971" s="17" t="s">
        <v>6654</v>
      </c>
      <c r="K5971" s="17" t="s">
        <v>205</v>
      </c>
      <c r="L5971" s="17" t="s">
        <v>206</v>
      </c>
      <c r="M5971" s="17" t="s">
        <v>119</v>
      </c>
      <c r="N5971" s="17" t="str">
        <f t="shared" si="500"/>
        <v>TON</v>
      </c>
      <c r="O5971" s="25">
        <v>20.02</v>
      </c>
    </row>
    <row r="5972" spans="2:15" x14ac:dyDescent="0.25">
      <c r="B5972" s="16" t="s">
        <v>1520</v>
      </c>
      <c r="C5972" s="17" t="s">
        <v>196</v>
      </c>
      <c r="D5972" s="17" t="s">
        <v>317</v>
      </c>
      <c r="E5972" s="17" t="s">
        <v>366</v>
      </c>
      <c r="F5972" s="18">
        <f t="shared" si="502"/>
        <v>45596</v>
      </c>
      <c r="G5972" s="17">
        <f t="shared" si="503"/>
        <v>10</v>
      </c>
      <c r="H5972" s="17">
        <f t="shared" si="504"/>
        <v>2024</v>
      </c>
      <c r="I5972" s="17" t="s">
        <v>4</v>
      </c>
      <c r="J5972" s="17" t="s">
        <v>6655</v>
      </c>
      <c r="K5972" s="17" t="s">
        <v>422</v>
      </c>
      <c r="L5972" s="17" t="s">
        <v>423</v>
      </c>
      <c r="M5972" s="17" t="s">
        <v>119</v>
      </c>
      <c r="N5972" s="17" t="str">
        <f t="shared" si="500"/>
        <v>TON</v>
      </c>
      <c r="O5972" s="25">
        <v>3.5</v>
      </c>
    </row>
    <row r="5973" spans="2:15" x14ac:dyDescent="0.25">
      <c r="B5973" s="16" t="s">
        <v>1520</v>
      </c>
      <c r="C5973" s="17" t="s">
        <v>196</v>
      </c>
      <c r="D5973" s="17" t="s">
        <v>1343</v>
      </c>
      <c r="E5973" s="17" t="s">
        <v>4151</v>
      </c>
      <c r="F5973" s="18">
        <f t="shared" si="502"/>
        <v>45596</v>
      </c>
      <c r="G5973" s="17">
        <f t="shared" si="503"/>
        <v>10</v>
      </c>
      <c r="H5973" s="17">
        <f t="shared" si="504"/>
        <v>2024</v>
      </c>
      <c r="I5973" s="17" t="s">
        <v>4</v>
      </c>
      <c r="J5973" s="17" t="s">
        <v>6656</v>
      </c>
      <c r="K5973" s="17" t="s">
        <v>422</v>
      </c>
      <c r="L5973" s="17" t="s">
        <v>423</v>
      </c>
      <c r="M5973" s="17" t="s">
        <v>119</v>
      </c>
      <c r="N5973" s="17" t="str">
        <f t="shared" si="500"/>
        <v>TON</v>
      </c>
      <c r="O5973" s="25">
        <v>15.335000000000001</v>
      </c>
    </row>
    <row r="5974" spans="2:15" x14ac:dyDescent="0.25">
      <c r="B5974" s="16" t="s">
        <v>1520</v>
      </c>
      <c r="C5974" s="17" t="s">
        <v>196</v>
      </c>
      <c r="D5974" s="17" t="s">
        <v>1343</v>
      </c>
      <c r="E5974" s="17" t="s">
        <v>4151</v>
      </c>
      <c r="F5974" s="18">
        <f t="shared" si="502"/>
        <v>45596</v>
      </c>
      <c r="G5974" s="17">
        <f t="shared" si="503"/>
        <v>10</v>
      </c>
      <c r="H5974" s="17">
        <f t="shared" si="504"/>
        <v>2024</v>
      </c>
      <c r="I5974" s="17" t="s">
        <v>4</v>
      </c>
      <c r="J5974" s="17" t="s">
        <v>6656</v>
      </c>
      <c r="K5974" s="17" t="s">
        <v>3726</v>
      </c>
      <c r="L5974" s="17" t="s">
        <v>3727</v>
      </c>
      <c r="M5974" s="17" t="s">
        <v>145</v>
      </c>
      <c r="N5974" s="17" t="str">
        <f t="shared" si="500"/>
        <v>GAL</v>
      </c>
      <c r="O5974" s="25">
        <v>5.625</v>
      </c>
    </row>
    <row r="5975" spans="2:15" x14ac:dyDescent="0.25">
      <c r="B5975" s="16" t="s">
        <v>1520</v>
      </c>
      <c r="C5975" s="17" t="s">
        <v>196</v>
      </c>
      <c r="D5975" s="17" t="s">
        <v>232</v>
      </c>
      <c r="E5975" s="17" t="s">
        <v>6657</v>
      </c>
      <c r="F5975" s="18">
        <f t="shared" si="502"/>
        <v>45596</v>
      </c>
      <c r="G5975" s="17">
        <f t="shared" si="503"/>
        <v>10</v>
      </c>
      <c r="H5975" s="17">
        <f t="shared" si="504"/>
        <v>2024</v>
      </c>
      <c r="I5975" s="17" t="s">
        <v>4</v>
      </c>
      <c r="J5975" s="17" t="s">
        <v>6658</v>
      </c>
      <c r="K5975" s="17" t="s">
        <v>205</v>
      </c>
      <c r="L5975" s="17" t="s">
        <v>206</v>
      </c>
      <c r="M5975" s="17" t="s">
        <v>119</v>
      </c>
      <c r="N5975" s="17" t="str">
        <f t="shared" si="500"/>
        <v>TON</v>
      </c>
      <c r="O5975" s="25">
        <v>2.5</v>
      </c>
    </row>
    <row r="5976" spans="2:15" x14ac:dyDescent="0.25">
      <c r="B5976" s="1" t="s">
        <v>1520</v>
      </c>
      <c r="C5976" s="2" t="s">
        <v>196</v>
      </c>
      <c r="D5976" s="2" t="s">
        <v>440</v>
      </c>
      <c r="E5976" s="2" t="s">
        <v>1369</v>
      </c>
      <c r="F5976" s="3">
        <f t="shared" si="502"/>
        <v>45596</v>
      </c>
      <c r="G5976" s="4">
        <f t="shared" si="503"/>
        <v>10</v>
      </c>
      <c r="H5976" s="4">
        <f t="shared" si="504"/>
        <v>2024</v>
      </c>
      <c r="I5976" s="2" t="s">
        <v>4</v>
      </c>
      <c r="J5976" s="2" t="s">
        <v>6659</v>
      </c>
      <c r="K5976" s="2" t="s">
        <v>422</v>
      </c>
      <c r="L5976" s="2" t="s">
        <v>423</v>
      </c>
      <c r="M5976" s="2" t="s">
        <v>119</v>
      </c>
      <c r="N5976" s="4" t="str">
        <f t="shared" si="500"/>
        <v>TON</v>
      </c>
      <c r="O5976" s="5">
        <v>5.0199999999999996</v>
      </c>
    </row>
    <row r="5977" spans="2:15" x14ac:dyDescent="0.25">
      <c r="B5977" s="1" t="s">
        <v>1520</v>
      </c>
      <c r="C5977" s="2" t="s">
        <v>196</v>
      </c>
      <c r="D5977" s="2" t="s">
        <v>440</v>
      </c>
      <c r="E5977" s="2" t="s">
        <v>1369</v>
      </c>
      <c r="F5977" s="3">
        <f t="shared" si="502"/>
        <v>45596</v>
      </c>
      <c r="G5977" s="4">
        <f t="shared" si="503"/>
        <v>10</v>
      </c>
      <c r="H5977" s="4">
        <f t="shared" si="504"/>
        <v>2024</v>
      </c>
      <c r="I5977" s="2" t="s">
        <v>4</v>
      </c>
      <c r="J5977" s="2" t="s">
        <v>6659</v>
      </c>
      <c r="K5977" s="2" t="s">
        <v>422</v>
      </c>
      <c r="L5977" s="2" t="s">
        <v>423</v>
      </c>
      <c r="M5977" s="2" t="s">
        <v>119</v>
      </c>
      <c r="N5977" s="4" t="str">
        <f t="shared" si="500"/>
        <v>TON</v>
      </c>
      <c r="O5977" s="5">
        <v>5.0199999999999996</v>
      </c>
    </row>
    <row r="5978" spans="2:15" x14ac:dyDescent="0.25">
      <c r="B5978" s="1" t="s">
        <v>1520</v>
      </c>
      <c r="C5978" s="2" t="s">
        <v>196</v>
      </c>
      <c r="D5978" s="2" t="s">
        <v>672</v>
      </c>
      <c r="E5978" s="2" t="s">
        <v>1193</v>
      </c>
      <c r="F5978" s="3">
        <f t="shared" si="502"/>
        <v>45596</v>
      </c>
      <c r="G5978" s="4">
        <f t="shared" si="503"/>
        <v>10</v>
      </c>
      <c r="H5978" s="4">
        <f t="shared" si="504"/>
        <v>2024</v>
      </c>
      <c r="I5978" s="2" t="s">
        <v>4</v>
      </c>
      <c r="J5978" s="2" t="s">
        <v>6660</v>
      </c>
      <c r="K5978" s="2" t="s">
        <v>251</v>
      </c>
      <c r="L5978" s="2" t="s">
        <v>252</v>
      </c>
      <c r="M5978" s="2" t="s">
        <v>119</v>
      </c>
      <c r="N5978" s="4" t="str">
        <f t="shared" si="500"/>
        <v>TON</v>
      </c>
      <c r="O5978" s="5">
        <v>4.53</v>
      </c>
    </row>
    <row r="5979" spans="2:15" x14ac:dyDescent="0.25">
      <c r="B5979" s="1" t="s">
        <v>1520</v>
      </c>
      <c r="C5979" s="2" t="s">
        <v>196</v>
      </c>
      <c r="D5979" s="2" t="s">
        <v>270</v>
      </c>
      <c r="E5979" s="2" t="s">
        <v>400</v>
      </c>
      <c r="F5979" s="3">
        <f t="shared" si="502"/>
        <v>45596</v>
      </c>
      <c r="G5979" s="4">
        <f t="shared" si="503"/>
        <v>10</v>
      </c>
      <c r="H5979" s="4">
        <f t="shared" si="504"/>
        <v>2024</v>
      </c>
      <c r="I5979" s="2" t="s">
        <v>4</v>
      </c>
      <c r="J5979" s="2" t="s">
        <v>6661</v>
      </c>
      <c r="K5979" s="2" t="s">
        <v>205</v>
      </c>
      <c r="L5979" s="2" t="s">
        <v>206</v>
      </c>
      <c r="M5979" s="2" t="s">
        <v>119</v>
      </c>
      <c r="N5979" s="4" t="str">
        <f t="shared" si="500"/>
        <v>TON</v>
      </c>
      <c r="O5979" s="5">
        <v>3.25</v>
      </c>
    </row>
    <row r="5980" spans="2:15" x14ac:dyDescent="0.25">
      <c r="B5980" s="1" t="s">
        <v>382</v>
      </c>
      <c r="C5980" s="2" t="s">
        <v>506</v>
      </c>
      <c r="D5980" s="2" t="s">
        <v>515</v>
      </c>
      <c r="E5980" s="2" t="s">
        <v>516</v>
      </c>
      <c r="F5980" s="3">
        <f>DATE(2024,10,18)</f>
        <v>45583</v>
      </c>
      <c r="G5980" s="4">
        <f t="shared" si="503"/>
        <v>10</v>
      </c>
      <c r="H5980" s="4">
        <f t="shared" si="504"/>
        <v>2024</v>
      </c>
      <c r="I5980" s="2" t="s">
        <v>4</v>
      </c>
      <c r="J5980" s="2" t="s">
        <v>6662</v>
      </c>
      <c r="K5980" s="2" t="s">
        <v>2120</v>
      </c>
      <c r="L5980" s="2" t="s">
        <v>2121</v>
      </c>
      <c r="M5980" s="2" t="s">
        <v>85</v>
      </c>
      <c r="N5980" s="4" t="str">
        <f t="shared" si="500"/>
        <v>GAL</v>
      </c>
      <c r="O5980" s="5">
        <v>60</v>
      </c>
    </row>
    <row r="5981" spans="2:15" x14ac:dyDescent="0.25">
      <c r="B5981" s="1" t="s">
        <v>382</v>
      </c>
      <c r="C5981" s="2" t="s">
        <v>506</v>
      </c>
      <c r="D5981" s="2" t="s">
        <v>1006</v>
      </c>
      <c r="E5981" s="2" t="s">
        <v>1007</v>
      </c>
      <c r="F5981" s="3">
        <f>DATE(2024,10,18)</f>
        <v>45583</v>
      </c>
      <c r="G5981" s="4">
        <f t="shared" si="503"/>
        <v>10</v>
      </c>
      <c r="H5981" s="4">
        <f t="shared" si="504"/>
        <v>2024</v>
      </c>
      <c r="I5981" s="2" t="s">
        <v>4</v>
      </c>
      <c r="J5981" s="2" t="s">
        <v>6663</v>
      </c>
      <c r="K5981" s="2" t="s">
        <v>642</v>
      </c>
      <c r="L5981" s="2" t="s">
        <v>111</v>
      </c>
      <c r="M5981" s="2" t="s">
        <v>112</v>
      </c>
      <c r="N5981" s="4" t="str">
        <f t="shared" si="500"/>
        <v>GAL</v>
      </c>
      <c r="O5981" s="5">
        <v>180</v>
      </c>
    </row>
    <row r="5982" spans="2:15" x14ac:dyDescent="0.25">
      <c r="B5982" s="1" t="s">
        <v>645</v>
      </c>
      <c r="C5982" s="2" t="s">
        <v>1025</v>
      </c>
      <c r="D5982" s="2" t="s">
        <v>1401</v>
      </c>
      <c r="E5982" s="2" t="s">
        <v>1402</v>
      </c>
      <c r="F5982" s="3">
        <f>DATE(2024,10,3)</f>
        <v>45568</v>
      </c>
      <c r="G5982" s="4">
        <f t="shared" si="503"/>
        <v>10</v>
      </c>
      <c r="H5982" s="4">
        <f t="shared" si="504"/>
        <v>2024</v>
      </c>
      <c r="I5982" s="2" t="s">
        <v>4</v>
      </c>
      <c r="J5982" s="2" t="s">
        <v>6664</v>
      </c>
      <c r="K5982" s="2" t="s">
        <v>1404</v>
      </c>
      <c r="L5982" s="2" t="s">
        <v>1405</v>
      </c>
      <c r="M5982" s="2" t="s">
        <v>1397</v>
      </c>
      <c r="N5982" s="4" t="str">
        <f t="shared" si="500"/>
        <v>GAL</v>
      </c>
      <c r="O5982" s="5">
        <v>480</v>
      </c>
    </row>
    <row r="5983" spans="2:15" x14ac:dyDescent="0.25">
      <c r="B5983" s="1" t="s">
        <v>1742</v>
      </c>
      <c r="C5983" s="2" t="s">
        <v>1025</v>
      </c>
      <c r="D5983" s="2" t="s">
        <v>496</v>
      </c>
      <c r="E5983" s="2" t="s">
        <v>497</v>
      </c>
      <c r="F5983" s="3">
        <f>DATE(2024,10,24)</f>
        <v>45589</v>
      </c>
      <c r="G5983" s="4">
        <f t="shared" si="503"/>
        <v>10</v>
      </c>
      <c r="H5983" s="4">
        <f t="shared" si="504"/>
        <v>2024</v>
      </c>
      <c r="I5983" s="2" t="s">
        <v>4</v>
      </c>
      <c r="J5983" s="2" t="s">
        <v>6665</v>
      </c>
      <c r="K5983" s="2" t="s">
        <v>499</v>
      </c>
      <c r="L5983" s="2" t="s">
        <v>500</v>
      </c>
      <c r="M5983" s="2" t="s">
        <v>119</v>
      </c>
      <c r="N5983" s="4" t="str">
        <f t="shared" si="500"/>
        <v>TON</v>
      </c>
      <c r="O5983" s="5">
        <v>2.5125000000000002</v>
      </c>
    </row>
    <row r="5984" spans="2:15" x14ac:dyDescent="0.25">
      <c r="B5984" s="1" t="s">
        <v>645</v>
      </c>
      <c r="C5984" s="2" t="s">
        <v>1025</v>
      </c>
      <c r="D5984" s="2" t="s">
        <v>2079</v>
      </c>
      <c r="E5984" s="2" t="s">
        <v>1402</v>
      </c>
      <c r="F5984" s="3">
        <f>DATE(2024,10,24)</f>
        <v>45589</v>
      </c>
      <c r="G5984" s="4">
        <f t="shared" si="503"/>
        <v>10</v>
      </c>
      <c r="H5984" s="4">
        <f t="shared" si="504"/>
        <v>2024</v>
      </c>
      <c r="I5984" s="2" t="s">
        <v>4</v>
      </c>
      <c r="J5984" s="2" t="s">
        <v>6666</v>
      </c>
      <c r="K5984" s="2" t="s">
        <v>1404</v>
      </c>
      <c r="L5984" s="2" t="s">
        <v>1405</v>
      </c>
      <c r="M5984" s="2" t="s">
        <v>1397</v>
      </c>
      <c r="N5984" s="4" t="str">
        <f t="shared" si="500"/>
        <v>GAL</v>
      </c>
      <c r="O5984" s="5">
        <v>240</v>
      </c>
    </row>
    <row r="5985" spans="2:15" x14ac:dyDescent="0.25">
      <c r="B5985" s="1" t="s">
        <v>1410</v>
      </c>
      <c r="C5985" s="2" t="s">
        <v>525</v>
      </c>
      <c r="D5985" s="2" t="s">
        <v>124</v>
      </c>
      <c r="E5985" s="2" t="s">
        <v>526</v>
      </c>
      <c r="F5985" s="3">
        <f>DATE(2024,10,1)</f>
        <v>45566</v>
      </c>
      <c r="G5985" s="4">
        <f t="shared" si="503"/>
        <v>10</v>
      </c>
      <c r="H5985" s="4">
        <f t="shared" si="504"/>
        <v>2024</v>
      </c>
      <c r="I5985" s="2" t="s">
        <v>4</v>
      </c>
      <c r="J5985" s="2" t="s">
        <v>6667</v>
      </c>
      <c r="K5985" s="2" t="s">
        <v>4788</v>
      </c>
      <c r="L5985" s="2" t="s">
        <v>4789</v>
      </c>
      <c r="M5985" s="2" t="s">
        <v>119</v>
      </c>
      <c r="N5985" s="4" t="str">
        <f t="shared" si="500"/>
        <v>TON</v>
      </c>
      <c r="O5985" s="5">
        <v>10</v>
      </c>
    </row>
    <row r="5986" spans="2:15" x14ac:dyDescent="0.25">
      <c r="B5986" s="1" t="s">
        <v>1410</v>
      </c>
      <c r="C5986" s="2" t="s">
        <v>525</v>
      </c>
      <c r="D5986" s="2" t="s">
        <v>507</v>
      </c>
      <c r="E5986" s="2" t="s">
        <v>508</v>
      </c>
      <c r="F5986" s="3">
        <f>DATE(2024,10,2)</f>
        <v>45567</v>
      </c>
      <c r="G5986" s="4">
        <f t="shared" si="503"/>
        <v>10</v>
      </c>
      <c r="H5986" s="4">
        <f t="shared" si="504"/>
        <v>2024</v>
      </c>
      <c r="I5986" s="2" t="s">
        <v>4</v>
      </c>
      <c r="J5986" s="2" t="s">
        <v>6668</v>
      </c>
      <c r="K5986" s="2" t="s">
        <v>329</v>
      </c>
      <c r="L5986" s="2" t="s">
        <v>330</v>
      </c>
      <c r="M5986" s="2" t="s">
        <v>119</v>
      </c>
      <c r="N5986" s="4" t="str">
        <f t="shared" si="500"/>
        <v>TON</v>
      </c>
      <c r="O5986" s="5">
        <v>7.4749999999999996</v>
      </c>
    </row>
    <row r="5987" spans="2:15" x14ac:dyDescent="0.25">
      <c r="B5987" s="1" t="s">
        <v>1410</v>
      </c>
      <c r="C5987" s="2" t="s">
        <v>525</v>
      </c>
      <c r="D5987" s="2" t="s">
        <v>507</v>
      </c>
      <c r="E5987" s="2" t="s">
        <v>508</v>
      </c>
      <c r="F5987" s="3">
        <f>DATE(2024,10,2)</f>
        <v>45567</v>
      </c>
      <c r="G5987" s="4">
        <f t="shared" si="503"/>
        <v>10</v>
      </c>
      <c r="H5987" s="4">
        <f t="shared" si="504"/>
        <v>2024</v>
      </c>
      <c r="I5987" s="2" t="s">
        <v>4</v>
      </c>
      <c r="J5987" s="2" t="s">
        <v>6669</v>
      </c>
      <c r="K5987" s="2" t="s">
        <v>4226</v>
      </c>
      <c r="L5987" s="2" t="s">
        <v>4227</v>
      </c>
      <c r="M5987" s="2" t="s">
        <v>24</v>
      </c>
      <c r="N5987" s="4" t="str">
        <f t="shared" si="500"/>
        <v>GAL</v>
      </c>
      <c r="O5987" s="5">
        <v>180</v>
      </c>
    </row>
    <row r="5988" spans="2:15" x14ac:dyDescent="0.25">
      <c r="B5988" s="1" t="s">
        <v>1410</v>
      </c>
      <c r="C5988" s="2" t="s">
        <v>525</v>
      </c>
      <c r="D5988" s="2" t="s">
        <v>507</v>
      </c>
      <c r="E5988" s="2" t="s">
        <v>508</v>
      </c>
      <c r="F5988" s="3">
        <f>DATE(2024,10,17)</f>
        <v>45582</v>
      </c>
      <c r="G5988" s="4">
        <f t="shared" si="503"/>
        <v>10</v>
      </c>
      <c r="H5988" s="4">
        <f t="shared" si="504"/>
        <v>2024</v>
      </c>
      <c r="I5988" s="2" t="s">
        <v>4</v>
      </c>
      <c r="J5988" s="2" t="s">
        <v>6670</v>
      </c>
      <c r="K5988" s="2" t="s">
        <v>513</v>
      </c>
      <c r="L5988" s="2" t="s">
        <v>514</v>
      </c>
      <c r="M5988" s="2" t="s">
        <v>119</v>
      </c>
      <c r="N5988" s="4" t="str">
        <f t="shared" si="500"/>
        <v>TON</v>
      </c>
      <c r="O5988" s="5">
        <v>2.5</v>
      </c>
    </row>
    <row r="5989" spans="2:15" x14ac:dyDescent="0.25">
      <c r="B5989" s="1" t="s">
        <v>1410</v>
      </c>
      <c r="C5989" s="2" t="s">
        <v>525</v>
      </c>
      <c r="D5989" s="2" t="s">
        <v>124</v>
      </c>
      <c r="E5989" s="2" t="s">
        <v>526</v>
      </c>
      <c r="F5989" s="3">
        <f>DATE(2024,10,18)</f>
        <v>45583</v>
      </c>
      <c r="G5989" s="4">
        <f t="shared" si="503"/>
        <v>10</v>
      </c>
      <c r="H5989" s="4">
        <f t="shared" si="504"/>
        <v>2024</v>
      </c>
      <c r="I5989" s="2" t="s">
        <v>4</v>
      </c>
      <c r="J5989" s="2" t="s">
        <v>6671</v>
      </c>
      <c r="K5989" s="2" t="s">
        <v>2113</v>
      </c>
      <c r="L5989" s="2" t="s">
        <v>2114</v>
      </c>
      <c r="M5989" s="2" t="s">
        <v>119</v>
      </c>
      <c r="N5989" s="4" t="str">
        <f t="shared" si="500"/>
        <v>TON</v>
      </c>
      <c r="O5989" s="5">
        <v>12.005000000000001</v>
      </c>
    </row>
    <row r="5990" spans="2:15" x14ac:dyDescent="0.25">
      <c r="B5990" s="1" t="s">
        <v>1410</v>
      </c>
      <c r="C5990" s="2" t="s">
        <v>525</v>
      </c>
      <c r="D5990" s="2" t="s">
        <v>124</v>
      </c>
      <c r="E5990" s="2" t="s">
        <v>526</v>
      </c>
      <c r="F5990" s="3">
        <f>DATE(2024,10,25)</f>
        <v>45590</v>
      </c>
      <c r="G5990" s="4">
        <f t="shared" si="503"/>
        <v>10</v>
      </c>
      <c r="H5990" s="4">
        <f t="shared" si="504"/>
        <v>2024</v>
      </c>
      <c r="I5990" s="2" t="s">
        <v>4</v>
      </c>
      <c r="J5990" s="2" t="s">
        <v>6672</v>
      </c>
      <c r="K5990" s="2" t="s">
        <v>6673</v>
      </c>
      <c r="L5990" s="2" t="s">
        <v>6674</v>
      </c>
      <c r="M5990" s="2" t="s">
        <v>119</v>
      </c>
      <c r="N5990" s="4" t="str">
        <f t="shared" si="500"/>
        <v>TON</v>
      </c>
      <c r="O5990" s="5">
        <v>5</v>
      </c>
    </row>
    <row r="5991" spans="2:15" x14ac:dyDescent="0.25">
      <c r="B5991" s="1" t="s">
        <v>1410</v>
      </c>
      <c r="C5991" s="2" t="s">
        <v>525</v>
      </c>
      <c r="D5991" s="2" t="s">
        <v>507</v>
      </c>
      <c r="E5991" s="2" t="s">
        <v>508</v>
      </c>
      <c r="F5991" s="3">
        <f>DATE(2024,10,29)</f>
        <v>45594</v>
      </c>
      <c r="G5991" s="4">
        <f t="shared" si="503"/>
        <v>10</v>
      </c>
      <c r="H5991" s="4">
        <f t="shared" si="504"/>
        <v>2024</v>
      </c>
      <c r="I5991" s="2" t="s">
        <v>4</v>
      </c>
      <c r="J5991" s="2" t="s">
        <v>6675</v>
      </c>
      <c r="K5991" s="2" t="s">
        <v>329</v>
      </c>
      <c r="L5991" s="2" t="s">
        <v>330</v>
      </c>
      <c r="M5991" s="2" t="s">
        <v>119</v>
      </c>
      <c r="N5991" s="4" t="str">
        <f t="shared" si="500"/>
        <v>TON</v>
      </c>
      <c r="O5991" s="5">
        <v>5</v>
      </c>
    </row>
    <row r="5992" spans="2:15" x14ac:dyDescent="0.25">
      <c r="B5992" s="1" t="s">
        <v>1410</v>
      </c>
      <c r="C5992" s="2" t="s">
        <v>525</v>
      </c>
      <c r="D5992" s="2" t="s">
        <v>124</v>
      </c>
      <c r="E5992" s="2" t="s">
        <v>526</v>
      </c>
      <c r="F5992" s="3">
        <f>DATE(2024,10,29)</f>
        <v>45594</v>
      </c>
      <c r="G5992" s="4">
        <f t="shared" si="503"/>
        <v>10</v>
      </c>
      <c r="H5992" s="4">
        <f t="shared" si="504"/>
        <v>2024</v>
      </c>
      <c r="I5992" s="2" t="s">
        <v>4</v>
      </c>
      <c r="J5992" s="2" t="s">
        <v>6676</v>
      </c>
      <c r="K5992" s="2" t="s">
        <v>6677</v>
      </c>
      <c r="L5992" s="2" t="s">
        <v>6678</v>
      </c>
      <c r="M5992" s="2" t="s">
        <v>119</v>
      </c>
      <c r="N5992" s="4" t="str">
        <f t="shared" si="500"/>
        <v>TON</v>
      </c>
      <c r="O5992" s="5">
        <v>11.99</v>
      </c>
    </row>
    <row r="5993" spans="2:15" x14ac:dyDescent="0.25">
      <c r="B5993" s="1" t="s">
        <v>1410</v>
      </c>
      <c r="C5993" s="2" t="s">
        <v>525</v>
      </c>
      <c r="D5993" s="2" t="s">
        <v>124</v>
      </c>
      <c r="E5993" s="2" t="s">
        <v>526</v>
      </c>
      <c r="F5993" s="3">
        <f t="shared" ref="F5993:F5999" si="505">DATE(2024,10,31)</f>
        <v>45596</v>
      </c>
      <c r="G5993" s="4">
        <f t="shared" si="503"/>
        <v>10</v>
      </c>
      <c r="H5993" s="4">
        <f t="shared" si="504"/>
        <v>2024</v>
      </c>
      <c r="I5993" s="2" t="s">
        <v>4</v>
      </c>
      <c r="J5993" s="2" t="s">
        <v>6679</v>
      </c>
      <c r="K5993" s="2" t="s">
        <v>6677</v>
      </c>
      <c r="L5993" s="2" t="s">
        <v>6678</v>
      </c>
      <c r="M5993" s="2" t="s">
        <v>119</v>
      </c>
      <c r="N5993" s="4" t="str">
        <f t="shared" si="500"/>
        <v>TON</v>
      </c>
      <c r="O5993" s="5">
        <v>11.99</v>
      </c>
    </row>
    <row r="5994" spans="2:15" x14ac:dyDescent="0.25">
      <c r="B5994" s="1" t="s">
        <v>1410</v>
      </c>
      <c r="C5994" s="2" t="s">
        <v>525</v>
      </c>
      <c r="D5994" s="2" t="s">
        <v>646</v>
      </c>
      <c r="E5994" s="2" t="s">
        <v>647</v>
      </c>
      <c r="F5994" s="3">
        <f t="shared" si="505"/>
        <v>45596</v>
      </c>
      <c r="G5994" s="4">
        <f t="shared" si="503"/>
        <v>10</v>
      </c>
      <c r="H5994" s="4">
        <f t="shared" si="504"/>
        <v>2024</v>
      </c>
      <c r="I5994" s="2" t="s">
        <v>4</v>
      </c>
      <c r="J5994" s="2" t="s">
        <v>6680</v>
      </c>
      <c r="K5994" s="2" t="s">
        <v>649</v>
      </c>
      <c r="L5994" s="2" t="s">
        <v>538</v>
      </c>
      <c r="M5994" s="2" t="s">
        <v>4243</v>
      </c>
      <c r="N5994" s="4" t="str">
        <f t="shared" si="500"/>
        <v>GAL</v>
      </c>
      <c r="O5994" s="5">
        <v>3000</v>
      </c>
    </row>
    <row r="5995" spans="2:15" x14ac:dyDescent="0.25">
      <c r="B5995" s="1" t="s">
        <v>1410</v>
      </c>
      <c r="C5995" s="2" t="s">
        <v>525</v>
      </c>
      <c r="D5995" s="2" t="s">
        <v>628</v>
      </c>
      <c r="E5995" s="2" t="s">
        <v>1036</v>
      </c>
      <c r="F5995" s="3">
        <f t="shared" si="505"/>
        <v>45596</v>
      </c>
      <c r="G5995" s="4">
        <f t="shared" si="503"/>
        <v>10</v>
      </c>
      <c r="H5995" s="4">
        <f t="shared" si="504"/>
        <v>2024</v>
      </c>
      <c r="I5995" s="2" t="s">
        <v>4</v>
      </c>
      <c r="J5995" s="2" t="s">
        <v>6681</v>
      </c>
      <c r="K5995" s="2" t="s">
        <v>25</v>
      </c>
      <c r="L5995" s="2" t="s">
        <v>541</v>
      </c>
      <c r="M5995" s="2" t="s">
        <v>27</v>
      </c>
      <c r="N5995" s="4" t="str">
        <f t="shared" si="500"/>
        <v>GAL</v>
      </c>
      <c r="O5995" s="5">
        <v>360</v>
      </c>
    </row>
    <row r="5996" spans="2:15" x14ac:dyDescent="0.25">
      <c r="B5996" s="1" t="s">
        <v>1410</v>
      </c>
      <c r="C5996" s="2" t="s">
        <v>525</v>
      </c>
      <c r="D5996" s="2" t="s">
        <v>628</v>
      </c>
      <c r="E5996" s="2" t="s">
        <v>1036</v>
      </c>
      <c r="F5996" s="3">
        <f t="shared" si="505"/>
        <v>45596</v>
      </c>
      <c r="G5996" s="4">
        <f t="shared" si="503"/>
        <v>10</v>
      </c>
      <c r="H5996" s="4">
        <f t="shared" si="504"/>
        <v>2024</v>
      </c>
      <c r="I5996" s="2" t="s">
        <v>4</v>
      </c>
      <c r="J5996" s="2" t="s">
        <v>6681</v>
      </c>
      <c r="K5996" s="2" t="s">
        <v>609</v>
      </c>
      <c r="L5996" s="2" t="s">
        <v>610</v>
      </c>
      <c r="M5996" s="2" t="s">
        <v>611</v>
      </c>
      <c r="N5996" s="4" t="str">
        <f t="shared" si="500"/>
        <v>GAL</v>
      </c>
      <c r="O5996" s="5">
        <v>180</v>
      </c>
    </row>
    <row r="5997" spans="2:15" x14ac:dyDescent="0.25">
      <c r="B5997" s="1" t="s">
        <v>1410</v>
      </c>
      <c r="C5997" s="2" t="s">
        <v>525</v>
      </c>
      <c r="D5997" s="2" t="s">
        <v>628</v>
      </c>
      <c r="E5997" s="2" t="s">
        <v>1036</v>
      </c>
      <c r="F5997" s="3">
        <f t="shared" si="505"/>
        <v>45596</v>
      </c>
      <c r="G5997" s="4">
        <f t="shared" si="503"/>
        <v>10</v>
      </c>
      <c r="H5997" s="4">
        <f t="shared" si="504"/>
        <v>2024</v>
      </c>
      <c r="I5997" s="2" t="s">
        <v>4</v>
      </c>
      <c r="J5997" s="2" t="s">
        <v>6681</v>
      </c>
      <c r="K5997" s="2" t="s">
        <v>158</v>
      </c>
      <c r="L5997" s="2" t="s">
        <v>159</v>
      </c>
      <c r="M5997" s="2" t="s">
        <v>160</v>
      </c>
      <c r="N5997" s="4" t="str">
        <f t="shared" si="500"/>
        <v>GAL</v>
      </c>
      <c r="O5997" s="5">
        <v>180</v>
      </c>
    </row>
    <row r="5998" spans="2:15" x14ac:dyDescent="0.25">
      <c r="B5998" s="1" t="s">
        <v>1410</v>
      </c>
      <c r="C5998" s="2" t="s">
        <v>525</v>
      </c>
      <c r="D5998" s="2" t="s">
        <v>628</v>
      </c>
      <c r="E5998" s="2" t="s">
        <v>1036</v>
      </c>
      <c r="F5998" s="3">
        <f t="shared" si="505"/>
        <v>45596</v>
      </c>
      <c r="G5998" s="4">
        <f t="shared" si="503"/>
        <v>10</v>
      </c>
      <c r="H5998" s="4">
        <f t="shared" si="504"/>
        <v>2024</v>
      </c>
      <c r="I5998" s="2" t="s">
        <v>4</v>
      </c>
      <c r="J5998" s="2" t="s">
        <v>6681</v>
      </c>
      <c r="K5998" s="2" t="s">
        <v>189</v>
      </c>
      <c r="L5998" s="2" t="s">
        <v>190</v>
      </c>
      <c r="M5998" s="2" t="s">
        <v>191</v>
      </c>
      <c r="N5998" s="4" t="str">
        <f t="shared" si="500"/>
        <v>GAL</v>
      </c>
      <c r="O5998" s="5">
        <v>180</v>
      </c>
    </row>
    <row r="5999" spans="2:15" x14ac:dyDescent="0.25">
      <c r="B5999" s="1" t="s">
        <v>1410</v>
      </c>
      <c r="C5999" s="2" t="s">
        <v>525</v>
      </c>
      <c r="D5999" s="2" t="s">
        <v>628</v>
      </c>
      <c r="E5999" s="2" t="s">
        <v>1036</v>
      </c>
      <c r="F5999" s="3">
        <f t="shared" si="505"/>
        <v>45596</v>
      </c>
      <c r="G5999" s="4">
        <f t="shared" si="503"/>
        <v>10</v>
      </c>
      <c r="H5999" s="4">
        <f t="shared" si="504"/>
        <v>2024</v>
      </c>
      <c r="I5999" s="2" t="s">
        <v>4</v>
      </c>
      <c r="J5999" s="2" t="s">
        <v>6681</v>
      </c>
      <c r="K5999" s="2" t="s">
        <v>531</v>
      </c>
      <c r="L5999" s="2" t="s">
        <v>201</v>
      </c>
      <c r="M5999" s="2" t="s">
        <v>202</v>
      </c>
      <c r="N5999" s="4" t="str">
        <f t="shared" si="500"/>
        <v>GAL</v>
      </c>
      <c r="O5999" s="5">
        <v>300</v>
      </c>
    </row>
    <row r="6000" spans="2:15" x14ac:dyDescent="0.25">
      <c r="B6000" s="1" t="s">
        <v>645</v>
      </c>
      <c r="C6000" s="2" t="s">
        <v>533</v>
      </c>
      <c r="D6000" s="2" t="s">
        <v>534</v>
      </c>
      <c r="E6000" s="2" t="s">
        <v>535</v>
      </c>
      <c r="F6000" s="3">
        <f>DATE(2024,10,2)</f>
        <v>45567</v>
      </c>
      <c r="G6000" s="4">
        <f t="shared" si="503"/>
        <v>10</v>
      </c>
      <c r="H6000" s="4">
        <f t="shared" si="504"/>
        <v>2024</v>
      </c>
      <c r="I6000" s="2" t="s">
        <v>4</v>
      </c>
      <c r="J6000" s="2" t="s">
        <v>6682</v>
      </c>
      <c r="K6000" s="2" t="s">
        <v>544</v>
      </c>
      <c r="L6000" s="2" t="s">
        <v>545</v>
      </c>
      <c r="M6000" s="2" t="s">
        <v>67</v>
      </c>
      <c r="N6000" s="4" t="str">
        <f t="shared" si="500"/>
        <v>GAL</v>
      </c>
      <c r="O6000" s="5">
        <v>55</v>
      </c>
    </row>
    <row r="6001" spans="2:15" x14ac:dyDescent="0.25">
      <c r="B6001" s="1" t="s">
        <v>645</v>
      </c>
      <c r="C6001" s="2" t="s">
        <v>533</v>
      </c>
      <c r="D6001" s="2" t="s">
        <v>534</v>
      </c>
      <c r="E6001" s="2" t="s">
        <v>535</v>
      </c>
      <c r="F6001" s="3">
        <f>DATE(2024,10,2)</f>
        <v>45567</v>
      </c>
      <c r="G6001" s="4">
        <f t="shared" si="503"/>
        <v>10</v>
      </c>
      <c r="H6001" s="4">
        <f t="shared" si="504"/>
        <v>2024</v>
      </c>
      <c r="I6001" s="2" t="s">
        <v>4</v>
      </c>
      <c r="J6001" s="2" t="s">
        <v>6682</v>
      </c>
      <c r="K6001" s="2" t="s">
        <v>546</v>
      </c>
      <c r="L6001" s="2" t="s">
        <v>547</v>
      </c>
      <c r="M6001" s="2" t="s">
        <v>160</v>
      </c>
      <c r="N6001" s="4" t="str">
        <f t="shared" si="500"/>
        <v>GAL</v>
      </c>
      <c r="O6001" s="5">
        <v>55</v>
      </c>
    </row>
    <row r="6002" spans="2:15" x14ac:dyDescent="0.25">
      <c r="B6002" s="1" t="s">
        <v>1050</v>
      </c>
      <c r="C6002" s="2" t="s">
        <v>533</v>
      </c>
      <c r="D6002" s="2" t="s">
        <v>562</v>
      </c>
      <c r="E6002" s="2" t="s">
        <v>1051</v>
      </c>
      <c r="F6002" s="3">
        <f>DATE(2024,10,7)</f>
        <v>45572</v>
      </c>
      <c r="G6002" s="4">
        <f t="shared" si="503"/>
        <v>10</v>
      </c>
      <c r="H6002" s="4">
        <f t="shared" si="504"/>
        <v>2024</v>
      </c>
      <c r="I6002" s="2" t="s">
        <v>4</v>
      </c>
      <c r="J6002" s="2" t="s">
        <v>6683</v>
      </c>
      <c r="K6002" s="2" t="s">
        <v>822</v>
      </c>
      <c r="L6002" s="2" t="s">
        <v>565</v>
      </c>
      <c r="M6002" s="2" t="s">
        <v>21</v>
      </c>
      <c r="N6002" s="4" t="str">
        <f t="shared" si="500"/>
        <v>GAL</v>
      </c>
      <c r="O6002" s="5">
        <v>1650</v>
      </c>
    </row>
    <row r="6003" spans="2:15" x14ac:dyDescent="0.25">
      <c r="B6003" s="1" t="s">
        <v>1050</v>
      </c>
      <c r="C6003" s="2" t="s">
        <v>533</v>
      </c>
      <c r="D6003" s="2" t="s">
        <v>2133</v>
      </c>
      <c r="E6003" s="2" t="s">
        <v>2134</v>
      </c>
      <c r="F6003" s="3">
        <f>DATE(2024,10,16)</f>
        <v>45581</v>
      </c>
      <c r="G6003" s="4">
        <f t="shared" si="503"/>
        <v>10</v>
      </c>
      <c r="H6003" s="4">
        <f t="shared" si="504"/>
        <v>2024</v>
      </c>
      <c r="I6003" s="2" t="s">
        <v>4</v>
      </c>
      <c r="J6003" s="2" t="s">
        <v>6684</v>
      </c>
      <c r="K6003" s="2" t="s">
        <v>83</v>
      </c>
      <c r="L6003" s="2" t="s">
        <v>518</v>
      </c>
      <c r="M6003" s="2" t="s">
        <v>85</v>
      </c>
      <c r="N6003" s="4" t="str">
        <f t="shared" si="500"/>
        <v>GAL</v>
      </c>
      <c r="O6003" s="5">
        <v>300</v>
      </c>
    </row>
    <row r="6004" spans="2:15" x14ac:dyDescent="0.25">
      <c r="B6004" s="1" t="s">
        <v>1050</v>
      </c>
      <c r="C6004" s="2" t="s">
        <v>533</v>
      </c>
      <c r="D6004" s="2" t="s">
        <v>2133</v>
      </c>
      <c r="E6004" s="2" t="s">
        <v>2134</v>
      </c>
      <c r="F6004" s="3">
        <f>DATE(2024,10,17)</f>
        <v>45582</v>
      </c>
      <c r="G6004" s="4">
        <f t="shared" si="503"/>
        <v>10</v>
      </c>
      <c r="H6004" s="4">
        <f t="shared" si="504"/>
        <v>2024</v>
      </c>
      <c r="I6004" s="2" t="s">
        <v>4</v>
      </c>
      <c r="J6004" s="2" t="s">
        <v>6685</v>
      </c>
      <c r="K6004" s="2" t="s">
        <v>83</v>
      </c>
      <c r="L6004" s="2" t="s">
        <v>518</v>
      </c>
      <c r="M6004" s="2" t="s">
        <v>85</v>
      </c>
      <c r="N6004" s="4" t="str">
        <f t="shared" si="500"/>
        <v>GAL</v>
      </c>
      <c r="O6004" s="5">
        <v>240</v>
      </c>
    </row>
    <row r="6005" spans="2:15" x14ac:dyDescent="0.25">
      <c r="B6005" s="1" t="s">
        <v>3238</v>
      </c>
      <c r="C6005" s="2" t="s">
        <v>3239</v>
      </c>
      <c r="D6005" s="2" t="s">
        <v>3240</v>
      </c>
      <c r="E6005" s="2" t="s">
        <v>102</v>
      </c>
      <c r="F6005" s="3">
        <f>DATE(2024,10,3)</f>
        <v>45568</v>
      </c>
      <c r="G6005" s="4">
        <f t="shared" si="503"/>
        <v>10</v>
      </c>
      <c r="H6005" s="4">
        <f t="shared" si="504"/>
        <v>2024</v>
      </c>
      <c r="I6005" s="2" t="s">
        <v>4</v>
      </c>
      <c r="J6005" s="2" t="s">
        <v>6686</v>
      </c>
      <c r="K6005" s="2" t="s">
        <v>5469</v>
      </c>
      <c r="L6005" s="2" t="s">
        <v>5470</v>
      </c>
      <c r="M6005" s="2" t="s">
        <v>1046</v>
      </c>
      <c r="N6005" s="4" t="str">
        <f t="shared" si="500"/>
        <v>GAL</v>
      </c>
      <c r="O6005" s="5">
        <v>90</v>
      </c>
    </row>
    <row r="6006" spans="2:15" x14ac:dyDescent="0.25">
      <c r="B6006" s="1" t="s">
        <v>3238</v>
      </c>
      <c r="C6006" s="2" t="s">
        <v>3239</v>
      </c>
      <c r="D6006" s="2" t="s">
        <v>3240</v>
      </c>
      <c r="E6006" s="2" t="s">
        <v>102</v>
      </c>
      <c r="F6006" s="3">
        <f>DATE(2024,10,3)</f>
        <v>45568</v>
      </c>
      <c r="G6006" s="4">
        <f t="shared" si="503"/>
        <v>10</v>
      </c>
      <c r="H6006" s="4">
        <f t="shared" si="504"/>
        <v>2024</v>
      </c>
      <c r="I6006" s="2" t="s">
        <v>4</v>
      </c>
      <c r="J6006" s="2" t="s">
        <v>6686</v>
      </c>
      <c r="K6006" s="2" t="s">
        <v>2530</v>
      </c>
      <c r="L6006" s="2" t="s">
        <v>3503</v>
      </c>
      <c r="M6006" s="2" t="s">
        <v>2532</v>
      </c>
      <c r="N6006" s="4" t="str">
        <f t="shared" si="500"/>
        <v>GAL</v>
      </c>
      <c r="O6006" s="5">
        <v>90</v>
      </c>
    </row>
    <row r="6007" spans="2:15" x14ac:dyDescent="0.25">
      <c r="B6007" s="1" t="s">
        <v>3238</v>
      </c>
      <c r="C6007" s="2" t="s">
        <v>3239</v>
      </c>
      <c r="D6007" s="2" t="s">
        <v>6120</v>
      </c>
      <c r="E6007" s="2" t="s">
        <v>141</v>
      </c>
      <c r="F6007" s="3">
        <f>DATE(2024,10,7)</f>
        <v>45572</v>
      </c>
      <c r="G6007" s="4">
        <f t="shared" si="503"/>
        <v>10</v>
      </c>
      <c r="H6007" s="4">
        <f t="shared" si="504"/>
        <v>2024</v>
      </c>
      <c r="I6007" s="2" t="s">
        <v>4</v>
      </c>
      <c r="J6007" s="2" t="s">
        <v>6687</v>
      </c>
      <c r="K6007" s="2" t="s">
        <v>5469</v>
      </c>
      <c r="L6007" s="2" t="s">
        <v>5470</v>
      </c>
      <c r="M6007" s="2" t="s">
        <v>1046</v>
      </c>
      <c r="N6007" s="4" t="str">
        <f t="shared" si="500"/>
        <v>GAL</v>
      </c>
      <c r="O6007" s="5">
        <v>60</v>
      </c>
    </row>
    <row r="6008" spans="2:15" x14ac:dyDescent="0.25">
      <c r="B6008" s="1" t="s">
        <v>3238</v>
      </c>
      <c r="C6008" s="2" t="s">
        <v>3239</v>
      </c>
      <c r="D6008" s="2" t="s">
        <v>6120</v>
      </c>
      <c r="E6008" s="2" t="s">
        <v>141</v>
      </c>
      <c r="F6008" s="3">
        <f>DATE(2024,10,7)</f>
        <v>45572</v>
      </c>
      <c r="G6008" s="4">
        <f t="shared" si="503"/>
        <v>10</v>
      </c>
      <c r="H6008" s="4">
        <f t="shared" si="504"/>
        <v>2024</v>
      </c>
      <c r="I6008" s="2" t="s">
        <v>4</v>
      </c>
      <c r="J6008" s="2" t="s">
        <v>6687</v>
      </c>
      <c r="K6008" s="2" t="s">
        <v>6688</v>
      </c>
      <c r="L6008" s="2" t="s">
        <v>6689</v>
      </c>
      <c r="M6008" s="2" t="s">
        <v>6081</v>
      </c>
      <c r="N6008" s="4" t="str">
        <f t="shared" si="500"/>
        <v>GAL</v>
      </c>
      <c r="O6008" s="5">
        <v>60</v>
      </c>
    </row>
    <row r="6009" spans="2:15" x14ac:dyDescent="0.25">
      <c r="B6009" s="1" t="s">
        <v>3238</v>
      </c>
      <c r="C6009" s="2" t="s">
        <v>3239</v>
      </c>
      <c r="D6009" s="2" t="s">
        <v>6120</v>
      </c>
      <c r="E6009" s="2" t="s">
        <v>141</v>
      </c>
      <c r="F6009" s="3">
        <f>DATE(2024,10,7)</f>
        <v>45572</v>
      </c>
      <c r="G6009" s="4">
        <f t="shared" si="503"/>
        <v>10</v>
      </c>
      <c r="H6009" s="4">
        <f t="shared" si="504"/>
        <v>2024</v>
      </c>
      <c r="I6009" s="2" t="s">
        <v>4</v>
      </c>
      <c r="J6009" s="2" t="s">
        <v>6687</v>
      </c>
      <c r="K6009" s="2" t="s">
        <v>6400</v>
      </c>
      <c r="L6009" s="2" t="s">
        <v>6401</v>
      </c>
      <c r="M6009" s="2" t="s">
        <v>6402</v>
      </c>
      <c r="N6009" s="4" t="str">
        <f t="shared" si="500"/>
        <v>GAL</v>
      </c>
      <c r="O6009" s="5">
        <v>60</v>
      </c>
    </row>
    <row r="6010" spans="2:15" x14ac:dyDescent="0.25">
      <c r="B6010" s="1" t="s">
        <v>3238</v>
      </c>
      <c r="C6010" s="2" t="s">
        <v>3239</v>
      </c>
      <c r="D6010" s="2" t="s">
        <v>3240</v>
      </c>
      <c r="E6010" s="2" t="s">
        <v>102</v>
      </c>
      <c r="F6010" s="3">
        <f>DATE(2024,10,14)</f>
        <v>45579</v>
      </c>
      <c r="G6010" s="4">
        <f t="shared" si="503"/>
        <v>10</v>
      </c>
      <c r="H6010" s="4">
        <f t="shared" si="504"/>
        <v>2024</v>
      </c>
      <c r="I6010" s="2" t="s">
        <v>4</v>
      </c>
      <c r="J6010" s="2" t="s">
        <v>6690</v>
      </c>
      <c r="K6010" s="2" t="s">
        <v>3914</v>
      </c>
      <c r="L6010" s="2" t="s">
        <v>3915</v>
      </c>
      <c r="M6010" s="2" t="s">
        <v>3916</v>
      </c>
      <c r="N6010" s="4" t="str">
        <f t="shared" si="500"/>
        <v>GAL</v>
      </c>
      <c r="O6010" s="5">
        <v>60</v>
      </c>
    </row>
    <row r="6011" spans="2:15" x14ac:dyDescent="0.25">
      <c r="B6011" s="1" t="s">
        <v>3238</v>
      </c>
      <c r="C6011" s="2" t="s">
        <v>3239</v>
      </c>
      <c r="D6011" s="2" t="s">
        <v>3240</v>
      </c>
      <c r="E6011" s="2" t="s">
        <v>102</v>
      </c>
      <c r="F6011" s="3">
        <f>DATE(2024,10,14)</f>
        <v>45579</v>
      </c>
      <c r="G6011" s="4">
        <f t="shared" si="503"/>
        <v>10</v>
      </c>
      <c r="H6011" s="4">
        <f t="shared" si="504"/>
        <v>2024</v>
      </c>
      <c r="I6011" s="2" t="s">
        <v>4</v>
      </c>
      <c r="J6011" s="2" t="s">
        <v>6690</v>
      </c>
      <c r="K6011" s="2" t="s">
        <v>5971</v>
      </c>
      <c r="L6011" s="2" t="s">
        <v>3515</v>
      </c>
      <c r="M6011" s="2" t="s">
        <v>3516</v>
      </c>
      <c r="N6011" s="4" t="str">
        <f t="shared" si="500"/>
        <v>GAL</v>
      </c>
      <c r="O6011" s="5">
        <v>60</v>
      </c>
    </row>
    <row r="6012" spans="2:15" x14ac:dyDescent="0.25">
      <c r="B6012" s="1" t="s">
        <v>3238</v>
      </c>
      <c r="C6012" s="2" t="s">
        <v>3239</v>
      </c>
      <c r="D6012" s="2" t="s">
        <v>3240</v>
      </c>
      <c r="E6012" s="2" t="s">
        <v>102</v>
      </c>
      <c r="F6012" s="3">
        <f>DATE(2024,10,14)</f>
        <v>45579</v>
      </c>
      <c r="G6012" s="4">
        <f t="shared" si="503"/>
        <v>10</v>
      </c>
      <c r="H6012" s="4">
        <f t="shared" si="504"/>
        <v>2024</v>
      </c>
      <c r="I6012" s="2" t="s">
        <v>4</v>
      </c>
      <c r="J6012" s="2" t="s">
        <v>6690</v>
      </c>
      <c r="K6012" s="2" t="s">
        <v>3941</v>
      </c>
      <c r="L6012" s="2" t="s">
        <v>3911</v>
      </c>
      <c r="M6012" s="2" t="s">
        <v>2100</v>
      </c>
      <c r="N6012" s="4" t="str">
        <f t="shared" si="500"/>
        <v>GAL</v>
      </c>
      <c r="O6012" s="5">
        <v>60</v>
      </c>
    </row>
    <row r="6013" spans="2:15" x14ac:dyDescent="0.25">
      <c r="B6013" s="1" t="s">
        <v>3238</v>
      </c>
      <c r="C6013" s="2" t="s">
        <v>3239</v>
      </c>
      <c r="D6013" s="2" t="s">
        <v>3240</v>
      </c>
      <c r="E6013" s="2" t="s">
        <v>6691</v>
      </c>
      <c r="F6013" s="3">
        <f>DATE(2024,10,16)</f>
        <v>45581</v>
      </c>
      <c r="G6013" s="4">
        <f t="shared" si="503"/>
        <v>10</v>
      </c>
      <c r="H6013" s="4">
        <f t="shared" si="504"/>
        <v>2024</v>
      </c>
      <c r="I6013" s="2" t="s">
        <v>4</v>
      </c>
      <c r="J6013" s="2" t="s">
        <v>6692</v>
      </c>
      <c r="K6013" s="2" t="s">
        <v>3531</v>
      </c>
      <c r="L6013" s="2" t="s">
        <v>6380</v>
      </c>
      <c r="M6013" s="2" t="s">
        <v>41</v>
      </c>
      <c r="N6013" s="4" t="str">
        <f t="shared" si="500"/>
        <v>GAL</v>
      </c>
      <c r="O6013" s="5">
        <v>250</v>
      </c>
    </row>
    <row r="6014" spans="2:15" x14ac:dyDescent="0.25">
      <c r="B6014" s="1" t="s">
        <v>3238</v>
      </c>
      <c r="C6014" s="2" t="s">
        <v>3239</v>
      </c>
      <c r="D6014" s="2" t="s">
        <v>3240</v>
      </c>
      <c r="E6014" s="2" t="s">
        <v>6693</v>
      </c>
      <c r="F6014" s="3">
        <f t="shared" ref="F6014:F6019" si="506">DATE(2024,10,18)</f>
        <v>45583</v>
      </c>
      <c r="G6014" s="4">
        <f t="shared" si="503"/>
        <v>10</v>
      </c>
      <c r="H6014" s="4">
        <f t="shared" si="504"/>
        <v>2024</v>
      </c>
      <c r="I6014" s="2" t="s">
        <v>4</v>
      </c>
      <c r="J6014" s="2" t="s">
        <v>6694</v>
      </c>
      <c r="K6014" s="2" t="s">
        <v>6695</v>
      </c>
      <c r="L6014" s="2" t="s">
        <v>3654</v>
      </c>
      <c r="M6014" s="2" t="s">
        <v>1071</v>
      </c>
      <c r="N6014" s="4" t="str">
        <f t="shared" ref="N6014:N6077" si="507">+LEFT(M6014,3)</f>
        <v>GAL</v>
      </c>
      <c r="O6014" s="5">
        <v>55</v>
      </c>
    </row>
    <row r="6015" spans="2:15" x14ac:dyDescent="0.25">
      <c r="B6015" s="1" t="s">
        <v>3238</v>
      </c>
      <c r="C6015" s="2" t="s">
        <v>3239</v>
      </c>
      <c r="D6015" s="2" t="s">
        <v>3240</v>
      </c>
      <c r="E6015" s="2" t="s">
        <v>3908</v>
      </c>
      <c r="F6015" s="3">
        <f t="shared" si="506"/>
        <v>45583</v>
      </c>
      <c r="G6015" s="4">
        <f t="shared" si="503"/>
        <v>10</v>
      </c>
      <c r="H6015" s="4">
        <f t="shared" si="504"/>
        <v>2024</v>
      </c>
      <c r="I6015" s="2" t="s">
        <v>4</v>
      </c>
      <c r="J6015" s="2" t="s">
        <v>6696</v>
      </c>
      <c r="K6015" s="2" t="s">
        <v>822</v>
      </c>
      <c r="L6015" s="2" t="s">
        <v>6275</v>
      </c>
      <c r="M6015" s="2" t="s">
        <v>21</v>
      </c>
      <c r="N6015" s="4" t="str">
        <f t="shared" si="507"/>
        <v>GAL</v>
      </c>
      <c r="O6015" s="5">
        <v>250</v>
      </c>
    </row>
    <row r="6016" spans="2:15" x14ac:dyDescent="0.25">
      <c r="B6016" s="1" t="s">
        <v>3238</v>
      </c>
      <c r="C6016" s="2" t="s">
        <v>3239</v>
      </c>
      <c r="D6016" s="2" t="s">
        <v>3240</v>
      </c>
      <c r="E6016" s="2" t="s">
        <v>3908</v>
      </c>
      <c r="F6016" s="3">
        <f t="shared" si="506"/>
        <v>45583</v>
      </c>
      <c r="G6016" s="4">
        <f t="shared" si="503"/>
        <v>10</v>
      </c>
      <c r="H6016" s="4">
        <f t="shared" si="504"/>
        <v>2024</v>
      </c>
      <c r="I6016" s="2" t="s">
        <v>4</v>
      </c>
      <c r="J6016" s="2" t="s">
        <v>6697</v>
      </c>
      <c r="K6016" s="2" t="s">
        <v>998</v>
      </c>
      <c r="L6016" s="2" t="s">
        <v>3526</v>
      </c>
      <c r="M6016" s="2" t="s">
        <v>1000</v>
      </c>
      <c r="N6016" s="4" t="str">
        <f t="shared" si="507"/>
        <v>GAL</v>
      </c>
      <c r="O6016" s="5">
        <v>250</v>
      </c>
    </row>
    <row r="6017" spans="2:15" x14ac:dyDescent="0.25">
      <c r="B6017" s="1" t="s">
        <v>3238</v>
      </c>
      <c r="C6017" s="2" t="s">
        <v>3239</v>
      </c>
      <c r="D6017" s="2" t="s">
        <v>3240</v>
      </c>
      <c r="E6017" s="2" t="s">
        <v>3908</v>
      </c>
      <c r="F6017" s="3">
        <f t="shared" si="506"/>
        <v>45583</v>
      </c>
      <c r="G6017" s="4">
        <f t="shared" si="503"/>
        <v>10</v>
      </c>
      <c r="H6017" s="4">
        <f t="shared" si="504"/>
        <v>2024</v>
      </c>
      <c r="I6017" s="2" t="s">
        <v>4</v>
      </c>
      <c r="J6017" s="2" t="s">
        <v>6697</v>
      </c>
      <c r="K6017" s="2" t="s">
        <v>5469</v>
      </c>
      <c r="L6017" s="2" t="s">
        <v>5470</v>
      </c>
      <c r="M6017" s="2" t="s">
        <v>1046</v>
      </c>
      <c r="N6017" s="4" t="str">
        <f t="shared" si="507"/>
        <v>GAL</v>
      </c>
      <c r="O6017" s="5">
        <v>10</v>
      </c>
    </row>
    <row r="6018" spans="2:15" x14ac:dyDescent="0.25">
      <c r="B6018" s="1" t="s">
        <v>3238</v>
      </c>
      <c r="C6018" s="2" t="s">
        <v>3239</v>
      </c>
      <c r="D6018" s="2" t="s">
        <v>3240</v>
      </c>
      <c r="E6018" s="2" t="s">
        <v>3908</v>
      </c>
      <c r="F6018" s="3">
        <f t="shared" si="506"/>
        <v>45583</v>
      </c>
      <c r="G6018" s="4">
        <f t="shared" si="503"/>
        <v>10</v>
      </c>
      <c r="H6018" s="4">
        <f t="shared" si="504"/>
        <v>2024</v>
      </c>
      <c r="I6018" s="2" t="s">
        <v>4</v>
      </c>
      <c r="J6018" s="2" t="s">
        <v>6697</v>
      </c>
      <c r="K6018" s="2" t="s">
        <v>842</v>
      </c>
      <c r="L6018" s="2" t="s">
        <v>843</v>
      </c>
      <c r="M6018" s="2" t="s">
        <v>844</v>
      </c>
      <c r="N6018" s="4" t="str">
        <f t="shared" si="507"/>
        <v>GAL</v>
      </c>
      <c r="O6018" s="5">
        <v>250</v>
      </c>
    </row>
    <row r="6019" spans="2:15" x14ac:dyDescent="0.25">
      <c r="B6019" s="6" t="s">
        <v>3238</v>
      </c>
      <c r="C6019" s="7" t="s">
        <v>3239</v>
      </c>
      <c r="D6019" s="8" t="s">
        <v>3240</v>
      </c>
      <c r="E6019" s="8" t="s">
        <v>3908</v>
      </c>
      <c r="F6019" s="9">
        <f t="shared" si="506"/>
        <v>45583</v>
      </c>
      <c r="G6019" s="10">
        <f t="shared" si="503"/>
        <v>10</v>
      </c>
      <c r="H6019" s="10">
        <f t="shared" si="504"/>
        <v>2024</v>
      </c>
      <c r="I6019" s="8" t="s">
        <v>4</v>
      </c>
      <c r="J6019" s="7" t="s">
        <v>6697</v>
      </c>
      <c r="K6019" s="8" t="s">
        <v>3399</v>
      </c>
      <c r="L6019" s="8" t="s">
        <v>3400</v>
      </c>
      <c r="M6019" s="8" t="s">
        <v>3401</v>
      </c>
      <c r="N6019" s="10" t="str">
        <f t="shared" si="507"/>
        <v>GAL</v>
      </c>
      <c r="O6019" s="11">
        <v>250</v>
      </c>
    </row>
    <row r="6020" spans="2:15" x14ac:dyDescent="0.25">
      <c r="B6020" s="1" t="s">
        <v>3238</v>
      </c>
      <c r="C6020" s="2" t="s">
        <v>3239</v>
      </c>
      <c r="D6020" s="2" t="s">
        <v>3240</v>
      </c>
      <c r="E6020" s="2" t="s">
        <v>3388</v>
      </c>
      <c r="F6020" s="3">
        <f>DATE(2024,10,21)</f>
        <v>45586</v>
      </c>
      <c r="G6020" s="4">
        <f t="shared" si="503"/>
        <v>10</v>
      </c>
      <c r="H6020" s="4">
        <f t="shared" si="504"/>
        <v>2024</v>
      </c>
      <c r="I6020" s="2" t="s">
        <v>4</v>
      </c>
      <c r="J6020" s="2" t="s">
        <v>6698</v>
      </c>
      <c r="K6020" s="2" t="s">
        <v>6150</v>
      </c>
      <c r="L6020" s="2" t="s">
        <v>6151</v>
      </c>
      <c r="M6020" s="2" t="s">
        <v>6152</v>
      </c>
      <c r="N6020" s="4" t="str">
        <f t="shared" si="507"/>
        <v>GAL</v>
      </c>
      <c r="O6020" s="5">
        <v>250</v>
      </c>
    </row>
    <row r="6021" spans="2:15" x14ac:dyDescent="0.25">
      <c r="B6021" s="1" t="s">
        <v>3238</v>
      </c>
      <c r="C6021" s="2" t="s">
        <v>3239</v>
      </c>
      <c r="D6021" s="2" t="s">
        <v>3240</v>
      </c>
      <c r="E6021" s="2" t="s">
        <v>6699</v>
      </c>
      <c r="F6021" s="3">
        <f>DATE(2024,10,21)</f>
        <v>45586</v>
      </c>
      <c r="G6021" s="4">
        <f t="shared" si="503"/>
        <v>10</v>
      </c>
      <c r="H6021" s="4">
        <f t="shared" si="504"/>
        <v>2024</v>
      </c>
      <c r="I6021" s="2" t="s">
        <v>4</v>
      </c>
      <c r="J6021" s="2" t="s">
        <v>6700</v>
      </c>
      <c r="K6021" s="2" t="s">
        <v>6150</v>
      </c>
      <c r="L6021" s="2" t="s">
        <v>6151</v>
      </c>
      <c r="M6021" s="2" t="s">
        <v>6152</v>
      </c>
      <c r="N6021" s="4" t="str">
        <f t="shared" si="507"/>
        <v>GAL</v>
      </c>
      <c r="O6021" s="5">
        <v>250</v>
      </c>
    </row>
    <row r="6022" spans="2:15" x14ac:dyDescent="0.25">
      <c r="B6022" s="1" t="s">
        <v>3238</v>
      </c>
      <c r="C6022" s="2" t="s">
        <v>3239</v>
      </c>
      <c r="D6022" s="2" t="s">
        <v>6120</v>
      </c>
      <c r="E6022" s="2" t="s">
        <v>141</v>
      </c>
      <c r="F6022" s="3">
        <f>DATE(2024,10,21)</f>
        <v>45586</v>
      </c>
      <c r="G6022" s="4">
        <f t="shared" si="503"/>
        <v>10</v>
      </c>
      <c r="H6022" s="4">
        <f t="shared" si="504"/>
        <v>2024</v>
      </c>
      <c r="I6022" s="2" t="s">
        <v>4</v>
      </c>
      <c r="J6022" s="2" t="s">
        <v>6701</v>
      </c>
      <c r="K6022" s="2" t="s">
        <v>5469</v>
      </c>
      <c r="L6022" s="2" t="s">
        <v>5470</v>
      </c>
      <c r="M6022" s="2" t="s">
        <v>1046</v>
      </c>
      <c r="N6022" s="4" t="str">
        <f t="shared" si="507"/>
        <v>GAL</v>
      </c>
      <c r="O6022" s="5">
        <v>30</v>
      </c>
    </row>
    <row r="6023" spans="2:15" x14ac:dyDescent="0.25">
      <c r="B6023" s="6" t="s">
        <v>3238</v>
      </c>
      <c r="C6023" s="7" t="s">
        <v>3239</v>
      </c>
      <c r="D6023" s="8" t="s">
        <v>3240</v>
      </c>
      <c r="E6023" s="8" t="s">
        <v>102</v>
      </c>
      <c r="F6023" s="9">
        <f>DATE(2024,10,21)</f>
        <v>45586</v>
      </c>
      <c r="G6023" s="10">
        <f t="shared" si="503"/>
        <v>10</v>
      </c>
      <c r="H6023" s="10">
        <f t="shared" si="504"/>
        <v>2024</v>
      </c>
      <c r="I6023" s="8" t="s">
        <v>4</v>
      </c>
      <c r="J6023" s="7" t="s">
        <v>6702</v>
      </c>
      <c r="K6023" s="8" t="s">
        <v>3497</v>
      </c>
      <c r="L6023" s="8" t="s">
        <v>3498</v>
      </c>
      <c r="M6023" s="8" t="s">
        <v>556</v>
      </c>
      <c r="N6023" s="10" t="str">
        <f t="shared" si="507"/>
        <v>GAL</v>
      </c>
      <c r="O6023" s="11">
        <v>1000</v>
      </c>
    </row>
    <row r="6024" spans="2:15" x14ac:dyDescent="0.25">
      <c r="B6024" s="1" t="s">
        <v>3238</v>
      </c>
      <c r="C6024" s="2" t="s">
        <v>3239</v>
      </c>
      <c r="D6024" s="2" t="s">
        <v>3240</v>
      </c>
      <c r="E6024" s="2" t="s">
        <v>3920</v>
      </c>
      <c r="F6024" s="3">
        <f>DATE(2024,10,22)</f>
        <v>45587</v>
      </c>
      <c r="G6024" s="4">
        <f t="shared" si="503"/>
        <v>10</v>
      </c>
      <c r="H6024" s="4">
        <f t="shared" si="504"/>
        <v>2024</v>
      </c>
      <c r="I6024" s="2" t="s">
        <v>4</v>
      </c>
      <c r="J6024" s="2" t="s">
        <v>6703</v>
      </c>
      <c r="K6024" s="2" t="s">
        <v>3925</v>
      </c>
      <c r="L6024" s="2" t="s">
        <v>4264</v>
      </c>
      <c r="M6024" s="2" t="s">
        <v>119</v>
      </c>
      <c r="N6024" s="4" t="str">
        <f t="shared" si="507"/>
        <v>TON</v>
      </c>
      <c r="O6024" s="5">
        <v>1.2649999999999999</v>
      </c>
    </row>
    <row r="6025" spans="2:15" x14ac:dyDescent="0.25">
      <c r="B6025" s="1" t="s">
        <v>3238</v>
      </c>
      <c r="C6025" s="2" t="s">
        <v>3239</v>
      </c>
      <c r="D6025" s="2" t="s">
        <v>3240</v>
      </c>
      <c r="E6025" s="2" t="s">
        <v>102</v>
      </c>
      <c r="F6025" s="3">
        <f>DATE(2024,10,24)</f>
        <v>45589</v>
      </c>
      <c r="G6025" s="4">
        <f t="shared" si="503"/>
        <v>10</v>
      </c>
      <c r="H6025" s="4">
        <f t="shared" si="504"/>
        <v>2024</v>
      </c>
      <c r="I6025" s="2" t="s">
        <v>4</v>
      </c>
      <c r="J6025" s="2" t="s">
        <v>6704</v>
      </c>
      <c r="K6025" s="2" t="s">
        <v>3914</v>
      </c>
      <c r="L6025" s="2" t="s">
        <v>3915</v>
      </c>
      <c r="M6025" s="2" t="s">
        <v>3916</v>
      </c>
      <c r="N6025" s="4" t="str">
        <f t="shared" si="507"/>
        <v>GAL</v>
      </c>
      <c r="O6025" s="5">
        <v>60</v>
      </c>
    </row>
    <row r="6026" spans="2:15" x14ac:dyDescent="0.25">
      <c r="B6026" s="1" t="s">
        <v>3238</v>
      </c>
      <c r="C6026" s="2" t="s">
        <v>3239</v>
      </c>
      <c r="D6026" s="2" t="s">
        <v>3240</v>
      </c>
      <c r="E6026" s="2" t="s">
        <v>102</v>
      </c>
      <c r="F6026" s="3">
        <f>DATE(2024,10,24)</f>
        <v>45589</v>
      </c>
      <c r="G6026" s="4">
        <f t="shared" si="503"/>
        <v>10</v>
      </c>
      <c r="H6026" s="4">
        <f t="shared" si="504"/>
        <v>2024</v>
      </c>
      <c r="I6026" s="2" t="s">
        <v>4</v>
      </c>
      <c r="J6026" s="2" t="s">
        <v>6704</v>
      </c>
      <c r="K6026" s="2" t="s">
        <v>5968</v>
      </c>
      <c r="L6026" s="2" t="s">
        <v>5969</v>
      </c>
      <c r="M6026" s="2" t="s">
        <v>5970</v>
      </c>
      <c r="N6026" s="4" t="str">
        <f t="shared" si="507"/>
        <v>GAL</v>
      </c>
      <c r="O6026" s="5">
        <v>60</v>
      </c>
    </row>
    <row r="6027" spans="2:15" x14ac:dyDescent="0.25">
      <c r="B6027" s="1" t="s">
        <v>3238</v>
      </c>
      <c r="C6027" s="2" t="s">
        <v>3239</v>
      </c>
      <c r="D6027" s="2" t="s">
        <v>3240</v>
      </c>
      <c r="E6027" s="2" t="s">
        <v>102</v>
      </c>
      <c r="F6027" s="3">
        <f>DATE(2024,10,24)</f>
        <v>45589</v>
      </c>
      <c r="G6027" s="4">
        <f t="shared" si="503"/>
        <v>10</v>
      </c>
      <c r="H6027" s="4">
        <f t="shared" si="504"/>
        <v>2024</v>
      </c>
      <c r="I6027" s="2" t="s">
        <v>4</v>
      </c>
      <c r="J6027" s="2" t="s">
        <v>6704</v>
      </c>
      <c r="K6027" s="2" t="s">
        <v>5971</v>
      </c>
      <c r="L6027" s="2" t="s">
        <v>3515</v>
      </c>
      <c r="M6027" s="2" t="s">
        <v>3516</v>
      </c>
      <c r="N6027" s="4" t="str">
        <f t="shared" si="507"/>
        <v>GAL</v>
      </c>
      <c r="O6027" s="5">
        <v>60</v>
      </c>
    </row>
    <row r="6028" spans="2:15" x14ac:dyDescent="0.25">
      <c r="B6028" s="1" t="s">
        <v>3238</v>
      </c>
      <c r="C6028" s="2" t="s">
        <v>3239</v>
      </c>
      <c r="D6028" s="2" t="s">
        <v>3240</v>
      </c>
      <c r="E6028" s="2" t="s">
        <v>102</v>
      </c>
      <c r="F6028" s="3">
        <f>DATE(2024,10,24)</f>
        <v>45589</v>
      </c>
      <c r="G6028" s="4">
        <f t="shared" si="503"/>
        <v>10</v>
      </c>
      <c r="H6028" s="4">
        <f t="shared" si="504"/>
        <v>2024</v>
      </c>
      <c r="I6028" s="2" t="s">
        <v>4</v>
      </c>
      <c r="J6028" s="2" t="s">
        <v>6705</v>
      </c>
      <c r="K6028" s="2" t="s">
        <v>6166</v>
      </c>
      <c r="L6028" s="2" t="s">
        <v>3244</v>
      </c>
      <c r="M6028" s="2" t="s">
        <v>3245</v>
      </c>
      <c r="N6028" s="4" t="str">
        <f t="shared" si="507"/>
        <v>GAL</v>
      </c>
      <c r="O6028" s="5">
        <v>50</v>
      </c>
    </row>
    <row r="6029" spans="2:15" x14ac:dyDescent="0.25">
      <c r="B6029" s="1" t="s">
        <v>3238</v>
      </c>
      <c r="C6029" s="2" t="s">
        <v>3239</v>
      </c>
      <c r="D6029" s="2" t="s">
        <v>6120</v>
      </c>
      <c r="E6029" s="2" t="s">
        <v>141</v>
      </c>
      <c r="F6029" s="3">
        <f>DATE(2024,10,25)</f>
        <v>45590</v>
      </c>
      <c r="G6029" s="4">
        <f t="shared" si="503"/>
        <v>10</v>
      </c>
      <c r="H6029" s="4">
        <f t="shared" si="504"/>
        <v>2024</v>
      </c>
      <c r="I6029" s="2" t="s">
        <v>4</v>
      </c>
      <c r="J6029" s="2" t="s">
        <v>6706</v>
      </c>
      <c r="K6029" s="2" t="s">
        <v>5469</v>
      </c>
      <c r="L6029" s="2" t="s">
        <v>5470</v>
      </c>
      <c r="M6029" s="2" t="s">
        <v>1046</v>
      </c>
      <c r="N6029" s="4" t="str">
        <f t="shared" si="507"/>
        <v>GAL</v>
      </c>
      <c r="O6029" s="5">
        <v>60</v>
      </c>
    </row>
    <row r="6030" spans="2:15" x14ac:dyDescent="0.25">
      <c r="B6030" s="1" t="s">
        <v>3238</v>
      </c>
      <c r="C6030" s="2" t="s">
        <v>3239</v>
      </c>
      <c r="D6030" s="2" t="s">
        <v>3240</v>
      </c>
      <c r="E6030" s="2" t="s">
        <v>102</v>
      </c>
      <c r="F6030" s="3">
        <f>DATE(2024,10,25)</f>
        <v>45590</v>
      </c>
      <c r="G6030" s="4">
        <f t="shared" si="503"/>
        <v>10</v>
      </c>
      <c r="H6030" s="4">
        <f t="shared" si="504"/>
        <v>2024</v>
      </c>
      <c r="I6030" s="2" t="s">
        <v>4</v>
      </c>
      <c r="J6030" s="2" t="s">
        <v>6707</v>
      </c>
      <c r="K6030" s="2" t="s">
        <v>6708</v>
      </c>
      <c r="L6030" s="2" t="s">
        <v>5978</v>
      </c>
      <c r="M6030" s="2" t="s">
        <v>3299</v>
      </c>
      <c r="N6030" s="4" t="str">
        <f t="shared" si="507"/>
        <v>GAL</v>
      </c>
      <c r="O6030" s="5">
        <v>75</v>
      </c>
    </row>
    <row r="6031" spans="2:15" x14ac:dyDescent="0.25">
      <c r="B6031" s="1" t="s">
        <v>3238</v>
      </c>
      <c r="C6031" s="2" t="s">
        <v>3239</v>
      </c>
      <c r="D6031" s="2" t="s">
        <v>3240</v>
      </c>
      <c r="E6031" s="2" t="s">
        <v>6693</v>
      </c>
      <c r="F6031" s="3">
        <f>DATE(2024,10,28)</f>
        <v>45593</v>
      </c>
      <c r="G6031" s="4">
        <f t="shared" si="503"/>
        <v>10</v>
      </c>
      <c r="H6031" s="4">
        <f t="shared" si="504"/>
        <v>2024</v>
      </c>
      <c r="I6031" s="2" t="s">
        <v>4</v>
      </c>
      <c r="J6031" s="2" t="s">
        <v>6709</v>
      </c>
      <c r="K6031" s="2" t="s">
        <v>3910</v>
      </c>
      <c r="L6031" s="2" t="s">
        <v>3911</v>
      </c>
      <c r="M6031" s="2" t="s">
        <v>2100</v>
      </c>
      <c r="N6031" s="4" t="str">
        <f t="shared" si="507"/>
        <v>GAL</v>
      </c>
      <c r="O6031" s="5">
        <v>250</v>
      </c>
    </row>
    <row r="6032" spans="2:15" x14ac:dyDescent="0.25">
      <c r="B6032" s="1" t="s">
        <v>3238</v>
      </c>
      <c r="C6032" s="2" t="s">
        <v>3239</v>
      </c>
      <c r="D6032" s="2" t="s">
        <v>3240</v>
      </c>
      <c r="E6032" s="2" t="s">
        <v>102</v>
      </c>
      <c r="F6032" s="3">
        <f>DATE(2024,10,29)</f>
        <v>45594</v>
      </c>
      <c r="G6032" s="4">
        <f t="shared" si="503"/>
        <v>10</v>
      </c>
      <c r="H6032" s="4">
        <f t="shared" si="504"/>
        <v>2024</v>
      </c>
      <c r="I6032" s="2" t="s">
        <v>4</v>
      </c>
      <c r="J6032" s="2" t="s">
        <v>6710</v>
      </c>
      <c r="K6032" s="2" t="s">
        <v>6146</v>
      </c>
      <c r="L6032" s="2" t="s">
        <v>3660</v>
      </c>
      <c r="M6032" s="2" t="s">
        <v>3652</v>
      </c>
      <c r="N6032" s="4" t="str">
        <f t="shared" si="507"/>
        <v>GAL</v>
      </c>
      <c r="O6032" s="5">
        <v>15</v>
      </c>
    </row>
    <row r="6033" spans="2:15" x14ac:dyDescent="0.25">
      <c r="B6033" s="1" t="s">
        <v>3238</v>
      </c>
      <c r="C6033" s="2" t="s">
        <v>3239</v>
      </c>
      <c r="D6033" s="2" t="s">
        <v>3240</v>
      </c>
      <c r="E6033" s="2" t="s">
        <v>102</v>
      </c>
      <c r="F6033" s="3">
        <f>DATE(2024,10,29)</f>
        <v>45594</v>
      </c>
      <c r="G6033" s="4">
        <f t="shared" si="503"/>
        <v>10</v>
      </c>
      <c r="H6033" s="4">
        <f t="shared" si="504"/>
        <v>2024</v>
      </c>
      <c r="I6033" s="2" t="s">
        <v>4</v>
      </c>
      <c r="J6033" s="2" t="s">
        <v>6711</v>
      </c>
      <c r="K6033" s="2" t="s">
        <v>6146</v>
      </c>
      <c r="L6033" s="2" t="s">
        <v>3660</v>
      </c>
      <c r="M6033" s="2" t="s">
        <v>3652</v>
      </c>
      <c r="N6033" s="4" t="str">
        <f t="shared" si="507"/>
        <v>GAL</v>
      </c>
      <c r="O6033" s="5">
        <v>15</v>
      </c>
    </row>
    <row r="6034" spans="2:15" x14ac:dyDescent="0.25">
      <c r="B6034" s="1" t="s">
        <v>3238</v>
      </c>
      <c r="C6034" s="2" t="s">
        <v>3239</v>
      </c>
      <c r="D6034" s="2" t="s">
        <v>6120</v>
      </c>
      <c r="E6034" s="2" t="s">
        <v>6712</v>
      </c>
      <c r="F6034" s="3">
        <f t="shared" ref="F6034:F6040" si="508">DATE(2024,10,30)</f>
        <v>45595</v>
      </c>
      <c r="G6034" s="4">
        <f t="shared" ref="G6034:G6097" si="509">+MONTH(F6034)</f>
        <v>10</v>
      </c>
      <c r="H6034" s="4">
        <f t="shared" ref="H6034:H6097" si="510">+YEAR(F6034)</f>
        <v>2024</v>
      </c>
      <c r="I6034" s="2" t="s">
        <v>4</v>
      </c>
      <c r="J6034" s="2" t="s">
        <v>6713</v>
      </c>
      <c r="K6034" s="2" t="s">
        <v>6714</v>
      </c>
      <c r="L6034" s="2" t="s">
        <v>6715</v>
      </c>
      <c r="M6034" s="2" t="s">
        <v>3251</v>
      </c>
      <c r="N6034" s="4" t="str">
        <f t="shared" si="507"/>
        <v>GAL</v>
      </c>
      <c r="O6034" s="5">
        <v>60</v>
      </c>
    </row>
    <row r="6035" spans="2:15" x14ac:dyDescent="0.25">
      <c r="B6035" s="1" t="s">
        <v>3238</v>
      </c>
      <c r="C6035" s="2" t="s">
        <v>3239</v>
      </c>
      <c r="D6035" s="2" t="s">
        <v>6120</v>
      </c>
      <c r="E6035" s="2" t="s">
        <v>6712</v>
      </c>
      <c r="F6035" s="3">
        <f t="shared" si="508"/>
        <v>45595</v>
      </c>
      <c r="G6035" s="4">
        <f t="shared" si="509"/>
        <v>10</v>
      </c>
      <c r="H6035" s="4">
        <f t="shared" si="510"/>
        <v>2024</v>
      </c>
      <c r="I6035" s="2" t="s">
        <v>4</v>
      </c>
      <c r="J6035" s="2" t="s">
        <v>6713</v>
      </c>
      <c r="K6035" s="2" t="s">
        <v>6716</v>
      </c>
      <c r="L6035" s="2" t="s">
        <v>6717</v>
      </c>
      <c r="M6035" s="2" t="s">
        <v>1448</v>
      </c>
      <c r="N6035" s="4" t="str">
        <f t="shared" si="507"/>
        <v>GAL</v>
      </c>
      <c r="O6035" s="5">
        <v>60</v>
      </c>
    </row>
    <row r="6036" spans="2:15" x14ac:dyDescent="0.25">
      <c r="B6036" s="1" t="s">
        <v>3238</v>
      </c>
      <c r="C6036" s="2" t="s">
        <v>3239</v>
      </c>
      <c r="D6036" s="2" t="s">
        <v>6120</v>
      </c>
      <c r="E6036" s="2" t="s">
        <v>6712</v>
      </c>
      <c r="F6036" s="3">
        <f t="shared" si="508"/>
        <v>45595</v>
      </c>
      <c r="G6036" s="4">
        <f t="shared" si="509"/>
        <v>10</v>
      </c>
      <c r="H6036" s="4">
        <f t="shared" si="510"/>
        <v>2024</v>
      </c>
      <c r="I6036" s="2" t="s">
        <v>4</v>
      </c>
      <c r="J6036" s="2" t="s">
        <v>6713</v>
      </c>
      <c r="K6036" s="2" t="s">
        <v>6133</v>
      </c>
      <c r="L6036" s="2" t="s">
        <v>6134</v>
      </c>
      <c r="M6036" s="2" t="s">
        <v>6135</v>
      </c>
      <c r="N6036" s="4" t="str">
        <f t="shared" si="507"/>
        <v>GAL</v>
      </c>
      <c r="O6036" s="5">
        <v>180</v>
      </c>
    </row>
    <row r="6037" spans="2:15" x14ac:dyDescent="0.25">
      <c r="B6037" s="1" t="s">
        <v>3238</v>
      </c>
      <c r="C6037" s="2" t="s">
        <v>3239</v>
      </c>
      <c r="D6037" s="2" t="s">
        <v>6120</v>
      </c>
      <c r="E6037" s="2" t="s">
        <v>6712</v>
      </c>
      <c r="F6037" s="3">
        <f t="shared" si="508"/>
        <v>45595</v>
      </c>
      <c r="G6037" s="4">
        <f t="shared" si="509"/>
        <v>10</v>
      </c>
      <c r="H6037" s="4">
        <f t="shared" si="510"/>
        <v>2024</v>
      </c>
      <c r="I6037" s="2" t="s">
        <v>4</v>
      </c>
      <c r="J6037" s="2" t="s">
        <v>6713</v>
      </c>
      <c r="K6037" s="2" t="s">
        <v>6491</v>
      </c>
      <c r="L6037" s="2" t="s">
        <v>6492</v>
      </c>
      <c r="M6037" s="2" t="s">
        <v>2455</v>
      </c>
      <c r="N6037" s="4" t="str">
        <f t="shared" si="507"/>
        <v>GAL</v>
      </c>
      <c r="O6037" s="5">
        <v>90</v>
      </c>
    </row>
    <row r="6038" spans="2:15" x14ac:dyDescent="0.25">
      <c r="B6038" s="1" t="s">
        <v>3238</v>
      </c>
      <c r="C6038" s="2" t="s">
        <v>3239</v>
      </c>
      <c r="D6038" s="2" t="s">
        <v>6120</v>
      </c>
      <c r="E6038" s="2" t="s">
        <v>6712</v>
      </c>
      <c r="F6038" s="3">
        <f t="shared" si="508"/>
        <v>45595</v>
      </c>
      <c r="G6038" s="4">
        <f t="shared" si="509"/>
        <v>10</v>
      </c>
      <c r="H6038" s="4">
        <f t="shared" si="510"/>
        <v>2024</v>
      </c>
      <c r="I6038" s="2" t="s">
        <v>4</v>
      </c>
      <c r="J6038" s="2" t="s">
        <v>6713</v>
      </c>
      <c r="K6038" s="2" t="s">
        <v>6400</v>
      </c>
      <c r="L6038" s="2" t="s">
        <v>6401</v>
      </c>
      <c r="M6038" s="2" t="s">
        <v>6402</v>
      </c>
      <c r="N6038" s="4" t="str">
        <f t="shared" si="507"/>
        <v>GAL</v>
      </c>
      <c r="O6038" s="5">
        <v>90</v>
      </c>
    </row>
    <row r="6039" spans="2:15" x14ac:dyDescent="0.25">
      <c r="B6039" s="1" t="s">
        <v>3238</v>
      </c>
      <c r="C6039" s="2" t="s">
        <v>3239</v>
      </c>
      <c r="D6039" s="2" t="s">
        <v>3240</v>
      </c>
      <c r="E6039" s="2" t="s">
        <v>6123</v>
      </c>
      <c r="F6039" s="3">
        <f t="shared" si="508"/>
        <v>45595</v>
      </c>
      <c r="G6039" s="4">
        <f t="shared" si="509"/>
        <v>10</v>
      </c>
      <c r="H6039" s="4">
        <f t="shared" si="510"/>
        <v>2024</v>
      </c>
      <c r="I6039" s="2" t="s">
        <v>4</v>
      </c>
      <c r="J6039" s="2" t="s">
        <v>6718</v>
      </c>
      <c r="K6039" s="2" t="s">
        <v>3946</v>
      </c>
      <c r="L6039" s="2" t="s">
        <v>3506</v>
      </c>
      <c r="M6039" s="2" t="s">
        <v>917</v>
      </c>
      <c r="N6039" s="4" t="str">
        <f t="shared" si="507"/>
        <v>GAL</v>
      </c>
      <c r="O6039" s="5">
        <v>250</v>
      </c>
    </row>
    <row r="6040" spans="2:15" x14ac:dyDescent="0.25">
      <c r="B6040" s="1" t="s">
        <v>3238</v>
      </c>
      <c r="C6040" s="2" t="s">
        <v>3239</v>
      </c>
      <c r="D6040" s="2" t="s">
        <v>3240</v>
      </c>
      <c r="E6040" s="2" t="s">
        <v>6123</v>
      </c>
      <c r="F6040" s="3">
        <f t="shared" si="508"/>
        <v>45595</v>
      </c>
      <c r="G6040" s="4">
        <f t="shared" si="509"/>
        <v>10</v>
      </c>
      <c r="H6040" s="4">
        <f t="shared" si="510"/>
        <v>2024</v>
      </c>
      <c r="I6040" s="2" t="s">
        <v>4</v>
      </c>
      <c r="J6040" s="2" t="s">
        <v>6718</v>
      </c>
      <c r="K6040" s="2" t="s">
        <v>3531</v>
      </c>
      <c r="L6040" s="2" t="s">
        <v>6380</v>
      </c>
      <c r="M6040" s="2" t="s">
        <v>41</v>
      </c>
      <c r="N6040" s="4" t="str">
        <f t="shared" si="507"/>
        <v>GAL</v>
      </c>
      <c r="O6040" s="5">
        <v>250</v>
      </c>
    </row>
    <row r="6041" spans="2:15" x14ac:dyDescent="0.25">
      <c r="B6041" s="1" t="s">
        <v>3238</v>
      </c>
      <c r="C6041" s="2" t="s">
        <v>3239</v>
      </c>
      <c r="D6041" s="2" t="s">
        <v>3240</v>
      </c>
      <c r="E6041" s="2" t="s">
        <v>3379</v>
      </c>
      <c r="F6041" s="3">
        <f>DATE(2024,10,31)</f>
        <v>45596</v>
      </c>
      <c r="G6041" s="4">
        <f t="shared" si="509"/>
        <v>10</v>
      </c>
      <c r="H6041" s="4">
        <f t="shared" si="510"/>
        <v>2024</v>
      </c>
      <c r="I6041" s="2" t="s">
        <v>4</v>
      </c>
      <c r="J6041" s="2" t="s">
        <v>6719</v>
      </c>
      <c r="K6041" s="2" t="s">
        <v>6720</v>
      </c>
      <c r="L6041" s="2" t="s">
        <v>3651</v>
      </c>
      <c r="M6041" s="2" t="s">
        <v>3652</v>
      </c>
      <c r="N6041" s="4" t="str">
        <f t="shared" si="507"/>
        <v>GAL</v>
      </c>
      <c r="O6041" s="5">
        <v>550</v>
      </c>
    </row>
    <row r="6042" spans="2:15" x14ac:dyDescent="0.25">
      <c r="B6042" s="1" t="s">
        <v>3238</v>
      </c>
      <c r="C6042" s="2" t="s">
        <v>3239</v>
      </c>
      <c r="D6042" s="2" t="s">
        <v>3240</v>
      </c>
      <c r="E6042" s="2" t="s">
        <v>102</v>
      </c>
      <c r="F6042" s="3">
        <f>DATE(2024,10,31)</f>
        <v>45596</v>
      </c>
      <c r="G6042" s="4">
        <f t="shared" si="509"/>
        <v>10</v>
      </c>
      <c r="H6042" s="4">
        <f t="shared" si="510"/>
        <v>2024</v>
      </c>
      <c r="I6042" s="2" t="s">
        <v>4</v>
      </c>
      <c r="J6042" s="2" t="s">
        <v>6721</v>
      </c>
      <c r="K6042" s="2" t="s">
        <v>3937</v>
      </c>
      <c r="L6042" s="2" t="s">
        <v>4275</v>
      </c>
      <c r="M6042" s="2" t="s">
        <v>3939</v>
      </c>
      <c r="N6042" s="4" t="str">
        <f t="shared" si="507"/>
        <v>GAL</v>
      </c>
      <c r="O6042" s="5">
        <v>1300</v>
      </c>
    </row>
    <row r="6043" spans="2:15" x14ac:dyDescent="0.25">
      <c r="B6043" s="1" t="s">
        <v>3238</v>
      </c>
      <c r="C6043" s="2" t="s">
        <v>3239</v>
      </c>
      <c r="D6043" s="2" t="s">
        <v>3240</v>
      </c>
      <c r="E6043" s="2" t="s">
        <v>102</v>
      </c>
      <c r="F6043" s="3">
        <f>DATE(2024,10,31)</f>
        <v>45596</v>
      </c>
      <c r="G6043" s="4">
        <f t="shared" si="509"/>
        <v>10</v>
      </c>
      <c r="H6043" s="4">
        <f t="shared" si="510"/>
        <v>2024</v>
      </c>
      <c r="I6043" s="2" t="s">
        <v>4</v>
      </c>
      <c r="J6043" s="2" t="s">
        <v>6722</v>
      </c>
      <c r="K6043" s="2" t="s">
        <v>6723</v>
      </c>
      <c r="L6043" s="2" t="s">
        <v>6151</v>
      </c>
      <c r="M6043" s="2" t="s">
        <v>6152</v>
      </c>
      <c r="N6043" s="4" t="str">
        <f t="shared" si="507"/>
        <v>GAL</v>
      </c>
      <c r="O6043" s="5">
        <v>250</v>
      </c>
    </row>
    <row r="6044" spans="2:15" x14ac:dyDescent="0.25">
      <c r="B6044" s="6" t="s">
        <v>0</v>
      </c>
      <c r="C6044" s="7" t="s">
        <v>1</v>
      </c>
      <c r="D6044" s="8" t="s">
        <v>2</v>
      </c>
      <c r="E6044" s="8" t="s">
        <v>1784</v>
      </c>
      <c r="F6044" s="9">
        <f>DATE(2024,11,1)</f>
        <v>45597</v>
      </c>
      <c r="G6044" s="10">
        <f t="shared" si="509"/>
        <v>11</v>
      </c>
      <c r="H6044" s="10">
        <f t="shared" si="510"/>
        <v>2024</v>
      </c>
      <c r="I6044" s="8" t="s">
        <v>4</v>
      </c>
      <c r="J6044" s="7" t="s">
        <v>6724</v>
      </c>
      <c r="K6044" s="8" t="s">
        <v>28</v>
      </c>
      <c r="L6044" s="8" t="s">
        <v>29</v>
      </c>
      <c r="M6044" s="8" t="s">
        <v>30</v>
      </c>
      <c r="N6044" s="10" t="str">
        <f t="shared" si="507"/>
        <v>GAL</v>
      </c>
      <c r="O6044" s="11">
        <v>30</v>
      </c>
    </row>
    <row r="6045" spans="2:15" x14ac:dyDescent="0.25">
      <c r="B6045" s="1" t="s">
        <v>0</v>
      </c>
      <c r="C6045" s="2" t="s">
        <v>1</v>
      </c>
      <c r="D6045" s="2" t="s">
        <v>2</v>
      </c>
      <c r="E6045" s="2" t="s">
        <v>1784</v>
      </c>
      <c r="F6045" s="3">
        <f>DATE(2024,11,1)</f>
        <v>45597</v>
      </c>
      <c r="G6045" s="4">
        <f t="shared" si="509"/>
        <v>11</v>
      </c>
      <c r="H6045" s="4">
        <f t="shared" si="510"/>
        <v>2024</v>
      </c>
      <c r="I6045" s="2" t="s">
        <v>4</v>
      </c>
      <c r="J6045" s="2" t="s">
        <v>6724</v>
      </c>
      <c r="K6045" s="2" t="s">
        <v>6</v>
      </c>
      <c r="L6045" s="2" t="s">
        <v>7</v>
      </c>
      <c r="M6045" s="2" t="s">
        <v>8</v>
      </c>
      <c r="N6045" s="4" t="str">
        <f t="shared" si="507"/>
        <v>GAL</v>
      </c>
      <c r="O6045" s="5">
        <v>55</v>
      </c>
    </row>
    <row r="6046" spans="2:15" x14ac:dyDescent="0.25">
      <c r="B6046" s="1" t="s">
        <v>0</v>
      </c>
      <c r="C6046" s="2" t="s">
        <v>1</v>
      </c>
      <c r="D6046" s="2" t="s">
        <v>2</v>
      </c>
      <c r="E6046" s="2" t="s">
        <v>1784</v>
      </c>
      <c r="F6046" s="3">
        <f>DATE(2024,11,1)</f>
        <v>45597</v>
      </c>
      <c r="G6046" s="4">
        <f t="shared" si="509"/>
        <v>11</v>
      </c>
      <c r="H6046" s="4">
        <f t="shared" si="510"/>
        <v>2024</v>
      </c>
      <c r="I6046" s="2" t="s">
        <v>4</v>
      </c>
      <c r="J6046" s="2" t="s">
        <v>6724</v>
      </c>
      <c r="K6046" s="2" t="s">
        <v>566</v>
      </c>
      <c r="L6046" s="2" t="s">
        <v>20</v>
      </c>
      <c r="M6046" s="2" t="s">
        <v>21</v>
      </c>
      <c r="N6046" s="4" t="str">
        <f t="shared" si="507"/>
        <v>GAL</v>
      </c>
      <c r="O6046" s="5">
        <v>55</v>
      </c>
    </row>
    <row r="6047" spans="2:15" x14ac:dyDescent="0.25">
      <c r="B6047" s="1" t="s">
        <v>0</v>
      </c>
      <c r="C6047" s="2" t="s">
        <v>1</v>
      </c>
      <c r="D6047" s="2" t="s">
        <v>2</v>
      </c>
      <c r="E6047" s="2" t="s">
        <v>4287</v>
      </c>
      <c r="F6047" s="3">
        <f t="shared" ref="F6047:F6052" si="511">DATE(2024,11,6)</f>
        <v>45602</v>
      </c>
      <c r="G6047" s="4">
        <f t="shared" si="509"/>
        <v>11</v>
      </c>
      <c r="H6047" s="4">
        <f t="shared" si="510"/>
        <v>2024</v>
      </c>
      <c r="I6047" s="2" t="s">
        <v>4</v>
      </c>
      <c r="J6047" s="2" t="s">
        <v>6725</v>
      </c>
      <c r="K6047" s="2" t="s">
        <v>28</v>
      </c>
      <c r="L6047" s="2" t="s">
        <v>29</v>
      </c>
      <c r="M6047" s="2" t="s">
        <v>30</v>
      </c>
      <c r="N6047" s="4" t="str">
        <f t="shared" si="507"/>
        <v>GAL</v>
      </c>
      <c r="O6047" s="5">
        <v>120</v>
      </c>
    </row>
    <row r="6048" spans="2:15" x14ac:dyDescent="0.25">
      <c r="B6048" s="1" t="s">
        <v>0</v>
      </c>
      <c r="C6048" s="2" t="s">
        <v>1</v>
      </c>
      <c r="D6048" s="2" t="s">
        <v>2</v>
      </c>
      <c r="E6048" s="2" t="s">
        <v>4287</v>
      </c>
      <c r="F6048" s="3">
        <f t="shared" si="511"/>
        <v>45602</v>
      </c>
      <c r="G6048" s="4">
        <f t="shared" si="509"/>
        <v>11</v>
      </c>
      <c r="H6048" s="4">
        <f t="shared" si="510"/>
        <v>2024</v>
      </c>
      <c r="I6048" s="2" t="s">
        <v>4</v>
      </c>
      <c r="J6048" s="2" t="s">
        <v>6725</v>
      </c>
      <c r="K6048" s="2" t="s">
        <v>50</v>
      </c>
      <c r="L6048" s="2" t="s">
        <v>51</v>
      </c>
      <c r="M6048" s="2" t="s">
        <v>52</v>
      </c>
      <c r="N6048" s="4" t="str">
        <f t="shared" si="507"/>
        <v>GAL</v>
      </c>
      <c r="O6048" s="5">
        <v>120</v>
      </c>
    </row>
    <row r="6049" spans="2:15" x14ac:dyDescent="0.25">
      <c r="B6049" s="1" t="s">
        <v>0</v>
      </c>
      <c r="C6049" s="2" t="s">
        <v>1</v>
      </c>
      <c r="D6049" s="2" t="s">
        <v>2</v>
      </c>
      <c r="E6049" s="2" t="s">
        <v>4287</v>
      </c>
      <c r="F6049" s="3">
        <f t="shared" si="511"/>
        <v>45602</v>
      </c>
      <c r="G6049" s="4">
        <f t="shared" si="509"/>
        <v>11</v>
      </c>
      <c r="H6049" s="4">
        <f t="shared" si="510"/>
        <v>2024</v>
      </c>
      <c r="I6049" s="2" t="s">
        <v>4</v>
      </c>
      <c r="J6049" s="2" t="s">
        <v>6725</v>
      </c>
      <c r="K6049" s="2" t="s">
        <v>33</v>
      </c>
      <c r="L6049" s="2" t="s">
        <v>34</v>
      </c>
      <c r="M6049" s="2" t="s">
        <v>35</v>
      </c>
      <c r="N6049" s="4" t="str">
        <f t="shared" si="507"/>
        <v>GAL</v>
      </c>
      <c r="O6049" s="5">
        <v>60</v>
      </c>
    </row>
    <row r="6050" spans="2:15" x14ac:dyDescent="0.25">
      <c r="B6050" s="1" t="s">
        <v>0</v>
      </c>
      <c r="C6050" s="2" t="s">
        <v>1</v>
      </c>
      <c r="D6050" s="2" t="s">
        <v>2</v>
      </c>
      <c r="E6050" s="2" t="s">
        <v>4287</v>
      </c>
      <c r="F6050" s="3">
        <f t="shared" si="511"/>
        <v>45602</v>
      </c>
      <c r="G6050" s="4">
        <f t="shared" si="509"/>
        <v>11</v>
      </c>
      <c r="H6050" s="4">
        <f t="shared" si="510"/>
        <v>2024</v>
      </c>
      <c r="I6050" s="2" t="s">
        <v>4</v>
      </c>
      <c r="J6050" s="2" t="s">
        <v>6725</v>
      </c>
      <c r="K6050" s="2" t="s">
        <v>574</v>
      </c>
      <c r="L6050" s="2" t="s">
        <v>66</v>
      </c>
      <c r="M6050" s="2" t="s">
        <v>67</v>
      </c>
      <c r="N6050" s="4" t="str">
        <f t="shared" si="507"/>
        <v>GAL</v>
      </c>
      <c r="O6050" s="5">
        <v>60</v>
      </c>
    </row>
    <row r="6051" spans="2:15" x14ac:dyDescent="0.25">
      <c r="B6051" s="1" t="s">
        <v>0</v>
      </c>
      <c r="C6051" s="2" t="s">
        <v>1</v>
      </c>
      <c r="D6051" s="2" t="s">
        <v>2</v>
      </c>
      <c r="E6051" s="2" t="s">
        <v>4287</v>
      </c>
      <c r="F6051" s="3">
        <f t="shared" si="511"/>
        <v>45602</v>
      </c>
      <c r="G6051" s="4">
        <f t="shared" si="509"/>
        <v>11</v>
      </c>
      <c r="H6051" s="4">
        <f t="shared" si="510"/>
        <v>2024</v>
      </c>
      <c r="I6051" s="2" t="s">
        <v>4</v>
      </c>
      <c r="J6051" s="2" t="s">
        <v>6725</v>
      </c>
      <c r="K6051" s="2" t="s">
        <v>25</v>
      </c>
      <c r="L6051" s="2" t="s">
        <v>26</v>
      </c>
      <c r="M6051" s="2" t="s">
        <v>27</v>
      </c>
      <c r="N6051" s="4" t="str">
        <f t="shared" si="507"/>
        <v>GAL</v>
      </c>
      <c r="O6051" s="5">
        <v>120</v>
      </c>
    </row>
    <row r="6052" spans="2:15" x14ac:dyDescent="0.25">
      <c r="B6052" s="1" t="s">
        <v>0</v>
      </c>
      <c r="C6052" s="2" t="s">
        <v>1</v>
      </c>
      <c r="D6052" s="2" t="s">
        <v>2</v>
      </c>
      <c r="E6052" s="2" t="s">
        <v>4287</v>
      </c>
      <c r="F6052" s="3">
        <f t="shared" si="511"/>
        <v>45602</v>
      </c>
      <c r="G6052" s="4">
        <f t="shared" si="509"/>
        <v>11</v>
      </c>
      <c r="H6052" s="4">
        <f t="shared" si="510"/>
        <v>2024</v>
      </c>
      <c r="I6052" s="2" t="s">
        <v>4</v>
      </c>
      <c r="J6052" s="2" t="s">
        <v>6725</v>
      </c>
      <c r="K6052" s="2" t="s">
        <v>16</v>
      </c>
      <c r="L6052" s="2" t="s">
        <v>7</v>
      </c>
      <c r="M6052" s="2" t="s">
        <v>8</v>
      </c>
      <c r="N6052" s="4" t="str">
        <f t="shared" si="507"/>
        <v>GAL</v>
      </c>
      <c r="O6052" s="5">
        <v>120</v>
      </c>
    </row>
    <row r="6053" spans="2:15" x14ac:dyDescent="0.25">
      <c r="B6053" s="1" t="s">
        <v>0</v>
      </c>
      <c r="C6053" s="2" t="s">
        <v>1</v>
      </c>
      <c r="D6053" s="2" t="s">
        <v>2</v>
      </c>
      <c r="E6053" s="2" t="s">
        <v>6413</v>
      </c>
      <c r="F6053" s="3">
        <f>DATE(2024,11,8)</f>
        <v>45604</v>
      </c>
      <c r="G6053" s="4">
        <f t="shared" si="509"/>
        <v>11</v>
      </c>
      <c r="H6053" s="4">
        <f t="shared" si="510"/>
        <v>2024</v>
      </c>
      <c r="I6053" s="2" t="s">
        <v>4</v>
      </c>
      <c r="J6053" s="2" t="s">
        <v>6726</v>
      </c>
      <c r="K6053" s="2" t="s">
        <v>6</v>
      </c>
      <c r="L6053" s="2" t="s">
        <v>7</v>
      </c>
      <c r="M6053" s="2" t="s">
        <v>8</v>
      </c>
      <c r="N6053" s="4" t="str">
        <f t="shared" si="507"/>
        <v>GAL</v>
      </c>
      <c r="O6053" s="5">
        <v>55</v>
      </c>
    </row>
    <row r="6054" spans="2:15" x14ac:dyDescent="0.25">
      <c r="B6054" s="1" t="s">
        <v>0</v>
      </c>
      <c r="C6054" s="2" t="s">
        <v>1</v>
      </c>
      <c r="D6054" s="2" t="s">
        <v>2</v>
      </c>
      <c r="E6054" s="2" t="s">
        <v>6413</v>
      </c>
      <c r="F6054" s="3">
        <f>DATE(2024,11,8)</f>
        <v>45604</v>
      </c>
      <c r="G6054" s="4">
        <f t="shared" si="509"/>
        <v>11</v>
      </c>
      <c r="H6054" s="4">
        <f t="shared" si="510"/>
        <v>2024</v>
      </c>
      <c r="I6054" s="2" t="s">
        <v>4</v>
      </c>
      <c r="J6054" s="2" t="s">
        <v>6726</v>
      </c>
      <c r="K6054" s="2" t="s">
        <v>566</v>
      </c>
      <c r="L6054" s="2" t="s">
        <v>20</v>
      </c>
      <c r="M6054" s="2" t="s">
        <v>21</v>
      </c>
      <c r="N6054" s="4" t="str">
        <f t="shared" si="507"/>
        <v>GAL</v>
      </c>
      <c r="O6054" s="5">
        <v>55</v>
      </c>
    </row>
    <row r="6055" spans="2:15" x14ac:dyDescent="0.25">
      <c r="B6055" s="1" t="s">
        <v>0</v>
      </c>
      <c r="C6055" s="2" t="s">
        <v>1</v>
      </c>
      <c r="D6055" s="2" t="s">
        <v>2</v>
      </c>
      <c r="E6055" s="2" t="s">
        <v>1784</v>
      </c>
      <c r="F6055" s="3">
        <f>DATE(2024,11,18)</f>
        <v>45614</v>
      </c>
      <c r="G6055" s="4">
        <f t="shared" si="509"/>
        <v>11</v>
      </c>
      <c r="H6055" s="4">
        <f t="shared" si="510"/>
        <v>2024</v>
      </c>
      <c r="I6055" s="2" t="s">
        <v>4</v>
      </c>
      <c r="J6055" s="2" t="s">
        <v>6727</v>
      </c>
      <c r="K6055" s="2" t="s">
        <v>5421</v>
      </c>
      <c r="L6055" s="2" t="s">
        <v>23</v>
      </c>
      <c r="M6055" s="2" t="s">
        <v>24</v>
      </c>
      <c r="N6055" s="4" t="str">
        <f t="shared" si="507"/>
        <v>GAL</v>
      </c>
      <c r="O6055" s="5">
        <v>110</v>
      </c>
    </row>
    <row r="6056" spans="2:15" x14ac:dyDescent="0.25">
      <c r="B6056" s="1" t="s">
        <v>0</v>
      </c>
      <c r="C6056" s="2" t="s">
        <v>1</v>
      </c>
      <c r="D6056" s="2" t="s">
        <v>2</v>
      </c>
      <c r="E6056" s="2" t="s">
        <v>86</v>
      </c>
      <c r="F6056" s="3">
        <f>DATE(2024,11,19)</f>
        <v>45615</v>
      </c>
      <c r="G6056" s="4">
        <f t="shared" si="509"/>
        <v>11</v>
      </c>
      <c r="H6056" s="4">
        <f t="shared" si="510"/>
        <v>2024</v>
      </c>
      <c r="I6056" s="2" t="s">
        <v>4</v>
      </c>
      <c r="J6056" s="2" t="s">
        <v>6728</v>
      </c>
      <c r="K6056" s="2" t="s">
        <v>11</v>
      </c>
      <c r="L6056" s="2" t="s">
        <v>12</v>
      </c>
      <c r="M6056" s="2" t="s">
        <v>13</v>
      </c>
      <c r="N6056" s="4" t="str">
        <f t="shared" si="507"/>
        <v>GAL</v>
      </c>
      <c r="O6056" s="5">
        <v>110</v>
      </c>
    </row>
    <row r="6057" spans="2:15" x14ac:dyDescent="0.25">
      <c r="B6057" s="1" t="s">
        <v>0</v>
      </c>
      <c r="C6057" s="2" t="s">
        <v>1</v>
      </c>
      <c r="D6057" s="2" t="s">
        <v>2</v>
      </c>
      <c r="E6057" s="2" t="s">
        <v>61</v>
      </c>
      <c r="F6057" s="3">
        <f>DATE(2024,11,19)</f>
        <v>45615</v>
      </c>
      <c r="G6057" s="4">
        <f t="shared" si="509"/>
        <v>11</v>
      </c>
      <c r="H6057" s="4">
        <f t="shared" si="510"/>
        <v>2024</v>
      </c>
      <c r="I6057" s="2" t="s">
        <v>4</v>
      </c>
      <c r="J6057" s="2" t="s">
        <v>6729</v>
      </c>
      <c r="K6057" s="2" t="s">
        <v>28</v>
      </c>
      <c r="L6057" s="2" t="s">
        <v>29</v>
      </c>
      <c r="M6057" s="2" t="s">
        <v>30</v>
      </c>
      <c r="N6057" s="4" t="str">
        <f t="shared" si="507"/>
        <v>GAL</v>
      </c>
      <c r="O6057" s="5">
        <v>50</v>
      </c>
    </row>
    <row r="6058" spans="2:15" x14ac:dyDescent="0.25">
      <c r="B6058" s="1" t="s">
        <v>0</v>
      </c>
      <c r="C6058" s="2" t="s">
        <v>1</v>
      </c>
      <c r="D6058" s="2" t="s">
        <v>2</v>
      </c>
      <c r="E6058" s="2" t="s">
        <v>61</v>
      </c>
      <c r="F6058" s="3">
        <f>DATE(2024,11,19)</f>
        <v>45615</v>
      </c>
      <c r="G6058" s="4">
        <f t="shared" si="509"/>
        <v>11</v>
      </c>
      <c r="H6058" s="4">
        <f t="shared" si="510"/>
        <v>2024</v>
      </c>
      <c r="I6058" s="2" t="s">
        <v>4</v>
      </c>
      <c r="J6058" s="2" t="s">
        <v>6729</v>
      </c>
      <c r="K6058" s="2" t="s">
        <v>25</v>
      </c>
      <c r="L6058" s="2" t="s">
        <v>26</v>
      </c>
      <c r="M6058" s="2" t="s">
        <v>27</v>
      </c>
      <c r="N6058" s="4" t="str">
        <f t="shared" si="507"/>
        <v>GAL</v>
      </c>
      <c r="O6058" s="5">
        <v>100</v>
      </c>
    </row>
    <row r="6059" spans="2:15" x14ac:dyDescent="0.25">
      <c r="B6059" s="1" t="s">
        <v>0</v>
      </c>
      <c r="C6059" s="2" t="s">
        <v>1</v>
      </c>
      <c r="D6059" s="2" t="s">
        <v>2</v>
      </c>
      <c r="E6059" s="2" t="s">
        <v>61</v>
      </c>
      <c r="F6059" s="3">
        <f>DATE(2024,11,19)</f>
        <v>45615</v>
      </c>
      <c r="G6059" s="4">
        <f t="shared" si="509"/>
        <v>11</v>
      </c>
      <c r="H6059" s="4">
        <f t="shared" si="510"/>
        <v>2024</v>
      </c>
      <c r="I6059" s="2" t="s">
        <v>4</v>
      </c>
      <c r="J6059" s="2" t="s">
        <v>6729</v>
      </c>
      <c r="K6059" s="2" t="s">
        <v>16</v>
      </c>
      <c r="L6059" s="2" t="s">
        <v>7</v>
      </c>
      <c r="M6059" s="2" t="s">
        <v>8</v>
      </c>
      <c r="N6059" s="4" t="str">
        <f t="shared" si="507"/>
        <v>GAL</v>
      </c>
      <c r="O6059" s="5">
        <v>100</v>
      </c>
    </row>
    <row r="6060" spans="2:15" x14ac:dyDescent="0.25">
      <c r="B6060" s="1" t="s">
        <v>0</v>
      </c>
      <c r="C6060" s="2" t="s">
        <v>1</v>
      </c>
      <c r="D6060" s="2" t="s">
        <v>2</v>
      </c>
      <c r="E6060" s="2" t="s">
        <v>61</v>
      </c>
      <c r="F6060" s="3">
        <f>DATE(2024,11,19)</f>
        <v>45615</v>
      </c>
      <c r="G6060" s="4">
        <f t="shared" si="509"/>
        <v>11</v>
      </c>
      <c r="H6060" s="4">
        <f t="shared" si="510"/>
        <v>2024</v>
      </c>
      <c r="I6060" s="2" t="s">
        <v>4</v>
      </c>
      <c r="J6060" s="2" t="s">
        <v>6729</v>
      </c>
      <c r="K6060" s="2" t="s">
        <v>19</v>
      </c>
      <c r="L6060" s="2" t="s">
        <v>6006</v>
      </c>
      <c r="M6060" s="2" t="s">
        <v>21</v>
      </c>
      <c r="N6060" s="4" t="str">
        <f t="shared" si="507"/>
        <v>GAL</v>
      </c>
      <c r="O6060" s="5">
        <v>50</v>
      </c>
    </row>
    <row r="6061" spans="2:15" x14ac:dyDescent="0.25">
      <c r="B6061" s="1" t="s">
        <v>88</v>
      </c>
      <c r="C6061" s="2" t="s">
        <v>89</v>
      </c>
      <c r="D6061" s="2" t="s">
        <v>1444</v>
      </c>
      <c r="E6061" s="2" t="s">
        <v>102</v>
      </c>
      <c r="F6061" s="3">
        <f>DATE(2024,11,5)</f>
        <v>45601</v>
      </c>
      <c r="G6061" s="4">
        <f t="shared" si="509"/>
        <v>11</v>
      </c>
      <c r="H6061" s="4">
        <f t="shared" si="510"/>
        <v>2024</v>
      </c>
      <c r="I6061" s="2" t="s">
        <v>4</v>
      </c>
      <c r="J6061" s="2" t="s">
        <v>6730</v>
      </c>
      <c r="K6061" s="2" t="s">
        <v>1446</v>
      </c>
      <c r="L6061" s="2" t="s">
        <v>2581</v>
      </c>
      <c r="M6061" s="2" t="s">
        <v>1448</v>
      </c>
      <c r="N6061" s="4" t="str">
        <f t="shared" si="507"/>
        <v>GAL</v>
      </c>
      <c r="O6061" s="5">
        <v>360</v>
      </c>
    </row>
    <row r="6062" spans="2:15" x14ac:dyDescent="0.25">
      <c r="B6062" s="1" t="s">
        <v>88</v>
      </c>
      <c r="C6062" s="2" t="s">
        <v>89</v>
      </c>
      <c r="D6062" s="2" t="s">
        <v>3265</v>
      </c>
      <c r="E6062" s="2" t="s">
        <v>3266</v>
      </c>
      <c r="F6062" s="3">
        <f>DATE(2024,11,5)</f>
        <v>45601</v>
      </c>
      <c r="G6062" s="4">
        <f t="shared" si="509"/>
        <v>11</v>
      </c>
      <c r="H6062" s="4">
        <f t="shared" si="510"/>
        <v>2024</v>
      </c>
      <c r="I6062" s="2" t="s">
        <v>4</v>
      </c>
      <c r="J6062" s="2" t="s">
        <v>6731</v>
      </c>
      <c r="K6062" s="2" t="s">
        <v>3268</v>
      </c>
      <c r="L6062" s="2" t="s">
        <v>3269</v>
      </c>
      <c r="M6062" s="2" t="s">
        <v>2576</v>
      </c>
      <c r="N6062" s="4" t="str">
        <f t="shared" si="507"/>
        <v>GAL</v>
      </c>
      <c r="O6062" s="5">
        <v>150</v>
      </c>
    </row>
    <row r="6063" spans="2:15" x14ac:dyDescent="0.25">
      <c r="B6063" s="1" t="s">
        <v>88</v>
      </c>
      <c r="C6063" s="2" t="s">
        <v>89</v>
      </c>
      <c r="D6063" s="2" t="s">
        <v>2887</v>
      </c>
      <c r="E6063" s="2" t="s">
        <v>102</v>
      </c>
      <c r="F6063" s="3">
        <f>DATE(2024,11,11)</f>
        <v>45607</v>
      </c>
      <c r="G6063" s="4">
        <f t="shared" si="509"/>
        <v>11</v>
      </c>
      <c r="H6063" s="4">
        <f t="shared" si="510"/>
        <v>2024</v>
      </c>
      <c r="I6063" s="2" t="s">
        <v>4</v>
      </c>
      <c r="J6063" s="2" t="s">
        <v>6732</v>
      </c>
      <c r="K6063" s="2" t="s">
        <v>2889</v>
      </c>
      <c r="L6063" s="2" t="s">
        <v>99</v>
      </c>
      <c r="M6063" s="2" t="s">
        <v>100</v>
      </c>
      <c r="N6063" s="4" t="str">
        <f t="shared" si="507"/>
        <v>GAL</v>
      </c>
      <c r="O6063" s="5">
        <v>55</v>
      </c>
    </row>
    <row r="6064" spans="2:15" x14ac:dyDescent="0.25">
      <c r="B6064" s="1" t="s">
        <v>88</v>
      </c>
      <c r="C6064" s="2" t="s">
        <v>89</v>
      </c>
      <c r="D6064" s="2" t="s">
        <v>341</v>
      </c>
      <c r="E6064" s="2" t="s">
        <v>445</v>
      </c>
      <c r="F6064" s="3">
        <f>DATE(2024,11,12)</f>
        <v>45608</v>
      </c>
      <c r="G6064" s="4">
        <f t="shared" si="509"/>
        <v>11</v>
      </c>
      <c r="H6064" s="4">
        <f t="shared" si="510"/>
        <v>2024</v>
      </c>
      <c r="I6064" s="2" t="s">
        <v>4</v>
      </c>
      <c r="J6064" s="2" t="s">
        <v>6733</v>
      </c>
      <c r="K6064" s="2" t="s">
        <v>143</v>
      </c>
      <c r="L6064" s="2" t="s">
        <v>2855</v>
      </c>
      <c r="M6064" s="2" t="s">
        <v>145</v>
      </c>
      <c r="N6064" s="4" t="str">
        <f t="shared" si="507"/>
        <v>GAL</v>
      </c>
      <c r="O6064" s="5">
        <v>275</v>
      </c>
    </row>
    <row r="6065" spans="2:15" x14ac:dyDescent="0.25">
      <c r="B6065" s="1" t="s">
        <v>88</v>
      </c>
      <c r="C6065" s="2" t="s">
        <v>89</v>
      </c>
      <c r="D6065" s="2" t="s">
        <v>1444</v>
      </c>
      <c r="E6065" s="2" t="s">
        <v>6734</v>
      </c>
      <c r="F6065" s="3">
        <f>DATE(2024,11,13)</f>
        <v>45609</v>
      </c>
      <c r="G6065" s="4">
        <f t="shared" si="509"/>
        <v>11</v>
      </c>
      <c r="H6065" s="4">
        <f t="shared" si="510"/>
        <v>2024</v>
      </c>
      <c r="I6065" s="2" t="s">
        <v>4</v>
      </c>
      <c r="J6065" s="2" t="s">
        <v>6735</v>
      </c>
      <c r="K6065" s="2" t="s">
        <v>1446</v>
      </c>
      <c r="L6065" s="2" t="s">
        <v>2581</v>
      </c>
      <c r="M6065" s="2" t="s">
        <v>1448</v>
      </c>
      <c r="N6065" s="4" t="str">
        <f t="shared" si="507"/>
        <v>GAL</v>
      </c>
      <c r="O6065" s="5">
        <v>360</v>
      </c>
    </row>
    <row r="6066" spans="2:15" x14ac:dyDescent="0.25">
      <c r="B6066" s="1" t="s">
        <v>88</v>
      </c>
      <c r="C6066" s="2" t="s">
        <v>89</v>
      </c>
      <c r="D6066" s="2" t="s">
        <v>646</v>
      </c>
      <c r="E6066" s="2" t="s">
        <v>647</v>
      </c>
      <c r="F6066" s="3">
        <f>DATE(2024,11,14)</f>
        <v>45610</v>
      </c>
      <c r="G6066" s="4">
        <f t="shared" si="509"/>
        <v>11</v>
      </c>
      <c r="H6066" s="4">
        <f t="shared" si="510"/>
        <v>2024</v>
      </c>
      <c r="I6066" s="2" t="s">
        <v>4</v>
      </c>
      <c r="J6066" s="2" t="s">
        <v>6736</v>
      </c>
      <c r="K6066" s="2" t="s">
        <v>143</v>
      </c>
      <c r="L6066" s="2" t="s">
        <v>6737</v>
      </c>
      <c r="M6066" s="2" t="s">
        <v>145</v>
      </c>
      <c r="N6066" s="4" t="str">
        <f t="shared" si="507"/>
        <v>GAL</v>
      </c>
      <c r="O6066" s="5">
        <v>3870</v>
      </c>
    </row>
    <row r="6067" spans="2:15" x14ac:dyDescent="0.25">
      <c r="B6067" s="1" t="s">
        <v>88</v>
      </c>
      <c r="C6067" s="2" t="s">
        <v>89</v>
      </c>
      <c r="D6067" s="2" t="s">
        <v>1444</v>
      </c>
      <c r="E6067" s="2" t="s">
        <v>2864</v>
      </c>
      <c r="F6067" s="3">
        <f>DATE(2024,11,15)</f>
        <v>45611</v>
      </c>
      <c r="G6067" s="4">
        <f t="shared" si="509"/>
        <v>11</v>
      </c>
      <c r="H6067" s="4">
        <f t="shared" si="510"/>
        <v>2024</v>
      </c>
      <c r="I6067" s="2" t="s">
        <v>4</v>
      </c>
      <c r="J6067" s="2" t="s">
        <v>6738</v>
      </c>
      <c r="K6067" s="2" t="s">
        <v>1446</v>
      </c>
      <c r="L6067" s="2" t="s">
        <v>2581</v>
      </c>
      <c r="M6067" s="2" t="s">
        <v>1448</v>
      </c>
      <c r="N6067" s="4" t="str">
        <f t="shared" si="507"/>
        <v>GAL</v>
      </c>
      <c r="O6067" s="5">
        <v>360</v>
      </c>
    </row>
    <row r="6068" spans="2:15" x14ac:dyDescent="0.25">
      <c r="B6068" s="1" t="s">
        <v>88</v>
      </c>
      <c r="C6068" s="2" t="s">
        <v>89</v>
      </c>
      <c r="D6068" s="2" t="s">
        <v>1026</v>
      </c>
      <c r="E6068" s="2" t="s">
        <v>3262</v>
      </c>
      <c r="F6068" s="3">
        <f>DATE(2024,11,15)</f>
        <v>45611</v>
      </c>
      <c r="G6068" s="4">
        <f t="shared" si="509"/>
        <v>11</v>
      </c>
      <c r="H6068" s="4">
        <f t="shared" si="510"/>
        <v>2024</v>
      </c>
      <c r="I6068" s="2" t="s">
        <v>4</v>
      </c>
      <c r="J6068" s="2" t="s">
        <v>6739</v>
      </c>
      <c r="K6068" s="2" t="s">
        <v>1028</v>
      </c>
      <c r="L6068" s="2" t="s">
        <v>1029</v>
      </c>
      <c r="M6068" s="2" t="s">
        <v>106</v>
      </c>
      <c r="N6068" s="4" t="str">
        <f t="shared" si="507"/>
        <v>LBS</v>
      </c>
      <c r="O6068" s="5">
        <v>24520</v>
      </c>
    </row>
    <row r="6069" spans="2:15" x14ac:dyDescent="0.25">
      <c r="B6069" s="1" t="s">
        <v>88</v>
      </c>
      <c r="C6069" s="2" t="s">
        <v>89</v>
      </c>
      <c r="D6069" s="2" t="s">
        <v>134</v>
      </c>
      <c r="E6069" s="2" t="s">
        <v>6740</v>
      </c>
      <c r="F6069" s="3">
        <f>DATE(2024,11,20)</f>
        <v>45616</v>
      </c>
      <c r="G6069" s="4">
        <f t="shared" si="509"/>
        <v>11</v>
      </c>
      <c r="H6069" s="4">
        <f t="shared" si="510"/>
        <v>2024</v>
      </c>
      <c r="I6069" s="2" t="s">
        <v>4</v>
      </c>
      <c r="J6069" s="2" t="s">
        <v>6741</v>
      </c>
      <c r="K6069" s="2" t="s">
        <v>6742</v>
      </c>
      <c r="L6069" s="2" t="s">
        <v>6743</v>
      </c>
      <c r="M6069" s="2" t="s">
        <v>6744</v>
      </c>
      <c r="N6069" s="4" t="str">
        <f t="shared" si="507"/>
        <v>GAL</v>
      </c>
      <c r="O6069" s="5">
        <v>180</v>
      </c>
    </row>
    <row r="6070" spans="2:15" x14ac:dyDescent="0.25">
      <c r="B6070" s="1" t="s">
        <v>88</v>
      </c>
      <c r="C6070" s="2" t="s">
        <v>89</v>
      </c>
      <c r="D6070" s="2" t="s">
        <v>3265</v>
      </c>
      <c r="E6070" s="2" t="s">
        <v>3266</v>
      </c>
      <c r="F6070" s="3">
        <f>DATE(2024,11,20)</f>
        <v>45616</v>
      </c>
      <c r="G6070" s="4">
        <f t="shared" si="509"/>
        <v>11</v>
      </c>
      <c r="H6070" s="4">
        <f t="shared" si="510"/>
        <v>2024</v>
      </c>
      <c r="I6070" s="2" t="s">
        <v>4</v>
      </c>
      <c r="J6070" s="2" t="s">
        <v>6745</v>
      </c>
      <c r="K6070" s="2" t="s">
        <v>4553</v>
      </c>
      <c r="L6070" s="2" t="s">
        <v>4554</v>
      </c>
      <c r="M6070" s="2" t="s">
        <v>4555</v>
      </c>
      <c r="N6070" s="4" t="str">
        <f t="shared" si="507"/>
        <v>GAL</v>
      </c>
      <c r="O6070" s="5">
        <v>75</v>
      </c>
    </row>
    <row r="6071" spans="2:15" x14ac:dyDescent="0.25">
      <c r="B6071" s="1" t="s">
        <v>88</v>
      </c>
      <c r="C6071" s="2" t="s">
        <v>89</v>
      </c>
      <c r="D6071" s="2" t="s">
        <v>3265</v>
      </c>
      <c r="E6071" s="2" t="s">
        <v>3266</v>
      </c>
      <c r="F6071" s="3">
        <f>DATE(2024,11,20)</f>
        <v>45616</v>
      </c>
      <c r="G6071" s="4">
        <f t="shared" si="509"/>
        <v>11</v>
      </c>
      <c r="H6071" s="4">
        <f t="shared" si="510"/>
        <v>2024</v>
      </c>
      <c r="I6071" s="2" t="s">
        <v>4</v>
      </c>
      <c r="J6071" s="2" t="s">
        <v>6745</v>
      </c>
      <c r="K6071" s="2" t="s">
        <v>3268</v>
      </c>
      <c r="L6071" s="2" t="s">
        <v>3269</v>
      </c>
      <c r="M6071" s="2" t="s">
        <v>2576</v>
      </c>
      <c r="N6071" s="4" t="str">
        <f t="shared" si="507"/>
        <v>GAL</v>
      </c>
      <c r="O6071" s="5">
        <v>127</v>
      </c>
    </row>
    <row r="6072" spans="2:15" x14ac:dyDescent="0.25">
      <c r="B6072" s="1" t="s">
        <v>88</v>
      </c>
      <c r="C6072" s="2" t="s">
        <v>89</v>
      </c>
      <c r="D6072" s="2" t="s">
        <v>1111</v>
      </c>
      <c r="E6072" s="2" t="s">
        <v>1112</v>
      </c>
      <c r="F6072" s="3">
        <f>DATE(2024,11,21)</f>
        <v>45617</v>
      </c>
      <c r="G6072" s="4">
        <f t="shared" si="509"/>
        <v>11</v>
      </c>
      <c r="H6072" s="4">
        <f t="shared" si="510"/>
        <v>2024</v>
      </c>
      <c r="I6072" s="2" t="s">
        <v>4</v>
      </c>
      <c r="J6072" s="2" t="s">
        <v>6746</v>
      </c>
      <c r="K6072" s="2" t="s">
        <v>2629</v>
      </c>
      <c r="L6072" s="2" t="s">
        <v>2630</v>
      </c>
      <c r="M6072" s="2" t="s">
        <v>2631</v>
      </c>
      <c r="N6072" s="4" t="str">
        <f t="shared" si="507"/>
        <v>GAL</v>
      </c>
      <c r="O6072" s="5">
        <v>70</v>
      </c>
    </row>
    <row r="6073" spans="2:15" x14ac:dyDescent="0.25">
      <c r="B6073" s="1" t="s">
        <v>154</v>
      </c>
      <c r="C6073" s="2" t="s">
        <v>155</v>
      </c>
      <c r="D6073" s="2" t="s">
        <v>591</v>
      </c>
      <c r="E6073" s="2" t="s">
        <v>592</v>
      </c>
      <c r="F6073" s="3">
        <f>DATE(2024,11,1)</f>
        <v>45597</v>
      </c>
      <c r="G6073" s="4">
        <f t="shared" si="509"/>
        <v>11</v>
      </c>
      <c r="H6073" s="4">
        <f t="shared" si="510"/>
        <v>2024</v>
      </c>
      <c r="I6073" s="2" t="s">
        <v>4</v>
      </c>
      <c r="J6073" s="2" t="s">
        <v>6747</v>
      </c>
      <c r="K6073" s="2" t="s">
        <v>1098</v>
      </c>
      <c r="L6073" s="2" t="s">
        <v>632</v>
      </c>
      <c r="M6073" s="2" t="s">
        <v>633</v>
      </c>
      <c r="N6073" s="4" t="str">
        <f t="shared" si="507"/>
        <v>GAL</v>
      </c>
      <c r="O6073" s="5">
        <v>2947.87</v>
      </c>
    </row>
    <row r="6074" spans="2:15" x14ac:dyDescent="0.25">
      <c r="B6074" s="1" t="s">
        <v>154</v>
      </c>
      <c r="C6074" s="2" t="s">
        <v>155</v>
      </c>
      <c r="D6074" s="2" t="s">
        <v>628</v>
      </c>
      <c r="E6074" s="2" t="s">
        <v>629</v>
      </c>
      <c r="F6074" s="3">
        <f>DATE(2024,11,1)</f>
        <v>45597</v>
      </c>
      <c r="G6074" s="4">
        <f t="shared" si="509"/>
        <v>11</v>
      </c>
      <c r="H6074" s="4">
        <f t="shared" si="510"/>
        <v>2024</v>
      </c>
      <c r="I6074" s="2" t="s">
        <v>4</v>
      </c>
      <c r="J6074" s="2" t="s">
        <v>6748</v>
      </c>
      <c r="K6074" s="2" t="s">
        <v>631</v>
      </c>
      <c r="L6074" s="2" t="s">
        <v>632</v>
      </c>
      <c r="M6074" s="2" t="s">
        <v>633</v>
      </c>
      <c r="N6074" s="4" t="str">
        <f t="shared" si="507"/>
        <v>GAL</v>
      </c>
      <c r="O6074" s="5">
        <v>750</v>
      </c>
    </row>
    <row r="6075" spans="2:15" x14ac:dyDescent="0.25">
      <c r="B6075" s="1" t="s">
        <v>154</v>
      </c>
      <c r="C6075" s="2" t="s">
        <v>155</v>
      </c>
      <c r="D6075" s="2" t="s">
        <v>623</v>
      </c>
      <c r="E6075" s="2" t="s">
        <v>624</v>
      </c>
      <c r="F6075" s="3">
        <f>DATE(2024,11,4)</f>
        <v>45600</v>
      </c>
      <c r="G6075" s="4">
        <f t="shared" si="509"/>
        <v>11</v>
      </c>
      <c r="H6075" s="4">
        <f t="shared" si="510"/>
        <v>2024</v>
      </c>
      <c r="I6075" s="2" t="s">
        <v>4</v>
      </c>
      <c r="J6075" s="2" t="s">
        <v>6749</v>
      </c>
      <c r="K6075" s="2" t="s">
        <v>626</v>
      </c>
      <c r="L6075" s="2" t="s">
        <v>627</v>
      </c>
      <c r="M6075" s="2" t="s">
        <v>119</v>
      </c>
      <c r="N6075" s="4" t="str">
        <f t="shared" si="507"/>
        <v>TON</v>
      </c>
      <c r="O6075" s="5">
        <v>15.022</v>
      </c>
    </row>
    <row r="6076" spans="2:15" x14ac:dyDescent="0.25">
      <c r="B6076" s="1" t="s">
        <v>154</v>
      </c>
      <c r="C6076" s="2" t="s">
        <v>155</v>
      </c>
      <c r="D6076" s="2" t="s">
        <v>623</v>
      </c>
      <c r="E6076" s="2" t="s">
        <v>624</v>
      </c>
      <c r="F6076" s="3">
        <f>DATE(2024,11,5)</f>
        <v>45601</v>
      </c>
      <c r="G6076" s="4">
        <f t="shared" si="509"/>
        <v>11</v>
      </c>
      <c r="H6076" s="4">
        <f t="shared" si="510"/>
        <v>2024</v>
      </c>
      <c r="I6076" s="2" t="s">
        <v>4</v>
      </c>
      <c r="J6076" s="2" t="s">
        <v>6750</v>
      </c>
      <c r="K6076" s="2" t="s">
        <v>626</v>
      </c>
      <c r="L6076" s="2" t="s">
        <v>627</v>
      </c>
      <c r="M6076" s="2" t="s">
        <v>119</v>
      </c>
      <c r="N6076" s="4" t="str">
        <f t="shared" si="507"/>
        <v>TON</v>
      </c>
      <c r="O6076" s="5">
        <v>15.012499999999999</v>
      </c>
    </row>
    <row r="6077" spans="2:15" x14ac:dyDescent="0.25">
      <c r="B6077" s="1" t="s">
        <v>154</v>
      </c>
      <c r="C6077" s="2" t="s">
        <v>155</v>
      </c>
      <c r="D6077" s="2" t="s">
        <v>623</v>
      </c>
      <c r="E6077" s="2" t="s">
        <v>624</v>
      </c>
      <c r="F6077" s="3">
        <f>DATE(2024,11,11)</f>
        <v>45607</v>
      </c>
      <c r="G6077" s="4">
        <f t="shared" si="509"/>
        <v>11</v>
      </c>
      <c r="H6077" s="4">
        <f t="shared" si="510"/>
        <v>2024</v>
      </c>
      <c r="I6077" s="2" t="s">
        <v>4</v>
      </c>
      <c r="J6077" s="2" t="s">
        <v>6751</v>
      </c>
      <c r="K6077" s="2" t="s">
        <v>626</v>
      </c>
      <c r="L6077" s="2" t="s">
        <v>627</v>
      </c>
      <c r="M6077" s="2" t="s">
        <v>119</v>
      </c>
      <c r="N6077" s="4" t="str">
        <f t="shared" si="507"/>
        <v>TON</v>
      </c>
      <c r="O6077" s="5">
        <v>15.012499999999999</v>
      </c>
    </row>
    <row r="6078" spans="2:15" x14ac:dyDescent="0.25">
      <c r="B6078" s="1" t="s">
        <v>154</v>
      </c>
      <c r="C6078" s="2" t="s">
        <v>155</v>
      </c>
      <c r="D6078" s="2" t="s">
        <v>167</v>
      </c>
      <c r="E6078" s="2" t="s">
        <v>168</v>
      </c>
      <c r="F6078" s="3">
        <f>DATE(2024,11,12)</f>
        <v>45608</v>
      </c>
      <c r="G6078" s="4">
        <f t="shared" si="509"/>
        <v>11</v>
      </c>
      <c r="H6078" s="4">
        <f t="shared" si="510"/>
        <v>2024</v>
      </c>
      <c r="I6078" s="2" t="s">
        <v>4</v>
      </c>
      <c r="J6078" s="2" t="s">
        <v>6752</v>
      </c>
      <c r="K6078" s="2" t="s">
        <v>158</v>
      </c>
      <c r="L6078" s="2" t="s">
        <v>159</v>
      </c>
      <c r="M6078" s="2" t="s">
        <v>160</v>
      </c>
      <c r="N6078" s="4" t="str">
        <f t="shared" ref="N6078:N6141" si="512">+LEFT(M6078,3)</f>
        <v>GAL</v>
      </c>
      <c r="O6078" s="5">
        <v>180</v>
      </c>
    </row>
    <row r="6079" spans="2:15" x14ac:dyDescent="0.25">
      <c r="B6079" s="1" t="s">
        <v>154</v>
      </c>
      <c r="C6079" s="2" t="s">
        <v>155</v>
      </c>
      <c r="D6079" s="2" t="s">
        <v>623</v>
      </c>
      <c r="E6079" s="2" t="s">
        <v>624</v>
      </c>
      <c r="F6079" s="3">
        <f>DATE(2024,11,15)</f>
        <v>45611</v>
      </c>
      <c r="G6079" s="4">
        <f t="shared" si="509"/>
        <v>11</v>
      </c>
      <c r="H6079" s="4">
        <f t="shared" si="510"/>
        <v>2024</v>
      </c>
      <c r="I6079" s="2" t="s">
        <v>4</v>
      </c>
      <c r="J6079" s="2" t="s">
        <v>6753</v>
      </c>
      <c r="K6079" s="2" t="s">
        <v>626</v>
      </c>
      <c r="L6079" s="2" t="s">
        <v>627</v>
      </c>
      <c r="M6079" s="2" t="s">
        <v>119</v>
      </c>
      <c r="N6079" s="4" t="str">
        <f t="shared" si="512"/>
        <v>TON</v>
      </c>
      <c r="O6079" s="5">
        <v>15.025</v>
      </c>
    </row>
    <row r="6080" spans="2:15" x14ac:dyDescent="0.25">
      <c r="B6080" s="1" t="s">
        <v>154</v>
      </c>
      <c r="C6080" s="2" t="s">
        <v>155</v>
      </c>
      <c r="D6080" s="2" t="s">
        <v>167</v>
      </c>
      <c r="E6080" s="2" t="s">
        <v>168</v>
      </c>
      <c r="F6080" s="3">
        <f>DATE(2024,11,18)</f>
        <v>45614</v>
      </c>
      <c r="G6080" s="4">
        <f t="shared" si="509"/>
        <v>11</v>
      </c>
      <c r="H6080" s="4">
        <f t="shared" si="510"/>
        <v>2024</v>
      </c>
      <c r="I6080" s="2" t="s">
        <v>4</v>
      </c>
      <c r="J6080" s="2" t="s">
        <v>6754</v>
      </c>
      <c r="K6080" s="2" t="s">
        <v>158</v>
      </c>
      <c r="L6080" s="2" t="s">
        <v>159</v>
      </c>
      <c r="M6080" s="2" t="s">
        <v>160</v>
      </c>
      <c r="N6080" s="4" t="str">
        <f t="shared" si="512"/>
        <v>GAL</v>
      </c>
      <c r="O6080" s="5">
        <v>180</v>
      </c>
    </row>
    <row r="6081" spans="2:15" x14ac:dyDescent="0.25">
      <c r="B6081" s="1" t="s">
        <v>154</v>
      </c>
      <c r="C6081" s="2" t="s">
        <v>155</v>
      </c>
      <c r="D6081" s="2" t="s">
        <v>167</v>
      </c>
      <c r="E6081" s="2" t="s">
        <v>168</v>
      </c>
      <c r="F6081" s="3">
        <f>DATE(2024,11,18)</f>
        <v>45614</v>
      </c>
      <c r="G6081" s="4">
        <f t="shared" si="509"/>
        <v>11</v>
      </c>
      <c r="H6081" s="4">
        <f t="shared" si="510"/>
        <v>2024</v>
      </c>
      <c r="I6081" s="2" t="s">
        <v>4</v>
      </c>
      <c r="J6081" s="2" t="s">
        <v>6754</v>
      </c>
      <c r="K6081" s="2" t="s">
        <v>1814</v>
      </c>
      <c r="L6081" s="2" t="s">
        <v>1815</v>
      </c>
      <c r="M6081" s="2" t="s">
        <v>1816</v>
      </c>
      <c r="N6081" s="4" t="str">
        <f t="shared" si="512"/>
        <v>GAL</v>
      </c>
      <c r="O6081" s="5">
        <v>540</v>
      </c>
    </row>
    <row r="6082" spans="2:15" x14ac:dyDescent="0.25">
      <c r="B6082" s="1" t="s">
        <v>154</v>
      </c>
      <c r="C6082" s="2" t="s">
        <v>155</v>
      </c>
      <c r="D6082" s="2" t="s">
        <v>167</v>
      </c>
      <c r="E6082" s="2" t="s">
        <v>168</v>
      </c>
      <c r="F6082" s="3">
        <f>DATE(2024,11,18)</f>
        <v>45614</v>
      </c>
      <c r="G6082" s="4">
        <f t="shared" si="509"/>
        <v>11</v>
      </c>
      <c r="H6082" s="4">
        <f t="shared" si="510"/>
        <v>2024</v>
      </c>
      <c r="I6082" s="2" t="s">
        <v>4</v>
      </c>
      <c r="J6082" s="2" t="s">
        <v>6755</v>
      </c>
      <c r="K6082" s="2" t="s">
        <v>609</v>
      </c>
      <c r="L6082" s="2" t="s">
        <v>610</v>
      </c>
      <c r="M6082" s="2" t="s">
        <v>611</v>
      </c>
      <c r="N6082" s="4" t="str">
        <f t="shared" si="512"/>
        <v>GAL</v>
      </c>
      <c r="O6082" s="5">
        <v>120</v>
      </c>
    </row>
    <row r="6083" spans="2:15" x14ac:dyDescent="0.25">
      <c r="B6083" s="1" t="s">
        <v>154</v>
      </c>
      <c r="C6083" s="2" t="s">
        <v>155</v>
      </c>
      <c r="D6083" s="2" t="s">
        <v>628</v>
      </c>
      <c r="E6083" s="2" t="s">
        <v>629</v>
      </c>
      <c r="F6083" s="3">
        <f>DATE(2024,11,18)</f>
        <v>45614</v>
      </c>
      <c r="G6083" s="4">
        <f t="shared" si="509"/>
        <v>11</v>
      </c>
      <c r="H6083" s="4">
        <f t="shared" si="510"/>
        <v>2024</v>
      </c>
      <c r="I6083" s="2" t="s">
        <v>4</v>
      </c>
      <c r="J6083" s="2" t="s">
        <v>6756</v>
      </c>
      <c r="K6083" s="2" t="s">
        <v>631</v>
      </c>
      <c r="L6083" s="2" t="s">
        <v>632</v>
      </c>
      <c r="M6083" s="2" t="s">
        <v>633</v>
      </c>
      <c r="N6083" s="4" t="str">
        <f t="shared" si="512"/>
        <v>GAL</v>
      </c>
      <c r="O6083" s="5">
        <v>1500</v>
      </c>
    </row>
    <row r="6084" spans="2:15" x14ac:dyDescent="0.25">
      <c r="B6084" s="1" t="s">
        <v>154</v>
      </c>
      <c r="C6084" s="2" t="s">
        <v>155</v>
      </c>
      <c r="D6084" s="2" t="s">
        <v>623</v>
      </c>
      <c r="E6084" s="2" t="s">
        <v>624</v>
      </c>
      <c r="F6084" s="3">
        <f>DATE(2024,11,19)</f>
        <v>45615</v>
      </c>
      <c r="G6084" s="4">
        <f t="shared" si="509"/>
        <v>11</v>
      </c>
      <c r="H6084" s="4">
        <f t="shared" si="510"/>
        <v>2024</v>
      </c>
      <c r="I6084" s="2" t="s">
        <v>4</v>
      </c>
      <c r="J6084" s="2" t="s">
        <v>6757</v>
      </c>
      <c r="K6084" s="2" t="s">
        <v>626</v>
      </c>
      <c r="L6084" s="2" t="s">
        <v>627</v>
      </c>
      <c r="M6084" s="2" t="s">
        <v>119</v>
      </c>
      <c r="N6084" s="4" t="str">
        <f t="shared" si="512"/>
        <v>TON</v>
      </c>
      <c r="O6084" s="5">
        <v>15.025</v>
      </c>
    </row>
    <row r="6085" spans="2:15" x14ac:dyDescent="0.25">
      <c r="B6085" s="1" t="s">
        <v>154</v>
      </c>
      <c r="C6085" s="2" t="s">
        <v>155</v>
      </c>
      <c r="D6085" s="2" t="s">
        <v>107</v>
      </c>
      <c r="E6085" s="2" t="s">
        <v>108</v>
      </c>
      <c r="F6085" s="3">
        <f>DATE(2024,11,20)</f>
        <v>45616</v>
      </c>
      <c r="G6085" s="4">
        <f t="shared" si="509"/>
        <v>11</v>
      </c>
      <c r="H6085" s="4">
        <f t="shared" si="510"/>
        <v>2024</v>
      </c>
      <c r="I6085" s="2" t="s">
        <v>4</v>
      </c>
      <c r="J6085" s="2" t="s">
        <v>6758</v>
      </c>
      <c r="K6085" s="2" t="s">
        <v>192</v>
      </c>
      <c r="L6085" s="2" t="s">
        <v>193</v>
      </c>
      <c r="M6085" s="2" t="s">
        <v>160</v>
      </c>
      <c r="N6085" s="4" t="str">
        <f t="shared" si="512"/>
        <v>GAL</v>
      </c>
      <c r="O6085" s="5">
        <v>500</v>
      </c>
    </row>
    <row r="6086" spans="2:15" x14ac:dyDescent="0.25">
      <c r="B6086" s="1" t="s">
        <v>645</v>
      </c>
      <c r="C6086" s="2" t="s">
        <v>155</v>
      </c>
      <c r="D6086" s="2" t="s">
        <v>646</v>
      </c>
      <c r="E6086" s="2" t="s">
        <v>647</v>
      </c>
      <c r="F6086" s="3">
        <f>DATE(2024,11,26)</f>
        <v>45622</v>
      </c>
      <c r="G6086" s="4">
        <f t="shared" si="509"/>
        <v>11</v>
      </c>
      <c r="H6086" s="4">
        <f t="shared" si="510"/>
        <v>2024</v>
      </c>
      <c r="I6086" s="2" t="s">
        <v>4</v>
      </c>
      <c r="J6086" s="2" t="s">
        <v>6759</v>
      </c>
      <c r="K6086" s="2" t="s">
        <v>158</v>
      </c>
      <c r="L6086" s="2" t="s">
        <v>159</v>
      </c>
      <c r="M6086" s="2" t="s">
        <v>160</v>
      </c>
      <c r="N6086" s="4" t="str">
        <f t="shared" si="512"/>
        <v>GAL</v>
      </c>
      <c r="O6086" s="5">
        <v>540</v>
      </c>
    </row>
    <row r="6087" spans="2:15" x14ac:dyDescent="0.25">
      <c r="B6087" s="1" t="s">
        <v>154</v>
      </c>
      <c r="C6087" s="2" t="s">
        <v>155</v>
      </c>
      <c r="D6087" s="2" t="s">
        <v>1111</v>
      </c>
      <c r="E6087" s="2" t="s">
        <v>1112</v>
      </c>
      <c r="F6087" s="3">
        <f>DATE(2024,11,27)</f>
        <v>45623</v>
      </c>
      <c r="G6087" s="4">
        <f t="shared" si="509"/>
        <v>11</v>
      </c>
      <c r="H6087" s="4">
        <f t="shared" si="510"/>
        <v>2024</v>
      </c>
      <c r="I6087" s="2" t="s">
        <v>4</v>
      </c>
      <c r="J6087" s="2" t="s">
        <v>6760</v>
      </c>
      <c r="K6087" s="2" t="s">
        <v>158</v>
      </c>
      <c r="L6087" s="2" t="s">
        <v>159</v>
      </c>
      <c r="M6087" s="2" t="s">
        <v>160</v>
      </c>
      <c r="N6087" s="4" t="str">
        <f t="shared" si="512"/>
        <v>GAL</v>
      </c>
      <c r="O6087" s="5">
        <v>180</v>
      </c>
    </row>
    <row r="6088" spans="2:15" x14ac:dyDescent="0.25">
      <c r="B6088" s="1" t="s">
        <v>1520</v>
      </c>
      <c r="C6088" s="2" t="s">
        <v>196</v>
      </c>
      <c r="D6088" s="2" t="s">
        <v>4098</v>
      </c>
      <c r="E6088" s="2" t="s">
        <v>695</v>
      </c>
      <c r="F6088" s="3">
        <f t="shared" ref="F6088:F6093" si="513">DATE(2024,11,1)</f>
        <v>45597</v>
      </c>
      <c r="G6088" s="4">
        <f t="shared" si="509"/>
        <v>11</v>
      </c>
      <c r="H6088" s="4">
        <f t="shared" si="510"/>
        <v>2024</v>
      </c>
      <c r="I6088" s="2" t="s">
        <v>4</v>
      </c>
      <c r="J6088" s="2" t="s">
        <v>6761</v>
      </c>
      <c r="K6088" s="2" t="s">
        <v>329</v>
      </c>
      <c r="L6088" s="2" t="s">
        <v>330</v>
      </c>
      <c r="M6088" s="2" t="s">
        <v>119</v>
      </c>
      <c r="N6088" s="4" t="str">
        <f t="shared" si="512"/>
        <v>TON</v>
      </c>
      <c r="O6088" s="5">
        <v>2.5150000000000001</v>
      </c>
    </row>
    <row r="6089" spans="2:15" x14ac:dyDescent="0.25">
      <c r="B6089" s="1" t="s">
        <v>1520</v>
      </c>
      <c r="C6089" s="2" t="s">
        <v>196</v>
      </c>
      <c r="D6089" s="2" t="s">
        <v>114</v>
      </c>
      <c r="E6089" s="2" t="s">
        <v>5054</v>
      </c>
      <c r="F6089" s="3">
        <f t="shared" si="513"/>
        <v>45597</v>
      </c>
      <c r="G6089" s="4">
        <f t="shared" si="509"/>
        <v>11</v>
      </c>
      <c r="H6089" s="4">
        <f t="shared" si="510"/>
        <v>2024</v>
      </c>
      <c r="I6089" s="2" t="s">
        <v>4</v>
      </c>
      <c r="J6089" s="2" t="s">
        <v>6762</v>
      </c>
      <c r="K6089" s="2" t="s">
        <v>422</v>
      </c>
      <c r="L6089" s="2" t="s">
        <v>423</v>
      </c>
      <c r="M6089" s="2" t="s">
        <v>119</v>
      </c>
      <c r="N6089" s="4" t="str">
        <f t="shared" si="512"/>
        <v>TON</v>
      </c>
      <c r="O6089" s="5">
        <v>4.0025000000000004</v>
      </c>
    </row>
    <row r="6090" spans="2:15" x14ac:dyDescent="0.25">
      <c r="B6090" s="1" t="s">
        <v>1520</v>
      </c>
      <c r="C6090" s="2" t="s">
        <v>196</v>
      </c>
      <c r="D6090" s="2" t="s">
        <v>248</v>
      </c>
      <c r="E6090" s="2" t="s">
        <v>3610</v>
      </c>
      <c r="F6090" s="3">
        <f t="shared" si="513"/>
        <v>45597</v>
      </c>
      <c r="G6090" s="4">
        <f t="shared" si="509"/>
        <v>11</v>
      </c>
      <c r="H6090" s="4">
        <f t="shared" si="510"/>
        <v>2024</v>
      </c>
      <c r="I6090" s="2" t="s">
        <v>4</v>
      </c>
      <c r="J6090" s="2" t="s">
        <v>6763</v>
      </c>
      <c r="K6090" s="2" t="s">
        <v>251</v>
      </c>
      <c r="L6090" s="2" t="s">
        <v>252</v>
      </c>
      <c r="M6090" s="2" t="s">
        <v>119</v>
      </c>
      <c r="N6090" s="4" t="str">
        <f t="shared" si="512"/>
        <v>TON</v>
      </c>
      <c r="O6090" s="5">
        <v>7.5049999999999999</v>
      </c>
    </row>
    <row r="6091" spans="2:15" x14ac:dyDescent="0.25">
      <c r="B6091" s="1" t="s">
        <v>1520</v>
      </c>
      <c r="C6091" s="2" t="s">
        <v>196</v>
      </c>
      <c r="D6091" s="2" t="s">
        <v>224</v>
      </c>
      <c r="E6091" s="2" t="s">
        <v>895</v>
      </c>
      <c r="F6091" s="3">
        <f t="shared" si="513"/>
        <v>45597</v>
      </c>
      <c r="G6091" s="4">
        <f t="shared" si="509"/>
        <v>11</v>
      </c>
      <c r="H6091" s="4">
        <f t="shared" si="510"/>
        <v>2024</v>
      </c>
      <c r="I6091" s="2" t="s">
        <v>4</v>
      </c>
      <c r="J6091" s="2" t="s">
        <v>6764</v>
      </c>
      <c r="K6091" s="2" t="s">
        <v>205</v>
      </c>
      <c r="L6091" s="2" t="s">
        <v>206</v>
      </c>
      <c r="M6091" s="2" t="s">
        <v>119</v>
      </c>
      <c r="N6091" s="4" t="str">
        <f t="shared" si="512"/>
        <v>TON</v>
      </c>
      <c r="O6091" s="5">
        <v>4.9974999999999996</v>
      </c>
    </row>
    <row r="6092" spans="2:15" x14ac:dyDescent="0.25">
      <c r="B6092" s="1" t="s">
        <v>1520</v>
      </c>
      <c r="C6092" s="2" t="s">
        <v>196</v>
      </c>
      <c r="D6092" s="2" t="s">
        <v>299</v>
      </c>
      <c r="E6092" s="2" t="s">
        <v>300</v>
      </c>
      <c r="F6092" s="3">
        <f t="shared" si="513"/>
        <v>45597</v>
      </c>
      <c r="G6092" s="4">
        <f t="shared" si="509"/>
        <v>11</v>
      </c>
      <c r="H6092" s="4">
        <f t="shared" si="510"/>
        <v>2024</v>
      </c>
      <c r="I6092" s="2" t="s">
        <v>4</v>
      </c>
      <c r="J6092" s="2" t="s">
        <v>6765</v>
      </c>
      <c r="K6092" s="2" t="s">
        <v>422</v>
      </c>
      <c r="L6092" s="2" t="s">
        <v>423</v>
      </c>
      <c r="M6092" s="2" t="s">
        <v>119</v>
      </c>
      <c r="N6092" s="4" t="str">
        <f t="shared" si="512"/>
        <v>TON</v>
      </c>
      <c r="O6092" s="5">
        <v>7.51</v>
      </c>
    </row>
    <row r="6093" spans="2:15" x14ac:dyDescent="0.25">
      <c r="B6093" s="1" t="s">
        <v>1520</v>
      </c>
      <c r="C6093" s="2" t="s">
        <v>196</v>
      </c>
      <c r="D6093" s="2" t="s">
        <v>265</v>
      </c>
      <c r="E6093" s="2" t="s">
        <v>266</v>
      </c>
      <c r="F6093" s="3">
        <f t="shared" si="513"/>
        <v>45597</v>
      </c>
      <c r="G6093" s="4">
        <f t="shared" si="509"/>
        <v>11</v>
      </c>
      <c r="H6093" s="4">
        <f t="shared" si="510"/>
        <v>2024</v>
      </c>
      <c r="I6093" s="2" t="s">
        <v>4</v>
      </c>
      <c r="J6093" s="2" t="s">
        <v>6766</v>
      </c>
      <c r="K6093" s="2" t="s">
        <v>268</v>
      </c>
      <c r="L6093" s="2" t="s">
        <v>269</v>
      </c>
      <c r="M6093" s="2" t="s">
        <v>119</v>
      </c>
      <c r="N6093" s="4" t="str">
        <f t="shared" si="512"/>
        <v>TON</v>
      </c>
      <c r="O6093" s="5">
        <v>0.15</v>
      </c>
    </row>
    <row r="6094" spans="2:15" x14ac:dyDescent="0.25">
      <c r="B6094" s="1" t="s">
        <v>1520</v>
      </c>
      <c r="C6094" s="2" t="s">
        <v>196</v>
      </c>
      <c r="D6094" s="2" t="s">
        <v>6767</v>
      </c>
      <c r="E6094" s="2" t="s">
        <v>102</v>
      </c>
      <c r="F6094" s="3">
        <f t="shared" ref="F6094:F6101" si="514">DATE(2024,11,4)</f>
        <v>45600</v>
      </c>
      <c r="G6094" s="4">
        <f t="shared" si="509"/>
        <v>11</v>
      </c>
      <c r="H6094" s="4">
        <f t="shared" si="510"/>
        <v>2024</v>
      </c>
      <c r="I6094" s="2" t="s">
        <v>4</v>
      </c>
      <c r="J6094" s="2" t="s">
        <v>6768</v>
      </c>
      <c r="K6094" s="2" t="s">
        <v>205</v>
      </c>
      <c r="L6094" s="2" t="s">
        <v>206</v>
      </c>
      <c r="M6094" s="2" t="s">
        <v>119</v>
      </c>
      <c r="N6094" s="4" t="str">
        <f t="shared" si="512"/>
        <v>TON</v>
      </c>
      <c r="O6094" s="5">
        <v>2</v>
      </c>
    </row>
    <row r="6095" spans="2:15" x14ac:dyDescent="0.25">
      <c r="B6095" s="1" t="s">
        <v>1520</v>
      </c>
      <c r="C6095" s="2" t="s">
        <v>196</v>
      </c>
      <c r="D6095" s="2" t="s">
        <v>458</v>
      </c>
      <c r="E6095" s="2" t="s">
        <v>1177</v>
      </c>
      <c r="F6095" s="3">
        <f t="shared" si="514"/>
        <v>45600</v>
      </c>
      <c r="G6095" s="4">
        <f t="shared" si="509"/>
        <v>11</v>
      </c>
      <c r="H6095" s="4">
        <f t="shared" si="510"/>
        <v>2024</v>
      </c>
      <c r="I6095" s="2" t="s">
        <v>4</v>
      </c>
      <c r="J6095" s="2" t="s">
        <v>6769</v>
      </c>
      <c r="K6095" s="2" t="s">
        <v>329</v>
      </c>
      <c r="L6095" s="2" t="s">
        <v>330</v>
      </c>
      <c r="M6095" s="2" t="s">
        <v>119</v>
      </c>
      <c r="N6095" s="4" t="str">
        <f t="shared" si="512"/>
        <v>TON</v>
      </c>
      <c r="O6095" s="5">
        <v>4.0149999999999997</v>
      </c>
    </row>
    <row r="6096" spans="2:15" x14ac:dyDescent="0.25">
      <c r="B6096" s="1" t="s">
        <v>1520</v>
      </c>
      <c r="C6096" s="2" t="s">
        <v>196</v>
      </c>
      <c r="D6096" s="2" t="s">
        <v>114</v>
      </c>
      <c r="E6096" s="2" t="s">
        <v>336</v>
      </c>
      <c r="F6096" s="3">
        <f t="shared" si="514"/>
        <v>45600</v>
      </c>
      <c r="G6096" s="4">
        <f t="shared" si="509"/>
        <v>11</v>
      </c>
      <c r="H6096" s="4">
        <f t="shared" si="510"/>
        <v>2024</v>
      </c>
      <c r="I6096" s="2" t="s">
        <v>4</v>
      </c>
      <c r="J6096" s="2" t="s">
        <v>6770</v>
      </c>
      <c r="K6096" s="2" t="s">
        <v>422</v>
      </c>
      <c r="L6096" s="2" t="s">
        <v>423</v>
      </c>
      <c r="M6096" s="2" t="s">
        <v>119</v>
      </c>
      <c r="N6096" s="4" t="str">
        <f t="shared" si="512"/>
        <v>TON</v>
      </c>
      <c r="O6096" s="5">
        <v>2.5074999999999998</v>
      </c>
    </row>
    <row r="6097" spans="2:15" x14ac:dyDescent="0.25">
      <c r="B6097" s="1" t="s">
        <v>1520</v>
      </c>
      <c r="C6097" s="2" t="s">
        <v>196</v>
      </c>
      <c r="D6097" s="2" t="s">
        <v>299</v>
      </c>
      <c r="E6097" s="2" t="s">
        <v>2410</v>
      </c>
      <c r="F6097" s="3">
        <f t="shared" si="514"/>
        <v>45600</v>
      </c>
      <c r="G6097" s="4">
        <f t="shared" si="509"/>
        <v>11</v>
      </c>
      <c r="H6097" s="4">
        <f t="shared" si="510"/>
        <v>2024</v>
      </c>
      <c r="I6097" s="2" t="s">
        <v>4</v>
      </c>
      <c r="J6097" s="2" t="s">
        <v>6771</v>
      </c>
      <c r="K6097" s="2" t="s">
        <v>422</v>
      </c>
      <c r="L6097" s="2" t="s">
        <v>423</v>
      </c>
      <c r="M6097" s="2" t="s">
        <v>119</v>
      </c>
      <c r="N6097" s="4" t="str">
        <f t="shared" si="512"/>
        <v>TON</v>
      </c>
      <c r="O6097" s="5">
        <v>15.0175</v>
      </c>
    </row>
    <row r="6098" spans="2:15" x14ac:dyDescent="0.25">
      <c r="B6098" s="1" t="s">
        <v>1520</v>
      </c>
      <c r="C6098" s="2" t="s">
        <v>196</v>
      </c>
      <c r="D6098" s="2" t="s">
        <v>452</v>
      </c>
      <c r="E6098" s="2" t="s">
        <v>222</v>
      </c>
      <c r="F6098" s="3">
        <f t="shared" si="514"/>
        <v>45600</v>
      </c>
      <c r="G6098" s="4">
        <f t="shared" ref="G6098:G6161" si="515">+MONTH(F6098)</f>
        <v>11</v>
      </c>
      <c r="H6098" s="4">
        <f t="shared" ref="H6098:H6161" si="516">+YEAR(F6098)</f>
        <v>2024</v>
      </c>
      <c r="I6098" s="2" t="s">
        <v>4</v>
      </c>
      <c r="J6098" s="2" t="s">
        <v>6772</v>
      </c>
      <c r="K6098" s="2" t="s">
        <v>205</v>
      </c>
      <c r="L6098" s="2" t="s">
        <v>206</v>
      </c>
      <c r="M6098" s="2" t="s">
        <v>119</v>
      </c>
      <c r="N6098" s="4" t="str">
        <f t="shared" si="512"/>
        <v>TON</v>
      </c>
      <c r="O6098" s="5">
        <v>2.5</v>
      </c>
    </row>
    <row r="6099" spans="2:15" x14ac:dyDescent="0.25">
      <c r="B6099" s="1" t="s">
        <v>1520</v>
      </c>
      <c r="C6099" s="2" t="s">
        <v>196</v>
      </c>
      <c r="D6099" s="2" t="s">
        <v>215</v>
      </c>
      <c r="E6099" s="2" t="s">
        <v>313</v>
      </c>
      <c r="F6099" s="3">
        <f t="shared" si="514"/>
        <v>45600</v>
      </c>
      <c r="G6099" s="4">
        <f t="shared" si="515"/>
        <v>11</v>
      </c>
      <c r="H6099" s="4">
        <f t="shared" si="516"/>
        <v>2024</v>
      </c>
      <c r="I6099" s="2" t="s">
        <v>4</v>
      </c>
      <c r="J6099" s="2" t="s">
        <v>6773</v>
      </c>
      <c r="K6099" s="2" t="s">
        <v>205</v>
      </c>
      <c r="L6099" s="2" t="s">
        <v>206</v>
      </c>
      <c r="M6099" s="2" t="s">
        <v>119</v>
      </c>
      <c r="N6099" s="4" t="str">
        <f t="shared" si="512"/>
        <v>TON</v>
      </c>
      <c r="O6099" s="5">
        <v>3.75</v>
      </c>
    </row>
    <row r="6100" spans="2:15" x14ac:dyDescent="0.25">
      <c r="B6100" s="1" t="s">
        <v>1520</v>
      </c>
      <c r="C6100" s="2" t="s">
        <v>196</v>
      </c>
      <c r="D6100" s="2" t="s">
        <v>2002</v>
      </c>
      <c r="E6100" s="2" t="s">
        <v>6774</v>
      </c>
      <c r="F6100" s="3">
        <f t="shared" si="514"/>
        <v>45600</v>
      </c>
      <c r="G6100" s="4">
        <f t="shared" si="515"/>
        <v>11</v>
      </c>
      <c r="H6100" s="4">
        <f t="shared" si="516"/>
        <v>2024</v>
      </c>
      <c r="I6100" s="2" t="s">
        <v>4</v>
      </c>
      <c r="J6100" s="2" t="s">
        <v>6775</v>
      </c>
      <c r="K6100" s="2" t="s">
        <v>205</v>
      </c>
      <c r="L6100" s="2" t="s">
        <v>206</v>
      </c>
      <c r="M6100" s="2" t="s">
        <v>119</v>
      </c>
      <c r="N6100" s="4" t="str">
        <f t="shared" si="512"/>
        <v>TON</v>
      </c>
      <c r="O6100" s="5">
        <v>3.75</v>
      </c>
    </row>
    <row r="6101" spans="2:15" x14ac:dyDescent="0.25">
      <c r="B6101" s="1" t="s">
        <v>1520</v>
      </c>
      <c r="C6101" s="2" t="s">
        <v>196</v>
      </c>
      <c r="D6101" s="2" t="s">
        <v>273</v>
      </c>
      <c r="E6101" s="2" t="s">
        <v>274</v>
      </c>
      <c r="F6101" s="3">
        <f t="shared" si="514"/>
        <v>45600</v>
      </c>
      <c r="G6101" s="4">
        <f t="shared" si="515"/>
        <v>11</v>
      </c>
      <c r="H6101" s="4">
        <f t="shared" si="516"/>
        <v>2024</v>
      </c>
      <c r="I6101" s="2" t="s">
        <v>4</v>
      </c>
      <c r="J6101" s="2" t="s">
        <v>6776</v>
      </c>
      <c r="K6101" s="2" t="s">
        <v>384</v>
      </c>
      <c r="L6101" s="2" t="s">
        <v>385</v>
      </c>
      <c r="M6101" s="2" t="s">
        <v>119</v>
      </c>
      <c r="N6101" s="4" t="str">
        <f t="shared" si="512"/>
        <v>TON</v>
      </c>
      <c r="O6101" s="5">
        <v>2.5225</v>
      </c>
    </row>
    <row r="6102" spans="2:15" x14ac:dyDescent="0.25">
      <c r="B6102" s="1" t="s">
        <v>1520</v>
      </c>
      <c r="C6102" s="2" t="s">
        <v>196</v>
      </c>
      <c r="D6102" s="2" t="s">
        <v>210</v>
      </c>
      <c r="E6102" s="2" t="s">
        <v>141</v>
      </c>
      <c r="F6102" s="3">
        <f t="shared" ref="F6102:F6111" si="517">DATE(2024,11,5)</f>
        <v>45601</v>
      </c>
      <c r="G6102" s="4">
        <f t="shared" si="515"/>
        <v>11</v>
      </c>
      <c r="H6102" s="4">
        <f t="shared" si="516"/>
        <v>2024</v>
      </c>
      <c r="I6102" s="2" t="s">
        <v>4</v>
      </c>
      <c r="J6102" s="2" t="s">
        <v>6777</v>
      </c>
      <c r="K6102" s="2" t="s">
        <v>817</v>
      </c>
      <c r="L6102" s="2" t="s">
        <v>818</v>
      </c>
      <c r="M6102" s="2" t="s">
        <v>556</v>
      </c>
      <c r="N6102" s="4" t="str">
        <f t="shared" si="512"/>
        <v>GAL</v>
      </c>
      <c r="O6102" s="5">
        <v>20</v>
      </c>
    </row>
    <row r="6103" spans="2:15" x14ac:dyDescent="0.25">
      <c r="B6103" s="1" t="s">
        <v>1520</v>
      </c>
      <c r="C6103" s="2" t="s">
        <v>196</v>
      </c>
      <c r="D6103" s="2" t="s">
        <v>114</v>
      </c>
      <c r="E6103" s="2" t="s">
        <v>1585</v>
      </c>
      <c r="F6103" s="3">
        <f t="shared" si="517"/>
        <v>45601</v>
      </c>
      <c r="G6103" s="4">
        <f t="shared" si="515"/>
        <v>11</v>
      </c>
      <c r="H6103" s="4">
        <f t="shared" si="516"/>
        <v>2024</v>
      </c>
      <c r="I6103" s="2" t="s">
        <v>4</v>
      </c>
      <c r="J6103" s="2" t="s">
        <v>6778</v>
      </c>
      <c r="K6103" s="2" t="s">
        <v>422</v>
      </c>
      <c r="L6103" s="2" t="s">
        <v>423</v>
      </c>
      <c r="M6103" s="2" t="s">
        <v>119</v>
      </c>
      <c r="N6103" s="4" t="str">
        <f t="shared" si="512"/>
        <v>TON</v>
      </c>
      <c r="O6103" s="5">
        <v>7.52</v>
      </c>
    </row>
    <row r="6104" spans="2:15" x14ac:dyDescent="0.25">
      <c r="B6104" s="1" t="s">
        <v>1520</v>
      </c>
      <c r="C6104" s="2" t="s">
        <v>196</v>
      </c>
      <c r="D6104" s="2" t="s">
        <v>276</v>
      </c>
      <c r="E6104" s="2" t="s">
        <v>277</v>
      </c>
      <c r="F6104" s="3">
        <f t="shared" si="517"/>
        <v>45601</v>
      </c>
      <c r="G6104" s="4">
        <f t="shared" si="515"/>
        <v>11</v>
      </c>
      <c r="H6104" s="4">
        <f t="shared" si="516"/>
        <v>2024</v>
      </c>
      <c r="I6104" s="2" t="s">
        <v>4</v>
      </c>
      <c r="J6104" s="2" t="s">
        <v>6779</v>
      </c>
      <c r="K6104" s="2" t="s">
        <v>329</v>
      </c>
      <c r="L6104" s="2" t="s">
        <v>330</v>
      </c>
      <c r="M6104" s="2" t="s">
        <v>119</v>
      </c>
      <c r="N6104" s="4" t="str">
        <f t="shared" si="512"/>
        <v>TON</v>
      </c>
      <c r="O6104" s="5">
        <v>2.012</v>
      </c>
    </row>
    <row r="6105" spans="2:15" x14ac:dyDescent="0.25">
      <c r="B6105" s="1" t="s">
        <v>1520</v>
      </c>
      <c r="C6105" s="2" t="s">
        <v>196</v>
      </c>
      <c r="D6105" s="2" t="s">
        <v>232</v>
      </c>
      <c r="E6105" s="2" t="s">
        <v>6657</v>
      </c>
      <c r="F6105" s="3">
        <f t="shared" si="517"/>
        <v>45601</v>
      </c>
      <c r="G6105" s="4">
        <f t="shared" si="515"/>
        <v>11</v>
      </c>
      <c r="H6105" s="4">
        <f t="shared" si="516"/>
        <v>2024</v>
      </c>
      <c r="I6105" s="2" t="s">
        <v>4</v>
      </c>
      <c r="J6105" s="2" t="s">
        <v>6780</v>
      </c>
      <c r="K6105" s="2" t="s">
        <v>823</v>
      </c>
      <c r="L6105" s="2" t="s">
        <v>776</v>
      </c>
      <c r="M6105" s="2" t="s">
        <v>82</v>
      </c>
      <c r="N6105" s="4" t="str">
        <f t="shared" si="512"/>
        <v>GAL</v>
      </c>
      <c r="O6105" s="5">
        <v>500</v>
      </c>
    </row>
    <row r="6106" spans="2:15" x14ac:dyDescent="0.25">
      <c r="B6106" s="1" t="s">
        <v>1520</v>
      </c>
      <c r="C6106" s="2" t="s">
        <v>196</v>
      </c>
      <c r="D6106" s="2" t="s">
        <v>232</v>
      </c>
      <c r="E6106" s="2" t="s">
        <v>778</v>
      </c>
      <c r="F6106" s="3">
        <f t="shared" si="517"/>
        <v>45601</v>
      </c>
      <c r="G6106" s="4">
        <f t="shared" si="515"/>
        <v>11</v>
      </c>
      <c r="H6106" s="4">
        <f t="shared" si="516"/>
        <v>2024</v>
      </c>
      <c r="I6106" s="2" t="s">
        <v>4</v>
      </c>
      <c r="J6106" s="2" t="s">
        <v>6781</v>
      </c>
      <c r="K6106" s="2" t="s">
        <v>205</v>
      </c>
      <c r="L6106" s="2" t="s">
        <v>206</v>
      </c>
      <c r="M6106" s="2" t="s">
        <v>119</v>
      </c>
      <c r="N6106" s="4" t="str">
        <f t="shared" si="512"/>
        <v>TON</v>
      </c>
      <c r="O6106" s="5">
        <v>10</v>
      </c>
    </row>
    <row r="6107" spans="2:15" x14ac:dyDescent="0.25">
      <c r="B6107" s="1" t="s">
        <v>1520</v>
      </c>
      <c r="C6107" s="2" t="s">
        <v>196</v>
      </c>
      <c r="D6107" s="2" t="s">
        <v>276</v>
      </c>
      <c r="E6107" s="2" t="s">
        <v>682</v>
      </c>
      <c r="F6107" s="3">
        <f t="shared" si="517"/>
        <v>45601</v>
      </c>
      <c r="G6107" s="4">
        <f t="shared" si="515"/>
        <v>11</v>
      </c>
      <c r="H6107" s="4">
        <f t="shared" si="516"/>
        <v>2024</v>
      </c>
      <c r="I6107" s="2" t="s">
        <v>4</v>
      </c>
      <c r="J6107" s="2" t="s">
        <v>6782</v>
      </c>
      <c r="K6107" s="2" t="s">
        <v>329</v>
      </c>
      <c r="L6107" s="2" t="s">
        <v>330</v>
      </c>
      <c r="M6107" s="2" t="s">
        <v>119</v>
      </c>
      <c r="N6107" s="4" t="str">
        <f t="shared" si="512"/>
        <v>TON</v>
      </c>
      <c r="O6107" s="5">
        <v>15.0075</v>
      </c>
    </row>
    <row r="6108" spans="2:15" x14ac:dyDescent="0.25">
      <c r="B6108" s="1" t="s">
        <v>645</v>
      </c>
      <c r="C6108" s="2" t="s">
        <v>196</v>
      </c>
      <c r="D6108" s="2" t="s">
        <v>6783</v>
      </c>
      <c r="E6108" s="2" t="s">
        <v>141</v>
      </c>
      <c r="F6108" s="3">
        <f t="shared" si="517"/>
        <v>45601</v>
      </c>
      <c r="G6108" s="4">
        <f t="shared" si="515"/>
        <v>11</v>
      </c>
      <c r="H6108" s="4">
        <f t="shared" si="516"/>
        <v>2024</v>
      </c>
      <c r="I6108" s="2" t="s">
        <v>4</v>
      </c>
      <c r="J6108" s="2" t="s">
        <v>6784</v>
      </c>
      <c r="K6108" s="2" t="s">
        <v>6554</v>
      </c>
      <c r="L6108" s="2" t="s">
        <v>6555</v>
      </c>
      <c r="M6108" s="2" t="s">
        <v>119</v>
      </c>
      <c r="N6108" s="4" t="str">
        <f t="shared" si="512"/>
        <v>TON</v>
      </c>
      <c r="O6108" s="5">
        <v>1.2350000000000001</v>
      </c>
    </row>
    <row r="6109" spans="2:15" x14ac:dyDescent="0.25">
      <c r="B6109" s="1" t="s">
        <v>645</v>
      </c>
      <c r="C6109" s="2" t="s">
        <v>196</v>
      </c>
      <c r="D6109" s="2" t="s">
        <v>790</v>
      </c>
      <c r="E6109" s="2" t="s">
        <v>791</v>
      </c>
      <c r="F6109" s="3">
        <f t="shared" si="517"/>
        <v>45601</v>
      </c>
      <c r="G6109" s="4">
        <f t="shared" si="515"/>
        <v>11</v>
      </c>
      <c r="H6109" s="4">
        <f t="shared" si="516"/>
        <v>2024</v>
      </c>
      <c r="I6109" s="2" t="s">
        <v>4</v>
      </c>
      <c r="J6109" s="2" t="s">
        <v>6785</v>
      </c>
      <c r="K6109" s="2" t="s">
        <v>122</v>
      </c>
      <c r="L6109" s="2" t="s">
        <v>123</v>
      </c>
      <c r="M6109" s="2" t="s">
        <v>119</v>
      </c>
      <c r="N6109" s="4" t="str">
        <f t="shared" si="512"/>
        <v>TON</v>
      </c>
      <c r="O6109" s="5">
        <v>5.03</v>
      </c>
    </row>
    <row r="6110" spans="2:15" x14ac:dyDescent="0.25">
      <c r="B6110" s="1" t="s">
        <v>1520</v>
      </c>
      <c r="C6110" s="2" t="s">
        <v>196</v>
      </c>
      <c r="D6110" s="2" t="s">
        <v>3761</v>
      </c>
      <c r="E6110" s="2" t="s">
        <v>3762</v>
      </c>
      <c r="F6110" s="3">
        <f t="shared" si="517"/>
        <v>45601</v>
      </c>
      <c r="G6110" s="4">
        <f t="shared" si="515"/>
        <v>11</v>
      </c>
      <c r="H6110" s="4">
        <f t="shared" si="516"/>
        <v>2024</v>
      </c>
      <c r="I6110" s="2" t="s">
        <v>4</v>
      </c>
      <c r="J6110" s="2" t="s">
        <v>6786</v>
      </c>
      <c r="K6110" s="2" t="s">
        <v>205</v>
      </c>
      <c r="L6110" s="2" t="s">
        <v>206</v>
      </c>
      <c r="M6110" s="2" t="s">
        <v>119</v>
      </c>
      <c r="N6110" s="4" t="str">
        <f t="shared" si="512"/>
        <v>TON</v>
      </c>
      <c r="O6110" s="5">
        <v>10</v>
      </c>
    </row>
    <row r="6111" spans="2:15" x14ac:dyDescent="0.25">
      <c r="B6111" s="1" t="s">
        <v>1520</v>
      </c>
      <c r="C6111" s="2" t="s">
        <v>196</v>
      </c>
      <c r="D6111" s="2" t="s">
        <v>6651</v>
      </c>
      <c r="E6111" s="2" t="s">
        <v>6652</v>
      </c>
      <c r="F6111" s="3">
        <f t="shared" si="517"/>
        <v>45601</v>
      </c>
      <c r="G6111" s="4">
        <f t="shared" si="515"/>
        <v>11</v>
      </c>
      <c r="H6111" s="4">
        <f t="shared" si="516"/>
        <v>2024</v>
      </c>
      <c r="I6111" s="2" t="s">
        <v>4</v>
      </c>
      <c r="J6111" s="2" t="s">
        <v>6787</v>
      </c>
      <c r="K6111" s="2" t="s">
        <v>205</v>
      </c>
      <c r="L6111" s="2" t="s">
        <v>206</v>
      </c>
      <c r="M6111" s="2" t="s">
        <v>119</v>
      </c>
      <c r="N6111" s="4" t="str">
        <f t="shared" si="512"/>
        <v>TON</v>
      </c>
      <c r="O6111" s="5">
        <v>5</v>
      </c>
    </row>
    <row r="6112" spans="2:15" x14ac:dyDescent="0.25">
      <c r="B6112" s="1" t="s">
        <v>1520</v>
      </c>
      <c r="C6112" s="2" t="s">
        <v>196</v>
      </c>
      <c r="D6112" s="2" t="s">
        <v>404</v>
      </c>
      <c r="E6112" s="2" t="s">
        <v>405</v>
      </c>
      <c r="F6112" s="3">
        <f>DATE(2024,11,6)</f>
        <v>45602</v>
      </c>
      <c r="G6112" s="4">
        <f t="shared" si="515"/>
        <v>11</v>
      </c>
      <c r="H6112" s="4">
        <f t="shared" si="516"/>
        <v>2024</v>
      </c>
      <c r="I6112" s="2" t="s">
        <v>4</v>
      </c>
      <c r="J6112" s="2" t="s">
        <v>6788</v>
      </c>
      <c r="K6112" s="2" t="s">
        <v>2447</v>
      </c>
      <c r="L6112" s="2" t="s">
        <v>547</v>
      </c>
      <c r="M6112" s="2" t="s">
        <v>160</v>
      </c>
      <c r="N6112" s="4" t="str">
        <f t="shared" si="512"/>
        <v>GAL</v>
      </c>
      <c r="O6112" s="5">
        <v>5</v>
      </c>
    </row>
    <row r="6113" spans="2:15" x14ac:dyDescent="0.25">
      <c r="B6113" s="1" t="s">
        <v>1520</v>
      </c>
      <c r="C6113" s="2" t="s">
        <v>196</v>
      </c>
      <c r="D6113" s="2" t="s">
        <v>404</v>
      </c>
      <c r="E6113" s="2" t="s">
        <v>405</v>
      </c>
      <c r="F6113" s="3">
        <f>DATE(2024,11,6)</f>
        <v>45602</v>
      </c>
      <c r="G6113" s="4">
        <f t="shared" si="515"/>
        <v>11</v>
      </c>
      <c r="H6113" s="4">
        <f t="shared" si="516"/>
        <v>2024</v>
      </c>
      <c r="I6113" s="2" t="s">
        <v>4</v>
      </c>
      <c r="J6113" s="2" t="s">
        <v>6788</v>
      </c>
      <c r="K6113" s="2" t="s">
        <v>531</v>
      </c>
      <c r="L6113" s="2" t="s">
        <v>201</v>
      </c>
      <c r="M6113" s="2" t="s">
        <v>202</v>
      </c>
      <c r="N6113" s="4" t="str">
        <f t="shared" si="512"/>
        <v>GAL</v>
      </c>
      <c r="O6113" s="5">
        <v>30</v>
      </c>
    </row>
    <row r="6114" spans="2:15" x14ac:dyDescent="0.25">
      <c r="B6114" s="1" t="s">
        <v>1520</v>
      </c>
      <c r="C6114" s="2" t="s">
        <v>196</v>
      </c>
      <c r="D6114" s="2" t="s">
        <v>1343</v>
      </c>
      <c r="E6114" s="2" t="s">
        <v>4151</v>
      </c>
      <c r="F6114" s="3">
        <f>DATE(2024,11,6)</f>
        <v>45602</v>
      </c>
      <c r="G6114" s="4">
        <f t="shared" si="515"/>
        <v>11</v>
      </c>
      <c r="H6114" s="4">
        <f t="shared" si="516"/>
        <v>2024</v>
      </c>
      <c r="I6114" s="2" t="s">
        <v>4</v>
      </c>
      <c r="J6114" s="2" t="s">
        <v>6789</v>
      </c>
      <c r="K6114" s="2" t="s">
        <v>3726</v>
      </c>
      <c r="L6114" s="2" t="s">
        <v>3727</v>
      </c>
      <c r="M6114" s="2" t="s">
        <v>145</v>
      </c>
      <c r="N6114" s="4" t="str">
        <f t="shared" si="512"/>
        <v>GAL</v>
      </c>
      <c r="O6114" s="5">
        <v>3.75</v>
      </c>
    </row>
    <row r="6115" spans="2:15" x14ac:dyDescent="0.25">
      <c r="B6115" s="1" t="s">
        <v>1520</v>
      </c>
      <c r="C6115" s="2" t="s">
        <v>196</v>
      </c>
      <c r="D6115" s="2" t="s">
        <v>1343</v>
      </c>
      <c r="E6115" s="2" t="s">
        <v>4151</v>
      </c>
      <c r="F6115" s="3">
        <f>DATE(2024,11,6)</f>
        <v>45602</v>
      </c>
      <c r="G6115" s="4">
        <f t="shared" si="515"/>
        <v>11</v>
      </c>
      <c r="H6115" s="4">
        <f t="shared" si="516"/>
        <v>2024</v>
      </c>
      <c r="I6115" s="2" t="s">
        <v>4</v>
      </c>
      <c r="J6115" s="2" t="s">
        <v>6789</v>
      </c>
      <c r="K6115" s="2" t="s">
        <v>422</v>
      </c>
      <c r="L6115" s="2" t="s">
        <v>423</v>
      </c>
      <c r="M6115" s="2" t="s">
        <v>119</v>
      </c>
      <c r="N6115" s="4" t="str">
        <f t="shared" si="512"/>
        <v>TON</v>
      </c>
      <c r="O6115" s="5">
        <v>10.0275</v>
      </c>
    </row>
    <row r="6116" spans="2:15" x14ac:dyDescent="0.25">
      <c r="B6116" s="1" t="s">
        <v>1520</v>
      </c>
      <c r="C6116" s="2" t="s">
        <v>196</v>
      </c>
      <c r="D6116" s="2" t="s">
        <v>114</v>
      </c>
      <c r="E6116" s="2" t="s">
        <v>377</v>
      </c>
      <c r="F6116" s="3">
        <f>DATE(2024,11,5)</f>
        <v>45601</v>
      </c>
      <c r="G6116" s="4">
        <f t="shared" si="515"/>
        <v>11</v>
      </c>
      <c r="H6116" s="4">
        <f t="shared" si="516"/>
        <v>2024</v>
      </c>
      <c r="I6116" s="2" t="s">
        <v>4</v>
      </c>
      <c r="J6116" s="2" t="s">
        <v>6790</v>
      </c>
      <c r="K6116" s="2" t="s">
        <v>422</v>
      </c>
      <c r="L6116" s="2" t="s">
        <v>423</v>
      </c>
      <c r="M6116" s="2" t="s">
        <v>119</v>
      </c>
      <c r="N6116" s="4" t="str">
        <f t="shared" si="512"/>
        <v>TON</v>
      </c>
      <c r="O6116" s="5">
        <v>5.0125000000000002</v>
      </c>
    </row>
    <row r="6117" spans="2:15" x14ac:dyDescent="0.25">
      <c r="B6117" s="1" t="s">
        <v>1520</v>
      </c>
      <c r="C6117" s="2" t="s">
        <v>196</v>
      </c>
      <c r="D6117" s="2" t="s">
        <v>265</v>
      </c>
      <c r="E6117" s="2" t="s">
        <v>266</v>
      </c>
      <c r="F6117" s="3">
        <f>DATE(2024,11,6)</f>
        <v>45602</v>
      </c>
      <c r="G6117" s="4">
        <f t="shared" si="515"/>
        <v>11</v>
      </c>
      <c r="H6117" s="4">
        <f t="shared" si="516"/>
        <v>2024</v>
      </c>
      <c r="I6117" s="2" t="s">
        <v>4</v>
      </c>
      <c r="J6117" s="2" t="s">
        <v>6791</v>
      </c>
      <c r="K6117" s="2" t="s">
        <v>268</v>
      </c>
      <c r="L6117" s="2" t="s">
        <v>269</v>
      </c>
      <c r="M6117" s="2" t="s">
        <v>119</v>
      </c>
      <c r="N6117" s="4" t="str">
        <f t="shared" si="512"/>
        <v>TON</v>
      </c>
      <c r="O6117" s="5">
        <v>0.3</v>
      </c>
    </row>
    <row r="6118" spans="2:15" x14ac:dyDescent="0.25">
      <c r="B6118" s="1" t="s">
        <v>1520</v>
      </c>
      <c r="C6118" s="2" t="s">
        <v>196</v>
      </c>
      <c r="D6118" s="2" t="s">
        <v>114</v>
      </c>
      <c r="E6118" s="2" t="s">
        <v>336</v>
      </c>
      <c r="F6118" s="3">
        <f>DATE(2024,11,6)</f>
        <v>45602</v>
      </c>
      <c r="G6118" s="4">
        <f t="shared" si="515"/>
        <v>11</v>
      </c>
      <c r="H6118" s="4">
        <f t="shared" si="516"/>
        <v>2024</v>
      </c>
      <c r="I6118" s="2" t="s">
        <v>4</v>
      </c>
      <c r="J6118" s="2" t="s">
        <v>6792</v>
      </c>
      <c r="K6118" s="2" t="s">
        <v>422</v>
      </c>
      <c r="L6118" s="2" t="s">
        <v>423</v>
      </c>
      <c r="M6118" s="2" t="s">
        <v>119</v>
      </c>
      <c r="N6118" s="4" t="str">
        <f t="shared" si="512"/>
        <v>TON</v>
      </c>
      <c r="O6118" s="5">
        <v>2.0125000000000002</v>
      </c>
    </row>
    <row r="6119" spans="2:15" x14ac:dyDescent="0.25">
      <c r="B6119" s="1" t="s">
        <v>1520</v>
      </c>
      <c r="C6119" s="2" t="s">
        <v>196</v>
      </c>
      <c r="D6119" s="2" t="s">
        <v>114</v>
      </c>
      <c r="E6119" s="2" t="s">
        <v>3751</v>
      </c>
      <c r="F6119" s="3">
        <f>DATE(2024,11,6)</f>
        <v>45602</v>
      </c>
      <c r="G6119" s="4">
        <f t="shared" si="515"/>
        <v>11</v>
      </c>
      <c r="H6119" s="4">
        <f t="shared" si="516"/>
        <v>2024</v>
      </c>
      <c r="I6119" s="2" t="s">
        <v>4</v>
      </c>
      <c r="J6119" s="2" t="s">
        <v>6793</v>
      </c>
      <c r="K6119" s="2" t="s">
        <v>422</v>
      </c>
      <c r="L6119" s="2" t="s">
        <v>423</v>
      </c>
      <c r="M6119" s="2" t="s">
        <v>119</v>
      </c>
      <c r="N6119" s="4" t="str">
        <f t="shared" si="512"/>
        <v>TON</v>
      </c>
      <c r="O6119" s="5">
        <v>14.515000000000001</v>
      </c>
    </row>
    <row r="6120" spans="2:15" x14ac:dyDescent="0.25">
      <c r="B6120" s="1" t="s">
        <v>1520</v>
      </c>
      <c r="C6120" s="2" t="s">
        <v>196</v>
      </c>
      <c r="D6120" s="2" t="s">
        <v>404</v>
      </c>
      <c r="E6120" s="2" t="s">
        <v>405</v>
      </c>
      <c r="F6120" s="3">
        <f>DATE(2024,11,6)</f>
        <v>45602</v>
      </c>
      <c r="G6120" s="4">
        <f t="shared" si="515"/>
        <v>11</v>
      </c>
      <c r="H6120" s="4">
        <f t="shared" si="516"/>
        <v>2024</v>
      </c>
      <c r="I6120" s="2" t="s">
        <v>4</v>
      </c>
      <c r="J6120" s="2" t="s">
        <v>6794</v>
      </c>
      <c r="K6120" s="2" t="s">
        <v>122</v>
      </c>
      <c r="L6120" s="2" t="s">
        <v>123</v>
      </c>
      <c r="M6120" s="2" t="s">
        <v>119</v>
      </c>
      <c r="N6120" s="4" t="str">
        <f t="shared" si="512"/>
        <v>TON</v>
      </c>
      <c r="O6120" s="5">
        <v>2.4849999999999999</v>
      </c>
    </row>
    <row r="6121" spans="2:15" x14ac:dyDescent="0.25">
      <c r="B6121" s="1" t="s">
        <v>1520</v>
      </c>
      <c r="C6121" s="2" t="s">
        <v>196</v>
      </c>
      <c r="D6121" s="2" t="s">
        <v>248</v>
      </c>
      <c r="E6121" s="2" t="s">
        <v>6795</v>
      </c>
      <c r="F6121" s="3">
        <f t="shared" ref="F6121:F6131" si="518">DATE(2024,11,7)</f>
        <v>45603</v>
      </c>
      <c r="G6121" s="4">
        <f t="shared" si="515"/>
        <v>11</v>
      </c>
      <c r="H6121" s="4">
        <f t="shared" si="516"/>
        <v>2024</v>
      </c>
      <c r="I6121" s="2" t="s">
        <v>4</v>
      </c>
      <c r="J6121" s="2" t="s">
        <v>6796</v>
      </c>
      <c r="K6121" s="2" t="s">
        <v>251</v>
      </c>
      <c r="L6121" s="2" t="s">
        <v>252</v>
      </c>
      <c r="M6121" s="2" t="s">
        <v>119</v>
      </c>
      <c r="N6121" s="4" t="str">
        <f t="shared" si="512"/>
        <v>TON</v>
      </c>
      <c r="O6121" s="5">
        <v>0.51249999999999996</v>
      </c>
    </row>
    <row r="6122" spans="2:15" x14ac:dyDescent="0.25">
      <c r="B6122" s="1" t="s">
        <v>1520</v>
      </c>
      <c r="C6122" s="2" t="s">
        <v>196</v>
      </c>
      <c r="D6122" s="2" t="s">
        <v>452</v>
      </c>
      <c r="E6122" s="2" t="s">
        <v>1167</v>
      </c>
      <c r="F6122" s="3">
        <f t="shared" si="518"/>
        <v>45603</v>
      </c>
      <c r="G6122" s="4">
        <f t="shared" si="515"/>
        <v>11</v>
      </c>
      <c r="H6122" s="4">
        <f t="shared" si="516"/>
        <v>2024</v>
      </c>
      <c r="I6122" s="2" t="s">
        <v>4</v>
      </c>
      <c r="J6122" s="2" t="s">
        <v>6797</v>
      </c>
      <c r="K6122" s="2" t="s">
        <v>205</v>
      </c>
      <c r="L6122" s="2" t="s">
        <v>206</v>
      </c>
      <c r="M6122" s="2" t="s">
        <v>119</v>
      </c>
      <c r="N6122" s="4" t="str">
        <f t="shared" si="512"/>
        <v>TON</v>
      </c>
      <c r="O6122" s="5">
        <v>2.5024999999999999</v>
      </c>
    </row>
    <row r="6123" spans="2:15" x14ac:dyDescent="0.25">
      <c r="B6123" s="1" t="s">
        <v>1520</v>
      </c>
      <c r="C6123" s="2" t="s">
        <v>196</v>
      </c>
      <c r="D6123" s="2" t="s">
        <v>418</v>
      </c>
      <c r="E6123" s="2" t="s">
        <v>419</v>
      </c>
      <c r="F6123" s="3">
        <f t="shared" si="518"/>
        <v>45603</v>
      </c>
      <c r="G6123" s="4">
        <f t="shared" si="515"/>
        <v>11</v>
      </c>
      <c r="H6123" s="4">
        <f t="shared" si="516"/>
        <v>2024</v>
      </c>
      <c r="I6123" s="2" t="s">
        <v>4</v>
      </c>
      <c r="J6123" s="2" t="s">
        <v>6798</v>
      </c>
      <c r="K6123" s="2" t="s">
        <v>205</v>
      </c>
      <c r="L6123" s="2" t="s">
        <v>206</v>
      </c>
      <c r="M6123" s="2" t="s">
        <v>119</v>
      </c>
      <c r="N6123" s="4" t="str">
        <f t="shared" si="512"/>
        <v>TON</v>
      </c>
      <c r="O6123" s="5">
        <v>11.307499999999999</v>
      </c>
    </row>
    <row r="6124" spans="2:15" x14ac:dyDescent="0.25">
      <c r="B6124" s="1" t="s">
        <v>1520</v>
      </c>
      <c r="C6124" s="2" t="s">
        <v>196</v>
      </c>
      <c r="D6124" s="2" t="s">
        <v>321</v>
      </c>
      <c r="E6124" s="2" t="s">
        <v>697</v>
      </c>
      <c r="F6124" s="3">
        <f t="shared" si="518"/>
        <v>45603</v>
      </c>
      <c r="G6124" s="4">
        <f t="shared" si="515"/>
        <v>11</v>
      </c>
      <c r="H6124" s="4">
        <f t="shared" si="516"/>
        <v>2024</v>
      </c>
      <c r="I6124" s="2" t="s">
        <v>4</v>
      </c>
      <c r="J6124" s="2" t="s">
        <v>6799</v>
      </c>
      <c r="K6124" s="2" t="s">
        <v>447</v>
      </c>
      <c r="L6124" s="2" t="s">
        <v>448</v>
      </c>
      <c r="M6124" s="2" t="s">
        <v>119</v>
      </c>
      <c r="N6124" s="4" t="str">
        <f t="shared" si="512"/>
        <v>TON</v>
      </c>
      <c r="O6124" s="5">
        <v>10.029999999999999</v>
      </c>
    </row>
    <row r="6125" spans="2:15" x14ac:dyDescent="0.25">
      <c r="B6125" s="1" t="s">
        <v>1520</v>
      </c>
      <c r="C6125" s="2" t="s">
        <v>196</v>
      </c>
      <c r="D6125" s="2" t="s">
        <v>232</v>
      </c>
      <c r="E6125" s="2" t="s">
        <v>233</v>
      </c>
      <c r="F6125" s="3">
        <f t="shared" si="518"/>
        <v>45603</v>
      </c>
      <c r="G6125" s="4">
        <f t="shared" si="515"/>
        <v>11</v>
      </c>
      <c r="H6125" s="4">
        <f t="shared" si="516"/>
        <v>2024</v>
      </c>
      <c r="I6125" s="2" t="s">
        <v>4</v>
      </c>
      <c r="J6125" s="2" t="s">
        <v>6800</v>
      </c>
      <c r="K6125" s="2" t="s">
        <v>823</v>
      </c>
      <c r="L6125" s="2" t="s">
        <v>776</v>
      </c>
      <c r="M6125" s="2" t="s">
        <v>82</v>
      </c>
      <c r="N6125" s="4" t="str">
        <f t="shared" si="512"/>
        <v>GAL</v>
      </c>
      <c r="O6125" s="5">
        <v>250</v>
      </c>
    </row>
    <row r="6126" spans="2:15" x14ac:dyDescent="0.25">
      <c r="B6126" s="1" t="s">
        <v>1520</v>
      </c>
      <c r="C6126" s="2" t="s">
        <v>196</v>
      </c>
      <c r="D6126" s="2" t="s">
        <v>289</v>
      </c>
      <c r="E6126" s="2" t="s">
        <v>2380</v>
      </c>
      <c r="F6126" s="3">
        <f t="shared" si="518"/>
        <v>45603</v>
      </c>
      <c r="G6126" s="4">
        <f t="shared" si="515"/>
        <v>11</v>
      </c>
      <c r="H6126" s="4">
        <f t="shared" si="516"/>
        <v>2024</v>
      </c>
      <c r="I6126" s="2" t="s">
        <v>4</v>
      </c>
      <c r="J6126" s="2" t="s">
        <v>6801</v>
      </c>
      <c r="K6126" s="2" t="s">
        <v>292</v>
      </c>
      <c r="L6126" s="2" t="s">
        <v>293</v>
      </c>
      <c r="M6126" s="2" t="s">
        <v>119</v>
      </c>
      <c r="N6126" s="4" t="str">
        <f t="shared" si="512"/>
        <v>TON</v>
      </c>
      <c r="O6126" s="5">
        <v>1</v>
      </c>
    </row>
    <row r="6127" spans="2:15" x14ac:dyDescent="0.25">
      <c r="B6127" s="1" t="s">
        <v>1520</v>
      </c>
      <c r="C6127" s="2" t="s">
        <v>196</v>
      </c>
      <c r="D6127" s="2" t="s">
        <v>1276</v>
      </c>
      <c r="E6127" s="2" t="s">
        <v>1277</v>
      </c>
      <c r="F6127" s="3">
        <f t="shared" si="518"/>
        <v>45603</v>
      </c>
      <c r="G6127" s="4">
        <f t="shared" si="515"/>
        <v>11</v>
      </c>
      <c r="H6127" s="4">
        <f t="shared" si="516"/>
        <v>2024</v>
      </c>
      <c r="I6127" s="2" t="s">
        <v>4</v>
      </c>
      <c r="J6127" s="2" t="s">
        <v>6802</v>
      </c>
      <c r="K6127" s="2" t="s">
        <v>329</v>
      </c>
      <c r="L6127" s="2" t="s">
        <v>330</v>
      </c>
      <c r="M6127" s="2" t="s">
        <v>119</v>
      </c>
      <c r="N6127" s="4" t="str">
        <f t="shared" si="512"/>
        <v>TON</v>
      </c>
      <c r="O6127" s="5">
        <v>3.7425000000000002</v>
      </c>
    </row>
    <row r="6128" spans="2:15" x14ac:dyDescent="0.25">
      <c r="B6128" s="1" t="s">
        <v>1520</v>
      </c>
      <c r="C6128" s="2" t="s">
        <v>196</v>
      </c>
      <c r="D6128" s="2" t="s">
        <v>303</v>
      </c>
      <c r="E6128" s="2" t="s">
        <v>501</v>
      </c>
      <c r="F6128" s="3">
        <f t="shared" si="518"/>
        <v>45603</v>
      </c>
      <c r="G6128" s="4">
        <f t="shared" si="515"/>
        <v>11</v>
      </c>
      <c r="H6128" s="4">
        <f t="shared" si="516"/>
        <v>2024</v>
      </c>
      <c r="I6128" s="2" t="s">
        <v>4</v>
      </c>
      <c r="J6128" s="2" t="s">
        <v>6803</v>
      </c>
      <c r="K6128" s="2" t="s">
        <v>3726</v>
      </c>
      <c r="L6128" s="2" t="s">
        <v>3727</v>
      </c>
      <c r="M6128" s="2" t="s">
        <v>145</v>
      </c>
      <c r="N6128" s="4" t="str">
        <f t="shared" si="512"/>
        <v>GAL</v>
      </c>
      <c r="O6128" s="5">
        <v>3.75</v>
      </c>
    </row>
    <row r="6129" spans="2:15" x14ac:dyDescent="0.25">
      <c r="B6129" s="1" t="s">
        <v>1520</v>
      </c>
      <c r="C6129" s="2" t="s">
        <v>196</v>
      </c>
      <c r="D6129" s="2" t="s">
        <v>303</v>
      </c>
      <c r="E6129" s="2" t="s">
        <v>501</v>
      </c>
      <c r="F6129" s="3">
        <f t="shared" si="518"/>
        <v>45603</v>
      </c>
      <c r="G6129" s="4">
        <f t="shared" si="515"/>
        <v>11</v>
      </c>
      <c r="H6129" s="4">
        <f t="shared" si="516"/>
        <v>2024</v>
      </c>
      <c r="I6129" s="2" t="s">
        <v>4</v>
      </c>
      <c r="J6129" s="2" t="s">
        <v>6803</v>
      </c>
      <c r="K6129" s="2" t="s">
        <v>2635</v>
      </c>
      <c r="L6129" s="2" t="s">
        <v>2636</v>
      </c>
      <c r="M6129" s="2" t="s">
        <v>119</v>
      </c>
      <c r="N6129" s="4" t="str">
        <f t="shared" si="512"/>
        <v>TON</v>
      </c>
      <c r="O6129" s="5">
        <v>9.9849999999999994</v>
      </c>
    </row>
    <row r="6130" spans="2:15" x14ac:dyDescent="0.25">
      <c r="B6130" s="1" t="s">
        <v>1520</v>
      </c>
      <c r="C6130" s="2" t="s">
        <v>196</v>
      </c>
      <c r="D6130" s="2" t="s">
        <v>800</v>
      </c>
      <c r="E6130" s="2" t="s">
        <v>1134</v>
      </c>
      <c r="F6130" s="3">
        <f t="shared" si="518"/>
        <v>45603</v>
      </c>
      <c r="G6130" s="4">
        <f t="shared" si="515"/>
        <v>11</v>
      </c>
      <c r="H6130" s="4">
        <f t="shared" si="516"/>
        <v>2024</v>
      </c>
      <c r="I6130" s="2" t="s">
        <v>4</v>
      </c>
      <c r="J6130" s="2" t="s">
        <v>6804</v>
      </c>
      <c r="K6130" s="2" t="s">
        <v>329</v>
      </c>
      <c r="L6130" s="2" t="s">
        <v>330</v>
      </c>
      <c r="M6130" s="2" t="s">
        <v>119</v>
      </c>
      <c r="N6130" s="4" t="str">
        <f t="shared" si="512"/>
        <v>TON</v>
      </c>
      <c r="O6130" s="5">
        <v>2.0099999999999998</v>
      </c>
    </row>
    <row r="6131" spans="2:15" x14ac:dyDescent="0.25">
      <c r="B6131" s="1" t="s">
        <v>1520</v>
      </c>
      <c r="C6131" s="2" t="s">
        <v>196</v>
      </c>
      <c r="D6131" s="2" t="s">
        <v>283</v>
      </c>
      <c r="E6131" s="2" t="s">
        <v>699</v>
      </c>
      <c r="F6131" s="3">
        <f t="shared" si="518"/>
        <v>45603</v>
      </c>
      <c r="G6131" s="4">
        <f t="shared" si="515"/>
        <v>11</v>
      </c>
      <c r="H6131" s="4">
        <f t="shared" si="516"/>
        <v>2024</v>
      </c>
      <c r="I6131" s="2" t="s">
        <v>4</v>
      </c>
      <c r="J6131" s="2" t="s">
        <v>6805</v>
      </c>
      <c r="K6131" s="2" t="s">
        <v>384</v>
      </c>
      <c r="L6131" s="2" t="s">
        <v>385</v>
      </c>
      <c r="M6131" s="2" t="s">
        <v>119</v>
      </c>
      <c r="N6131" s="4" t="str">
        <f t="shared" si="512"/>
        <v>TON</v>
      </c>
      <c r="O6131" s="5">
        <v>0.5</v>
      </c>
    </row>
    <row r="6132" spans="2:15" x14ac:dyDescent="0.25">
      <c r="B6132" s="1" t="s">
        <v>1520</v>
      </c>
      <c r="C6132" s="2" t="s">
        <v>196</v>
      </c>
      <c r="D6132" s="2" t="s">
        <v>418</v>
      </c>
      <c r="E6132" s="2" t="s">
        <v>419</v>
      </c>
      <c r="F6132" s="3">
        <f t="shared" ref="F6132:F6141" si="519">DATE(2024,11,8)</f>
        <v>45604</v>
      </c>
      <c r="G6132" s="4">
        <f t="shared" si="515"/>
        <v>11</v>
      </c>
      <c r="H6132" s="4">
        <f t="shared" si="516"/>
        <v>2024</v>
      </c>
      <c r="I6132" s="2" t="s">
        <v>4</v>
      </c>
      <c r="J6132" s="2" t="s">
        <v>6806</v>
      </c>
      <c r="K6132" s="2" t="s">
        <v>334</v>
      </c>
      <c r="L6132" s="2" t="s">
        <v>335</v>
      </c>
      <c r="M6132" s="2" t="s">
        <v>119</v>
      </c>
      <c r="N6132" s="4" t="str">
        <f t="shared" si="512"/>
        <v>TON</v>
      </c>
      <c r="O6132" s="5">
        <v>10.52</v>
      </c>
    </row>
    <row r="6133" spans="2:15" x14ac:dyDescent="0.25">
      <c r="B6133" s="1" t="s">
        <v>1520</v>
      </c>
      <c r="C6133" s="2" t="s">
        <v>196</v>
      </c>
      <c r="D6133" s="2" t="s">
        <v>440</v>
      </c>
      <c r="E6133" s="2" t="s">
        <v>1274</v>
      </c>
      <c r="F6133" s="3">
        <f t="shared" si="519"/>
        <v>45604</v>
      </c>
      <c r="G6133" s="4">
        <f t="shared" si="515"/>
        <v>11</v>
      </c>
      <c r="H6133" s="4">
        <f t="shared" si="516"/>
        <v>2024</v>
      </c>
      <c r="I6133" s="2" t="s">
        <v>4</v>
      </c>
      <c r="J6133" s="2" t="s">
        <v>6807</v>
      </c>
      <c r="K6133" s="2" t="s">
        <v>422</v>
      </c>
      <c r="L6133" s="2" t="s">
        <v>423</v>
      </c>
      <c r="M6133" s="2" t="s">
        <v>119</v>
      </c>
      <c r="N6133" s="4" t="str">
        <f t="shared" si="512"/>
        <v>TON</v>
      </c>
      <c r="O6133" s="5">
        <v>5</v>
      </c>
    </row>
    <row r="6134" spans="2:15" x14ac:dyDescent="0.25">
      <c r="B6134" s="1" t="s">
        <v>1520</v>
      </c>
      <c r="C6134" s="2" t="s">
        <v>196</v>
      </c>
      <c r="D6134" s="2" t="s">
        <v>207</v>
      </c>
      <c r="E6134" s="2" t="s">
        <v>208</v>
      </c>
      <c r="F6134" s="3">
        <f t="shared" si="519"/>
        <v>45604</v>
      </c>
      <c r="G6134" s="4">
        <f t="shared" si="515"/>
        <v>11</v>
      </c>
      <c r="H6134" s="4">
        <f t="shared" si="516"/>
        <v>2024</v>
      </c>
      <c r="I6134" s="2" t="s">
        <v>4</v>
      </c>
      <c r="J6134" s="2" t="s">
        <v>6808</v>
      </c>
      <c r="K6134" s="2" t="s">
        <v>205</v>
      </c>
      <c r="L6134" s="2" t="s">
        <v>206</v>
      </c>
      <c r="M6134" s="2" t="s">
        <v>119</v>
      </c>
      <c r="N6134" s="4" t="str">
        <f t="shared" si="512"/>
        <v>TON</v>
      </c>
      <c r="O6134" s="5">
        <v>3.5274999999999999</v>
      </c>
    </row>
    <row r="6135" spans="2:15" x14ac:dyDescent="0.25">
      <c r="B6135" s="1" t="s">
        <v>1520</v>
      </c>
      <c r="C6135" s="2" t="s">
        <v>196</v>
      </c>
      <c r="D6135" s="2" t="s">
        <v>299</v>
      </c>
      <c r="E6135" s="2" t="s">
        <v>2410</v>
      </c>
      <c r="F6135" s="3">
        <f t="shared" si="519"/>
        <v>45604</v>
      </c>
      <c r="G6135" s="4">
        <f t="shared" si="515"/>
        <v>11</v>
      </c>
      <c r="H6135" s="4">
        <f t="shared" si="516"/>
        <v>2024</v>
      </c>
      <c r="I6135" s="2" t="s">
        <v>4</v>
      </c>
      <c r="J6135" s="2" t="s">
        <v>6809</v>
      </c>
      <c r="K6135" s="2" t="s">
        <v>422</v>
      </c>
      <c r="L6135" s="2" t="s">
        <v>423</v>
      </c>
      <c r="M6135" s="2" t="s">
        <v>119</v>
      </c>
      <c r="N6135" s="4" t="str">
        <f t="shared" si="512"/>
        <v>TON</v>
      </c>
      <c r="O6135" s="5">
        <v>2.5</v>
      </c>
    </row>
    <row r="6136" spans="2:15" x14ac:dyDescent="0.25">
      <c r="B6136" s="1" t="s">
        <v>1520</v>
      </c>
      <c r="C6136" s="2" t="s">
        <v>196</v>
      </c>
      <c r="D6136" s="2" t="s">
        <v>299</v>
      </c>
      <c r="E6136" s="2" t="s">
        <v>713</v>
      </c>
      <c r="F6136" s="3">
        <f t="shared" si="519"/>
        <v>45604</v>
      </c>
      <c r="G6136" s="4">
        <f t="shared" si="515"/>
        <v>11</v>
      </c>
      <c r="H6136" s="4">
        <f t="shared" si="516"/>
        <v>2024</v>
      </c>
      <c r="I6136" s="2" t="s">
        <v>4</v>
      </c>
      <c r="J6136" s="2" t="s">
        <v>6810</v>
      </c>
      <c r="K6136" s="2" t="s">
        <v>422</v>
      </c>
      <c r="L6136" s="2" t="s">
        <v>423</v>
      </c>
      <c r="M6136" s="2" t="s">
        <v>119</v>
      </c>
      <c r="N6136" s="4" t="str">
        <f t="shared" si="512"/>
        <v>TON</v>
      </c>
      <c r="O6136" s="5">
        <v>15.016999999999999</v>
      </c>
    </row>
    <row r="6137" spans="2:15" x14ac:dyDescent="0.25">
      <c r="B6137" s="1" t="s">
        <v>1520</v>
      </c>
      <c r="C6137" s="2" t="s">
        <v>196</v>
      </c>
      <c r="D6137" s="2" t="s">
        <v>904</v>
      </c>
      <c r="E6137" s="2" t="s">
        <v>5339</v>
      </c>
      <c r="F6137" s="3">
        <f t="shared" si="519"/>
        <v>45604</v>
      </c>
      <c r="G6137" s="4">
        <f t="shared" si="515"/>
        <v>11</v>
      </c>
      <c r="H6137" s="4">
        <f t="shared" si="516"/>
        <v>2024</v>
      </c>
      <c r="I6137" s="2" t="s">
        <v>4</v>
      </c>
      <c r="J6137" s="2" t="s">
        <v>6811</v>
      </c>
      <c r="K6137" s="2" t="s">
        <v>551</v>
      </c>
      <c r="L6137" s="2" t="s">
        <v>2426</v>
      </c>
      <c r="M6137" s="2" t="s">
        <v>553</v>
      </c>
      <c r="N6137" s="4" t="str">
        <f t="shared" si="512"/>
        <v>GAL</v>
      </c>
      <c r="O6137" s="5">
        <v>50</v>
      </c>
    </row>
    <row r="6138" spans="2:15" x14ac:dyDescent="0.25">
      <c r="B6138" s="1" t="s">
        <v>1520</v>
      </c>
      <c r="C6138" s="2" t="s">
        <v>196</v>
      </c>
      <c r="D6138" s="2" t="s">
        <v>904</v>
      </c>
      <c r="E6138" s="2" t="s">
        <v>5339</v>
      </c>
      <c r="F6138" s="3">
        <f t="shared" si="519"/>
        <v>45604</v>
      </c>
      <c r="G6138" s="4">
        <f t="shared" si="515"/>
        <v>11</v>
      </c>
      <c r="H6138" s="4">
        <f t="shared" si="516"/>
        <v>2024</v>
      </c>
      <c r="I6138" s="2" t="s">
        <v>4</v>
      </c>
      <c r="J6138" s="2" t="s">
        <v>6811</v>
      </c>
      <c r="K6138" s="2" t="s">
        <v>649</v>
      </c>
      <c r="L6138" s="2" t="s">
        <v>538</v>
      </c>
      <c r="M6138" s="2" t="s">
        <v>4243</v>
      </c>
      <c r="N6138" s="4" t="str">
        <f t="shared" si="512"/>
        <v>GAL</v>
      </c>
      <c r="O6138" s="5">
        <v>250</v>
      </c>
    </row>
    <row r="6139" spans="2:15" x14ac:dyDescent="0.25">
      <c r="B6139" s="1" t="s">
        <v>1520</v>
      </c>
      <c r="C6139" s="2" t="s">
        <v>196</v>
      </c>
      <c r="D6139" s="2" t="s">
        <v>317</v>
      </c>
      <c r="E6139" s="2" t="s">
        <v>677</v>
      </c>
      <c r="F6139" s="3">
        <f t="shared" si="519"/>
        <v>45604</v>
      </c>
      <c r="G6139" s="4">
        <f t="shared" si="515"/>
        <v>11</v>
      </c>
      <c r="H6139" s="4">
        <f t="shared" si="516"/>
        <v>2024</v>
      </c>
      <c r="I6139" s="2" t="s">
        <v>4</v>
      </c>
      <c r="J6139" s="2" t="s">
        <v>6812</v>
      </c>
      <c r="K6139" s="2" t="s">
        <v>422</v>
      </c>
      <c r="L6139" s="2" t="s">
        <v>423</v>
      </c>
      <c r="M6139" s="2" t="s">
        <v>119</v>
      </c>
      <c r="N6139" s="4" t="str">
        <f t="shared" si="512"/>
        <v>TON</v>
      </c>
      <c r="O6139" s="5">
        <v>15.016999999999999</v>
      </c>
    </row>
    <row r="6140" spans="2:15" x14ac:dyDescent="0.25">
      <c r="B6140" s="1" t="s">
        <v>1520</v>
      </c>
      <c r="C6140" s="2" t="s">
        <v>196</v>
      </c>
      <c r="D6140" s="2" t="s">
        <v>262</v>
      </c>
      <c r="E6140" s="2" t="s">
        <v>4730</v>
      </c>
      <c r="F6140" s="3">
        <f t="shared" si="519"/>
        <v>45604</v>
      </c>
      <c r="G6140" s="4">
        <f t="shared" si="515"/>
        <v>11</v>
      </c>
      <c r="H6140" s="4">
        <f t="shared" si="516"/>
        <v>2024</v>
      </c>
      <c r="I6140" s="2" t="s">
        <v>4</v>
      </c>
      <c r="J6140" s="2" t="s">
        <v>6813</v>
      </c>
      <c r="K6140" s="2" t="s">
        <v>205</v>
      </c>
      <c r="L6140" s="2" t="s">
        <v>206</v>
      </c>
      <c r="M6140" s="2" t="s">
        <v>119</v>
      </c>
      <c r="N6140" s="4" t="str">
        <f t="shared" si="512"/>
        <v>TON</v>
      </c>
      <c r="O6140" s="5">
        <v>8.0050000000000008</v>
      </c>
    </row>
    <row r="6141" spans="2:15" x14ac:dyDescent="0.25">
      <c r="B6141" s="1" t="s">
        <v>1520</v>
      </c>
      <c r="C6141" s="2" t="s">
        <v>196</v>
      </c>
      <c r="D6141" s="2" t="s">
        <v>224</v>
      </c>
      <c r="E6141" s="2" t="s">
        <v>361</v>
      </c>
      <c r="F6141" s="3">
        <f t="shared" si="519"/>
        <v>45604</v>
      </c>
      <c r="G6141" s="4">
        <f t="shared" si="515"/>
        <v>11</v>
      </c>
      <c r="H6141" s="4">
        <f t="shared" si="516"/>
        <v>2024</v>
      </c>
      <c r="I6141" s="2" t="s">
        <v>4</v>
      </c>
      <c r="J6141" s="2" t="s">
        <v>6814</v>
      </c>
      <c r="K6141" s="2" t="s">
        <v>205</v>
      </c>
      <c r="L6141" s="2" t="s">
        <v>206</v>
      </c>
      <c r="M6141" s="2" t="s">
        <v>119</v>
      </c>
      <c r="N6141" s="4" t="str">
        <f t="shared" si="512"/>
        <v>TON</v>
      </c>
      <c r="O6141" s="5">
        <v>5</v>
      </c>
    </row>
    <row r="6142" spans="2:15" x14ac:dyDescent="0.25">
      <c r="B6142" s="1" t="s">
        <v>1520</v>
      </c>
      <c r="C6142" s="2" t="s">
        <v>196</v>
      </c>
      <c r="D6142" s="2" t="s">
        <v>215</v>
      </c>
      <c r="E6142" s="2" t="s">
        <v>315</v>
      </c>
      <c r="F6142" s="3">
        <f t="shared" ref="F6142:F6150" si="520">DATE(2024,11,9)</f>
        <v>45605</v>
      </c>
      <c r="G6142" s="4">
        <f t="shared" si="515"/>
        <v>11</v>
      </c>
      <c r="H6142" s="4">
        <f t="shared" si="516"/>
        <v>2024</v>
      </c>
      <c r="I6142" s="2" t="s">
        <v>4</v>
      </c>
      <c r="J6142" s="2" t="s">
        <v>6815</v>
      </c>
      <c r="K6142" s="2" t="s">
        <v>205</v>
      </c>
      <c r="L6142" s="2" t="s">
        <v>206</v>
      </c>
      <c r="M6142" s="2" t="s">
        <v>119</v>
      </c>
      <c r="N6142" s="4" t="str">
        <f t="shared" ref="N6142:N6205" si="521">+LEFT(M6142,3)</f>
        <v>TON</v>
      </c>
      <c r="O6142" s="5">
        <v>4.0025000000000004</v>
      </c>
    </row>
    <row r="6143" spans="2:15" x14ac:dyDescent="0.25">
      <c r="B6143" s="1" t="s">
        <v>1520</v>
      </c>
      <c r="C6143" s="2" t="s">
        <v>196</v>
      </c>
      <c r="D6143" s="2" t="s">
        <v>197</v>
      </c>
      <c r="E6143" s="2" t="s">
        <v>198</v>
      </c>
      <c r="F6143" s="3">
        <f t="shared" si="520"/>
        <v>45605</v>
      </c>
      <c r="G6143" s="4">
        <f t="shared" si="515"/>
        <v>11</v>
      </c>
      <c r="H6143" s="4">
        <f t="shared" si="516"/>
        <v>2024</v>
      </c>
      <c r="I6143" s="2" t="s">
        <v>4</v>
      </c>
      <c r="J6143" s="2" t="s">
        <v>6816</v>
      </c>
      <c r="K6143" s="2" t="s">
        <v>307</v>
      </c>
      <c r="L6143" s="2" t="s">
        <v>308</v>
      </c>
      <c r="M6143" s="2" t="s">
        <v>119</v>
      </c>
      <c r="N6143" s="4" t="str">
        <f t="shared" si="521"/>
        <v>TON</v>
      </c>
      <c r="O6143" s="5">
        <v>4.0324999999999998</v>
      </c>
    </row>
    <row r="6144" spans="2:15" x14ac:dyDescent="0.25">
      <c r="B6144" s="1" t="s">
        <v>1520</v>
      </c>
      <c r="C6144" s="2" t="s">
        <v>196</v>
      </c>
      <c r="D6144" s="2" t="s">
        <v>280</v>
      </c>
      <c r="E6144" s="2" t="s">
        <v>254</v>
      </c>
      <c r="F6144" s="3">
        <f t="shared" si="520"/>
        <v>45605</v>
      </c>
      <c r="G6144" s="4">
        <f t="shared" si="515"/>
        <v>11</v>
      </c>
      <c r="H6144" s="4">
        <f t="shared" si="516"/>
        <v>2024</v>
      </c>
      <c r="I6144" s="2" t="s">
        <v>4</v>
      </c>
      <c r="J6144" s="2" t="s">
        <v>6817</v>
      </c>
      <c r="K6144" s="2" t="s">
        <v>422</v>
      </c>
      <c r="L6144" s="2" t="s">
        <v>423</v>
      </c>
      <c r="M6144" s="2" t="s">
        <v>119</v>
      </c>
      <c r="N6144" s="4" t="str">
        <f t="shared" si="521"/>
        <v>TON</v>
      </c>
      <c r="O6144" s="5">
        <v>15.0175</v>
      </c>
    </row>
    <row r="6145" spans="2:15" x14ac:dyDescent="0.25">
      <c r="B6145" s="1" t="s">
        <v>1520</v>
      </c>
      <c r="C6145" s="2" t="s">
        <v>196</v>
      </c>
      <c r="D6145" s="2" t="s">
        <v>331</v>
      </c>
      <c r="E6145" s="2" t="s">
        <v>432</v>
      </c>
      <c r="F6145" s="3">
        <f t="shared" si="520"/>
        <v>45605</v>
      </c>
      <c r="G6145" s="4">
        <f t="shared" si="515"/>
        <v>11</v>
      </c>
      <c r="H6145" s="4">
        <f t="shared" si="516"/>
        <v>2024</v>
      </c>
      <c r="I6145" s="2" t="s">
        <v>4</v>
      </c>
      <c r="J6145" s="2" t="s">
        <v>6818</v>
      </c>
      <c r="K6145" s="2" t="s">
        <v>329</v>
      </c>
      <c r="L6145" s="2" t="s">
        <v>330</v>
      </c>
      <c r="M6145" s="2" t="s">
        <v>119</v>
      </c>
      <c r="N6145" s="4" t="str">
        <f t="shared" si="521"/>
        <v>TON</v>
      </c>
      <c r="O6145" s="5">
        <v>15.015000000000001</v>
      </c>
    </row>
    <row r="6146" spans="2:15" x14ac:dyDescent="0.25">
      <c r="B6146" s="1" t="s">
        <v>1520</v>
      </c>
      <c r="C6146" s="2" t="s">
        <v>196</v>
      </c>
      <c r="D6146" s="2" t="s">
        <v>210</v>
      </c>
      <c r="E6146" s="2" t="s">
        <v>962</v>
      </c>
      <c r="F6146" s="3">
        <f t="shared" si="520"/>
        <v>45605</v>
      </c>
      <c r="G6146" s="4">
        <f t="shared" si="515"/>
        <v>11</v>
      </c>
      <c r="H6146" s="4">
        <f t="shared" si="516"/>
        <v>2024</v>
      </c>
      <c r="I6146" s="2" t="s">
        <v>4</v>
      </c>
      <c r="J6146" s="2" t="s">
        <v>6819</v>
      </c>
      <c r="K6146" s="2" t="s">
        <v>489</v>
      </c>
      <c r="L6146" s="2" t="s">
        <v>490</v>
      </c>
      <c r="M6146" s="2" t="s">
        <v>119</v>
      </c>
      <c r="N6146" s="4" t="str">
        <f t="shared" si="521"/>
        <v>TON</v>
      </c>
      <c r="O6146" s="5">
        <v>15.015000000000001</v>
      </c>
    </row>
    <row r="6147" spans="2:15" x14ac:dyDescent="0.25">
      <c r="B6147" s="1" t="s">
        <v>1520</v>
      </c>
      <c r="C6147" s="2" t="s">
        <v>196</v>
      </c>
      <c r="D6147" s="2" t="s">
        <v>444</v>
      </c>
      <c r="E6147" s="2" t="s">
        <v>445</v>
      </c>
      <c r="F6147" s="3">
        <f t="shared" si="520"/>
        <v>45605</v>
      </c>
      <c r="G6147" s="4">
        <f t="shared" si="515"/>
        <v>11</v>
      </c>
      <c r="H6147" s="4">
        <f t="shared" si="516"/>
        <v>2024</v>
      </c>
      <c r="I6147" s="2" t="s">
        <v>4</v>
      </c>
      <c r="J6147" s="2" t="s">
        <v>6820</v>
      </c>
      <c r="K6147" s="2" t="s">
        <v>447</v>
      </c>
      <c r="L6147" s="2" t="s">
        <v>448</v>
      </c>
      <c r="M6147" s="2" t="s">
        <v>119</v>
      </c>
      <c r="N6147" s="4" t="str">
        <f t="shared" si="521"/>
        <v>TON</v>
      </c>
      <c r="O6147" s="5">
        <v>4.01</v>
      </c>
    </row>
    <row r="6148" spans="2:15" x14ac:dyDescent="0.25">
      <c r="B6148" s="1" t="s">
        <v>1520</v>
      </c>
      <c r="C6148" s="2" t="s">
        <v>196</v>
      </c>
      <c r="D6148" s="2" t="s">
        <v>280</v>
      </c>
      <c r="E6148" s="2" t="s">
        <v>281</v>
      </c>
      <c r="F6148" s="3">
        <f t="shared" si="520"/>
        <v>45605</v>
      </c>
      <c r="G6148" s="4">
        <f t="shared" si="515"/>
        <v>11</v>
      </c>
      <c r="H6148" s="4">
        <f t="shared" si="516"/>
        <v>2024</v>
      </c>
      <c r="I6148" s="2" t="s">
        <v>4</v>
      </c>
      <c r="J6148" s="2" t="s">
        <v>6821</v>
      </c>
      <c r="K6148" s="2" t="s">
        <v>422</v>
      </c>
      <c r="L6148" s="2" t="s">
        <v>423</v>
      </c>
      <c r="M6148" s="2" t="s">
        <v>119</v>
      </c>
      <c r="N6148" s="4" t="str">
        <f t="shared" si="521"/>
        <v>TON</v>
      </c>
      <c r="O6148" s="5">
        <v>7.5175000000000001</v>
      </c>
    </row>
    <row r="6149" spans="2:15" x14ac:dyDescent="0.25">
      <c r="B6149" s="1" t="s">
        <v>1520</v>
      </c>
      <c r="C6149" s="2" t="s">
        <v>196</v>
      </c>
      <c r="D6149" s="2" t="s">
        <v>2002</v>
      </c>
      <c r="E6149" s="2" t="s">
        <v>6549</v>
      </c>
      <c r="F6149" s="3">
        <f t="shared" si="520"/>
        <v>45605</v>
      </c>
      <c r="G6149" s="4">
        <f t="shared" si="515"/>
        <v>11</v>
      </c>
      <c r="H6149" s="4">
        <f t="shared" si="516"/>
        <v>2024</v>
      </c>
      <c r="I6149" s="2" t="s">
        <v>4</v>
      </c>
      <c r="J6149" s="2" t="s">
        <v>6822</v>
      </c>
      <c r="K6149" s="2" t="s">
        <v>205</v>
      </c>
      <c r="L6149" s="2" t="s">
        <v>206</v>
      </c>
      <c r="M6149" s="2" t="s">
        <v>119</v>
      </c>
      <c r="N6149" s="4" t="str">
        <f t="shared" si="521"/>
        <v>TON</v>
      </c>
      <c r="O6149" s="5">
        <v>2.5</v>
      </c>
    </row>
    <row r="6150" spans="2:15" x14ac:dyDescent="0.25">
      <c r="B6150" s="1" t="s">
        <v>1520</v>
      </c>
      <c r="C6150" s="2" t="s">
        <v>196</v>
      </c>
      <c r="D6150" s="2" t="s">
        <v>232</v>
      </c>
      <c r="E6150" s="2" t="s">
        <v>6657</v>
      </c>
      <c r="F6150" s="3">
        <f t="shared" si="520"/>
        <v>45605</v>
      </c>
      <c r="G6150" s="4">
        <f t="shared" si="515"/>
        <v>11</v>
      </c>
      <c r="H6150" s="4">
        <f t="shared" si="516"/>
        <v>2024</v>
      </c>
      <c r="I6150" s="2" t="s">
        <v>4</v>
      </c>
      <c r="J6150" s="2" t="s">
        <v>6823</v>
      </c>
      <c r="K6150" s="2" t="s">
        <v>205</v>
      </c>
      <c r="L6150" s="2" t="s">
        <v>206</v>
      </c>
      <c r="M6150" s="2" t="s">
        <v>119</v>
      </c>
      <c r="N6150" s="4" t="str">
        <f t="shared" si="521"/>
        <v>TON</v>
      </c>
      <c r="O6150" s="5">
        <v>2.5</v>
      </c>
    </row>
    <row r="6151" spans="2:15" x14ac:dyDescent="0.25">
      <c r="B6151" s="1" t="s">
        <v>1520</v>
      </c>
      <c r="C6151" s="2" t="s">
        <v>196</v>
      </c>
      <c r="D6151" s="2" t="s">
        <v>114</v>
      </c>
      <c r="E6151" s="2" t="s">
        <v>5054</v>
      </c>
      <c r="F6151" s="3">
        <f t="shared" ref="F6151:F6163" si="522">DATE(2024,11,11)</f>
        <v>45607</v>
      </c>
      <c r="G6151" s="4">
        <f t="shared" si="515"/>
        <v>11</v>
      </c>
      <c r="H6151" s="4">
        <f t="shared" si="516"/>
        <v>2024</v>
      </c>
      <c r="I6151" s="2" t="s">
        <v>4</v>
      </c>
      <c r="J6151" s="2" t="s">
        <v>6824</v>
      </c>
      <c r="K6151" s="2" t="s">
        <v>422</v>
      </c>
      <c r="L6151" s="2" t="s">
        <v>423</v>
      </c>
      <c r="M6151" s="2" t="s">
        <v>119</v>
      </c>
      <c r="N6151" s="4" t="str">
        <f t="shared" si="521"/>
        <v>TON</v>
      </c>
      <c r="O6151" s="5">
        <v>10.01</v>
      </c>
    </row>
    <row r="6152" spans="2:15" x14ac:dyDescent="0.25">
      <c r="B6152" s="1" t="s">
        <v>1520</v>
      </c>
      <c r="C6152" s="2" t="s">
        <v>196</v>
      </c>
      <c r="D6152" s="2" t="s">
        <v>4034</v>
      </c>
      <c r="E6152" s="2" t="s">
        <v>759</v>
      </c>
      <c r="F6152" s="3">
        <f t="shared" si="522"/>
        <v>45607</v>
      </c>
      <c r="G6152" s="4">
        <f t="shared" si="515"/>
        <v>11</v>
      </c>
      <c r="H6152" s="4">
        <f t="shared" si="516"/>
        <v>2024</v>
      </c>
      <c r="I6152" s="2" t="s">
        <v>4</v>
      </c>
      <c r="J6152" s="2" t="s">
        <v>6825</v>
      </c>
      <c r="K6152" s="2" t="s">
        <v>329</v>
      </c>
      <c r="L6152" s="2" t="s">
        <v>330</v>
      </c>
      <c r="M6152" s="2" t="s">
        <v>119</v>
      </c>
      <c r="N6152" s="4" t="str">
        <f t="shared" si="521"/>
        <v>TON</v>
      </c>
      <c r="O6152" s="5">
        <v>10.0075</v>
      </c>
    </row>
    <row r="6153" spans="2:15" x14ac:dyDescent="0.25">
      <c r="B6153" s="1" t="s">
        <v>1520</v>
      </c>
      <c r="C6153" s="2" t="s">
        <v>196</v>
      </c>
      <c r="D6153" s="2" t="s">
        <v>1276</v>
      </c>
      <c r="E6153" s="2" t="s">
        <v>791</v>
      </c>
      <c r="F6153" s="3">
        <f t="shared" si="522"/>
        <v>45607</v>
      </c>
      <c r="G6153" s="4">
        <f t="shared" si="515"/>
        <v>11</v>
      </c>
      <c r="H6153" s="4">
        <f t="shared" si="516"/>
        <v>2024</v>
      </c>
      <c r="I6153" s="2" t="s">
        <v>4</v>
      </c>
      <c r="J6153" s="2" t="s">
        <v>6826</v>
      </c>
      <c r="K6153" s="2" t="s">
        <v>329</v>
      </c>
      <c r="L6153" s="2" t="s">
        <v>330</v>
      </c>
      <c r="M6153" s="2" t="s">
        <v>119</v>
      </c>
      <c r="N6153" s="4" t="str">
        <f t="shared" si="521"/>
        <v>TON</v>
      </c>
      <c r="O6153" s="5">
        <v>5.0250000000000004</v>
      </c>
    </row>
    <row r="6154" spans="2:15" x14ac:dyDescent="0.25">
      <c r="B6154" s="1" t="s">
        <v>1520</v>
      </c>
      <c r="C6154" s="2" t="s">
        <v>196</v>
      </c>
      <c r="D6154" s="2" t="s">
        <v>215</v>
      </c>
      <c r="E6154" s="2" t="s">
        <v>701</v>
      </c>
      <c r="F6154" s="3">
        <f t="shared" si="522"/>
        <v>45607</v>
      </c>
      <c r="G6154" s="4">
        <f t="shared" si="515"/>
        <v>11</v>
      </c>
      <c r="H6154" s="4">
        <f t="shared" si="516"/>
        <v>2024</v>
      </c>
      <c r="I6154" s="2" t="s">
        <v>4</v>
      </c>
      <c r="J6154" s="2" t="s">
        <v>6827</v>
      </c>
      <c r="K6154" s="2" t="s">
        <v>447</v>
      </c>
      <c r="L6154" s="2" t="s">
        <v>448</v>
      </c>
      <c r="M6154" s="2" t="s">
        <v>119</v>
      </c>
      <c r="N6154" s="4" t="str">
        <f t="shared" si="521"/>
        <v>TON</v>
      </c>
      <c r="O6154" s="5">
        <v>2.04</v>
      </c>
    </row>
    <row r="6155" spans="2:15" x14ac:dyDescent="0.25">
      <c r="B6155" s="1" t="s">
        <v>1520</v>
      </c>
      <c r="C6155" s="2" t="s">
        <v>196</v>
      </c>
      <c r="D6155" s="2" t="s">
        <v>387</v>
      </c>
      <c r="E6155" s="2" t="s">
        <v>797</v>
      </c>
      <c r="F6155" s="3">
        <f t="shared" si="522"/>
        <v>45607</v>
      </c>
      <c r="G6155" s="4">
        <f t="shared" si="515"/>
        <v>11</v>
      </c>
      <c r="H6155" s="4">
        <f t="shared" si="516"/>
        <v>2024</v>
      </c>
      <c r="I6155" s="2" t="s">
        <v>4</v>
      </c>
      <c r="J6155" s="2" t="s">
        <v>6828</v>
      </c>
      <c r="K6155" s="2" t="s">
        <v>3726</v>
      </c>
      <c r="L6155" s="2" t="s">
        <v>3727</v>
      </c>
      <c r="M6155" s="2" t="s">
        <v>145</v>
      </c>
      <c r="N6155" s="4" t="str">
        <f t="shared" si="521"/>
        <v>GAL</v>
      </c>
      <c r="O6155" s="5">
        <v>3.75</v>
      </c>
    </row>
    <row r="6156" spans="2:15" x14ac:dyDescent="0.25">
      <c r="B6156" s="1" t="s">
        <v>1520</v>
      </c>
      <c r="C6156" s="2" t="s">
        <v>196</v>
      </c>
      <c r="D6156" s="2" t="s">
        <v>387</v>
      </c>
      <c r="E6156" s="2" t="s">
        <v>797</v>
      </c>
      <c r="F6156" s="3">
        <f t="shared" si="522"/>
        <v>45607</v>
      </c>
      <c r="G6156" s="4">
        <f t="shared" si="515"/>
        <v>11</v>
      </c>
      <c r="H6156" s="4">
        <f t="shared" si="516"/>
        <v>2024</v>
      </c>
      <c r="I6156" s="2" t="s">
        <v>4</v>
      </c>
      <c r="J6156" s="2" t="s">
        <v>6828</v>
      </c>
      <c r="K6156" s="2" t="s">
        <v>422</v>
      </c>
      <c r="L6156" s="2" t="s">
        <v>423</v>
      </c>
      <c r="M6156" s="2" t="s">
        <v>119</v>
      </c>
      <c r="N6156" s="4" t="str">
        <f t="shared" si="521"/>
        <v>TON</v>
      </c>
      <c r="O6156" s="5">
        <v>10.01</v>
      </c>
    </row>
    <row r="6157" spans="2:15" x14ac:dyDescent="0.25">
      <c r="B6157" s="1" t="s">
        <v>1520</v>
      </c>
      <c r="C6157" s="2" t="s">
        <v>196</v>
      </c>
      <c r="D6157" s="2" t="s">
        <v>660</v>
      </c>
      <c r="E6157" s="2" t="s">
        <v>699</v>
      </c>
      <c r="F6157" s="3">
        <f t="shared" si="522"/>
        <v>45607</v>
      </c>
      <c r="G6157" s="4">
        <f t="shared" si="515"/>
        <v>11</v>
      </c>
      <c r="H6157" s="4">
        <f t="shared" si="516"/>
        <v>2024</v>
      </c>
      <c r="I6157" s="2" t="s">
        <v>4</v>
      </c>
      <c r="J6157" s="2" t="s">
        <v>6829</v>
      </c>
      <c r="K6157" s="2" t="s">
        <v>447</v>
      </c>
      <c r="L6157" s="2" t="s">
        <v>448</v>
      </c>
      <c r="M6157" s="2" t="s">
        <v>119</v>
      </c>
      <c r="N6157" s="4" t="str">
        <f t="shared" si="521"/>
        <v>TON</v>
      </c>
      <c r="O6157" s="5">
        <v>2.4950000000000001</v>
      </c>
    </row>
    <row r="6158" spans="2:15" x14ac:dyDescent="0.25">
      <c r="B6158" s="1" t="s">
        <v>1520</v>
      </c>
      <c r="C6158" s="2" t="s">
        <v>196</v>
      </c>
      <c r="D6158" s="2" t="s">
        <v>348</v>
      </c>
      <c r="E6158" s="2" t="s">
        <v>349</v>
      </c>
      <c r="F6158" s="3">
        <f t="shared" si="522"/>
        <v>45607</v>
      </c>
      <c r="G6158" s="4">
        <f t="shared" si="515"/>
        <v>11</v>
      </c>
      <c r="H6158" s="4">
        <f t="shared" si="516"/>
        <v>2024</v>
      </c>
      <c r="I6158" s="2" t="s">
        <v>4</v>
      </c>
      <c r="J6158" s="2" t="s">
        <v>6830</v>
      </c>
      <c r="K6158" s="2" t="s">
        <v>3593</v>
      </c>
      <c r="L6158" s="2" t="s">
        <v>416</v>
      </c>
      <c r="M6158" s="2" t="s">
        <v>417</v>
      </c>
      <c r="N6158" s="4" t="str">
        <f t="shared" si="521"/>
        <v>GAL</v>
      </c>
      <c r="O6158" s="5">
        <v>250</v>
      </c>
    </row>
    <row r="6159" spans="2:15" x14ac:dyDescent="0.25">
      <c r="B6159" s="1" t="s">
        <v>1520</v>
      </c>
      <c r="C6159" s="2" t="s">
        <v>196</v>
      </c>
      <c r="D6159" s="2" t="s">
        <v>1706</v>
      </c>
      <c r="E6159" s="2" t="s">
        <v>5019</v>
      </c>
      <c r="F6159" s="3">
        <f t="shared" si="522"/>
        <v>45607</v>
      </c>
      <c r="G6159" s="4">
        <f t="shared" si="515"/>
        <v>11</v>
      </c>
      <c r="H6159" s="4">
        <f t="shared" si="516"/>
        <v>2024</v>
      </c>
      <c r="I6159" s="2" t="s">
        <v>4</v>
      </c>
      <c r="J6159" s="2" t="s">
        <v>6831</v>
      </c>
      <c r="K6159" s="2" t="s">
        <v>205</v>
      </c>
      <c r="L6159" s="2" t="s">
        <v>206</v>
      </c>
      <c r="M6159" s="2" t="s">
        <v>119</v>
      </c>
      <c r="N6159" s="4" t="str">
        <f t="shared" si="521"/>
        <v>TON</v>
      </c>
      <c r="O6159" s="5">
        <v>1.25</v>
      </c>
    </row>
    <row r="6160" spans="2:15" x14ac:dyDescent="0.25">
      <c r="B6160" s="1" t="s">
        <v>1520</v>
      </c>
      <c r="C6160" s="2" t="s">
        <v>196</v>
      </c>
      <c r="D6160" s="2" t="s">
        <v>317</v>
      </c>
      <c r="E6160" s="2" t="s">
        <v>319</v>
      </c>
      <c r="F6160" s="3">
        <f t="shared" si="522"/>
        <v>45607</v>
      </c>
      <c r="G6160" s="4">
        <f t="shared" si="515"/>
        <v>11</v>
      </c>
      <c r="H6160" s="4">
        <f t="shared" si="516"/>
        <v>2024</v>
      </c>
      <c r="I6160" s="2" t="s">
        <v>4</v>
      </c>
      <c r="J6160" s="2" t="s">
        <v>6832</v>
      </c>
      <c r="K6160" s="2" t="s">
        <v>422</v>
      </c>
      <c r="L6160" s="2" t="s">
        <v>423</v>
      </c>
      <c r="M6160" s="2" t="s">
        <v>119</v>
      </c>
      <c r="N6160" s="4" t="str">
        <f t="shared" si="521"/>
        <v>TON</v>
      </c>
      <c r="O6160" s="5">
        <v>5.0199999999999996</v>
      </c>
    </row>
    <row r="6161" spans="2:15" x14ac:dyDescent="0.25">
      <c r="B6161" s="1" t="s">
        <v>1520</v>
      </c>
      <c r="C6161" s="2" t="s">
        <v>196</v>
      </c>
      <c r="D6161" s="2" t="s">
        <v>280</v>
      </c>
      <c r="E6161" s="2" t="s">
        <v>811</v>
      </c>
      <c r="F6161" s="3">
        <f t="shared" si="522"/>
        <v>45607</v>
      </c>
      <c r="G6161" s="4">
        <f t="shared" si="515"/>
        <v>11</v>
      </c>
      <c r="H6161" s="4">
        <f t="shared" si="516"/>
        <v>2024</v>
      </c>
      <c r="I6161" s="2" t="s">
        <v>4</v>
      </c>
      <c r="J6161" s="2" t="s">
        <v>6833</v>
      </c>
      <c r="K6161" s="2" t="s">
        <v>422</v>
      </c>
      <c r="L6161" s="2" t="s">
        <v>423</v>
      </c>
      <c r="M6161" s="2" t="s">
        <v>119</v>
      </c>
      <c r="N6161" s="4" t="str">
        <f t="shared" si="521"/>
        <v>TON</v>
      </c>
      <c r="O6161" s="5">
        <v>10.005000000000001</v>
      </c>
    </row>
    <row r="6162" spans="2:15" x14ac:dyDescent="0.25">
      <c r="B6162" s="1" t="s">
        <v>1520</v>
      </c>
      <c r="C6162" s="2" t="s">
        <v>196</v>
      </c>
      <c r="D6162" s="2" t="s">
        <v>669</v>
      </c>
      <c r="E6162" s="2" t="s">
        <v>56</v>
      </c>
      <c r="F6162" s="3">
        <f t="shared" si="522"/>
        <v>45607</v>
      </c>
      <c r="G6162" s="4">
        <f t="shared" ref="G6162:G6225" si="523">+MONTH(F6162)</f>
        <v>11</v>
      </c>
      <c r="H6162" s="4">
        <f t="shared" ref="H6162:H6225" si="524">+YEAR(F6162)</f>
        <v>2024</v>
      </c>
      <c r="I6162" s="2" t="s">
        <v>4</v>
      </c>
      <c r="J6162" s="2" t="s">
        <v>6834</v>
      </c>
      <c r="K6162" s="2" t="s">
        <v>384</v>
      </c>
      <c r="L6162" s="2" t="s">
        <v>385</v>
      </c>
      <c r="M6162" s="2" t="s">
        <v>119</v>
      </c>
      <c r="N6162" s="4" t="str">
        <f t="shared" si="521"/>
        <v>TON</v>
      </c>
      <c r="O6162" s="5">
        <v>5.0149999999999997</v>
      </c>
    </row>
    <row r="6163" spans="2:15" x14ac:dyDescent="0.25">
      <c r="B6163" s="1" t="s">
        <v>1520</v>
      </c>
      <c r="C6163" s="2" t="s">
        <v>196</v>
      </c>
      <c r="D6163" s="2" t="s">
        <v>114</v>
      </c>
      <c r="E6163" s="2" t="s">
        <v>402</v>
      </c>
      <c r="F6163" s="3">
        <f t="shared" si="522"/>
        <v>45607</v>
      </c>
      <c r="G6163" s="4">
        <f t="shared" si="523"/>
        <v>11</v>
      </c>
      <c r="H6163" s="4">
        <f t="shared" si="524"/>
        <v>2024</v>
      </c>
      <c r="I6163" s="2" t="s">
        <v>4</v>
      </c>
      <c r="J6163" s="2" t="s">
        <v>6835</v>
      </c>
      <c r="K6163" s="2" t="s">
        <v>422</v>
      </c>
      <c r="L6163" s="2" t="s">
        <v>423</v>
      </c>
      <c r="M6163" s="2" t="s">
        <v>119</v>
      </c>
      <c r="N6163" s="4" t="str">
        <f t="shared" si="521"/>
        <v>TON</v>
      </c>
      <c r="O6163" s="5">
        <v>2.4975000000000001</v>
      </c>
    </row>
    <row r="6164" spans="2:15" x14ac:dyDescent="0.25">
      <c r="B6164" s="1" t="s">
        <v>1520</v>
      </c>
      <c r="C6164" s="2" t="s">
        <v>196</v>
      </c>
      <c r="D6164" s="2" t="s">
        <v>248</v>
      </c>
      <c r="E6164" s="2" t="s">
        <v>3610</v>
      </c>
      <c r="F6164" s="3">
        <f t="shared" ref="F6164:F6172" si="525">DATE(2024,11,12)</f>
        <v>45608</v>
      </c>
      <c r="G6164" s="4">
        <f t="shared" si="523"/>
        <v>11</v>
      </c>
      <c r="H6164" s="4">
        <f t="shared" si="524"/>
        <v>2024</v>
      </c>
      <c r="I6164" s="2" t="s">
        <v>4</v>
      </c>
      <c r="J6164" s="2" t="s">
        <v>6836</v>
      </c>
      <c r="K6164" s="2" t="s">
        <v>251</v>
      </c>
      <c r="L6164" s="2" t="s">
        <v>252</v>
      </c>
      <c r="M6164" s="2" t="s">
        <v>119</v>
      </c>
      <c r="N6164" s="4" t="str">
        <f t="shared" si="521"/>
        <v>TON</v>
      </c>
      <c r="O6164" s="5">
        <v>15.0175</v>
      </c>
    </row>
    <row r="6165" spans="2:15" x14ac:dyDescent="0.25">
      <c r="B6165" s="1" t="s">
        <v>1520</v>
      </c>
      <c r="C6165" s="2" t="s">
        <v>196</v>
      </c>
      <c r="D6165" s="2" t="s">
        <v>2002</v>
      </c>
      <c r="E6165" s="2" t="s">
        <v>6549</v>
      </c>
      <c r="F6165" s="3">
        <f t="shared" si="525"/>
        <v>45608</v>
      </c>
      <c r="G6165" s="4">
        <f t="shared" si="523"/>
        <v>11</v>
      </c>
      <c r="H6165" s="4">
        <f t="shared" si="524"/>
        <v>2024</v>
      </c>
      <c r="I6165" s="2" t="s">
        <v>4</v>
      </c>
      <c r="J6165" s="2" t="s">
        <v>6837</v>
      </c>
      <c r="K6165" s="2" t="s">
        <v>447</v>
      </c>
      <c r="L6165" s="2" t="s">
        <v>448</v>
      </c>
      <c r="M6165" s="2" t="s">
        <v>119</v>
      </c>
      <c r="N6165" s="4" t="str">
        <f t="shared" si="521"/>
        <v>TON</v>
      </c>
      <c r="O6165" s="5">
        <v>1.25</v>
      </c>
    </row>
    <row r="6166" spans="2:15" x14ac:dyDescent="0.25">
      <c r="B6166" s="1" t="s">
        <v>1520</v>
      </c>
      <c r="C6166" s="2" t="s">
        <v>196</v>
      </c>
      <c r="D6166" s="2" t="s">
        <v>227</v>
      </c>
      <c r="E6166" s="2" t="s">
        <v>357</v>
      </c>
      <c r="F6166" s="3">
        <f t="shared" si="525"/>
        <v>45608</v>
      </c>
      <c r="G6166" s="4">
        <f t="shared" si="523"/>
        <v>11</v>
      </c>
      <c r="H6166" s="4">
        <f t="shared" si="524"/>
        <v>2024</v>
      </c>
      <c r="I6166" s="2" t="s">
        <v>4</v>
      </c>
      <c r="J6166" s="2" t="s">
        <v>6838</v>
      </c>
      <c r="K6166" s="2" t="s">
        <v>122</v>
      </c>
      <c r="L6166" s="2" t="s">
        <v>123</v>
      </c>
      <c r="M6166" s="2" t="s">
        <v>119</v>
      </c>
      <c r="N6166" s="4" t="str">
        <f t="shared" si="521"/>
        <v>TON</v>
      </c>
      <c r="O6166" s="5">
        <v>8.0050000000000008</v>
      </c>
    </row>
    <row r="6167" spans="2:15" x14ac:dyDescent="0.25">
      <c r="B6167" s="1" t="s">
        <v>1520</v>
      </c>
      <c r="C6167" s="2" t="s">
        <v>196</v>
      </c>
      <c r="D6167" s="2" t="s">
        <v>660</v>
      </c>
      <c r="E6167" s="2" t="s">
        <v>115</v>
      </c>
      <c r="F6167" s="3">
        <f t="shared" si="525"/>
        <v>45608</v>
      </c>
      <c r="G6167" s="4">
        <f t="shared" si="523"/>
        <v>11</v>
      </c>
      <c r="H6167" s="4">
        <f t="shared" si="524"/>
        <v>2024</v>
      </c>
      <c r="I6167" s="2" t="s">
        <v>4</v>
      </c>
      <c r="J6167" s="2" t="s">
        <v>6839</v>
      </c>
      <c r="K6167" s="2" t="s">
        <v>251</v>
      </c>
      <c r="L6167" s="2" t="s">
        <v>252</v>
      </c>
      <c r="M6167" s="2" t="s">
        <v>119</v>
      </c>
      <c r="N6167" s="4" t="str">
        <f t="shared" si="521"/>
        <v>TON</v>
      </c>
      <c r="O6167" s="5">
        <v>2.5</v>
      </c>
    </row>
    <row r="6168" spans="2:15" x14ac:dyDescent="0.25">
      <c r="B6168" s="1" t="s">
        <v>1520</v>
      </c>
      <c r="C6168" s="2" t="s">
        <v>196</v>
      </c>
      <c r="D6168" s="2" t="s">
        <v>672</v>
      </c>
      <c r="E6168" s="2" t="s">
        <v>699</v>
      </c>
      <c r="F6168" s="3">
        <f t="shared" si="525"/>
        <v>45608</v>
      </c>
      <c r="G6168" s="4">
        <f t="shared" si="523"/>
        <v>11</v>
      </c>
      <c r="H6168" s="4">
        <f t="shared" si="524"/>
        <v>2024</v>
      </c>
      <c r="I6168" s="2" t="s">
        <v>4</v>
      </c>
      <c r="J6168" s="2" t="s">
        <v>6840</v>
      </c>
      <c r="K6168" s="2" t="s">
        <v>251</v>
      </c>
      <c r="L6168" s="2" t="s">
        <v>252</v>
      </c>
      <c r="M6168" s="2" t="s">
        <v>119</v>
      </c>
      <c r="N6168" s="4" t="str">
        <f t="shared" si="521"/>
        <v>TON</v>
      </c>
      <c r="O6168" s="5">
        <v>9.5175000000000001</v>
      </c>
    </row>
    <row r="6169" spans="2:15" x14ac:dyDescent="0.25">
      <c r="B6169" s="1" t="s">
        <v>1520</v>
      </c>
      <c r="C6169" s="2" t="s">
        <v>196</v>
      </c>
      <c r="D6169" s="2" t="s">
        <v>294</v>
      </c>
      <c r="E6169" s="2" t="s">
        <v>295</v>
      </c>
      <c r="F6169" s="3">
        <f t="shared" si="525"/>
        <v>45608</v>
      </c>
      <c r="G6169" s="4">
        <f t="shared" si="523"/>
        <v>11</v>
      </c>
      <c r="H6169" s="4">
        <f t="shared" si="524"/>
        <v>2024</v>
      </c>
      <c r="I6169" s="2" t="s">
        <v>4</v>
      </c>
      <c r="J6169" s="2" t="s">
        <v>6841</v>
      </c>
      <c r="K6169" s="2" t="s">
        <v>122</v>
      </c>
      <c r="L6169" s="2" t="s">
        <v>123</v>
      </c>
      <c r="M6169" s="2" t="s">
        <v>119</v>
      </c>
      <c r="N6169" s="4" t="str">
        <f t="shared" si="521"/>
        <v>TON</v>
      </c>
      <c r="O6169" s="5">
        <v>7.5</v>
      </c>
    </row>
    <row r="6170" spans="2:15" x14ac:dyDescent="0.25">
      <c r="B6170" s="1" t="s">
        <v>1520</v>
      </c>
      <c r="C6170" s="2" t="s">
        <v>196</v>
      </c>
      <c r="D6170" s="2" t="s">
        <v>273</v>
      </c>
      <c r="E6170" s="2" t="s">
        <v>274</v>
      </c>
      <c r="F6170" s="3">
        <f t="shared" si="525"/>
        <v>45608</v>
      </c>
      <c r="G6170" s="4">
        <f t="shared" si="523"/>
        <v>11</v>
      </c>
      <c r="H6170" s="4">
        <f t="shared" si="524"/>
        <v>2024</v>
      </c>
      <c r="I6170" s="2" t="s">
        <v>4</v>
      </c>
      <c r="J6170" s="2" t="s">
        <v>6842</v>
      </c>
      <c r="K6170" s="2" t="s">
        <v>384</v>
      </c>
      <c r="L6170" s="2" t="s">
        <v>385</v>
      </c>
      <c r="M6170" s="2" t="s">
        <v>119</v>
      </c>
      <c r="N6170" s="4" t="str">
        <f t="shared" si="521"/>
        <v>TON</v>
      </c>
      <c r="O6170" s="5">
        <v>4.9924999999999997</v>
      </c>
    </row>
    <row r="6171" spans="2:15" x14ac:dyDescent="0.25">
      <c r="B6171" s="1" t="s">
        <v>1520</v>
      </c>
      <c r="C6171" s="2" t="s">
        <v>196</v>
      </c>
      <c r="D6171" s="2" t="s">
        <v>660</v>
      </c>
      <c r="E6171" s="2" t="s">
        <v>115</v>
      </c>
      <c r="F6171" s="3">
        <f t="shared" si="525"/>
        <v>45608</v>
      </c>
      <c r="G6171" s="4">
        <f t="shared" si="523"/>
        <v>11</v>
      </c>
      <c r="H6171" s="4">
        <f t="shared" si="524"/>
        <v>2024</v>
      </c>
      <c r="I6171" s="2" t="s">
        <v>4</v>
      </c>
      <c r="J6171" s="2" t="s">
        <v>6843</v>
      </c>
      <c r="K6171" s="2" t="s">
        <v>189</v>
      </c>
      <c r="L6171" s="2" t="s">
        <v>190</v>
      </c>
      <c r="M6171" s="2" t="s">
        <v>191</v>
      </c>
      <c r="N6171" s="4" t="str">
        <f t="shared" si="521"/>
        <v>GAL</v>
      </c>
      <c r="O6171" s="5">
        <v>25</v>
      </c>
    </row>
    <row r="6172" spans="2:15" x14ac:dyDescent="0.25">
      <c r="B6172" s="1" t="s">
        <v>1520</v>
      </c>
      <c r="C6172" s="2" t="s">
        <v>196</v>
      </c>
      <c r="D6172" s="2" t="s">
        <v>276</v>
      </c>
      <c r="E6172" s="2" t="s">
        <v>878</v>
      </c>
      <c r="F6172" s="3">
        <f t="shared" si="525"/>
        <v>45608</v>
      </c>
      <c r="G6172" s="4">
        <f t="shared" si="523"/>
        <v>11</v>
      </c>
      <c r="H6172" s="4">
        <f t="shared" si="524"/>
        <v>2024</v>
      </c>
      <c r="I6172" s="2" t="s">
        <v>4</v>
      </c>
      <c r="J6172" s="2" t="s">
        <v>6844</v>
      </c>
      <c r="K6172" s="2" t="s">
        <v>292</v>
      </c>
      <c r="L6172" s="2" t="s">
        <v>293</v>
      </c>
      <c r="M6172" s="2" t="s">
        <v>119</v>
      </c>
      <c r="N6172" s="4" t="str">
        <f t="shared" si="521"/>
        <v>TON</v>
      </c>
      <c r="O6172" s="5">
        <v>8.01</v>
      </c>
    </row>
    <row r="6173" spans="2:15" x14ac:dyDescent="0.25">
      <c r="B6173" s="1" t="s">
        <v>1520</v>
      </c>
      <c r="C6173" s="2" t="s">
        <v>196</v>
      </c>
      <c r="D6173" s="2" t="s">
        <v>6651</v>
      </c>
      <c r="E6173" s="2" t="s">
        <v>6652</v>
      </c>
      <c r="F6173" s="3">
        <f t="shared" ref="F6173:F6180" si="526">DATE(2024,11,13)</f>
        <v>45609</v>
      </c>
      <c r="G6173" s="4">
        <f t="shared" si="523"/>
        <v>11</v>
      </c>
      <c r="H6173" s="4">
        <f t="shared" si="524"/>
        <v>2024</v>
      </c>
      <c r="I6173" s="2" t="s">
        <v>4</v>
      </c>
      <c r="J6173" s="2" t="s">
        <v>6845</v>
      </c>
      <c r="K6173" s="2" t="s">
        <v>205</v>
      </c>
      <c r="L6173" s="2" t="s">
        <v>206</v>
      </c>
      <c r="M6173" s="2" t="s">
        <v>119</v>
      </c>
      <c r="N6173" s="4" t="str">
        <f t="shared" si="521"/>
        <v>TON</v>
      </c>
      <c r="O6173" s="5">
        <v>5.0049999999999999</v>
      </c>
    </row>
    <row r="6174" spans="2:15" x14ac:dyDescent="0.25">
      <c r="B6174" s="1" t="s">
        <v>1520</v>
      </c>
      <c r="C6174" s="2" t="s">
        <v>196</v>
      </c>
      <c r="D6174" s="2" t="s">
        <v>3761</v>
      </c>
      <c r="E6174" s="2" t="s">
        <v>3762</v>
      </c>
      <c r="F6174" s="3">
        <f t="shared" si="526"/>
        <v>45609</v>
      </c>
      <c r="G6174" s="4">
        <f t="shared" si="523"/>
        <v>11</v>
      </c>
      <c r="H6174" s="4">
        <f t="shared" si="524"/>
        <v>2024</v>
      </c>
      <c r="I6174" s="2" t="s">
        <v>4</v>
      </c>
      <c r="J6174" s="2" t="s">
        <v>6846</v>
      </c>
      <c r="K6174" s="2" t="s">
        <v>205</v>
      </c>
      <c r="L6174" s="2" t="s">
        <v>206</v>
      </c>
      <c r="M6174" s="2" t="s">
        <v>119</v>
      </c>
      <c r="N6174" s="4" t="str">
        <f t="shared" si="521"/>
        <v>TON</v>
      </c>
      <c r="O6174" s="5">
        <v>10.0175</v>
      </c>
    </row>
    <row r="6175" spans="2:15" x14ac:dyDescent="0.25">
      <c r="B6175" s="1" t="s">
        <v>1520</v>
      </c>
      <c r="C6175" s="2" t="s">
        <v>196</v>
      </c>
      <c r="D6175" s="2" t="s">
        <v>241</v>
      </c>
      <c r="E6175" s="2" t="s">
        <v>258</v>
      </c>
      <c r="F6175" s="3">
        <f t="shared" si="526"/>
        <v>45609</v>
      </c>
      <c r="G6175" s="4">
        <f t="shared" si="523"/>
        <v>11</v>
      </c>
      <c r="H6175" s="4">
        <f t="shared" si="524"/>
        <v>2024</v>
      </c>
      <c r="I6175" s="2" t="s">
        <v>4</v>
      </c>
      <c r="J6175" s="2" t="s">
        <v>6847</v>
      </c>
      <c r="K6175" s="2" t="s">
        <v>3458</v>
      </c>
      <c r="L6175" s="2" t="s">
        <v>3459</v>
      </c>
      <c r="M6175" s="2" t="s">
        <v>119</v>
      </c>
      <c r="N6175" s="4" t="str">
        <f t="shared" si="521"/>
        <v>TON</v>
      </c>
      <c r="O6175" s="5">
        <v>2.2599999999999998</v>
      </c>
    </row>
    <row r="6176" spans="2:15" x14ac:dyDescent="0.25">
      <c r="B6176" s="1" t="s">
        <v>1520</v>
      </c>
      <c r="C6176" s="2" t="s">
        <v>196</v>
      </c>
      <c r="D6176" s="2" t="s">
        <v>215</v>
      </c>
      <c r="E6176" s="2" t="s">
        <v>313</v>
      </c>
      <c r="F6176" s="3">
        <f t="shared" si="526"/>
        <v>45609</v>
      </c>
      <c r="G6176" s="4">
        <f t="shared" si="523"/>
        <v>11</v>
      </c>
      <c r="H6176" s="4">
        <f t="shared" si="524"/>
        <v>2024</v>
      </c>
      <c r="I6176" s="2" t="s">
        <v>4</v>
      </c>
      <c r="J6176" s="2" t="s">
        <v>6848</v>
      </c>
      <c r="K6176" s="2" t="s">
        <v>205</v>
      </c>
      <c r="L6176" s="2" t="s">
        <v>206</v>
      </c>
      <c r="M6176" s="2" t="s">
        <v>119</v>
      </c>
      <c r="N6176" s="4" t="str">
        <f t="shared" si="521"/>
        <v>TON</v>
      </c>
      <c r="O6176" s="5">
        <v>3.7725</v>
      </c>
    </row>
    <row r="6177" spans="2:15" x14ac:dyDescent="0.25">
      <c r="B6177" s="1" t="s">
        <v>1520</v>
      </c>
      <c r="C6177" s="2" t="s">
        <v>196</v>
      </c>
      <c r="D6177" s="2" t="s">
        <v>276</v>
      </c>
      <c r="E6177" s="2" t="s">
        <v>692</v>
      </c>
      <c r="F6177" s="3">
        <f t="shared" si="526"/>
        <v>45609</v>
      </c>
      <c r="G6177" s="4">
        <f t="shared" si="523"/>
        <v>11</v>
      </c>
      <c r="H6177" s="4">
        <f t="shared" si="524"/>
        <v>2024</v>
      </c>
      <c r="I6177" s="2" t="s">
        <v>4</v>
      </c>
      <c r="J6177" s="2" t="s">
        <v>6849</v>
      </c>
      <c r="K6177" s="2" t="s">
        <v>329</v>
      </c>
      <c r="L6177" s="2" t="s">
        <v>330</v>
      </c>
      <c r="M6177" s="2" t="s">
        <v>119</v>
      </c>
      <c r="N6177" s="4" t="str">
        <f t="shared" si="521"/>
        <v>TON</v>
      </c>
      <c r="O6177" s="5">
        <v>10.032500000000001</v>
      </c>
    </row>
    <row r="6178" spans="2:15" x14ac:dyDescent="0.25">
      <c r="B6178" s="1" t="s">
        <v>1520</v>
      </c>
      <c r="C6178" s="2" t="s">
        <v>196</v>
      </c>
      <c r="D6178" s="2" t="s">
        <v>114</v>
      </c>
      <c r="E6178" s="2" t="s">
        <v>3751</v>
      </c>
      <c r="F6178" s="3">
        <f t="shared" si="526"/>
        <v>45609</v>
      </c>
      <c r="G6178" s="4">
        <f t="shared" si="523"/>
        <v>11</v>
      </c>
      <c r="H6178" s="4">
        <f t="shared" si="524"/>
        <v>2024</v>
      </c>
      <c r="I6178" s="2" t="s">
        <v>4</v>
      </c>
      <c r="J6178" s="2" t="s">
        <v>6850</v>
      </c>
      <c r="K6178" s="2" t="s">
        <v>422</v>
      </c>
      <c r="L6178" s="2" t="s">
        <v>423</v>
      </c>
      <c r="M6178" s="2" t="s">
        <v>119</v>
      </c>
      <c r="N6178" s="4" t="str">
        <f t="shared" si="521"/>
        <v>TON</v>
      </c>
      <c r="O6178" s="5">
        <v>9.5075000000000003</v>
      </c>
    </row>
    <row r="6179" spans="2:15" x14ac:dyDescent="0.25">
      <c r="B6179" s="1" t="s">
        <v>1520</v>
      </c>
      <c r="C6179" s="2" t="s">
        <v>196</v>
      </c>
      <c r="D6179" s="2" t="s">
        <v>3735</v>
      </c>
      <c r="E6179" s="2" t="s">
        <v>3736</v>
      </c>
      <c r="F6179" s="3">
        <f t="shared" si="526"/>
        <v>45609</v>
      </c>
      <c r="G6179" s="4">
        <f t="shared" si="523"/>
        <v>11</v>
      </c>
      <c r="H6179" s="4">
        <f t="shared" si="524"/>
        <v>2024</v>
      </c>
      <c r="I6179" s="2" t="s">
        <v>4</v>
      </c>
      <c r="J6179" s="2" t="s">
        <v>6851</v>
      </c>
      <c r="K6179" s="2" t="s">
        <v>122</v>
      </c>
      <c r="L6179" s="2" t="s">
        <v>123</v>
      </c>
      <c r="M6179" s="2" t="s">
        <v>119</v>
      </c>
      <c r="N6179" s="4" t="str">
        <f t="shared" si="521"/>
        <v>TON</v>
      </c>
      <c r="O6179" s="5">
        <v>1.2524999999999999</v>
      </c>
    </row>
    <row r="6180" spans="2:15" x14ac:dyDescent="0.25">
      <c r="B6180" s="1" t="s">
        <v>1520</v>
      </c>
      <c r="C6180" s="2" t="s">
        <v>196</v>
      </c>
      <c r="D6180" s="2" t="s">
        <v>280</v>
      </c>
      <c r="E6180" s="2" t="s">
        <v>254</v>
      </c>
      <c r="F6180" s="3">
        <f t="shared" si="526"/>
        <v>45609</v>
      </c>
      <c r="G6180" s="4">
        <f t="shared" si="523"/>
        <v>11</v>
      </c>
      <c r="H6180" s="4">
        <f t="shared" si="524"/>
        <v>2024</v>
      </c>
      <c r="I6180" s="2" t="s">
        <v>4</v>
      </c>
      <c r="J6180" s="2" t="s">
        <v>6852</v>
      </c>
      <c r="K6180" s="2" t="s">
        <v>422</v>
      </c>
      <c r="L6180" s="2" t="s">
        <v>423</v>
      </c>
      <c r="M6180" s="2" t="s">
        <v>119</v>
      </c>
      <c r="N6180" s="4" t="str">
        <f t="shared" si="521"/>
        <v>TON</v>
      </c>
      <c r="O6180" s="5">
        <v>15.03</v>
      </c>
    </row>
    <row r="6181" spans="2:15" x14ac:dyDescent="0.25">
      <c r="B6181" s="1" t="s">
        <v>1520</v>
      </c>
      <c r="C6181" s="2" t="s">
        <v>196</v>
      </c>
      <c r="D6181" s="2" t="s">
        <v>280</v>
      </c>
      <c r="E6181" s="2" t="s">
        <v>364</v>
      </c>
      <c r="F6181" s="3">
        <f t="shared" ref="F6181:F6191" si="527">DATE(2024,11,14)</f>
        <v>45610</v>
      </c>
      <c r="G6181" s="4">
        <f t="shared" si="523"/>
        <v>11</v>
      </c>
      <c r="H6181" s="4">
        <f t="shared" si="524"/>
        <v>2024</v>
      </c>
      <c r="I6181" s="2" t="s">
        <v>4</v>
      </c>
      <c r="J6181" s="2" t="s">
        <v>6853</v>
      </c>
      <c r="K6181" s="2" t="s">
        <v>422</v>
      </c>
      <c r="L6181" s="2" t="s">
        <v>423</v>
      </c>
      <c r="M6181" s="2" t="s">
        <v>119</v>
      </c>
      <c r="N6181" s="4" t="str">
        <f t="shared" si="521"/>
        <v>TON</v>
      </c>
      <c r="O6181" s="5">
        <v>12.515000000000001</v>
      </c>
    </row>
    <row r="6182" spans="2:15" x14ac:dyDescent="0.25">
      <c r="B6182" s="1" t="s">
        <v>1520</v>
      </c>
      <c r="C6182" s="2" t="s">
        <v>196</v>
      </c>
      <c r="D6182" s="2" t="s">
        <v>6854</v>
      </c>
      <c r="E6182" s="2" t="s">
        <v>6855</v>
      </c>
      <c r="F6182" s="3">
        <f t="shared" si="527"/>
        <v>45610</v>
      </c>
      <c r="G6182" s="4">
        <f t="shared" si="523"/>
        <v>11</v>
      </c>
      <c r="H6182" s="4">
        <f t="shared" si="524"/>
        <v>2024</v>
      </c>
      <c r="I6182" s="2" t="s">
        <v>4</v>
      </c>
      <c r="J6182" s="2" t="s">
        <v>6856</v>
      </c>
      <c r="K6182" s="2" t="s">
        <v>6857</v>
      </c>
      <c r="L6182" s="2" t="s">
        <v>6858</v>
      </c>
      <c r="M6182" s="2" t="s">
        <v>6859</v>
      </c>
      <c r="N6182" s="4" t="str">
        <f t="shared" si="521"/>
        <v>GAL</v>
      </c>
      <c r="O6182" s="5">
        <v>3000</v>
      </c>
    </row>
    <row r="6183" spans="2:15" x14ac:dyDescent="0.25">
      <c r="B6183" s="1" t="s">
        <v>1520</v>
      </c>
      <c r="C6183" s="2" t="s">
        <v>196</v>
      </c>
      <c r="D6183" s="2" t="s">
        <v>317</v>
      </c>
      <c r="E6183" s="2" t="s">
        <v>829</v>
      </c>
      <c r="F6183" s="3">
        <f t="shared" si="527"/>
        <v>45610</v>
      </c>
      <c r="G6183" s="4">
        <f t="shared" si="523"/>
        <v>11</v>
      </c>
      <c r="H6183" s="4">
        <f t="shared" si="524"/>
        <v>2024</v>
      </c>
      <c r="I6183" s="2" t="s">
        <v>4</v>
      </c>
      <c r="J6183" s="2" t="s">
        <v>6860</v>
      </c>
      <c r="K6183" s="2" t="s">
        <v>422</v>
      </c>
      <c r="L6183" s="2" t="s">
        <v>423</v>
      </c>
      <c r="M6183" s="2" t="s">
        <v>119</v>
      </c>
      <c r="N6183" s="4" t="str">
        <f t="shared" si="521"/>
        <v>TON</v>
      </c>
      <c r="O6183" s="5">
        <v>2.5049999999999999</v>
      </c>
    </row>
    <row r="6184" spans="2:15" x14ac:dyDescent="0.25">
      <c r="B6184" s="1" t="s">
        <v>1520</v>
      </c>
      <c r="C6184" s="2" t="s">
        <v>196</v>
      </c>
      <c r="D6184" s="2" t="s">
        <v>4034</v>
      </c>
      <c r="E6184" s="2" t="s">
        <v>1346</v>
      </c>
      <c r="F6184" s="3">
        <f t="shared" si="527"/>
        <v>45610</v>
      </c>
      <c r="G6184" s="4">
        <f t="shared" si="523"/>
        <v>11</v>
      </c>
      <c r="H6184" s="4">
        <f t="shared" si="524"/>
        <v>2024</v>
      </c>
      <c r="I6184" s="2" t="s">
        <v>4</v>
      </c>
      <c r="J6184" s="2" t="s">
        <v>6861</v>
      </c>
      <c r="K6184" s="2" t="s">
        <v>329</v>
      </c>
      <c r="L6184" s="2" t="s">
        <v>330</v>
      </c>
      <c r="M6184" s="2" t="s">
        <v>119</v>
      </c>
      <c r="N6184" s="4" t="str">
        <f t="shared" si="521"/>
        <v>TON</v>
      </c>
      <c r="O6184" s="5">
        <v>4.9950000000000001</v>
      </c>
    </row>
    <row r="6185" spans="2:15" x14ac:dyDescent="0.25">
      <c r="B6185" s="1" t="s">
        <v>1520</v>
      </c>
      <c r="C6185" s="2" t="s">
        <v>196</v>
      </c>
      <c r="D6185" s="2" t="s">
        <v>280</v>
      </c>
      <c r="E6185" s="2" t="s">
        <v>1308</v>
      </c>
      <c r="F6185" s="3">
        <f t="shared" si="527"/>
        <v>45610</v>
      </c>
      <c r="G6185" s="4">
        <f t="shared" si="523"/>
        <v>11</v>
      </c>
      <c r="H6185" s="4">
        <f t="shared" si="524"/>
        <v>2024</v>
      </c>
      <c r="I6185" s="2" t="s">
        <v>4</v>
      </c>
      <c r="J6185" s="2" t="s">
        <v>6862</v>
      </c>
      <c r="K6185" s="2" t="s">
        <v>422</v>
      </c>
      <c r="L6185" s="2" t="s">
        <v>423</v>
      </c>
      <c r="M6185" s="2" t="s">
        <v>119</v>
      </c>
      <c r="N6185" s="4" t="str">
        <f t="shared" si="521"/>
        <v>TON</v>
      </c>
      <c r="O6185" s="5">
        <v>9.9949999999999992</v>
      </c>
    </row>
    <row r="6186" spans="2:15" x14ac:dyDescent="0.25">
      <c r="B6186" s="1" t="s">
        <v>1520</v>
      </c>
      <c r="C6186" s="2" t="s">
        <v>196</v>
      </c>
      <c r="D6186" s="2" t="s">
        <v>4037</v>
      </c>
      <c r="E6186" s="2" t="s">
        <v>6863</v>
      </c>
      <c r="F6186" s="3">
        <f t="shared" si="527"/>
        <v>45610</v>
      </c>
      <c r="G6186" s="4">
        <f t="shared" si="523"/>
        <v>11</v>
      </c>
      <c r="H6186" s="4">
        <f t="shared" si="524"/>
        <v>2024</v>
      </c>
      <c r="I6186" s="2" t="s">
        <v>4</v>
      </c>
      <c r="J6186" s="2" t="s">
        <v>6864</v>
      </c>
      <c r="K6186" s="2" t="s">
        <v>822</v>
      </c>
      <c r="L6186" s="2" t="s">
        <v>565</v>
      </c>
      <c r="M6186" s="2" t="s">
        <v>21</v>
      </c>
      <c r="N6186" s="4" t="str">
        <f t="shared" si="521"/>
        <v>GAL</v>
      </c>
      <c r="O6186" s="5">
        <v>750</v>
      </c>
    </row>
    <row r="6187" spans="2:15" x14ac:dyDescent="0.25">
      <c r="B6187" s="1" t="s">
        <v>1520</v>
      </c>
      <c r="C6187" s="2" t="s">
        <v>196</v>
      </c>
      <c r="D6187" s="2" t="s">
        <v>452</v>
      </c>
      <c r="E6187" s="2" t="s">
        <v>222</v>
      </c>
      <c r="F6187" s="3">
        <f t="shared" si="527"/>
        <v>45610</v>
      </c>
      <c r="G6187" s="4">
        <f t="shared" si="523"/>
        <v>11</v>
      </c>
      <c r="H6187" s="4">
        <f t="shared" si="524"/>
        <v>2024</v>
      </c>
      <c r="I6187" s="2" t="s">
        <v>4</v>
      </c>
      <c r="J6187" s="2" t="s">
        <v>6865</v>
      </c>
      <c r="K6187" s="2" t="s">
        <v>205</v>
      </c>
      <c r="L6187" s="2" t="s">
        <v>206</v>
      </c>
      <c r="M6187" s="2" t="s">
        <v>119</v>
      </c>
      <c r="N6187" s="4" t="str">
        <f t="shared" si="521"/>
        <v>TON</v>
      </c>
      <c r="O6187" s="5">
        <v>8.5050000000000008</v>
      </c>
    </row>
    <row r="6188" spans="2:15" x14ac:dyDescent="0.25">
      <c r="B6188" s="1" t="s">
        <v>1520</v>
      </c>
      <c r="C6188" s="2" t="s">
        <v>196</v>
      </c>
      <c r="D6188" s="2" t="s">
        <v>444</v>
      </c>
      <c r="E6188" s="2" t="s">
        <v>686</v>
      </c>
      <c r="F6188" s="3">
        <f t="shared" si="527"/>
        <v>45610</v>
      </c>
      <c r="G6188" s="4">
        <f t="shared" si="523"/>
        <v>11</v>
      </c>
      <c r="H6188" s="4">
        <f t="shared" si="524"/>
        <v>2024</v>
      </c>
      <c r="I6188" s="2" t="s">
        <v>4</v>
      </c>
      <c r="J6188" s="2" t="s">
        <v>6866</v>
      </c>
      <c r="K6188" s="2" t="s">
        <v>447</v>
      </c>
      <c r="L6188" s="2" t="s">
        <v>448</v>
      </c>
      <c r="M6188" s="2" t="s">
        <v>119</v>
      </c>
      <c r="N6188" s="4" t="str">
        <f t="shared" si="521"/>
        <v>TON</v>
      </c>
      <c r="O6188" s="5">
        <v>2.4975000000000001</v>
      </c>
    </row>
    <row r="6189" spans="2:15" x14ac:dyDescent="0.25">
      <c r="B6189" s="1" t="s">
        <v>1520</v>
      </c>
      <c r="C6189" s="2" t="s">
        <v>196</v>
      </c>
      <c r="D6189" s="2" t="s">
        <v>270</v>
      </c>
      <c r="E6189" s="2" t="s">
        <v>271</v>
      </c>
      <c r="F6189" s="3">
        <f t="shared" si="527"/>
        <v>45610</v>
      </c>
      <c r="G6189" s="4">
        <f t="shared" si="523"/>
        <v>11</v>
      </c>
      <c r="H6189" s="4">
        <f t="shared" si="524"/>
        <v>2024</v>
      </c>
      <c r="I6189" s="2" t="s">
        <v>4</v>
      </c>
      <c r="J6189" s="2" t="s">
        <v>6867</v>
      </c>
      <c r="K6189" s="2" t="s">
        <v>205</v>
      </c>
      <c r="L6189" s="2" t="s">
        <v>206</v>
      </c>
      <c r="M6189" s="2" t="s">
        <v>119</v>
      </c>
      <c r="N6189" s="4" t="str">
        <f t="shared" si="521"/>
        <v>TON</v>
      </c>
      <c r="O6189" s="5">
        <v>4</v>
      </c>
    </row>
    <row r="6190" spans="2:15" x14ac:dyDescent="0.25">
      <c r="B6190" s="1" t="s">
        <v>1520</v>
      </c>
      <c r="C6190" s="2" t="s">
        <v>196</v>
      </c>
      <c r="D6190" s="2" t="s">
        <v>197</v>
      </c>
      <c r="E6190" s="2" t="s">
        <v>198</v>
      </c>
      <c r="F6190" s="3">
        <f t="shared" si="527"/>
        <v>45610</v>
      </c>
      <c r="G6190" s="4">
        <f t="shared" si="523"/>
        <v>11</v>
      </c>
      <c r="H6190" s="4">
        <f t="shared" si="524"/>
        <v>2024</v>
      </c>
      <c r="I6190" s="2" t="s">
        <v>4</v>
      </c>
      <c r="J6190" s="2" t="s">
        <v>6868</v>
      </c>
      <c r="K6190" s="2" t="s">
        <v>307</v>
      </c>
      <c r="L6190" s="2" t="s">
        <v>308</v>
      </c>
      <c r="M6190" s="2" t="s">
        <v>119</v>
      </c>
      <c r="N6190" s="4" t="str">
        <f t="shared" si="521"/>
        <v>TON</v>
      </c>
      <c r="O6190" s="5">
        <v>3.4975000000000001</v>
      </c>
    </row>
    <row r="6191" spans="2:15" x14ac:dyDescent="0.25">
      <c r="B6191" s="1" t="s">
        <v>1520</v>
      </c>
      <c r="C6191" s="2" t="s">
        <v>196</v>
      </c>
      <c r="D6191" s="2" t="s">
        <v>114</v>
      </c>
      <c r="E6191" s="2" t="s">
        <v>402</v>
      </c>
      <c r="F6191" s="3">
        <f t="shared" si="527"/>
        <v>45610</v>
      </c>
      <c r="G6191" s="4">
        <f t="shared" si="523"/>
        <v>11</v>
      </c>
      <c r="H6191" s="4">
        <f t="shared" si="524"/>
        <v>2024</v>
      </c>
      <c r="I6191" s="2" t="s">
        <v>4</v>
      </c>
      <c r="J6191" s="2" t="s">
        <v>6869</v>
      </c>
      <c r="K6191" s="2" t="s">
        <v>422</v>
      </c>
      <c r="L6191" s="2" t="s">
        <v>423</v>
      </c>
      <c r="M6191" s="2" t="s">
        <v>119</v>
      </c>
      <c r="N6191" s="4" t="str">
        <f t="shared" si="521"/>
        <v>TON</v>
      </c>
      <c r="O6191" s="5">
        <v>8.5175000000000001</v>
      </c>
    </row>
    <row r="6192" spans="2:15" x14ac:dyDescent="0.25">
      <c r="B6192" s="1" t="s">
        <v>1520</v>
      </c>
      <c r="C6192" s="2" t="s">
        <v>196</v>
      </c>
      <c r="D6192" s="2" t="s">
        <v>215</v>
      </c>
      <c r="E6192" s="2" t="s">
        <v>4113</v>
      </c>
      <c r="F6192" s="3">
        <f t="shared" ref="F6192:F6199" si="528">DATE(2024,11,15)</f>
        <v>45611</v>
      </c>
      <c r="G6192" s="4">
        <f t="shared" si="523"/>
        <v>11</v>
      </c>
      <c r="H6192" s="4">
        <f t="shared" si="524"/>
        <v>2024</v>
      </c>
      <c r="I6192" s="2" t="s">
        <v>4</v>
      </c>
      <c r="J6192" s="2" t="s">
        <v>6870</v>
      </c>
      <c r="K6192" s="2" t="s">
        <v>205</v>
      </c>
      <c r="L6192" s="2" t="s">
        <v>206</v>
      </c>
      <c r="M6192" s="2" t="s">
        <v>119</v>
      </c>
      <c r="N6192" s="4" t="str">
        <f t="shared" si="521"/>
        <v>TON</v>
      </c>
      <c r="O6192" s="5">
        <v>10.01</v>
      </c>
    </row>
    <row r="6193" spans="2:15" x14ac:dyDescent="0.25">
      <c r="B6193" s="1" t="s">
        <v>1520</v>
      </c>
      <c r="C6193" s="2" t="s">
        <v>196</v>
      </c>
      <c r="D6193" s="2" t="s">
        <v>458</v>
      </c>
      <c r="E6193" s="2" t="s">
        <v>2868</v>
      </c>
      <c r="F6193" s="3">
        <f t="shared" si="528"/>
        <v>45611</v>
      </c>
      <c r="G6193" s="4">
        <f t="shared" si="523"/>
        <v>11</v>
      </c>
      <c r="H6193" s="4">
        <f t="shared" si="524"/>
        <v>2024</v>
      </c>
      <c r="I6193" s="2" t="s">
        <v>4</v>
      </c>
      <c r="J6193" s="2" t="s">
        <v>6871</v>
      </c>
      <c r="K6193" s="2" t="s">
        <v>329</v>
      </c>
      <c r="L6193" s="2" t="s">
        <v>330</v>
      </c>
      <c r="M6193" s="2" t="s">
        <v>119</v>
      </c>
      <c r="N6193" s="4" t="str">
        <f t="shared" si="521"/>
        <v>TON</v>
      </c>
      <c r="O6193" s="5">
        <v>5.01</v>
      </c>
    </row>
    <row r="6194" spans="2:15" x14ac:dyDescent="0.25">
      <c r="B6194" s="1" t="s">
        <v>1520</v>
      </c>
      <c r="C6194" s="2" t="s">
        <v>196</v>
      </c>
      <c r="D6194" s="2" t="s">
        <v>265</v>
      </c>
      <c r="E6194" s="2" t="s">
        <v>266</v>
      </c>
      <c r="F6194" s="3">
        <f t="shared" si="528"/>
        <v>45611</v>
      </c>
      <c r="G6194" s="4">
        <f t="shared" si="523"/>
        <v>11</v>
      </c>
      <c r="H6194" s="4">
        <f t="shared" si="524"/>
        <v>2024</v>
      </c>
      <c r="I6194" s="2" t="s">
        <v>4</v>
      </c>
      <c r="J6194" s="2" t="s">
        <v>6872</v>
      </c>
      <c r="K6194" s="2" t="s">
        <v>268</v>
      </c>
      <c r="L6194" s="2" t="s">
        <v>269</v>
      </c>
      <c r="M6194" s="2" t="s">
        <v>119</v>
      </c>
      <c r="N6194" s="4" t="str">
        <f t="shared" si="521"/>
        <v>TON</v>
      </c>
      <c r="O6194" s="5">
        <v>0.3</v>
      </c>
    </row>
    <row r="6195" spans="2:15" x14ac:dyDescent="0.25">
      <c r="B6195" s="1" t="s">
        <v>1520</v>
      </c>
      <c r="C6195" s="2" t="s">
        <v>196</v>
      </c>
      <c r="D6195" s="2" t="s">
        <v>232</v>
      </c>
      <c r="E6195" s="2" t="s">
        <v>6657</v>
      </c>
      <c r="F6195" s="3">
        <f t="shared" si="528"/>
        <v>45611</v>
      </c>
      <c r="G6195" s="4">
        <f t="shared" si="523"/>
        <v>11</v>
      </c>
      <c r="H6195" s="4">
        <f t="shared" si="524"/>
        <v>2024</v>
      </c>
      <c r="I6195" s="2" t="s">
        <v>4</v>
      </c>
      <c r="J6195" s="2" t="s">
        <v>6873</v>
      </c>
      <c r="K6195" s="2" t="s">
        <v>205</v>
      </c>
      <c r="L6195" s="2" t="s">
        <v>206</v>
      </c>
      <c r="M6195" s="2" t="s">
        <v>119</v>
      </c>
      <c r="N6195" s="4" t="str">
        <f t="shared" si="521"/>
        <v>TON</v>
      </c>
      <c r="O6195" s="5">
        <v>2.5</v>
      </c>
    </row>
    <row r="6196" spans="2:15" x14ac:dyDescent="0.25">
      <c r="B6196" s="1" t="s">
        <v>1520</v>
      </c>
      <c r="C6196" s="2" t="s">
        <v>196</v>
      </c>
      <c r="D6196" s="2" t="s">
        <v>317</v>
      </c>
      <c r="E6196" s="2" t="s">
        <v>677</v>
      </c>
      <c r="F6196" s="3">
        <f t="shared" si="528"/>
        <v>45611</v>
      </c>
      <c r="G6196" s="4">
        <f t="shared" si="523"/>
        <v>11</v>
      </c>
      <c r="H6196" s="4">
        <f t="shared" si="524"/>
        <v>2024</v>
      </c>
      <c r="I6196" s="2" t="s">
        <v>4</v>
      </c>
      <c r="J6196" s="2" t="s">
        <v>6874</v>
      </c>
      <c r="K6196" s="2" t="s">
        <v>422</v>
      </c>
      <c r="L6196" s="2" t="s">
        <v>423</v>
      </c>
      <c r="M6196" s="2" t="s">
        <v>119</v>
      </c>
      <c r="N6196" s="4" t="str">
        <f t="shared" si="521"/>
        <v>TON</v>
      </c>
      <c r="O6196" s="5">
        <v>15.012499999999999</v>
      </c>
    </row>
    <row r="6197" spans="2:15" x14ac:dyDescent="0.25">
      <c r="B6197" s="1" t="s">
        <v>1520</v>
      </c>
      <c r="C6197" s="2" t="s">
        <v>196</v>
      </c>
      <c r="D6197" s="2" t="s">
        <v>973</v>
      </c>
      <c r="E6197" s="2" t="s">
        <v>141</v>
      </c>
      <c r="F6197" s="3">
        <f t="shared" si="528"/>
        <v>45611</v>
      </c>
      <c r="G6197" s="4">
        <f t="shared" si="523"/>
        <v>11</v>
      </c>
      <c r="H6197" s="4">
        <f t="shared" si="524"/>
        <v>2024</v>
      </c>
      <c r="I6197" s="2" t="s">
        <v>4</v>
      </c>
      <c r="J6197" s="2" t="s">
        <v>6875</v>
      </c>
      <c r="K6197" s="2" t="s">
        <v>820</v>
      </c>
      <c r="L6197" s="2" t="s">
        <v>416</v>
      </c>
      <c r="M6197" s="2" t="s">
        <v>417</v>
      </c>
      <c r="N6197" s="4" t="str">
        <f t="shared" si="521"/>
        <v>GAL</v>
      </c>
      <c r="O6197" s="5">
        <v>2.5</v>
      </c>
    </row>
    <row r="6198" spans="2:15" x14ac:dyDescent="0.25">
      <c r="B6198" s="1" t="s">
        <v>1520</v>
      </c>
      <c r="C6198" s="2" t="s">
        <v>196</v>
      </c>
      <c r="D6198" s="2" t="s">
        <v>317</v>
      </c>
      <c r="E6198" s="2" t="s">
        <v>319</v>
      </c>
      <c r="F6198" s="3">
        <f t="shared" si="528"/>
        <v>45611</v>
      </c>
      <c r="G6198" s="4">
        <f t="shared" si="523"/>
        <v>11</v>
      </c>
      <c r="H6198" s="4">
        <f t="shared" si="524"/>
        <v>2024</v>
      </c>
      <c r="I6198" s="2" t="s">
        <v>4</v>
      </c>
      <c r="J6198" s="2" t="s">
        <v>6876</v>
      </c>
      <c r="K6198" s="2" t="s">
        <v>422</v>
      </c>
      <c r="L6198" s="2" t="s">
        <v>423</v>
      </c>
      <c r="M6198" s="2" t="s">
        <v>119</v>
      </c>
      <c r="N6198" s="4" t="str">
        <f t="shared" si="521"/>
        <v>TON</v>
      </c>
      <c r="O6198" s="5">
        <v>10.012499999999999</v>
      </c>
    </row>
    <row r="6199" spans="2:15" x14ac:dyDescent="0.25">
      <c r="B6199" s="1" t="s">
        <v>1520</v>
      </c>
      <c r="C6199" s="2" t="s">
        <v>196</v>
      </c>
      <c r="D6199" s="2" t="s">
        <v>679</v>
      </c>
      <c r="E6199" s="2" t="s">
        <v>359</v>
      </c>
      <c r="F6199" s="3">
        <f t="shared" si="528"/>
        <v>45611</v>
      </c>
      <c r="G6199" s="4">
        <f t="shared" si="523"/>
        <v>11</v>
      </c>
      <c r="H6199" s="4">
        <f t="shared" si="524"/>
        <v>2024</v>
      </c>
      <c r="I6199" s="2" t="s">
        <v>4</v>
      </c>
      <c r="J6199" s="2" t="s">
        <v>6877</v>
      </c>
      <c r="K6199" s="2" t="s">
        <v>329</v>
      </c>
      <c r="L6199" s="2" t="s">
        <v>330</v>
      </c>
      <c r="M6199" s="2" t="s">
        <v>119</v>
      </c>
      <c r="N6199" s="4" t="str">
        <f t="shared" si="521"/>
        <v>TON</v>
      </c>
      <c r="O6199" s="5">
        <v>1.51</v>
      </c>
    </row>
    <row r="6200" spans="2:15" x14ac:dyDescent="0.25">
      <c r="B6200" s="1" t="s">
        <v>1520</v>
      </c>
      <c r="C6200" s="2" t="s">
        <v>196</v>
      </c>
      <c r="D6200" s="2" t="s">
        <v>289</v>
      </c>
      <c r="E6200" s="2" t="s">
        <v>290</v>
      </c>
      <c r="F6200" s="3">
        <f t="shared" ref="F6200:F6214" si="529">DATE(2024,11,18)</f>
        <v>45614</v>
      </c>
      <c r="G6200" s="4">
        <f t="shared" si="523"/>
        <v>11</v>
      </c>
      <c r="H6200" s="4">
        <f t="shared" si="524"/>
        <v>2024</v>
      </c>
      <c r="I6200" s="2" t="s">
        <v>4</v>
      </c>
      <c r="J6200" s="2" t="s">
        <v>6878</v>
      </c>
      <c r="K6200" s="2" t="s">
        <v>865</v>
      </c>
      <c r="L6200" s="2" t="s">
        <v>866</v>
      </c>
      <c r="M6200" s="2" t="s">
        <v>119</v>
      </c>
      <c r="N6200" s="4" t="str">
        <f t="shared" si="521"/>
        <v>TON</v>
      </c>
      <c r="O6200" s="5">
        <v>1</v>
      </c>
    </row>
    <row r="6201" spans="2:15" x14ac:dyDescent="0.25">
      <c r="B6201" s="1" t="s">
        <v>1520</v>
      </c>
      <c r="C6201" s="2" t="s">
        <v>196</v>
      </c>
      <c r="D6201" s="2" t="s">
        <v>232</v>
      </c>
      <c r="E6201" s="2" t="s">
        <v>778</v>
      </c>
      <c r="F6201" s="3">
        <f t="shared" si="529"/>
        <v>45614</v>
      </c>
      <c r="G6201" s="4">
        <f t="shared" si="523"/>
        <v>11</v>
      </c>
      <c r="H6201" s="4">
        <f t="shared" si="524"/>
        <v>2024</v>
      </c>
      <c r="I6201" s="2" t="s">
        <v>4</v>
      </c>
      <c r="J6201" s="2" t="s">
        <v>6879</v>
      </c>
      <c r="K6201" s="2" t="s">
        <v>205</v>
      </c>
      <c r="L6201" s="2" t="s">
        <v>206</v>
      </c>
      <c r="M6201" s="2" t="s">
        <v>119</v>
      </c>
      <c r="N6201" s="4" t="str">
        <f t="shared" si="521"/>
        <v>TON</v>
      </c>
      <c r="O6201" s="5">
        <v>15</v>
      </c>
    </row>
    <row r="6202" spans="2:15" x14ac:dyDescent="0.25">
      <c r="B6202" s="1" t="s">
        <v>1520</v>
      </c>
      <c r="C6202" s="2" t="s">
        <v>196</v>
      </c>
      <c r="D6202" s="2" t="s">
        <v>973</v>
      </c>
      <c r="E6202" s="2" t="s">
        <v>974</v>
      </c>
      <c r="F6202" s="3">
        <f t="shared" si="529"/>
        <v>45614</v>
      </c>
      <c r="G6202" s="4">
        <f t="shared" si="523"/>
        <v>11</v>
      </c>
      <c r="H6202" s="4">
        <f t="shared" si="524"/>
        <v>2024</v>
      </c>
      <c r="I6202" s="2" t="s">
        <v>4</v>
      </c>
      <c r="J6202" s="2" t="s">
        <v>6880</v>
      </c>
      <c r="K6202" s="2" t="s">
        <v>329</v>
      </c>
      <c r="L6202" s="2" t="s">
        <v>330</v>
      </c>
      <c r="M6202" s="2" t="s">
        <v>119</v>
      </c>
      <c r="N6202" s="4" t="str">
        <f t="shared" si="521"/>
        <v>TON</v>
      </c>
      <c r="O6202" s="5">
        <v>0.995</v>
      </c>
    </row>
    <row r="6203" spans="2:15" x14ac:dyDescent="0.25">
      <c r="B6203" s="1" t="s">
        <v>1520</v>
      </c>
      <c r="C6203" s="2" t="s">
        <v>196</v>
      </c>
      <c r="D6203" s="2" t="s">
        <v>440</v>
      </c>
      <c r="E6203" s="2" t="s">
        <v>441</v>
      </c>
      <c r="F6203" s="3">
        <f t="shared" si="529"/>
        <v>45614</v>
      </c>
      <c r="G6203" s="4">
        <f t="shared" si="523"/>
        <v>11</v>
      </c>
      <c r="H6203" s="4">
        <f t="shared" si="524"/>
        <v>2024</v>
      </c>
      <c r="I6203" s="2" t="s">
        <v>4</v>
      </c>
      <c r="J6203" s="2" t="s">
        <v>6881</v>
      </c>
      <c r="K6203" s="2" t="s">
        <v>422</v>
      </c>
      <c r="L6203" s="2" t="s">
        <v>423</v>
      </c>
      <c r="M6203" s="2" t="s">
        <v>119</v>
      </c>
      <c r="N6203" s="4" t="str">
        <f t="shared" si="521"/>
        <v>TON</v>
      </c>
      <c r="O6203" s="5">
        <v>5.0049999999999999</v>
      </c>
    </row>
    <row r="6204" spans="2:15" x14ac:dyDescent="0.25">
      <c r="B6204" s="1" t="s">
        <v>1520</v>
      </c>
      <c r="C6204" s="2" t="s">
        <v>196</v>
      </c>
      <c r="D6204" s="2" t="s">
        <v>452</v>
      </c>
      <c r="E6204" s="2" t="s">
        <v>453</v>
      </c>
      <c r="F6204" s="3">
        <f t="shared" si="529"/>
        <v>45614</v>
      </c>
      <c r="G6204" s="4">
        <f t="shared" si="523"/>
        <v>11</v>
      </c>
      <c r="H6204" s="4">
        <f t="shared" si="524"/>
        <v>2024</v>
      </c>
      <c r="I6204" s="2" t="s">
        <v>4</v>
      </c>
      <c r="J6204" s="2" t="s">
        <v>6882</v>
      </c>
      <c r="K6204" s="2" t="s">
        <v>205</v>
      </c>
      <c r="L6204" s="2" t="s">
        <v>206</v>
      </c>
      <c r="M6204" s="2" t="s">
        <v>119</v>
      </c>
      <c r="N6204" s="4" t="str">
        <f t="shared" si="521"/>
        <v>TON</v>
      </c>
      <c r="O6204" s="5">
        <v>9.52</v>
      </c>
    </row>
    <row r="6205" spans="2:15" x14ac:dyDescent="0.25">
      <c r="B6205" s="1" t="s">
        <v>1520</v>
      </c>
      <c r="C6205" s="2" t="s">
        <v>196</v>
      </c>
      <c r="D6205" s="2" t="s">
        <v>114</v>
      </c>
      <c r="E6205" s="2" t="s">
        <v>369</v>
      </c>
      <c r="F6205" s="3">
        <f t="shared" si="529"/>
        <v>45614</v>
      </c>
      <c r="G6205" s="4">
        <f t="shared" si="523"/>
        <v>11</v>
      </c>
      <c r="H6205" s="4">
        <f t="shared" si="524"/>
        <v>2024</v>
      </c>
      <c r="I6205" s="2" t="s">
        <v>4</v>
      </c>
      <c r="J6205" s="2" t="s">
        <v>6883</v>
      </c>
      <c r="K6205" s="2" t="s">
        <v>422</v>
      </c>
      <c r="L6205" s="2" t="s">
        <v>423</v>
      </c>
      <c r="M6205" s="2" t="s">
        <v>119</v>
      </c>
      <c r="N6205" s="4" t="str">
        <f t="shared" si="521"/>
        <v>TON</v>
      </c>
      <c r="O6205" s="5">
        <v>2.0099999999999998</v>
      </c>
    </row>
    <row r="6206" spans="2:15" x14ac:dyDescent="0.25">
      <c r="B6206" s="1" t="s">
        <v>1520</v>
      </c>
      <c r="C6206" s="2" t="s">
        <v>196</v>
      </c>
      <c r="D6206" s="2" t="s">
        <v>280</v>
      </c>
      <c r="E6206" s="2" t="s">
        <v>464</v>
      </c>
      <c r="F6206" s="3">
        <f t="shared" si="529"/>
        <v>45614</v>
      </c>
      <c r="G6206" s="4">
        <f t="shared" si="523"/>
        <v>11</v>
      </c>
      <c r="H6206" s="4">
        <f t="shared" si="524"/>
        <v>2024</v>
      </c>
      <c r="I6206" s="2" t="s">
        <v>4</v>
      </c>
      <c r="J6206" s="2" t="s">
        <v>6884</v>
      </c>
      <c r="K6206" s="2" t="s">
        <v>422</v>
      </c>
      <c r="L6206" s="2" t="s">
        <v>423</v>
      </c>
      <c r="M6206" s="2" t="s">
        <v>119</v>
      </c>
      <c r="N6206" s="4" t="str">
        <f t="shared" ref="N6206:N6269" si="530">+LEFT(M6206,3)</f>
        <v>TON</v>
      </c>
      <c r="O6206" s="5">
        <v>4.9974999999999996</v>
      </c>
    </row>
    <row r="6207" spans="2:15" x14ac:dyDescent="0.25">
      <c r="B6207" s="1" t="s">
        <v>1520</v>
      </c>
      <c r="C6207" s="2" t="s">
        <v>196</v>
      </c>
      <c r="D6207" s="2" t="s">
        <v>280</v>
      </c>
      <c r="E6207" s="2" t="s">
        <v>371</v>
      </c>
      <c r="F6207" s="3">
        <f t="shared" si="529"/>
        <v>45614</v>
      </c>
      <c r="G6207" s="4">
        <f t="shared" si="523"/>
        <v>11</v>
      </c>
      <c r="H6207" s="4">
        <f t="shared" si="524"/>
        <v>2024</v>
      </c>
      <c r="I6207" s="2" t="s">
        <v>4</v>
      </c>
      <c r="J6207" s="2" t="s">
        <v>6885</v>
      </c>
      <c r="K6207" s="2" t="s">
        <v>422</v>
      </c>
      <c r="L6207" s="2" t="s">
        <v>423</v>
      </c>
      <c r="M6207" s="2" t="s">
        <v>119</v>
      </c>
      <c r="N6207" s="4" t="str">
        <f t="shared" si="530"/>
        <v>TON</v>
      </c>
      <c r="O6207" s="5">
        <v>8.7575000000000003</v>
      </c>
    </row>
    <row r="6208" spans="2:15" x14ac:dyDescent="0.25">
      <c r="B6208" s="1" t="s">
        <v>1520</v>
      </c>
      <c r="C6208" s="2" t="s">
        <v>196</v>
      </c>
      <c r="D6208" s="2" t="s">
        <v>1343</v>
      </c>
      <c r="E6208" s="2" t="s">
        <v>4151</v>
      </c>
      <c r="F6208" s="3">
        <f t="shared" si="529"/>
        <v>45614</v>
      </c>
      <c r="G6208" s="4">
        <f t="shared" si="523"/>
        <v>11</v>
      </c>
      <c r="H6208" s="4">
        <f t="shared" si="524"/>
        <v>2024</v>
      </c>
      <c r="I6208" s="2" t="s">
        <v>4</v>
      </c>
      <c r="J6208" s="2" t="s">
        <v>6886</v>
      </c>
      <c r="K6208" s="2" t="s">
        <v>3726</v>
      </c>
      <c r="L6208" s="2" t="s">
        <v>3727</v>
      </c>
      <c r="M6208" s="2" t="s">
        <v>145</v>
      </c>
      <c r="N6208" s="4" t="str">
        <f t="shared" si="530"/>
        <v>GAL</v>
      </c>
      <c r="O6208" s="5">
        <v>5.625</v>
      </c>
    </row>
    <row r="6209" spans="2:15" x14ac:dyDescent="0.25">
      <c r="B6209" s="1" t="s">
        <v>1520</v>
      </c>
      <c r="C6209" s="2" t="s">
        <v>196</v>
      </c>
      <c r="D6209" s="2" t="s">
        <v>1343</v>
      </c>
      <c r="E6209" s="2" t="s">
        <v>4151</v>
      </c>
      <c r="F6209" s="3">
        <f t="shared" si="529"/>
        <v>45614</v>
      </c>
      <c r="G6209" s="4">
        <f t="shared" si="523"/>
        <v>11</v>
      </c>
      <c r="H6209" s="4">
        <f t="shared" si="524"/>
        <v>2024</v>
      </c>
      <c r="I6209" s="2" t="s">
        <v>4</v>
      </c>
      <c r="J6209" s="2" t="s">
        <v>6886</v>
      </c>
      <c r="K6209" s="2" t="s">
        <v>422</v>
      </c>
      <c r="L6209" s="2" t="s">
        <v>423</v>
      </c>
      <c r="M6209" s="2" t="s">
        <v>119</v>
      </c>
      <c r="N6209" s="4" t="str">
        <f t="shared" si="530"/>
        <v>TON</v>
      </c>
      <c r="O6209" s="5">
        <v>15.05</v>
      </c>
    </row>
    <row r="6210" spans="2:15" x14ac:dyDescent="0.25">
      <c r="B6210" s="1" t="s">
        <v>645</v>
      </c>
      <c r="C6210" s="2" t="s">
        <v>196</v>
      </c>
      <c r="D6210" s="2" t="s">
        <v>6887</v>
      </c>
      <c r="E6210" s="2" t="s">
        <v>6888</v>
      </c>
      <c r="F6210" s="3">
        <f t="shared" si="529"/>
        <v>45614</v>
      </c>
      <c r="G6210" s="4">
        <f t="shared" si="523"/>
        <v>11</v>
      </c>
      <c r="H6210" s="4">
        <f t="shared" si="524"/>
        <v>2024</v>
      </c>
      <c r="I6210" s="2" t="s">
        <v>4</v>
      </c>
      <c r="J6210" s="2" t="s">
        <v>6889</v>
      </c>
      <c r="K6210" s="2" t="s">
        <v>6857</v>
      </c>
      <c r="L6210" s="2" t="s">
        <v>6858</v>
      </c>
      <c r="M6210" s="2" t="s">
        <v>6859</v>
      </c>
      <c r="N6210" s="4" t="str">
        <f t="shared" si="530"/>
        <v>GAL</v>
      </c>
      <c r="O6210" s="5">
        <v>3000</v>
      </c>
    </row>
    <row r="6211" spans="2:15" x14ac:dyDescent="0.25">
      <c r="B6211" s="1" t="s">
        <v>1520</v>
      </c>
      <c r="C6211" s="2" t="s">
        <v>196</v>
      </c>
      <c r="D6211" s="2" t="s">
        <v>321</v>
      </c>
      <c r="E6211" s="2" t="s">
        <v>697</v>
      </c>
      <c r="F6211" s="3">
        <f t="shared" si="529"/>
        <v>45614</v>
      </c>
      <c r="G6211" s="4">
        <f t="shared" si="523"/>
        <v>11</v>
      </c>
      <c r="H6211" s="4">
        <f t="shared" si="524"/>
        <v>2024</v>
      </c>
      <c r="I6211" s="2" t="s">
        <v>4</v>
      </c>
      <c r="J6211" s="2" t="s">
        <v>6890</v>
      </c>
      <c r="K6211" s="2" t="s">
        <v>447</v>
      </c>
      <c r="L6211" s="2" t="s">
        <v>448</v>
      </c>
      <c r="M6211" s="2" t="s">
        <v>119</v>
      </c>
      <c r="N6211" s="4" t="str">
        <f t="shared" si="530"/>
        <v>TON</v>
      </c>
      <c r="O6211" s="5">
        <v>10.02</v>
      </c>
    </row>
    <row r="6212" spans="2:15" x14ac:dyDescent="0.25">
      <c r="B6212" s="1" t="s">
        <v>1520</v>
      </c>
      <c r="C6212" s="2" t="s">
        <v>196</v>
      </c>
      <c r="D6212" s="2" t="s">
        <v>262</v>
      </c>
      <c r="E6212" s="2" t="s">
        <v>1226</v>
      </c>
      <c r="F6212" s="3">
        <f t="shared" si="529"/>
        <v>45614</v>
      </c>
      <c r="G6212" s="4">
        <f t="shared" si="523"/>
        <v>11</v>
      </c>
      <c r="H6212" s="4">
        <f t="shared" si="524"/>
        <v>2024</v>
      </c>
      <c r="I6212" s="2" t="s">
        <v>4</v>
      </c>
      <c r="J6212" s="2" t="s">
        <v>6891</v>
      </c>
      <c r="K6212" s="2" t="s">
        <v>329</v>
      </c>
      <c r="L6212" s="2" t="s">
        <v>330</v>
      </c>
      <c r="M6212" s="2" t="s">
        <v>119</v>
      </c>
      <c r="N6212" s="4" t="str">
        <f t="shared" si="530"/>
        <v>TON</v>
      </c>
      <c r="O6212" s="5">
        <v>8.5250000000000004</v>
      </c>
    </row>
    <row r="6213" spans="2:15" x14ac:dyDescent="0.25">
      <c r="B6213" s="1" t="s">
        <v>1520</v>
      </c>
      <c r="C6213" s="2" t="s">
        <v>196</v>
      </c>
      <c r="D6213" s="2" t="s">
        <v>114</v>
      </c>
      <c r="E6213" s="2" t="s">
        <v>274</v>
      </c>
      <c r="F6213" s="3">
        <f t="shared" si="529"/>
        <v>45614</v>
      </c>
      <c r="G6213" s="4">
        <f t="shared" si="523"/>
        <v>11</v>
      </c>
      <c r="H6213" s="4">
        <f t="shared" si="524"/>
        <v>2024</v>
      </c>
      <c r="I6213" s="2" t="s">
        <v>4</v>
      </c>
      <c r="J6213" s="2" t="s">
        <v>6892</v>
      </c>
      <c r="K6213" s="2" t="s">
        <v>422</v>
      </c>
      <c r="L6213" s="2" t="s">
        <v>423</v>
      </c>
      <c r="M6213" s="2" t="s">
        <v>119</v>
      </c>
      <c r="N6213" s="4" t="str">
        <f t="shared" si="530"/>
        <v>TON</v>
      </c>
      <c r="O6213" s="5">
        <v>9.0050000000000008</v>
      </c>
    </row>
    <row r="6214" spans="2:15" x14ac:dyDescent="0.25">
      <c r="B6214" s="1" t="s">
        <v>1520</v>
      </c>
      <c r="C6214" s="2" t="s">
        <v>196</v>
      </c>
      <c r="D6214" s="2" t="s">
        <v>669</v>
      </c>
      <c r="E6214" s="2" t="s">
        <v>670</v>
      </c>
      <c r="F6214" s="3">
        <f t="shared" si="529"/>
        <v>45614</v>
      </c>
      <c r="G6214" s="4">
        <f t="shared" si="523"/>
        <v>11</v>
      </c>
      <c r="H6214" s="4">
        <f t="shared" si="524"/>
        <v>2024</v>
      </c>
      <c r="I6214" s="2" t="s">
        <v>4</v>
      </c>
      <c r="J6214" s="2" t="s">
        <v>6893</v>
      </c>
      <c r="K6214" s="2" t="s">
        <v>384</v>
      </c>
      <c r="L6214" s="2" t="s">
        <v>385</v>
      </c>
      <c r="M6214" s="2" t="s">
        <v>119</v>
      </c>
      <c r="N6214" s="4" t="str">
        <f t="shared" si="530"/>
        <v>TON</v>
      </c>
      <c r="O6214" s="5">
        <v>3.5</v>
      </c>
    </row>
    <row r="6215" spans="2:15" x14ac:dyDescent="0.25">
      <c r="B6215" s="1" t="s">
        <v>1520</v>
      </c>
      <c r="C6215" s="2" t="s">
        <v>196</v>
      </c>
      <c r="D6215" s="2" t="s">
        <v>114</v>
      </c>
      <c r="E6215" s="2" t="s">
        <v>336</v>
      </c>
      <c r="F6215" s="3">
        <f t="shared" ref="F6215:F6223" si="531">DATE(2024,11,19)</f>
        <v>45615</v>
      </c>
      <c r="G6215" s="4">
        <f t="shared" si="523"/>
        <v>11</v>
      </c>
      <c r="H6215" s="4">
        <f t="shared" si="524"/>
        <v>2024</v>
      </c>
      <c r="I6215" s="2" t="s">
        <v>4</v>
      </c>
      <c r="J6215" s="2" t="s">
        <v>6894</v>
      </c>
      <c r="K6215" s="2" t="s">
        <v>422</v>
      </c>
      <c r="L6215" s="2" t="s">
        <v>423</v>
      </c>
      <c r="M6215" s="2" t="s">
        <v>119</v>
      </c>
      <c r="N6215" s="4" t="str">
        <f t="shared" si="530"/>
        <v>TON</v>
      </c>
      <c r="O6215" s="5">
        <v>9.5150000000000006</v>
      </c>
    </row>
    <row r="6216" spans="2:15" x14ac:dyDescent="0.25">
      <c r="B6216" s="1" t="s">
        <v>1520</v>
      </c>
      <c r="C6216" s="2" t="s">
        <v>196</v>
      </c>
      <c r="D6216" s="2" t="s">
        <v>800</v>
      </c>
      <c r="E6216" s="2" t="s">
        <v>911</v>
      </c>
      <c r="F6216" s="3">
        <f t="shared" si="531"/>
        <v>45615</v>
      </c>
      <c r="G6216" s="4">
        <f t="shared" si="523"/>
        <v>11</v>
      </c>
      <c r="H6216" s="4">
        <f t="shared" si="524"/>
        <v>2024</v>
      </c>
      <c r="I6216" s="2" t="s">
        <v>4</v>
      </c>
      <c r="J6216" s="2" t="s">
        <v>6895</v>
      </c>
      <c r="K6216" s="2" t="s">
        <v>329</v>
      </c>
      <c r="L6216" s="2" t="s">
        <v>330</v>
      </c>
      <c r="M6216" s="2" t="s">
        <v>119</v>
      </c>
      <c r="N6216" s="4" t="str">
        <f t="shared" si="530"/>
        <v>TON</v>
      </c>
      <c r="O6216" s="5">
        <v>4.7549999999999999</v>
      </c>
    </row>
    <row r="6217" spans="2:15" x14ac:dyDescent="0.25">
      <c r="B6217" s="1" t="s">
        <v>1520</v>
      </c>
      <c r="C6217" s="2" t="s">
        <v>196</v>
      </c>
      <c r="D6217" s="2" t="s">
        <v>669</v>
      </c>
      <c r="E6217" s="2" t="s">
        <v>56</v>
      </c>
      <c r="F6217" s="3">
        <f t="shared" si="531"/>
        <v>45615</v>
      </c>
      <c r="G6217" s="4">
        <f t="shared" si="523"/>
        <v>11</v>
      </c>
      <c r="H6217" s="4">
        <f t="shared" si="524"/>
        <v>2024</v>
      </c>
      <c r="I6217" s="2" t="s">
        <v>4</v>
      </c>
      <c r="J6217" s="2" t="s">
        <v>6896</v>
      </c>
      <c r="K6217" s="2" t="s">
        <v>384</v>
      </c>
      <c r="L6217" s="2" t="s">
        <v>385</v>
      </c>
      <c r="M6217" s="2" t="s">
        <v>119</v>
      </c>
      <c r="N6217" s="4" t="str">
        <f t="shared" si="530"/>
        <v>TON</v>
      </c>
      <c r="O6217" s="5">
        <v>5.0075000000000003</v>
      </c>
    </row>
    <row r="6218" spans="2:15" x14ac:dyDescent="0.25">
      <c r="B6218" s="1" t="s">
        <v>1520</v>
      </c>
      <c r="C6218" s="2" t="s">
        <v>196</v>
      </c>
      <c r="D6218" s="2" t="s">
        <v>321</v>
      </c>
      <c r="E6218" s="2" t="s">
        <v>353</v>
      </c>
      <c r="F6218" s="3">
        <f t="shared" si="531"/>
        <v>45615</v>
      </c>
      <c r="G6218" s="4">
        <f t="shared" si="523"/>
        <v>11</v>
      </c>
      <c r="H6218" s="4">
        <f t="shared" si="524"/>
        <v>2024</v>
      </c>
      <c r="I6218" s="2" t="s">
        <v>4</v>
      </c>
      <c r="J6218" s="2" t="s">
        <v>6897</v>
      </c>
      <c r="K6218" s="2" t="s">
        <v>447</v>
      </c>
      <c r="L6218" s="2" t="s">
        <v>448</v>
      </c>
      <c r="M6218" s="2" t="s">
        <v>119</v>
      </c>
      <c r="N6218" s="4" t="str">
        <f t="shared" si="530"/>
        <v>TON</v>
      </c>
      <c r="O6218" s="5">
        <v>10.0075</v>
      </c>
    </row>
    <row r="6219" spans="2:15" x14ac:dyDescent="0.25">
      <c r="B6219" s="1" t="s">
        <v>1520</v>
      </c>
      <c r="C6219" s="2" t="s">
        <v>196</v>
      </c>
      <c r="D6219" s="2" t="s">
        <v>310</v>
      </c>
      <c r="E6219" s="2" t="s">
        <v>426</v>
      </c>
      <c r="F6219" s="3">
        <f t="shared" si="531"/>
        <v>45615</v>
      </c>
      <c r="G6219" s="4">
        <f t="shared" si="523"/>
        <v>11</v>
      </c>
      <c r="H6219" s="4">
        <f t="shared" si="524"/>
        <v>2024</v>
      </c>
      <c r="I6219" s="2" t="s">
        <v>4</v>
      </c>
      <c r="J6219" s="2" t="s">
        <v>6898</v>
      </c>
      <c r="K6219" s="2" t="s">
        <v>205</v>
      </c>
      <c r="L6219" s="2" t="s">
        <v>206</v>
      </c>
      <c r="M6219" s="2" t="s">
        <v>119</v>
      </c>
      <c r="N6219" s="4" t="str">
        <f t="shared" si="530"/>
        <v>TON</v>
      </c>
      <c r="O6219" s="5">
        <v>4</v>
      </c>
    </row>
    <row r="6220" spans="2:15" x14ac:dyDescent="0.25">
      <c r="B6220" s="1" t="s">
        <v>645</v>
      </c>
      <c r="C6220" s="2" t="s">
        <v>196</v>
      </c>
      <c r="D6220" s="2" t="s">
        <v>790</v>
      </c>
      <c r="E6220" s="2" t="s">
        <v>791</v>
      </c>
      <c r="F6220" s="3">
        <f t="shared" si="531"/>
        <v>45615</v>
      </c>
      <c r="G6220" s="4">
        <f t="shared" si="523"/>
        <v>11</v>
      </c>
      <c r="H6220" s="4">
        <f t="shared" si="524"/>
        <v>2024</v>
      </c>
      <c r="I6220" s="2" t="s">
        <v>4</v>
      </c>
      <c r="J6220" s="2" t="s">
        <v>6899</v>
      </c>
      <c r="K6220" s="2" t="s">
        <v>329</v>
      </c>
      <c r="L6220" s="2" t="s">
        <v>330</v>
      </c>
      <c r="M6220" s="2" t="s">
        <v>119</v>
      </c>
      <c r="N6220" s="4" t="str">
        <f t="shared" si="530"/>
        <v>TON</v>
      </c>
      <c r="O6220" s="5">
        <v>5.0125000000000002</v>
      </c>
    </row>
    <row r="6221" spans="2:15" x14ac:dyDescent="0.25">
      <c r="B6221" s="1" t="s">
        <v>1520</v>
      </c>
      <c r="C6221" s="2" t="s">
        <v>196</v>
      </c>
      <c r="D6221" s="2" t="s">
        <v>1343</v>
      </c>
      <c r="E6221" s="2" t="s">
        <v>3724</v>
      </c>
      <c r="F6221" s="3">
        <f t="shared" si="531"/>
        <v>45615</v>
      </c>
      <c r="G6221" s="4">
        <f t="shared" si="523"/>
        <v>11</v>
      </c>
      <c r="H6221" s="4">
        <f t="shared" si="524"/>
        <v>2024</v>
      </c>
      <c r="I6221" s="2" t="s">
        <v>4</v>
      </c>
      <c r="J6221" s="2" t="s">
        <v>6900</v>
      </c>
      <c r="K6221" s="2" t="s">
        <v>3726</v>
      </c>
      <c r="L6221" s="2" t="s">
        <v>3727</v>
      </c>
      <c r="M6221" s="2" t="s">
        <v>145</v>
      </c>
      <c r="N6221" s="4" t="str">
        <f t="shared" si="530"/>
        <v>GAL</v>
      </c>
      <c r="O6221" s="5">
        <v>5.625</v>
      </c>
    </row>
    <row r="6222" spans="2:15" x14ac:dyDescent="0.25">
      <c r="B6222" s="1" t="s">
        <v>1520</v>
      </c>
      <c r="C6222" s="2" t="s">
        <v>196</v>
      </c>
      <c r="D6222" s="2" t="s">
        <v>1343</v>
      </c>
      <c r="E6222" s="2" t="s">
        <v>3724</v>
      </c>
      <c r="F6222" s="3">
        <f t="shared" si="531"/>
        <v>45615</v>
      </c>
      <c r="G6222" s="4">
        <f t="shared" si="523"/>
        <v>11</v>
      </c>
      <c r="H6222" s="4">
        <f t="shared" si="524"/>
        <v>2024</v>
      </c>
      <c r="I6222" s="2" t="s">
        <v>4</v>
      </c>
      <c r="J6222" s="2" t="s">
        <v>6900</v>
      </c>
      <c r="K6222" s="2" t="s">
        <v>422</v>
      </c>
      <c r="L6222" s="2" t="s">
        <v>423</v>
      </c>
      <c r="M6222" s="2" t="s">
        <v>119</v>
      </c>
      <c r="N6222" s="4" t="str">
        <f t="shared" si="530"/>
        <v>TON</v>
      </c>
      <c r="O6222" s="5">
        <v>5.0049999999999999</v>
      </c>
    </row>
    <row r="6223" spans="2:15" x14ac:dyDescent="0.25">
      <c r="B6223" s="1" t="s">
        <v>1520</v>
      </c>
      <c r="C6223" s="2" t="s">
        <v>196</v>
      </c>
      <c r="D6223" s="2" t="s">
        <v>1276</v>
      </c>
      <c r="E6223" s="2" t="s">
        <v>1277</v>
      </c>
      <c r="F6223" s="3">
        <f t="shared" si="531"/>
        <v>45615</v>
      </c>
      <c r="G6223" s="4">
        <f t="shared" si="523"/>
        <v>11</v>
      </c>
      <c r="H6223" s="4">
        <f t="shared" si="524"/>
        <v>2024</v>
      </c>
      <c r="I6223" s="2" t="s">
        <v>4</v>
      </c>
      <c r="J6223" s="2" t="s">
        <v>6901</v>
      </c>
      <c r="K6223" s="2" t="s">
        <v>329</v>
      </c>
      <c r="L6223" s="2" t="s">
        <v>330</v>
      </c>
      <c r="M6223" s="2" t="s">
        <v>119</v>
      </c>
      <c r="N6223" s="4" t="str">
        <f t="shared" si="530"/>
        <v>TON</v>
      </c>
      <c r="O6223" s="5">
        <v>5.0125000000000002</v>
      </c>
    </row>
    <row r="6224" spans="2:15" x14ac:dyDescent="0.25">
      <c r="B6224" s="1" t="s">
        <v>1520</v>
      </c>
      <c r="C6224" s="2" t="s">
        <v>196</v>
      </c>
      <c r="D6224" s="2" t="s">
        <v>224</v>
      </c>
      <c r="E6224" s="2" t="s">
        <v>361</v>
      </c>
      <c r="F6224" s="3">
        <f t="shared" ref="F6224:F6235" si="532">DATE(2024,11,20)</f>
        <v>45616</v>
      </c>
      <c r="G6224" s="4">
        <f t="shared" si="523"/>
        <v>11</v>
      </c>
      <c r="H6224" s="4">
        <f t="shared" si="524"/>
        <v>2024</v>
      </c>
      <c r="I6224" s="2" t="s">
        <v>4</v>
      </c>
      <c r="J6224" s="2" t="s">
        <v>6902</v>
      </c>
      <c r="K6224" s="2" t="s">
        <v>205</v>
      </c>
      <c r="L6224" s="2" t="s">
        <v>206</v>
      </c>
      <c r="M6224" s="2" t="s">
        <v>119</v>
      </c>
      <c r="N6224" s="4" t="str">
        <f t="shared" si="530"/>
        <v>TON</v>
      </c>
      <c r="O6224" s="5">
        <v>5.01</v>
      </c>
    </row>
    <row r="6225" spans="2:15" x14ac:dyDescent="0.25">
      <c r="B6225" s="1" t="s">
        <v>1520</v>
      </c>
      <c r="C6225" s="2" t="s">
        <v>196</v>
      </c>
      <c r="D6225" s="2" t="s">
        <v>224</v>
      </c>
      <c r="E6225" s="2" t="s">
        <v>361</v>
      </c>
      <c r="F6225" s="3">
        <f t="shared" si="532"/>
        <v>45616</v>
      </c>
      <c r="G6225" s="4">
        <f t="shared" si="523"/>
        <v>11</v>
      </c>
      <c r="H6225" s="4">
        <f t="shared" si="524"/>
        <v>2024</v>
      </c>
      <c r="I6225" s="2" t="s">
        <v>4</v>
      </c>
      <c r="J6225" s="2" t="s">
        <v>6903</v>
      </c>
      <c r="K6225" s="2" t="s">
        <v>205</v>
      </c>
      <c r="L6225" s="2" t="s">
        <v>206</v>
      </c>
      <c r="M6225" s="2" t="s">
        <v>119</v>
      </c>
      <c r="N6225" s="4" t="str">
        <f t="shared" si="530"/>
        <v>TON</v>
      </c>
      <c r="O6225" s="5">
        <v>5.0125000000000002</v>
      </c>
    </row>
    <row r="6226" spans="2:15" x14ac:dyDescent="0.25">
      <c r="B6226" s="1" t="s">
        <v>1520</v>
      </c>
      <c r="C6226" s="2" t="s">
        <v>196</v>
      </c>
      <c r="D6226" s="2" t="s">
        <v>440</v>
      </c>
      <c r="E6226" s="2" t="s">
        <v>1369</v>
      </c>
      <c r="F6226" s="3">
        <f t="shared" si="532"/>
        <v>45616</v>
      </c>
      <c r="G6226" s="4">
        <f t="shared" ref="G6226:G6289" si="533">+MONTH(F6226)</f>
        <v>11</v>
      </c>
      <c r="H6226" s="4">
        <f t="shared" ref="H6226:H6289" si="534">+YEAR(F6226)</f>
        <v>2024</v>
      </c>
      <c r="I6226" s="2" t="s">
        <v>4</v>
      </c>
      <c r="J6226" s="2" t="s">
        <v>6904</v>
      </c>
      <c r="K6226" s="2" t="s">
        <v>422</v>
      </c>
      <c r="L6226" s="2" t="s">
        <v>423</v>
      </c>
      <c r="M6226" s="2" t="s">
        <v>119</v>
      </c>
      <c r="N6226" s="4" t="str">
        <f t="shared" si="530"/>
        <v>TON</v>
      </c>
      <c r="O6226" s="5">
        <v>5.4249999999999998</v>
      </c>
    </row>
    <row r="6227" spans="2:15" x14ac:dyDescent="0.25">
      <c r="B6227" s="1" t="s">
        <v>1520</v>
      </c>
      <c r="C6227" s="2" t="s">
        <v>196</v>
      </c>
      <c r="D6227" s="2" t="s">
        <v>440</v>
      </c>
      <c r="E6227" s="2" t="s">
        <v>1274</v>
      </c>
      <c r="F6227" s="3">
        <f t="shared" si="532"/>
        <v>45616</v>
      </c>
      <c r="G6227" s="4">
        <f t="shared" si="533"/>
        <v>11</v>
      </c>
      <c r="H6227" s="4">
        <f t="shared" si="534"/>
        <v>2024</v>
      </c>
      <c r="I6227" s="2" t="s">
        <v>4</v>
      </c>
      <c r="J6227" s="2" t="s">
        <v>6905</v>
      </c>
      <c r="K6227" s="2" t="s">
        <v>422</v>
      </c>
      <c r="L6227" s="2" t="s">
        <v>423</v>
      </c>
      <c r="M6227" s="2" t="s">
        <v>119</v>
      </c>
      <c r="N6227" s="4" t="str">
        <f t="shared" si="530"/>
        <v>TON</v>
      </c>
      <c r="O6227" s="5">
        <v>5.0049999999999999</v>
      </c>
    </row>
    <row r="6228" spans="2:15" x14ac:dyDescent="0.25">
      <c r="B6228" s="1" t="s">
        <v>1520</v>
      </c>
      <c r="C6228" s="2" t="s">
        <v>196</v>
      </c>
      <c r="D6228" s="2" t="s">
        <v>294</v>
      </c>
      <c r="E6228" s="2" t="s">
        <v>295</v>
      </c>
      <c r="F6228" s="3">
        <f t="shared" si="532"/>
        <v>45616</v>
      </c>
      <c r="G6228" s="4">
        <f t="shared" si="533"/>
        <v>11</v>
      </c>
      <c r="H6228" s="4">
        <f t="shared" si="534"/>
        <v>2024</v>
      </c>
      <c r="I6228" s="2" t="s">
        <v>4</v>
      </c>
      <c r="J6228" s="2" t="s">
        <v>6906</v>
      </c>
      <c r="K6228" s="2" t="s">
        <v>122</v>
      </c>
      <c r="L6228" s="2" t="s">
        <v>123</v>
      </c>
      <c r="M6228" s="2" t="s">
        <v>119</v>
      </c>
      <c r="N6228" s="4" t="str">
        <f t="shared" si="530"/>
        <v>TON</v>
      </c>
      <c r="O6228" s="5">
        <v>7.49</v>
      </c>
    </row>
    <row r="6229" spans="2:15" x14ac:dyDescent="0.25">
      <c r="B6229" s="1" t="s">
        <v>1520</v>
      </c>
      <c r="C6229" s="2" t="s">
        <v>196</v>
      </c>
      <c r="D6229" s="2" t="s">
        <v>241</v>
      </c>
      <c r="E6229" s="2" t="s">
        <v>242</v>
      </c>
      <c r="F6229" s="3">
        <f t="shared" si="532"/>
        <v>45616</v>
      </c>
      <c r="G6229" s="4">
        <f t="shared" si="533"/>
        <v>11</v>
      </c>
      <c r="H6229" s="4">
        <f t="shared" si="534"/>
        <v>2024</v>
      </c>
      <c r="I6229" s="2" t="s">
        <v>4</v>
      </c>
      <c r="J6229" s="2" t="s">
        <v>6907</v>
      </c>
      <c r="K6229" s="2" t="s">
        <v>260</v>
      </c>
      <c r="L6229" s="2" t="s">
        <v>261</v>
      </c>
      <c r="M6229" s="2" t="s">
        <v>119</v>
      </c>
      <c r="N6229" s="4" t="str">
        <f t="shared" si="530"/>
        <v>TON</v>
      </c>
      <c r="O6229" s="5">
        <v>2.5</v>
      </c>
    </row>
    <row r="6230" spans="2:15" x14ac:dyDescent="0.25">
      <c r="B6230" s="1" t="s">
        <v>1520</v>
      </c>
      <c r="C6230" s="2" t="s">
        <v>196</v>
      </c>
      <c r="D6230" s="2" t="s">
        <v>299</v>
      </c>
      <c r="E6230" s="2" t="s">
        <v>6908</v>
      </c>
      <c r="F6230" s="3">
        <f t="shared" si="532"/>
        <v>45616</v>
      </c>
      <c r="G6230" s="4">
        <f t="shared" si="533"/>
        <v>11</v>
      </c>
      <c r="H6230" s="4">
        <f t="shared" si="534"/>
        <v>2024</v>
      </c>
      <c r="I6230" s="2" t="s">
        <v>4</v>
      </c>
      <c r="J6230" s="2" t="s">
        <v>6909</v>
      </c>
      <c r="K6230" s="2" t="s">
        <v>422</v>
      </c>
      <c r="L6230" s="2" t="s">
        <v>423</v>
      </c>
      <c r="M6230" s="2" t="s">
        <v>119</v>
      </c>
      <c r="N6230" s="4" t="str">
        <f t="shared" si="530"/>
        <v>TON</v>
      </c>
      <c r="O6230" s="5">
        <v>11</v>
      </c>
    </row>
    <row r="6231" spans="2:15" x14ac:dyDescent="0.25">
      <c r="B6231" s="1" t="s">
        <v>1520</v>
      </c>
      <c r="C6231" s="2" t="s">
        <v>196</v>
      </c>
      <c r="D6231" s="2" t="s">
        <v>387</v>
      </c>
      <c r="E6231" s="2" t="s">
        <v>797</v>
      </c>
      <c r="F6231" s="3">
        <f t="shared" si="532"/>
        <v>45616</v>
      </c>
      <c r="G6231" s="4">
        <f t="shared" si="533"/>
        <v>11</v>
      </c>
      <c r="H6231" s="4">
        <f t="shared" si="534"/>
        <v>2024</v>
      </c>
      <c r="I6231" s="2" t="s">
        <v>4</v>
      </c>
      <c r="J6231" s="2" t="s">
        <v>6910</v>
      </c>
      <c r="K6231" s="2" t="s">
        <v>3726</v>
      </c>
      <c r="L6231" s="2" t="s">
        <v>3727</v>
      </c>
      <c r="M6231" s="2" t="s">
        <v>145</v>
      </c>
      <c r="N6231" s="4" t="str">
        <f t="shared" si="530"/>
        <v>GAL</v>
      </c>
      <c r="O6231" s="5">
        <v>3.75</v>
      </c>
    </row>
    <row r="6232" spans="2:15" x14ac:dyDescent="0.25">
      <c r="B6232" s="1" t="s">
        <v>1520</v>
      </c>
      <c r="C6232" s="2" t="s">
        <v>196</v>
      </c>
      <c r="D6232" s="2" t="s">
        <v>387</v>
      </c>
      <c r="E6232" s="2" t="s">
        <v>797</v>
      </c>
      <c r="F6232" s="3">
        <f t="shared" si="532"/>
        <v>45616</v>
      </c>
      <c r="G6232" s="4">
        <f t="shared" si="533"/>
        <v>11</v>
      </c>
      <c r="H6232" s="4">
        <f t="shared" si="534"/>
        <v>2024</v>
      </c>
      <c r="I6232" s="2" t="s">
        <v>4</v>
      </c>
      <c r="J6232" s="2" t="s">
        <v>6910</v>
      </c>
      <c r="K6232" s="2" t="s">
        <v>422</v>
      </c>
      <c r="L6232" s="2" t="s">
        <v>423</v>
      </c>
      <c r="M6232" s="2" t="s">
        <v>119</v>
      </c>
      <c r="N6232" s="4" t="str">
        <f t="shared" si="530"/>
        <v>TON</v>
      </c>
      <c r="O6232" s="5">
        <v>10</v>
      </c>
    </row>
    <row r="6233" spans="2:15" x14ac:dyDescent="0.25">
      <c r="B6233" s="1" t="s">
        <v>1520</v>
      </c>
      <c r="C6233" s="2" t="s">
        <v>196</v>
      </c>
      <c r="D6233" s="2" t="s">
        <v>114</v>
      </c>
      <c r="E6233" s="2" t="s">
        <v>5054</v>
      </c>
      <c r="F6233" s="3">
        <f t="shared" si="532"/>
        <v>45616</v>
      </c>
      <c r="G6233" s="4">
        <f t="shared" si="533"/>
        <v>11</v>
      </c>
      <c r="H6233" s="4">
        <f t="shared" si="534"/>
        <v>2024</v>
      </c>
      <c r="I6233" s="2" t="s">
        <v>4</v>
      </c>
      <c r="J6233" s="2" t="s">
        <v>6911</v>
      </c>
      <c r="K6233" s="2" t="s">
        <v>422</v>
      </c>
      <c r="L6233" s="2" t="s">
        <v>423</v>
      </c>
      <c r="M6233" s="2" t="s">
        <v>119</v>
      </c>
      <c r="N6233" s="4" t="str">
        <f t="shared" si="530"/>
        <v>TON</v>
      </c>
      <c r="O6233" s="5">
        <v>10.0075</v>
      </c>
    </row>
    <row r="6234" spans="2:15" x14ac:dyDescent="0.25">
      <c r="B6234" s="1" t="s">
        <v>1520</v>
      </c>
      <c r="C6234" s="2" t="s">
        <v>196</v>
      </c>
      <c r="D6234" s="2" t="s">
        <v>6767</v>
      </c>
      <c r="E6234" s="2" t="s">
        <v>6912</v>
      </c>
      <c r="F6234" s="3">
        <f t="shared" si="532"/>
        <v>45616</v>
      </c>
      <c r="G6234" s="4">
        <f t="shared" si="533"/>
        <v>11</v>
      </c>
      <c r="H6234" s="4">
        <f t="shared" si="534"/>
        <v>2024</v>
      </c>
      <c r="I6234" s="2" t="s">
        <v>4</v>
      </c>
      <c r="J6234" s="2" t="s">
        <v>6913</v>
      </c>
      <c r="K6234" s="2" t="s">
        <v>205</v>
      </c>
      <c r="L6234" s="2" t="s">
        <v>206</v>
      </c>
      <c r="M6234" s="2" t="s">
        <v>119</v>
      </c>
      <c r="N6234" s="4" t="str">
        <f t="shared" si="530"/>
        <v>TON</v>
      </c>
      <c r="O6234" s="5">
        <v>2.5</v>
      </c>
    </row>
    <row r="6235" spans="2:15" x14ac:dyDescent="0.25">
      <c r="B6235" s="1" t="s">
        <v>1520</v>
      </c>
      <c r="C6235" s="2" t="s">
        <v>196</v>
      </c>
      <c r="D6235" s="2" t="s">
        <v>299</v>
      </c>
      <c r="E6235" s="2" t="s">
        <v>300</v>
      </c>
      <c r="F6235" s="3">
        <f t="shared" si="532"/>
        <v>45616</v>
      </c>
      <c r="G6235" s="4">
        <f t="shared" si="533"/>
        <v>11</v>
      </c>
      <c r="H6235" s="4">
        <f t="shared" si="534"/>
        <v>2024</v>
      </c>
      <c r="I6235" s="2" t="s">
        <v>4</v>
      </c>
      <c r="J6235" s="2" t="s">
        <v>6914</v>
      </c>
      <c r="K6235" s="2" t="s">
        <v>422</v>
      </c>
      <c r="L6235" s="2" t="s">
        <v>423</v>
      </c>
      <c r="M6235" s="2" t="s">
        <v>119</v>
      </c>
      <c r="N6235" s="4" t="str">
        <f t="shared" si="530"/>
        <v>TON</v>
      </c>
      <c r="O6235" s="5">
        <v>15.035</v>
      </c>
    </row>
    <row r="6236" spans="2:15" x14ac:dyDescent="0.25">
      <c r="B6236" s="1" t="s">
        <v>1520</v>
      </c>
      <c r="C6236" s="2" t="s">
        <v>196</v>
      </c>
      <c r="D6236" s="2" t="s">
        <v>1276</v>
      </c>
      <c r="E6236" s="2" t="s">
        <v>791</v>
      </c>
      <c r="F6236" s="3">
        <f t="shared" ref="F6236:F6246" si="535">DATE(2024,11,21)</f>
        <v>45617</v>
      </c>
      <c r="G6236" s="4">
        <f t="shared" si="533"/>
        <v>11</v>
      </c>
      <c r="H6236" s="4">
        <f t="shared" si="534"/>
        <v>2024</v>
      </c>
      <c r="I6236" s="2" t="s">
        <v>4</v>
      </c>
      <c r="J6236" s="2" t="s">
        <v>6915</v>
      </c>
      <c r="K6236" s="2" t="s">
        <v>329</v>
      </c>
      <c r="L6236" s="2" t="s">
        <v>330</v>
      </c>
      <c r="M6236" s="2" t="s">
        <v>119</v>
      </c>
      <c r="N6236" s="4" t="str">
        <f t="shared" si="530"/>
        <v>TON</v>
      </c>
      <c r="O6236" s="5">
        <v>5</v>
      </c>
    </row>
    <row r="6237" spans="2:15" x14ac:dyDescent="0.25">
      <c r="B6237" s="1" t="s">
        <v>1520</v>
      </c>
      <c r="C6237" s="2" t="s">
        <v>196</v>
      </c>
      <c r="D6237" s="2" t="s">
        <v>299</v>
      </c>
      <c r="E6237" s="2" t="s">
        <v>2410</v>
      </c>
      <c r="F6237" s="3">
        <f t="shared" si="535"/>
        <v>45617</v>
      </c>
      <c r="G6237" s="4">
        <f t="shared" si="533"/>
        <v>11</v>
      </c>
      <c r="H6237" s="4">
        <f t="shared" si="534"/>
        <v>2024</v>
      </c>
      <c r="I6237" s="2" t="s">
        <v>4</v>
      </c>
      <c r="J6237" s="2" t="s">
        <v>6916</v>
      </c>
      <c r="K6237" s="2" t="s">
        <v>422</v>
      </c>
      <c r="L6237" s="2" t="s">
        <v>423</v>
      </c>
      <c r="M6237" s="2" t="s">
        <v>119</v>
      </c>
      <c r="N6237" s="4" t="str">
        <f t="shared" si="530"/>
        <v>TON</v>
      </c>
      <c r="O6237" s="5">
        <v>9.0175000000000001</v>
      </c>
    </row>
    <row r="6238" spans="2:15" x14ac:dyDescent="0.25">
      <c r="B6238" s="1" t="s">
        <v>1520</v>
      </c>
      <c r="C6238" s="2" t="s">
        <v>196</v>
      </c>
      <c r="D6238" s="2" t="s">
        <v>303</v>
      </c>
      <c r="E6238" s="2" t="s">
        <v>501</v>
      </c>
      <c r="F6238" s="3">
        <f t="shared" si="535"/>
        <v>45617</v>
      </c>
      <c r="G6238" s="4">
        <f t="shared" si="533"/>
        <v>11</v>
      </c>
      <c r="H6238" s="4">
        <f t="shared" si="534"/>
        <v>2024</v>
      </c>
      <c r="I6238" s="2" t="s">
        <v>4</v>
      </c>
      <c r="J6238" s="2" t="s">
        <v>6917</v>
      </c>
      <c r="K6238" s="2" t="s">
        <v>3726</v>
      </c>
      <c r="L6238" s="2" t="s">
        <v>3727</v>
      </c>
      <c r="M6238" s="2" t="s">
        <v>145</v>
      </c>
      <c r="N6238" s="4" t="str">
        <f t="shared" si="530"/>
        <v>GAL</v>
      </c>
      <c r="O6238" s="5">
        <v>1.875</v>
      </c>
    </row>
    <row r="6239" spans="2:15" x14ac:dyDescent="0.25">
      <c r="B6239" s="1" t="s">
        <v>1520</v>
      </c>
      <c r="C6239" s="2" t="s">
        <v>196</v>
      </c>
      <c r="D6239" s="2" t="s">
        <v>303</v>
      </c>
      <c r="E6239" s="2" t="s">
        <v>501</v>
      </c>
      <c r="F6239" s="3">
        <f t="shared" si="535"/>
        <v>45617</v>
      </c>
      <c r="G6239" s="4">
        <f t="shared" si="533"/>
        <v>11</v>
      </c>
      <c r="H6239" s="4">
        <f t="shared" si="534"/>
        <v>2024</v>
      </c>
      <c r="I6239" s="2" t="s">
        <v>4</v>
      </c>
      <c r="J6239" s="2" t="s">
        <v>6917</v>
      </c>
      <c r="K6239" s="2" t="s">
        <v>447</v>
      </c>
      <c r="L6239" s="2" t="s">
        <v>448</v>
      </c>
      <c r="M6239" s="2" t="s">
        <v>119</v>
      </c>
      <c r="N6239" s="4" t="str">
        <f t="shared" si="530"/>
        <v>TON</v>
      </c>
      <c r="O6239" s="5">
        <v>5.0125000000000002</v>
      </c>
    </row>
    <row r="6240" spans="2:15" x14ac:dyDescent="0.25">
      <c r="B6240" s="1" t="s">
        <v>1520</v>
      </c>
      <c r="C6240" s="2" t="s">
        <v>196</v>
      </c>
      <c r="D6240" s="2" t="s">
        <v>904</v>
      </c>
      <c r="E6240" s="2" t="s">
        <v>5339</v>
      </c>
      <c r="F6240" s="3">
        <f t="shared" si="535"/>
        <v>45617</v>
      </c>
      <c r="G6240" s="4">
        <f t="shared" si="533"/>
        <v>11</v>
      </c>
      <c r="H6240" s="4">
        <f t="shared" si="534"/>
        <v>2024</v>
      </c>
      <c r="I6240" s="2" t="s">
        <v>4</v>
      </c>
      <c r="J6240" s="2" t="s">
        <v>6918</v>
      </c>
      <c r="K6240" s="2" t="s">
        <v>415</v>
      </c>
      <c r="L6240" s="2" t="s">
        <v>416</v>
      </c>
      <c r="M6240" s="2" t="s">
        <v>417</v>
      </c>
      <c r="N6240" s="4" t="str">
        <f t="shared" si="530"/>
        <v>GAL</v>
      </c>
      <c r="O6240" s="5">
        <v>60</v>
      </c>
    </row>
    <row r="6241" spans="2:15" x14ac:dyDescent="0.25">
      <c r="B6241" s="1" t="s">
        <v>1520</v>
      </c>
      <c r="C6241" s="2" t="s">
        <v>196</v>
      </c>
      <c r="D6241" s="2" t="s">
        <v>468</v>
      </c>
      <c r="E6241" s="2" t="s">
        <v>141</v>
      </c>
      <c r="F6241" s="3">
        <f t="shared" si="535"/>
        <v>45617</v>
      </c>
      <c r="G6241" s="4">
        <f t="shared" si="533"/>
        <v>11</v>
      </c>
      <c r="H6241" s="4">
        <f t="shared" si="534"/>
        <v>2024</v>
      </c>
      <c r="I6241" s="2" t="s">
        <v>4</v>
      </c>
      <c r="J6241" s="2" t="s">
        <v>6919</v>
      </c>
      <c r="K6241" s="2" t="s">
        <v>268</v>
      </c>
      <c r="L6241" s="2" t="s">
        <v>269</v>
      </c>
      <c r="M6241" s="2" t="s">
        <v>119</v>
      </c>
      <c r="N6241" s="4" t="str">
        <f t="shared" si="530"/>
        <v>TON</v>
      </c>
      <c r="O6241" s="5">
        <v>0.15</v>
      </c>
    </row>
    <row r="6242" spans="2:15" x14ac:dyDescent="0.25">
      <c r="B6242" s="1" t="s">
        <v>1520</v>
      </c>
      <c r="C6242" s="2" t="s">
        <v>196</v>
      </c>
      <c r="D6242" s="2" t="s">
        <v>227</v>
      </c>
      <c r="E6242" s="2" t="s">
        <v>228</v>
      </c>
      <c r="F6242" s="3">
        <f t="shared" si="535"/>
        <v>45617</v>
      </c>
      <c r="G6242" s="4">
        <f t="shared" si="533"/>
        <v>11</v>
      </c>
      <c r="H6242" s="4">
        <f t="shared" si="534"/>
        <v>2024</v>
      </c>
      <c r="I6242" s="2" t="s">
        <v>4</v>
      </c>
      <c r="J6242" s="2" t="s">
        <v>6920</v>
      </c>
      <c r="K6242" s="2" t="s">
        <v>205</v>
      </c>
      <c r="L6242" s="2" t="s">
        <v>206</v>
      </c>
      <c r="M6242" s="2" t="s">
        <v>119</v>
      </c>
      <c r="N6242" s="4" t="str">
        <f t="shared" si="530"/>
        <v>TON</v>
      </c>
      <c r="O6242" s="5">
        <v>10.012499999999999</v>
      </c>
    </row>
    <row r="6243" spans="2:15" x14ac:dyDescent="0.25">
      <c r="B6243" s="1" t="s">
        <v>1520</v>
      </c>
      <c r="C6243" s="2" t="s">
        <v>196</v>
      </c>
      <c r="D6243" s="2" t="s">
        <v>387</v>
      </c>
      <c r="E6243" s="2" t="s">
        <v>797</v>
      </c>
      <c r="F6243" s="3">
        <f t="shared" si="535"/>
        <v>45617</v>
      </c>
      <c r="G6243" s="4">
        <f t="shared" si="533"/>
        <v>11</v>
      </c>
      <c r="H6243" s="4">
        <f t="shared" si="534"/>
        <v>2024</v>
      </c>
      <c r="I6243" s="2" t="s">
        <v>4</v>
      </c>
      <c r="J6243" s="2" t="s">
        <v>6921</v>
      </c>
      <c r="K6243" s="2" t="s">
        <v>551</v>
      </c>
      <c r="L6243" s="2" t="s">
        <v>2426</v>
      </c>
      <c r="M6243" s="2" t="s">
        <v>553</v>
      </c>
      <c r="N6243" s="4" t="str">
        <f t="shared" si="530"/>
        <v>GAL</v>
      </c>
      <c r="O6243" s="5">
        <v>10</v>
      </c>
    </row>
    <row r="6244" spans="2:15" x14ac:dyDescent="0.25">
      <c r="B6244" s="1" t="s">
        <v>1520</v>
      </c>
      <c r="C6244" s="2" t="s">
        <v>196</v>
      </c>
      <c r="D6244" s="2" t="s">
        <v>280</v>
      </c>
      <c r="E6244" s="2" t="s">
        <v>254</v>
      </c>
      <c r="F6244" s="3">
        <f t="shared" si="535"/>
        <v>45617</v>
      </c>
      <c r="G6244" s="4">
        <f t="shared" si="533"/>
        <v>11</v>
      </c>
      <c r="H6244" s="4">
        <f t="shared" si="534"/>
        <v>2024</v>
      </c>
      <c r="I6244" s="2" t="s">
        <v>4</v>
      </c>
      <c r="J6244" s="2" t="s">
        <v>6922</v>
      </c>
      <c r="K6244" s="2" t="s">
        <v>422</v>
      </c>
      <c r="L6244" s="2" t="s">
        <v>423</v>
      </c>
      <c r="M6244" s="2" t="s">
        <v>119</v>
      </c>
      <c r="N6244" s="4" t="str">
        <f t="shared" si="530"/>
        <v>TON</v>
      </c>
      <c r="O6244" s="5">
        <v>15.015000000000001</v>
      </c>
    </row>
    <row r="6245" spans="2:15" x14ac:dyDescent="0.25">
      <c r="B6245" s="1" t="s">
        <v>1520</v>
      </c>
      <c r="C6245" s="2" t="s">
        <v>196</v>
      </c>
      <c r="D6245" s="2" t="s">
        <v>280</v>
      </c>
      <c r="E6245" s="2" t="s">
        <v>254</v>
      </c>
      <c r="F6245" s="3">
        <f t="shared" si="535"/>
        <v>45617</v>
      </c>
      <c r="G6245" s="4">
        <f t="shared" si="533"/>
        <v>11</v>
      </c>
      <c r="H6245" s="4">
        <f t="shared" si="534"/>
        <v>2024</v>
      </c>
      <c r="I6245" s="2" t="s">
        <v>4</v>
      </c>
      <c r="J6245" s="2" t="s">
        <v>6923</v>
      </c>
      <c r="K6245" s="2" t="s">
        <v>422</v>
      </c>
      <c r="L6245" s="2" t="s">
        <v>423</v>
      </c>
      <c r="M6245" s="2" t="s">
        <v>119</v>
      </c>
      <c r="N6245" s="4" t="str">
        <f t="shared" si="530"/>
        <v>TON</v>
      </c>
      <c r="O6245" s="5">
        <v>5.0125000000000002</v>
      </c>
    </row>
    <row r="6246" spans="2:15" x14ac:dyDescent="0.25">
      <c r="B6246" s="1" t="s">
        <v>1520</v>
      </c>
      <c r="C6246" s="2" t="s">
        <v>196</v>
      </c>
      <c r="D6246" s="2" t="s">
        <v>6854</v>
      </c>
      <c r="E6246" s="2" t="s">
        <v>6855</v>
      </c>
      <c r="F6246" s="3">
        <f t="shared" si="535"/>
        <v>45617</v>
      </c>
      <c r="G6246" s="4">
        <f t="shared" si="533"/>
        <v>11</v>
      </c>
      <c r="H6246" s="4">
        <f t="shared" si="534"/>
        <v>2024</v>
      </c>
      <c r="I6246" s="2" t="s">
        <v>4</v>
      </c>
      <c r="J6246" s="2" t="s">
        <v>6924</v>
      </c>
      <c r="K6246" s="2" t="s">
        <v>6857</v>
      </c>
      <c r="L6246" s="2" t="s">
        <v>6858</v>
      </c>
      <c r="M6246" s="2" t="s">
        <v>6859</v>
      </c>
      <c r="N6246" s="4" t="str">
        <f t="shared" si="530"/>
        <v>GAL</v>
      </c>
      <c r="O6246" s="5">
        <v>3000</v>
      </c>
    </row>
    <row r="6247" spans="2:15" x14ac:dyDescent="0.25">
      <c r="B6247" s="1" t="s">
        <v>1520</v>
      </c>
      <c r="C6247" s="2" t="s">
        <v>196</v>
      </c>
      <c r="D6247" s="2" t="s">
        <v>3764</v>
      </c>
      <c r="E6247" s="2" t="s">
        <v>6925</v>
      </c>
      <c r="F6247" s="3">
        <f t="shared" ref="F6247:F6254" si="536">DATE(2024,11,22)</f>
        <v>45618</v>
      </c>
      <c r="G6247" s="4">
        <f t="shared" si="533"/>
        <v>11</v>
      </c>
      <c r="H6247" s="4">
        <f t="shared" si="534"/>
        <v>2024</v>
      </c>
      <c r="I6247" s="2" t="s">
        <v>4</v>
      </c>
      <c r="J6247" s="2" t="s">
        <v>6926</v>
      </c>
      <c r="K6247" s="2" t="s">
        <v>447</v>
      </c>
      <c r="L6247" s="2" t="s">
        <v>448</v>
      </c>
      <c r="M6247" s="2" t="s">
        <v>119</v>
      </c>
      <c r="N6247" s="4" t="str">
        <f t="shared" si="530"/>
        <v>TON</v>
      </c>
      <c r="O6247" s="5">
        <v>1.25</v>
      </c>
    </row>
    <row r="6248" spans="2:15" x14ac:dyDescent="0.25">
      <c r="B6248" s="1" t="s">
        <v>1520</v>
      </c>
      <c r="C6248" s="2" t="s">
        <v>196</v>
      </c>
      <c r="D6248" s="2" t="s">
        <v>704</v>
      </c>
      <c r="E6248" s="2" t="s">
        <v>705</v>
      </c>
      <c r="F6248" s="3">
        <f t="shared" si="536"/>
        <v>45618</v>
      </c>
      <c r="G6248" s="4">
        <f t="shared" si="533"/>
        <v>11</v>
      </c>
      <c r="H6248" s="4">
        <f t="shared" si="534"/>
        <v>2024</v>
      </c>
      <c r="I6248" s="2" t="s">
        <v>4</v>
      </c>
      <c r="J6248" s="2" t="s">
        <v>6927</v>
      </c>
      <c r="K6248" s="2" t="s">
        <v>205</v>
      </c>
      <c r="L6248" s="2" t="s">
        <v>206</v>
      </c>
      <c r="M6248" s="2" t="s">
        <v>119</v>
      </c>
      <c r="N6248" s="4" t="str">
        <f t="shared" si="530"/>
        <v>TON</v>
      </c>
      <c r="O6248" s="5">
        <v>8.02</v>
      </c>
    </row>
    <row r="6249" spans="2:15" x14ac:dyDescent="0.25">
      <c r="B6249" s="1" t="s">
        <v>1520</v>
      </c>
      <c r="C6249" s="2" t="s">
        <v>196</v>
      </c>
      <c r="D6249" s="2" t="s">
        <v>374</v>
      </c>
      <c r="E6249" s="2" t="s">
        <v>5309</v>
      </c>
      <c r="F6249" s="3">
        <f t="shared" si="536"/>
        <v>45618</v>
      </c>
      <c r="G6249" s="4">
        <f t="shared" si="533"/>
        <v>11</v>
      </c>
      <c r="H6249" s="4">
        <f t="shared" si="534"/>
        <v>2024</v>
      </c>
      <c r="I6249" s="2" t="s">
        <v>4</v>
      </c>
      <c r="J6249" s="2" t="s">
        <v>6928</v>
      </c>
      <c r="K6249" s="2" t="s">
        <v>329</v>
      </c>
      <c r="L6249" s="2" t="s">
        <v>330</v>
      </c>
      <c r="M6249" s="2" t="s">
        <v>119</v>
      </c>
      <c r="N6249" s="4" t="str">
        <f t="shared" si="530"/>
        <v>TON</v>
      </c>
      <c r="O6249" s="5">
        <v>15.02</v>
      </c>
    </row>
    <row r="6250" spans="2:15" x14ac:dyDescent="0.25">
      <c r="B6250" s="1" t="s">
        <v>1520</v>
      </c>
      <c r="C6250" s="2" t="s">
        <v>196</v>
      </c>
      <c r="D6250" s="2" t="s">
        <v>283</v>
      </c>
      <c r="E6250" s="2" t="s">
        <v>699</v>
      </c>
      <c r="F6250" s="3">
        <f t="shared" si="536"/>
        <v>45618</v>
      </c>
      <c r="G6250" s="4">
        <f t="shared" si="533"/>
        <v>11</v>
      </c>
      <c r="H6250" s="4">
        <f t="shared" si="534"/>
        <v>2024</v>
      </c>
      <c r="I6250" s="2" t="s">
        <v>4</v>
      </c>
      <c r="J6250" s="2" t="s">
        <v>6929</v>
      </c>
      <c r="K6250" s="2" t="s">
        <v>307</v>
      </c>
      <c r="L6250" s="2" t="s">
        <v>308</v>
      </c>
      <c r="M6250" s="2" t="s">
        <v>119</v>
      </c>
      <c r="N6250" s="4" t="str">
        <f t="shared" si="530"/>
        <v>TON</v>
      </c>
      <c r="O6250" s="5">
        <v>1.75</v>
      </c>
    </row>
    <row r="6251" spans="2:15" x14ac:dyDescent="0.25">
      <c r="B6251" s="1" t="s">
        <v>1520</v>
      </c>
      <c r="C6251" s="2" t="s">
        <v>196</v>
      </c>
      <c r="D6251" s="2" t="s">
        <v>374</v>
      </c>
      <c r="E6251" s="2" t="s">
        <v>4935</v>
      </c>
      <c r="F6251" s="3">
        <f t="shared" si="536"/>
        <v>45618</v>
      </c>
      <c r="G6251" s="4">
        <f t="shared" si="533"/>
        <v>11</v>
      </c>
      <c r="H6251" s="4">
        <f t="shared" si="534"/>
        <v>2024</v>
      </c>
      <c r="I6251" s="2" t="s">
        <v>4</v>
      </c>
      <c r="J6251" s="2" t="s">
        <v>6930</v>
      </c>
      <c r="K6251" s="2" t="s">
        <v>329</v>
      </c>
      <c r="L6251" s="2" t="s">
        <v>330</v>
      </c>
      <c r="M6251" s="2" t="s">
        <v>119</v>
      </c>
      <c r="N6251" s="4" t="str">
        <f t="shared" si="530"/>
        <v>TON</v>
      </c>
      <c r="O6251" s="5">
        <v>15.025</v>
      </c>
    </row>
    <row r="6252" spans="2:15" x14ac:dyDescent="0.25">
      <c r="B6252" s="1" t="s">
        <v>1520</v>
      </c>
      <c r="C6252" s="2" t="s">
        <v>196</v>
      </c>
      <c r="D6252" s="2" t="s">
        <v>262</v>
      </c>
      <c r="E6252" s="2" t="s">
        <v>290</v>
      </c>
      <c r="F6252" s="3">
        <f t="shared" si="536"/>
        <v>45618</v>
      </c>
      <c r="G6252" s="4">
        <f t="shared" si="533"/>
        <v>11</v>
      </c>
      <c r="H6252" s="4">
        <f t="shared" si="534"/>
        <v>2024</v>
      </c>
      <c r="I6252" s="2" t="s">
        <v>4</v>
      </c>
      <c r="J6252" s="2" t="s">
        <v>6931</v>
      </c>
      <c r="K6252" s="2" t="s">
        <v>292</v>
      </c>
      <c r="L6252" s="2" t="s">
        <v>293</v>
      </c>
      <c r="M6252" s="2" t="s">
        <v>119</v>
      </c>
      <c r="N6252" s="4" t="str">
        <f t="shared" si="530"/>
        <v>TON</v>
      </c>
      <c r="O6252" s="5">
        <v>12.01</v>
      </c>
    </row>
    <row r="6253" spans="2:15" x14ac:dyDescent="0.25">
      <c r="B6253" s="1" t="s">
        <v>1520</v>
      </c>
      <c r="C6253" s="2" t="s">
        <v>196</v>
      </c>
      <c r="D6253" s="2" t="s">
        <v>215</v>
      </c>
      <c r="E6253" s="2" t="s">
        <v>315</v>
      </c>
      <c r="F6253" s="3">
        <f t="shared" si="536"/>
        <v>45618</v>
      </c>
      <c r="G6253" s="4">
        <f t="shared" si="533"/>
        <v>11</v>
      </c>
      <c r="H6253" s="4">
        <f t="shared" si="534"/>
        <v>2024</v>
      </c>
      <c r="I6253" s="2" t="s">
        <v>4</v>
      </c>
      <c r="J6253" s="2" t="s">
        <v>6932</v>
      </c>
      <c r="K6253" s="2" t="s">
        <v>205</v>
      </c>
      <c r="L6253" s="2" t="s">
        <v>206</v>
      </c>
      <c r="M6253" s="2" t="s">
        <v>119</v>
      </c>
      <c r="N6253" s="4" t="str">
        <f t="shared" si="530"/>
        <v>TON</v>
      </c>
      <c r="O6253" s="5">
        <v>7.7575000000000003</v>
      </c>
    </row>
    <row r="6254" spans="2:15" x14ac:dyDescent="0.25">
      <c r="B6254" s="1" t="s">
        <v>1520</v>
      </c>
      <c r="C6254" s="2" t="s">
        <v>196</v>
      </c>
      <c r="D6254" s="2" t="s">
        <v>197</v>
      </c>
      <c r="E6254" s="2" t="s">
        <v>198</v>
      </c>
      <c r="F6254" s="3">
        <f t="shared" si="536"/>
        <v>45618</v>
      </c>
      <c r="G6254" s="4">
        <f t="shared" si="533"/>
        <v>11</v>
      </c>
      <c r="H6254" s="4">
        <f t="shared" si="534"/>
        <v>2024</v>
      </c>
      <c r="I6254" s="2" t="s">
        <v>4</v>
      </c>
      <c r="J6254" s="2" t="s">
        <v>6933</v>
      </c>
      <c r="K6254" s="2" t="s">
        <v>307</v>
      </c>
      <c r="L6254" s="2" t="s">
        <v>308</v>
      </c>
      <c r="M6254" s="2" t="s">
        <v>119</v>
      </c>
      <c r="N6254" s="4" t="str">
        <f t="shared" si="530"/>
        <v>TON</v>
      </c>
      <c r="O6254" s="5">
        <v>3.51</v>
      </c>
    </row>
    <row r="6255" spans="2:15" x14ac:dyDescent="0.25">
      <c r="B6255" s="1" t="s">
        <v>1520</v>
      </c>
      <c r="C6255" s="2" t="s">
        <v>196</v>
      </c>
      <c r="D6255" s="2" t="s">
        <v>114</v>
      </c>
      <c r="E6255" s="2" t="s">
        <v>3751</v>
      </c>
      <c r="F6255" s="3">
        <f t="shared" ref="F6255:F6265" si="537">DATE(2024,11,25)</f>
        <v>45621</v>
      </c>
      <c r="G6255" s="4">
        <f t="shared" si="533"/>
        <v>11</v>
      </c>
      <c r="H6255" s="4">
        <f t="shared" si="534"/>
        <v>2024</v>
      </c>
      <c r="I6255" s="2" t="s">
        <v>4</v>
      </c>
      <c r="J6255" s="2" t="s">
        <v>6934</v>
      </c>
      <c r="K6255" s="2" t="s">
        <v>422</v>
      </c>
      <c r="L6255" s="2" t="s">
        <v>423</v>
      </c>
      <c r="M6255" s="2" t="s">
        <v>119</v>
      </c>
      <c r="N6255" s="4" t="str">
        <f t="shared" si="530"/>
        <v>TON</v>
      </c>
      <c r="O6255" s="5">
        <v>9.5075000000000003</v>
      </c>
    </row>
    <row r="6256" spans="2:15" x14ac:dyDescent="0.25">
      <c r="B6256" s="1" t="s">
        <v>1520</v>
      </c>
      <c r="C6256" s="2" t="s">
        <v>196</v>
      </c>
      <c r="D6256" s="2" t="s">
        <v>114</v>
      </c>
      <c r="E6256" s="2" t="s">
        <v>402</v>
      </c>
      <c r="F6256" s="3">
        <f t="shared" si="537"/>
        <v>45621</v>
      </c>
      <c r="G6256" s="4">
        <f t="shared" si="533"/>
        <v>11</v>
      </c>
      <c r="H6256" s="4">
        <f t="shared" si="534"/>
        <v>2024</v>
      </c>
      <c r="I6256" s="2" t="s">
        <v>4</v>
      </c>
      <c r="J6256" s="2" t="s">
        <v>6935</v>
      </c>
      <c r="K6256" s="2" t="s">
        <v>422</v>
      </c>
      <c r="L6256" s="2" t="s">
        <v>423</v>
      </c>
      <c r="M6256" s="2" t="s">
        <v>119</v>
      </c>
      <c r="N6256" s="4" t="str">
        <f t="shared" si="530"/>
        <v>TON</v>
      </c>
      <c r="O6256" s="5">
        <v>7.25</v>
      </c>
    </row>
    <row r="6257" spans="2:15" x14ac:dyDescent="0.25">
      <c r="B6257" s="1" t="s">
        <v>1520</v>
      </c>
      <c r="C6257" s="2" t="s">
        <v>196</v>
      </c>
      <c r="D6257" s="2" t="s">
        <v>672</v>
      </c>
      <c r="E6257" s="2" t="s">
        <v>699</v>
      </c>
      <c r="F6257" s="3">
        <f t="shared" si="537"/>
        <v>45621</v>
      </c>
      <c r="G6257" s="4">
        <f t="shared" si="533"/>
        <v>11</v>
      </c>
      <c r="H6257" s="4">
        <f t="shared" si="534"/>
        <v>2024</v>
      </c>
      <c r="I6257" s="2" t="s">
        <v>4</v>
      </c>
      <c r="J6257" s="2" t="s">
        <v>6936</v>
      </c>
      <c r="K6257" s="2" t="s">
        <v>251</v>
      </c>
      <c r="L6257" s="2" t="s">
        <v>252</v>
      </c>
      <c r="M6257" s="2" t="s">
        <v>119</v>
      </c>
      <c r="N6257" s="4" t="str">
        <f t="shared" si="530"/>
        <v>TON</v>
      </c>
      <c r="O6257" s="5">
        <v>8.0124999999999993</v>
      </c>
    </row>
    <row r="6258" spans="2:15" x14ac:dyDescent="0.25">
      <c r="B6258" s="1" t="s">
        <v>1520</v>
      </c>
      <c r="C6258" s="2" t="s">
        <v>196</v>
      </c>
      <c r="D6258" s="2" t="s">
        <v>270</v>
      </c>
      <c r="E6258" s="2" t="s">
        <v>400</v>
      </c>
      <c r="F6258" s="3">
        <f t="shared" si="537"/>
        <v>45621</v>
      </c>
      <c r="G6258" s="4">
        <f t="shared" si="533"/>
        <v>11</v>
      </c>
      <c r="H6258" s="4">
        <f t="shared" si="534"/>
        <v>2024</v>
      </c>
      <c r="I6258" s="2" t="s">
        <v>4</v>
      </c>
      <c r="J6258" s="2" t="s">
        <v>6937</v>
      </c>
      <c r="K6258" s="2" t="s">
        <v>329</v>
      </c>
      <c r="L6258" s="2" t="s">
        <v>330</v>
      </c>
      <c r="M6258" s="2" t="s">
        <v>119</v>
      </c>
      <c r="N6258" s="4" t="str">
        <f t="shared" si="530"/>
        <v>TON</v>
      </c>
      <c r="O6258" s="5">
        <v>2.25</v>
      </c>
    </row>
    <row r="6259" spans="2:15" x14ac:dyDescent="0.25">
      <c r="B6259" s="1" t="s">
        <v>1520</v>
      </c>
      <c r="C6259" s="2" t="s">
        <v>196</v>
      </c>
      <c r="D6259" s="2" t="s">
        <v>248</v>
      </c>
      <c r="E6259" s="2" t="s">
        <v>3608</v>
      </c>
      <c r="F6259" s="3">
        <f t="shared" si="537"/>
        <v>45621</v>
      </c>
      <c r="G6259" s="4">
        <f t="shared" si="533"/>
        <v>11</v>
      </c>
      <c r="H6259" s="4">
        <f t="shared" si="534"/>
        <v>2024</v>
      </c>
      <c r="I6259" s="2" t="s">
        <v>4</v>
      </c>
      <c r="J6259" s="2" t="s">
        <v>6938</v>
      </c>
      <c r="K6259" s="2" t="s">
        <v>251</v>
      </c>
      <c r="L6259" s="2" t="s">
        <v>252</v>
      </c>
      <c r="M6259" s="2" t="s">
        <v>119</v>
      </c>
      <c r="N6259" s="4" t="str">
        <f t="shared" si="530"/>
        <v>TON</v>
      </c>
      <c r="O6259" s="5">
        <v>10.01</v>
      </c>
    </row>
    <row r="6260" spans="2:15" x14ac:dyDescent="0.25">
      <c r="B6260" s="1" t="s">
        <v>1520</v>
      </c>
      <c r="C6260" s="2" t="s">
        <v>196</v>
      </c>
      <c r="D6260" s="2" t="s">
        <v>210</v>
      </c>
      <c r="E6260" s="2" t="s">
        <v>962</v>
      </c>
      <c r="F6260" s="3">
        <f t="shared" si="537"/>
        <v>45621</v>
      </c>
      <c r="G6260" s="4">
        <f t="shared" si="533"/>
        <v>11</v>
      </c>
      <c r="H6260" s="4">
        <f t="shared" si="534"/>
        <v>2024</v>
      </c>
      <c r="I6260" s="2" t="s">
        <v>4</v>
      </c>
      <c r="J6260" s="2" t="s">
        <v>6939</v>
      </c>
      <c r="K6260" s="2" t="s">
        <v>213</v>
      </c>
      <c r="L6260" s="2" t="s">
        <v>214</v>
      </c>
      <c r="M6260" s="2" t="s">
        <v>119</v>
      </c>
      <c r="N6260" s="4" t="str">
        <f t="shared" si="530"/>
        <v>TON</v>
      </c>
      <c r="O6260" s="5">
        <v>15.01</v>
      </c>
    </row>
    <row r="6261" spans="2:15" x14ac:dyDescent="0.25">
      <c r="B6261" s="1" t="s">
        <v>1520</v>
      </c>
      <c r="C6261" s="2" t="s">
        <v>196</v>
      </c>
      <c r="D6261" s="2" t="s">
        <v>387</v>
      </c>
      <c r="E6261" s="2" t="s">
        <v>388</v>
      </c>
      <c r="F6261" s="3">
        <f t="shared" si="537"/>
        <v>45621</v>
      </c>
      <c r="G6261" s="4">
        <f t="shared" si="533"/>
        <v>11</v>
      </c>
      <c r="H6261" s="4">
        <f t="shared" si="534"/>
        <v>2024</v>
      </c>
      <c r="I6261" s="2" t="s">
        <v>4</v>
      </c>
      <c r="J6261" s="2" t="s">
        <v>6940</v>
      </c>
      <c r="K6261" s="2" t="s">
        <v>3726</v>
      </c>
      <c r="L6261" s="2" t="s">
        <v>3727</v>
      </c>
      <c r="M6261" s="2" t="s">
        <v>145</v>
      </c>
      <c r="N6261" s="4" t="str">
        <f t="shared" si="530"/>
        <v>GAL</v>
      </c>
      <c r="O6261" s="5">
        <v>4.6875</v>
      </c>
    </row>
    <row r="6262" spans="2:15" x14ac:dyDescent="0.25">
      <c r="B6262" s="1" t="s">
        <v>1520</v>
      </c>
      <c r="C6262" s="2" t="s">
        <v>196</v>
      </c>
      <c r="D6262" s="2" t="s">
        <v>387</v>
      </c>
      <c r="E6262" s="2" t="s">
        <v>388</v>
      </c>
      <c r="F6262" s="3">
        <f t="shared" si="537"/>
        <v>45621</v>
      </c>
      <c r="G6262" s="4">
        <f t="shared" si="533"/>
        <v>11</v>
      </c>
      <c r="H6262" s="4">
        <f t="shared" si="534"/>
        <v>2024</v>
      </c>
      <c r="I6262" s="2" t="s">
        <v>4</v>
      </c>
      <c r="J6262" s="2" t="s">
        <v>6940</v>
      </c>
      <c r="K6262" s="2" t="s">
        <v>422</v>
      </c>
      <c r="L6262" s="2" t="s">
        <v>423</v>
      </c>
      <c r="M6262" s="2" t="s">
        <v>119</v>
      </c>
      <c r="N6262" s="4" t="str">
        <f t="shared" si="530"/>
        <v>TON</v>
      </c>
      <c r="O6262" s="5">
        <v>12.526999999999999</v>
      </c>
    </row>
    <row r="6263" spans="2:15" x14ac:dyDescent="0.25">
      <c r="B6263" s="1" t="s">
        <v>1520</v>
      </c>
      <c r="C6263" s="2" t="s">
        <v>196</v>
      </c>
      <c r="D6263" s="2" t="s">
        <v>440</v>
      </c>
      <c r="E6263" s="2" t="s">
        <v>441</v>
      </c>
      <c r="F6263" s="3">
        <f t="shared" si="537"/>
        <v>45621</v>
      </c>
      <c r="G6263" s="4">
        <f t="shared" si="533"/>
        <v>11</v>
      </c>
      <c r="H6263" s="4">
        <f t="shared" si="534"/>
        <v>2024</v>
      </c>
      <c r="I6263" s="2" t="s">
        <v>4</v>
      </c>
      <c r="J6263" s="2" t="s">
        <v>6941</v>
      </c>
      <c r="K6263" s="2" t="s">
        <v>422</v>
      </c>
      <c r="L6263" s="2" t="s">
        <v>423</v>
      </c>
      <c r="M6263" s="2" t="s">
        <v>119</v>
      </c>
      <c r="N6263" s="4" t="str">
        <f t="shared" si="530"/>
        <v>TON</v>
      </c>
      <c r="O6263" s="5">
        <v>5.0025000000000004</v>
      </c>
    </row>
    <row r="6264" spans="2:15" x14ac:dyDescent="0.25">
      <c r="B6264" s="1" t="s">
        <v>1520</v>
      </c>
      <c r="C6264" s="2" t="s">
        <v>196</v>
      </c>
      <c r="D6264" s="2" t="s">
        <v>215</v>
      </c>
      <c r="E6264" s="2" t="s">
        <v>858</v>
      </c>
      <c r="F6264" s="3">
        <f t="shared" si="537"/>
        <v>45621</v>
      </c>
      <c r="G6264" s="4">
        <f t="shared" si="533"/>
        <v>11</v>
      </c>
      <c r="H6264" s="4">
        <f t="shared" si="534"/>
        <v>2024</v>
      </c>
      <c r="I6264" s="2" t="s">
        <v>4</v>
      </c>
      <c r="J6264" s="2" t="s">
        <v>6942</v>
      </c>
      <c r="K6264" s="2" t="s">
        <v>205</v>
      </c>
      <c r="L6264" s="2" t="s">
        <v>206</v>
      </c>
      <c r="M6264" s="2" t="s">
        <v>119</v>
      </c>
      <c r="N6264" s="4" t="str">
        <f t="shared" si="530"/>
        <v>TON</v>
      </c>
      <c r="O6264" s="5">
        <v>7.5075000000000003</v>
      </c>
    </row>
    <row r="6265" spans="2:15" x14ac:dyDescent="0.25">
      <c r="B6265" s="1" t="s">
        <v>1520</v>
      </c>
      <c r="C6265" s="2" t="s">
        <v>196</v>
      </c>
      <c r="D6265" s="2" t="s">
        <v>4034</v>
      </c>
      <c r="E6265" s="2" t="s">
        <v>759</v>
      </c>
      <c r="F6265" s="3">
        <f t="shared" si="537"/>
        <v>45621</v>
      </c>
      <c r="G6265" s="4">
        <f t="shared" si="533"/>
        <v>11</v>
      </c>
      <c r="H6265" s="4">
        <f t="shared" si="534"/>
        <v>2024</v>
      </c>
      <c r="I6265" s="2" t="s">
        <v>4</v>
      </c>
      <c r="J6265" s="2" t="s">
        <v>6943</v>
      </c>
      <c r="K6265" s="2" t="s">
        <v>329</v>
      </c>
      <c r="L6265" s="2" t="s">
        <v>330</v>
      </c>
      <c r="M6265" s="2" t="s">
        <v>119</v>
      </c>
      <c r="N6265" s="4" t="str">
        <f t="shared" si="530"/>
        <v>TON</v>
      </c>
      <c r="O6265" s="5">
        <v>7.51</v>
      </c>
    </row>
    <row r="6266" spans="2:15" x14ac:dyDescent="0.25">
      <c r="B6266" s="1" t="s">
        <v>1520</v>
      </c>
      <c r="C6266" s="2" t="s">
        <v>196</v>
      </c>
      <c r="D6266" s="2" t="s">
        <v>3761</v>
      </c>
      <c r="E6266" s="2" t="s">
        <v>3762</v>
      </c>
      <c r="F6266" s="3">
        <f t="shared" ref="F6266:F6283" si="538">DATE(2024,11,26)</f>
        <v>45622</v>
      </c>
      <c r="G6266" s="4">
        <f t="shared" si="533"/>
        <v>11</v>
      </c>
      <c r="H6266" s="4">
        <f t="shared" si="534"/>
        <v>2024</v>
      </c>
      <c r="I6266" s="2" t="s">
        <v>4</v>
      </c>
      <c r="J6266" s="2" t="s">
        <v>6944</v>
      </c>
      <c r="K6266" s="2" t="s">
        <v>329</v>
      </c>
      <c r="L6266" s="2" t="s">
        <v>330</v>
      </c>
      <c r="M6266" s="2" t="s">
        <v>119</v>
      </c>
      <c r="N6266" s="4" t="str">
        <f t="shared" si="530"/>
        <v>TON</v>
      </c>
      <c r="O6266" s="5">
        <v>7.5</v>
      </c>
    </row>
    <row r="6267" spans="2:15" x14ac:dyDescent="0.25">
      <c r="B6267" s="1" t="s">
        <v>1520</v>
      </c>
      <c r="C6267" s="2" t="s">
        <v>196</v>
      </c>
      <c r="D6267" s="2" t="s">
        <v>6651</v>
      </c>
      <c r="E6267" s="2" t="s">
        <v>6652</v>
      </c>
      <c r="F6267" s="3">
        <f t="shared" si="538"/>
        <v>45622</v>
      </c>
      <c r="G6267" s="4">
        <f t="shared" si="533"/>
        <v>11</v>
      </c>
      <c r="H6267" s="4">
        <f t="shared" si="534"/>
        <v>2024</v>
      </c>
      <c r="I6267" s="2" t="s">
        <v>4</v>
      </c>
      <c r="J6267" s="2" t="s">
        <v>6945</v>
      </c>
      <c r="K6267" s="2" t="s">
        <v>329</v>
      </c>
      <c r="L6267" s="2" t="s">
        <v>330</v>
      </c>
      <c r="M6267" s="2" t="s">
        <v>119</v>
      </c>
      <c r="N6267" s="4" t="str">
        <f t="shared" si="530"/>
        <v>TON</v>
      </c>
      <c r="O6267" s="5">
        <v>5.0025000000000004</v>
      </c>
    </row>
    <row r="6268" spans="2:15" x14ac:dyDescent="0.25">
      <c r="B6268" s="1" t="s">
        <v>1520</v>
      </c>
      <c r="C6268" s="2" t="s">
        <v>196</v>
      </c>
      <c r="D6268" s="2" t="s">
        <v>721</v>
      </c>
      <c r="E6268" s="2" t="s">
        <v>721</v>
      </c>
      <c r="F6268" s="3">
        <f t="shared" si="538"/>
        <v>45622</v>
      </c>
      <c r="G6268" s="4">
        <f t="shared" si="533"/>
        <v>11</v>
      </c>
      <c r="H6268" s="4">
        <f t="shared" si="534"/>
        <v>2024</v>
      </c>
      <c r="I6268" s="2" t="s">
        <v>4</v>
      </c>
      <c r="J6268" s="2" t="s">
        <v>6946</v>
      </c>
      <c r="K6268" s="2" t="s">
        <v>531</v>
      </c>
      <c r="L6268" s="2" t="s">
        <v>201</v>
      </c>
      <c r="M6268" s="2" t="s">
        <v>202</v>
      </c>
      <c r="N6268" s="4" t="str">
        <f t="shared" si="530"/>
        <v>GAL</v>
      </c>
      <c r="O6268" s="5">
        <v>60</v>
      </c>
    </row>
    <row r="6269" spans="2:15" x14ac:dyDescent="0.25">
      <c r="B6269" s="1" t="s">
        <v>1520</v>
      </c>
      <c r="C6269" s="2" t="s">
        <v>196</v>
      </c>
      <c r="D6269" s="2" t="s">
        <v>232</v>
      </c>
      <c r="E6269" s="2" t="s">
        <v>778</v>
      </c>
      <c r="F6269" s="3">
        <f t="shared" si="538"/>
        <v>45622</v>
      </c>
      <c r="G6269" s="4">
        <f t="shared" si="533"/>
        <v>11</v>
      </c>
      <c r="H6269" s="4">
        <f t="shared" si="534"/>
        <v>2024</v>
      </c>
      <c r="I6269" s="2" t="s">
        <v>4</v>
      </c>
      <c r="J6269" s="2" t="s">
        <v>6947</v>
      </c>
      <c r="K6269" s="2" t="s">
        <v>823</v>
      </c>
      <c r="L6269" s="2" t="s">
        <v>776</v>
      </c>
      <c r="M6269" s="2" t="s">
        <v>82</v>
      </c>
      <c r="N6269" s="4" t="str">
        <f t="shared" si="530"/>
        <v>GAL</v>
      </c>
      <c r="O6269" s="5">
        <v>250</v>
      </c>
    </row>
    <row r="6270" spans="2:15" x14ac:dyDescent="0.25">
      <c r="B6270" s="1" t="s">
        <v>1520</v>
      </c>
      <c r="C6270" s="2" t="s">
        <v>196</v>
      </c>
      <c r="D6270" s="2" t="s">
        <v>3767</v>
      </c>
      <c r="E6270" s="2" t="s">
        <v>271</v>
      </c>
      <c r="F6270" s="3">
        <f t="shared" si="538"/>
        <v>45622</v>
      </c>
      <c r="G6270" s="4">
        <f t="shared" si="533"/>
        <v>11</v>
      </c>
      <c r="H6270" s="4">
        <f t="shared" si="534"/>
        <v>2024</v>
      </c>
      <c r="I6270" s="2" t="s">
        <v>4</v>
      </c>
      <c r="J6270" s="2" t="s">
        <v>6948</v>
      </c>
      <c r="K6270" s="2" t="s">
        <v>447</v>
      </c>
      <c r="L6270" s="2" t="s">
        <v>448</v>
      </c>
      <c r="M6270" s="2" t="s">
        <v>119</v>
      </c>
      <c r="N6270" s="4" t="str">
        <f t="shared" ref="N6270:N6333" si="539">+LEFT(M6270,3)</f>
        <v>TON</v>
      </c>
      <c r="O6270" s="5">
        <v>5.0049999999999999</v>
      </c>
    </row>
    <row r="6271" spans="2:15" x14ac:dyDescent="0.25">
      <c r="B6271" s="1" t="s">
        <v>1520</v>
      </c>
      <c r="C6271" s="2" t="s">
        <v>196</v>
      </c>
      <c r="D6271" s="2" t="s">
        <v>3767</v>
      </c>
      <c r="E6271" s="2" t="s">
        <v>3768</v>
      </c>
      <c r="F6271" s="3">
        <f t="shared" si="538"/>
        <v>45622</v>
      </c>
      <c r="G6271" s="4">
        <f t="shared" si="533"/>
        <v>11</v>
      </c>
      <c r="H6271" s="4">
        <f t="shared" si="534"/>
        <v>2024</v>
      </c>
      <c r="I6271" s="2" t="s">
        <v>4</v>
      </c>
      <c r="J6271" s="2" t="s">
        <v>6949</v>
      </c>
      <c r="K6271" s="2" t="s">
        <v>205</v>
      </c>
      <c r="L6271" s="2" t="s">
        <v>206</v>
      </c>
      <c r="M6271" s="2" t="s">
        <v>119</v>
      </c>
      <c r="N6271" s="4" t="str">
        <f t="shared" si="539"/>
        <v>TON</v>
      </c>
      <c r="O6271" s="5">
        <v>1.0075000000000001</v>
      </c>
    </row>
    <row r="6272" spans="2:15" x14ac:dyDescent="0.25">
      <c r="B6272" s="1" t="s">
        <v>1520</v>
      </c>
      <c r="C6272" s="2" t="s">
        <v>196</v>
      </c>
      <c r="D6272" s="2" t="s">
        <v>4034</v>
      </c>
      <c r="E6272" s="2" t="s">
        <v>1346</v>
      </c>
      <c r="F6272" s="3">
        <f t="shared" si="538"/>
        <v>45622</v>
      </c>
      <c r="G6272" s="4">
        <f t="shared" si="533"/>
        <v>11</v>
      </c>
      <c r="H6272" s="4">
        <f t="shared" si="534"/>
        <v>2024</v>
      </c>
      <c r="I6272" s="2" t="s">
        <v>4</v>
      </c>
      <c r="J6272" s="2" t="s">
        <v>6950</v>
      </c>
      <c r="K6272" s="2" t="s">
        <v>329</v>
      </c>
      <c r="L6272" s="2" t="s">
        <v>330</v>
      </c>
      <c r="M6272" s="2" t="s">
        <v>119</v>
      </c>
      <c r="N6272" s="4" t="str">
        <f t="shared" si="539"/>
        <v>TON</v>
      </c>
      <c r="O6272" s="5">
        <v>5.01</v>
      </c>
    </row>
    <row r="6273" spans="2:15" x14ac:dyDescent="0.25">
      <c r="B6273" s="1" t="s">
        <v>1520</v>
      </c>
      <c r="C6273" s="2" t="s">
        <v>196</v>
      </c>
      <c r="D6273" s="2" t="s">
        <v>207</v>
      </c>
      <c r="E6273" s="2" t="s">
        <v>208</v>
      </c>
      <c r="F6273" s="3">
        <f t="shared" si="538"/>
        <v>45622</v>
      </c>
      <c r="G6273" s="4">
        <f t="shared" si="533"/>
        <v>11</v>
      </c>
      <c r="H6273" s="4">
        <f t="shared" si="534"/>
        <v>2024</v>
      </c>
      <c r="I6273" s="2" t="s">
        <v>4</v>
      </c>
      <c r="J6273" s="2" t="s">
        <v>6951</v>
      </c>
      <c r="K6273" s="2" t="s">
        <v>205</v>
      </c>
      <c r="L6273" s="2" t="s">
        <v>206</v>
      </c>
      <c r="M6273" s="2" t="s">
        <v>119</v>
      </c>
      <c r="N6273" s="4" t="str">
        <f t="shared" si="539"/>
        <v>TON</v>
      </c>
      <c r="O6273" s="5">
        <v>3.74</v>
      </c>
    </row>
    <row r="6274" spans="2:15" x14ac:dyDescent="0.25">
      <c r="B6274" s="1" t="s">
        <v>1520</v>
      </c>
      <c r="C6274" s="2" t="s">
        <v>196</v>
      </c>
      <c r="D6274" s="2" t="s">
        <v>374</v>
      </c>
      <c r="E6274" s="2" t="s">
        <v>717</v>
      </c>
      <c r="F6274" s="3">
        <f t="shared" si="538"/>
        <v>45622</v>
      </c>
      <c r="G6274" s="4">
        <f t="shared" si="533"/>
        <v>11</v>
      </c>
      <c r="H6274" s="4">
        <f t="shared" si="534"/>
        <v>2024</v>
      </c>
      <c r="I6274" s="2" t="s">
        <v>4</v>
      </c>
      <c r="J6274" s="2" t="s">
        <v>6952</v>
      </c>
      <c r="K6274" s="2" t="s">
        <v>649</v>
      </c>
      <c r="L6274" s="2" t="s">
        <v>538</v>
      </c>
      <c r="M6274" s="2" t="s">
        <v>4243</v>
      </c>
      <c r="N6274" s="4" t="str">
        <f t="shared" si="539"/>
        <v>GAL</v>
      </c>
      <c r="O6274" s="5">
        <v>250</v>
      </c>
    </row>
    <row r="6275" spans="2:15" x14ac:dyDescent="0.25">
      <c r="B6275" s="1" t="s">
        <v>1520</v>
      </c>
      <c r="C6275" s="2" t="s">
        <v>196</v>
      </c>
      <c r="D6275" s="2" t="s">
        <v>374</v>
      </c>
      <c r="E6275" s="2" t="s">
        <v>717</v>
      </c>
      <c r="F6275" s="3">
        <f t="shared" si="538"/>
        <v>45622</v>
      </c>
      <c r="G6275" s="4">
        <f t="shared" si="533"/>
        <v>11</v>
      </c>
      <c r="H6275" s="4">
        <f t="shared" si="534"/>
        <v>2024</v>
      </c>
      <c r="I6275" s="2" t="s">
        <v>4</v>
      </c>
      <c r="J6275" s="2" t="s">
        <v>6952</v>
      </c>
      <c r="K6275" s="2" t="s">
        <v>220</v>
      </c>
      <c r="L6275" s="2" t="s">
        <v>201</v>
      </c>
      <c r="M6275" s="2" t="s">
        <v>202</v>
      </c>
      <c r="N6275" s="4" t="str">
        <f t="shared" si="539"/>
        <v>GAL</v>
      </c>
      <c r="O6275" s="5">
        <v>250</v>
      </c>
    </row>
    <row r="6276" spans="2:15" x14ac:dyDescent="0.25">
      <c r="B6276" s="1" t="s">
        <v>1520</v>
      </c>
      <c r="C6276" s="2" t="s">
        <v>196</v>
      </c>
      <c r="D6276" s="2" t="s">
        <v>227</v>
      </c>
      <c r="E6276" s="2" t="s">
        <v>357</v>
      </c>
      <c r="F6276" s="3">
        <f t="shared" si="538"/>
        <v>45622</v>
      </c>
      <c r="G6276" s="4">
        <f t="shared" si="533"/>
        <v>11</v>
      </c>
      <c r="H6276" s="4">
        <f t="shared" si="534"/>
        <v>2024</v>
      </c>
      <c r="I6276" s="2" t="s">
        <v>4</v>
      </c>
      <c r="J6276" s="2" t="s">
        <v>6953</v>
      </c>
      <c r="K6276" s="2" t="s">
        <v>122</v>
      </c>
      <c r="L6276" s="2" t="s">
        <v>123</v>
      </c>
      <c r="M6276" s="2" t="s">
        <v>119</v>
      </c>
      <c r="N6276" s="4" t="str">
        <f t="shared" si="539"/>
        <v>TON</v>
      </c>
      <c r="O6276" s="5">
        <v>8.9525000000000006</v>
      </c>
    </row>
    <row r="6277" spans="2:15" x14ac:dyDescent="0.25">
      <c r="B6277" s="1" t="s">
        <v>1520</v>
      </c>
      <c r="C6277" s="2" t="s">
        <v>196</v>
      </c>
      <c r="D6277" s="2" t="s">
        <v>232</v>
      </c>
      <c r="E6277" s="2" t="s">
        <v>6657</v>
      </c>
      <c r="F6277" s="3">
        <f t="shared" si="538"/>
        <v>45622</v>
      </c>
      <c r="G6277" s="4">
        <f t="shared" si="533"/>
        <v>11</v>
      </c>
      <c r="H6277" s="4">
        <f t="shared" si="534"/>
        <v>2024</v>
      </c>
      <c r="I6277" s="2" t="s">
        <v>4</v>
      </c>
      <c r="J6277" s="2" t="s">
        <v>6954</v>
      </c>
      <c r="K6277" s="2" t="s">
        <v>205</v>
      </c>
      <c r="L6277" s="2" t="s">
        <v>206</v>
      </c>
      <c r="M6277" s="2" t="s">
        <v>119</v>
      </c>
      <c r="N6277" s="4" t="str">
        <f t="shared" si="539"/>
        <v>TON</v>
      </c>
      <c r="O6277" s="5">
        <v>15</v>
      </c>
    </row>
    <row r="6278" spans="2:15" x14ac:dyDescent="0.25">
      <c r="B6278" s="1" t="s">
        <v>1520</v>
      </c>
      <c r="C6278" s="2" t="s">
        <v>196</v>
      </c>
      <c r="D6278" s="2" t="s">
        <v>317</v>
      </c>
      <c r="E6278" s="2" t="s">
        <v>677</v>
      </c>
      <c r="F6278" s="3">
        <f t="shared" si="538"/>
        <v>45622</v>
      </c>
      <c r="G6278" s="4">
        <f t="shared" si="533"/>
        <v>11</v>
      </c>
      <c r="H6278" s="4">
        <f t="shared" si="534"/>
        <v>2024</v>
      </c>
      <c r="I6278" s="2" t="s">
        <v>4</v>
      </c>
      <c r="J6278" s="2" t="s">
        <v>6955</v>
      </c>
      <c r="K6278" s="2" t="s">
        <v>422</v>
      </c>
      <c r="L6278" s="2" t="s">
        <v>423</v>
      </c>
      <c r="M6278" s="2" t="s">
        <v>119</v>
      </c>
      <c r="N6278" s="4" t="str">
        <f t="shared" si="539"/>
        <v>TON</v>
      </c>
      <c r="O6278" s="5">
        <v>15.0025</v>
      </c>
    </row>
    <row r="6279" spans="2:15" x14ac:dyDescent="0.25">
      <c r="B6279" s="1" t="s">
        <v>1520</v>
      </c>
      <c r="C6279" s="2" t="s">
        <v>196</v>
      </c>
      <c r="D6279" s="2" t="s">
        <v>440</v>
      </c>
      <c r="E6279" s="2" t="s">
        <v>1274</v>
      </c>
      <c r="F6279" s="3">
        <f t="shared" si="538"/>
        <v>45622</v>
      </c>
      <c r="G6279" s="4">
        <f t="shared" si="533"/>
        <v>11</v>
      </c>
      <c r="H6279" s="4">
        <f t="shared" si="534"/>
        <v>2024</v>
      </c>
      <c r="I6279" s="2" t="s">
        <v>4</v>
      </c>
      <c r="J6279" s="2" t="s">
        <v>6956</v>
      </c>
      <c r="K6279" s="2" t="s">
        <v>390</v>
      </c>
      <c r="L6279" s="2" t="s">
        <v>391</v>
      </c>
      <c r="M6279" s="2" t="s">
        <v>119</v>
      </c>
      <c r="N6279" s="4" t="str">
        <f t="shared" si="539"/>
        <v>TON</v>
      </c>
      <c r="O6279" s="5">
        <v>5.13</v>
      </c>
    </row>
    <row r="6280" spans="2:15" x14ac:dyDescent="0.25">
      <c r="B6280" s="1" t="s">
        <v>1520</v>
      </c>
      <c r="C6280" s="2" t="s">
        <v>196</v>
      </c>
      <c r="D6280" s="2" t="s">
        <v>452</v>
      </c>
      <c r="E6280" s="2" t="s">
        <v>222</v>
      </c>
      <c r="F6280" s="3">
        <f t="shared" si="538"/>
        <v>45622</v>
      </c>
      <c r="G6280" s="4">
        <f t="shared" si="533"/>
        <v>11</v>
      </c>
      <c r="H6280" s="4">
        <f t="shared" si="534"/>
        <v>2024</v>
      </c>
      <c r="I6280" s="2" t="s">
        <v>4</v>
      </c>
      <c r="J6280" s="2" t="s">
        <v>6957</v>
      </c>
      <c r="K6280" s="2" t="s">
        <v>205</v>
      </c>
      <c r="L6280" s="2" t="s">
        <v>206</v>
      </c>
      <c r="M6280" s="2" t="s">
        <v>119</v>
      </c>
      <c r="N6280" s="4" t="str">
        <f t="shared" si="539"/>
        <v>TON</v>
      </c>
      <c r="O6280" s="5">
        <v>9.0124999999999993</v>
      </c>
    </row>
    <row r="6281" spans="2:15" x14ac:dyDescent="0.25">
      <c r="B6281" s="1" t="s">
        <v>1520</v>
      </c>
      <c r="C6281" s="2" t="s">
        <v>196</v>
      </c>
      <c r="D6281" s="2" t="s">
        <v>452</v>
      </c>
      <c r="E6281" s="2" t="s">
        <v>453</v>
      </c>
      <c r="F6281" s="3">
        <f t="shared" si="538"/>
        <v>45622</v>
      </c>
      <c r="G6281" s="4">
        <f t="shared" si="533"/>
        <v>11</v>
      </c>
      <c r="H6281" s="4">
        <f t="shared" si="534"/>
        <v>2024</v>
      </c>
      <c r="I6281" s="2" t="s">
        <v>4</v>
      </c>
      <c r="J6281" s="2" t="s">
        <v>6958</v>
      </c>
      <c r="K6281" s="2" t="s">
        <v>205</v>
      </c>
      <c r="L6281" s="2" t="s">
        <v>206</v>
      </c>
      <c r="M6281" s="2" t="s">
        <v>119</v>
      </c>
      <c r="N6281" s="4" t="str">
        <f t="shared" si="539"/>
        <v>TON</v>
      </c>
      <c r="O6281" s="5">
        <v>5.0175000000000001</v>
      </c>
    </row>
    <row r="6282" spans="2:15" x14ac:dyDescent="0.25">
      <c r="B6282" s="1" t="s">
        <v>1520</v>
      </c>
      <c r="C6282" s="2" t="s">
        <v>196</v>
      </c>
      <c r="D6282" s="2" t="s">
        <v>321</v>
      </c>
      <c r="E6282" s="2" t="s">
        <v>697</v>
      </c>
      <c r="F6282" s="3">
        <f t="shared" si="538"/>
        <v>45622</v>
      </c>
      <c r="G6282" s="4">
        <f t="shared" si="533"/>
        <v>11</v>
      </c>
      <c r="H6282" s="4">
        <f t="shared" si="534"/>
        <v>2024</v>
      </c>
      <c r="I6282" s="2" t="s">
        <v>4</v>
      </c>
      <c r="J6282" s="2" t="s">
        <v>6959</v>
      </c>
      <c r="K6282" s="2" t="s">
        <v>447</v>
      </c>
      <c r="L6282" s="2" t="s">
        <v>448</v>
      </c>
      <c r="M6282" s="2" t="s">
        <v>119</v>
      </c>
      <c r="N6282" s="4" t="str">
        <f t="shared" si="539"/>
        <v>TON</v>
      </c>
      <c r="O6282" s="5">
        <v>10.01</v>
      </c>
    </row>
    <row r="6283" spans="2:15" x14ac:dyDescent="0.25">
      <c r="B6283" s="1" t="s">
        <v>1520</v>
      </c>
      <c r="C6283" s="2" t="s">
        <v>196</v>
      </c>
      <c r="D6283" s="2" t="s">
        <v>232</v>
      </c>
      <c r="E6283" s="2" t="s">
        <v>233</v>
      </c>
      <c r="F6283" s="3">
        <f t="shared" si="538"/>
        <v>45622</v>
      </c>
      <c r="G6283" s="4">
        <f t="shared" si="533"/>
        <v>11</v>
      </c>
      <c r="H6283" s="4">
        <f t="shared" si="534"/>
        <v>2024</v>
      </c>
      <c r="I6283" s="2" t="s">
        <v>4</v>
      </c>
      <c r="J6283" s="2" t="s">
        <v>6960</v>
      </c>
      <c r="K6283" s="2" t="s">
        <v>205</v>
      </c>
      <c r="L6283" s="2" t="s">
        <v>206</v>
      </c>
      <c r="M6283" s="2" t="s">
        <v>119</v>
      </c>
      <c r="N6283" s="4" t="str">
        <f t="shared" si="539"/>
        <v>TON</v>
      </c>
      <c r="O6283" s="5">
        <v>5</v>
      </c>
    </row>
    <row r="6284" spans="2:15" x14ac:dyDescent="0.25">
      <c r="B6284" s="1" t="s">
        <v>1520</v>
      </c>
      <c r="C6284" s="2" t="s">
        <v>196</v>
      </c>
      <c r="D6284" s="2" t="s">
        <v>449</v>
      </c>
      <c r="E6284" s="2" t="s">
        <v>450</v>
      </c>
      <c r="F6284" s="3">
        <f t="shared" ref="F6284:F6301" si="540">DATE(2024,11,27)</f>
        <v>45623</v>
      </c>
      <c r="G6284" s="4">
        <f t="shared" si="533"/>
        <v>11</v>
      </c>
      <c r="H6284" s="4">
        <f t="shared" si="534"/>
        <v>2024</v>
      </c>
      <c r="I6284" s="2" t="s">
        <v>4</v>
      </c>
      <c r="J6284" s="2" t="s">
        <v>6961</v>
      </c>
      <c r="K6284" s="2" t="s">
        <v>329</v>
      </c>
      <c r="L6284" s="2" t="s">
        <v>330</v>
      </c>
      <c r="M6284" s="2" t="s">
        <v>119</v>
      </c>
      <c r="N6284" s="4" t="str">
        <f t="shared" si="539"/>
        <v>TON</v>
      </c>
      <c r="O6284" s="5">
        <v>7.51</v>
      </c>
    </row>
    <row r="6285" spans="2:15" x14ac:dyDescent="0.25">
      <c r="B6285" s="1" t="s">
        <v>1520</v>
      </c>
      <c r="C6285" s="2" t="s">
        <v>196</v>
      </c>
      <c r="D6285" s="2" t="s">
        <v>452</v>
      </c>
      <c r="E6285" s="2" t="s">
        <v>1338</v>
      </c>
      <c r="F6285" s="3">
        <f t="shared" si="540"/>
        <v>45623</v>
      </c>
      <c r="G6285" s="4">
        <f t="shared" si="533"/>
        <v>11</v>
      </c>
      <c r="H6285" s="4">
        <f t="shared" si="534"/>
        <v>2024</v>
      </c>
      <c r="I6285" s="2" t="s">
        <v>4</v>
      </c>
      <c r="J6285" s="2" t="s">
        <v>6962</v>
      </c>
      <c r="K6285" s="2" t="s">
        <v>447</v>
      </c>
      <c r="L6285" s="2" t="s">
        <v>448</v>
      </c>
      <c r="M6285" s="2" t="s">
        <v>119</v>
      </c>
      <c r="N6285" s="4" t="str">
        <f t="shared" si="539"/>
        <v>TON</v>
      </c>
      <c r="O6285" s="5">
        <v>4.0075000000000003</v>
      </c>
    </row>
    <row r="6286" spans="2:15" x14ac:dyDescent="0.25">
      <c r="B6286" s="1" t="s">
        <v>1520</v>
      </c>
      <c r="C6286" s="2" t="s">
        <v>196</v>
      </c>
      <c r="D6286" s="2" t="s">
        <v>374</v>
      </c>
      <c r="E6286" s="2" t="s">
        <v>424</v>
      </c>
      <c r="F6286" s="3">
        <f t="shared" si="540"/>
        <v>45623</v>
      </c>
      <c r="G6286" s="4">
        <f t="shared" si="533"/>
        <v>11</v>
      </c>
      <c r="H6286" s="4">
        <f t="shared" si="534"/>
        <v>2024</v>
      </c>
      <c r="I6286" s="2" t="s">
        <v>4</v>
      </c>
      <c r="J6286" s="2" t="s">
        <v>6963</v>
      </c>
      <c r="K6286" s="2" t="s">
        <v>329</v>
      </c>
      <c r="L6286" s="2" t="s">
        <v>330</v>
      </c>
      <c r="M6286" s="2" t="s">
        <v>119</v>
      </c>
      <c r="N6286" s="4" t="str">
        <f t="shared" si="539"/>
        <v>TON</v>
      </c>
      <c r="O6286" s="5">
        <v>2.5175000000000001</v>
      </c>
    </row>
    <row r="6287" spans="2:15" x14ac:dyDescent="0.25">
      <c r="B6287" s="1" t="s">
        <v>1520</v>
      </c>
      <c r="C6287" s="2" t="s">
        <v>196</v>
      </c>
      <c r="D6287" s="2" t="s">
        <v>114</v>
      </c>
      <c r="E6287" s="2" t="s">
        <v>336</v>
      </c>
      <c r="F6287" s="3">
        <f t="shared" si="540"/>
        <v>45623</v>
      </c>
      <c r="G6287" s="4">
        <f t="shared" si="533"/>
        <v>11</v>
      </c>
      <c r="H6287" s="4">
        <f t="shared" si="534"/>
        <v>2024</v>
      </c>
      <c r="I6287" s="2" t="s">
        <v>4</v>
      </c>
      <c r="J6287" s="2" t="s">
        <v>6964</v>
      </c>
      <c r="K6287" s="2" t="s">
        <v>422</v>
      </c>
      <c r="L6287" s="2" t="s">
        <v>423</v>
      </c>
      <c r="M6287" s="2" t="s">
        <v>119</v>
      </c>
      <c r="N6287" s="4" t="str">
        <f t="shared" si="539"/>
        <v>TON</v>
      </c>
      <c r="O6287" s="5">
        <v>4.26</v>
      </c>
    </row>
    <row r="6288" spans="2:15" x14ac:dyDescent="0.25">
      <c r="B6288" s="1" t="s">
        <v>1520</v>
      </c>
      <c r="C6288" s="2" t="s">
        <v>196</v>
      </c>
      <c r="D6288" s="2" t="s">
        <v>317</v>
      </c>
      <c r="E6288" s="2" t="s">
        <v>319</v>
      </c>
      <c r="F6288" s="3">
        <f t="shared" si="540"/>
        <v>45623</v>
      </c>
      <c r="G6288" s="4">
        <f t="shared" si="533"/>
        <v>11</v>
      </c>
      <c r="H6288" s="4">
        <f t="shared" si="534"/>
        <v>2024</v>
      </c>
      <c r="I6288" s="2" t="s">
        <v>4</v>
      </c>
      <c r="J6288" s="2" t="s">
        <v>6965</v>
      </c>
      <c r="K6288" s="2" t="s">
        <v>422</v>
      </c>
      <c r="L6288" s="2" t="s">
        <v>423</v>
      </c>
      <c r="M6288" s="2" t="s">
        <v>119</v>
      </c>
      <c r="N6288" s="4" t="str">
        <f t="shared" si="539"/>
        <v>TON</v>
      </c>
      <c r="O6288" s="5">
        <v>2.5099999999999998</v>
      </c>
    </row>
    <row r="6289" spans="2:15" x14ac:dyDescent="0.25">
      <c r="B6289" s="1" t="s">
        <v>1520</v>
      </c>
      <c r="C6289" s="2" t="s">
        <v>196</v>
      </c>
      <c r="D6289" s="2" t="s">
        <v>660</v>
      </c>
      <c r="E6289" s="2" t="s">
        <v>6966</v>
      </c>
      <c r="F6289" s="3">
        <f t="shared" si="540"/>
        <v>45623</v>
      </c>
      <c r="G6289" s="4">
        <f t="shared" si="533"/>
        <v>11</v>
      </c>
      <c r="H6289" s="4">
        <f t="shared" si="534"/>
        <v>2024</v>
      </c>
      <c r="I6289" s="2" t="s">
        <v>4</v>
      </c>
      <c r="J6289" s="2" t="s">
        <v>6967</v>
      </c>
      <c r="K6289" s="2" t="s">
        <v>205</v>
      </c>
      <c r="L6289" s="2" t="s">
        <v>206</v>
      </c>
      <c r="M6289" s="2" t="s">
        <v>119</v>
      </c>
      <c r="N6289" s="4" t="str">
        <f t="shared" si="539"/>
        <v>TON</v>
      </c>
      <c r="O6289" s="5">
        <v>5</v>
      </c>
    </row>
    <row r="6290" spans="2:15" x14ac:dyDescent="0.25">
      <c r="B6290" s="1" t="s">
        <v>1520</v>
      </c>
      <c r="C6290" s="2" t="s">
        <v>196</v>
      </c>
      <c r="D6290" s="2" t="s">
        <v>207</v>
      </c>
      <c r="E6290" s="2" t="s">
        <v>208</v>
      </c>
      <c r="F6290" s="3">
        <f t="shared" si="540"/>
        <v>45623</v>
      </c>
      <c r="G6290" s="4">
        <f t="shared" ref="G6290:G6353" si="541">+MONTH(F6290)</f>
        <v>11</v>
      </c>
      <c r="H6290" s="4">
        <f t="shared" ref="H6290:H6353" si="542">+YEAR(F6290)</f>
        <v>2024</v>
      </c>
      <c r="I6290" s="2" t="s">
        <v>4</v>
      </c>
      <c r="J6290" s="2" t="s">
        <v>6968</v>
      </c>
      <c r="K6290" s="2" t="s">
        <v>489</v>
      </c>
      <c r="L6290" s="2" t="s">
        <v>490</v>
      </c>
      <c r="M6290" s="2" t="s">
        <v>119</v>
      </c>
      <c r="N6290" s="4" t="str">
        <f t="shared" si="539"/>
        <v>TON</v>
      </c>
      <c r="O6290" s="5">
        <v>3.78</v>
      </c>
    </row>
    <row r="6291" spans="2:15" x14ac:dyDescent="0.25">
      <c r="B6291" s="1" t="s">
        <v>1520</v>
      </c>
      <c r="C6291" s="2" t="s">
        <v>196</v>
      </c>
      <c r="D6291" s="2" t="s">
        <v>4013</v>
      </c>
      <c r="E6291" s="2" t="s">
        <v>2868</v>
      </c>
      <c r="F6291" s="3">
        <f t="shared" si="540"/>
        <v>45623</v>
      </c>
      <c r="G6291" s="4">
        <f t="shared" si="541"/>
        <v>11</v>
      </c>
      <c r="H6291" s="4">
        <f t="shared" si="542"/>
        <v>2024</v>
      </c>
      <c r="I6291" s="2" t="s">
        <v>4</v>
      </c>
      <c r="J6291" s="2" t="s">
        <v>6969</v>
      </c>
      <c r="K6291" s="2" t="s">
        <v>205</v>
      </c>
      <c r="L6291" s="2" t="s">
        <v>206</v>
      </c>
      <c r="M6291" s="2" t="s">
        <v>119</v>
      </c>
      <c r="N6291" s="4" t="str">
        <f t="shared" si="539"/>
        <v>TON</v>
      </c>
      <c r="O6291" s="5">
        <v>1.25</v>
      </c>
    </row>
    <row r="6292" spans="2:15" x14ac:dyDescent="0.25">
      <c r="B6292" s="1" t="s">
        <v>1520</v>
      </c>
      <c r="C6292" s="2" t="s">
        <v>196</v>
      </c>
      <c r="D6292" s="2" t="s">
        <v>289</v>
      </c>
      <c r="E6292" s="2" t="s">
        <v>2380</v>
      </c>
      <c r="F6292" s="3">
        <f t="shared" si="540"/>
        <v>45623</v>
      </c>
      <c r="G6292" s="4">
        <f t="shared" si="541"/>
        <v>11</v>
      </c>
      <c r="H6292" s="4">
        <f t="shared" si="542"/>
        <v>2024</v>
      </c>
      <c r="I6292" s="2" t="s">
        <v>4</v>
      </c>
      <c r="J6292" s="2" t="s">
        <v>6970</v>
      </c>
      <c r="K6292" s="2" t="s">
        <v>292</v>
      </c>
      <c r="L6292" s="2" t="s">
        <v>293</v>
      </c>
      <c r="M6292" s="2" t="s">
        <v>119</v>
      </c>
      <c r="N6292" s="4" t="str">
        <f t="shared" si="539"/>
        <v>TON</v>
      </c>
      <c r="O6292" s="5">
        <v>1</v>
      </c>
    </row>
    <row r="6293" spans="2:15" x14ac:dyDescent="0.25">
      <c r="B6293" s="1" t="s">
        <v>1520</v>
      </c>
      <c r="C6293" s="2" t="s">
        <v>196</v>
      </c>
      <c r="D6293" s="2" t="s">
        <v>280</v>
      </c>
      <c r="E6293" s="2" t="s">
        <v>364</v>
      </c>
      <c r="F6293" s="3">
        <f t="shared" si="540"/>
        <v>45623</v>
      </c>
      <c r="G6293" s="4">
        <f t="shared" si="541"/>
        <v>11</v>
      </c>
      <c r="H6293" s="4">
        <f t="shared" si="542"/>
        <v>2024</v>
      </c>
      <c r="I6293" s="2" t="s">
        <v>4</v>
      </c>
      <c r="J6293" s="2" t="s">
        <v>6971</v>
      </c>
      <c r="K6293" s="2" t="s">
        <v>422</v>
      </c>
      <c r="L6293" s="2" t="s">
        <v>423</v>
      </c>
      <c r="M6293" s="2" t="s">
        <v>119</v>
      </c>
      <c r="N6293" s="4" t="str">
        <f t="shared" si="539"/>
        <v>TON</v>
      </c>
      <c r="O6293" s="5">
        <v>15.026999999999999</v>
      </c>
    </row>
    <row r="6294" spans="2:15" x14ac:dyDescent="0.25">
      <c r="B6294" s="1" t="s">
        <v>1520</v>
      </c>
      <c r="C6294" s="2" t="s">
        <v>196</v>
      </c>
      <c r="D6294" s="2" t="s">
        <v>1343</v>
      </c>
      <c r="E6294" s="2" t="s">
        <v>4151</v>
      </c>
      <c r="F6294" s="3">
        <f t="shared" si="540"/>
        <v>45623</v>
      </c>
      <c r="G6294" s="4">
        <f t="shared" si="541"/>
        <v>11</v>
      </c>
      <c r="H6294" s="4">
        <f t="shared" si="542"/>
        <v>2024</v>
      </c>
      <c r="I6294" s="2" t="s">
        <v>4</v>
      </c>
      <c r="J6294" s="2" t="s">
        <v>6972</v>
      </c>
      <c r="K6294" s="2" t="s">
        <v>3726</v>
      </c>
      <c r="L6294" s="2" t="s">
        <v>3727</v>
      </c>
      <c r="M6294" s="2" t="s">
        <v>145</v>
      </c>
      <c r="N6294" s="4" t="str">
        <f t="shared" si="539"/>
        <v>GAL</v>
      </c>
      <c r="O6294" s="5">
        <v>3.75</v>
      </c>
    </row>
    <row r="6295" spans="2:15" x14ac:dyDescent="0.25">
      <c r="B6295" s="1" t="s">
        <v>1520</v>
      </c>
      <c r="C6295" s="2" t="s">
        <v>196</v>
      </c>
      <c r="D6295" s="2" t="s">
        <v>1343</v>
      </c>
      <c r="E6295" s="2" t="s">
        <v>4151</v>
      </c>
      <c r="F6295" s="3">
        <f t="shared" si="540"/>
        <v>45623</v>
      </c>
      <c r="G6295" s="4">
        <f t="shared" si="541"/>
        <v>11</v>
      </c>
      <c r="H6295" s="4">
        <f t="shared" si="542"/>
        <v>2024</v>
      </c>
      <c r="I6295" s="2" t="s">
        <v>4</v>
      </c>
      <c r="J6295" s="2" t="s">
        <v>6972</v>
      </c>
      <c r="K6295" s="2" t="s">
        <v>390</v>
      </c>
      <c r="L6295" s="2" t="s">
        <v>391</v>
      </c>
      <c r="M6295" s="2" t="s">
        <v>119</v>
      </c>
      <c r="N6295" s="4" t="str">
        <f t="shared" si="539"/>
        <v>TON</v>
      </c>
      <c r="O6295" s="5">
        <v>10.035</v>
      </c>
    </row>
    <row r="6296" spans="2:15" x14ac:dyDescent="0.25">
      <c r="B6296" s="1" t="s">
        <v>1520</v>
      </c>
      <c r="C6296" s="2" t="s">
        <v>196</v>
      </c>
      <c r="D6296" s="2" t="s">
        <v>265</v>
      </c>
      <c r="E6296" s="2" t="s">
        <v>266</v>
      </c>
      <c r="F6296" s="3">
        <f t="shared" si="540"/>
        <v>45623</v>
      </c>
      <c r="G6296" s="4">
        <f t="shared" si="541"/>
        <v>11</v>
      </c>
      <c r="H6296" s="4">
        <f t="shared" si="542"/>
        <v>2024</v>
      </c>
      <c r="I6296" s="2" t="s">
        <v>4</v>
      </c>
      <c r="J6296" s="2" t="s">
        <v>6973</v>
      </c>
      <c r="K6296" s="2" t="s">
        <v>268</v>
      </c>
      <c r="L6296" s="2" t="s">
        <v>269</v>
      </c>
      <c r="M6296" s="2" t="s">
        <v>119</v>
      </c>
      <c r="N6296" s="4" t="str">
        <f t="shared" si="539"/>
        <v>TON</v>
      </c>
      <c r="O6296" s="5">
        <v>0.3</v>
      </c>
    </row>
    <row r="6297" spans="2:15" x14ac:dyDescent="0.25">
      <c r="B6297" s="1" t="s">
        <v>1520</v>
      </c>
      <c r="C6297" s="2" t="s">
        <v>196</v>
      </c>
      <c r="D6297" s="2" t="s">
        <v>1343</v>
      </c>
      <c r="E6297" s="2" t="s">
        <v>3724</v>
      </c>
      <c r="F6297" s="3">
        <f t="shared" si="540"/>
        <v>45623</v>
      </c>
      <c r="G6297" s="4">
        <f t="shared" si="541"/>
        <v>11</v>
      </c>
      <c r="H6297" s="4">
        <f t="shared" si="542"/>
        <v>2024</v>
      </c>
      <c r="I6297" s="2" t="s">
        <v>4</v>
      </c>
      <c r="J6297" s="2" t="s">
        <v>6974</v>
      </c>
      <c r="K6297" s="2" t="s">
        <v>3726</v>
      </c>
      <c r="L6297" s="2" t="s">
        <v>3727</v>
      </c>
      <c r="M6297" s="2" t="s">
        <v>145</v>
      </c>
      <c r="N6297" s="4" t="str">
        <f t="shared" si="539"/>
        <v>GAL</v>
      </c>
      <c r="O6297" s="5">
        <v>5.625</v>
      </c>
    </row>
    <row r="6298" spans="2:15" x14ac:dyDescent="0.25">
      <c r="B6298" s="1" t="s">
        <v>1520</v>
      </c>
      <c r="C6298" s="2" t="s">
        <v>196</v>
      </c>
      <c r="D6298" s="2" t="s">
        <v>1343</v>
      </c>
      <c r="E6298" s="2" t="s">
        <v>3724</v>
      </c>
      <c r="F6298" s="3">
        <f t="shared" si="540"/>
        <v>45623</v>
      </c>
      <c r="G6298" s="4">
        <f t="shared" si="541"/>
        <v>11</v>
      </c>
      <c r="H6298" s="4">
        <f t="shared" si="542"/>
        <v>2024</v>
      </c>
      <c r="I6298" s="2" t="s">
        <v>4</v>
      </c>
      <c r="J6298" s="2" t="s">
        <v>6974</v>
      </c>
      <c r="K6298" s="2" t="s">
        <v>390</v>
      </c>
      <c r="L6298" s="2" t="s">
        <v>391</v>
      </c>
      <c r="M6298" s="2" t="s">
        <v>119</v>
      </c>
      <c r="N6298" s="4" t="str">
        <f t="shared" si="539"/>
        <v>TON</v>
      </c>
      <c r="O6298" s="5">
        <v>15.032500000000001</v>
      </c>
    </row>
    <row r="6299" spans="2:15" x14ac:dyDescent="0.25">
      <c r="B6299" s="1" t="s">
        <v>1520</v>
      </c>
      <c r="C6299" s="2" t="s">
        <v>196</v>
      </c>
      <c r="D6299" s="2" t="s">
        <v>270</v>
      </c>
      <c r="E6299" s="2" t="s">
        <v>400</v>
      </c>
      <c r="F6299" s="3">
        <f t="shared" si="540"/>
        <v>45623</v>
      </c>
      <c r="G6299" s="4">
        <f t="shared" si="541"/>
        <v>11</v>
      </c>
      <c r="H6299" s="4">
        <f t="shared" si="542"/>
        <v>2024</v>
      </c>
      <c r="I6299" s="2" t="s">
        <v>4</v>
      </c>
      <c r="J6299" s="2" t="s">
        <v>6975</v>
      </c>
      <c r="K6299" s="2" t="s">
        <v>329</v>
      </c>
      <c r="L6299" s="2" t="s">
        <v>330</v>
      </c>
      <c r="M6299" s="2" t="s">
        <v>119</v>
      </c>
      <c r="N6299" s="4" t="str">
        <f t="shared" si="539"/>
        <v>TON</v>
      </c>
      <c r="O6299" s="5">
        <v>4.25</v>
      </c>
    </row>
    <row r="6300" spans="2:15" x14ac:dyDescent="0.25">
      <c r="B6300" s="1" t="s">
        <v>1520</v>
      </c>
      <c r="C6300" s="2" t="s">
        <v>196</v>
      </c>
      <c r="D6300" s="2" t="s">
        <v>224</v>
      </c>
      <c r="E6300" s="2" t="s">
        <v>361</v>
      </c>
      <c r="F6300" s="3">
        <f t="shared" si="540"/>
        <v>45623</v>
      </c>
      <c r="G6300" s="4">
        <f t="shared" si="541"/>
        <v>11</v>
      </c>
      <c r="H6300" s="4">
        <f t="shared" si="542"/>
        <v>2024</v>
      </c>
      <c r="I6300" s="2" t="s">
        <v>4</v>
      </c>
      <c r="J6300" s="2" t="s">
        <v>6976</v>
      </c>
      <c r="K6300" s="2" t="s">
        <v>205</v>
      </c>
      <c r="L6300" s="2" t="s">
        <v>206</v>
      </c>
      <c r="M6300" s="2" t="s">
        <v>119</v>
      </c>
      <c r="N6300" s="4" t="str">
        <f t="shared" si="539"/>
        <v>TON</v>
      </c>
      <c r="O6300" s="5">
        <v>5.0175000000000001</v>
      </c>
    </row>
    <row r="6301" spans="2:15" x14ac:dyDescent="0.25">
      <c r="B6301" s="6" t="s">
        <v>1520</v>
      </c>
      <c r="C6301" s="7" t="s">
        <v>196</v>
      </c>
      <c r="D6301" s="8" t="s">
        <v>679</v>
      </c>
      <c r="E6301" s="8" t="s">
        <v>680</v>
      </c>
      <c r="F6301" s="9">
        <f t="shared" si="540"/>
        <v>45623</v>
      </c>
      <c r="G6301" s="10">
        <f t="shared" si="541"/>
        <v>11</v>
      </c>
      <c r="H6301" s="10">
        <f t="shared" si="542"/>
        <v>2024</v>
      </c>
      <c r="I6301" s="8" t="s">
        <v>4</v>
      </c>
      <c r="J6301" s="7" t="s">
        <v>6977</v>
      </c>
      <c r="K6301" s="8" t="s">
        <v>329</v>
      </c>
      <c r="L6301" s="8" t="s">
        <v>330</v>
      </c>
      <c r="M6301" s="8" t="s">
        <v>119</v>
      </c>
      <c r="N6301" s="10" t="str">
        <f t="shared" si="539"/>
        <v>TON</v>
      </c>
      <c r="O6301" s="11">
        <v>3.0024999999999999</v>
      </c>
    </row>
    <row r="6302" spans="2:15" x14ac:dyDescent="0.25">
      <c r="B6302" s="1" t="s">
        <v>382</v>
      </c>
      <c r="C6302" s="2" t="s">
        <v>506</v>
      </c>
      <c r="D6302" s="2" t="s">
        <v>515</v>
      </c>
      <c r="E6302" s="2" t="s">
        <v>516</v>
      </c>
      <c r="F6302" s="3">
        <f>DATE(2024,11,8)</f>
        <v>45604</v>
      </c>
      <c r="G6302" s="4">
        <f t="shared" si="541"/>
        <v>11</v>
      </c>
      <c r="H6302" s="4">
        <f t="shared" si="542"/>
        <v>2024</v>
      </c>
      <c r="I6302" s="2" t="s">
        <v>4</v>
      </c>
      <c r="J6302" s="2" t="s">
        <v>6978</v>
      </c>
      <c r="K6302" s="2" t="s">
        <v>1014</v>
      </c>
      <c r="L6302" s="2" t="s">
        <v>472</v>
      </c>
      <c r="M6302" s="2" t="s">
        <v>473</v>
      </c>
      <c r="N6302" s="4" t="str">
        <f t="shared" si="539"/>
        <v>GAL</v>
      </c>
      <c r="O6302" s="5">
        <v>180</v>
      </c>
    </row>
    <row r="6303" spans="2:15" x14ac:dyDescent="0.25">
      <c r="B6303" s="1" t="s">
        <v>382</v>
      </c>
      <c r="C6303" s="2" t="s">
        <v>506</v>
      </c>
      <c r="D6303" s="2" t="s">
        <v>515</v>
      </c>
      <c r="E6303" s="2" t="s">
        <v>516</v>
      </c>
      <c r="F6303" s="3">
        <f>DATE(2024,11,8)</f>
        <v>45604</v>
      </c>
      <c r="G6303" s="4">
        <f t="shared" si="541"/>
        <v>11</v>
      </c>
      <c r="H6303" s="4">
        <f t="shared" si="542"/>
        <v>2024</v>
      </c>
      <c r="I6303" s="2" t="s">
        <v>4</v>
      </c>
      <c r="J6303" s="2" t="s">
        <v>6978</v>
      </c>
      <c r="K6303" s="2" t="s">
        <v>609</v>
      </c>
      <c r="L6303" s="2" t="s">
        <v>610</v>
      </c>
      <c r="M6303" s="2" t="s">
        <v>611</v>
      </c>
      <c r="N6303" s="4" t="str">
        <f t="shared" si="539"/>
        <v>GAL</v>
      </c>
      <c r="O6303" s="5">
        <v>60</v>
      </c>
    </row>
    <row r="6304" spans="2:15" x14ac:dyDescent="0.25">
      <c r="B6304" s="1" t="s">
        <v>382</v>
      </c>
      <c r="C6304" s="2" t="s">
        <v>506</v>
      </c>
      <c r="D6304" s="2" t="s">
        <v>515</v>
      </c>
      <c r="E6304" s="2" t="s">
        <v>516</v>
      </c>
      <c r="F6304" s="3">
        <f>DATE(2024,11,8)</f>
        <v>45604</v>
      </c>
      <c r="G6304" s="4">
        <f t="shared" si="541"/>
        <v>11</v>
      </c>
      <c r="H6304" s="4">
        <f t="shared" si="542"/>
        <v>2024</v>
      </c>
      <c r="I6304" s="2" t="s">
        <v>4</v>
      </c>
      <c r="J6304" s="2" t="s">
        <v>6978</v>
      </c>
      <c r="K6304" s="2" t="s">
        <v>1470</v>
      </c>
      <c r="L6304" s="2" t="s">
        <v>1471</v>
      </c>
      <c r="M6304" s="2" t="s">
        <v>1472</v>
      </c>
      <c r="N6304" s="4" t="str">
        <f t="shared" si="539"/>
        <v>GAL</v>
      </c>
      <c r="O6304" s="5">
        <v>30</v>
      </c>
    </row>
    <row r="6305" spans="2:15" x14ac:dyDescent="0.25">
      <c r="B6305" s="1" t="s">
        <v>382</v>
      </c>
      <c r="C6305" s="2" t="s">
        <v>506</v>
      </c>
      <c r="D6305" s="2" t="s">
        <v>1006</v>
      </c>
      <c r="E6305" s="2" t="s">
        <v>1007</v>
      </c>
      <c r="F6305" s="3">
        <f>DATE(2024,11,12)</f>
        <v>45608</v>
      </c>
      <c r="G6305" s="4">
        <f t="shared" si="541"/>
        <v>11</v>
      </c>
      <c r="H6305" s="4">
        <f t="shared" si="542"/>
        <v>2024</v>
      </c>
      <c r="I6305" s="2" t="s">
        <v>4</v>
      </c>
      <c r="J6305" s="2" t="s">
        <v>6979</v>
      </c>
      <c r="K6305" s="2" t="s">
        <v>642</v>
      </c>
      <c r="L6305" s="2" t="s">
        <v>111</v>
      </c>
      <c r="M6305" s="2" t="s">
        <v>112</v>
      </c>
      <c r="N6305" s="4" t="str">
        <f t="shared" si="539"/>
        <v>GAL</v>
      </c>
      <c r="O6305" s="5">
        <v>180</v>
      </c>
    </row>
    <row r="6306" spans="2:15" x14ac:dyDescent="0.25">
      <c r="B6306" s="1" t="s">
        <v>645</v>
      </c>
      <c r="C6306" s="2" t="s">
        <v>1025</v>
      </c>
      <c r="D6306" s="2" t="s">
        <v>1401</v>
      </c>
      <c r="E6306" s="2" t="s">
        <v>1402</v>
      </c>
      <c r="F6306" s="3">
        <f>DATE(2024,11,8)</f>
        <v>45604</v>
      </c>
      <c r="G6306" s="4">
        <f t="shared" si="541"/>
        <v>11</v>
      </c>
      <c r="H6306" s="4">
        <f t="shared" si="542"/>
        <v>2024</v>
      </c>
      <c r="I6306" s="2" t="s">
        <v>4</v>
      </c>
      <c r="J6306" s="2" t="s">
        <v>6980</v>
      </c>
      <c r="K6306" s="2" t="s">
        <v>1404</v>
      </c>
      <c r="L6306" s="2" t="s">
        <v>1405</v>
      </c>
      <c r="M6306" s="2" t="s">
        <v>1397</v>
      </c>
      <c r="N6306" s="4" t="str">
        <f t="shared" si="539"/>
        <v>GAL</v>
      </c>
      <c r="O6306" s="5">
        <v>480</v>
      </c>
    </row>
    <row r="6307" spans="2:15" x14ac:dyDescent="0.25">
      <c r="B6307" s="1" t="s">
        <v>1410</v>
      </c>
      <c r="C6307" s="2" t="s">
        <v>525</v>
      </c>
      <c r="D6307" s="2" t="s">
        <v>124</v>
      </c>
      <c r="E6307" s="2" t="s">
        <v>526</v>
      </c>
      <c r="F6307" s="3">
        <f>DATE(2024,11,4)</f>
        <v>45600</v>
      </c>
      <c r="G6307" s="4">
        <f t="shared" si="541"/>
        <v>11</v>
      </c>
      <c r="H6307" s="4">
        <f t="shared" si="542"/>
        <v>2024</v>
      </c>
      <c r="I6307" s="2" t="s">
        <v>4</v>
      </c>
      <c r="J6307" s="2" t="s">
        <v>6981</v>
      </c>
      <c r="K6307" s="2" t="s">
        <v>4788</v>
      </c>
      <c r="L6307" s="2" t="s">
        <v>4789</v>
      </c>
      <c r="M6307" s="2" t="s">
        <v>119</v>
      </c>
      <c r="N6307" s="4" t="str">
        <f t="shared" si="539"/>
        <v>TON</v>
      </c>
      <c r="O6307" s="5">
        <v>11.9825</v>
      </c>
    </row>
    <row r="6308" spans="2:15" x14ac:dyDescent="0.25">
      <c r="B6308" s="1" t="s">
        <v>1410</v>
      </c>
      <c r="C6308" s="2" t="s">
        <v>525</v>
      </c>
      <c r="D6308" s="2" t="s">
        <v>507</v>
      </c>
      <c r="E6308" s="2" t="s">
        <v>508</v>
      </c>
      <c r="F6308" s="3">
        <f>DATE(2024,11,6)</f>
        <v>45602</v>
      </c>
      <c r="G6308" s="4">
        <f t="shared" si="541"/>
        <v>11</v>
      </c>
      <c r="H6308" s="4">
        <f t="shared" si="542"/>
        <v>2024</v>
      </c>
      <c r="I6308" s="2" t="s">
        <v>4</v>
      </c>
      <c r="J6308" s="2" t="s">
        <v>6982</v>
      </c>
      <c r="K6308" s="2" t="s">
        <v>609</v>
      </c>
      <c r="L6308" s="2" t="s">
        <v>610</v>
      </c>
      <c r="M6308" s="2" t="s">
        <v>611</v>
      </c>
      <c r="N6308" s="4" t="str">
        <f t="shared" si="539"/>
        <v>GAL</v>
      </c>
      <c r="O6308" s="5">
        <v>90</v>
      </c>
    </row>
    <row r="6309" spans="2:15" x14ac:dyDescent="0.25">
      <c r="B6309" s="1" t="s">
        <v>1410</v>
      </c>
      <c r="C6309" s="2" t="s">
        <v>525</v>
      </c>
      <c r="D6309" s="2" t="s">
        <v>507</v>
      </c>
      <c r="E6309" s="2" t="s">
        <v>508</v>
      </c>
      <c r="F6309" s="3">
        <f>DATE(2024,11,6)</f>
        <v>45602</v>
      </c>
      <c r="G6309" s="4">
        <f t="shared" si="541"/>
        <v>11</v>
      </c>
      <c r="H6309" s="4">
        <f t="shared" si="542"/>
        <v>2024</v>
      </c>
      <c r="I6309" s="2" t="s">
        <v>4</v>
      </c>
      <c r="J6309" s="2" t="s">
        <v>6982</v>
      </c>
      <c r="K6309" s="2" t="s">
        <v>158</v>
      </c>
      <c r="L6309" s="2" t="s">
        <v>159</v>
      </c>
      <c r="M6309" s="2" t="s">
        <v>160</v>
      </c>
      <c r="N6309" s="4" t="str">
        <f t="shared" si="539"/>
        <v>GAL</v>
      </c>
      <c r="O6309" s="5">
        <v>180</v>
      </c>
    </row>
    <row r="6310" spans="2:15" x14ac:dyDescent="0.25">
      <c r="B6310" s="1" t="s">
        <v>1410</v>
      </c>
      <c r="C6310" s="2" t="s">
        <v>525</v>
      </c>
      <c r="D6310" s="2" t="s">
        <v>628</v>
      </c>
      <c r="E6310" s="2" t="s">
        <v>1036</v>
      </c>
      <c r="F6310" s="3">
        <f>DATE(2024,11,12)</f>
        <v>45608</v>
      </c>
      <c r="G6310" s="4">
        <f t="shared" si="541"/>
        <v>11</v>
      </c>
      <c r="H6310" s="4">
        <f t="shared" si="542"/>
        <v>2024</v>
      </c>
      <c r="I6310" s="2" t="s">
        <v>4</v>
      </c>
      <c r="J6310" s="2" t="s">
        <v>6983</v>
      </c>
      <c r="K6310" s="2" t="s">
        <v>447</v>
      </c>
      <c r="L6310" s="2" t="s">
        <v>448</v>
      </c>
      <c r="M6310" s="2" t="s">
        <v>119</v>
      </c>
      <c r="N6310" s="4" t="str">
        <f t="shared" si="539"/>
        <v>TON</v>
      </c>
      <c r="O6310" s="5">
        <v>1.3025</v>
      </c>
    </row>
    <row r="6311" spans="2:15" x14ac:dyDescent="0.25">
      <c r="B6311" s="1" t="s">
        <v>1410</v>
      </c>
      <c r="C6311" s="2" t="s">
        <v>525</v>
      </c>
      <c r="D6311" s="2" t="s">
        <v>628</v>
      </c>
      <c r="E6311" s="2" t="s">
        <v>1036</v>
      </c>
      <c r="F6311" s="3">
        <f>DATE(2024,11,12)</f>
        <v>45608</v>
      </c>
      <c r="G6311" s="4">
        <f t="shared" si="541"/>
        <v>11</v>
      </c>
      <c r="H6311" s="4">
        <f t="shared" si="542"/>
        <v>2024</v>
      </c>
      <c r="I6311" s="2" t="s">
        <v>4</v>
      </c>
      <c r="J6311" s="2" t="s">
        <v>6984</v>
      </c>
      <c r="K6311" s="2" t="s">
        <v>422</v>
      </c>
      <c r="L6311" s="2" t="s">
        <v>423</v>
      </c>
      <c r="M6311" s="2" t="s">
        <v>119</v>
      </c>
      <c r="N6311" s="4" t="str">
        <f t="shared" si="539"/>
        <v>TON</v>
      </c>
      <c r="O6311" s="5">
        <v>1.2524999999999999</v>
      </c>
    </row>
    <row r="6312" spans="2:15" x14ac:dyDescent="0.25">
      <c r="B6312" s="1" t="s">
        <v>1410</v>
      </c>
      <c r="C6312" s="2" t="s">
        <v>525</v>
      </c>
      <c r="D6312" s="2" t="s">
        <v>646</v>
      </c>
      <c r="E6312" s="2" t="s">
        <v>647</v>
      </c>
      <c r="F6312" s="3">
        <f>DATE(2024,11,15)</f>
        <v>45611</v>
      </c>
      <c r="G6312" s="4">
        <f t="shared" si="541"/>
        <v>11</v>
      </c>
      <c r="H6312" s="4">
        <f t="shared" si="542"/>
        <v>2024</v>
      </c>
      <c r="I6312" s="2" t="s">
        <v>4</v>
      </c>
      <c r="J6312" s="2" t="s">
        <v>6985</v>
      </c>
      <c r="K6312" s="2" t="s">
        <v>649</v>
      </c>
      <c r="L6312" s="2" t="s">
        <v>538</v>
      </c>
      <c r="M6312" s="2" t="s">
        <v>4243</v>
      </c>
      <c r="N6312" s="4" t="str">
        <f t="shared" si="539"/>
        <v>GAL</v>
      </c>
      <c r="O6312" s="5">
        <v>1500</v>
      </c>
    </row>
    <row r="6313" spans="2:15" x14ac:dyDescent="0.25">
      <c r="B6313" s="1" t="s">
        <v>1410</v>
      </c>
      <c r="C6313" s="2" t="s">
        <v>525</v>
      </c>
      <c r="D6313" s="2" t="s">
        <v>1956</v>
      </c>
      <c r="E6313" s="2" t="s">
        <v>102</v>
      </c>
      <c r="F6313" s="3">
        <f>DATE(2024,11,20)</f>
        <v>45616</v>
      </c>
      <c r="G6313" s="4">
        <f t="shared" si="541"/>
        <v>11</v>
      </c>
      <c r="H6313" s="4">
        <f t="shared" si="542"/>
        <v>2024</v>
      </c>
      <c r="I6313" s="2" t="s">
        <v>4</v>
      </c>
      <c r="J6313" s="2" t="s">
        <v>6986</v>
      </c>
      <c r="K6313" s="2" t="s">
        <v>122</v>
      </c>
      <c r="L6313" s="2" t="s">
        <v>123</v>
      </c>
      <c r="M6313" s="2" t="s">
        <v>119</v>
      </c>
      <c r="N6313" s="4" t="str">
        <f t="shared" si="539"/>
        <v>TON</v>
      </c>
      <c r="O6313" s="5">
        <v>0.15</v>
      </c>
    </row>
    <row r="6314" spans="2:15" x14ac:dyDescent="0.25">
      <c r="B6314" s="1" t="s">
        <v>1410</v>
      </c>
      <c r="C6314" s="2" t="s">
        <v>525</v>
      </c>
      <c r="D6314" s="2" t="s">
        <v>628</v>
      </c>
      <c r="E6314" s="2" t="s">
        <v>1036</v>
      </c>
      <c r="F6314" s="3">
        <f>DATE(2024,11,21)</f>
        <v>45617</v>
      </c>
      <c r="G6314" s="4">
        <f t="shared" si="541"/>
        <v>11</v>
      </c>
      <c r="H6314" s="4">
        <f t="shared" si="542"/>
        <v>2024</v>
      </c>
      <c r="I6314" s="2" t="s">
        <v>4</v>
      </c>
      <c r="J6314" s="2" t="s">
        <v>6987</v>
      </c>
      <c r="K6314" s="2" t="s">
        <v>158</v>
      </c>
      <c r="L6314" s="2" t="s">
        <v>159</v>
      </c>
      <c r="M6314" s="2" t="s">
        <v>160</v>
      </c>
      <c r="N6314" s="4" t="str">
        <f t="shared" si="539"/>
        <v>GAL</v>
      </c>
      <c r="O6314" s="5">
        <v>360</v>
      </c>
    </row>
    <row r="6315" spans="2:15" x14ac:dyDescent="0.25">
      <c r="B6315" s="1" t="s">
        <v>1410</v>
      </c>
      <c r="C6315" s="2" t="s">
        <v>525</v>
      </c>
      <c r="D6315" s="2" t="s">
        <v>507</v>
      </c>
      <c r="E6315" s="2" t="s">
        <v>508</v>
      </c>
      <c r="F6315" s="3">
        <f>DATE(2024,11,21)</f>
        <v>45617</v>
      </c>
      <c r="G6315" s="4">
        <f t="shared" si="541"/>
        <v>11</v>
      </c>
      <c r="H6315" s="4">
        <f t="shared" si="542"/>
        <v>2024</v>
      </c>
      <c r="I6315" s="2" t="s">
        <v>4</v>
      </c>
      <c r="J6315" s="2" t="s">
        <v>6988</v>
      </c>
      <c r="K6315" s="2" t="s">
        <v>329</v>
      </c>
      <c r="L6315" s="2" t="s">
        <v>330</v>
      </c>
      <c r="M6315" s="2" t="s">
        <v>119</v>
      </c>
      <c r="N6315" s="4" t="str">
        <f t="shared" si="539"/>
        <v>TON</v>
      </c>
      <c r="O6315" s="5">
        <v>5.0125000000000002</v>
      </c>
    </row>
    <row r="6316" spans="2:15" x14ac:dyDescent="0.25">
      <c r="B6316" s="1" t="s">
        <v>1410</v>
      </c>
      <c r="C6316" s="2" t="s">
        <v>525</v>
      </c>
      <c r="D6316" s="2" t="s">
        <v>646</v>
      </c>
      <c r="E6316" s="2" t="s">
        <v>647</v>
      </c>
      <c r="F6316" s="3">
        <f>DATE(2024,11,21)</f>
        <v>45617</v>
      </c>
      <c r="G6316" s="4">
        <f t="shared" si="541"/>
        <v>11</v>
      </c>
      <c r="H6316" s="4">
        <f t="shared" si="542"/>
        <v>2024</v>
      </c>
      <c r="I6316" s="2" t="s">
        <v>4</v>
      </c>
      <c r="J6316" s="2" t="s">
        <v>6989</v>
      </c>
      <c r="K6316" s="2" t="s">
        <v>649</v>
      </c>
      <c r="L6316" s="2" t="s">
        <v>538</v>
      </c>
      <c r="M6316" s="2" t="s">
        <v>4243</v>
      </c>
      <c r="N6316" s="4" t="str">
        <f t="shared" si="539"/>
        <v>GAL</v>
      </c>
      <c r="O6316" s="5">
        <v>1250</v>
      </c>
    </row>
    <row r="6317" spans="2:15" x14ac:dyDescent="0.25">
      <c r="B6317" s="1" t="s">
        <v>1410</v>
      </c>
      <c r="C6317" s="2" t="s">
        <v>525</v>
      </c>
      <c r="D6317" s="2" t="s">
        <v>507</v>
      </c>
      <c r="E6317" s="2" t="s">
        <v>508</v>
      </c>
      <c r="F6317" s="3">
        <f>DATE(2024,11,27)</f>
        <v>45623</v>
      </c>
      <c r="G6317" s="4">
        <f t="shared" si="541"/>
        <v>11</v>
      </c>
      <c r="H6317" s="4">
        <f t="shared" si="542"/>
        <v>2024</v>
      </c>
      <c r="I6317" s="2" t="s">
        <v>4</v>
      </c>
      <c r="J6317" s="2" t="s">
        <v>6990</v>
      </c>
      <c r="K6317" s="2" t="s">
        <v>220</v>
      </c>
      <c r="L6317" s="2" t="s">
        <v>201</v>
      </c>
      <c r="M6317" s="2" t="s">
        <v>202</v>
      </c>
      <c r="N6317" s="4" t="str">
        <f t="shared" si="539"/>
        <v>GAL</v>
      </c>
      <c r="O6317" s="5">
        <v>500</v>
      </c>
    </row>
    <row r="6318" spans="2:15" x14ac:dyDescent="0.25">
      <c r="B6318" s="1" t="s">
        <v>645</v>
      </c>
      <c r="C6318" s="2" t="s">
        <v>533</v>
      </c>
      <c r="D6318" s="2" t="s">
        <v>562</v>
      </c>
      <c r="E6318" s="2" t="s">
        <v>563</v>
      </c>
      <c r="F6318" s="3">
        <f>DATE(2024,11,15)</f>
        <v>45611</v>
      </c>
      <c r="G6318" s="4">
        <f t="shared" si="541"/>
        <v>11</v>
      </c>
      <c r="H6318" s="4">
        <f t="shared" si="542"/>
        <v>2024</v>
      </c>
      <c r="I6318" s="2" t="s">
        <v>4</v>
      </c>
      <c r="J6318" s="2" t="s">
        <v>6991</v>
      </c>
      <c r="K6318" s="2" t="s">
        <v>2120</v>
      </c>
      <c r="L6318" s="2" t="s">
        <v>2121</v>
      </c>
      <c r="M6318" s="2" t="s">
        <v>85</v>
      </c>
      <c r="N6318" s="4" t="str">
        <f t="shared" si="539"/>
        <v>GAL</v>
      </c>
      <c r="O6318" s="5">
        <v>60</v>
      </c>
    </row>
    <row r="6319" spans="2:15" x14ac:dyDescent="0.25">
      <c r="B6319" s="1" t="s">
        <v>645</v>
      </c>
      <c r="C6319" s="2" t="s">
        <v>533</v>
      </c>
      <c r="D6319" s="2" t="s">
        <v>562</v>
      </c>
      <c r="E6319" s="2" t="s">
        <v>563</v>
      </c>
      <c r="F6319" s="3">
        <f>DATE(2024,11,15)</f>
        <v>45611</v>
      </c>
      <c r="G6319" s="4">
        <f t="shared" si="541"/>
        <v>11</v>
      </c>
      <c r="H6319" s="4">
        <f t="shared" si="542"/>
        <v>2024</v>
      </c>
      <c r="I6319" s="2" t="s">
        <v>4</v>
      </c>
      <c r="J6319" s="2" t="s">
        <v>6991</v>
      </c>
      <c r="K6319" s="2" t="s">
        <v>822</v>
      </c>
      <c r="L6319" s="2" t="s">
        <v>565</v>
      </c>
      <c r="M6319" s="2" t="s">
        <v>21</v>
      </c>
      <c r="N6319" s="4" t="str">
        <f t="shared" si="539"/>
        <v>GAL</v>
      </c>
      <c r="O6319" s="5">
        <v>500</v>
      </c>
    </row>
    <row r="6320" spans="2:15" x14ac:dyDescent="0.25">
      <c r="B6320" s="1" t="s">
        <v>645</v>
      </c>
      <c r="C6320" s="2" t="s">
        <v>533</v>
      </c>
      <c r="D6320" s="2" t="s">
        <v>562</v>
      </c>
      <c r="E6320" s="2" t="s">
        <v>563</v>
      </c>
      <c r="F6320" s="3">
        <f>DATE(2024,11,15)</f>
        <v>45611</v>
      </c>
      <c r="G6320" s="4">
        <f t="shared" si="541"/>
        <v>11</v>
      </c>
      <c r="H6320" s="4">
        <f t="shared" si="542"/>
        <v>2024</v>
      </c>
      <c r="I6320" s="2" t="s">
        <v>4</v>
      </c>
      <c r="J6320" s="2" t="s">
        <v>6991</v>
      </c>
      <c r="K6320" s="2" t="s">
        <v>19</v>
      </c>
      <c r="L6320" s="2" t="s">
        <v>565</v>
      </c>
      <c r="M6320" s="2" t="s">
        <v>21</v>
      </c>
      <c r="N6320" s="4" t="str">
        <f t="shared" si="539"/>
        <v>GAL</v>
      </c>
      <c r="O6320" s="5">
        <v>180</v>
      </c>
    </row>
    <row r="6321" spans="2:15" x14ac:dyDescent="0.25">
      <c r="B6321" s="1" t="s">
        <v>1050</v>
      </c>
      <c r="C6321" s="2" t="s">
        <v>533</v>
      </c>
      <c r="D6321" s="2" t="s">
        <v>562</v>
      </c>
      <c r="E6321" s="2" t="s">
        <v>1101</v>
      </c>
      <c r="F6321" s="3">
        <f>DATE(2024,11,19)</f>
        <v>45615</v>
      </c>
      <c r="G6321" s="4">
        <f t="shared" si="541"/>
        <v>11</v>
      </c>
      <c r="H6321" s="4">
        <f t="shared" si="542"/>
        <v>2024</v>
      </c>
      <c r="I6321" s="2" t="s">
        <v>4</v>
      </c>
      <c r="J6321" s="2" t="s">
        <v>6992</v>
      </c>
      <c r="K6321" s="2" t="s">
        <v>822</v>
      </c>
      <c r="L6321" s="2" t="s">
        <v>565</v>
      </c>
      <c r="M6321" s="2" t="s">
        <v>21</v>
      </c>
      <c r="N6321" s="4" t="str">
        <f t="shared" si="539"/>
        <v>GAL</v>
      </c>
      <c r="O6321" s="5">
        <v>250</v>
      </c>
    </row>
    <row r="6322" spans="2:15" x14ac:dyDescent="0.25">
      <c r="B6322" s="1" t="s">
        <v>3113</v>
      </c>
      <c r="C6322" s="2" t="s">
        <v>3114</v>
      </c>
      <c r="D6322" s="2" t="s">
        <v>5736</v>
      </c>
      <c r="E6322" s="2" t="s">
        <v>6993</v>
      </c>
      <c r="F6322" s="3">
        <f>DATE(2024,11,5)</f>
        <v>45601</v>
      </c>
      <c r="G6322" s="4">
        <f t="shared" si="541"/>
        <v>11</v>
      </c>
      <c r="H6322" s="4">
        <f t="shared" si="542"/>
        <v>2024</v>
      </c>
      <c r="I6322" s="2" t="s">
        <v>4</v>
      </c>
      <c r="J6322" s="2" t="s">
        <v>6994</v>
      </c>
      <c r="K6322" s="2" t="s">
        <v>6995</v>
      </c>
      <c r="L6322" s="2" t="s">
        <v>6996</v>
      </c>
      <c r="M6322" s="2" t="s">
        <v>6997</v>
      </c>
      <c r="N6322" s="4" t="str">
        <f t="shared" si="539"/>
        <v>GAL</v>
      </c>
      <c r="O6322" s="5">
        <v>500</v>
      </c>
    </row>
    <row r="6323" spans="2:15" x14ac:dyDescent="0.25">
      <c r="B6323" s="1" t="s">
        <v>3238</v>
      </c>
      <c r="C6323" s="2" t="s">
        <v>3239</v>
      </c>
      <c r="D6323" s="2" t="s">
        <v>3240</v>
      </c>
      <c r="E6323" s="2" t="s">
        <v>102</v>
      </c>
      <c r="F6323" s="3">
        <f>DATE(2024,11,1)</f>
        <v>45597</v>
      </c>
      <c r="G6323" s="4">
        <f t="shared" si="541"/>
        <v>11</v>
      </c>
      <c r="H6323" s="4">
        <f t="shared" si="542"/>
        <v>2024</v>
      </c>
      <c r="I6323" s="2" t="s">
        <v>4</v>
      </c>
      <c r="J6323" s="2" t="s">
        <v>6998</v>
      </c>
      <c r="K6323" s="2" t="s">
        <v>3941</v>
      </c>
      <c r="L6323" s="2" t="s">
        <v>3911</v>
      </c>
      <c r="M6323" s="2" t="s">
        <v>2100</v>
      </c>
      <c r="N6323" s="4" t="str">
        <f t="shared" si="539"/>
        <v>GAL</v>
      </c>
      <c r="O6323" s="5">
        <v>60</v>
      </c>
    </row>
    <row r="6324" spans="2:15" x14ac:dyDescent="0.25">
      <c r="B6324" s="1" t="s">
        <v>3238</v>
      </c>
      <c r="C6324" s="2" t="s">
        <v>3239</v>
      </c>
      <c r="D6324" s="2" t="s">
        <v>3240</v>
      </c>
      <c r="E6324" s="2" t="s">
        <v>102</v>
      </c>
      <c r="F6324" s="3">
        <f>DATE(2024,11,1)</f>
        <v>45597</v>
      </c>
      <c r="G6324" s="4">
        <f t="shared" si="541"/>
        <v>11</v>
      </c>
      <c r="H6324" s="4">
        <f t="shared" si="542"/>
        <v>2024</v>
      </c>
      <c r="I6324" s="2" t="s">
        <v>4</v>
      </c>
      <c r="J6324" s="2" t="s">
        <v>6998</v>
      </c>
      <c r="K6324" s="2" t="s">
        <v>3917</v>
      </c>
      <c r="L6324" s="2" t="s">
        <v>3525</v>
      </c>
      <c r="M6324" s="2" t="s">
        <v>1397</v>
      </c>
      <c r="N6324" s="4" t="str">
        <f t="shared" si="539"/>
        <v>GAL</v>
      </c>
      <c r="O6324" s="5">
        <v>60</v>
      </c>
    </row>
    <row r="6325" spans="2:15" x14ac:dyDescent="0.25">
      <c r="B6325" s="1" t="s">
        <v>3238</v>
      </c>
      <c r="C6325" s="2" t="s">
        <v>3239</v>
      </c>
      <c r="D6325" s="2" t="s">
        <v>3240</v>
      </c>
      <c r="E6325" s="2" t="s">
        <v>102</v>
      </c>
      <c r="F6325" s="3">
        <f>DATE(2024,11,1)</f>
        <v>45597</v>
      </c>
      <c r="G6325" s="4">
        <f t="shared" si="541"/>
        <v>11</v>
      </c>
      <c r="H6325" s="4">
        <f t="shared" si="542"/>
        <v>2024</v>
      </c>
      <c r="I6325" s="2" t="s">
        <v>4</v>
      </c>
      <c r="J6325" s="2" t="s">
        <v>6998</v>
      </c>
      <c r="K6325" s="2" t="s">
        <v>2530</v>
      </c>
      <c r="L6325" s="2" t="s">
        <v>3503</v>
      </c>
      <c r="M6325" s="2" t="s">
        <v>2532</v>
      </c>
      <c r="N6325" s="4" t="str">
        <f t="shared" si="539"/>
        <v>GAL</v>
      </c>
      <c r="O6325" s="5">
        <v>60</v>
      </c>
    </row>
    <row r="6326" spans="2:15" x14ac:dyDescent="0.25">
      <c r="B6326" s="1" t="s">
        <v>3238</v>
      </c>
      <c r="C6326" s="2" t="s">
        <v>3239</v>
      </c>
      <c r="D6326" s="2" t="s">
        <v>6120</v>
      </c>
      <c r="E6326" s="2" t="s">
        <v>6712</v>
      </c>
      <c r="F6326" s="3">
        <f>DATE(2024,11,4)</f>
        <v>45600</v>
      </c>
      <c r="G6326" s="4">
        <f t="shared" si="541"/>
        <v>11</v>
      </c>
      <c r="H6326" s="4">
        <f t="shared" si="542"/>
        <v>2024</v>
      </c>
      <c r="I6326" s="2" t="s">
        <v>4</v>
      </c>
      <c r="J6326" s="2" t="s">
        <v>6999</v>
      </c>
      <c r="K6326" s="2" t="s">
        <v>6489</v>
      </c>
      <c r="L6326" s="2" t="s">
        <v>6490</v>
      </c>
      <c r="M6326" s="2" t="s">
        <v>2528</v>
      </c>
      <c r="N6326" s="4" t="str">
        <f t="shared" si="539"/>
        <v>GAL</v>
      </c>
      <c r="O6326" s="5">
        <v>20</v>
      </c>
    </row>
    <row r="6327" spans="2:15" x14ac:dyDescent="0.25">
      <c r="B6327" s="1" t="s">
        <v>3238</v>
      </c>
      <c r="C6327" s="2" t="s">
        <v>3239</v>
      </c>
      <c r="D6327" s="2" t="s">
        <v>6120</v>
      </c>
      <c r="E6327" s="2" t="s">
        <v>6712</v>
      </c>
      <c r="F6327" s="3">
        <f>DATE(2024,11,4)</f>
        <v>45600</v>
      </c>
      <c r="G6327" s="4">
        <f t="shared" si="541"/>
        <v>11</v>
      </c>
      <c r="H6327" s="4">
        <f t="shared" si="542"/>
        <v>2024</v>
      </c>
      <c r="I6327" s="2" t="s">
        <v>4</v>
      </c>
      <c r="J6327" s="2" t="s">
        <v>6999</v>
      </c>
      <c r="K6327" s="2" t="s">
        <v>6144</v>
      </c>
      <c r="L6327" s="2" t="s">
        <v>6145</v>
      </c>
      <c r="M6327" s="2" t="s">
        <v>49</v>
      </c>
      <c r="N6327" s="4" t="str">
        <f t="shared" si="539"/>
        <v>GAL</v>
      </c>
      <c r="O6327" s="5">
        <v>25</v>
      </c>
    </row>
    <row r="6328" spans="2:15" x14ac:dyDescent="0.25">
      <c r="B6328" s="1" t="s">
        <v>3238</v>
      </c>
      <c r="C6328" s="2" t="s">
        <v>3239</v>
      </c>
      <c r="D6328" s="2" t="s">
        <v>6120</v>
      </c>
      <c r="E6328" s="2" t="s">
        <v>141</v>
      </c>
      <c r="F6328" s="3">
        <f>DATE(2024,11,4)</f>
        <v>45600</v>
      </c>
      <c r="G6328" s="4">
        <f t="shared" si="541"/>
        <v>11</v>
      </c>
      <c r="H6328" s="4">
        <f t="shared" si="542"/>
        <v>2024</v>
      </c>
      <c r="I6328" s="2" t="s">
        <v>4</v>
      </c>
      <c r="J6328" s="2" t="s">
        <v>7000</v>
      </c>
      <c r="K6328" s="2" t="s">
        <v>5469</v>
      </c>
      <c r="L6328" s="2" t="s">
        <v>5470</v>
      </c>
      <c r="M6328" s="2" t="s">
        <v>1046</v>
      </c>
      <c r="N6328" s="4" t="str">
        <f t="shared" si="539"/>
        <v>GAL</v>
      </c>
      <c r="O6328" s="5">
        <v>20</v>
      </c>
    </row>
    <row r="6329" spans="2:15" x14ac:dyDescent="0.25">
      <c r="B6329" s="1" t="s">
        <v>3238</v>
      </c>
      <c r="C6329" s="2" t="s">
        <v>3239</v>
      </c>
      <c r="D6329" s="2" t="s">
        <v>3240</v>
      </c>
      <c r="E6329" s="2" t="s">
        <v>3920</v>
      </c>
      <c r="F6329" s="3">
        <f>DATE(2024,11,6)</f>
        <v>45602</v>
      </c>
      <c r="G6329" s="4">
        <f t="shared" si="541"/>
        <v>11</v>
      </c>
      <c r="H6329" s="4">
        <f t="shared" si="542"/>
        <v>2024</v>
      </c>
      <c r="I6329" s="2" t="s">
        <v>4</v>
      </c>
      <c r="J6329" s="2" t="s">
        <v>7001</v>
      </c>
      <c r="K6329" s="2" t="s">
        <v>3329</v>
      </c>
      <c r="L6329" s="2" t="s">
        <v>7002</v>
      </c>
      <c r="M6329" s="2" t="s">
        <v>1472</v>
      </c>
      <c r="N6329" s="4" t="str">
        <f t="shared" si="539"/>
        <v>GAL</v>
      </c>
      <c r="O6329" s="5">
        <v>250</v>
      </c>
    </row>
    <row r="6330" spans="2:15" x14ac:dyDescent="0.25">
      <c r="B6330" s="1" t="s">
        <v>3238</v>
      </c>
      <c r="C6330" s="2" t="s">
        <v>3239</v>
      </c>
      <c r="D6330" s="2" t="s">
        <v>3240</v>
      </c>
      <c r="E6330" s="2" t="s">
        <v>102</v>
      </c>
      <c r="F6330" s="3">
        <f>DATE(2024,11,6)</f>
        <v>45602</v>
      </c>
      <c r="G6330" s="4">
        <f t="shared" si="541"/>
        <v>11</v>
      </c>
      <c r="H6330" s="4">
        <f t="shared" si="542"/>
        <v>2024</v>
      </c>
      <c r="I6330" s="2" t="s">
        <v>4</v>
      </c>
      <c r="J6330" s="2" t="s">
        <v>7003</v>
      </c>
      <c r="K6330" s="2" t="s">
        <v>6708</v>
      </c>
      <c r="L6330" s="2" t="s">
        <v>5978</v>
      </c>
      <c r="M6330" s="2" t="s">
        <v>3299</v>
      </c>
      <c r="N6330" s="4" t="str">
        <f t="shared" si="539"/>
        <v>GAL</v>
      </c>
      <c r="O6330" s="5">
        <v>5</v>
      </c>
    </row>
    <row r="6331" spans="2:15" x14ac:dyDescent="0.25">
      <c r="B6331" s="1" t="s">
        <v>3238</v>
      </c>
      <c r="C6331" s="2" t="s">
        <v>3239</v>
      </c>
      <c r="D6331" s="2" t="s">
        <v>3240</v>
      </c>
      <c r="E6331" s="2" t="s">
        <v>102</v>
      </c>
      <c r="F6331" s="3">
        <f>DATE(2024,11,8)</f>
        <v>45604</v>
      </c>
      <c r="G6331" s="4">
        <f t="shared" si="541"/>
        <v>11</v>
      </c>
      <c r="H6331" s="4">
        <f t="shared" si="542"/>
        <v>2024</v>
      </c>
      <c r="I6331" s="2" t="s">
        <v>4</v>
      </c>
      <c r="J6331" s="2" t="s">
        <v>7004</v>
      </c>
      <c r="K6331" s="2" t="s">
        <v>3946</v>
      </c>
      <c r="L6331" s="2" t="s">
        <v>7005</v>
      </c>
      <c r="M6331" s="2" t="s">
        <v>917</v>
      </c>
      <c r="N6331" s="4" t="str">
        <f t="shared" si="539"/>
        <v>GAL</v>
      </c>
      <c r="O6331" s="5">
        <v>250</v>
      </c>
    </row>
    <row r="6332" spans="2:15" x14ac:dyDescent="0.25">
      <c r="B6332" s="1" t="s">
        <v>3238</v>
      </c>
      <c r="C6332" s="2" t="s">
        <v>3239</v>
      </c>
      <c r="D6332" s="2" t="s">
        <v>6120</v>
      </c>
      <c r="E6332" s="2" t="s">
        <v>6712</v>
      </c>
      <c r="F6332" s="3">
        <f>DATE(2024,11,8)</f>
        <v>45604</v>
      </c>
      <c r="G6332" s="4">
        <f t="shared" si="541"/>
        <v>11</v>
      </c>
      <c r="H6332" s="4">
        <f t="shared" si="542"/>
        <v>2024</v>
      </c>
      <c r="I6332" s="2" t="s">
        <v>4</v>
      </c>
      <c r="J6332" s="2" t="s">
        <v>7006</v>
      </c>
      <c r="K6332" s="2" t="s">
        <v>5469</v>
      </c>
      <c r="L6332" s="2" t="s">
        <v>5470</v>
      </c>
      <c r="M6332" s="2" t="s">
        <v>1046</v>
      </c>
      <c r="N6332" s="4" t="str">
        <f t="shared" si="539"/>
        <v>GAL</v>
      </c>
      <c r="O6332" s="5">
        <v>120</v>
      </c>
    </row>
    <row r="6333" spans="2:15" x14ac:dyDescent="0.25">
      <c r="B6333" s="1" t="s">
        <v>3238</v>
      </c>
      <c r="C6333" s="2" t="s">
        <v>3239</v>
      </c>
      <c r="D6333" s="2" t="s">
        <v>3240</v>
      </c>
      <c r="E6333" s="2" t="s">
        <v>102</v>
      </c>
      <c r="F6333" s="3">
        <f>DATE(2024,11,11)</f>
        <v>45607</v>
      </c>
      <c r="G6333" s="4">
        <f t="shared" si="541"/>
        <v>11</v>
      </c>
      <c r="H6333" s="4">
        <f t="shared" si="542"/>
        <v>2024</v>
      </c>
      <c r="I6333" s="2" t="s">
        <v>4</v>
      </c>
      <c r="J6333" s="2" t="s">
        <v>7007</v>
      </c>
      <c r="K6333" s="2" t="s">
        <v>5994</v>
      </c>
      <c r="L6333" s="2" t="s">
        <v>5995</v>
      </c>
      <c r="M6333" s="2" t="s">
        <v>5996</v>
      </c>
      <c r="N6333" s="4" t="str">
        <f t="shared" si="539"/>
        <v>GAL</v>
      </c>
      <c r="O6333" s="5">
        <v>60</v>
      </c>
    </row>
    <row r="6334" spans="2:15" x14ac:dyDescent="0.25">
      <c r="B6334" s="1" t="s">
        <v>3238</v>
      </c>
      <c r="C6334" s="2" t="s">
        <v>3239</v>
      </c>
      <c r="D6334" s="2" t="s">
        <v>3240</v>
      </c>
      <c r="E6334" s="2" t="s">
        <v>102</v>
      </c>
      <c r="F6334" s="3">
        <f>DATE(2024,11,11)</f>
        <v>45607</v>
      </c>
      <c r="G6334" s="4">
        <f t="shared" si="541"/>
        <v>11</v>
      </c>
      <c r="H6334" s="4">
        <f t="shared" si="542"/>
        <v>2024</v>
      </c>
      <c r="I6334" s="2" t="s">
        <v>4</v>
      </c>
      <c r="J6334" s="2" t="s">
        <v>7007</v>
      </c>
      <c r="K6334" s="2" t="s">
        <v>3914</v>
      </c>
      <c r="L6334" s="2" t="s">
        <v>3915</v>
      </c>
      <c r="M6334" s="2" t="s">
        <v>3916</v>
      </c>
      <c r="N6334" s="4" t="str">
        <f t="shared" ref="N6334:N6397" si="543">+LEFT(M6334,3)</f>
        <v>GAL</v>
      </c>
      <c r="O6334" s="5">
        <v>60</v>
      </c>
    </row>
    <row r="6335" spans="2:15" x14ac:dyDescent="0.25">
      <c r="B6335" s="1" t="s">
        <v>3238</v>
      </c>
      <c r="C6335" s="2" t="s">
        <v>3239</v>
      </c>
      <c r="D6335" s="2" t="s">
        <v>3240</v>
      </c>
      <c r="E6335" s="2" t="s">
        <v>102</v>
      </c>
      <c r="F6335" s="3">
        <f>DATE(2024,11,11)</f>
        <v>45607</v>
      </c>
      <c r="G6335" s="4">
        <f t="shared" si="541"/>
        <v>11</v>
      </c>
      <c r="H6335" s="4">
        <f t="shared" si="542"/>
        <v>2024</v>
      </c>
      <c r="I6335" s="2" t="s">
        <v>4</v>
      </c>
      <c r="J6335" s="2" t="s">
        <v>7007</v>
      </c>
      <c r="K6335" s="2" t="s">
        <v>19</v>
      </c>
      <c r="L6335" s="2" t="s">
        <v>6275</v>
      </c>
      <c r="M6335" s="2" t="s">
        <v>21</v>
      </c>
      <c r="N6335" s="4" t="str">
        <f t="shared" si="543"/>
        <v>GAL</v>
      </c>
      <c r="O6335" s="5">
        <v>60</v>
      </c>
    </row>
    <row r="6336" spans="2:15" x14ac:dyDescent="0.25">
      <c r="B6336" s="1" t="s">
        <v>3238</v>
      </c>
      <c r="C6336" s="2" t="s">
        <v>3239</v>
      </c>
      <c r="D6336" s="2" t="s">
        <v>3240</v>
      </c>
      <c r="E6336" s="2" t="s">
        <v>7008</v>
      </c>
      <c r="F6336" s="3">
        <f>DATE(2024,11,12)</f>
        <v>45608</v>
      </c>
      <c r="G6336" s="4">
        <f t="shared" si="541"/>
        <v>11</v>
      </c>
      <c r="H6336" s="4">
        <f t="shared" si="542"/>
        <v>2024</v>
      </c>
      <c r="I6336" s="2" t="s">
        <v>4</v>
      </c>
      <c r="J6336" s="2" t="s">
        <v>7009</v>
      </c>
      <c r="K6336" s="2" t="s">
        <v>3531</v>
      </c>
      <c r="L6336" s="2" t="s">
        <v>6380</v>
      </c>
      <c r="M6336" s="2" t="s">
        <v>41</v>
      </c>
      <c r="N6336" s="4" t="str">
        <f t="shared" si="543"/>
        <v>GAL</v>
      </c>
      <c r="O6336" s="5">
        <v>250</v>
      </c>
    </row>
    <row r="6337" spans="2:15" x14ac:dyDescent="0.25">
      <c r="B6337" s="1" t="s">
        <v>3238</v>
      </c>
      <c r="C6337" s="2" t="s">
        <v>3239</v>
      </c>
      <c r="D6337" s="2" t="s">
        <v>3240</v>
      </c>
      <c r="E6337" s="2" t="s">
        <v>102</v>
      </c>
      <c r="F6337" s="3">
        <f>DATE(2024,11,13)</f>
        <v>45609</v>
      </c>
      <c r="G6337" s="4">
        <f t="shared" si="541"/>
        <v>11</v>
      </c>
      <c r="H6337" s="4">
        <f t="shared" si="542"/>
        <v>2024</v>
      </c>
      <c r="I6337" s="2" t="s">
        <v>4</v>
      </c>
      <c r="J6337" s="2" t="s">
        <v>7010</v>
      </c>
      <c r="K6337" s="2" t="s">
        <v>6723</v>
      </c>
      <c r="L6337" s="2" t="s">
        <v>6151</v>
      </c>
      <c r="M6337" s="2" t="s">
        <v>6152</v>
      </c>
      <c r="N6337" s="4" t="str">
        <f t="shared" si="543"/>
        <v>GAL</v>
      </c>
      <c r="O6337" s="5">
        <v>200</v>
      </c>
    </row>
    <row r="6338" spans="2:15" x14ac:dyDescent="0.25">
      <c r="B6338" s="1" t="s">
        <v>3238</v>
      </c>
      <c r="C6338" s="2" t="s">
        <v>3239</v>
      </c>
      <c r="D6338" s="2" t="s">
        <v>3240</v>
      </c>
      <c r="E6338" s="2" t="s">
        <v>3923</v>
      </c>
      <c r="F6338" s="3">
        <f>DATE(2024,11,15)</f>
        <v>45611</v>
      </c>
      <c r="G6338" s="4">
        <f t="shared" si="541"/>
        <v>11</v>
      </c>
      <c r="H6338" s="4">
        <f t="shared" si="542"/>
        <v>2024</v>
      </c>
      <c r="I6338" s="2" t="s">
        <v>4</v>
      </c>
      <c r="J6338" s="2" t="s">
        <v>7011</v>
      </c>
      <c r="K6338" s="2" t="s">
        <v>3925</v>
      </c>
      <c r="L6338" s="2" t="s">
        <v>4264</v>
      </c>
      <c r="M6338" s="2" t="s">
        <v>119</v>
      </c>
      <c r="N6338" s="4" t="str">
        <f t="shared" si="543"/>
        <v>TON</v>
      </c>
      <c r="O6338" s="5">
        <v>1.3791199999999999</v>
      </c>
    </row>
    <row r="6339" spans="2:15" x14ac:dyDescent="0.25">
      <c r="B6339" s="1" t="s">
        <v>3238</v>
      </c>
      <c r="C6339" s="2" t="s">
        <v>3239</v>
      </c>
      <c r="D6339" s="2" t="s">
        <v>3240</v>
      </c>
      <c r="E6339" s="2" t="s">
        <v>102</v>
      </c>
      <c r="F6339" s="3">
        <f>DATE(2024,11,21)</f>
        <v>45617</v>
      </c>
      <c r="G6339" s="4">
        <f t="shared" si="541"/>
        <v>11</v>
      </c>
      <c r="H6339" s="4">
        <f t="shared" si="542"/>
        <v>2024</v>
      </c>
      <c r="I6339" s="2" t="s">
        <v>4</v>
      </c>
      <c r="J6339" s="2" t="s">
        <v>7012</v>
      </c>
      <c r="K6339" s="2" t="s">
        <v>6166</v>
      </c>
      <c r="L6339" s="2" t="s">
        <v>3244</v>
      </c>
      <c r="M6339" s="2" t="s">
        <v>3245</v>
      </c>
      <c r="N6339" s="4" t="str">
        <f t="shared" si="543"/>
        <v>GAL</v>
      </c>
      <c r="O6339" s="5">
        <v>90</v>
      </c>
    </row>
    <row r="6340" spans="2:15" x14ac:dyDescent="0.25">
      <c r="B6340" s="1" t="s">
        <v>3238</v>
      </c>
      <c r="C6340" s="2" t="s">
        <v>3239</v>
      </c>
      <c r="D6340" s="2" t="s">
        <v>3240</v>
      </c>
      <c r="E6340" s="2" t="s">
        <v>102</v>
      </c>
      <c r="F6340" s="3">
        <f>DATE(2024,11,21)</f>
        <v>45617</v>
      </c>
      <c r="G6340" s="4">
        <f t="shared" si="541"/>
        <v>11</v>
      </c>
      <c r="H6340" s="4">
        <f t="shared" si="542"/>
        <v>2024</v>
      </c>
      <c r="I6340" s="2" t="s">
        <v>4</v>
      </c>
      <c r="J6340" s="2" t="s">
        <v>7012</v>
      </c>
      <c r="K6340" s="2" t="s">
        <v>19</v>
      </c>
      <c r="L6340" s="2" t="s">
        <v>6275</v>
      </c>
      <c r="M6340" s="2" t="s">
        <v>21</v>
      </c>
      <c r="N6340" s="4" t="str">
        <f t="shared" si="543"/>
        <v>GAL</v>
      </c>
      <c r="O6340" s="5">
        <v>90</v>
      </c>
    </row>
    <row r="6341" spans="2:15" x14ac:dyDescent="0.25">
      <c r="B6341" s="1" t="s">
        <v>3238</v>
      </c>
      <c r="C6341" s="2" t="s">
        <v>3239</v>
      </c>
      <c r="D6341" s="2" t="s">
        <v>3240</v>
      </c>
      <c r="E6341" s="2" t="s">
        <v>102</v>
      </c>
      <c r="F6341" s="3">
        <f>DATE(2024,11,21)</f>
        <v>45617</v>
      </c>
      <c r="G6341" s="4">
        <f t="shared" si="541"/>
        <v>11</v>
      </c>
      <c r="H6341" s="4">
        <f t="shared" si="542"/>
        <v>2024</v>
      </c>
      <c r="I6341" s="2" t="s">
        <v>4</v>
      </c>
      <c r="J6341" s="2" t="s">
        <v>7013</v>
      </c>
      <c r="K6341" s="2" t="s">
        <v>5994</v>
      </c>
      <c r="L6341" s="2" t="s">
        <v>5995</v>
      </c>
      <c r="M6341" s="2" t="s">
        <v>5996</v>
      </c>
      <c r="N6341" s="4" t="str">
        <f t="shared" si="543"/>
        <v>GAL</v>
      </c>
      <c r="O6341" s="5">
        <v>6</v>
      </c>
    </row>
    <row r="6342" spans="2:15" x14ac:dyDescent="0.25">
      <c r="B6342" s="1" t="s">
        <v>3238</v>
      </c>
      <c r="C6342" s="2" t="s">
        <v>3239</v>
      </c>
      <c r="D6342" s="2" t="s">
        <v>3240</v>
      </c>
      <c r="E6342" s="2" t="s">
        <v>102</v>
      </c>
      <c r="F6342" s="3">
        <f>DATE(2024,11,21)</f>
        <v>45617</v>
      </c>
      <c r="G6342" s="4">
        <f t="shared" si="541"/>
        <v>11</v>
      </c>
      <c r="H6342" s="4">
        <f t="shared" si="542"/>
        <v>2024</v>
      </c>
      <c r="I6342" s="2" t="s">
        <v>4</v>
      </c>
      <c r="J6342" s="2" t="s">
        <v>7013</v>
      </c>
      <c r="K6342" s="2" t="s">
        <v>5469</v>
      </c>
      <c r="L6342" s="2" t="s">
        <v>5470</v>
      </c>
      <c r="M6342" s="2" t="s">
        <v>1046</v>
      </c>
      <c r="N6342" s="4" t="str">
        <f t="shared" si="543"/>
        <v>GAL</v>
      </c>
      <c r="O6342" s="5">
        <v>1.5</v>
      </c>
    </row>
    <row r="6343" spans="2:15" x14ac:dyDescent="0.25">
      <c r="B6343" s="1" t="s">
        <v>3238</v>
      </c>
      <c r="C6343" s="2" t="s">
        <v>3239</v>
      </c>
      <c r="D6343" s="2" t="s">
        <v>6120</v>
      </c>
      <c r="E6343" s="2" t="s">
        <v>6503</v>
      </c>
      <c r="F6343" s="3">
        <f>DATE(2024,11,25)</f>
        <v>45621</v>
      </c>
      <c r="G6343" s="4">
        <f t="shared" si="541"/>
        <v>11</v>
      </c>
      <c r="H6343" s="4">
        <f t="shared" si="542"/>
        <v>2024</v>
      </c>
      <c r="I6343" s="2" t="s">
        <v>4</v>
      </c>
      <c r="J6343" s="2" t="s">
        <v>7014</v>
      </c>
      <c r="K6343" s="2" t="s">
        <v>3188</v>
      </c>
      <c r="L6343" s="2" t="s">
        <v>999</v>
      </c>
      <c r="M6343" s="2" t="s">
        <v>1000</v>
      </c>
      <c r="N6343" s="4" t="str">
        <f t="shared" si="543"/>
        <v>GAL</v>
      </c>
      <c r="O6343" s="5">
        <v>55</v>
      </c>
    </row>
    <row r="6344" spans="2:15" x14ac:dyDescent="0.25">
      <c r="B6344" s="1" t="s">
        <v>3238</v>
      </c>
      <c r="C6344" s="2" t="s">
        <v>3239</v>
      </c>
      <c r="D6344" s="2" t="s">
        <v>3240</v>
      </c>
      <c r="E6344" s="2" t="s">
        <v>102</v>
      </c>
      <c r="F6344" s="3">
        <f>DATE(2024,11,27)</f>
        <v>45623</v>
      </c>
      <c r="G6344" s="4">
        <f t="shared" si="541"/>
        <v>11</v>
      </c>
      <c r="H6344" s="4">
        <f t="shared" si="542"/>
        <v>2024</v>
      </c>
      <c r="I6344" s="2" t="s">
        <v>4</v>
      </c>
      <c r="J6344" s="2" t="s">
        <v>7015</v>
      </c>
      <c r="K6344" s="2" t="s">
        <v>6489</v>
      </c>
      <c r="L6344" s="2" t="s">
        <v>6490</v>
      </c>
      <c r="M6344" s="2" t="s">
        <v>2528</v>
      </c>
      <c r="N6344" s="4" t="str">
        <f t="shared" si="543"/>
        <v>GAL</v>
      </c>
      <c r="O6344" s="5">
        <v>15</v>
      </c>
    </row>
    <row r="6345" spans="2:15" x14ac:dyDescent="0.25">
      <c r="B6345" s="1" t="s">
        <v>3238</v>
      </c>
      <c r="C6345" s="2" t="s">
        <v>3239</v>
      </c>
      <c r="D6345" s="2" t="s">
        <v>3240</v>
      </c>
      <c r="E6345" s="2" t="s">
        <v>102</v>
      </c>
      <c r="F6345" s="3">
        <f>DATE(2024,11,27)</f>
        <v>45623</v>
      </c>
      <c r="G6345" s="4">
        <f t="shared" si="541"/>
        <v>11</v>
      </c>
      <c r="H6345" s="4">
        <f t="shared" si="542"/>
        <v>2024</v>
      </c>
      <c r="I6345" s="2" t="s">
        <v>4</v>
      </c>
      <c r="J6345" s="2" t="s">
        <v>7015</v>
      </c>
      <c r="K6345" s="2" t="s">
        <v>5469</v>
      </c>
      <c r="L6345" s="2" t="s">
        <v>5470</v>
      </c>
      <c r="M6345" s="2" t="s">
        <v>1046</v>
      </c>
      <c r="N6345" s="4" t="str">
        <f t="shared" si="543"/>
        <v>GAL</v>
      </c>
      <c r="O6345" s="5">
        <v>90</v>
      </c>
    </row>
    <row r="6346" spans="2:15" x14ac:dyDescent="0.25">
      <c r="B6346" s="1" t="s">
        <v>3238</v>
      </c>
      <c r="C6346" s="2" t="s">
        <v>3239</v>
      </c>
      <c r="D6346" s="2" t="s">
        <v>3240</v>
      </c>
      <c r="E6346" s="2" t="s">
        <v>102</v>
      </c>
      <c r="F6346" s="3">
        <f>DATE(2024,11,27)</f>
        <v>45623</v>
      </c>
      <c r="G6346" s="4">
        <f t="shared" si="541"/>
        <v>11</v>
      </c>
      <c r="H6346" s="4">
        <f t="shared" si="542"/>
        <v>2024</v>
      </c>
      <c r="I6346" s="2" t="s">
        <v>4</v>
      </c>
      <c r="J6346" s="2" t="s">
        <v>7015</v>
      </c>
      <c r="K6346" s="2" t="s">
        <v>5971</v>
      </c>
      <c r="L6346" s="2" t="s">
        <v>3515</v>
      </c>
      <c r="M6346" s="2" t="s">
        <v>3516</v>
      </c>
      <c r="N6346" s="4" t="str">
        <f t="shared" si="543"/>
        <v>GAL</v>
      </c>
      <c r="O6346" s="5">
        <v>75</v>
      </c>
    </row>
    <row r="6347" spans="2:15" x14ac:dyDescent="0.25">
      <c r="B6347" s="6" t="s">
        <v>0</v>
      </c>
      <c r="C6347" s="7" t="s">
        <v>1</v>
      </c>
      <c r="D6347" s="8" t="s">
        <v>2</v>
      </c>
      <c r="E6347" s="8" t="s">
        <v>1784</v>
      </c>
      <c r="F6347" s="9">
        <f>DATE(2024,12,4)</f>
        <v>45630</v>
      </c>
      <c r="G6347" s="10">
        <f t="shared" si="541"/>
        <v>12</v>
      </c>
      <c r="H6347" s="10">
        <f t="shared" si="542"/>
        <v>2024</v>
      </c>
      <c r="I6347" s="8" t="s">
        <v>4</v>
      </c>
      <c r="J6347" s="7" t="s">
        <v>7016</v>
      </c>
      <c r="K6347" s="8" t="s">
        <v>28</v>
      </c>
      <c r="L6347" s="8" t="s">
        <v>29</v>
      </c>
      <c r="M6347" s="8" t="s">
        <v>30</v>
      </c>
      <c r="N6347" s="10" t="str">
        <f t="shared" si="543"/>
        <v>GAL</v>
      </c>
      <c r="O6347" s="11">
        <v>30</v>
      </c>
    </row>
    <row r="6348" spans="2:15" x14ac:dyDescent="0.25">
      <c r="B6348" s="6" t="s">
        <v>0</v>
      </c>
      <c r="C6348" s="7" t="s">
        <v>1</v>
      </c>
      <c r="D6348" s="8" t="s">
        <v>2</v>
      </c>
      <c r="E6348" s="8" t="s">
        <v>1784</v>
      </c>
      <c r="F6348" s="9">
        <f>DATE(2024,12,4)</f>
        <v>45630</v>
      </c>
      <c r="G6348" s="10">
        <f t="shared" si="541"/>
        <v>12</v>
      </c>
      <c r="H6348" s="10">
        <f t="shared" si="542"/>
        <v>2024</v>
      </c>
      <c r="I6348" s="8" t="s">
        <v>4</v>
      </c>
      <c r="J6348" s="7" t="s">
        <v>7016</v>
      </c>
      <c r="K6348" s="8" t="s">
        <v>1786</v>
      </c>
      <c r="L6348" s="8" t="s">
        <v>84</v>
      </c>
      <c r="M6348" s="8" t="s">
        <v>85</v>
      </c>
      <c r="N6348" s="10" t="str">
        <f t="shared" si="543"/>
        <v>GAL</v>
      </c>
      <c r="O6348" s="11">
        <v>55</v>
      </c>
    </row>
    <row r="6349" spans="2:15" x14ac:dyDescent="0.25">
      <c r="B6349" s="6" t="s">
        <v>0</v>
      </c>
      <c r="C6349" s="7" t="s">
        <v>1</v>
      </c>
      <c r="D6349" s="8" t="s">
        <v>2</v>
      </c>
      <c r="E6349" s="8" t="s">
        <v>1784</v>
      </c>
      <c r="F6349" s="9">
        <f>DATE(2024,12,4)</f>
        <v>45630</v>
      </c>
      <c r="G6349" s="10">
        <f t="shared" si="541"/>
        <v>12</v>
      </c>
      <c r="H6349" s="10">
        <f t="shared" si="542"/>
        <v>2024</v>
      </c>
      <c r="I6349" s="8" t="s">
        <v>4</v>
      </c>
      <c r="J6349" s="7" t="s">
        <v>7016</v>
      </c>
      <c r="K6349" s="8" t="s">
        <v>6</v>
      </c>
      <c r="L6349" s="8" t="s">
        <v>7</v>
      </c>
      <c r="M6349" s="8" t="s">
        <v>8</v>
      </c>
      <c r="N6349" s="10" t="str">
        <f t="shared" si="543"/>
        <v>GAL</v>
      </c>
      <c r="O6349" s="11">
        <v>55</v>
      </c>
    </row>
    <row r="6350" spans="2:15" x14ac:dyDescent="0.25">
      <c r="B6350" s="6" t="s">
        <v>0</v>
      </c>
      <c r="C6350" s="7" t="s">
        <v>1</v>
      </c>
      <c r="D6350" s="8" t="s">
        <v>2</v>
      </c>
      <c r="E6350" s="8" t="s">
        <v>1784</v>
      </c>
      <c r="F6350" s="9">
        <f>DATE(2024,12,4)</f>
        <v>45630</v>
      </c>
      <c r="G6350" s="10">
        <f t="shared" si="541"/>
        <v>12</v>
      </c>
      <c r="H6350" s="10">
        <f t="shared" si="542"/>
        <v>2024</v>
      </c>
      <c r="I6350" s="8" t="s">
        <v>4</v>
      </c>
      <c r="J6350" s="7" t="s">
        <v>7016</v>
      </c>
      <c r="K6350" s="8" t="s">
        <v>566</v>
      </c>
      <c r="L6350" s="8" t="s">
        <v>20</v>
      </c>
      <c r="M6350" s="8" t="s">
        <v>21</v>
      </c>
      <c r="N6350" s="10" t="str">
        <f t="shared" si="543"/>
        <v>GAL</v>
      </c>
      <c r="O6350" s="11">
        <v>55</v>
      </c>
    </row>
    <row r="6351" spans="2:15" x14ac:dyDescent="0.25">
      <c r="B6351" s="6" t="s">
        <v>0</v>
      </c>
      <c r="C6351" s="7" t="s">
        <v>1</v>
      </c>
      <c r="D6351" s="8" t="s">
        <v>55</v>
      </c>
      <c r="E6351" s="8" t="s">
        <v>56</v>
      </c>
      <c r="F6351" s="9">
        <f t="shared" ref="F6351:F6357" si="544">DATE(2024,12,9)</f>
        <v>45635</v>
      </c>
      <c r="G6351" s="10">
        <f t="shared" si="541"/>
        <v>12</v>
      </c>
      <c r="H6351" s="10">
        <f t="shared" si="542"/>
        <v>2024</v>
      </c>
      <c r="I6351" s="8" t="s">
        <v>4</v>
      </c>
      <c r="J6351" s="7" t="s">
        <v>7017</v>
      </c>
      <c r="K6351" s="8" t="s">
        <v>582</v>
      </c>
      <c r="L6351" s="8" t="s">
        <v>583</v>
      </c>
      <c r="M6351" s="8" t="s">
        <v>553</v>
      </c>
      <c r="N6351" s="10" t="str">
        <f t="shared" si="543"/>
        <v>GAL</v>
      </c>
      <c r="O6351" s="11">
        <v>180</v>
      </c>
    </row>
    <row r="6352" spans="2:15" x14ac:dyDescent="0.25">
      <c r="B6352" s="6" t="s">
        <v>0</v>
      </c>
      <c r="C6352" s="7" t="s">
        <v>1</v>
      </c>
      <c r="D6352" s="8" t="s">
        <v>2</v>
      </c>
      <c r="E6352" s="8" t="s">
        <v>4287</v>
      </c>
      <c r="F6352" s="9">
        <f t="shared" si="544"/>
        <v>45635</v>
      </c>
      <c r="G6352" s="10">
        <f t="shared" si="541"/>
        <v>12</v>
      </c>
      <c r="H6352" s="10">
        <f t="shared" si="542"/>
        <v>2024</v>
      </c>
      <c r="I6352" s="8" t="s">
        <v>4</v>
      </c>
      <c r="J6352" s="7" t="s">
        <v>7018</v>
      </c>
      <c r="K6352" s="8" t="s">
        <v>28</v>
      </c>
      <c r="L6352" s="8" t="s">
        <v>29</v>
      </c>
      <c r="M6352" s="8" t="s">
        <v>30</v>
      </c>
      <c r="N6352" s="10" t="str">
        <f t="shared" si="543"/>
        <v>GAL</v>
      </c>
      <c r="O6352" s="11">
        <v>120</v>
      </c>
    </row>
    <row r="6353" spans="2:15" x14ac:dyDescent="0.25">
      <c r="B6353" s="6" t="s">
        <v>0</v>
      </c>
      <c r="C6353" s="7" t="s">
        <v>1</v>
      </c>
      <c r="D6353" s="8" t="s">
        <v>2</v>
      </c>
      <c r="E6353" s="8" t="s">
        <v>4287</v>
      </c>
      <c r="F6353" s="9">
        <f t="shared" si="544"/>
        <v>45635</v>
      </c>
      <c r="G6353" s="10">
        <f t="shared" si="541"/>
        <v>12</v>
      </c>
      <c r="H6353" s="10">
        <f t="shared" si="542"/>
        <v>2024</v>
      </c>
      <c r="I6353" s="8" t="s">
        <v>4</v>
      </c>
      <c r="J6353" s="7" t="s">
        <v>7018</v>
      </c>
      <c r="K6353" s="8" t="s">
        <v>80</v>
      </c>
      <c r="L6353" s="8" t="s">
        <v>81</v>
      </c>
      <c r="M6353" s="8" t="s">
        <v>82</v>
      </c>
      <c r="N6353" s="10" t="str">
        <f t="shared" si="543"/>
        <v>GAL</v>
      </c>
      <c r="O6353" s="11">
        <v>120</v>
      </c>
    </row>
    <row r="6354" spans="2:15" x14ac:dyDescent="0.25">
      <c r="B6354" s="6" t="s">
        <v>0</v>
      </c>
      <c r="C6354" s="7" t="s">
        <v>1</v>
      </c>
      <c r="D6354" s="8" t="s">
        <v>2</v>
      </c>
      <c r="E6354" s="8" t="s">
        <v>4287</v>
      </c>
      <c r="F6354" s="9">
        <f t="shared" si="544"/>
        <v>45635</v>
      </c>
      <c r="G6354" s="10">
        <f t="shared" ref="G6354:G6417" si="545">+MONTH(F6354)</f>
        <v>12</v>
      </c>
      <c r="H6354" s="10">
        <f t="shared" ref="H6354:H6417" si="546">+YEAR(F6354)</f>
        <v>2024</v>
      </c>
      <c r="I6354" s="8" t="s">
        <v>4</v>
      </c>
      <c r="J6354" s="7" t="s">
        <v>7018</v>
      </c>
      <c r="K6354" s="8" t="s">
        <v>83</v>
      </c>
      <c r="L6354" s="8" t="s">
        <v>84</v>
      </c>
      <c r="M6354" s="8" t="s">
        <v>85</v>
      </c>
      <c r="N6354" s="10" t="str">
        <f t="shared" si="543"/>
        <v>GAL</v>
      </c>
      <c r="O6354" s="11">
        <v>60</v>
      </c>
    </row>
    <row r="6355" spans="2:15" x14ac:dyDescent="0.25">
      <c r="B6355" s="6" t="s">
        <v>0</v>
      </c>
      <c r="C6355" s="7" t="s">
        <v>1</v>
      </c>
      <c r="D6355" s="8" t="s">
        <v>2</v>
      </c>
      <c r="E6355" s="8" t="s">
        <v>4287</v>
      </c>
      <c r="F6355" s="9">
        <f t="shared" si="544"/>
        <v>45635</v>
      </c>
      <c r="G6355" s="10">
        <f t="shared" si="545"/>
        <v>12</v>
      </c>
      <c r="H6355" s="10">
        <f t="shared" si="546"/>
        <v>2024</v>
      </c>
      <c r="I6355" s="8" t="s">
        <v>4</v>
      </c>
      <c r="J6355" s="7" t="s">
        <v>7018</v>
      </c>
      <c r="K6355" s="8" t="s">
        <v>36</v>
      </c>
      <c r="L6355" s="8" t="s">
        <v>37</v>
      </c>
      <c r="M6355" s="8" t="s">
        <v>38</v>
      </c>
      <c r="N6355" s="10" t="str">
        <f t="shared" si="543"/>
        <v>GAL</v>
      </c>
      <c r="O6355" s="11">
        <v>60</v>
      </c>
    </row>
    <row r="6356" spans="2:15" x14ac:dyDescent="0.25">
      <c r="B6356" s="6" t="s">
        <v>0</v>
      </c>
      <c r="C6356" s="7" t="s">
        <v>1</v>
      </c>
      <c r="D6356" s="8" t="s">
        <v>2</v>
      </c>
      <c r="E6356" s="8" t="s">
        <v>4287</v>
      </c>
      <c r="F6356" s="9">
        <f t="shared" si="544"/>
        <v>45635</v>
      </c>
      <c r="G6356" s="10">
        <f t="shared" si="545"/>
        <v>12</v>
      </c>
      <c r="H6356" s="10">
        <f t="shared" si="546"/>
        <v>2024</v>
      </c>
      <c r="I6356" s="8" t="s">
        <v>4</v>
      </c>
      <c r="J6356" s="7" t="s">
        <v>7018</v>
      </c>
      <c r="K6356" s="8" t="s">
        <v>16</v>
      </c>
      <c r="L6356" s="8" t="s">
        <v>7</v>
      </c>
      <c r="M6356" s="8" t="s">
        <v>8</v>
      </c>
      <c r="N6356" s="10" t="str">
        <f t="shared" si="543"/>
        <v>GAL</v>
      </c>
      <c r="O6356" s="11">
        <v>120</v>
      </c>
    </row>
    <row r="6357" spans="2:15" x14ac:dyDescent="0.25">
      <c r="B6357" s="6" t="s">
        <v>0</v>
      </c>
      <c r="C6357" s="7" t="s">
        <v>1</v>
      </c>
      <c r="D6357" s="8" t="s">
        <v>2</v>
      </c>
      <c r="E6357" s="8" t="s">
        <v>4287</v>
      </c>
      <c r="F6357" s="9">
        <f t="shared" si="544"/>
        <v>45635</v>
      </c>
      <c r="G6357" s="10">
        <f t="shared" si="545"/>
        <v>12</v>
      </c>
      <c r="H6357" s="10">
        <f t="shared" si="546"/>
        <v>2024</v>
      </c>
      <c r="I6357" s="8" t="s">
        <v>4</v>
      </c>
      <c r="J6357" s="7" t="s">
        <v>7018</v>
      </c>
      <c r="K6357" s="8" t="s">
        <v>19</v>
      </c>
      <c r="L6357" s="8" t="s">
        <v>6006</v>
      </c>
      <c r="M6357" s="8" t="s">
        <v>21</v>
      </c>
      <c r="N6357" s="10" t="str">
        <f t="shared" si="543"/>
        <v>GAL</v>
      </c>
      <c r="O6357" s="11">
        <v>120</v>
      </c>
    </row>
    <row r="6358" spans="2:15" x14ac:dyDescent="0.25">
      <c r="B6358" s="6" t="s">
        <v>0</v>
      </c>
      <c r="C6358" s="7" t="s">
        <v>1</v>
      </c>
      <c r="D6358" s="8" t="s">
        <v>2</v>
      </c>
      <c r="E6358" s="8" t="s">
        <v>3952</v>
      </c>
      <c r="F6358" s="9">
        <f t="shared" ref="F6358:F6363" si="547">DATE(2024,12,12)</f>
        <v>45638</v>
      </c>
      <c r="G6358" s="10">
        <f t="shared" si="545"/>
        <v>12</v>
      </c>
      <c r="H6358" s="10">
        <f t="shared" si="546"/>
        <v>2024</v>
      </c>
      <c r="I6358" s="8" t="s">
        <v>4</v>
      </c>
      <c r="J6358" s="7" t="s">
        <v>7019</v>
      </c>
      <c r="K6358" s="8" t="s">
        <v>28</v>
      </c>
      <c r="L6358" s="8" t="s">
        <v>29</v>
      </c>
      <c r="M6358" s="8" t="s">
        <v>30</v>
      </c>
      <c r="N6358" s="10" t="str">
        <f t="shared" si="543"/>
        <v>GAL</v>
      </c>
      <c r="O6358" s="11">
        <v>20</v>
      </c>
    </row>
    <row r="6359" spans="2:15" x14ac:dyDescent="0.25">
      <c r="B6359" s="6" t="s">
        <v>0</v>
      </c>
      <c r="C6359" s="7" t="s">
        <v>1</v>
      </c>
      <c r="D6359" s="8" t="s">
        <v>2</v>
      </c>
      <c r="E6359" s="8" t="s">
        <v>3952</v>
      </c>
      <c r="F6359" s="9">
        <f t="shared" si="547"/>
        <v>45638</v>
      </c>
      <c r="G6359" s="10">
        <f t="shared" si="545"/>
        <v>12</v>
      </c>
      <c r="H6359" s="10">
        <f t="shared" si="546"/>
        <v>2024</v>
      </c>
      <c r="I6359" s="8" t="s">
        <v>4</v>
      </c>
      <c r="J6359" s="7" t="s">
        <v>7019</v>
      </c>
      <c r="K6359" s="8" t="s">
        <v>25</v>
      </c>
      <c r="L6359" s="8" t="s">
        <v>26</v>
      </c>
      <c r="M6359" s="8" t="s">
        <v>27</v>
      </c>
      <c r="N6359" s="10" t="str">
        <f t="shared" si="543"/>
        <v>GAL</v>
      </c>
      <c r="O6359" s="11">
        <v>40</v>
      </c>
    </row>
    <row r="6360" spans="2:15" x14ac:dyDescent="0.25">
      <c r="B6360" s="6" t="s">
        <v>0</v>
      </c>
      <c r="C6360" s="7" t="s">
        <v>1</v>
      </c>
      <c r="D6360" s="8" t="s">
        <v>2</v>
      </c>
      <c r="E6360" s="8" t="s">
        <v>3952</v>
      </c>
      <c r="F6360" s="9">
        <f t="shared" si="547"/>
        <v>45638</v>
      </c>
      <c r="G6360" s="10">
        <f t="shared" si="545"/>
        <v>12</v>
      </c>
      <c r="H6360" s="10">
        <f t="shared" si="546"/>
        <v>2024</v>
      </c>
      <c r="I6360" s="8" t="s">
        <v>4</v>
      </c>
      <c r="J6360" s="7" t="s">
        <v>7019</v>
      </c>
      <c r="K6360" s="8" t="s">
        <v>16</v>
      </c>
      <c r="L6360" s="8" t="s">
        <v>7</v>
      </c>
      <c r="M6360" s="8" t="s">
        <v>8</v>
      </c>
      <c r="N6360" s="10" t="str">
        <f t="shared" si="543"/>
        <v>GAL</v>
      </c>
      <c r="O6360" s="11">
        <v>40</v>
      </c>
    </row>
    <row r="6361" spans="2:15" x14ac:dyDescent="0.25">
      <c r="B6361" s="6" t="s">
        <v>0</v>
      </c>
      <c r="C6361" s="7" t="s">
        <v>1</v>
      </c>
      <c r="D6361" s="8" t="s">
        <v>2</v>
      </c>
      <c r="E6361" s="8" t="s">
        <v>1432</v>
      </c>
      <c r="F6361" s="9">
        <f t="shared" si="547"/>
        <v>45638</v>
      </c>
      <c r="G6361" s="10">
        <f t="shared" si="545"/>
        <v>12</v>
      </c>
      <c r="H6361" s="10">
        <f t="shared" si="546"/>
        <v>2024</v>
      </c>
      <c r="I6361" s="8" t="s">
        <v>4</v>
      </c>
      <c r="J6361" s="7" t="s">
        <v>7020</v>
      </c>
      <c r="K6361" s="8" t="s">
        <v>4540</v>
      </c>
      <c r="L6361" s="8" t="s">
        <v>81</v>
      </c>
      <c r="M6361" s="8" t="s">
        <v>82</v>
      </c>
      <c r="N6361" s="10" t="str">
        <f t="shared" si="543"/>
        <v>GAL</v>
      </c>
      <c r="O6361" s="11">
        <v>55</v>
      </c>
    </row>
    <row r="6362" spans="2:15" x14ac:dyDescent="0.25">
      <c r="B6362" s="6" t="s">
        <v>0</v>
      </c>
      <c r="C6362" s="7" t="s">
        <v>1</v>
      </c>
      <c r="D6362" s="8" t="s">
        <v>2</v>
      </c>
      <c r="E6362" s="8" t="s">
        <v>1432</v>
      </c>
      <c r="F6362" s="9">
        <f t="shared" si="547"/>
        <v>45638</v>
      </c>
      <c r="G6362" s="10">
        <f t="shared" si="545"/>
        <v>12</v>
      </c>
      <c r="H6362" s="10">
        <f t="shared" si="546"/>
        <v>2024</v>
      </c>
      <c r="I6362" s="8" t="s">
        <v>4</v>
      </c>
      <c r="J6362" s="7" t="s">
        <v>7020</v>
      </c>
      <c r="K6362" s="8" t="s">
        <v>549</v>
      </c>
      <c r="L6362" s="8" t="s">
        <v>51</v>
      </c>
      <c r="M6362" s="8" t="s">
        <v>52</v>
      </c>
      <c r="N6362" s="10" t="str">
        <f t="shared" si="543"/>
        <v>GAL</v>
      </c>
      <c r="O6362" s="11">
        <v>55</v>
      </c>
    </row>
    <row r="6363" spans="2:15" x14ac:dyDescent="0.25">
      <c r="B6363" s="6" t="s">
        <v>0</v>
      </c>
      <c r="C6363" s="7" t="s">
        <v>1</v>
      </c>
      <c r="D6363" s="8" t="s">
        <v>2</v>
      </c>
      <c r="E6363" s="8" t="s">
        <v>1432</v>
      </c>
      <c r="F6363" s="9">
        <f t="shared" si="547"/>
        <v>45638</v>
      </c>
      <c r="G6363" s="10">
        <f t="shared" si="545"/>
        <v>12</v>
      </c>
      <c r="H6363" s="10">
        <f t="shared" si="546"/>
        <v>2024</v>
      </c>
      <c r="I6363" s="8" t="s">
        <v>4</v>
      </c>
      <c r="J6363" s="7" t="s">
        <v>7020</v>
      </c>
      <c r="K6363" s="8" t="s">
        <v>566</v>
      </c>
      <c r="L6363" s="8" t="s">
        <v>20</v>
      </c>
      <c r="M6363" s="8" t="s">
        <v>21</v>
      </c>
      <c r="N6363" s="10" t="str">
        <f t="shared" si="543"/>
        <v>GAL</v>
      </c>
      <c r="O6363" s="11">
        <v>55</v>
      </c>
    </row>
    <row r="6364" spans="2:15" x14ac:dyDescent="0.25">
      <c r="B6364" s="6" t="s">
        <v>0</v>
      </c>
      <c r="C6364" s="7" t="s">
        <v>1</v>
      </c>
      <c r="D6364" s="8" t="s">
        <v>2</v>
      </c>
      <c r="E6364" s="8" t="s">
        <v>61</v>
      </c>
      <c r="F6364" s="9">
        <f>DATE(2024,12,26)</f>
        <v>45652</v>
      </c>
      <c r="G6364" s="10">
        <f t="shared" si="545"/>
        <v>12</v>
      </c>
      <c r="H6364" s="10">
        <f t="shared" si="546"/>
        <v>2024</v>
      </c>
      <c r="I6364" s="8" t="s">
        <v>4</v>
      </c>
      <c r="J6364" s="7" t="s">
        <v>7021</v>
      </c>
      <c r="K6364" s="8" t="s">
        <v>28</v>
      </c>
      <c r="L6364" s="8" t="s">
        <v>29</v>
      </c>
      <c r="M6364" s="8" t="s">
        <v>30</v>
      </c>
      <c r="N6364" s="10" t="str">
        <f t="shared" si="543"/>
        <v>GAL</v>
      </c>
      <c r="O6364" s="11">
        <v>50</v>
      </c>
    </row>
    <row r="6365" spans="2:15" x14ac:dyDescent="0.25">
      <c r="B6365" s="6" t="s">
        <v>0</v>
      </c>
      <c r="C6365" s="7" t="s">
        <v>1</v>
      </c>
      <c r="D6365" s="8" t="s">
        <v>2</v>
      </c>
      <c r="E6365" s="8" t="s">
        <v>61</v>
      </c>
      <c r="F6365" s="9">
        <f>DATE(2024,12,26)</f>
        <v>45652</v>
      </c>
      <c r="G6365" s="10">
        <f t="shared" si="545"/>
        <v>12</v>
      </c>
      <c r="H6365" s="10">
        <f t="shared" si="546"/>
        <v>2024</v>
      </c>
      <c r="I6365" s="8" t="s">
        <v>4</v>
      </c>
      <c r="J6365" s="7" t="s">
        <v>7021</v>
      </c>
      <c r="K6365" s="8" t="s">
        <v>25</v>
      </c>
      <c r="L6365" s="8" t="s">
        <v>26</v>
      </c>
      <c r="M6365" s="8" t="s">
        <v>27</v>
      </c>
      <c r="N6365" s="10" t="str">
        <f t="shared" si="543"/>
        <v>GAL</v>
      </c>
      <c r="O6365" s="11">
        <v>100</v>
      </c>
    </row>
    <row r="6366" spans="2:15" x14ac:dyDescent="0.25">
      <c r="B6366" s="6" t="s">
        <v>0</v>
      </c>
      <c r="C6366" s="7" t="s">
        <v>1</v>
      </c>
      <c r="D6366" s="8" t="s">
        <v>2</v>
      </c>
      <c r="E6366" s="8" t="s">
        <v>61</v>
      </c>
      <c r="F6366" s="9">
        <f>DATE(2024,12,26)</f>
        <v>45652</v>
      </c>
      <c r="G6366" s="10">
        <f t="shared" si="545"/>
        <v>12</v>
      </c>
      <c r="H6366" s="10">
        <f t="shared" si="546"/>
        <v>2024</v>
      </c>
      <c r="I6366" s="8" t="s">
        <v>4</v>
      </c>
      <c r="J6366" s="7" t="s">
        <v>7021</v>
      </c>
      <c r="K6366" s="8" t="s">
        <v>16</v>
      </c>
      <c r="L6366" s="8" t="s">
        <v>7</v>
      </c>
      <c r="M6366" s="8" t="s">
        <v>8</v>
      </c>
      <c r="N6366" s="10" t="str">
        <f t="shared" si="543"/>
        <v>GAL</v>
      </c>
      <c r="O6366" s="11">
        <v>100</v>
      </c>
    </row>
    <row r="6367" spans="2:15" x14ac:dyDescent="0.25">
      <c r="B6367" s="6" t="s">
        <v>0</v>
      </c>
      <c r="C6367" s="7" t="s">
        <v>1</v>
      </c>
      <c r="D6367" s="8" t="s">
        <v>2</v>
      </c>
      <c r="E6367" s="8" t="s">
        <v>61</v>
      </c>
      <c r="F6367" s="9">
        <f>DATE(2024,12,26)</f>
        <v>45652</v>
      </c>
      <c r="G6367" s="10">
        <f t="shared" si="545"/>
        <v>12</v>
      </c>
      <c r="H6367" s="10">
        <f t="shared" si="546"/>
        <v>2024</v>
      </c>
      <c r="I6367" s="8" t="s">
        <v>4</v>
      </c>
      <c r="J6367" s="7" t="s">
        <v>7021</v>
      </c>
      <c r="K6367" s="8" t="s">
        <v>19</v>
      </c>
      <c r="L6367" s="8" t="s">
        <v>6006</v>
      </c>
      <c r="M6367" s="8" t="s">
        <v>21</v>
      </c>
      <c r="N6367" s="10" t="str">
        <f t="shared" si="543"/>
        <v>GAL</v>
      </c>
      <c r="O6367" s="11">
        <v>50</v>
      </c>
    </row>
    <row r="6368" spans="2:15" x14ac:dyDescent="0.25">
      <c r="B6368" s="6" t="s">
        <v>88</v>
      </c>
      <c r="C6368" s="7" t="s">
        <v>89</v>
      </c>
      <c r="D6368" s="8" t="s">
        <v>1444</v>
      </c>
      <c r="E6368" s="8" t="s">
        <v>3965</v>
      </c>
      <c r="F6368" s="9">
        <f>DATE(2024,12,2)</f>
        <v>45628</v>
      </c>
      <c r="G6368" s="10">
        <f t="shared" si="545"/>
        <v>12</v>
      </c>
      <c r="H6368" s="10">
        <f t="shared" si="546"/>
        <v>2024</v>
      </c>
      <c r="I6368" s="8" t="s">
        <v>4</v>
      </c>
      <c r="J6368" s="7" t="s">
        <v>7022</v>
      </c>
      <c r="K6368" s="8" t="s">
        <v>3136</v>
      </c>
      <c r="L6368" s="8" t="s">
        <v>2581</v>
      </c>
      <c r="M6368" s="8" t="s">
        <v>1448</v>
      </c>
      <c r="N6368" s="10" t="str">
        <f t="shared" si="543"/>
        <v>GAL</v>
      </c>
      <c r="O6368" s="11">
        <v>150</v>
      </c>
    </row>
    <row r="6369" spans="2:15" x14ac:dyDescent="0.25">
      <c r="B6369" s="6" t="s">
        <v>88</v>
      </c>
      <c r="C6369" s="7" t="s">
        <v>89</v>
      </c>
      <c r="D6369" s="8" t="s">
        <v>616</v>
      </c>
      <c r="E6369" s="8" t="s">
        <v>617</v>
      </c>
      <c r="F6369" s="9">
        <f>DATE(2024,12,6)</f>
        <v>45632</v>
      </c>
      <c r="G6369" s="10">
        <f t="shared" si="545"/>
        <v>12</v>
      </c>
      <c r="H6369" s="10">
        <f t="shared" si="546"/>
        <v>2024</v>
      </c>
      <c r="I6369" s="8" t="s">
        <v>4</v>
      </c>
      <c r="J6369" s="7" t="s">
        <v>7023</v>
      </c>
      <c r="K6369" s="8" t="s">
        <v>619</v>
      </c>
      <c r="L6369" s="8" t="s">
        <v>620</v>
      </c>
      <c r="M6369" s="8" t="s">
        <v>621</v>
      </c>
      <c r="N6369" s="10" t="str">
        <f t="shared" si="543"/>
        <v>GAL</v>
      </c>
      <c r="O6369" s="11">
        <v>50</v>
      </c>
    </row>
    <row r="6370" spans="2:15" x14ac:dyDescent="0.25">
      <c r="B6370" s="6" t="s">
        <v>88</v>
      </c>
      <c r="C6370" s="7" t="s">
        <v>89</v>
      </c>
      <c r="D6370" s="8" t="s">
        <v>7024</v>
      </c>
      <c r="E6370" s="8" t="s">
        <v>7025</v>
      </c>
      <c r="F6370" s="9">
        <f>DATE(2024,12,10)</f>
        <v>45636</v>
      </c>
      <c r="G6370" s="10">
        <f t="shared" si="545"/>
        <v>12</v>
      </c>
      <c r="H6370" s="10">
        <f t="shared" si="546"/>
        <v>2024</v>
      </c>
      <c r="I6370" s="8" t="s">
        <v>4</v>
      </c>
      <c r="J6370" s="7" t="s">
        <v>7026</v>
      </c>
      <c r="K6370" s="8" t="s">
        <v>7027</v>
      </c>
      <c r="L6370" s="8" t="s">
        <v>7028</v>
      </c>
      <c r="M6370" s="8" t="s">
        <v>106</v>
      </c>
      <c r="N6370" s="10" t="str">
        <f t="shared" si="543"/>
        <v>LBS</v>
      </c>
      <c r="O6370" s="11">
        <v>47720</v>
      </c>
    </row>
    <row r="6371" spans="2:15" x14ac:dyDescent="0.25">
      <c r="B6371" s="6" t="s">
        <v>88</v>
      </c>
      <c r="C6371" s="7" t="s">
        <v>89</v>
      </c>
      <c r="D6371" s="8" t="s">
        <v>1444</v>
      </c>
      <c r="E6371" s="8" t="s">
        <v>102</v>
      </c>
      <c r="F6371" s="9">
        <f>DATE(2024,12,18)</f>
        <v>45644</v>
      </c>
      <c r="G6371" s="10">
        <f t="shared" si="545"/>
        <v>12</v>
      </c>
      <c r="H6371" s="10">
        <f t="shared" si="546"/>
        <v>2024</v>
      </c>
      <c r="I6371" s="8" t="s">
        <v>4</v>
      </c>
      <c r="J6371" s="7" t="s">
        <v>7029</v>
      </c>
      <c r="K6371" s="8" t="s">
        <v>1446</v>
      </c>
      <c r="L6371" s="8" t="s">
        <v>2581</v>
      </c>
      <c r="M6371" s="8" t="s">
        <v>1448</v>
      </c>
      <c r="N6371" s="10" t="str">
        <f t="shared" si="543"/>
        <v>GAL</v>
      </c>
      <c r="O6371" s="11">
        <v>360</v>
      </c>
    </row>
    <row r="6372" spans="2:15" x14ac:dyDescent="0.25">
      <c r="B6372" s="6" t="s">
        <v>88</v>
      </c>
      <c r="C6372" s="7" t="s">
        <v>89</v>
      </c>
      <c r="D6372" s="8" t="s">
        <v>90</v>
      </c>
      <c r="E6372" s="8" t="s">
        <v>91</v>
      </c>
      <c r="F6372" s="9">
        <f>DATE(2024,12,20)</f>
        <v>45646</v>
      </c>
      <c r="G6372" s="10">
        <f t="shared" si="545"/>
        <v>12</v>
      </c>
      <c r="H6372" s="10">
        <f t="shared" si="546"/>
        <v>2024</v>
      </c>
      <c r="I6372" s="8" t="s">
        <v>4</v>
      </c>
      <c r="J6372" s="7" t="s">
        <v>7030</v>
      </c>
      <c r="K6372" s="8" t="s">
        <v>2120</v>
      </c>
      <c r="L6372" s="8" t="s">
        <v>2121</v>
      </c>
      <c r="M6372" s="8" t="s">
        <v>85</v>
      </c>
      <c r="N6372" s="10" t="str">
        <f t="shared" si="543"/>
        <v>GAL</v>
      </c>
      <c r="O6372" s="11">
        <v>5</v>
      </c>
    </row>
    <row r="6373" spans="2:15" x14ac:dyDescent="0.25">
      <c r="B6373" s="6" t="s">
        <v>88</v>
      </c>
      <c r="C6373" s="7" t="s">
        <v>89</v>
      </c>
      <c r="D6373" s="8" t="s">
        <v>90</v>
      </c>
      <c r="E6373" s="8" t="s">
        <v>91</v>
      </c>
      <c r="F6373" s="9">
        <f>DATE(2024,12,20)</f>
        <v>45646</v>
      </c>
      <c r="G6373" s="10">
        <f t="shared" si="545"/>
        <v>12</v>
      </c>
      <c r="H6373" s="10">
        <f t="shared" si="546"/>
        <v>2024</v>
      </c>
      <c r="I6373" s="8" t="s">
        <v>4</v>
      </c>
      <c r="J6373" s="7" t="s">
        <v>7030</v>
      </c>
      <c r="K6373" s="8" t="s">
        <v>614</v>
      </c>
      <c r="L6373" s="8" t="s">
        <v>615</v>
      </c>
      <c r="M6373" s="8" t="s">
        <v>41</v>
      </c>
      <c r="N6373" s="10" t="str">
        <f t="shared" si="543"/>
        <v>GAL</v>
      </c>
      <c r="O6373" s="11">
        <v>250</v>
      </c>
    </row>
    <row r="6374" spans="2:15" x14ac:dyDescent="0.25">
      <c r="B6374" s="6" t="s">
        <v>88</v>
      </c>
      <c r="C6374" s="7" t="s">
        <v>89</v>
      </c>
      <c r="D6374" s="8" t="s">
        <v>90</v>
      </c>
      <c r="E6374" s="8" t="s">
        <v>91</v>
      </c>
      <c r="F6374" s="9">
        <f>DATE(2024,12,20)</f>
        <v>45646</v>
      </c>
      <c r="G6374" s="10">
        <f t="shared" si="545"/>
        <v>12</v>
      </c>
      <c r="H6374" s="10">
        <f t="shared" si="546"/>
        <v>2024</v>
      </c>
      <c r="I6374" s="8" t="s">
        <v>4</v>
      </c>
      <c r="J6374" s="7" t="s">
        <v>7030</v>
      </c>
      <c r="K6374" s="8" t="s">
        <v>7031</v>
      </c>
      <c r="L6374" s="8" t="s">
        <v>7032</v>
      </c>
      <c r="M6374" s="8" t="s">
        <v>106</v>
      </c>
      <c r="N6374" s="10" t="str">
        <f t="shared" si="543"/>
        <v>LBS</v>
      </c>
      <c r="O6374" s="11">
        <v>10.5</v>
      </c>
    </row>
    <row r="6375" spans="2:15" x14ac:dyDescent="0.25">
      <c r="B6375" s="6" t="s">
        <v>154</v>
      </c>
      <c r="C6375" s="7" t="s">
        <v>155</v>
      </c>
      <c r="D6375" s="8" t="s">
        <v>167</v>
      </c>
      <c r="E6375" s="8" t="s">
        <v>168</v>
      </c>
      <c r="F6375" s="9">
        <f>DATE(2024,12,2)</f>
        <v>45628</v>
      </c>
      <c r="G6375" s="10">
        <f t="shared" si="545"/>
        <v>12</v>
      </c>
      <c r="H6375" s="10">
        <f t="shared" si="546"/>
        <v>2024</v>
      </c>
      <c r="I6375" s="8" t="s">
        <v>4</v>
      </c>
      <c r="J6375" s="7" t="s">
        <v>7033</v>
      </c>
      <c r="K6375" s="8" t="s">
        <v>158</v>
      </c>
      <c r="L6375" s="8" t="s">
        <v>159</v>
      </c>
      <c r="M6375" s="8" t="s">
        <v>160</v>
      </c>
      <c r="N6375" s="10" t="str">
        <f t="shared" si="543"/>
        <v>GAL</v>
      </c>
      <c r="O6375" s="11">
        <v>180</v>
      </c>
    </row>
    <row r="6376" spans="2:15" x14ac:dyDescent="0.25">
      <c r="B6376" s="6" t="s">
        <v>154</v>
      </c>
      <c r="C6376" s="7" t="s">
        <v>155</v>
      </c>
      <c r="D6376" s="8" t="s">
        <v>591</v>
      </c>
      <c r="E6376" s="8" t="s">
        <v>592</v>
      </c>
      <c r="F6376" s="9">
        <f>DATE(2024,12,4)</f>
        <v>45630</v>
      </c>
      <c r="G6376" s="10">
        <f t="shared" si="545"/>
        <v>12</v>
      </c>
      <c r="H6376" s="10">
        <f t="shared" si="546"/>
        <v>2024</v>
      </c>
      <c r="I6376" s="8" t="s">
        <v>4</v>
      </c>
      <c r="J6376" s="7" t="s">
        <v>7034</v>
      </c>
      <c r="K6376" s="8" t="s">
        <v>1098</v>
      </c>
      <c r="L6376" s="8" t="s">
        <v>632</v>
      </c>
      <c r="M6376" s="8" t="s">
        <v>633</v>
      </c>
      <c r="N6376" s="10" t="str">
        <f t="shared" si="543"/>
        <v>GAL</v>
      </c>
      <c r="O6376" s="11">
        <v>3034.75</v>
      </c>
    </row>
    <row r="6377" spans="2:15" x14ac:dyDescent="0.25">
      <c r="B6377" s="6" t="s">
        <v>154</v>
      </c>
      <c r="C6377" s="7" t="s">
        <v>155</v>
      </c>
      <c r="D6377" s="8" t="s">
        <v>178</v>
      </c>
      <c r="E6377" s="8" t="s">
        <v>179</v>
      </c>
      <c r="F6377" s="9">
        <f>DATE(2024,12,6)</f>
        <v>45632</v>
      </c>
      <c r="G6377" s="10">
        <f t="shared" si="545"/>
        <v>12</v>
      </c>
      <c r="H6377" s="10">
        <f t="shared" si="546"/>
        <v>2024</v>
      </c>
      <c r="I6377" s="8" t="s">
        <v>4</v>
      </c>
      <c r="J6377" s="7" t="s">
        <v>7035</v>
      </c>
      <c r="K6377" s="8" t="s">
        <v>189</v>
      </c>
      <c r="L6377" s="8" t="s">
        <v>190</v>
      </c>
      <c r="M6377" s="8" t="s">
        <v>191</v>
      </c>
      <c r="N6377" s="10" t="str">
        <f t="shared" si="543"/>
        <v>GAL</v>
      </c>
      <c r="O6377" s="11">
        <v>180</v>
      </c>
    </row>
    <row r="6378" spans="2:15" x14ac:dyDescent="0.25">
      <c r="B6378" s="6" t="s">
        <v>154</v>
      </c>
      <c r="C6378" s="7" t="s">
        <v>155</v>
      </c>
      <c r="D6378" s="8" t="s">
        <v>178</v>
      </c>
      <c r="E6378" s="8" t="s">
        <v>179</v>
      </c>
      <c r="F6378" s="9">
        <f>DATE(2024,12,6)</f>
        <v>45632</v>
      </c>
      <c r="G6378" s="10">
        <f t="shared" si="545"/>
        <v>12</v>
      </c>
      <c r="H6378" s="10">
        <f t="shared" si="546"/>
        <v>2024</v>
      </c>
      <c r="I6378" s="8" t="s">
        <v>4</v>
      </c>
      <c r="J6378" s="7" t="s">
        <v>7036</v>
      </c>
      <c r="K6378" s="8" t="s">
        <v>158</v>
      </c>
      <c r="L6378" s="8" t="s">
        <v>159</v>
      </c>
      <c r="M6378" s="8" t="s">
        <v>160</v>
      </c>
      <c r="N6378" s="10" t="str">
        <f t="shared" si="543"/>
        <v>GAL</v>
      </c>
      <c r="O6378" s="11">
        <v>180</v>
      </c>
    </row>
    <row r="6379" spans="2:15" x14ac:dyDescent="0.25">
      <c r="B6379" s="6" t="s">
        <v>154</v>
      </c>
      <c r="C6379" s="7" t="s">
        <v>155</v>
      </c>
      <c r="D6379" s="8" t="s">
        <v>107</v>
      </c>
      <c r="E6379" s="8" t="s">
        <v>108</v>
      </c>
      <c r="F6379" s="9">
        <f>DATE(2024,12,10)</f>
        <v>45636</v>
      </c>
      <c r="G6379" s="10">
        <f t="shared" si="545"/>
        <v>12</v>
      </c>
      <c r="H6379" s="10">
        <f t="shared" si="546"/>
        <v>2024</v>
      </c>
      <c r="I6379" s="8" t="s">
        <v>4</v>
      </c>
      <c r="J6379" s="7" t="s">
        <v>7037</v>
      </c>
      <c r="K6379" s="8" t="s">
        <v>158</v>
      </c>
      <c r="L6379" s="8" t="s">
        <v>159</v>
      </c>
      <c r="M6379" s="8" t="s">
        <v>160</v>
      </c>
      <c r="N6379" s="10" t="str">
        <f t="shared" si="543"/>
        <v>GAL</v>
      </c>
      <c r="O6379" s="11">
        <v>180</v>
      </c>
    </row>
    <row r="6380" spans="2:15" x14ac:dyDescent="0.25">
      <c r="B6380" s="6" t="s">
        <v>154</v>
      </c>
      <c r="C6380" s="7" t="s">
        <v>155</v>
      </c>
      <c r="D6380" s="8" t="s">
        <v>107</v>
      </c>
      <c r="E6380" s="8" t="s">
        <v>108</v>
      </c>
      <c r="F6380" s="9">
        <f>DATE(2024,12,10)</f>
        <v>45636</v>
      </c>
      <c r="G6380" s="10">
        <f t="shared" si="545"/>
        <v>12</v>
      </c>
      <c r="H6380" s="10">
        <f t="shared" si="546"/>
        <v>2024</v>
      </c>
      <c r="I6380" s="8" t="s">
        <v>4</v>
      </c>
      <c r="J6380" s="7" t="s">
        <v>7037</v>
      </c>
      <c r="K6380" s="8" t="s">
        <v>189</v>
      </c>
      <c r="L6380" s="8" t="s">
        <v>190</v>
      </c>
      <c r="M6380" s="8" t="s">
        <v>191</v>
      </c>
      <c r="N6380" s="10" t="str">
        <f t="shared" si="543"/>
        <v>GAL</v>
      </c>
      <c r="O6380" s="11">
        <v>180</v>
      </c>
    </row>
    <row r="6381" spans="2:15" x14ac:dyDescent="0.25">
      <c r="B6381" s="6" t="s">
        <v>154</v>
      </c>
      <c r="C6381" s="7" t="s">
        <v>155</v>
      </c>
      <c r="D6381" s="8" t="s">
        <v>178</v>
      </c>
      <c r="E6381" s="8" t="s">
        <v>179</v>
      </c>
      <c r="F6381" s="9">
        <f>DATE(2024,12,10)</f>
        <v>45636</v>
      </c>
      <c r="G6381" s="10">
        <f t="shared" si="545"/>
        <v>12</v>
      </c>
      <c r="H6381" s="10">
        <f t="shared" si="546"/>
        <v>2024</v>
      </c>
      <c r="I6381" s="8" t="s">
        <v>4</v>
      </c>
      <c r="J6381" s="7" t="s">
        <v>7038</v>
      </c>
      <c r="K6381" s="8" t="s">
        <v>25</v>
      </c>
      <c r="L6381" s="8" t="s">
        <v>541</v>
      </c>
      <c r="M6381" s="8" t="s">
        <v>27</v>
      </c>
      <c r="N6381" s="10" t="str">
        <f t="shared" si="543"/>
        <v>GAL</v>
      </c>
      <c r="O6381" s="11">
        <v>180</v>
      </c>
    </row>
    <row r="6382" spans="2:15" x14ac:dyDescent="0.25">
      <c r="B6382" s="6" t="s">
        <v>645</v>
      </c>
      <c r="C6382" s="7" t="s">
        <v>155</v>
      </c>
      <c r="D6382" s="8" t="s">
        <v>646</v>
      </c>
      <c r="E6382" s="8" t="s">
        <v>647</v>
      </c>
      <c r="F6382" s="9">
        <f>DATE(2024,12,10)</f>
        <v>45636</v>
      </c>
      <c r="G6382" s="10">
        <f t="shared" si="545"/>
        <v>12</v>
      </c>
      <c r="H6382" s="10">
        <f t="shared" si="546"/>
        <v>2024</v>
      </c>
      <c r="I6382" s="8" t="s">
        <v>4</v>
      </c>
      <c r="J6382" s="7" t="s">
        <v>7039</v>
      </c>
      <c r="K6382" s="8" t="s">
        <v>158</v>
      </c>
      <c r="L6382" s="8" t="s">
        <v>159</v>
      </c>
      <c r="M6382" s="8" t="s">
        <v>160</v>
      </c>
      <c r="N6382" s="10" t="str">
        <f t="shared" si="543"/>
        <v>GAL</v>
      </c>
      <c r="O6382" s="11">
        <v>540</v>
      </c>
    </row>
    <row r="6383" spans="2:15" x14ac:dyDescent="0.25">
      <c r="B6383" s="6" t="s">
        <v>154</v>
      </c>
      <c r="C6383" s="7" t="s">
        <v>155</v>
      </c>
      <c r="D6383" s="8" t="s">
        <v>178</v>
      </c>
      <c r="E6383" s="8" t="s">
        <v>179</v>
      </c>
      <c r="F6383" s="9">
        <f>DATE(2024,12,12)</f>
        <v>45638</v>
      </c>
      <c r="G6383" s="10">
        <f t="shared" si="545"/>
        <v>12</v>
      </c>
      <c r="H6383" s="10">
        <f t="shared" si="546"/>
        <v>2024</v>
      </c>
      <c r="I6383" s="8" t="s">
        <v>4</v>
      </c>
      <c r="J6383" s="7" t="s">
        <v>7040</v>
      </c>
      <c r="K6383" s="8" t="s">
        <v>158</v>
      </c>
      <c r="L6383" s="8" t="s">
        <v>159</v>
      </c>
      <c r="M6383" s="8" t="s">
        <v>160</v>
      </c>
      <c r="N6383" s="10" t="str">
        <f t="shared" si="543"/>
        <v>GAL</v>
      </c>
      <c r="O6383" s="11">
        <v>180</v>
      </c>
    </row>
    <row r="6384" spans="2:15" x14ac:dyDescent="0.25">
      <c r="B6384" s="6" t="s">
        <v>645</v>
      </c>
      <c r="C6384" s="7" t="s">
        <v>155</v>
      </c>
      <c r="D6384" s="8" t="s">
        <v>646</v>
      </c>
      <c r="E6384" s="8" t="s">
        <v>647</v>
      </c>
      <c r="F6384" s="9">
        <f>DATE(2024,12,16)</f>
        <v>45642</v>
      </c>
      <c r="G6384" s="10">
        <f t="shared" si="545"/>
        <v>12</v>
      </c>
      <c r="H6384" s="10">
        <f t="shared" si="546"/>
        <v>2024</v>
      </c>
      <c r="I6384" s="8" t="s">
        <v>4</v>
      </c>
      <c r="J6384" s="7" t="s">
        <v>7041</v>
      </c>
      <c r="K6384" s="8" t="s">
        <v>158</v>
      </c>
      <c r="L6384" s="8" t="s">
        <v>159</v>
      </c>
      <c r="M6384" s="8" t="s">
        <v>160</v>
      </c>
      <c r="N6384" s="10" t="str">
        <f t="shared" si="543"/>
        <v>GAL</v>
      </c>
      <c r="O6384" s="11">
        <v>180</v>
      </c>
    </row>
    <row r="6385" spans="2:15" x14ac:dyDescent="0.25">
      <c r="B6385" s="6" t="s">
        <v>645</v>
      </c>
      <c r="C6385" s="7" t="s">
        <v>155</v>
      </c>
      <c r="D6385" s="8" t="s">
        <v>646</v>
      </c>
      <c r="E6385" s="8" t="s">
        <v>647</v>
      </c>
      <c r="F6385" s="9">
        <f>DATE(2024,12,16)</f>
        <v>45642</v>
      </c>
      <c r="G6385" s="10">
        <f t="shared" si="545"/>
        <v>12</v>
      </c>
      <c r="H6385" s="10">
        <f t="shared" si="546"/>
        <v>2024</v>
      </c>
      <c r="I6385" s="8" t="s">
        <v>4</v>
      </c>
      <c r="J6385" s="7" t="s">
        <v>7041</v>
      </c>
      <c r="K6385" s="8" t="s">
        <v>25</v>
      </c>
      <c r="L6385" s="8" t="s">
        <v>541</v>
      </c>
      <c r="M6385" s="8" t="s">
        <v>27</v>
      </c>
      <c r="N6385" s="10" t="str">
        <f t="shared" si="543"/>
        <v>GAL</v>
      </c>
      <c r="O6385" s="11">
        <v>180</v>
      </c>
    </row>
    <row r="6386" spans="2:15" x14ac:dyDescent="0.25">
      <c r="B6386" s="6" t="s">
        <v>154</v>
      </c>
      <c r="C6386" s="7" t="s">
        <v>155</v>
      </c>
      <c r="D6386" s="8" t="s">
        <v>623</v>
      </c>
      <c r="E6386" s="8" t="s">
        <v>624</v>
      </c>
      <c r="F6386" s="9">
        <f>DATE(2024,12,16)</f>
        <v>45642</v>
      </c>
      <c r="G6386" s="10">
        <f t="shared" si="545"/>
        <v>12</v>
      </c>
      <c r="H6386" s="10">
        <f t="shared" si="546"/>
        <v>2024</v>
      </c>
      <c r="I6386" s="8" t="s">
        <v>4</v>
      </c>
      <c r="J6386" s="7" t="s">
        <v>7042</v>
      </c>
      <c r="K6386" s="8" t="s">
        <v>7043</v>
      </c>
      <c r="L6386" s="8" t="s">
        <v>7044</v>
      </c>
      <c r="M6386" s="8" t="s">
        <v>119</v>
      </c>
      <c r="N6386" s="10" t="str">
        <f t="shared" si="543"/>
        <v>TON</v>
      </c>
      <c r="O6386" s="11">
        <v>15</v>
      </c>
    </row>
    <row r="6387" spans="2:15" x14ac:dyDescent="0.25">
      <c r="B6387" s="6" t="s">
        <v>645</v>
      </c>
      <c r="C6387" s="7" t="s">
        <v>155</v>
      </c>
      <c r="D6387" s="8" t="s">
        <v>646</v>
      </c>
      <c r="E6387" s="8" t="s">
        <v>647</v>
      </c>
      <c r="F6387" s="9">
        <f>DATE(2024,12,17)</f>
        <v>45643</v>
      </c>
      <c r="G6387" s="10">
        <f t="shared" si="545"/>
        <v>12</v>
      </c>
      <c r="H6387" s="10">
        <f t="shared" si="546"/>
        <v>2024</v>
      </c>
      <c r="I6387" s="8" t="s">
        <v>4</v>
      </c>
      <c r="J6387" s="7" t="s">
        <v>7045</v>
      </c>
      <c r="K6387" s="8" t="s">
        <v>25</v>
      </c>
      <c r="L6387" s="8" t="s">
        <v>541</v>
      </c>
      <c r="M6387" s="8" t="s">
        <v>27</v>
      </c>
      <c r="N6387" s="10" t="str">
        <f t="shared" si="543"/>
        <v>GAL</v>
      </c>
      <c r="O6387" s="11">
        <v>360</v>
      </c>
    </row>
    <row r="6388" spans="2:15" x14ac:dyDescent="0.25">
      <c r="B6388" s="6" t="s">
        <v>154</v>
      </c>
      <c r="C6388" s="7" t="s">
        <v>155</v>
      </c>
      <c r="D6388" s="8" t="s">
        <v>623</v>
      </c>
      <c r="E6388" s="8" t="s">
        <v>624</v>
      </c>
      <c r="F6388" s="9">
        <f>DATE(2024,12,19)</f>
        <v>45645</v>
      </c>
      <c r="G6388" s="10">
        <f t="shared" si="545"/>
        <v>12</v>
      </c>
      <c r="H6388" s="10">
        <f t="shared" si="546"/>
        <v>2024</v>
      </c>
      <c r="I6388" s="8" t="s">
        <v>4</v>
      </c>
      <c r="J6388" s="7" t="s">
        <v>7046</v>
      </c>
      <c r="K6388" s="8" t="s">
        <v>7043</v>
      </c>
      <c r="L6388" s="8" t="s">
        <v>7044</v>
      </c>
      <c r="M6388" s="8" t="s">
        <v>119</v>
      </c>
      <c r="N6388" s="10" t="str">
        <f t="shared" si="543"/>
        <v>TON</v>
      </c>
      <c r="O6388" s="11">
        <v>15.0275</v>
      </c>
    </row>
    <row r="6389" spans="2:15" x14ac:dyDescent="0.25">
      <c r="B6389" s="6" t="s">
        <v>645</v>
      </c>
      <c r="C6389" s="7" t="s">
        <v>155</v>
      </c>
      <c r="D6389" s="8" t="s">
        <v>646</v>
      </c>
      <c r="E6389" s="8" t="s">
        <v>647</v>
      </c>
      <c r="F6389" s="9">
        <f>DATE(2024,12,19)</f>
        <v>45645</v>
      </c>
      <c r="G6389" s="10">
        <f t="shared" si="545"/>
        <v>12</v>
      </c>
      <c r="H6389" s="10">
        <f t="shared" si="546"/>
        <v>2024</v>
      </c>
      <c r="I6389" s="8" t="s">
        <v>4</v>
      </c>
      <c r="J6389" s="7" t="s">
        <v>7047</v>
      </c>
      <c r="K6389" s="8" t="s">
        <v>137</v>
      </c>
      <c r="L6389" s="8" t="s">
        <v>1190</v>
      </c>
      <c r="M6389" s="8" t="s">
        <v>139</v>
      </c>
      <c r="N6389" s="10" t="str">
        <f t="shared" si="543"/>
        <v>GAL</v>
      </c>
      <c r="O6389" s="11">
        <v>180</v>
      </c>
    </row>
    <row r="6390" spans="2:15" x14ac:dyDescent="0.25">
      <c r="B6390" s="6" t="s">
        <v>645</v>
      </c>
      <c r="C6390" s="7" t="s">
        <v>155</v>
      </c>
      <c r="D6390" s="8" t="s">
        <v>646</v>
      </c>
      <c r="E6390" s="8" t="s">
        <v>647</v>
      </c>
      <c r="F6390" s="9">
        <f>DATE(2024,12,19)</f>
        <v>45645</v>
      </c>
      <c r="G6390" s="10">
        <f t="shared" si="545"/>
        <v>12</v>
      </c>
      <c r="H6390" s="10">
        <f t="shared" si="546"/>
        <v>2024</v>
      </c>
      <c r="I6390" s="8" t="s">
        <v>4</v>
      </c>
      <c r="J6390" s="7" t="s">
        <v>7047</v>
      </c>
      <c r="K6390" s="8" t="s">
        <v>158</v>
      </c>
      <c r="L6390" s="8" t="s">
        <v>159</v>
      </c>
      <c r="M6390" s="8" t="s">
        <v>160</v>
      </c>
      <c r="N6390" s="10" t="str">
        <f t="shared" si="543"/>
        <v>GAL</v>
      </c>
      <c r="O6390" s="11">
        <v>180</v>
      </c>
    </row>
    <row r="6391" spans="2:15" x14ac:dyDescent="0.25">
      <c r="B6391" s="6" t="s">
        <v>645</v>
      </c>
      <c r="C6391" s="7" t="s">
        <v>155</v>
      </c>
      <c r="D6391" s="8" t="s">
        <v>646</v>
      </c>
      <c r="E6391" s="8" t="s">
        <v>647</v>
      </c>
      <c r="F6391" s="9">
        <f>DATE(2024,12,19)</f>
        <v>45645</v>
      </c>
      <c r="G6391" s="10">
        <f t="shared" si="545"/>
        <v>12</v>
      </c>
      <c r="H6391" s="10">
        <f t="shared" si="546"/>
        <v>2024</v>
      </c>
      <c r="I6391" s="8" t="s">
        <v>4</v>
      </c>
      <c r="J6391" s="7" t="s">
        <v>7047</v>
      </c>
      <c r="K6391" s="8" t="s">
        <v>25</v>
      </c>
      <c r="L6391" s="8" t="s">
        <v>541</v>
      </c>
      <c r="M6391" s="8" t="s">
        <v>27</v>
      </c>
      <c r="N6391" s="10" t="str">
        <f t="shared" si="543"/>
        <v>GAL</v>
      </c>
      <c r="O6391" s="11">
        <v>180</v>
      </c>
    </row>
    <row r="6392" spans="2:15" x14ac:dyDescent="0.25">
      <c r="B6392" s="6" t="s">
        <v>645</v>
      </c>
      <c r="C6392" s="7" t="s">
        <v>155</v>
      </c>
      <c r="D6392" s="8" t="s">
        <v>646</v>
      </c>
      <c r="E6392" s="8" t="s">
        <v>647</v>
      </c>
      <c r="F6392" s="9">
        <f>DATE(2024,12,20)</f>
        <v>45646</v>
      </c>
      <c r="G6392" s="10">
        <f t="shared" si="545"/>
        <v>12</v>
      </c>
      <c r="H6392" s="10">
        <f t="shared" si="546"/>
        <v>2024</v>
      </c>
      <c r="I6392" s="8" t="s">
        <v>4</v>
      </c>
      <c r="J6392" s="7" t="s">
        <v>7048</v>
      </c>
      <c r="K6392" s="8" t="s">
        <v>25</v>
      </c>
      <c r="L6392" s="8" t="s">
        <v>541</v>
      </c>
      <c r="M6392" s="8" t="s">
        <v>27</v>
      </c>
      <c r="N6392" s="10" t="str">
        <f t="shared" si="543"/>
        <v>GAL</v>
      </c>
      <c r="O6392" s="11">
        <v>540</v>
      </c>
    </row>
    <row r="6393" spans="2:15" x14ac:dyDescent="0.25">
      <c r="B6393" s="6" t="s">
        <v>154</v>
      </c>
      <c r="C6393" s="7" t="s">
        <v>155</v>
      </c>
      <c r="D6393" s="8" t="s">
        <v>178</v>
      </c>
      <c r="E6393" s="8" t="s">
        <v>179</v>
      </c>
      <c r="F6393" s="9">
        <f>DATE(2024,12,23)</f>
        <v>45649</v>
      </c>
      <c r="G6393" s="10">
        <f t="shared" si="545"/>
        <v>12</v>
      </c>
      <c r="H6393" s="10">
        <f t="shared" si="546"/>
        <v>2024</v>
      </c>
      <c r="I6393" s="8" t="s">
        <v>4</v>
      </c>
      <c r="J6393" s="7" t="s">
        <v>7049</v>
      </c>
      <c r="K6393" s="8" t="s">
        <v>25</v>
      </c>
      <c r="L6393" s="8" t="s">
        <v>541</v>
      </c>
      <c r="M6393" s="8" t="s">
        <v>27</v>
      </c>
      <c r="N6393" s="10" t="str">
        <f t="shared" si="543"/>
        <v>GAL</v>
      </c>
      <c r="O6393" s="11">
        <v>180</v>
      </c>
    </row>
    <row r="6394" spans="2:15" x14ac:dyDescent="0.25">
      <c r="B6394" s="6" t="s">
        <v>154</v>
      </c>
      <c r="C6394" s="7" t="s">
        <v>155</v>
      </c>
      <c r="D6394" s="8" t="s">
        <v>107</v>
      </c>
      <c r="E6394" s="8" t="s">
        <v>108</v>
      </c>
      <c r="F6394" s="9">
        <f>DATE(2024,12,23)</f>
        <v>45649</v>
      </c>
      <c r="G6394" s="10">
        <f t="shared" si="545"/>
        <v>12</v>
      </c>
      <c r="H6394" s="10">
        <f t="shared" si="546"/>
        <v>2024</v>
      </c>
      <c r="I6394" s="8" t="s">
        <v>4</v>
      </c>
      <c r="J6394" s="7" t="s">
        <v>7050</v>
      </c>
      <c r="K6394" s="8" t="s">
        <v>192</v>
      </c>
      <c r="L6394" s="8" t="s">
        <v>193</v>
      </c>
      <c r="M6394" s="8" t="s">
        <v>160</v>
      </c>
      <c r="N6394" s="10" t="str">
        <f t="shared" si="543"/>
        <v>GAL</v>
      </c>
      <c r="O6394" s="11">
        <v>500</v>
      </c>
    </row>
    <row r="6395" spans="2:15" x14ac:dyDescent="0.25">
      <c r="B6395" s="6" t="s">
        <v>154</v>
      </c>
      <c r="C6395" s="7" t="s">
        <v>155</v>
      </c>
      <c r="D6395" s="8" t="s">
        <v>107</v>
      </c>
      <c r="E6395" s="8" t="s">
        <v>108</v>
      </c>
      <c r="F6395" s="9">
        <f>DATE(2024,12,23)</f>
        <v>45649</v>
      </c>
      <c r="G6395" s="10">
        <f t="shared" si="545"/>
        <v>12</v>
      </c>
      <c r="H6395" s="10">
        <f t="shared" si="546"/>
        <v>2024</v>
      </c>
      <c r="I6395" s="8" t="s">
        <v>4</v>
      </c>
      <c r="J6395" s="7" t="s">
        <v>7050</v>
      </c>
      <c r="K6395" s="8" t="s">
        <v>1501</v>
      </c>
      <c r="L6395" s="8" t="s">
        <v>602</v>
      </c>
      <c r="M6395" s="8" t="s">
        <v>41</v>
      </c>
      <c r="N6395" s="10" t="str">
        <f t="shared" si="543"/>
        <v>GAL</v>
      </c>
      <c r="O6395" s="11">
        <v>180</v>
      </c>
    </row>
    <row r="6396" spans="2:15" x14ac:dyDescent="0.25">
      <c r="B6396" s="6" t="s">
        <v>154</v>
      </c>
      <c r="C6396" s="7" t="s">
        <v>155</v>
      </c>
      <c r="D6396" s="8" t="s">
        <v>623</v>
      </c>
      <c r="E6396" s="8" t="s">
        <v>624</v>
      </c>
      <c r="F6396" s="9">
        <f>DATE(2024,12,24)</f>
        <v>45650</v>
      </c>
      <c r="G6396" s="10">
        <f t="shared" si="545"/>
        <v>12</v>
      </c>
      <c r="H6396" s="10">
        <f t="shared" si="546"/>
        <v>2024</v>
      </c>
      <c r="I6396" s="8" t="s">
        <v>4</v>
      </c>
      <c r="J6396" s="7" t="s">
        <v>7051</v>
      </c>
      <c r="K6396" s="8" t="s">
        <v>7043</v>
      </c>
      <c r="L6396" s="8" t="s">
        <v>7044</v>
      </c>
      <c r="M6396" s="8" t="s">
        <v>119</v>
      </c>
      <c r="N6396" s="10" t="str">
        <f t="shared" si="543"/>
        <v>TON</v>
      </c>
      <c r="O6396" s="11">
        <v>15.02</v>
      </c>
    </row>
    <row r="6397" spans="2:15" x14ac:dyDescent="0.25">
      <c r="B6397" s="6" t="s">
        <v>645</v>
      </c>
      <c r="C6397" s="7" t="s">
        <v>155</v>
      </c>
      <c r="D6397" s="8" t="s">
        <v>646</v>
      </c>
      <c r="E6397" s="8" t="s">
        <v>647</v>
      </c>
      <c r="F6397" s="9">
        <f>DATE(2024,12,27)</f>
        <v>45653</v>
      </c>
      <c r="G6397" s="10">
        <f t="shared" si="545"/>
        <v>12</v>
      </c>
      <c r="H6397" s="10">
        <f t="shared" si="546"/>
        <v>2024</v>
      </c>
      <c r="I6397" s="8" t="s">
        <v>4</v>
      </c>
      <c r="J6397" s="7" t="s">
        <v>7052</v>
      </c>
      <c r="K6397" s="8" t="s">
        <v>158</v>
      </c>
      <c r="L6397" s="8" t="s">
        <v>159</v>
      </c>
      <c r="M6397" s="8" t="s">
        <v>160</v>
      </c>
      <c r="N6397" s="10" t="str">
        <f t="shared" si="543"/>
        <v>GAL</v>
      </c>
      <c r="O6397" s="11">
        <v>180</v>
      </c>
    </row>
    <row r="6398" spans="2:15" x14ac:dyDescent="0.25">
      <c r="B6398" s="6" t="s">
        <v>154</v>
      </c>
      <c r="C6398" s="7" t="s">
        <v>155</v>
      </c>
      <c r="D6398" s="8" t="s">
        <v>161</v>
      </c>
      <c r="E6398" s="8" t="s">
        <v>162</v>
      </c>
      <c r="F6398" s="9">
        <f>DATE(2024,12,30)</f>
        <v>45656</v>
      </c>
      <c r="G6398" s="10">
        <f t="shared" si="545"/>
        <v>12</v>
      </c>
      <c r="H6398" s="10">
        <f t="shared" si="546"/>
        <v>2024</v>
      </c>
      <c r="I6398" s="8" t="s">
        <v>4</v>
      </c>
      <c r="J6398" s="7" t="s">
        <v>7053</v>
      </c>
      <c r="K6398" s="8" t="s">
        <v>25</v>
      </c>
      <c r="L6398" s="8" t="s">
        <v>541</v>
      </c>
      <c r="M6398" s="8" t="s">
        <v>27</v>
      </c>
      <c r="N6398" s="10" t="str">
        <f t="shared" ref="N6398:N6461" si="548">+LEFT(M6398,3)</f>
        <v>GAL</v>
      </c>
      <c r="O6398" s="11">
        <v>180</v>
      </c>
    </row>
    <row r="6399" spans="2:15" x14ac:dyDescent="0.25">
      <c r="B6399" s="6" t="s">
        <v>154</v>
      </c>
      <c r="C6399" s="7" t="s">
        <v>155</v>
      </c>
      <c r="D6399" s="8" t="s">
        <v>167</v>
      </c>
      <c r="E6399" s="8" t="s">
        <v>168</v>
      </c>
      <c r="F6399" s="9">
        <f>DATE(2024,12,31)</f>
        <v>45657</v>
      </c>
      <c r="G6399" s="10">
        <f t="shared" si="545"/>
        <v>12</v>
      </c>
      <c r="H6399" s="10">
        <f t="shared" si="546"/>
        <v>2024</v>
      </c>
      <c r="I6399" s="8" t="s">
        <v>4</v>
      </c>
      <c r="J6399" s="7" t="s">
        <v>7054</v>
      </c>
      <c r="K6399" s="8" t="s">
        <v>1853</v>
      </c>
      <c r="L6399" s="8" t="s">
        <v>1854</v>
      </c>
      <c r="M6399" s="8" t="s">
        <v>1816</v>
      </c>
      <c r="N6399" s="10" t="str">
        <f t="shared" si="548"/>
        <v>GAL</v>
      </c>
      <c r="O6399" s="11">
        <v>180</v>
      </c>
    </row>
    <row r="6400" spans="2:15" x14ac:dyDescent="0.25">
      <c r="B6400" s="6" t="s">
        <v>154</v>
      </c>
      <c r="C6400" s="7" t="s">
        <v>155</v>
      </c>
      <c r="D6400" s="8" t="s">
        <v>167</v>
      </c>
      <c r="E6400" s="8" t="s">
        <v>168</v>
      </c>
      <c r="F6400" s="9">
        <f>DATE(2024,12,31)</f>
        <v>45657</v>
      </c>
      <c r="G6400" s="10">
        <f t="shared" si="545"/>
        <v>12</v>
      </c>
      <c r="H6400" s="10">
        <f t="shared" si="546"/>
        <v>2024</v>
      </c>
      <c r="I6400" s="8" t="s">
        <v>4</v>
      </c>
      <c r="J6400" s="7" t="s">
        <v>7055</v>
      </c>
      <c r="K6400" s="8" t="s">
        <v>1853</v>
      </c>
      <c r="L6400" s="8" t="s">
        <v>1854</v>
      </c>
      <c r="M6400" s="8" t="s">
        <v>1816</v>
      </c>
      <c r="N6400" s="10" t="str">
        <f t="shared" si="548"/>
        <v>GAL</v>
      </c>
      <c r="O6400" s="11">
        <v>180</v>
      </c>
    </row>
    <row r="6401" spans="2:15" x14ac:dyDescent="0.25">
      <c r="B6401" s="6" t="s">
        <v>154</v>
      </c>
      <c r="C6401" s="7" t="s">
        <v>155</v>
      </c>
      <c r="D6401" s="8" t="s">
        <v>623</v>
      </c>
      <c r="E6401" s="8" t="s">
        <v>624</v>
      </c>
      <c r="F6401" s="9">
        <f>DATE(2024,12,31)</f>
        <v>45657</v>
      </c>
      <c r="G6401" s="10">
        <f t="shared" si="545"/>
        <v>12</v>
      </c>
      <c r="H6401" s="10">
        <f t="shared" si="546"/>
        <v>2024</v>
      </c>
      <c r="I6401" s="8" t="s">
        <v>4</v>
      </c>
      <c r="J6401" s="7" t="s">
        <v>7056</v>
      </c>
      <c r="K6401" s="8" t="s">
        <v>7043</v>
      </c>
      <c r="L6401" s="8" t="s">
        <v>7044</v>
      </c>
      <c r="M6401" s="8" t="s">
        <v>119</v>
      </c>
      <c r="N6401" s="10" t="str">
        <f t="shared" si="548"/>
        <v>TON</v>
      </c>
      <c r="O6401" s="11">
        <v>15.025</v>
      </c>
    </row>
    <row r="6402" spans="2:15" x14ac:dyDescent="0.25">
      <c r="B6402" s="6" t="s">
        <v>1520</v>
      </c>
      <c r="C6402" s="7" t="s">
        <v>196</v>
      </c>
      <c r="D6402" s="8" t="s">
        <v>280</v>
      </c>
      <c r="E6402" s="8" t="s">
        <v>371</v>
      </c>
      <c r="F6402" s="9">
        <f>DATE(2024,12,2)</f>
        <v>45628</v>
      </c>
      <c r="G6402" s="10">
        <f t="shared" si="545"/>
        <v>12</v>
      </c>
      <c r="H6402" s="10">
        <f t="shared" si="546"/>
        <v>2024</v>
      </c>
      <c r="I6402" s="8" t="s">
        <v>4</v>
      </c>
      <c r="J6402" s="7" t="s">
        <v>7057</v>
      </c>
      <c r="K6402" s="8" t="s">
        <v>422</v>
      </c>
      <c r="L6402" s="8" t="s">
        <v>423</v>
      </c>
      <c r="M6402" s="8" t="s">
        <v>119</v>
      </c>
      <c r="N6402" s="10" t="str">
        <f t="shared" si="548"/>
        <v>TON</v>
      </c>
      <c r="O6402" s="11">
        <v>15.045</v>
      </c>
    </row>
    <row r="6403" spans="2:15" x14ac:dyDescent="0.25">
      <c r="B6403" s="6" t="s">
        <v>1520</v>
      </c>
      <c r="C6403" s="7" t="s">
        <v>196</v>
      </c>
      <c r="D6403" s="8" t="s">
        <v>331</v>
      </c>
      <c r="E6403" s="8" t="s">
        <v>432</v>
      </c>
      <c r="F6403" s="9">
        <f>DATE(2024,12,2)</f>
        <v>45628</v>
      </c>
      <c r="G6403" s="10">
        <f t="shared" si="545"/>
        <v>12</v>
      </c>
      <c r="H6403" s="10">
        <f t="shared" si="546"/>
        <v>2024</v>
      </c>
      <c r="I6403" s="8" t="s">
        <v>4</v>
      </c>
      <c r="J6403" s="7" t="s">
        <v>7058</v>
      </c>
      <c r="K6403" s="8" t="s">
        <v>329</v>
      </c>
      <c r="L6403" s="8" t="s">
        <v>330</v>
      </c>
      <c r="M6403" s="8" t="s">
        <v>119</v>
      </c>
      <c r="N6403" s="10" t="str">
        <f t="shared" si="548"/>
        <v>TON</v>
      </c>
      <c r="O6403" s="11">
        <v>15.015000000000001</v>
      </c>
    </row>
    <row r="6404" spans="2:15" x14ac:dyDescent="0.25">
      <c r="B6404" s="6" t="s">
        <v>1520</v>
      </c>
      <c r="C6404" s="7" t="s">
        <v>196</v>
      </c>
      <c r="D6404" s="8" t="s">
        <v>303</v>
      </c>
      <c r="E6404" s="8" t="s">
        <v>501</v>
      </c>
      <c r="F6404" s="9">
        <f t="shared" ref="F6404:F6414" si="549">DATE(2024,12,3)</f>
        <v>45629</v>
      </c>
      <c r="G6404" s="10">
        <f t="shared" si="545"/>
        <v>12</v>
      </c>
      <c r="H6404" s="10">
        <f t="shared" si="546"/>
        <v>2024</v>
      </c>
      <c r="I6404" s="8" t="s">
        <v>4</v>
      </c>
      <c r="J6404" s="7" t="s">
        <v>7059</v>
      </c>
      <c r="K6404" s="8" t="s">
        <v>422</v>
      </c>
      <c r="L6404" s="8" t="s">
        <v>423</v>
      </c>
      <c r="M6404" s="8" t="s">
        <v>119</v>
      </c>
      <c r="N6404" s="10" t="str">
        <f t="shared" si="548"/>
        <v>TON</v>
      </c>
      <c r="O6404" s="11">
        <v>10.022</v>
      </c>
    </row>
    <row r="6405" spans="2:15" x14ac:dyDescent="0.25">
      <c r="B6405" s="6" t="s">
        <v>1520</v>
      </c>
      <c r="C6405" s="7" t="s">
        <v>196</v>
      </c>
      <c r="D6405" s="8" t="s">
        <v>276</v>
      </c>
      <c r="E6405" s="8" t="s">
        <v>692</v>
      </c>
      <c r="F6405" s="9">
        <f t="shared" si="549"/>
        <v>45629</v>
      </c>
      <c r="G6405" s="10">
        <f t="shared" si="545"/>
        <v>12</v>
      </c>
      <c r="H6405" s="10">
        <f t="shared" si="546"/>
        <v>2024</v>
      </c>
      <c r="I6405" s="8" t="s">
        <v>4</v>
      </c>
      <c r="J6405" s="7" t="s">
        <v>7060</v>
      </c>
      <c r="K6405" s="8" t="s">
        <v>329</v>
      </c>
      <c r="L6405" s="8" t="s">
        <v>330</v>
      </c>
      <c r="M6405" s="8" t="s">
        <v>119</v>
      </c>
      <c r="N6405" s="10" t="str">
        <f t="shared" si="548"/>
        <v>TON</v>
      </c>
      <c r="O6405" s="11">
        <v>10.0025</v>
      </c>
    </row>
    <row r="6406" spans="2:15" x14ac:dyDescent="0.25">
      <c r="B6406" s="6" t="s">
        <v>1520</v>
      </c>
      <c r="C6406" s="7" t="s">
        <v>196</v>
      </c>
      <c r="D6406" s="8" t="s">
        <v>289</v>
      </c>
      <c r="E6406" s="8" t="s">
        <v>290</v>
      </c>
      <c r="F6406" s="9">
        <f t="shared" si="549"/>
        <v>45629</v>
      </c>
      <c r="G6406" s="10">
        <f t="shared" si="545"/>
        <v>12</v>
      </c>
      <c r="H6406" s="10">
        <f t="shared" si="546"/>
        <v>2024</v>
      </c>
      <c r="I6406" s="8" t="s">
        <v>4</v>
      </c>
      <c r="J6406" s="7" t="s">
        <v>7061</v>
      </c>
      <c r="K6406" s="8" t="s">
        <v>865</v>
      </c>
      <c r="L6406" s="8" t="s">
        <v>866</v>
      </c>
      <c r="M6406" s="8" t="s">
        <v>119</v>
      </c>
      <c r="N6406" s="10" t="str">
        <f t="shared" si="548"/>
        <v>TON</v>
      </c>
      <c r="O6406" s="11">
        <v>1</v>
      </c>
    </row>
    <row r="6407" spans="2:15" x14ac:dyDescent="0.25">
      <c r="B6407" s="6" t="s">
        <v>1520</v>
      </c>
      <c r="C6407" s="7" t="s">
        <v>196</v>
      </c>
      <c r="D6407" s="8" t="s">
        <v>4034</v>
      </c>
      <c r="E6407" s="8" t="s">
        <v>759</v>
      </c>
      <c r="F6407" s="9">
        <f t="shared" si="549"/>
        <v>45629</v>
      </c>
      <c r="G6407" s="10">
        <f t="shared" si="545"/>
        <v>12</v>
      </c>
      <c r="H6407" s="10">
        <f t="shared" si="546"/>
        <v>2024</v>
      </c>
      <c r="I6407" s="8" t="s">
        <v>4</v>
      </c>
      <c r="J6407" s="7" t="s">
        <v>7062</v>
      </c>
      <c r="K6407" s="8" t="s">
        <v>329</v>
      </c>
      <c r="L6407" s="8" t="s">
        <v>330</v>
      </c>
      <c r="M6407" s="8" t="s">
        <v>119</v>
      </c>
      <c r="N6407" s="10" t="str">
        <f t="shared" si="548"/>
        <v>TON</v>
      </c>
      <c r="O6407" s="11">
        <v>5.0075000000000003</v>
      </c>
    </row>
    <row r="6408" spans="2:15" x14ac:dyDescent="0.25">
      <c r="B6408" s="6" t="s">
        <v>1520</v>
      </c>
      <c r="C6408" s="7" t="s">
        <v>196</v>
      </c>
      <c r="D6408" s="8" t="s">
        <v>1276</v>
      </c>
      <c r="E6408" s="8" t="s">
        <v>791</v>
      </c>
      <c r="F6408" s="9">
        <f t="shared" si="549"/>
        <v>45629</v>
      </c>
      <c r="G6408" s="10">
        <f t="shared" si="545"/>
        <v>12</v>
      </c>
      <c r="H6408" s="10">
        <f t="shared" si="546"/>
        <v>2024</v>
      </c>
      <c r="I6408" s="8" t="s">
        <v>4</v>
      </c>
      <c r="J6408" s="7" t="s">
        <v>7063</v>
      </c>
      <c r="K6408" s="8" t="s">
        <v>329</v>
      </c>
      <c r="L6408" s="8" t="s">
        <v>330</v>
      </c>
      <c r="M6408" s="8" t="s">
        <v>119</v>
      </c>
      <c r="N6408" s="10" t="str">
        <f t="shared" si="548"/>
        <v>TON</v>
      </c>
      <c r="O6408" s="11">
        <v>5.0075000000000003</v>
      </c>
    </row>
    <row r="6409" spans="2:15" x14ac:dyDescent="0.25">
      <c r="B6409" s="6" t="s">
        <v>1520</v>
      </c>
      <c r="C6409" s="7" t="s">
        <v>196</v>
      </c>
      <c r="D6409" s="8" t="s">
        <v>6651</v>
      </c>
      <c r="E6409" s="8" t="s">
        <v>6652</v>
      </c>
      <c r="F6409" s="9">
        <f t="shared" si="549"/>
        <v>45629</v>
      </c>
      <c r="G6409" s="10">
        <f t="shared" si="545"/>
        <v>12</v>
      </c>
      <c r="H6409" s="10">
        <f t="shared" si="546"/>
        <v>2024</v>
      </c>
      <c r="I6409" s="8" t="s">
        <v>4</v>
      </c>
      <c r="J6409" s="7" t="s">
        <v>7064</v>
      </c>
      <c r="K6409" s="8" t="s">
        <v>329</v>
      </c>
      <c r="L6409" s="8" t="s">
        <v>330</v>
      </c>
      <c r="M6409" s="8" t="s">
        <v>119</v>
      </c>
      <c r="N6409" s="10" t="str">
        <f t="shared" si="548"/>
        <v>TON</v>
      </c>
      <c r="O6409" s="11">
        <v>5</v>
      </c>
    </row>
    <row r="6410" spans="2:15" x14ac:dyDescent="0.25">
      <c r="B6410" s="6" t="s">
        <v>1520</v>
      </c>
      <c r="C6410" s="7" t="s">
        <v>196</v>
      </c>
      <c r="D6410" s="8" t="s">
        <v>114</v>
      </c>
      <c r="E6410" s="8" t="s">
        <v>369</v>
      </c>
      <c r="F6410" s="9">
        <f t="shared" si="549"/>
        <v>45629</v>
      </c>
      <c r="G6410" s="10">
        <f t="shared" si="545"/>
        <v>12</v>
      </c>
      <c r="H6410" s="10">
        <f t="shared" si="546"/>
        <v>2024</v>
      </c>
      <c r="I6410" s="8" t="s">
        <v>4</v>
      </c>
      <c r="J6410" s="7" t="s">
        <v>7065</v>
      </c>
      <c r="K6410" s="8" t="s">
        <v>422</v>
      </c>
      <c r="L6410" s="8" t="s">
        <v>423</v>
      </c>
      <c r="M6410" s="8" t="s">
        <v>119</v>
      </c>
      <c r="N6410" s="10" t="str">
        <f t="shared" si="548"/>
        <v>TON</v>
      </c>
      <c r="O6410" s="11">
        <v>2</v>
      </c>
    </row>
    <row r="6411" spans="2:15" x14ac:dyDescent="0.25">
      <c r="B6411" s="6" t="s">
        <v>1520</v>
      </c>
      <c r="C6411" s="7" t="s">
        <v>196</v>
      </c>
      <c r="D6411" s="8" t="s">
        <v>3761</v>
      </c>
      <c r="E6411" s="8" t="s">
        <v>3762</v>
      </c>
      <c r="F6411" s="9">
        <f t="shared" si="549"/>
        <v>45629</v>
      </c>
      <c r="G6411" s="10">
        <f t="shared" si="545"/>
        <v>12</v>
      </c>
      <c r="H6411" s="10">
        <f t="shared" si="546"/>
        <v>2024</v>
      </c>
      <c r="I6411" s="8" t="s">
        <v>4</v>
      </c>
      <c r="J6411" s="7" t="s">
        <v>7066</v>
      </c>
      <c r="K6411" s="8" t="s">
        <v>329</v>
      </c>
      <c r="L6411" s="8" t="s">
        <v>330</v>
      </c>
      <c r="M6411" s="8" t="s">
        <v>119</v>
      </c>
      <c r="N6411" s="10" t="str">
        <f t="shared" si="548"/>
        <v>TON</v>
      </c>
      <c r="O6411" s="11">
        <v>10.01</v>
      </c>
    </row>
    <row r="6412" spans="2:15" x14ac:dyDescent="0.25">
      <c r="B6412" s="6" t="s">
        <v>1520</v>
      </c>
      <c r="C6412" s="7" t="s">
        <v>196</v>
      </c>
      <c r="D6412" s="8" t="s">
        <v>276</v>
      </c>
      <c r="E6412" s="8" t="s">
        <v>878</v>
      </c>
      <c r="F6412" s="9">
        <f t="shared" si="549"/>
        <v>45629</v>
      </c>
      <c r="G6412" s="10">
        <f t="shared" si="545"/>
        <v>12</v>
      </c>
      <c r="H6412" s="10">
        <f t="shared" si="546"/>
        <v>2024</v>
      </c>
      <c r="I6412" s="8" t="s">
        <v>4</v>
      </c>
      <c r="J6412" s="7" t="s">
        <v>7067</v>
      </c>
      <c r="K6412" s="8" t="s">
        <v>292</v>
      </c>
      <c r="L6412" s="8" t="s">
        <v>293</v>
      </c>
      <c r="M6412" s="8" t="s">
        <v>119</v>
      </c>
      <c r="N6412" s="10" t="str">
        <f t="shared" si="548"/>
        <v>TON</v>
      </c>
      <c r="O6412" s="11">
        <v>8</v>
      </c>
    </row>
    <row r="6413" spans="2:15" x14ac:dyDescent="0.25">
      <c r="B6413" s="6" t="s">
        <v>1520</v>
      </c>
      <c r="C6413" s="7" t="s">
        <v>196</v>
      </c>
      <c r="D6413" s="8" t="s">
        <v>800</v>
      </c>
      <c r="E6413" s="8" t="s">
        <v>911</v>
      </c>
      <c r="F6413" s="9">
        <f t="shared" si="549"/>
        <v>45629</v>
      </c>
      <c r="G6413" s="10">
        <f t="shared" si="545"/>
        <v>12</v>
      </c>
      <c r="H6413" s="10">
        <f t="shared" si="546"/>
        <v>2024</v>
      </c>
      <c r="I6413" s="8" t="s">
        <v>4</v>
      </c>
      <c r="J6413" s="7" t="s">
        <v>7068</v>
      </c>
      <c r="K6413" s="8" t="s">
        <v>122</v>
      </c>
      <c r="L6413" s="8" t="s">
        <v>123</v>
      </c>
      <c r="M6413" s="8" t="s">
        <v>119</v>
      </c>
      <c r="N6413" s="10" t="str">
        <f t="shared" si="548"/>
        <v>TON</v>
      </c>
      <c r="O6413" s="11">
        <v>1.2549999999999999</v>
      </c>
    </row>
    <row r="6414" spans="2:15" x14ac:dyDescent="0.25">
      <c r="B6414" s="6" t="s">
        <v>645</v>
      </c>
      <c r="C6414" s="7" t="s">
        <v>196</v>
      </c>
      <c r="D6414" s="8" t="s">
        <v>790</v>
      </c>
      <c r="E6414" s="8" t="s">
        <v>1205</v>
      </c>
      <c r="F6414" s="9">
        <f t="shared" si="549"/>
        <v>45629</v>
      </c>
      <c r="G6414" s="10">
        <f t="shared" si="545"/>
        <v>12</v>
      </c>
      <c r="H6414" s="10">
        <f t="shared" si="546"/>
        <v>2024</v>
      </c>
      <c r="I6414" s="8" t="s">
        <v>4</v>
      </c>
      <c r="J6414" s="7" t="s">
        <v>7069</v>
      </c>
      <c r="K6414" s="8" t="s">
        <v>4149</v>
      </c>
      <c r="L6414" s="8" t="s">
        <v>4150</v>
      </c>
      <c r="M6414" s="8" t="s">
        <v>119</v>
      </c>
      <c r="N6414" s="10" t="str">
        <f t="shared" si="548"/>
        <v>TON</v>
      </c>
      <c r="O6414" s="11">
        <v>9.0050000000000008</v>
      </c>
    </row>
    <row r="6415" spans="2:15" x14ac:dyDescent="0.25">
      <c r="B6415" s="6" t="s">
        <v>1520</v>
      </c>
      <c r="C6415" s="7" t="s">
        <v>196</v>
      </c>
      <c r="D6415" s="8" t="s">
        <v>458</v>
      </c>
      <c r="E6415" s="8" t="s">
        <v>699</v>
      </c>
      <c r="F6415" s="9">
        <f>DATE(2024,12,4)</f>
        <v>45630</v>
      </c>
      <c r="G6415" s="10">
        <f t="shared" si="545"/>
        <v>12</v>
      </c>
      <c r="H6415" s="10">
        <f t="shared" si="546"/>
        <v>2024</v>
      </c>
      <c r="I6415" s="8" t="s">
        <v>4</v>
      </c>
      <c r="J6415" s="7" t="s">
        <v>7070</v>
      </c>
      <c r="K6415" s="8" t="s">
        <v>329</v>
      </c>
      <c r="L6415" s="8" t="s">
        <v>330</v>
      </c>
      <c r="M6415" s="8" t="s">
        <v>119</v>
      </c>
      <c r="N6415" s="10" t="str">
        <f t="shared" si="548"/>
        <v>TON</v>
      </c>
      <c r="O6415" s="11">
        <v>5.0175000000000001</v>
      </c>
    </row>
    <row r="6416" spans="2:15" x14ac:dyDescent="0.25">
      <c r="B6416" s="6" t="s">
        <v>1520</v>
      </c>
      <c r="C6416" s="7" t="s">
        <v>196</v>
      </c>
      <c r="D6416" s="8" t="s">
        <v>273</v>
      </c>
      <c r="E6416" s="8" t="s">
        <v>274</v>
      </c>
      <c r="F6416" s="9">
        <f>DATE(2024,12,4)</f>
        <v>45630</v>
      </c>
      <c r="G6416" s="10">
        <f t="shared" si="545"/>
        <v>12</v>
      </c>
      <c r="H6416" s="10">
        <f t="shared" si="546"/>
        <v>2024</v>
      </c>
      <c r="I6416" s="8" t="s">
        <v>4</v>
      </c>
      <c r="J6416" s="7" t="s">
        <v>7071</v>
      </c>
      <c r="K6416" s="8" t="s">
        <v>7072</v>
      </c>
      <c r="L6416" s="8" t="s">
        <v>7073</v>
      </c>
      <c r="M6416" s="8" t="s">
        <v>119</v>
      </c>
      <c r="N6416" s="10" t="str">
        <f t="shared" si="548"/>
        <v>TON</v>
      </c>
      <c r="O6416" s="11">
        <v>5.0025000000000004</v>
      </c>
    </row>
    <row r="6417" spans="2:15" x14ac:dyDescent="0.25">
      <c r="B6417" s="6" t="s">
        <v>1520</v>
      </c>
      <c r="C6417" s="7" t="s">
        <v>196</v>
      </c>
      <c r="D6417" s="8" t="s">
        <v>310</v>
      </c>
      <c r="E6417" s="8" t="s">
        <v>426</v>
      </c>
      <c r="F6417" s="9">
        <f>DATE(2024,12,4)</f>
        <v>45630</v>
      </c>
      <c r="G6417" s="10">
        <f t="shared" si="545"/>
        <v>12</v>
      </c>
      <c r="H6417" s="10">
        <f t="shared" si="546"/>
        <v>2024</v>
      </c>
      <c r="I6417" s="8" t="s">
        <v>4</v>
      </c>
      <c r="J6417" s="7" t="s">
        <v>7074</v>
      </c>
      <c r="K6417" s="8" t="s">
        <v>428</v>
      </c>
      <c r="L6417" s="8" t="s">
        <v>429</v>
      </c>
      <c r="M6417" s="8" t="s">
        <v>119</v>
      </c>
      <c r="N6417" s="10" t="str">
        <f t="shared" si="548"/>
        <v>TON</v>
      </c>
      <c r="O6417" s="11">
        <v>3</v>
      </c>
    </row>
    <row r="6418" spans="2:15" x14ac:dyDescent="0.25">
      <c r="B6418" s="6" t="s">
        <v>1520</v>
      </c>
      <c r="C6418" s="7" t="s">
        <v>196</v>
      </c>
      <c r="D6418" s="8" t="s">
        <v>280</v>
      </c>
      <c r="E6418" s="8" t="s">
        <v>254</v>
      </c>
      <c r="F6418" s="9">
        <f>DATE(2024,12,4)</f>
        <v>45630</v>
      </c>
      <c r="G6418" s="10">
        <f t="shared" ref="G6418:G6481" si="550">+MONTH(F6418)</f>
        <v>12</v>
      </c>
      <c r="H6418" s="10">
        <f t="shared" ref="H6418:H6481" si="551">+YEAR(F6418)</f>
        <v>2024</v>
      </c>
      <c r="I6418" s="8" t="s">
        <v>4</v>
      </c>
      <c r="J6418" s="7" t="s">
        <v>7075</v>
      </c>
      <c r="K6418" s="8" t="s">
        <v>422</v>
      </c>
      <c r="L6418" s="8" t="s">
        <v>423</v>
      </c>
      <c r="M6418" s="8" t="s">
        <v>119</v>
      </c>
      <c r="N6418" s="10" t="str">
        <f t="shared" si="548"/>
        <v>TON</v>
      </c>
      <c r="O6418" s="11">
        <v>20.012499999999999</v>
      </c>
    </row>
    <row r="6419" spans="2:15" x14ac:dyDescent="0.25">
      <c r="B6419" s="6" t="s">
        <v>1520</v>
      </c>
      <c r="C6419" s="7" t="s">
        <v>196</v>
      </c>
      <c r="D6419" s="8" t="s">
        <v>114</v>
      </c>
      <c r="E6419" s="8" t="s">
        <v>402</v>
      </c>
      <c r="F6419" s="9">
        <f>DATE(2024,12,4)</f>
        <v>45630</v>
      </c>
      <c r="G6419" s="10">
        <f t="shared" si="550"/>
        <v>12</v>
      </c>
      <c r="H6419" s="10">
        <f t="shared" si="551"/>
        <v>2024</v>
      </c>
      <c r="I6419" s="8" t="s">
        <v>4</v>
      </c>
      <c r="J6419" s="7" t="s">
        <v>7076</v>
      </c>
      <c r="K6419" s="8" t="s">
        <v>422</v>
      </c>
      <c r="L6419" s="8" t="s">
        <v>423</v>
      </c>
      <c r="M6419" s="8" t="s">
        <v>119</v>
      </c>
      <c r="N6419" s="10" t="str">
        <f t="shared" si="548"/>
        <v>TON</v>
      </c>
      <c r="O6419" s="11">
        <v>7.2474999999999996</v>
      </c>
    </row>
    <row r="6420" spans="2:15" x14ac:dyDescent="0.25">
      <c r="B6420" s="6" t="s">
        <v>1520</v>
      </c>
      <c r="C6420" s="7" t="s">
        <v>196</v>
      </c>
      <c r="D6420" s="8" t="s">
        <v>374</v>
      </c>
      <c r="E6420" s="8" t="s">
        <v>375</v>
      </c>
      <c r="F6420" s="9">
        <f t="shared" ref="F6420:F6428" si="552">DATE(2024,12,5)</f>
        <v>45631</v>
      </c>
      <c r="G6420" s="10">
        <f t="shared" si="550"/>
        <v>12</v>
      </c>
      <c r="H6420" s="10">
        <f t="shared" si="551"/>
        <v>2024</v>
      </c>
      <c r="I6420" s="8" t="s">
        <v>4</v>
      </c>
      <c r="J6420" s="7" t="s">
        <v>7077</v>
      </c>
      <c r="K6420" s="8" t="s">
        <v>329</v>
      </c>
      <c r="L6420" s="8" t="s">
        <v>330</v>
      </c>
      <c r="M6420" s="8" t="s">
        <v>119</v>
      </c>
      <c r="N6420" s="10" t="str">
        <f t="shared" si="548"/>
        <v>TON</v>
      </c>
      <c r="O6420" s="11">
        <v>15.0175</v>
      </c>
    </row>
    <row r="6421" spans="2:15" x14ac:dyDescent="0.25">
      <c r="B6421" s="6" t="s">
        <v>1520</v>
      </c>
      <c r="C6421" s="7" t="s">
        <v>196</v>
      </c>
      <c r="D6421" s="8" t="s">
        <v>303</v>
      </c>
      <c r="E6421" s="8" t="s">
        <v>942</v>
      </c>
      <c r="F6421" s="9">
        <f t="shared" si="552"/>
        <v>45631</v>
      </c>
      <c r="G6421" s="10">
        <f t="shared" si="550"/>
        <v>12</v>
      </c>
      <c r="H6421" s="10">
        <f t="shared" si="551"/>
        <v>2024</v>
      </c>
      <c r="I6421" s="8" t="s">
        <v>4</v>
      </c>
      <c r="J6421" s="7" t="s">
        <v>7078</v>
      </c>
      <c r="K6421" s="8" t="s">
        <v>3726</v>
      </c>
      <c r="L6421" s="8" t="s">
        <v>3727</v>
      </c>
      <c r="M6421" s="8" t="s">
        <v>145</v>
      </c>
      <c r="N6421" s="10" t="str">
        <f t="shared" si="548"/>
        <v>GAL</v>
      </c>
      <c r="O6421" s="11">
        <v>2.25</v>
      </c>
    </row>
    <row r="6422" spans="2:15" x14ac:dyDescent="0.25">
      <c r="B6422" s="6" t="s">
        <v>1520</v>
      </c>
      <c r="C6422" s="7" t="s">
        <v>196</v>
      </c>
      <c r="D6422" s="8" t="s">
        <v>303</v>
      </c>
      <c r="E6422" s="8" t="s">
        <v>942</v>
      </c>
      <c r="F6422" s="9">
        <f t="shared" si="552"/>
        <v>45631</v>
      </c>
      <c r="G6422" s="10">
        <f t="shared" si="550"/>
        <v>12</v>
      </c>
      <c r="H6422" s="10">
        <f t="shared" si="551"/>
        <v>2024</v>
      </c>
      <c r="I6422" s="8" t="s">
        <v>4</v>
      </c>
      <c r="J6422" s="7" t="s">
        <v>7078</v>
      </c>
      <c r="K6422" s="8" t="s">
        <v>422</v>
      </c>
      <c r="L6422" s="8" t="s">
        <v>423</v>
      </c>
      <c r="M6422" s="8" t="s">
        <v>119</v>
      </c>
      <c r="N6422" s="10" t="str">
        <f t="shared" si="548"/>
        <v>TON</v>
      </c>
      <c r="O6422" s="11">
        <v>5.0049999999999999</v>
      </c>
    </row>
    <row r="6423" spans="2:15" x14ac:dyDescent="0.25">
      <c r="B6423" s="6" t="s">
        <v>1520</v>
      </c>
      <c r="C6423" s="7" t="s">
        <v>196</v>
      </c>
      <c r="D6423" s="8" t="s">
        <v>672</v>
      </c>
      <c r="E6423" s="8" t="s">
        <v>699</v>
      </c>
      <c r="F6423" s="9">
        <f t="shared" si="552"/>
        <v>45631</v>
      </c>
      <c r="G6423" s="10">
        <f t="shared" si="550"/>
        <v>12</v>
      </c>
      <c r="H6423" s="10">
        <f t="shared" si="551"/>
        <v>2024</v>
      </c>
      <c r="I6423" s="8" t="s">
        <v>4</v>
      </c>
      <c r="J6423" s="7" t="s">
        <v>7079</v>
      </c>
      <c r="K6423" s="8" t="s">
        <v>251</v>
      </c>
      <c r="L6423" s="8" t="s">
        <v>252</v>
      </c>
      <c r="M6423" s="8" t="s">
        <v>119</v>
      </c>
      <c r="N6423" s="10" t="str">
        <f t="shared" si="548"/>
        <v>TON</v>
      </c>
      <c r="O6423" s="11">
        <v>3.5049999999999999</v>
      </c>
    </row>
    <row r="6424" spans="2:15" x14ac:dyDescent="0.25">
      <c r="B6424" s="6" t="s">
        <v>1520</v>
      </c>
      <c r="C6424" s="7" t="s">
        <v>196</v>
      </c>
      <c r="D6424" s="8" t="s">
        <v>276</v>
      </c>
      <c r="E6424" s="8" t="s">
        <v>682</v>
      </c>
      <c r="F6424" s="9">
        <f t="shared" si="552"/>
        <v>45631</v>
      </c>
      <c r="G6424" s="10">
        <f t="shared" si="550"/>
        <v>12</v>
      </c>
      <c r="H6424" s="10">
        <f t="shared" si="551"/>
        <v>2024</v>
      </c>
      <c r="I6424" s="8" t="s">
        <v>4</v>
      </c>
      <c r="J6424" s="7" t="s">
        <v>7080</v>
      </c>
      <c r="K6424" s="8" t="s">
        <v>329</v>
      </c>
      <c r="L6424" s="8" t="s">
        <v>330</v>
      </c>
      <c r="M6424" s="8" t="s">
        <v>119</v>
      </c>
      <c r="N6424" s="10" t="str">
        <f t="shared" si="548"/>
        <v>TON</v>
      </c>
      <c r="O6424" s="11">
        <v>14.984999999999999</v>
      </c>
    </row>
    <row r="6425" spans="2:15" x14ac:dyDescent="0.25">
      <c r="B6425" s="6" t="s">
        <v>1520</v>
      </c>
      <c r="C6425" s="7" t="s">
        <v>196</v>
      </c>
      <c r="D6425" s="8" t="s">
        <v>800</v>
      </c>
      <c r="E6425" s="8" t="s">
        <v>801</v>
      </c>
      <c r="F6425" s="9">
        <f t="shared" si="552"/>
        <v>45631</v>
      </c>
      <c r="G6425" s="10">
        <f t="shared" si="550"/>
        <v>12</v>
      </c>
      <c r="H6425" s="10">
        <f t="shared" si="551"/>
        <v>2024</v>
      </c>
      <c r="I6425" s="8" t="s">
        <v>4</v>
      </c>
      <c r="J6425" s="7" t="s">
        <v>7081</v>
      </c>
      <c r="K6425" s="8" t="s">
        <v>122</v>
      </c>
      <c r="L6425" s="8" t="s">
        <v>123</v>
      </c>
      <c r="M6425" s="8" t="s">
        <v>119</v>
      </c>
      <c r="N6425" s="10" t="str">
        <f t="shared" si="548"/>
        <v>TON</v>
      </c>
      <c r="O6425" s="11">
        <v>3.7425000000000002</v>
      </c>
    </row>
    <row r="6426" spans="2:15" x14ac:dyDescent="0.25">
      <c r="B6426" s="6" t="s">
        <v>1520</v>
      </c>
      <c r="C6426" s="7" t="s">
        <v>196</v>
      </c>
      <c r="D6426" s="8" t="s">
        <v>215</v>
      </c>
      <c r="E6426" s="8" t="s">
        <v>4113</v>
      </c>
      <c r="F6426" s="9">
        <f t="shared" si="552"/>
        <v>45631</v>
      </c>
      <c r="G6426" s="10">
        <f t="shared" si="550"/>
        <v>12</v>
      </c>
      <c r="H6426" s="10">
        <f t="shared" si="551"/>
        <v>2024</v>
      </c>
      <c r="I6426" s="8" t="s">
        <v>4</v>
      </c>
      <c r="J6426" s="7" t="s">
        <v>7082</v>
      </c>
      <c r="K6426" s="8" t="s">
        <v>329</v>
      </c>
      <c r="L6426" s="8" t="s">
        <v>330</v>
      </c>
      <c r="M6426" s="8" t="s">
        <v>119</v>
      </c>
      <c r="N6426" s="10" t="str">
        <f t="shared" si="548"/>
        <v>TON</v>
      </c>
      <c r="O6426" s="11">
        <v>2.5074999999999998</v>
      </c>
    </row>
    <row r="6427" spans="2:15" x14ac:dyDescent="0.25">
      <c r="B6427" s="6" t="s">
        <v>1520</v>
      </c>
      <c r="C6427" s="7" t="s">
        <v>196</v>
      </c>
      <c r="D6427" s="8" t="s">
        <v>458</v>
      </c>
      <c r="E6427" s="8" t="s">
        <v>2868</v>
      </c>
      <c r="F6427" s="9">
        <f t="shared" si="552"/>
        <v>45631</v>
      </c>
      <c r="G6427" s="10">
        <f t="shared" si="550"/>
        <v>12</v>
      </c>
      <c r="H6427" s="10">
        <f t="shared" si="551"/>
        <v>2024</v>
      </c>
      <c r="I6427" s="8" t="s">
        <v>4</v>
      </c>
      <c r="J6427" s="7" t="s">
        <v>7083</v>
      </c>
      <c r="K6427" s="8" t="s">
        <v>329</v>
      </c>
      <c r="L6427" s="8" t="s">
        <v>330</v>
      </c>
      <c r="M6427" s="8" t="s">
        <v>119</v>
      </c>
      <c r="N6427" s="10" t="str">
        <f t="shared" si="548"/>
        <v>TON</v>
      </c>
      <c r="O6427" s="11">
        <v>5.0049999999999999</v>
      </c>
    </row>
    <row r="6428" spans="2:15" x14ac:dyDescent="0.25">
      <c r="B6428" s="6" t="s">
        <v>1520</v>
      </c>
      <c r="C6428" s="7" t="s">
        <v>196</v>
      </c>
      <c r="D6428" s="8" t="s">
        <v>114</v>
      </c>
      <c r="E6428" s="8" t="s">
        <v>3751</v>
      </c>
      <c r="F6428" s="9">
        <f t="shared" si="552"/>
        <v>45631</v>
      </c>
      <c r="G6428" s="10">
        <f t="shared" si="550"/>
        <v>12</v>
      </c>
      <c r="H6428" s="10">
        <f t="shared" si="551"/>
        <v>2024</v>
      </c>
      <c r="I6428" s="8" t="s">
        <v>4</v>
      </c>
      <c r="J6428" s="7" t="s">
        <v>7084</v>
      </c>
      <c r="K6428" s="8" t="s">
        <v>422</v>
      </c>
      <c r="L6428" s="8" t="s">
        <v>423</v>
      </c>
      <c r="M6428" s="8" t="s">
        <v>119</v>
      </c>
      <c r="N6428" s="10" t="str">
        <f t="shared" si="548"/>
        <v>TON</v>
      </c>
      <c r="O6428" s="11">
        <v>10.0025</v>
      </c>
    </row>
    <row r="6429" spans="2:15" x14ac:dyDescent="0.25">
      <c r="B6429" s="6" t="s">
        <v>1520</v>
      </c>
      <c r="C6429" s="7" t="s">
        <v>196</v>
      </c>
      <c r="D6429" s="8" t="s">
        <v>387</v>
      </c>
      <c r="E6429" s="8" t="s">
        <v>797</v>
      </c>
      <c r="F6429" s="9">
        <f>DATE(2024,12,4)</f>
        <v>45630</v>
      </c>
      <c r="G6429" s="10">
        <f t="shared" si="550"/>
        <v>12</v>
      </c>
      <c r="H6429" s="10">
        <f t="shared" si="551"/>
        <v>2024</v>
      </c>
      <c r="I6429" s="8" t="s">
        <v>4</v>
      </c>
      <c r="J6429" s="7" t="s">
        <v>7085</v>
      </c>
      <c r="K6429" s="8" t="s">
        <v>7086</v>
      </c>
      <c r="L6429" s="8" t="s">
        <v>7087</v>
      </c>
      <c r="M6429" s="8" t="s">
        <v>119</v>
      </c>
      <c r="N6429" s="10" t="str">
        <f t="shared" si="548"/>
        <v>TON</v>
      </c>
      <c r="O6429" s="11">
        <v>8.0150000000000006</v>
      </c>
    </row>
    <row r="6430" spans="2:15" x14ac:dyDescent="0.25">
      <c r="B6430" s="6" t="s">
        <v>1520</v>
      </c>
      <c r="C6430" s="7" t="s">
        <v>196</v>
      </c>
      <c r="D6430" s="8" t="s">
        <v>241</v>
      </c>
      <c r="E6430" s="8" t="s">
        <v>258</v>
      </c>
      <c r="F6430" s="9">
        <f>DATE(2024,12,4)</f>
        <v>45630</v>
      </c>
      <c r="G6430" s="10">
        <f t="shared" si="550"/>
        <v>12</v>
      </c>
      <c r="H6430" s="10">
        <f t="shared" si="551"/>
        <v>2024</v>
      </c>
      <c r="I6430" s="8" t="s">
        <v>4</v>
      </c>
      <c r="J6430" s="7" t="s">
        <v>7088</v>
      </c>
      <c r="K6430" s="8" t="s">
        <v>3458</v>
      </c>
      <c r="L6430" s="8" t="s">
        <v>3459</v>
      </c>
      <c r="M6430" s="8" t="s">
        <v>119</v>
      </c>
      <c r="N6430" s="10" t="str">
        <f t="shared" si="548"/>
        <v>TON</v>
      </c>
      <c r="O6430" s="11">
        <v>2.2524999999999999</v>
      </c>
    </row>
    <row r="6431" spans="2:15" x14ac:dyDescent="0.25">
      <c r="B6431" s="6" t="s">
        <v>1520</v>
      </c>
      <c r="C6431" s="7" t="s">
        <v>196</v>
      </c>
      <c r="D6431" s="8" t="s">
        <v>114</v>
      </c>
      <c r="E6431" s="8" t="s">
        <v>5054</v>
      </c>
      <c r="F6431" s="9">
        <f>DATE(2024,12,4)</f>
        <v>45630</v>
      </c>
      <c r="G6431" s="10">
        <f t="shared" si="550"/>
        <v>12</v>
      </c>
      <c r="H6431" s="10">
        <f t="shared" si="551"/>
        <v>2024</v>
      </c>
      <c r="I6431" s="8" t="s">
        <v>4</v>
      </c>
      <c r="J6431" s="7" t="s">
        <v>7089</v>
      </c>
      <c r="K6431" s="8" t="s">
        <v>422</v>
      </c>
      <c r="L6431" s="8" t="s">
        <v>423</v>
      </c>
      <c r="M6431" s="8" t="s">
        <v>119</v>
      </c>
      <c r="N6431" s="10" t="str">
        <f t="shared" si="548"/>
        <v>TON</v>
      </c>
      <c r="O6431" s="11">
        <v>10.0075</v>
      </c>
    </row>
    <row r="6432" spans="2:15" x14ac:dyDescent="0.25">
      <c r="B6432" s="6" t="s">
        <v>1520</v>
      </c>
      <c r="C6432" s="7" t="s">
        <v>196</v>
      </c>
      <c r="D6432" s="8" t="s">
        <v>215</v>
      </c>
      <c r="E6432" s="8" t="s">
        <v>4113</v>
      </c>
      <c r="F6432" s="9">
        <f>DATE(2024,12,4)</f>
        <v>45630</v>
      </c>
      <c r="G6432" s="10">
        <f t="shared" si="550"/>
        <v>12</v>
      </c>
      <c r="H6432" s="10">
        <f t="shared" si="551"/>
        <v>2024</v>
      </c>
      <c r="I6432" s="8" t="s">
        <v>4</v>
      </c>
      <c r="J6432" s="7" t="s">
        <v>7090</v>
      </c>
      <c r="K6432" s="8" t="s">
        <v>447</v>
      </c>
      <c r="L6432" s="8" t="s">
        <v>448</v>
      </c>
      <c r="M6432" s="8" t="s">
        <v>119</v>
      </c>
      <c r="N6432" s="10" t="str">
        <f t="shared" si="548"/>
        <v>TON</v>
      </c>
      <c r="O6432" s="11">
        <v>20.002500000000001</v>
      </c>
    </row>
    <row r="6433" spans="2:15" x14ac:dyDescent="0.25">
      <c r="B6433" s="6" t="s">
        <v>1520</v>
      </c>
      <c r="C6433" s="7" t="s">
        <v>196</v>
      </c>
      <c r="D6433" s="8" t="s">
        <v>215</v>
      </c>
      <c r="E6433" s="8" t="s">
        <v>2033</v>
      </c>
      <c r="F6433" s="9">
        <f>DATE(2024,12,5)</f>
        <v>45631</v>
      </c>
      <c r="G6433" s="10">
        <f t="shared" si="550"/>
        <v>12</v>
      </c>
      <c r="H6433" s="10">
        <f t="shared" si="551"/>
        <v>2024</v>
      </c>
      <c r="I6433" s="8" t="s">
        <v>4</v>
      </c>
      <c r="J6433" s="7" t="s">
        <v>7091</v>
      </c>
      <c r="K6433" s="8" t="s">
        <v>329</v>
      </c>
      <c r="L6433" s="8" t="s">
        <v>330</v>
      </c>
      <c r="M6433" s="8" t="s">
        <v>119</v>
      </c>
      <c r="N6433" s="10" t="str">
        <f t="shared" si="548"/>
        <v>TON</v>
      </c>
      <c r="O6433" s="11">
        <v>12.48</v>
      </c>
    </row>
    <row r="6434" spans="2:15" x14ac:dyDescent="0.25">
      <c r="B6434" s="6" t="s">
        <v>1520</v>
      </c>
      <c r="C6434" s="7" t="s">
        <v>196</v>
      </c>
      <c r="D6434" s="8" t="s">
        <v>452</v>
      </c>
      <c r="E6434" s="8" t="s">
        <v>7092</v>
      </c>
      <c r="F6434" s="9">
        <f>DATE(2024,12,5)</f>
        <v>45631</v>
      </c>
      <c r="G6434" s="10">
        <f t="shared" si="550"/>
        <v>12</v>
      </c>
      <c r="H6434" s="10">
        <f t="shared" si="551"/>
        <v>2024</v>
      </c>
      <c r="I6434" s="8" t="s">
        <v>4</v>
      </c>
      <c r="J6434" s="7" t="s">
        <v>7093</v>
      </c>
      <c r="K6434" s="8" t="s">
        <v>205</v>
      </c>
      <c r="L6434" s="8" t="s">
        <v>206</v>
      </c>
      <c r="M6434" s="8" t="s">
        <v>119</v>
      </c>
      <c r="N6434" s="10" t="str">
        <f t="shared" si="548"/>
        <v>TON</v>
      </c>
      <c r="O6434" s="11">
        <v>9.9975000000000005</v>
      </c>
    </row>
    <row r="6435" spans="2:15" x14ac:dyDescent="0.25">
      <c r="B6435" s="6" t="s">
        <v>1520</v>
      </c>
      <c r="C6435" s="7" t="s">
        <v>196</v>
      </c>
      <c r="D6435" s="8" t="s">
        <v>387</v>
      </c>
      <c r="E6435" s="8" t="s">
        <v>141</v>
      </c>
      <c r="F6435" s="9">
        <f t="shared" ref="F6435:F6448" si="553">DATE(2024,12,6)</f>
        <v>45632</v>
      </c>
      <c r="G6435" s="10">
        <f t="shared" si="550"/>
        <v>12</v>
      </c>
      <c r="H6435" s="10">
        <f t="shared" si="551"/>
        <v>2024</v>
      </c>
      <c r="I6435" s="8" t="s">
        <v>4</v>
      </c>
      <c r="J6435" s="7" t="s">
        <v>7094</v>
      </c>
      <c r="K6435" s="8" t="s">
        <v>551</v>
      </c>
      <c r="L6435" s="8" t="s">
        <v>2426</v>
      </c>
      <c r="M6435" s="8" t="s">
        <v>553</v>
      </c>
      <c r="N6435" s="10" t="str">
        <f t="shared" si="548"/>
        <v>GAL</v>
      </c>
      <c r="O6435" s="11">
        <v>35</v>
      </c>
    </row>
    <row r="6436" spans="2:15" x14ac:dyDescent="0.25">
      <c r="B6436" s="6" t="s">
        <v>1520</v>
      </c>
      <c r="C6436" s="7" t="s">
        <v>196</v>
      </c>
      <c r="D6436" s="8" t="s">
        <v>418</v>
      </c>
      <c r="E6436" s="8" t="s">
        <v>419</v>
      </c>
      <c r="F6436" s="9">
        <f t="shared" si="553"/>
        <v>45632</v>
      </c>
      <c r="G6436" s="10">
        <f t="shared" si="550"/>
        <v>12</v>
      </c>
      <c r="H6436" s="10">
        <f t="shared" si="551"/>
        <v>2024</v>
      </c>
      <c r="I6436" s="8" t="s">
        <v>4</v>
      </c>
      <c r="J6436" s="7" t="s">
        <v>7095</v>
      </c>
      <c r="K6436" s="8" t="s">
        <v>205</v>
      </c>
      <c r="L6436" s="8" t="s">
        <v>206</v>
      </c>
      <c r="M6436" s="8" t="s">
        <v>119</v>
      </c>
      <c r="N6436" s="10" t="str">
        <f t="shared" si="548"/>
        <v>TON</v>
      </c>
      <c r="O6436" s="11">
        <v>7.5</v>
      </c>
    </row>
    <row r="6437" spans="2:15" x14ac:dyDescent="0.25">
      <c r="B6437" s="6" t="s">
        <v>1520</v>
      </c>
      <c r="C6437" s="7" t="s">
        <v>196</v>
      </c>
      <c r="D6437" s="8" t="s">
        <v>7096</v>
      </c>
      <c r="E6437" s="8" t="s">
        <v>102</v>
      </c>
      <c r="F6437" s="9">
        <f t="shared" si="553"/>
        <v>45632</v>
      </c>
      <c r="G6437" s="10">
        <f t="shared" si="550"/>
        <v>12</v>
      </c>
      <c r="H6437" s="10">
        <f t="shared" si="551"/>
        <v>2024</v>
      </c>
      <c r="I6437" s="8" t="s">
        <v>4</v>
      </c>
      <c r="J6437" s="7" t="s">
        <v>7097</v>
      </c>
      <c r="K6437" s="8" t="s">
        <v>551</v>
      </c>
      <c r="L6437" s="8" t="s">
        <v>2426</v>
      </c>
      <c r="M6437" s="8" t="s">
        <v>553</v>
      </c>
      <c r="N6437" s="10" t="str">
        <f t="shared" si="548"/>
        <v>GAL</v>
      </c>
      <c r="O6437" s="11">
        <v>2.5</v>
      </c>
    </row>
    <row r="6438" spans="2:15" x14ac:dyDescent="0.25">
      <c r="B6438" s="6" t="s">
        <v>1520</v>
      </c>
      <c r="C6438" s="7" t="s">
        <v>196</v>
      </c>
      <c r="D6438" s="8" t="s">
        <v>7096</v>
      </c>
      <c r="E6438" s="8" t="s">
        <v>102</v>
      </c>
      <c r="F6438" s="9">
        <f t="shared" si="553"/>
        <v>45632</v>
      </c>
      <c r="G6438" s="10">
        <f t="shared" si="550"/>
        <v>12</v>
      </c>
      <c r="H6438" s="10">
        <f t="shared" si="551"/>
        <v>2024</v>
      </c>
      <c r="I6438" s="8" t="s">
        <v>4</v>
      </c>
      <c r="J6438" s="7" t="s">
        <v>7097</v>
      </c>
      <c r="K6438" s="8" t="s">
        <v>25</v>
      </c>
      <c r="L6438" s="8" t="s">
        <v>541</v>
      </c>
      <c r="M6438" s="8" t="s">
        <v>27</v>
      </c>
      <c r="N6438" s="10" t="str">
        <f t="shared" si="548"/>
        <v>GAL</v>
      </c>
      <c r="O6438" s="11">
        <v>2.5</v>
      </c>
    </row>
    <row r="6439" spans="2:15" x14ac:dyDescent="0.25">
      <c r="B6439" s="6" t="s">
        <v>1520</v>
      </c>
      <c r="C6439" s="7" t="s">
        <v>196</v>
      </c>
      <c r="D6439" s="8" t="s">
        <v>221</v>
      </c>
      <c r="E6439" s="8" t="s">
        <v>332</v>
      </c>
      <c r="F6439" s="9">
        <f t="shared" si="553"/>
        <v>45632</v>
      </c>
      <c r="G6439" s="10">
        <f t="shared" si="550"/>
        <v>12</v>
      </c>
      <c r="H6439" s="10">
        <f t="shared" si="551"/>
        <v>2024</v>
      </c>
      <c r="I6439" s="8" t="s">
        <v>4</v>
      </c>
      <c r="J6439" s="7" t="s">
        <v>7098</v>
      </c>
      <c r="K6439" s="8" t="s">
        <v>447</v>
      </c>
      <c r="L6439" s="8" t="s">
        <v>448</v>
      </c>
      <c r="M6439" s="8" t="s">
        <v>119</v>
      </c>
      <c r="N6439" s="10" t="str">
        <f t="shared" si="548"/>
        <v>TON</v>
      </c>
      <c r="O6439" s="11">
        <v>10.0025</v>
      </c>
    </row>
    <row r="6440" spans="2:15" x14ac:dyDescent="0.25">
      <c r="B6440" s="6" t="s">
        <v>1520</v>
      </c>
      <c r="C6440" s="7" t="s">
        <v>196</v>
      </c>
      <c r="D6440" s="8" t="s">
        <v>387</v>
      </c>
      <c r="E6440" s="8" t="s">
        <v>141</v>
      </c>
      <c r="F6440" s="9">
        <f t="shared" si="553"/>
        <v>45632</v>
      </c>
      <c r="G6440" s="10">
        <f t="shared" si="550"/>
        <v>12</v>
      </c>
      <c r="H6440" s="10">
        <f t="shared" si="551"/>
        <v>2024</v>
      </c>
      <c r="I6440" s="8" t="s">
        <v>4</v>
      </c>
      <c r="J6440" s="7" t="s">
        <v>7099</v>
      </c>
      <c r="K6440" s="8" t="s">
        <v>25</v>
      </c>
      <c r="L6440" s="8" t="s">
        <v>541</v>
      </c>
      <c r="M6440" s="8" t="s">
        <v>27</v>
      </c>
      <c r="N6440" s="10" t="str">
        <f t="shared" si="548"/>
        <v>GAL</v>
      </c>
      <c r="O6440" s="11">
        <v>35</v>
      </c>
    </row>
    <row r="6441" spans="2:15" x14ac:dyDescent="0.25">
      <c r="B6441" s="6" t="s">
        <v>1520</v>
      </c>
      <c r="C6441" s="7" t="s">
        <v>196</v>
      </c>
      <c r="D6441" s="8" t="s">
        <v>280</v>
      </c>
      <c r="E6441" s="8" t="s">
        <v>281</v>
      </c>
      <c r="F6441" s="9">
        <f t="shared" si="553"/>
        <v>45632</v>
      </c>
      <c r="G6441" s="10">
        <f t="shared" si="550"/>
        <v>12</v>
      </c>
      <c r="H6441" s="10">
        <f t="shared" si="551"/>
        <v>2024</v>
      </c>
      <c r="I6441" s="8" t="s">
        <v>4</v>
      </c>
      <c r="J6441" s="7" t="s">
        <v>7100</v>
      </c>
      <c r="K6441" s="8" t="s">
        <v>422</v>
      </c>
      <c r="L6441" s="8" t="s">
        <v>423</v>
      </c>
      <c r="M6441" s="8" t="s">
        <v>119</v>
      </c>
      <c r="N6441" s="10" t="str">
        <f t="shared" si="548"/>
        <v>TON</v>
      </c>
      <c r="O6441" s="11">
        <v>10.02</v>
      </c>
    </row>
    <row r="6442" spans="2:15" x14ac:dyDescent="0.25">
      <c r="B6442" s="6" t="s">
        <v>1520</v>
      </c>
      <c r="C6442" s="7" t="s">
        <v>196</v>
      </c>
      <c r="D6442" s="8" t="s">
        <v>440</v>
      </c>
      <c r="E6442" s="8" t="s">
        <v>441</v>
      </c>
      <c r="F6442" s="9">
        <f t="shared" si="553"/>
        <v>45632</v>
      </c>
      <c r="G6442" s="10">
        <f t="shared" si="550"/>
        <v>12</v>
      </c>
      <c r="H6442" s="10">
        <f t="shared" si="551"/>
        <v>2024</v>
      </c>
      <c r="I6442" s="8" t="s">
        <v>4</v>
      </c>
      <c r="J6442" s="7" t="s">
        <v>7101</v>
      </c>
      <c r="K6442" s="8" t="s">
        <v>7086</v>
      </c>
      <c r="L6442" s="8" t="s">
        <v>7087</v>
      </c>
      <c r="M6442" s="8" t="s">
        <v>119</v>
      </c>
      <c r="N6442" s="10" t="str">
        <f t="shared" si="548"/>
        <v>TON</v>
      </c>
      <c r="O6442" s="11">
        <v>5</v>
      </c>
    </row>
    <row r="6443" spans="2:15" x14ac:dyDescent="0.25">
      <c r="B6443" s="6" t="s">
        <v>1520</v>
      </c>
      <c r="C6443" s="7" t="s">
        <v>196</v>
      </c>
      <c r="D6443" s="8" t="s">
        <v>418</v>
      </c>
      <c r="E6443" s="8" t="s">
        <v>419</v>
      </c>
      <c r="F6443" s="9">
        <f t="shared" si="553"/>
        <v>45632</v>
      </c>
      <c r="G6443" s="10">
        <f t="shared" si="550"/>
        <v>12</v>
      </c>
      <c r="H6443" s="10">
        <f t="shared" si="551"/>
        <v>2024</v>
      </c>
      <c r="I6443" s="8" t="s">
        <v>4</v>
      </c>
      <c r="J6443" s="7" t="s">
        <v>7102</v>
      </c>
      <c r="K6443" s="8" t="s">
        <v>334</v>
      </c>
      <c r="L6443" s="8" t="s">
        <v>335</v>
      </c>
      <c r="M6443" s="8" t="s">
        <v>119</v>
      </c>
      <c r="N6443" s="10" t="str">
        <f t="shared" si="548"/>
        <v>TON</v>
      </c>
      <c r="O6443" s="11">
        <v>15.01</v>
      </c>
    </row>
    <row r="6444" spans="2:15" x14ac:dyDescent="0.25">
      <c r="B6444" s="6" t="s">
        <v>1520</v>
      </c>
      <c r="C6444" s="7" t="s">
        <v>196</v>
      </c>
      <c r="D6444" s="8" t="s">
        <v>452</v>
      </c>
      <c r="E6444" s="8" t="s">
        <v>1167</v>
      </c>
      <c r="F6444" s="9">
        <f t="shared" si="553"/>
        <v>45632</v>
      </c>
      <c r="G6444" s="10">
        <f t="shared" si="550"/>
        <v>12</v>
      </c>
      <c r="H6444" s="10">
        <f t="shared" si="551"/>
        <v>2024</v>
      </c>
      <c r="I6444" s="8" t="s">
        <v>4</v>
      </c>
      <c r="J6444" s="7" t="s">
        <v>7103</v>
      </c>
      <c r="K6444" s="8" t="s">
        <v>205</v>
      </c>
      <c r="L6444" s="8" t="s">
        <v>206</v>
      </c>
      <c r="M6444" s="8" t="s">
        <v>119</v>
      </c>
      <c r="N6444" s="10" t="str">
        <f t="shared" si="548"/>
        <v>TON</v>
      </c>
      <c r="O6444" s="11">
        <v>8.5024999999999995</v>
      </c>
    </row>
    <row r="6445" spans="2:15" x14ac:dyDescent="0.25">
      <c r="B6445" s="6" t="s">
        <v>1520</v>
      </c>
      <c r="C6445" s="7" t="s">
        <v>196</v>
      </c>
      <c r="D6445" s="8" t="s">
        <v>197</v>
      </c>
      <c r="E6445" s="8" t="s">
        <v>198</v>
      </c>
      <c r="F6445" s="9">
        <f t="shared" si="553"/>
        <v>45632</v>
      </c>
      <c r="G6445" s="10">
        <f t="shared" si="550"/>
        <v>12</v>
      </c>
      <c r="H6445" s="10">
        <f t="shared" si="551"/>
        <v>2024</v>
      </c>
      <c r="I6445" s="8" t="s">
        <v>4</v>
      </c>
      <c r="J6445" s="7" t="s">
        <v>7104</v>
      </c>
      <c r="K6445" s="8" t="s">
        <v>307</v>
      </c>
      <c r="L6445" s="8" t="s">
        <v>308</v>
      </c>
      <c r="M6445" s="8" t="s">
        <v>119</v>
      </c>
      <c r="N6445" s="10" t="str">
        <f t="shared" si="548"/>
        <v>TON</v>
      </c>
      <c r="O6445" s="11">
        <v>3.9950000000000001</v>
      </c>
    </row>
    <row r="6446" spans="2:15" x14ac:dyDescent="0.25">
      <c r="B6446" s="6" t="s">
        <v>1520</v>
      </c>
      <c r="C6446" s="7" t="s">
        <v>196</v>
      </c>
      <c r="D6446" s="8" t="s">
        <v>4098</v>
      </c>
      <c r="E6446" s="8" t="s">
        <v>695</v>
      </c>
      <c r="F6446" s="9">
        <f t="shared" si="553"/>
        <v>45632</v>
      </c>
      <c r="G6446" s="10">
        <f t="shared" si="550"/>
        <v>12</v>
      </c>
      <c r="H6446" s="10">
        <f t="shared" si="551"/>
        <v>2024</v>
      </c>
      <c r="I6446" s="8" t="s">
        <v>4</v>
      </c>
      <c r="J6446" s="7" t="s">
        <v>7105</v>
      </c>
      <c r="K6446" s="8" t="s">
        <v>329</v>
      </c>
      <c r="L6446" s="8" t="s">
        <v>330</v>
      </c>
      <c r="M6446" s="8" t="s">
        <v>119</v>
      </c>
      <c r="N6446" s="10" t="str">
        <f t="shared" si="548"/>
        <v>TON</v>
      </c>
      <c r="O6446" s="11">
        <v>2.5049999999999999</v>
      </c>
    </row>
    <row r="6447" spans="2:15" x14ac:dyDescent="0.25">
      <c r="B6447" s="6" t="s">
        <v>1520</v>
      </c>
      <c r="C6447" s="7" t="s">
        <v>196</v>
      </c>
      <c r="D6447" s="8" t="s">
        <v>321</v>
      </c>
      <c r="E6447" s="8" t="s">
        <v>697</v>
      </c>
      <c r="F6447" s="9">
        <f t="shared" si="553"/>
        <v>45632</v>
      </c>
      <c r="G6447" s="10">
        <f t="shared" si="550"/>
        <v>12</v>
      </c>
      <c r="H6447" s="10">
        <f t="shared" si="551"/>
        <v>2024</v>
      </c>
      <c r="I6447" s="8" t="s">
        <v>4</v>
      </c>
      <c r="J6447" s="7" t="s">
        <v>7106</v>
      </c>
      <c r="K6447" s="8" t="s">
        <v>394</v>
      </c>
      <c r="L6447" s="8" t="s">
        <v>395</v>
      </c>
      <c r="M6447" s="8" t="s">
        <v>119</v>
      </c>
      <c r="N6447" s="10" t="str">
        <f t="shared" si="548"/>
        <v>TON</v>
      </c>
      <c r="O6447" s="11">
        <v>10</v>
      </c>
    </row>
    <row r="6448" spans="2:15" x14ac:dyDescent="0.25">
      <c r="B6448" s="6" t="s">
        <v>1520</v>
      </c>
      <c r="C6448" s="7" t="s">
        <v>196</v>
      </c>
      <c r="D6448" s="8" t="s">
        <v>248</v>
      </c>
      <c r="E6448" s="8" t="s">
        <v>3610</v>
      </c>
      <c r="F6448" s="9">
        <f t="shared" si="553"/>
        <v>45632</v>
      </c>
      <c r="G6448" s="10">
        <f t="shared" si="550"/>
        <v>12</v>
      </c>
      <c r="H6448" s="10">
        <f t="shared" si="551"/>
        <v>2024</v>
      </c>
      <c r="I6448" s="8" t="s">
        <v>4</v>
      </c>
      <c r="J6448" s="7" t="s">
        <v>7107</v>
      </c>
      <c r="K6448" s="8" t="s">
        <v>251</v>
      </c>
      <c r="L6448" s="8" t="s">
        <v>252</v>
      </c>
      <c r="M6448" s="8" t="s">
        <v>119</v>
      </c>
      <c r="N6448" s="10" t="str">
        <f t="shared" si="548"/>
        <v>TON</v>
      </c>
      <c r="O6448" s="11">
        <v>8.0425000000000004</v>
      </c>
    </row>
    <row r="6449" spans="2:15" x14ac:dyDescent="0.25">
      <c r="B6449" s="6" t="s">
        <v>1520</v>
      </c>
      <c r="C6449" s="7" t="s">
        <v>196</v>
      </c>
      <c r="D6449" s="8" t="s">
        <v>280</v>
      </c>
      <c r="E6449" s="8" t="s">
        <v>364</v>
      </c>
      <c r="F6449" s="9">
        <f>DATE(2024,12,7)</f>
        <v>45633</v>
      </c>
      <c r="G6449" s="10">
        <f t="shared" si="550"/>
        <v>12</v>
      </c>
      <c r="H6449" s="10">
        <f t="shared" si="551"/>
        <v>2024</v>
      </c>
      <c r="I6449" s="8" t="s">
        <v>4</v>
      </c>
      <c r="J6449" s="7" t="s">
        <v>7108</v>
      </c>
      <c r="K6449" s="8" t="s">
        <v>422</v>
      </c>
      <c r="L6449" s="8" t="s">
        <v>423</v>
      </c>
      <c r="M6449" s="8" t="s">
        <v>119</v>
      </c>
      <c r="N6449" s="10" t="str">
        <f t="shared" si="548"/>
        <v>TON</v>
      </c>
      <c r="O6449" s="11">
        <v>10.007</v>
      </c>
    </row>
    <row r="6450" spans="2:15" x14ac:dyDescent="0.25">
      <c r="B6450" s="6" t="s">
        <v>1520</v>
      </c>
      <c r="C6450" s="7" t="s">
        <v>196</v>
      </c>
      <c r="D6450" s="8" t="s">
        <v>452</v>
      </c>
      <c r="E6450" s="8" t="s">
        <v>7109</v>
      </c>
      <c r="F6450" s="9">
        <f>DATE(2024,12,7)</f>
        <v>45633</v>
      </c>
      <c r="G6450" s="10">
        <f t="shared" si="550"/>
        <v>12</v>
      </c>
      <c r="H6450" s="10">
        <f t="shared" si="551"/>
        <v>2024</v>
      </c>
      <c r="I6450" s="8" t="s">
        <v>4</v>
      </c>
      <c r="J6450" s="7" t="s">
        <v>7110</v>
      </c>
      <c r="K6450" s="8" t="s">
        <v>205</v>
      </c>
      <c r="L6450" s="8" t="s">
        <v>206</v>
      </c>
      <c r="M6450" s="8" t="s">
        <v>119</v>
      </c>
      <c r="N6450" s="10" t="str">
        <f t="shared" si="548"/>
        <v>TON</v>
      </c>
      <c r="O6450" s="11">
        <v>2.5024999999999999</v>
      </c>
    </row>
    <row r="6451" spans="2:15" x14ac:dyDescent="0.25">
      <c r="B6451" s="6" t="s">
        <v>1520</v>
      </c>
      <c r="C6451" s="7" t="s">
        <v>196</v>
      </c>
      <c r="D6451" s="8" t="s">
        <v>303</v>
      </c>
      <c r="E6451" s="8" t="s">
        <v>501</v>
      </c>
      <c r="F6451" s="9">
        <f>DATE(2024,12,7)</f>
        <v>45633</v>
      </c>
      <c r="G6451" s="10">
        <f t="shared" si="550"/>
        <v>12</v>
      </c>
      <c r="H6451" s="10">
        <f t="shared" si="551"/>
        <v>2024</v>
      </c>
      <c r="I6451" s="8" t="s">
        <v>4</v>
      </c>
      <c r="J6451" s="7" t="s">
        <v>7111</v>
      </c>
      <c r="K6451" s="8" t="s">
        <v>3726</v>
      </c>
      <c r="L6451" s="8" t="s">
        <v>3727</v>
      </c>
      <c r="M6451" s="8" t="s">
        <v>145</v>
      </c>
      <c r="N6451" s="10" t="str">
        <f t="shared" si="548"/>
        <v>GAL</v>
      </c>
      <c r="O6451" s="11">
        <v>1.875</v>
      </c>
    </row>
    <row r="6452" spans="2:15" x14ac:dyDescent="0.25">
      <c r="B6452" s="6" t="s">
        <v>1520</v>
      </c>
      <c r="C6452" s="7" t="s">
        <v>196</v>
      </c>
      <c r="D6452" s="8" t="s">
        <v>303</v>
      </c>
      <c r="E6452" s="8" t="s">
        <v>501</v>
      </c>
      <c r="F6452" s="9">
        <f>DATE(2024,12,7)</f>
        <v>45633</v>
      </c>
      <c r="G6452" s="10">
        <f t="shared" si="550"/>
        <v>12</v>
      </c>
      <c r="H6452" s="10">
        <f t="shared" si="551"/>
        <v>2024</v>
      </c>
      <c r="I6452" s="8" t="s">
        <v>4</v>
      </c>
      <c r="J6452" s="7" t="s">
        <v>7111</v>
      </c>
      <c r="K6452" s="8" t="s">
        <v>422</v>
      </c>
      <c r="L6452" s="8" t="s">
        <v>423</v>
      </c>
      <c r="M6452" s="8" t="s">
        <v>119</v>
      </c>
      <c r="N6452" s="10" t="str">
        <f t="shared" si="548"/>
        <v>TON</v>
      </c>
      <c r="O6452" s="11">
        <v>5.01</v>
      </c>
    </row>
    <row r="6453" spans="2:15" x14ac:dyDescent="0.25">
      <c r="B6453" s="6" t="s">
        <v>1520</v>
      </c>
      <c r="C6453" s="7" t="s">
        <v>196</v>
      </c>
      <c r="D6453" s="8" t="s">
        <v>452</v>
      </c>
      <c r="E6453" s="8" t="s">
        <v>1611</v>
      </c>
      <c r="F6453" s="9">
        <f>DATE(2024,12,7)</f>
        <v>45633</v>
      </c>
      <c r="G6453" s="10">
        <f t="shared" si="550"/>
        <v>12</v>
      </c>
      <c r="H6453" s="10">
        <f t="shared" si="551"/>
        <v>2024</v>
      </c>
      <c r="I6453" s="8" t="s">
        <v>4</v>
      </c>
      <c r="J6453" s="7" t="s">
        <v>7112</v>
      </c>
      <c r="K6453" s="8" t="s">
        <v>205</v>
      </c>
      <c r="L6453" s="8" t="s">
        <v>206</v>
      </c>
      <c r="M6453" s="8" t="s">
        <v>119</v>
      </c>
      <c r="N6453" s="10" t="str">
        <f t="shared" si="548"/>
        <v>TON</v>
      </c>
      <c r="O6453" s="11">
        <v>1.2675000000000001</v>
      </c>
    </row>
    <row r="6454" spans="2:15" x14ac:dyDescent="0.25">
      <c r="B6454" s="6" t="s">
        <v>1520</v>
      </c>
      <c r="C6454" s="7" t="s">
        <v>196</v>
      </c>
      <c r="D6454" s="8" t="s">
        <v>440</v>
      </c>
      <c r="E6454" s="8" t="s">
        <v>1369</v>
      </c>
      <c r="F6454" s="9">
        <f t="shared" ref="F6454:F6462" si="554">DATE(2024,12,9)</f>
        <v>45635</v>
      </c>
      <c r="G6454" s="10">
        <f t="shared" si="550"/>
        <v>12</v>
      </c>
      <c r="H6454" s="10">
        <f t="shared" si="551"/>
        <v>2024</v>
      </c>
      <c r="I6454" s="8" t="s">
        <v>4</v>
      </c>
      <c r="J6454" s="7" t="s">
        <v>7113</v>
      </c>
      <c r="K6454" s="8" t="s">
        <v>7086</v>
      </c>
      <c r="L6454" s="8" t="s">
        <v>7087</v>
      </c>
      <c r="M6454" s="8" t="s">
        <v>119</v>
      </c>
      <c r="N6454" s="10" t="str">
        <f t="shared" si="548"/>
        <v>TON</v>
      </c>
      <c r="O6454" s="11">
        <v>5</v>
      </c>
    </row>
    <row r="6455" spans="2:15" x14ac:dyDescent="0.25">
      <c r="B6455" s="6" t="s">
        <v>1520</v>
      </c>
      <c r="C6455" s="7" t="s">
        <v>196</v>
      </c>
      <c r="D6455" s="8" t="s">
        <v>440</v>
      </c>
      <c r="E6455" s="8" t="s">
        <v>1274</v>
      </c>
      <c r="F6455" s="9">
        <f t="shared" si="554"/>
        <v>45635</v>
      </c>
      <c r="G6455" s="10">
        <f t="shared" si="550"/>
        <v>12</v>
      </c>
      <c r="H6455" s="10">
        <f t="shared" si="551"/>
        <v>2024</v>
      </c>
      <c r="I6455" s="8" t="s">
        <v>4</v>
      </c>
      <c r="J6455" s="7" t="s">
        <v>7114</v>
      </c>
      <c r="K6455" s="8" t="s">
        <v>7086</v>
      </c>
      <c r="L6455" s="8" t="s">
        <v>7087</v>
      </c>
      <c r="M6455" s="8" t="s">
        <v>119</v>
      </c>
      <c r="N6455" s="10" t="str">
        <f t="shared" si="548"/>
        <v>TON</v>
      </c>
      <c r="O6455" s="11">
        <v>5.01</v>
      </c>
    </row>
    <row r="6456" spans="2:15" x14ac:dyDescent="0.25">
      <c r="B6456" s="6" t="s">
        <v>1520</v>
      </c>
      <c r="C6456" s="7" t="s">
        <v>196</v>
      </c>
      <c r="D6456" s="8" t="s">
        <v>299</v>
      </c>
      <c r="E6456" s="8" t="s">
        <v>300</v>
      </c>
      <c r="F6456" s="9">
        <f t="shared" si="554"/>
        <v>45635</v>
      </c>
      <c r="G6456" s="10">
        <f t="shared" si="550"/>
        <v>12</v>
      </c>
      <c r="H6456" s="10">
        <f t="shared" si="551"/>
        <v>2024</v>
      </c>
      <c r="I6456" s="8" t="s">
        <v>4</v>
      </c>
      <c r="J6456" s="7" t="s">
        <v>7115</v>
      </c>
      <c r="K6456" s="8" t="s">
        <v>422</v>
      </c>
      <c r="L6456" s="8" t="s">
        <v>423</v>
      </c>
      <c r="M6456" s="8" t="s">
        <v>119</v>
      </c>
      <c r="N6456" s="10" t="str">
        <f t="shared" si="548"/>
        <v>TON</v>
      </c>
      <c r="O6456" s="11">
        <v>15.0375</v>
      </c>
    </row>
    <row r="6457" spans="2:15" x14ac:dyDescent="0.25">
      <c r="B6457" s="6" t="s">
        <v>1520</v>
      </c>
      <c r="C6457" s="7" t="s">
        <v>196</v>
      </c>
      <c r="D6457" s="8" t="s">
        <v>227</v>
      </c>
      <c r="E6457" s="8" t="s">
        <v>7116</v>
      </c>
      <c r="F6457" s="9">
        <f t="shared" si="554"/>
        <v>45635</v>
      </c>
      <c r="G6457" s="10">
        <f t="shared" si="550"/>
        <v>12</v>
      </c>
      <c r="H6457" s="10">
        <f t="shared" si="551"/>
        <v>2024</v>
      </c>
      <c r="I6457" s="8" t="s">
        <v>4</v>
      </c>
      <c r="J6457" s="7" t="s">
        <v>7117</v>
      </c>
      <c r="K6457" s="8" t="s">
        <v>1188</v>
      </c>
      <c r="L6457" s="8" t="s">
        <v>541</v>
      </c>
      <c r="M6457" s="8" t="s">
        <v>27</v>
      </c>
      <c r="N6457" s="10" t="str">
        <f t="shared" si="548"/>
        <v>GAL</v>
      </c>
      <c r="O6457" s="11">
        <v>250</v>
      </c>
    </row>
    <row r="6458" spans="2:15" x14ac:dyDescent="0.25">
      <c r="B6458" s="6" t="s">
        <v>1520</v>
      </c>
      <c r="C6458" s="7" t="s">
        <v>196</v>
      </c>
      <c r="D6458" s="8" t="s">
        <v>374</v>
      </c>
      <c r="E6458" s="8" t="s">
        <v>4935</v>
      </c>
      <c r="F6458" s="9">
        <f t="shared" si="554"/>
        <v>45635</v>
      </c>
      <c r="G6458" s="10">
        <f t="shared" si="550"/>
        <v>12</v>
      </c>
      <c r="H6458" s="10">
        <f t="shared" si="551"/>
        <v>2024</v>
      </c>
      <c r="I6458" s="8" t="s">
        <v>4</v>
      </c>
      <c r="J6458" s="7" t="s">
        <v>7118</v>
      </c>
      <c r="K6458" s="8" t="s">
        <v>329</v>
      </c>
      <c r="L6458" s="8" t="s">
        <v>330</v>
      </c>
      <c r="M6458" s="8" t="s">
        <v>119</v>
      </c>
      <c r="N6458" s="10" t="str">
        <f t="shared" si="548"/>
        <v>TON</v>
      </c>
      <c r="O6458" s="11">
        <v>15.02</v>
      </c>
    </row>
    <row r="6459" spans="2:15" x14ac:dyDescent="0.25">
      <c r="B6459" s="6" t="s">
        <v>1520</v>
      </c>
      <c r="C6459" s="7" t="s">
        <v>196</v>
      </c>
      <c r="D6459" s="8" t="s">
        <v>210</v>
      </c>
      <c r="E6459" s="8" t="s">
        <v>962</v>
      </c>
      <c r="F6459" s="9">
        <f t="shared" si="554"/>
        <v>45635</v>
      </c>
      <c r="G6459" s="10">
        <f t="shared" si="550"/>
        <v>12</v>
      </c>
      <c r="H6459" s="10">
        <f t="shared" si="551"/>
        <v>2024</v>
      </c>
      <c r="I6459" s="8" t="s">
        <v>4</v>
      </c>
      <c r="J6459" s="7" t="s">
        <v>7119</v>
      </c>
      <c r="K6459" s="8" t="s">
        <v>1379</v>
      </c>
      <c r="L6459" s="8" t="s">
        <v>1380</v>
      </c>
      <c r="M6459" s="8" t="s">
        <v>119</v>
      </c>
      <c r="N6459" s="10" t="str">
        <f t="shared" si="548"/>
        <v>TON</v>
      </c>
      <c r="O6459" s="11">
        <v>20.03</v>
      </c>
    </row>
    <row r="6460" spans="2:15" x14ac:dyDescent="0.25">
      <c r="B6460" s="6" t="s">
        <v>1520</v>
      </c>
      <c r="C6460" s="7" t="s">
        <v>196</v>
      </c>
      <c r="D6460" s="8" t="s">
        <v>227</v>
      </c>
      <c r="E6460" s="8" t="s">
        <v>757</v>
      </c>
      <c r="F6460" s="9">
        <f t="shared" si="554"/>
        <v>45635</v>
      </c>
      <c r="G6460" s="10">
        <f t="shared" si="550"/>
        <v>12</v>
      </c>
      <c r="H6460" s="10">
        <f t="shared" si="551"/>
        <v>2024</v>
      </c>
      <c r="I6460" s="8" t="s">
        <v>4</v>
      </c>
      <c r="J6460" s="7" t="s">
        <v>7120</v>
      </c>
      <c r="K6460" s="8" t="s">
        <v>122</v>
      </c>
      <c r="L6460" s="8" t="s">
        <v>123</v>
      </c>
      <c r="M6460" s="8" t="s">
        <v>119</v>
      </c>
      <c r="N6460" s="10" t="str">
        <f t="shared" si="548"/>
        <v>TON</v>
      </c>
      <c r="O6460" s="11">
        <v>6.51</v>
      </c>
    </row>
    <row r="6461" spans="2:15" x14ac:dyDescent="0.25">
      <c r="B6461" s="6" t="s">
        <v>1520</v>
      </c>
      <c r="C6461" s="7" t="s">
        <v>196</v>
      </c>
      <c r="D6461" s="8" t="s">
        <v>299</v>
      </c>
      <c r="E6461" s="8" t="s">
        <v>2410</v>
      </c>
      <c r="F6461" s="9">
        <f t="shared" si="554"/>
        <v>45635</v>
      </c>
      <c r="G6461" s="10">
        <f t="shared" si="550"/>
        <v>12</v>
      </c>
      <c r="H6461" s="10">
        <f t="shared" si="551"/>
        <v>2024</v>
      </c>
      <c r="I6461" s="8" t="s">
        <v>4</v>
      </c>
      <c r="J6461" s="7" t="s">
        <v>7121</v>
      </c>
      <c r="K6461" s="8" t="s">
        <v>422</v>
      </c>
      <c r="L6461" s="8" t="s">
        <v>423</v>
      </c>
      <c r="M6461" s="8" t="s">
        <v>119</v>
      </c>
      <c r="N6461" s="10" t="str">
        <f t="shared" si="548"/>
        <v>TON</v>
      </c>
      <c r="O6461" s="11">
        <v>15.012499999999999</v>
      </c>
    </row>
    <row r="6462" spans="2:15" x14ac:dyDescent="0.25">
      <c r="B6462" s="6" t="s">
        <v>1520</v>
      </c>
      <c r="C6462" s="7" t="s">
        <v>196</v>
      </c>
      <c r="D6462" s="8" t="s">
        <v>227</v>
      </c>
      <c r="E6462" s="8" t="s">
        <v>228</v>
      </c>
      <c r="F6462" s="9">
        <f t="shared" si="554"/>
        <v>45635</v>
      </c>
      <c r="G6462" s="10">
        <f t="shared" si="550"/>
        <v>12</v>
      </c>
      <c r="H6462" s="10">
        <f t="shared" si="551"/>
        <v>2024</v>
      </c>
      <c r="I6462" s="8" t="s">
        <v>4</v>
      </c>
      <c r="J6462" s="7" t="s">
        <v>7122</v>
      </c>
      <c r="K6462" s="8" t="s">
        <v>205</v>
      </c>
      <c r="L6462" s="8" t="s">
        <v>206</v>
      </c>
      <c r="M6462" s="8" t="s">
        <v>119</v>
      </c>
      <c r="N6462" s="10" t="str">
        <f t="shared" ref="N6462:N6525" si="555">+LEFT(M6462,3)</f>
        <v>TON</v>
      </c>
      <c r="O6462" s="11">
        <v>10.015000000000001</v>
      </c>
    </row>
    <row r="6463" spans="2:15" x14ac:dyDescent="0.25">
      <c r="B6463" s="6" t="s">
        <v>1520</v>
      </c>
      <c r="C6463" s="7" t="s">
        <v>196</v>
      </c>
      <c r="D6463" s="8" t="s">
        <v>224</v>
      </c>
      <c r="E6463" s="8" t="s">
        <v>895</v>
      </c>
      <c r="F6463" s="9">
        <f t="shared" ref="F6463:F6476" si="556">DATE(2024,12,10)</f>
        <v>45636</v>
      </c>
      <c r="G6463" s="10">
        <f t="shared" si="550"/>
        <v>12</v>
      </c>
      <c r="H6463" s="10">
        <f t="shared" si="551"/>
        <v>2024</v>
      </c>
      <c r="I6463" s="8" t="s">
        <v>4</v>
      </c>
      <c r="J6463" s="7" t="s">
        <v>7123</v>
      </c>
      <c r="K6463" s="8" t="s">
        <v>205</v>
      </c>
      <c r="L6463" s="8" t="s">
        <v>206</v>
      </c>
      <c r="M6463" s="8" t="s">
        <v>119</v>
      </c>
      <c r="N6463" s="10" t="str">
        <f t="shared" si="555"/>
        <v>TON</v>
      </c>
      <c r="O6463" s="11">
        <v>5.01</v>
      </c>
    </row>
    <row r="6464" spans="2:15" x14ac:dyDescent="0.25">
      <c r="B6464" s="6" t="s">
        <v>1520</v>
      </c>
      <c r="C6464" s="7" t="s">
        <v>196</v>
      </c>
      <c r="D6464" s="8" t="s">
        <v>6651</v>
      </c>
      <c r="E6464" s="8" t="s">
        <v>102</v>
      </c>
      <c r="F6464" s="9">
        <f t="shared" si="556"/>
        <v>45636</v>
      </c>
      <c r="G6464" s="10">
        <f t="shared" si="550"/>
        <v>12</v>
      </c>
      <c r="H6464" s="10">
        <f t="shared" si="551"/>
        <v>2024</v>
      </c>
      <c r="I6464" s="8" t="s">
        <v>4</v>
      </c>
      <c r="J6464" s="7" t="s">
        <v>7124</v>
      </c>
      <c r="K6464" s="8" t="s">
        <v>329</v>
      </c>
      <c r="L6464" s="8" t="s">
        <v>330</v>
      </c>
      <c r="M6464" s="8" t="s">
        <v>119</v>
      </c>
      <c r="N6464" s="10" t="str">
        <f t="shared" si="555"/>
        <v>TON</v>
      </c>
      <c r="O6464" s="11">
        <v>2.5</v>
      </c>
    </row>
    <row r="6465" spans="2:15" x14ac:dyDescent="0.25">
      <c r="B6465" s="6" t="s">
        <v>1520</v>
      </c>
      <c r="C6465" s="7" t="s">
        <v>196</v>
      </c>
      <c r="D6465" s="8" t="s">
        <v>3761</v>
      </c>
      <c r="E6465" s="8" t="s">
        <v>3762</v>
      </c>
      <c r="F6465" s="9">
        <f t="shared" si="556"/>
        <v>45636</v>
      </c>
      <c r="G6465" s="10">
        <f t="shared" si="550"/>
        <v>12</v>
      </c>
      <c r="H6465" s="10">
        <f t="shared" si="551"/>
        <v>2024</v>
      </c>
      <c r="I6465" s="8" t="s">
        <v>4</v>
      </c>
      <c r="J6465" s="7" t="s">
        <v>7125</v>
      </c>
      <c r="K6465" s="8" t="s">
        <v>329</v>
      </c>
      <c r="L6465" s="8" t="s">
        <v>330</v>
      </c>
      <c r="M6465" s="8" t="s">
        <v>119</v>
      </c>
      <c r="N6465" s="10" t="str">
        <f t="shared" si="555"/>
        <v>TON</v>
      </c>
      <c r="O6465" s="11">
        <v>12.5</v>
      </c>
    </row>
    <row r="6466" spans="2:15" x14ac:dyDescent="0.25">
      <c r="B6466" s="6" t="s">
        <v>1520</v>
      </c>
      <c r="C6466" s="7" t="s">
        <v>196</v>
      </c>
      <c r="D6466" s="8" t="s">
        <v>890</v>
      </c>
      <c r="E6466" s="8" t="s">
        <v>891</v>
      </c>
      <c r="F6466" s="9">
        <f t="shared" si="556"/>
        <v>45636</v>
      </c>
      <c r="G6466" s="10">
        <f t="shared" si="550"/>
        <v>12</v>
      </c>
      <c r="H6466" s="10">
        <f t="shared" si="551"/>
        <v>2024</v>
      </c>
      <c r="I6466" s="8" t="s">
        <v>4</v>
      </c>
      <c r="J6466" s="7" t="s">
        <v>7126</v>
      </c>
      <c r="K6466" s="8" t="s">
        <v>205</v>
      </c>
      <c r="L6466" s="8" t="s">
        <v>206</v>
      </c>
      <c r="M6466" s="8" t="s">
        <v>119</v>
      </c>
      <c r="N6466" s="10" t="str">
        <f t="shared" si="555"/>
        <v>TON</v>
      </c>
      <c r="O6466" s="11">
        <v>5.0025000000000004</v>
      </c>
    </row>
    <row r="6467" spans="2:15" x14ac:dyDescent="0.25">
      <c r="B6467" s="6" t="s">
        <v>1520</v>
      </c>
      <c r="C6467" s="7" t="s">
        <v>196</v>
      </c>
      <c r="D6467" s="8" t="s">
        <v>232</v>
      </c>
      <c r="E6467" s="8" t="s">
        <v>102</v>
      </c>
      <c r="F6467" s="9">
        <f t="shared" si="556"/>
        <v>45636</v>
      </c>
      <c r="G6467" s="10">
        <f t="shared" si="550"/>
        <v>12</v>
      </c>
      <c r="H6467" s="10">
        <f t="shared" si="551"/>
        <v>2024</v>
      </c>
      <c r="I6467" s="8" t="s">
        <v>4</v>
      </c>
      <c r="J6467" s="7" t="s">
        <v>7127</v>
      </c>
      <c r="K6467" s="8" t="s">
        <v>2350</v>
      </c>
      <c r="L6467" s="8" t="s">
        <v>2351</v>
      </c>
      <c r="M6467" s="8" t="s">
        <v>119</v>
      </c>
      <c r="N6467" s="10" t="str">
        <f t="shared" si="555"/>
        <v>TON</v>
      </c>
      <c r="O6467" s="11">
        <v>13.75</v>
      </c>
    </row>
    <row r="6468" spans="2:15" x14ac:dyDescent="0.25">
      <c r="B6468" s="6" t="s">
        <v>1520</v>
      </c>
      <c r="C6468" s="7" t="s">
        <v>196</v>
      </c>
      <c r="D6468" s="8" t="s">
        <v>232</v>
      </c>
      <c r="E6468" s="8" t="s">
        <v>778</v>
      </c>
      <c r="F6468" s="9">
        <f t="shared" si="556"/>
        <v>45636</v>
      </c>
      <c r="G6468" s="10">
        <f t="shared" si="550"/>
        <v>12</v>
      </c>
      <c r="H6468" s="10">
        <f t="shared" si="551"/>
        <v>2024</v>
      </c>
      <c r="I6468" s="8" t="s">
        <v>4</v>
      </c>
      <c r="J6468" s="7" t="s">
        <v>7128</v>
      </c>
      <c r="K6468" s="8" t="s">
        <v>1188</v>
      </c>
      <c r="L6468" s="8" t="s">
        <v>541</v>
      </c>
      <c r="M6468" s="8" t="s">
        <v>27</v>
      </c>
      <c r="N6468" s="10" t="str">
        <f t="shared" si="555"/>
        <v>GAL</v>
      </c>
      <c r="O6468" s="11">
        <v>250</v>
      </c>
    </row>
    <row r="6469" spans="2:15" x14ac:dyDescent="0.25">
      <c r="B6469" s="6" t="s">
        <v>1520</v>
      </c>
      <c r="C6469" s="7" t="s">
        <v>196</v>
      </c>
      <c r="D6469" s="8" t="s">
        <v>3761</v>
      </c>
      <c r="E6469" s="8" t="s">
        <v>102</v>
      </c>
      <c r="F6469" s="9">
        <f t="shared" si="556"/>
        <v>45636</v>
      </c>
      <c r="G6469" s="10">
        <f t="shared" si="550"/>
        <v>12</v>
      </c>
      <c r="H6469" s="10">
        <f t="shared" si="551"/>
        <v>2024</v>
      </c>
      <c r="I6469" s="8" t="s">
        <v>4</v>
      </c>
      <c r="J6469" s="7" t="s">
        <v>7129</v>
      </c>
      <c r="K6469" s="8" t="s">
        <v>158</v>
      </c>
      <c r="L6469" s="8" t="s">
        <v>159</v>
      </c>
      <c r="M6469" s="8" t="s">
        <v>160</v>
      </c>
      <c r="N6469" s="10" t="str">
        <f t="shared" si="555"/>
        <v>GAL</v>
      </c>
      <c r="O6469" s="11">
        <v>60</v>
      </c>
    </row>
    <row r="6470" spans="2:15" x14ac:dyDescent="0.25">
      <c r="B6470" s="6" t="s">
        <v>1520</v>
      </c>
      <c r="C6470" s="7" t="s">
        <v>196</v>
      </c>
      <c r="D6470" s="8" t="s">
        <v>6651</v>
      </c>
      <c r="E6470" s="8" t="s">
        <v>102</v>
      </c>
      <c r="F6470" s="9">
        <f t="shared" si="556"/>
        <v>45636</v>
      </c>
      <c r="G6470" s="10">
        <f t="shared" si="550"/>
        <v>12</v>
      </c>
      <c r="H6470" s="10">
        <f t="shared" si="551"/>
        <v>2024</v>
      </c>
      <c r="I6470" s="8" t="s">
        <v>4</v>
      </c>
      <c r="J6470" s="7" t="s">
        <v>7130</v>
      </c>
      <c r="K6470" s="8" t="s">
        <v>158</v>
      </c>
      <c r="L6470" s="8" t="s">
        <v>159</v>
      </c>
      <c r="M6470" s="8" t="s">
        <v>160</v>
      </c>
      <c r="N6470" s="10" t="str">
        <f t="shared" si="555"/>
        <v>GAL</v>
      </c>
      <c r="O6470" s="11">
        <v>20</v>
      </c>
    </row>
    <row r="6471" spans="2:15" x14ac:dyDescent="0.25">
      <c r="B6471" s="6" t="s">
        <v>1520</v>
      </c>
      <c r="C6471" s="7" t="s">
        <v>196</v>
      </c>
      <c r="D6471" s="8" t="s">
        <v>317</v>
      </c>
      <c r="E6471" s="8" t="s">
        <v>677</v>
      </c>
      <c r="F6471" s="9">
        <f t="shared" si="556"/>
        <v>45636</v>
      </c>
      <c r="G6471" s="10">
        <f t="shared" si="550"/>
        <v>12</v>
      </c>
      <c r="H6471" s="10">
        <f t="shared" si="551"/>
        <v>2024</v>
      </c>
      <c r="I6471" s="8" t="s">
        <v>4</v>
      </c>
      <c r="J6471" s="7" t="s">
        <v>7131</v>
      </c>
      <c r="K6471" s="8" t="s">
        <v>422</v>
      </c>
      <c r="L6471" s="8" t="s">
        <v>423</v>
      </c>
      <c r="M6471" s="8" t="s">
        <v>119</v>
      </c>
      <c r="N6471" s="10" t="str">
        <f t="shared" si="555"/>
        <v>TON</v>
      </c>
      <c r="O6471" s="11">
        <v>12.54</v>
      </c>
    </row>
    <row r="6472" spans="2:15" x14ac:dyDescent="0.25">
      <c r="B6472" s="6" t="s">
        <v>1520</v>
      </c>
      <c r="C6472" s="7" t="s">
        <v>196</v>
      </c>
      <c r="D6472" s="8" t="s">
        <v>317</v>
      </c>
      <c r="E6472" s="8" t="s">
        <v>677</v>
      </c>
      <c r="F6472" s="9">
        <f t="shared" si="556"/>
        <v>45636</v>
      </c>
      <c r="G6472" s="10">
        <f t="shared" si="550"/>
        <v>12</v>
      </c>
      <c r="H6472" s="10">
        <f t="shared" si="551"/>
        <v>2024</v>
      </c>
      <c r="I6472" s="8" t="s">
        <v>4</v>
      </c>
      <c r="J6472" s="7" t="s">
        <v>7132</v>
      </c>
      <c r="K6472" s="8" t="s">
        <v>422</v>
      </c>
      <c r="L6472" s="8" t="s">
        <v>423</v>
      </c>
      <c r="M6472" s="8" t="s">
        <v>119</v>
      </c>
      <c r="N6472" s="10" t="str">
        <f t="shared" si="555"/>
        <v>TON</v>
      </c>
      <c r="O6472" s="11">
        <v>11.015000000000001</v>
      </c>
    </row>
    <row r="6473" spans="2:15" x14ac:dyDescent="0.25">
      <c r="B6473" s="6" t="s">
        <v>1520</v>
      </c>
      <c r="C6473" s="7" t="s">
        <v>196</v>
      </c>
      <c r="D6473" s="8" t="s">
        <v>669</v>
      </c>
      <c r="E6473" s="8" t="s">
        <v>1633</v>
      </c>
      <c r="F6473" s="9">
        <f t="shared" si="556"/>
        <v>45636</v>
      </c>
      <c r="G6473" s="10">
        <f t="shared" si="550"/>
        <v>12</v>
      </c>
      <c r="H6473" s="10">
        <f t="shared" si="551"/>
        <v>2024</v>
      </c>
      <c r="I6473" s="8" t="s">
        <v>4</v>
      </c>
      <c r="J6473" s="7" t="s">
        <v>7133</v>
      </c>
      <c r="K6473" s="8" t="s">
        <v>384</v>
      </c>
      <c r="L6473" s="8" t="s">
        <v>385</v>
      </c>
      <c r="M6473" s="8" t="s">
        <v>119</v>
      </c>
      <c r="N6473" s="10" t="str">
        <f t="shared" si="555"/>
        <v>TON</v>
      </c>
      <c r="O6473" s="11">
        <v>5.01</v>
      </c>
    </row>
    <row r="6474" spans="2:15" x14ac:dyDescent="0.25">
      <c r="B6474" s="6" t="s">
        <v>1520</v>
      </c>
      <c r="C6474" s="7" t="s">
        <v>196</v>
      </c>
      <c r="D6474" s="8" t="s">
        <v>387</v>
      </c>
      <c r="E6474" s="8" t="s">
        <v>797</v>
      </c>
      <c r="F6474" s="9">
        <f t="shared" si="556"/>
        <v>45636</v>
      </c>
      <c r="G6474" s="10">
        <f t="shared" si="550"/>
        <v>12</v>
      </c>
      <c r="H6474" s="10">
        <f t="shared" si="551"/>
        <v>2024</v>
      </c>
      <c r="I6474" s="8" t="s">
        <v>4</v>
      </c>
      <c r="J6474" s="7" t="s">
        <v>7134</v>
      </c>
      <c r="K6474" s="8" t="s">
        <v>3726</v>
      </c>
      <c r="L6474" s="8" t="s">
        <v>3727</v>
      </c>
      <c r="M6474" s="8" t="s">
        <v>145</v>
      </c>
      <c r="N6474" s="10" t="str">
        <f t="shared" si="555"/>
        <v>GAL</v>
      </c>
      <c r="O6474" s="11">
        <v>2.8125</v>
      </c>
    </row>
    <row r="6475" spans="2:15" x14ac:dyDescent="0.25">
      <c r="B6475" s="6" t="s">
        <v>1520</v>
      </c>
      <c r="C6475" s="7" t="s">
        <v>196</v>
      </c>
      <c r="D6475" s="8" t="s">
        <v>387</v>
      </c>
      <c r="E6475" s="8" t="s">
        <v>797</v>
      </c>
      <c r="F6475" s="9">
        <f t="shared" si="556"/>
        <v>45636</v>
      </c>
      <c r="G6475" s="10">
        <f t="shared" si="550"/>
        <v>12</v>
      </c>
      <c r="H6475" s="10">
        <f t="shared" si="551"/>
        <v>2024</v>
      </c>
      <c r="I6475" s="8" t="s">
        <v>4</v>
      </c>
      <c r="J6475" s="7" t="s">
        <v>7134</v>
      </c>
      <c r="K6475" s="8" t="s">
        <v>7086</v>
      </c>
      <c r="L6475" s="8" t="s">
        <v>7087</v>
      </c>
      <c r="M6475" s="8" t="s">
        <v>119</v>
      </c>
      <c r="N6475" s="10" t="str">
        <f t="shared" si="555"/>
        <v>TON</v>
      </c>
      <c r="O6475" s="11">
        <v>7.5175000000000001</v>
      </c>
    </row>
    <row r="6476" spans="2:15" x14ac:dyDescent="0.25">
      <c r="B6476" s="6" t="s">
        <v>1520</v>
      </c>
      <c r="C6476" s="7" t="s">
        <v>196</v>
      </c>
      <c r="D6476" s="8" t="s">
        <v>262</v>
      </c>
      <c r="E6476" s="8" t="s">
        <v>728</v>
      </c>
      <c r="F6476" s="9">
        <f t="shared" si="556"/>
        <v>45636</v>
      </c>
      <c r="G6476" s="10">
        <f t="shared" si="550"/>
        <v>12</v>
      </c>
      <c r="H6476" s="10">
        <f t="shared" si="551"/>
        <v>2024</v>
      </c>
      <c r="I6476" s="8" t="s">
        <v>4</v>
      </c>
      <c r="J6476" s="7" t="s">
        <v>7135</v>
      </c>
      <c r="K6476" s="8" t="s">
        <v>329</v>
      </c>
      <c r="L6476" s="8" t="s">
        <v>330</v>
      </c>
      <c r="M6476" s="8" t="s">
        <v>119</v>
      </c>
      <c r="N6476" s="10" t="str">
        <f t="shared" si="555"/>
        <v>TON</v>
      </c>
      <c r="O6476" s="11">
        <v>10.53</v>
      </c>
    </row>
    <row r="6477" spans="2:15" x14ac:dyDescent="0.25">
      <c r="B6477" s="6" t="s">
        <v>1520</v>
      </c>
      <c r="C6477" s="7" t="s">
        <v>196</v>
      </c>
      <c r="D6477" s="8" t="s">
        <v>1343</v>
      </c>
      <c r="E6477" s="8" t="s">
        <v>4151</v>
      </c>
      <c r="F6477" s="9">
        <f t="shared" ref="F6477:F6485" si="557">DATE(2024,12,11)</f>
        <v>45637</v>
      </c>
      <c r="G6477" s="10">
        <f t="shared" si="550"/>
        <v>12</v>
      </c>
      <c r="H6477" s="10">
        <f t="shared" si="551"/>
        <v>2024</v>
      </c>
      <c r="I6477" s="8" t="s">
        <v>4</v>
      </c>
      <c r="J6477" s="7" t="s">
        <v>7136</v>
      </c>
      <c r="K6477" s="8" t="s">
        <v>3726</v>
      </c>
      <c r="L6477" s="8" t="s">
        <v>3727</v>
      </c>
      <c r="M6477" s="8" t="s">
        <v>145</v>
      </c>
      <c r="N6477" s="10" t="str">
        <f t="shared" si="555"/>
        <v>GAL</v>
      </c>
      <c r="O6477" s="11">
        <v>5.1624999999999996</v>
      </c>
    </row>
    <row r="6478" spans="2:15" x14ac:dyDescent="0.25">
      <c r="B6478" s="6" t="s">
        <v>1520</v>
      </c>
      <c r="C6478" s="7" t="s">
        <v>196</v>
      </c>
      <c r="D6478" s="8" t="s">
        <v>1343</v>
      </c>
      <c r="E6478" s="8" t="s">
        <v>4151</v>
      </c>
      <c r="F6478" s="9">
        <f t="shared" si="557"/>
        <v>45637</v>
      </c>
      <c r="G6478" s="10">
        <f t="shared" si="550"/>
        <v>12</v>
      </c>
      <c r="H6478" s="10">
        <f t="shared" si="551"/>
        <v>2024</v>
      </c>
      <c r="I6478" s="8" t="s">
        <v>4</v>
      </c>
      <c r="J6478" s="7" t="s">
        <v>7136</v>
      </c>
      <c r="K6478" s="8" t="s">
        <v>2039</v>
      </c>
      <c r="L6478" s="8" t="s">
        <v>2040</v>
      </c>
      <c r="M6478" s="8" t="s">
        <v>119</v>
      </c>
      <c r="N6478" s="10" t="str">
        <f t="shared" si="555"/>
        <v>TON</v>
      </c>
      <c r="O6478" s="11">
        <v>15</v>
      </c>
    </row>
    <row r="6479" spans="2:15" x14ac:dyDescent="0.25">
      <c r="B6479" s="6" t="s">
        <v>1520</v>
      </c>
      <c r="C6479" s="7" t="s">
        <v>196</v>
      </c>
      <c r="D6479" s="8" t="s">
        <v>215</v>
      </c>
      <c r="E6479" s="8" t="s">
        <v>315</v>
      </c>
      <c r="F6479" s="9">
        <f t="shared" si="557"/>
        <v>45637</v>
      </c>
      <c r="G6479" s="10">
        <f t="shared" si="550"/>
        <v>12</v>
      </c>
      <c r="H6479" s="10">
        <f t="shared" si="551"/>
        <v>2024</v>
      </c>
      <c r="I6479" s="8" t="s">
        <v>4</v>
      </c>
      <c r="J6479" s="7" t="s">
        <v>7137</v>
      </c>
      <c r="K6479" s="8" t="s">
        <v>447</v>
      </c>
      <c r="L6479" s="8" t="s">
        <v>448</v>
      </c>
      <c r="M6479" s="8" t="s">
        <v>119</v>
      </c>
      <c r="N6479" s="10" t="str">
        <f t="shared" si="555"/>
        <v>TON</v>
      </c>
      <c r="O6479" s="11">
        <v>4.0025000000000004</v>
      </c>
    </row>
    <row r="6480" spans="2:15" x14ac:dyDescent="0.25">
      <c r="B6480" s="6" t="s">
        <v>1520</v>
      </c>
      <c r="C6480" s="7" t="s">
        <v>196</v>
      </c>
      <c r="D6480" s="8" t="s">
        <v>800</v>
      </c>
      <c r="E6480" s="8" t="s">
        <v>141</v>
      </c>
      <c r="F6480" s="9">
        <f t="shared" si="557"/>
        <v>45637</v>
      </c>
      <c r="G6480" s="10">
        <f t="shared" si="550"/>
        <v>12</v>
      </c>
      <c r="H6480" s="10">
        <f t="shared" si="551"/>
        <v>2024</v>
      </c>
      <c r="I6480" s="8" t="s">
        <v>4</v>
      </c>
      <c r="J6480" s="7" t="s">
        <v>7138</v>
      </c>
      <c r="K6480" s="8" t="s">
        <v>122</v>
      </c>
      <c r="L6480" s="8" t="s">
        <v>123</v>
      </c>
      <c r="M6480" s="8" t="s">
        <v>119</v>
      </c>
      <c r="N6480" s="10" t="str">
        <f t="shared" si="555"/>
        <v>TON</v>
      </c>
      <c r="O6480" s="11">
        <v>2.5125000000000002</v>
      </c>
    </row>
    <row r="6481" spans="2:15" x14ac:dyDescent="0.25">
      <c r="B6481" s="6" t="s">
        <v>1520</v>
      </c>
      <c r="C6481" s="7" t="s">
        <v>196</v>
      </c>
      <c r="D6481" s="8" t="s">
        <v>1276</v>
      </c>
      <c r="E6481" s="8" t="s">
        <v>791</v>
      </c>
      <c r="F6481" s="9">
        <f t="shared" si="557"/>
        <v>45637</v>
      </c>
      <c r="G6481" s="10">
        <f t="shared" si="550"/>
        <v>12</v>
      </c>
      <c r="H6481" s="10">
        <f t="shared" si="551"/>
        <v>2024</v>
      </c>
      <c r="I6481" s="8" t="s">
        <v>4</v>
      </c>
      <c r="J6481" s="7" t="s">
        <v>7139</v>
      </c>
      <c r="K6481" s="8" t="s">
        <v>117</v>
      </c>
      <c r="L6481" s="8" t="s">
        <v>118</v>
      </c>
      <c r="M6481" s="8" t="s">
        <v>119</v>
      </c>
      <c r="N6481" s="10" t="str">
        <f t="shared" si="555"/>
        <v>TON</v>
      </c>
      <c r="O6481" s="11">
        <v>7.51</v>
      </c>
    </row>
    <row r="6482" spans="2:15" x14ac:dyDescent="0.25">
      <c r="B6482" s="6" t="s">
        <v>1520</v>
      </c>
      <c r="C6482" s="7" t="s">
        <v>196</v>
      </c>
      <c r="D6482" s="8" t="s">
        <v>4930</v>
      </c>
      <c r="E6482" s="8" t="s">
        <v>102</v>
      </c>
      <c r="F6482" s="9">
        <f t="shared" si="557"/>
        <v>45637</v>
      </c>
      <c r="G6482" s="10">
        <f t="shared" ref="G6482:G6545" si="558">+MONTH(F6482)</f>
        <v>12</v>
      </c>
      <c r="H6482" s="10">
        <f t="shared" ref="H6482:H6545" si="559">+YEAR(F6482)</f>
        <v>2024</v>
      </c>
      <c r="I6482" s="8" t="s">
        <v>4</v>
      </c>
      <c r="J6482" s="7" t="s">
        <v>7140</v>
      </c>
      <c r="K6482" s="8" t="s">
        <v>205</v>
      </c>
      <c r="L6482" s="8" t="s">
        <v>206</v>
      </c>
      <c r="M6482" s="8" t="s">
        <v>119</v>
      </c>
      <c r="N6482" s="10" t="str">
        <f t="shared" si="555"/>
        <v>TON</v>
      </c>
      <c r="O6482" s="11">
        <v>2.5</v>
      </c>
    </row>
    <row r="6483" spans="2:15" x14ac:dyDescent="0.25">
      <c r="B6483" s="6" t="s">
        <v>1520</v>
      </c>
      <c r="C6483" s="7" t="s">
        <v>196</v>
      </c>
      <c r="D6483" s="8" t="s">
        <v>444</v>
      </c>
      <c r="E6483" s="8" t="s">
        <v>445</v>
      </c>
      <c r="F6483" s="9">
        <f t="shared" si="557"/>
        <v>45637</v>
      </c>
      <c r="G6483" s="10">
        <f t="shared" si="558"/>
        <v>12</v>
      </c>
      <c r="H6483" s="10">
        <f t="shared" si="559"/>
        <v>2024</v>
      </c>
      <c r="I6483" s="8" t="s">
        <v>4</v>
      </c>
      <c r="J6483" s="7" t="s">
        <v>7141</v>
      </c>
      <c r="K6483" s="8" t="s">
        <v>394</v>
      </c>
      <c r="L6483" s="8" t="s">
        <v>395</v>
      </c>
      <c r="M6483" s="8" t="s">
        <v>119</v>
      </c>
      <c r="N6483" s="10" t="str">
        <f t="shared" si="555"/>
        <v>TON</v>
      </c>
      <c r="O6483" s="11">
        <v>6.5125000000000002</v>
      </c>
    </row>
    <row r="6484" spans="2:15" x14ac:dyDescent="0.25">
      <c r="B6484" s="6" t="s">
        <v>1520</v>
      </c>
      <c r="C6484" s="7" t="s">
        <v>196</v>
      </c>
      <c r="D6484" s="8" t="s">
        <v>4034</v>
      </c>
      <c r="E6484" s="8" t="s">
        <v>759</v>
      </c>
      <c r="F6484" s="9">
        <f t="shared" si="557"/>
        <v>45637</v>
      </c>
      <c r="G6484" s="10">
        <f t="shared" si="558"/>
        <v>12</v>
      </c>
      <c r="H6484" s="10">
        <f t="shared" si="559"/>
        <v>2024</v>
      </c>
      <c r="I6484" s="8" t="s">
        <v>4</v>
      </c>
      <c r="J6484" s="7" t="s">
        <v>7142</v>
      </c>
      <c r="K6484" s="8" t="s">
        <v>117</v>
      </c>
      <c r="L6484" s="8" t="s">
        <v>118</v>
      </c>
      <c r="M6484" s="8" t="s">
        <v>119</v>
      </c>
      <c r="N6484" s="10" t="str">
        <f t="shared" si="555"/>
        <v>TON</v>
      </c>
      <c r="O6484" s="11">
        <v>10.035</v>
      </c>
    </row>
    <row r="6485" spans="2:15" x14ac:dyDescent="0.25">
      <c r="B6485" s="6" t="s">
        <v>1520</v>
      </c>
      <c r="C6485" s="7" t="s">
        <v>196</v>
      </c>
      <c r="D6485" s="8" t="s">
        <v>452</v>
      </c>
      <c r="E6485" s="8" t="s">
        <v>453</v>
      </c>
      <c r="F6485" s="9">
        <f t="shared" si="557"/>
        <v>45637</v>
      </c>
      <c r="G6485" s="10">
        <f t="shared" si="558"/>
        <v>12</v>
      </c>
      <c r="H6485" s="10">
        <f t="shared" si="559"/>
        <v>2024</v>
      </c>
      <c r="I6485" s="8" t="s">
        <v>4</v>
      </c>
      <c r="J6485" s="7" t="s">
        <v>7143</v>
      </c>
      <c r="K6485" s="8" t="s">
        <v>447</v>
      </c>
      <c r="L6485" s="8" t="s">
        <v>448</v>
      </c>
      <c r="M6485" s="8" t="s">
        <v>119</v>
      </c>
      <c r="N6485" s="10" t="str">
        <f t="shared" si="555"/>
        <v>TON</v>
      </c>
      <c r="O6485" s="11">
        <v>4</v>
      </c>
    </row>
    <row r="6486" spans="2:15" x14ac:dyDescent="0.25">
      <c r="B6486" s="6" t="s">
        <v>1520</v>
      </c>
      <c r="C6486" s="7" t="s">
        <v>196</v>
      </c>
      <c r="D6486" s="8" t="s">
        <v>114</v>
      </c>
      <c r="E6486" s="8" t="s">
        <v>336</v>
      </c>
      <c r="F6486" s="9">
        <f t="shared" ref="F6486:F6497" si="560">DATE(2024,12,12)</f>
        <v>45638</v>
      </c>
      <c r="G6486" s="10">
        <f t="shared" si="558"/>
        <v>12</v>
      </c>
      <c r="H6486" s="10">
        <f t="shared" si="559"/>
        <v>2024</v>
      </c>
      <c r="I6486" s="8" t="s">
        <v>4</v>
      </c>
      <c r="J6486" s="7" t="s">
        <v>7144</v>
      </c>
      <c r="K6486" s="8" t="s">
        <v>422</v>
      </c>
      <c r="L6486" s="8" t="s">
        <v>423</v>
      </c>
      <c r="M6486" s="8" t="s">
        <v>119</v>
      </c>
      <c r="N6486" s="10" t="str">
        <f t="shared" si="555"/>
        <v>TON</v>
      </c>
      <c r="O6486" s="11">
        <v>5.7824999999999998</v>
      </c>
    </row>
    <row r="6487" spans="2:15" x14ac:dyDescent="0.25">
      <c r="B6487" s="6" t="s">
        <v>1520</v>
      </c>
      <c r="C6487" s="7" t="s">
        <v>196</v>
      </c>
      <c r="D6487" s="8" t="s">
        <v>294</v>
      </c>
      <c r="E6487" s="8" t="s">
        <v>295</v>
      </c>
      <c r="F6487" s="9">
        <f t="shared" si="560"/>
        <v>45638</v>
      </c>
      <c r="G6487" s="10">
        <f t="shared" si="558"/>
        <v>12</v>
      </c>
      <c r="H6487" s="10">
        <f t="shared" si="559"/>
        <v>2024</v>
      </c>
      <c r="I6487" s="8" t="s">
        <v>4</v>
      </c>
      <c r="J6487" s="7" t="s">
        <v>7145</v>
      </c>
      <c r="K6487" s="8" t="s">
        <v>3708</v>
      </c>
      <c r="L6487" s="8" t="s">
        <v>3709</v>
      </c>
      <c r="M6487" s="8" t="s">
        <v>119</v>
      </c>
      <c r="N6487" s="10" t="str">
        <f t="shared" si="555"/>
        <v>TON</v>
      </c>
      <c r="O6487" s="11">
        <v>1.1875</v>
      </c>
    </row>
    <row r="6488" spans="2:15" x14ac:dyDescent="0.25">
      <c r="B6488" s="6" t="s">
        <v>1520</v>
      </c>
      <c r="C6488" s="7" t="s">
        <v>196</v>
      </c>
      <c r="D6488" s="8" t="s">
        <v>294</v>
      </c>
      <c r="E6488" s="8" t="s">
        <v>295</v>
      </c>
      <c r="F6488" s="9">
        <f t="shared" si="560"/>
        <v>45638</v>
      </c>
      <c r="G6488" s="10">
        <f t="shared" si="558"/>
        <v>12</v>
      </c>
      <c r="H6488" s="10">
        <f t="shared" si="559"/>
        <v>2024</v>
      </c>
      <c r="I6488" s="8" t="s">
        <v>4</v>
      </c>
      <c r="J6488" s="7" t="s">
        <v>7146</v>
      </c>
      <c r="K6488" s="8" t="s">
        <v>122</v>
      </c>
      <c r="L6488" s="8" t="s">
        <v>123</v>
      </c>
      <c r="M6488" s="8" t="s">
        <v>119</v>
      </c>
      <c r="N6488" s="10" t="str">
        <f t="shared" si="555"/>
        <v>TON</v>
      </c>
      <c r="O6488" s="11">
        <v>7.5</v>
      </c>
    </row>
    <row r="6489" spans="2:15" x14ac:dyDescent="0.25">
      <c r="B6489" s="6" t="s">
        <v>1520</v>
      </c>
      <c r="C6489" s="7" t="s">
        <v>196</v>
      </c>
      <c r="D6489" s="8" t="s">
        <v>215</v>
      </c>
      <c r="E6489" s="8" t="s">
        <v>4113</v>
      </c>
      <c r="F6489" s="9">
        <f t="shared" si="560"/>
        <v>45638</v>
      </c>
      <c r="G6489" s="10">
        <f t="shared" si="558"/>
        <v>12</v>
      </c>
      <c r="H6489" s="10">
        <f t="shared" si="559"/>
        <v>2024</v>
      </c>
      <c r="I6489" s="8" t="s">
        <v>4</v>
      </c>
      <c r="J6489" s="7" t="s">
        <v>7147</v>
      </c>
      <c r="K6489" s="8" t="s">
        <v>329</v>
      </c>
      <c r="L6489" s="8" t="s">
        <v>330</v>
      </c>
      <c r="M6489" s="8" t="s">
        <v>119</v>
      </c>
      <c r="N6489" s="10" t="str">
        <f t="shared" si="555"/>
        <v>TON</v>
      </c>
      <c r="O6489" s="11">
        <v>2.5150000000000001</v>
      </c>
    </row>
    <row r="6490" spans="2:15" x14ac:dyDescent="0.25">
      <c r="B6490" s="6" t="s">
        <v>1520</v>
      </c>
      <c r="C6490" s="7" t="s">
        <v>196</v>
      </c>
      <c r="D6490" s="8" t="s">
        <v>679</v>
      </c>
      <c r="E6490" s="8" t="s">
        <v>359</v>
      </c>
      <c r="F6490" s="9">
        <f t="shared" si="560"/>
        <v>45638</v>
      </c>
      <c r="G6490" s="10">
        <f t="shared" si="558"/>
        <v>12</v>
      </c>
      <c r="H6490" s="10">
        <f t="shared" si="559"/>
        <v>2024</v>
      </c>
      <c r="I6490" s="8" t="s">
        <v>4</v>
      </c>
      <c r="J6490" s="7" t="s">
        <v>7148</v>
      </c>
      <c r="K6490" s="8" t="s">
        <v>329</v>
      </c>
      <c r="L6490" s="8" t="s">
        <v>330</v>
      </c>
      <c r="M6490" s="8" t="s">
        <v>119</v>
      </c>
      <c r="N6490" s="10" t="str">
        <f t="shared" si="555"/>
        <v>TON</v>
      </c>
      <c r="O6490" s="11">
        <v>2.0099999999999998</v>
      </c>
    </row>
    <row r="6491" spans="2:15" x14ac:dyDescent="0.25">
      <c r="B6491" s="6" t="s">
        <v>1520</v>
      </c>
      <c r="C6491" s="7" t="s">
        <v>196</v>
      </c>
      <c r="D6491" s="8" t="s">
        <v>215</v>
      </c>
      <c r="E6491" s="8" t="s">
        <v>4113</v>
      </c>
      <c r="F6491" s="9">
        <f t="shared" si="560"/>
        <v>45638</v>
      </c>
      <c r="G6491" s="10">
        <f t="shared" si="558"/>
        <v>12</v>
      </c>
      <c r="H6491" s="10">
        <f t="shared" si="559"/>
        <v>2024</v>
      </c>
      <c r="I6491" s="8" t="s">
        <v>4</v>
      </c>
      <c r="J6491" s="7" t="s">
        <v>7149</v>
      </c>
      <c r="K6491" s="8" t="s">
        <v>447</v>
      </c>
      <c r="L6491" s="8" t="s">
        <v>448</v>
      </c>
      <c r="M6491" s="8" t="s">
        <v>119</v>
      </c>
      <c r="N6491" s="10" t="str">
        <f t="shared" si="555"/>
        <v>TON</v>
      </c>
      <c r="O6491" s="11">
        <v>5.0149999999999997</v>
      </c>
    </row>
    <row r="6492" spans="2:15" x14ac:dyDescent="0.25">
      <c r="B6492" s="6" t="s">
        <v>1520</v>
      </c>
      <c r="C6492" s="7" t="s">
        <v>196</v>
      </c>
      <c r="D6492" s="8" t="s">
        <v>321</v>
      </c>
      <c r="E6492" s="8" t="s">
        <v>697</v>
      </c>
      <c r="F6492" s="9">
        <f t="shared" si="560"/>
        <v>45638</v>
      </c>
      <c r="G6492" s="10">
        <f t="shared" si="558"/>
        <v>12</v>
      </c>
      <c r="H6492" s="10">
        <f t="shared" si="559"/>
        <v>2024</v>
      </c>
      <c r="I6492" s="8" t="s">
        <v>4</v>
      </c>
      <c r="J6492" s="7" t="s">
        <v>7150</v>
      </c>
      <c r="K6492" s="8" t="s">
        <v>394</v>
      </c>
      <c r="L6492" s="8" t="s">
        <v>395</v>
      </c>
      <c r="M6492" s="8" t="s">
        <v>119</v>
      </c>
      <c r="N6492" s="10" t="str">
        <f t="shared" si="555"/>
        <v>TON</v>
      </c>
      <c r="O6492" s="11">
        <v>10.022500000000001</v>
      </c>
    </row>
    <row r="6493" spans="2:15" x14ac:dyDescent="0.25">
      <c r="B6493" s="6" t="s">
        <v>1520</v>
      </c>
      <c r="C6493" s="7" t="s">
        <v>196</v>
      </c>
      <c r="D6493" s="8" t="s">
        <v>1343</v>
      </c>
      <c r="E6493" s="8" t="s">
        <v>3724</v>
      </c>
      <c r="F6493" s="9">
        <f t="shared" si="560"/>
        <v>45638</v>
      </c>
      <c r="G6493" s="10">
        <f t="shared" si="558"/>
        <v>12</v>
      </c>
      <c r="H6493" s="10">
        <f t="shared" si="559"/>
        <v>2024</v>
      </c>
      <c r="I6493" s="8" t="s">
        <v>4</v>
      </c>
      <c r="J6493" s="7" t="s">
        <v>7151</v>
      </c>
      <c r="K6493" s="8" t="s">
        <v>3726</v>
      </c>
      <c r="L6493" s="8" t="s">
        <v>3727</v>
      </c>
      <c r="M6493" s="8" t="s">
        <v>145</v>
      </c>
      <c r="N6493" s="10" t="str">
        <f t="shared" si="555"/>
        <v>GAL</v>
      </c>
      <c r="O6493" s="11">
        <v>5.1624999999999996</v>
      </c>
    </row>
    <row r="6494" spans="2:15" x14ac:dyDescent="0.25">
      <c r="B6494" s="6" t="s">
        <v>1520</v>
      </c>
      <c r="C6494" s="7" t="s">
        <v>196</v>
      </c>
      <c r="D6494" s="8" t="s">
        <v>1343</v>
      </c>
      <c r="E6494" s="8" t="s">
        <v>3724</v>
      </c>
      <c r="F6494" s="9">
        <f t="shared" si="560"/>
        <v>45638</v>
      </c>
      <c r="G6494" s="10">
        <f t="shared" si="558"/>
        <v>12</v>
      </c>
      <c r="H6494" s="10">
        <f t="shared" si="559"/>
        <v>2024</v>
      </c>
      <c r="I6494" s="8" t="s">
        <v>4</v>
      </c>
      <c r="J6494" s="7" t="s">
        <v>7151</v>
      </c>
      <c r="K6494" s="8" t="s">
        <v>2039</v>
      </c>
      <c r="L6494" s="8" t="s">
        <v>2040</v>
      </c>
      <c r="M6494" s="8" t="s">
        <v>119</v>
      </c>
      <c r="N6494" s="10" t="str">
        <f t="shared" si="555"/>
        <v>TON</v>
      </c>
      <c r="O6494" s="11">
        <v>15.01</v>
      </c>
    </row>
    <row r="6495" spans="2:15" x14ac:dyDescent="0.25">
      <c r="B6495" s="6" t="s">
        <v>1520</v>
      </c>
      <c r="C6495" s="7" t="s">
        <v>196</v>
      </c>
      <c r="D6495" s="8" t="s">
        <v>207</v>
      </c>
      <c r="E6495" s="8" t="s">
        <v>208</v>
      </c>
      <c r="F6495" s="9">
        <f t="shared" si="560"/>
        <v>45638</v>
      </c>
      <c r="G6495" s="10">
        <f t="shared" si="558"/>
        <v>12</v>
      </c>
      <c r="H6495" s="10">
        <f t="shared" si="559"/>
        <v>2024</v>
      </c>
      <c r="I6495" s="8" t="s">
        <v>4</v>
      </c>
      <c r="J6495" s="7" t="s">
        <v>7152</v>
      </c>
      <c r="K6495" s="8" t="s">
        <v>205</v>
      </c>
      <c r="L6495" s="8" t="s">
        <v>206</v>
      </c>
      <c r="M6495" s="8" t="s">
        <v>119</v>
      </c>
      <c r="N6495" s="10" t="str">
        <f t="shared" si="555"/>
        <v>TON</v>
      </c>
      <c r="O6495" s="11">
        <v>2.5225</v>
      </c>
    </row>
    <row r="6496" spans="2:15" x14ac:dyDescent="0.25">
      <c r="B6496" s="6" t="s">
        <v>1520</v>
      </c>
      <c r="C6496" s="7" t="s">
        <v>196</v>
      </c>
      <c r="D6496" s="8" t="s">
        <v>224</v>
      </c>
      <c r="E6496" s="8" t="s">
        <v>361</v>
      </c>
      <c r="F6496" s="9">
        <f t="shared" si="560"/>
        <v>45638</v>
      </c>
      <c r="G6496" s="10">
        <f t="shared" si="558"/>
        <v>12</v>
      </c>
      <c r="H6496" s="10">
        <f t="shared" si="559"/>
        <v>2024</v>
      </c>
      <c r="I6496" s="8" t="s">
        <v>4</v>
      </c>
      <c r="J6496" s="7" t="s">
        <v>7153</v>
      </c>
      <c r="K6496" s="8" t="s">
        <v>205</v>
      </c>
      <c r="L6496" s="8" t="s">
        <v>206</v>
      </c>
      <c r="M6496" s="8" t="s">
        <v>119</v>
      </c>
      <c r="N6496" s="10" t="str">
        <f t="shared" si="555"/>
        <v>TON</v>
      </c>
      <c r="O6496" s="11">
        <v>5.01</v>
      </c>
    </row>
    <row r="6497" spans="2:15" x14ac:dyDescent="0.25">
      <c r="B6497" s="6" t="s">
        <v>1520</v>
      </c>
      <c r="C6497" s="7" t="s">
        <v>196</v>
      </c>
      <c r="D6497" s="8" t="s">
        <v>672</v>
      </c>
      <c r="E6497" s="8" t="s">
        <v>1283</v>
      </c>
      <c r="F6497" s="9">
        <f t="shared" si="560"/>
        <v>45638</v>
      </c>
      <c r="G6497" s="10">
        <f t="shared" si="558"/>
        <v>12</v>
      </c>
      <c r="H6497" s="10">
        <f t="shared" si="559"/>
        <v>2024</v>
      </c>
      <c r="I6497" s="8" t="s">
        <v>4</v>
      </c>
      <c r="J6497" s="7" t="s">
        <v>7154</v>
      </c>
      <c r="K6497" s="8" t="s">
        <v>251</v>
      </c>
      <c r="L6497" s="8" t="s">
        <v>252</v>
      </c>
      <c r="M6497" s="8" t="s">
        <v>119</v>
      </c>
      <c r="N6497" s="10" t="str">
        <f t="shared" si="555"/>
        <v>TON</v>
      </c>
      <c r="O6497" s="11">
        <v>5.01</v>
      </c>
    </row>
    <row r="6498" spans="2:15" x14ac:dyDescent="0.25">
      <c r="B6498" s="6" t="s">
        <v>1520</v>
      </c>
      <c r="C6498" s="7" t="s">
        <v>196</v>
      </c>
      <c r="D6498" s="8" t="s">
        <v>452</v>
      </c>
      <c r="E6498" s="8" t="s">
        <v>7109</v>
      </c>
      <c r="F6498" s="9">
        <f t="shared" ref="F6498:F6507" si="561">DATE(2024,12,13)</f>
        <v>45639</v>
      </c>
      <c r="G6498" s="10">
        <f t="shared" si="558"/>
        <v>12</v>
      </c>
      <c r="H6498" s="10">
        <f t="shared" si="559"/>
        <v>2024</v>
      </c>
      <c r="I6498" s="8" t="s">
        <v>4</v>
      </c>
      <c r="J6498" s="7" t="s">
        <v>7155</v>
      </c>
      <c r="K6498" s="8" t="s">
        <v>205</v>
      </c>
      <c r="L6498" s="8" t="s">
        <v>206</v>
      </c>
      <c r="M6498" s="8" t="s">
        <v>119</v>
      </c>
      <c r="N6498" s="10" t="str">
        <f t="shared" si="555"/>
        <v>TON</v>
      </c>
      <c r="O6498" s="11">
        <v>2.4975000000000001</v>
      </c>
    </row>
    <row r="6499" spans="2:15" x14ac:dyDescent="0.25">
      <c r="B6499" s="6" t="s">
        <v>1520</v>
      </c>
      <c r="C6499" s="7" t="s">
        <v>196</v>
      </c>
      <c r="D6499" s="8" t="s">
        <v>280</v>
      </c>
      <c r="E6499" s="8" t="s">
        <v>254</v>
      </c>
      <c r="F6499" s="9">
        <f t="shared" si="561"/>
        <v>45639</v>
      </c>
      <c r="G6499" s="10">
        <f t="shared" si="558"/>
        <v>12</v>
      </c>
      <c r="H6499" s="10">
        <f t="shared" si="559"/>
        <v>2024</v>
      </c>
      <c r="I6499" s="8" t="s">
        <v>4</v>
      </c>
      <c r="J6499" s="7" t="s">
        <v>7156</v>
      </c>
      <c r="K6499" s="8" t="s">
        <v>422</v>
      </c>
      <c r="L6499" s="8" t="s">
        <v>423</v>
      </c>
      <c r="M6499" s="8" t="s">
        <v>119</v>
      </c>
      <c r="N6499" s="10" t="str">
        <f t="shared" si="555"/>
        <v>TON</v>
      </c>
      <c r="O6499" s="11">
        <v>20.032499999999999</v>
      </c>
    </row>
    <row r="6500" spans="2:15" x14ac:dyDescent="0.25">
      <c r="B6500" s="6" t="s">
        <v>1520</v>
      </c>
      <c r="C6500" s="7" t="s">
        <v>196</v>
      </c>
      <c r="D6500" s="8" t="s">
        <v>114</v>
      </c>
      <c r="E6500" s="8" t="s">
        <v>402</v>
      </c>
      <c r="F6500" s="9">
        <f t="shared" si="561"/>
        <v>45639</v>
      </c>
      <c r="G6500" s="10">
        <f t="shared" si="558"/>
        <v>12</v>
      </c>
      <c r="H6500" s="10">
        <f t="shared" si="559"/>
        <v>2024</v>
      </c>
      <c r="I6500" s="8" t="s">
        <v>4</v>
      </c>
      <c r="J6500" s="7" t="s">
        <v>7157</v>
      </c>
      <c r="K6500" s="8" t="s">
        <v>422</v>
      </c>
      <c r="L6500" s="8" t="s">
        <v>423</v>
      </c>
      <c r="M6500" s="8" t="s">
        <v>119</v>
      </c>
      <c r="N6500" s="10" t="str">
        <f t="shared" si="555"/>
        <v>TON</v>
      </c>
      <c r="O6500" s="11">
        <v>5.51</v>
      </c>
    </row>
    <row r="6501" spans="2:15" x14ac:dyDescent="0.25">
      <c r="B6501" s="6" t="s">
        <v>1520</v>
      </c>
      <c r="C6501" s="7" t="s">
        <v>196</v>
      </c>
      <c r="D6501" s="8" t="s">
        <v>248</v>
      </c>
      <c r="E6501" s="8" t="s">
        <v>3610</v>
      </c>
      <c r="F6501" s="9">
        <f t="shared" si="561"/>
        <v>45639</v>
      </c>
      <c r="G6501" s="10">
        <f t="shared" si="558"/>
        <v>12</v>
      </c>
      <c r="H6501" s="10">
        <f t="shared" si="559"/>
        <v>2024</v>
      </c>
      <c r="I6501" s="8" t="s">
        <v>4</v>
      </c>
      <c r="J6501" s="7" t="s">
        <v>7158</v>
      </c>
      <c r="K6501" s="8" t="s">
        <v>251</v>
      </c>
      <c r="L6501" s="8" t="s">
        <v>252</v>
      </c>
      <c r="M6501" s="8" t="s">
        <v>119</v>
      </c>
      <c r="N6501" s="10" t="str">
        <f t="shared" si="555"/>
        <v>TON</v>
      </c>
      <c r="O6501" s="11">
        <v>2.5049999999999999</v>
      </c>
    </row>
    <row r="6502" spans="2:15" x14ac:dyDescent="0.25">
      <c r="B6502" s="6" t="s">
        <v>1520</v>
      </c>
      <c r="C6502" s="7" t="s">
        <v>196</v>
      </c>
      <c r="D6502" s="8" t="s">
        <v>248</v>
      </c>
      <c r="E6502" s="8" t="s">
        <v>409</v>
      </c>
      <c r="F6502" s="9">
        <f t="shared" si="561"/>
        <v>45639</v>
      </c>
      <c r="G6502" s="10">
        <f t="shared" si="558"/>
        <v>12</v>
      </c>
      <c r="H6502" s="10">
        <f t="shared" si="559"/>
        <v>2024</v>
      </c>
      <c r="I6502" s="8" t="s">
        <v>4</v>
      </c>
      <c r="J6502" s="7" t="s">
        <v>7159</v>
      </c>
      <c r="K6502" s="8" t="s">
        <v>251</v>
      </c>
      <c r="L6502" s="8" t="s">
        <v>252</v>
      </c>
      <c r="M6502" s="8" t="s">
        <v>119</v>
      </c>
      <c r="N6502" s="10" t="str">
        <f t="shared" si="555"/>
        <v>TON</v>
      </c>
      <c r="O6502" s="11">
        <v>15.0275</v>
      </c>
    </row>
    <row r="6503" spans="2:15" x14ac:dyDescent="0.25">
      <c r="B6503" s="6" t="s">
        <v>1520</v>
      </c>
      <c r="C6503" s="7" t="s">
        <v>196</v>
      </c>
      <c r="D6503" s="8" t="s">
        <v>215</v>
      </c>
      <c r="E6503" s="8" t="s">
        <v>4113</v>
      </c>
      <c r="F6503" s="9">
        <f t="shared" si="561"/>
        <v>45639</v>
      </c>
      <c r="G6503" s="10">
        <f t="shared" si="558"/>
        <v>12</v>
      </c>
      <c r="H6503" s="10">
        <f t="shared" si="559"/>
        <v>2024</v>
      </c>
      <c r="I6503" s="8" t="s">
        <v>4</v>
      </c>
      <c r="J6503" s="7" t="s">
        <v>7160</v>
      </c>
      <c r="K6503" s="8" t="s">
        <v>823</v>
      </c>
      <c r="L6503" s="8" t="s">
        <v>776</v>
      </c>
      <c r="M6503" s="8" t="s">
        <v>82</v>
      </c>
      <c r="N6503" s="10" t="str">
        <f t="shared" si="555"/>
        <v>GAL</v>
      </c>
      <c r="O6503" s="11">
        <v>250</v>
      </c>
    </row>
    <row r="6504" spans="2:15" x14ac:dyDescent="0.25">
      <c r="B6504" s="6" t="s">
        <v>1520</v>
      </c>
      <c r="C6504" s="7" t="s">
        <v>196</v>
      </c>
      <c r="D6504" s="8" t="s">
        <v>215</v>
      </c>
      <c r="E6504" s="8" t="s">
        <v>4113</v>
      </c>
      <c r="F6504" s="9">
        <f t="shared" si="561"/>
        <v>45639</v>
      </c>
      <c r="G6504" s="10">
        <f t="shared" si="558"/>
        <v>12</v>
      </c>
      <c r="H6504" s="10">
        <f t="shared" si="559"/>
        <v>2024</v>
      </c>
      <c r="I6504" s="8" t="s">
        <v>4</v>
      </c>
      <c r="J6504" s="7" t="s">
        <v>7160</v>
      </c>
      <c r="K6504" s="8" t="s">
        <v>1204</v>
      </c>
      <c r="L6504" s="8" t="s">
        <v>1151</v>
      </c>
      <c r="M6504" s="8" t="s">
        <v>8</v>
      </c>
      <c r="N6504" s="10" t="str">
        <f t="shared" si="555"/>
        <v>GAL</v>
      </c>
      <c r="O6504" s="11">
        <v>250</v>
      </c>
    </row>
    <row r="6505" spans="2:15" x14ac:dyDescent="0.25">
      <c r="B6505" s="6" t="s">
        <v>1520</v>
      </c>
      <c r="C6505" s="7" t="s">
        <v>196</v>
      </c>
      <c r="D6505" s="8" t="s">
        <v>215</v>
      </c>
      <c r="E6505" s="8" t="s">
        <v>4113</v>
      </c>
      <c r="F6505" s="9">
        <f t="shared" si="561"/>
        <v>45639</v>
      </c>
      <c r="G6505" s="10">
        <f t="shared" si="558"/>
        <v>12</v>
      </c>
      <c r="H6505" s="10">
        <f t="shared" si="559"/>
        <v>2024</v>
      </c>
      <c r="I6505" s="8" t="s">
        <v>4</v>
      </c>
      <c r="J6505" s="7" t="s">
        <v>7160</v>
      </c>
      <c r="K6505" s="8" t="s">
        <v>822</v>
      </c>
      <c r="L6505" s="8" t="s">
        <v>565</v>
      </c>
      <c r="M6505" s="8" t="s">
        <v>21</v>
      </c>
      <c r="N6505" s="10" t="str">
        <f t="shared" si="555"/>
        <v>GAL</v>
      </c>
      <c r="O6505" s="11">
        <v>250</v>
      </c>
    </row>
    <row r="6506" spans="2:15" x14ac:dyDescent="0.25">
      <c r="B6506" s="6" t="s">
        <v>1520</v>
      </c>
      <c r="C6506" s="7" t="s">
        <v>196</v>
      </c>
      <c r="D6506" s="8" t="s">
        <v>669</v>
      </c>
      <c r="E6506" s="8" t="s">
        <v>861</v>
      </c>
      <c r="F6506" s="9">
        <f t="shared" si="561"/>
        <v>45639</v>
      </c>
      <c r="G6506" s="10">
        <f t="shared" si="558"/>
        <v>12</v>
      </c>
      <c r="H6506" s="10">
        <f t="shared" si="559"/>
        <v>2024</v>
      </c>
      <c r="I6506" s="8" t="s">
        <v>4</v>
      </c>
      <c r="J6506" s="7" t="s">
        <v>7161</v>
      </c>
      <c r="K6506" s="8" t="s">
        <v>384</v>
      </c>
      <c r="L6506" s="8" t="s">
        <v>385</v>
      </c>
      <c r="M6506" s="8" t="s">
        <v>119</v>
      </c>
      <c r="N6506" s="10" t="str">
        <f t="shared" si="555"/>
        <v>TON</v>
      </c>
      <c r="O6506" s="11">
        <v>1.75</v>
      </c>
    </row>
    <row r="6507" spans="2:15" x14ac:dyDescent="0.25">
      <c r="B6507" s="6" t="s">
        <v>1520</v>
      </c>
      <c r="C6507" s="7" t="s">
        <v>196</v>
      </c>
      <c r="D6507" s="8" t="s">
        <v>458</v>
      </c>
      <c r="E6507" s="8" t="s">
        <v>2278</v>
      </c>
      <c r="F6507" s="9">
        <f t="shared" si="561"/>
        <v>45639</v>
      </c>
      <c r="G6507" s="10">
        <f t="shared" si="558"/>
        <v>12</v>
      </c>
      <c r="H6507" s="10">
        <f t="shared" si="559"/>
        <v>2024</v>
      </c>
      <c r="I6507" s="8" t="s">
        <v>4</v>
      </c>
      <c r="J6507" s="7" t="s">
        <v>7162</v>
      </c>
      <c r="K6507" s="8" t="s">
        <v>329</v>
      </c>
      <c r="L6507" s="8" t="s">
        <v>330</v>
      </c>
      <c r="M6507" s="8" t="s">
        <v>119</v>
      </c>
      <c r="N6507" s="10" t="str">
        <f t="shared" si="555"/>
        <v>TON</v>
      </c>
      <c r="O6507" s="11">
        <v>5</v>
      </c>
    </row>
    <row r="6508" spans="2:15" x14ac:dyDescent="0.25">
      <c r="B6508" s="6" t="s">
        <v>1520</v>
      </c>
      <c r="C6508" s="7" t="s">
        <v>196</v>
      </c>
      <c r="D6508" s="8" t="s">
        <v>440</v>
      </c>
      <c r="E6508" s="8" t="s">
        <v>441</v>
      </c>
      <c r="F6508" s="9">
        <f t="shared" ref="F6508:F6517" si="562">DATE(2024,12,16)</f>
        <v>45642</v>
      </c>
      <c r="G6508" s="10">
        <f t="shared" si="558"/>
        <v>12</v>
      </c>
      <c r="H6508" s="10">
        <f t="shared" si="559"/>
        <v>2024</v>
      </c>
      <c r="I6508" s="8" t="s">
        <v>4</v>
      </c>
      <c r="J6508" s="7" t="s">
        <v>7163</v>
      </c>
      <c r="K6508" s="8" t="s">
        <v>7086</v>
      </c>
      <c r="L6508" s="8" t="s">
        <v>7087</v>
      </c>
      <c r="M6508" s="8" t="s">
        <v>119</v>
      </c>
      <c r="N6508" s="10" t="str">
        <f t="shared" si="555"/>
        <v>TON</v>
      </c>
      <c r="O6508" s="11">
        <v>5.0125000000000002</v>
      </c>
    </row>
    <row r="6509" spans="2:15" x14ac:dyDescent="0.25">
      <c r="B6509" s="6" t="s">
        <v>1520</v>
      </c>
      <c r="C6509" s="7" t="s">
        <v>196</v>
      </c>
      <c r="D6509" s="8" t="s">
        <v>374</v>
      </c>
      <c r="E6509" s="8" t="s">
        <v>455</v>
      </c>
      <c r="F6509" s="9">
        <f t="shared" si="562"/>
        <v>45642</v>
      </c>
      <c r="G6509" s="10">
        <f t="shared" si="558"/>
        <v>12</v>
      </c>
      <c r="H6509" s="10">
        <f t="shared" si="559"/>
        <v>2024</v>
      </c>
      <c r="I6509" s="8" t="s">
        <v>4</v>
      </c>
      <c r="J6509" s="7" t="s">
        <v>7164</v>
      </c>
      <c r="K6509" s="8" t="s">
        <v>329</v>
      </c>
      <c r="L6509" s="8" t="s">
        <v>330</v>
      </c>
      <c r="M6509" s="8" t="s">
        <v>119</v>
      </c>
      <c r="N6509" s="10" t="str">
        <f t="shared" si="555"/>
        <v>TON</v>
      </c>
      <c r="O6509" s="11">
        <v>15.05</v>
      </c>
    </row>
    <row r="6510" spans="2:15" x14ac:dyDescent="0.25">
      <c r="B6510" s="6" t="s">
        <v>645</v>
      </c>
      <c r="C6510" s="7" t="s">
        <v>196</v>
      </c>
      <c r="D6510" s="8" t="s">
        <v>7165</v>
      </c>
      <c r="E6510" s="8" t="s">
        <v>141</v>
      </c>
      <c r="F6510" s="9">
        <f t="shared" si="562"/>
        <v>45642</v>
      </c>
      <c r="G6510" s="10">
        <f t="shared" si="558"/>
        <v>12</v>
      </c>
      <c r="H6510" s="10">
        <f t="shared" si="559"/>
        <v>2024</v>
      </c>
      <c r="I6510" s="8" t="s">
        <v>4</v>
      </c>
      <c r="J6510" s="7" t="s">
        <v>7166</v>
      </c>
      <c r="K6510" s="8" t="s">
        <v>122</v>
      </c>
      <c r="L6510" s="8" t="s">
        <v>123</v>
      </c>
      <c r="M6510" s="8" t="s">
        <v>119</v>
      </c>
      <c r="N6510" s="10" t="str">
        <f t="shared" si="555"/>
        <v>TON</v>
      </c>
      <c r="O6510" s="11">
        <v>1.2524999999999999</v>
      </c>
    </row>
    <row r="6511" spans="2:15" x14ac:dyDescent="0.25">
      <c r="B6511" s="6" t="s">
        <v>1520</v>
      </c>
      <c r="C6511" s="7" t="s">
        <v>196</v>
      </c>
      <c r="D6511" s="8" t="s">
        <v>114</v>
      </c>
      <c r="E6511" s="8" t="s">
        <v>369</v>
      </c>
      <c r="F6511" s="9">
        <f t="shared" si="562"/>
        <v>45642</v>
      </c>
      <c r="G6511" s="10">
        <f t="shared" si="558"/>
        <v>12</v>
      </c>
      <c r="H6511" s="10">
        <f t="shared" si="559"/>
        <v>2024</v>
      </c>
      <c r="I6511" s="8" t="s">
        <v>4</v>
      </c>
      <c r="J6511" s="7" t="s">
        <v>7167</v>
      </c>
      <c r="K6511" s="8" t="s">
        <v>422</v>
      </c>
      <c r="L6511" s="8" t="s">
        <v>423</v>
      </c>
      <c r="M6511" s="8" t="s">
        <v>119</v>
      </c>
      <c r="N6511" s="10" t="str">
        <f t="shared" si="555"/>
        <v>TON</v>
      </c>
      <c r="O6511" s="11">
        <v>2.0049999999999999</v>
      </c>
    </row>
    <row r="6512" spans="2:15" x14ac:dyDescent="0.25">
      <c r="B6512" s="6" t="s">
        <v>1520</v>
      </c>
      <c r="C6512" s="7" t="s">
        <v>196</v>
      </c>
      <c r="D6512" s="8" t="s">
        <v>197</v>
      </c>
      <c r="E6512" s="8" t="s">
        <v>198</v>
      </c>
      <c r="F6512" s="9">
        <f t="shared" si="562"/>
        <v>45642</v>
      </c>
      <c r="G6512" s="10">
        <f t="shared" si="558"/>
        <v>12</v>
      </c>
      <c r="H6512" s="10">
        <f t="shared" si="559"/>
        <v>2024</v>
      </c>
      <c r="I6512" s="8" t="s">
        <v>4</v>
      </c>
      <c r="J6512" s="7" t="s">
        <v>7168</v>
      </c>
      <c r="K6512" s="8" t="s">
        <v>307</v>
      </c>
      <c r="L6512" s="8" t="s">
        <v>308</v>
      </c>
      <c r="M6512" s="8" t="s">
        <v>119</v>
      </c>
      <c r="N6512" s="10" t="str">
        <f t="shared" si="555"/>
        <v>TON</v>
      </c>
      <c r="O6512" s="11">
        <v>4.01</v>
      </c>
    </row>
    <row r="6513" spans="2:15" x14ac:dyDescent="0.25">
      <c r="B6513" s="6" t="s">
        <v>1520</v>
      </c>
      <c r="C6513" s="7" t="s">
        <v>196</v>
      </c>
      <c r="D6513" s="8" t="s">
        <v>265</v>
      </c>
      <c r="E6513" s="8" t="s">
        <v>266</v>
      </c>
      <c r="F6513" s="9">
        <f t="shared" si="562"/>
        <v>45642</v>
      </c>
      <c r="G6513" s="10">
        <f t="shared" si="558"/>
        <v>12</v>
      </c>
      <c r="H6513" s="10">
        <f t="shared" si="559"/>
        <v>2024</v>
      </c>
      <c r="I6513" s="8" t="s">
        <v>4</v>
      </c>
      <c r="J6513" s="7" t="s">
        <v>7169</v>
      </c>
      <c r="K6513" s="8" t="s">
        <v>268</v>
      </c>
      <c r="L6513" s="8" t="s">
        <v>269</v>
      </c>
      <c r="M6513" s="8" t="s">
        <v>119</v>
      </c>
      <c r="N6513" s="10" t="str">
        <f t="shared" si="555"/>
        <v>TON</v>
      </c>
      <c r="O6513" s="11">
        <v>0.15</v>
      </c>
    </row>
    <row r="6514" spans="2:15" x14ac:dyDescent="0.25">
      <c r="B6514" s="6" t="s">
        <v>1520</v>
      </c>
      <c r="C6514" s="7" t="s">
        <v>196</v>
      </c>
      <c r="D6514" s="8" t="s">
        <v>4034</v>
      </c>
      <c r="E6514" s="8" t="s">
        <v>759</v>
      </c>
      <c r="F6514" s="9">
        <f t="shared" si="562"/>
        <v>45642</v>
      </c>
      <c r="G6514" s="10">
        <f t="shared" si="558"/>
        <v>12</v>
      </c>
      <c r="H6514" s="10">
        <f t="shared" si="559"/>
        <v>2024</v>
      </c>
      <c r="I6514" s="8" t="s">
        <v>4</v>
      </c>
      <c r="J6514" s="7" t="s">
        <v>7170</v>
      </c>
      <c r="K6514" s="8" t="s">
        <v>117</v>
      </c>
      <c r="L6514" s="8" t="s">
        <v>118</v>
      </c>
      <c r="M6514" s="8" t="s">
        <v>119</v>
      </c>
      <c r="N6514" s="10" t="str">
        <f t="shared" si="555"/>
        <v>TON</v>
      </c>
      <c r="O6514" s="11">
        <v>5.01</v>
      </c>
    </row>
    <row r="6515" spans="2:15" x14ac:dyDescent="0.25">
      <c r="B6515" s="6" t="s">
        <v>1520</v>
      </c>
      <c r="C6515" s="7" t="s">
        <v>196</v>
      </c>
      <c r="D6515" s="8" t="s">
        <v>303</v>
      </c>
      <c r="E6515" s="8" t="s">
        <v>501</v>
      </c>
      <c r="F6515" s="9">
        <f t="shared" si="562"/>
        <v>45642</v>
      </c>
      <c r="G6515" s="10">
        <f t="shared" si="558"/>
        <v>12</v>
      </c>
      <c r="H6515" s="10">
        <f t="shared" si="559"/>
        <v>2024</v>
      </c>
      <c r="I6515" s="8" t="s">
        <v>4</v>
      </c>
      <c r="J6515" s="7" t="s">
        <v>7171</v>
      </c>
      <c r="K6515" s="8" t="s">
        <v>3726</v>
      </c>
      <c r="L6515" s="8" t="s">
        <v>3727</v>
      </c>
      <c r="M6515" s="8" t="s">
        <v>145</v>
      </c>
      <c r="N6515" s="10" t="str">
        <f t="shared" si="555"/>
        <v>GAL</v>
      </c>
      <c r="O6515" s="11">
        <v>1.875</v>
      </c>
    </row>
    <row r="6516" spans="2:15" x14ac:dyDescent="0.25">
      <c r="B6516" s="6" t="s">
        <v>1520</v>
      </c>
      <c r="C6516" s="7" t="s">
        <v>196</v>
      </c>
      <c r="D6516" s="8" t="s">
        <v>303</v>
      </c>
      <c r="E6516" s="8" t="s">
        <v>501</v>
      </c>
      <c r="F6516" s="9">
        <f t="shared" si="562"/>
        <v>45642</v>
      </c>
      <c r="G6516" s="10">
        <f t="shared" si="558"/>
        <v>12</v>
      </c>
      <c r="H6516" s="10">
        <f t="shared" si="559"/>
        <v>2024</v>
      </c>
      <c r="I6516" s="8" t="s">
        <v>4</v>
      </c>
      <c r="J6516" s="7" t="s">
        <v>7171</v>
      </c>
      <c r="K6516" s="8" t="s">
        <v>422</v>
      </c>
      <c r="L6516" s="8" t="s">
        <v>423</v>
      </c>
      <c r="M6516" s="8" t="s">
        <v>119</v>
      </c>
      <c r="N6516" s="10" t="str">
        <f t="shared" si="555"/>
        <v>TON</v>
      </c>
      <c r="O6516" s="11">
        <v>5.0350000000000001</v>
      </c>
    </row>
    <row r="6517" spans="2:15" x14ac:dyDescent="0.25">
      <c r="B6517" s="6" t="s">
        <v>1520</v>
      </c>
      <c r="C6517" s="7" t="s">
        <v>196</v>
      </c>
      <c r="D6517" s="8" t="s">
        <v>3764</v>
      </c>
      <c r="E6517" s="8" t="s">
        <v>3765</v>
      </c>
      <c r="F6517" s="9">
        <f t="shared" si="562"/>
        <v>45642</v>
      </c>
      <c r="G6517" s="10">
        <f t="shared" si="558"/>
        <v>12</v>
      </c>
      <c r="H6517" s="10">
        <f t="shared" si="559"/>
        <v>2024</v>
      </c>
      <c r="I6517" s="8" t="s">
        <v>4</v>
      </c>
      <c r="J6517" s="7" t="s">
        <v>7172</v>
      </c>
      <c r="K6517" s="8" t="s">
        <v>329</v>
      </c>
      <c r="L6517" s="8" t="s">
        <v>330</v>
      </c>
      <c r="M6517" s="8" t="s">
        <v>119</v>
      </c>
      <c r="N6517" s="10" t="str">
        <f t="shared" si="555"/>
        <v>TON</v>
      </c>
      <c r="O6517" s="11">
        <v>1.2725</v>
      </c>
    </row>
    <row r="6518" spans="2:15" x14ac:dyDescent="0.25">
      <c r="B6518" s="6" t="s">
        <v>1520</v>
      </c>
      <c r="C6518" s="7" t="s">
        <v>196</v>
      </c>
      <c r="D6518" s="8" t="s">
        <v>387</v>
      </c>
      <c r="E6518" s="8" t="s">
        <v>797</v>
      </c>
      <c r="F6518" s="9">
        <f t="shared" ref="F6518:F6525" si="563">DATE(2024,12,17)</f>
        <v>45643</v>
      </c>
      <c r="G6518" s="10">
        <f t="shared" si="558"/>
        <v>12</v>
      </c>
      <c r="H6518" s="10">
        <f t="shared" si="559"/>
        <v>2024</v>
      </c>
      <c r="I6518" s="8" t="s">
        <v>4</v>
      </c>
      <c r="J6518" s="7" t="s">
        <v>7173</v>
      </c>
      <c r="K6518" s="8" t="s">
        <v>3726</v>
      </c>
      <c r="L6518" s="8" t="s">
        <v>3727</v>
      </c>
      <c r="M6518" s="8" t="s">
        <v>145</v>
      </c>
      <c r="N6518" s="10" t="str">
        <f t="shared" si="555"/>
        <v>GAL</v>
      </c>
      <c r="O6518" s="11">
        <v>4.6875</v>
      </c>
    </row>
    <row r="6519" spans="2:15" x14ac:dyDescent="0.25">
      <c r="B6519" s="6" t="s">
        <v>1520</v>
      </c>
      <c r="C6519" s="7" t="s">
        <v>196</v>
      </c>
      <c r="D6519" s="8" t="s">
        <v>387</v>
      </c>
      <c r="E6519" s="8" t="s">
        <v>797</v>
      </c>
      <c r="F6519" s="9">
        <f t="shared" si="563"/>
        <v>45643</v>
      </c>
      <c r="G6519" s="10">
        <f t="shared" si="558"/>
        <v>12</v>
      </c>
      <c r="H6519" s="10">
        <f t="shared" si="559"/>
        <v>2024</v>
      </c>
      <c r="I6519" s="8" t="s">
        <v>4</v>
      </c>
      <c r="J6519" s="7" t="s">
        <v>7173</v>
      </c>
      <c r="K6519" s="8" t="s">
        <v>7086</v>
      </c>
      <c r="L6519" s="8" t="s">
        <v>7087</v>
      </c>
      <c r="M6519" s="8" t="s">
        <v>119</v>
      </c>
      <c r="N6519" s="10" t="str">
        <f t="shared" si="555"/>
        <v>TON</v>
      </c>
      <c r="O6519" s="11">
        <v>12.5025</v>
      </c>
    </row>
    <row r="6520" spans="2:15" x14ac:dyDescent="0.25">
      <c r="B6520" s="6" t="s">
        <v>1520</v>
      </c>
      <c r="C6520" s="7" t="s">
        <v>196</v>
      </c>
      <c r="D6520" s="8" t="s">
        <v>114</v>
      </c>
      <c r="E6520" s="8" t="s">
        <v>5054</v>
      </c>
      <c r="F6520" s="9">
        <f t="shared" si="563"/>
        <v>45643</v>
      </c>
      <c r="G6520" s="10">
        <f t="shared" si="558"/>
        <v>12</v>
      </c>
      <c r="H6520" s="10">
        <f t="shared" si="559"/>
        <v>2024</v>
      </c>
      <c r="I6520" s="8" t="s">
        <v>4</v>
      </c>
      <c r="J6520" s="7" t="s">
        <v>7174</v>
      </c>
      <c r="K6520" s="8" t="s">
        <v>422</v>
      </c>
      <c r="L6520" s="8" t="s">
        <v>423</v>
      </c>
      <c r="M6520" s="8" t="s">
        <v>119</v>
      </c>
      <c r="N6520" s="10" t="str">
        <f t="shared" si="555"/>
        <v>TON</v>
      </c>
      <c r="O6520" s="11">
        <v>6.0049999999999999</v>
      </c>
    </row>
    <row r="6521" spans="2:15" x14ac:dyDescent="0.25">
      <c r="B6521" s="6" t="s">
        <v>1520</v>
      </c>
      <c r="C6521" s="7" t="s">
        <v>196</v>
      </c>
      <c r="D6521" s="8" t="s">
        <v>1375</v>
      </c>
      <c r="E6521" s="8" t="s">
        <v>102</v>
      </c>
      <c r="F6521" s="9">
        <f t="shared" si="563"/>
        <v>45643</v>
      </c>
      <c r="G6521" s="10">
        <f t="shared" si="558"/>
        <v>12</v>
      </c>
      <c r="H6521" s="10">
        <f t="shared" si="559"/>
        <v>2024</v>
      </c>
      <c r="I6521" s="8" t="s">
        <v>4</v>
      </c>
      <c r="J6521" s="7" t="s">
        <v>7175</v>
      </c>
      <c r="K6521" s="8" t="s">
        <v>205</v>
      </c>
      <c r="L6521" s="8" t="s">
        <v>206</v>
      </c>
      <c r="M6521" s="8" t="s">
        <v>119</v>
      </c>
      <c r="N6521" s="10" t="str">
        <f t="shared" si="555"/>
        <v>TON</v>
      </c>
      <c r="O6521" s="11">
        <v>5.0025000000000004</v>
      </c>
    </row>
    <row r="6522" spans="2:15" x14ac:dyDescent="0.25">
      <c r="B6522" s="6" t="s">
        <v>1520</v>
      </c>
      <c r="C6522" s="7" t="s">
        <v>196</v>
      </c>
      <c r="D6522" s="8" t="s">
        <v>4013</v>
      </c>
      <c r="E6522" s="8" t="s">
        <v>2868</v>
      </c>
      <c r="F6522" s="9">
        <f t="shared" si="563"/>
        <v>45643</v>
      </c>
      <c r="G6522" s="10">
        <f t="shared" si="558"/>
        <v>12</v>
      </c>
      <c r="H6522" s="10">
        <f t="shared" si="559"/>
        <v>2024</v>
      </c>
      <c r="I6522" s="8" t="s">
        <v>4</v>
      </c>
      <c r="J6522" s="7" t="s">
        <v>7176</v>
      </c>
      <c r="K6522" s="8" t="s">
        <v>329</v>
      </c>
      <c r="L6522" s="8" t="s">
        <v>330</v>
      </c>
      <c r="M6522" s="8" t="s">
        <v>119</v>
      </c>
      <c r="N6522" s="10" t="str">
        <f t="shared" si="555"/>
        <v>TON</v>
      </c>
      <c r="O6522" s="11">
        <v>1</v>
      </c>
    </row>
    <row r="6523" spans="2:15" x14ac:dyDescent="0.25">
      <c r="B6523" s="6" t="s">
        <v>1520</v>
      </c>
      <c r="C6523" s="7" t="s">
        <v>196</v>
      </c>
      <c r="D6523" s="8" t="s">
        <v>114</v>
      </c>
      <c r="E6523" s="8" t="s">
        <v>3751</v>
      </c>
      <c r="F6523" s="9">
        <f t="shared" si="563"/>
        <v>45643</v>
      </c>
      <c r="G6523" s="10">
        <f t="shared" si="558"/>
        <v>12</v>
      </c>
      <c r="H6523" s="10">
        <f t="shared" si="559"/>
        <v>2024</v>
      </c>
      <c r="I6523" s="8" t="s">
        <v>4</v>
      </c>
      <c r="J6523" s="7" t="s">
        <v>7177</v>
      </c>
      <c r="K6523" s="8" t="s">
        <v>422</v>
      </c>
      <c r="L6523" s="8" t="s">
        <v>423</v>
      </c>
      <c r="M6523" s="8" t="s">
        <v>119</v>
      </c>
      <c r="N6523" s="10" t="str">
        <f t="shared" si="555"/>
        <v>TON</v>
      </c>
      <c r="O6523" s="11">
        <v>12.515000000000001</v>
      </c>
    </row>
    <row r="6524" spans="2:15" x14ac:dyDescent="0.25">
      <c r="B6524" s="6" t="s">
        <v>1520</v>
      </c>
      <c r="C6524" s="7" t="s">
        <v>196</v>
      </c>
      <c r="D6524" s="8" t="s">
        <v>299</v>
      </c>
      <c r="E6524" s="8" t="s">
        <v>300</v>
      </c>
      <c r="F6524" s="9">
        <f t="shared" si="563"/>
        <v>45643</v>
      </c>
      <c r="G6524" s="10">
        <f t="shared" si="558"/>
        <v>12</v>
      </c>
      <c r="H6524" s="10">
        <f t="shared" si="559"/>
        <v>2024</v>
      </c>
      <c r="I6524" s="8" t="s">
        <v>4</v>
      </c>
      <c r="J6524" s="7" t="s">
        <v>7178</v>
      </c>
      <c r="K6524" s="8" t="s">
        <v>422</v>
      </c>
      <c r="L6524" s="8" t="s">
        <v>423</v>
      </c>
      <c r="M6524" s="8" t="s">
        <v>119</v>
      </c>
      <c r="N6524" s="10" t="str">
        <f t="shared" si="555"/>
        <v>TON</v>
      </c>
      <c r="O6524" s="11">
        <v>13.772</v>
      </c>
    </row>
    <row r="6525" spans="2:15" x14ac:dyDescent="0.25">
      <c r="B6525" s="6" t="s">
        <v>1520</v>
      </c>
      <c r="C6525" s="7" t="s">
        <v>196</v>
      </c>
      <c r="D6525" s="8" t="s">
        <v>299</v>
      </c>
      <c r="E6525" s="8" t="s">
        <v>689</v>
      </c>
      <c r="F6525" s="9">
        <f t="shared" si="563"/>
        <v>45643</v>
      </c>
      <c r="G6525" s="10">
        <f t="shared" si="558"/>
        <v>12</v>
      </c>
      <c r="H6525" s="10">
        <f t="shared" si="559"/>
        <v>2024</v>
      </c>
      <c r="I6525" s="8" t="s">
        <v>4</v>
      </c>
      <c r="J6525" s="7" t="s">
        <v>7179</v>
      </c>
      <c r="K6525" s="8" t="s">
        <v>422</v>
      </c>
      <c r="L6525" s="8" t="s">
        <v>423</v>
      </c>
      <c r="M6525" s="8" t="s">
        <v>119</v>
      </c>
      <c r="N6525" s="10" t="str">
        <f t="shared" si="555"/>
        <v>TON</v>
      </c>
      <c r="O6525" s="11">
        <v>12.762499999999999</v>
      </c>
    </row>
    <row r="6526" spans="2:15" x14ac:dyDescent="0.25">
      <c r="B6526" s="6" t="s">
        <v>1520</v>
      </c>
      <c r="C6526" s="7" t="s">
        <v>196</v>
      </c>
      <c r="D6526" s="8" t="s">
        <v>1276</v>
      </c>
      <c r="E6526" s="8" t="s">
        <v>791</v>
      </c>
      <c r="F6526" s="9">
        <f>DATE(2024,12,18)</f>
        <v>45644</v>
      </c>
      <c r="G6526" s="10">
        <f t="shared" si="558"/>
        <v>12</v>
      </c>
      <c r="H6526" s="10">
        <f t="shared" si="559"/>
        <v>2024</v>
      </c>
      <c r="I6526" s="8" t="s">
        <v>4</v>
      </c>
      <c r="J6526" s="7" t="s">
        <v>7180</v>
      </c>
      <c r="K6526" s="8" t="s">
        <v>117</v>
      </c>
      <c r="L6526" s="8" t="s">
        <v>118</v>
      </c>
      <c r="M6526" s="8" t="s">
        <v>119</v>
      </c>
      <c r="N6526" s="10" t="str">
        <f t="shared" ref="N6526:N6589" si="564">+LEFT(M6526,3)</f>
        <v>TON</v>
      </c>
      <c r="O6526" s="11">
        <v>5.0149999999999997</v>
      </c>
    </row>
    <row r="6527" spans="2:15" x14ac:dyDescent="0.25">
      <c r="B6527" s="6" t="s">
        <v>1520</v>
      </c>
      <c r="C6527" s="7" t="s">
        <v>196</v>
      </c>
      <c r="D6527" s="8" t="s">
        <v>672</v>
      </c>
      <c r="E6527" s="8" t="s">
        <v>699</v>
      </c>
      <c r="F6527" s="9">
        <f>DATE(2024,12,18)</f>
        <v>45644</v>
      </c>
      <c r="G6527" s="10">
        <f t="shared" si="558"/>
        <v>12</v>
      </c>
      <c r="H6527" s="10">
        <f t="shared" si="559"/>
        <v>2024</v>
      </c>
      <c r="I6527" s="8" t="s">
        <v>4</v>
      </c>
      <c r="J6527" s="7" t="s">
        <v>7181</v>
      </c>
      <c r="K6527" s="8" t="s">
        <v>251</v>
      </c>
      <c r="L6527" s="8" t="s">
        <v>252</v>
      </c>
      <c r="M6527" s="8" t="s">
        <v>119</v>
      </c>
      <c r="N6527" s="10" t="str">
        <f t="shared" si="564"/>
        <v>TON</v>
      </c>
      <c r="O6527" s="11">
        <v>4.5</v>
      </c>
    </row>
    <row r="6528" spans="2:15" x14ac:dyDescent="0.25">
      <c r="B6528" s="6" t="s">
        <v>1520</v>
      </c>
      <c r="C6528" s="7" t="s">
        <v>196</v>
      </c>
      <c r="D6528" s="8" t="s">
        <v>289</v>
      </c>
      <c r="E6528" s="8" t="s">
        <v>290</v>
      </c>
      <c r="F6528" s="9">
        <f>DATE(2024,12,17)</f>
        <v>45643</v>
      </c>
      <c r="G6528" s="10">
        <f t="shared" si="558"/>
        <v>12</v>
      </c>
      <c r="H6528" s="10">
        <f t="shared" si="559"/>
        <v>2024</v>
      </c>
      <c r="I6528" s="8" t="s">
        <v>4</v>
      </c>
      <c r="J6528" s="7" t="s">
        <v>7182</v>
      </c>
      <c r="K6528" s="8" t="s">
        <v>865</v>
      </c>
      <c r="L6528" s="8" t="s">
        <v>866</v>
      </c>
      <c r="M6528" s="8" t="s">
        <v>119</v>
      </c>
      <c r="N6528" s="10" t="str">
        <f t="shared" si="564"/>
        <v>TON</v>
      </c>
      <c r="O6528" s="11">
        <v>1</v>
      </c>
    </row>
    <row r="6529" spans="2:15" x14ac:dyDescent="0.25">
      <c r="B6529" s="6" t="s">
        <v>1520</v>
      </c>
      <c r="C6529" s="7" t="s">
        <v>196</v>
      </c>
      <c r="D6529" s="8" t="s">
        <v>837</v>
      </c>
      <c r="E6529" s="8" t="s">
        <v>102</v>
      </c>
      <c r="F6529" s="9">
        <f>DATE(2024,12,17)</f>
        <v>45643</v>
      </c>
      <c r="G6529" s="10">
        <f t="shared" si="558"/>
        <v>12</v>
      </c>
      <c r="H6529" s="10">
        <f t="shared" si="559"/>
        <v>2024</v>
      </c>
      <c r="I6529" s="8" t="s">
        <v>4</v>
      </c>
      <c r="J6529" s="7" t="s">
        <v>7183</v>
      </c>
      <c r="K6529" s="8" t="s">
        <v>268</v>
      </c>
      <c r="L6529" s="8" t="s">
        <v>269</v>
      </c>
      <c r="M6529" s="8" t="s">
        <v>119</v>
      </c>
      <c r="N6529" s="10" t="str">
        <f t="shared" si="564"/>
        <v>TON</v>
      </c>
      <c r="O6529" s="11">
        <v>0.15</v>
      </c>
    </row>
    <row r="6530" spans="2:15" x14ac:dyDescent="0.25">
      <c r="B6530" s="6" t="s">
        <v>1520</v>
      </c>
      <c r="C6530" s="7" t="s">
        <v>196</v>
      </c>
      <c r="D6530" s="8" t="s">
        <v>299</v>
      </c>
      <c r="E6530" s="8" t="s">
        <v>398</v>
      </c>
      <c r="F6530" s="9">
        <f>DATE(2024,12,17)</f>
        <v>45643</v>
      </c>
      <c r="G6530" s="10">
        <f t="shared" si="558"/>
        <v>12</v>
      </c>
      <c r="H6530" s="10">
        <f t="shared" si="559"/>
        <v>2024</v>
      </c>
      <c r="I6530" s="8" t="s">
        <v>4</v>
      </c>
      <c r="J6530" s="7" t="s">
        <v>7184</v>
      </c>
      <c r="K6530" s="8" t="s">
        <v>422</v>
      </c>
      <c r="L6530" s="8" t="s">
        <v>423</v>
      </c>
      <c r="M6530" s="8" t="s">
        <v>119</v>
      </c>
      <c r="N6530" s="10" t="str">
        <f t="shared" si="564"/>
        <v>TON</v>
      </c>
      <c r="O6530" s="11">
        <v>15.015000000000001</v>
      </c>
    </row>
    <row r="6531" spans="2:15" x14ac:dyDescent="0.25">
      <c r="B6531" s="6" t="s">
        <v>1520</v>
      </c>
      <c r="C6531" s="7" t="s">
        <v>196</v>
      </c>
      <c r="D6531" s="8" t="s">
        <v>374</v>
      </c>
      <c r="E6531" s="8" t="s">
        <v>424</v>
      </c>
      <c r="F6531" s="9">
        <f t="shared" ref="F6531:F6544" si="565">DATE(2024,12,18)</f>
        <v>45644</v>
      </c>
      <c r="G6531" s="10">
        <f t="shared" si="558"/>
        <v>12</v>
      </c>
      <c r="H6531" s="10">
        <f t="shared" si="559"/>
        <v>2024</v>
      </c>
      <c r="I6531" s="8" t="s">
        <v>4</v>
      </c>
      <c r="J6531" s="7" t="s">
        <v>7185</v>
      </c>
      <c r="K6531" s="8" t="s">
        <v>329</v>
      </c>
      <c r="L6531" s="8" t="s">
        <v>330</v>
      </c>
      <c r="M6531" s="8" t="s">
        <v>119</v>
      </c>
      <c r="N6531" s="10" t="str">
        <f t="shared" si="564"/>
        <v>TON</v>
      </c>
      <c r="O6531" s="11">
        <v>2.5</v>
      </c>
    </row>
    <row r="6532" spans="2:15" x14ac:dyDescent="0.25">
      <c r="B6532" s="6" t="s">
        <v>1520</v>
      </c>
      <c r="C6532" s="7" t="s">
        <v>196</v>
      </c>
      <c r="D6532" s="8" t="s">
        <v>3761</v>
      </c>
      <c r="E6532" s="8" t="s">
        <v>3762</v>
      </c>
      <c r="F6532" s="9">
        <f t="shared" si="565"/>
        <v>45644</v>
      </c>
      <c r="G6532" s="10">
        <f t="shared" si="558"/>
        <v>12</v>
      </c>
      <c r="H6532" s="10">
        <f t="shared" si="559"/>
        <v>2024</v>
      </c>
      <c r="I6532" s="8" t="s">
        <v>4</v>
      </c>
      <c r="J6532" s="7" t="s">
        <v>7186</v>
      </c>
      <c r="K6532" s="8" t="s">
        <v>329</v>
      </c>
      <c r="L6532" s="8" t="s">
        <v>330</v>
      </c>
      <c r="M6532" s="8" t="s">
        <v>119</v>
      </c>
      <c r="N6532" s="10" t="str">
        <f t="shared" si="564"/>
        <v>TON</v>
      </c>
      <c r="O6532" s="11">
        <v>15.0025</v>
      </c>
    </row>
    <row r="6533" spans="2:15" x14ac:dyDescent="0.25">
      <c r="B6533" s="6" t="s">
        <v>1520</v>
      </c>
      <c r="C6533" s="7" t="s">
        <v>196</v>
      </c>
      <c r="D6533" s="8" t="s">
        <v>303</v>
      </c>
      <c r="E6533" s="8" t="s">
        <v>4426</v>
      </c>
      <c r="F6533" s="9">
        <f t="shared" si="565"/>
        <v>45644</v>
      </c>
      <c r="G6533" s="10">
        <f t="shared" si="558"/>
        <v>12</v>
      </c>
      <c r="H6533" s="10">
        <f t="shared" si="559"/>
        <v>2024</v>
      </c>
      <c r="I6533" s="8" t="s">
        <v>4</v>
      </c>
      <c r="J6533" s="7" t="s">
        <v>7187</v>
      </c>
      <c r="K6533" s="8" t="s">
        <v>3726</v>
      </c>
      <c r="L6533" s="8" t="s">
        <v>3727</v>
      </c>
      <c r="M6533" s="8" t="s">
        <v>145</v>
      </c>
      <c r="N6533" s="10" t="str">
        <f t="shared" si="564"/>
        <v>GAL</v>
      </c>
      <c r="O6533" s="11">
        <v>1.875</v>
      </c>
    </row>
    <row r="6534" spans="2:15" x14ac:dyDescent="0.25">
      <c r="B6534" s="6" t="s">
        <v>1520</v>
      </c>
      <c r="C6534" s="7" t="s">
        <v>196</v>
      </c>
      <c r="D6534" s="8" t="s">
        <v>303</v>
      </c>
      <c r="E6534" s="8" t="s">
        <v>4426</v>
      </c>
      <c r="F6534" s="9">
        <f t="shared" si="565"/>
        <v>45644</v>
      </c>
      <c r="G6534" s="10">
        <f t="shared" si="558"/>
        <v>12</v>
      </c>
      <c r="H6534" s="10">
        <f t="shared" si="559"/>
        <v>2024</v>
      </c>
      <c r="I6534" s="8" t="s">
        <v>4</v>
      </c>
      <c r="J6534" s="7" t="s">
        <v>7187</v>
      </c>
      <c r="K6534" s="8" t="s">
        <v>422</v>
      </c>
      <c r="L6534" s="8" t="s">
        <v>423</v>
      </c>
      <c r="M6534" s="8" t="s">
        <v>119</v>
      </c>
      <c r="N6534" s="10" t="str">
        <f t="shared" si="564"/>
        <v>TON</v>
      </c>
      <c r="O6534" s="11">
        <v>5</v>
      </c>
    </row>
    <row r="6535" spans="2:15" x14ac:dyDescent="0.25">
      <c r="B6535" s="6" t="s">
        <v>1520</v>
      </c>
      <c r="C6535" s="7" t="s">
        <v>196</v>
      </c>
      <c r="D6535" s="8" t="s">
        <v>215</v>
      </c>
      <c r="E6535" s="8" t="s">
        <v>313</v>
      </c>
      <c r="F6535" s="9">
        <f t="shared" si="565"/>
        <v>45644</v>
      </c>
      <c r="G6535" s="10">
        <f t="shared" si="558"/>
        <v>12</v>
      </c>
      <c r="H6535" s="10">
        <f t="shared" si="559"/>
        <v>2024</v>
      </c>
      <c r="I6535" s="8" t="s">
        <v>4</v>
      </c>
      <c r="J6535" s="7" t="s">
        <v>7188</v>
      </c>
      <c r="K6535" s="8" t="s">
        <v>329</v>
      </c>
      <c r="L6535" s="8" t="s">
        <v>330</v>
      </c>
      <c r="M6535" s="8" t="s">
        <v>119</v>
      </c>
      <c r="N6535" s="10" t="str">
        <f t="shared" si="564"/>
        <v>TON</v>
      </c>
      <c r="O6535" s="11">
        <v>3.7549999999999999</v>
      </c>
    </row>
    <row r="6536" spans="2:15" x14ac:dyDescent="0.25">
      <c r="B6536" s="6" t="s">
        <v>1520</v>
      </c>
      <c r="C6536" s="7" t="s">
        <v>196</v>
      </c>
      <c r="D6536" s="8" t="s">
        <v>800</v>
      </c>
      <c r="E6536" s="8" t="s">
        <v>907</v>
      </c>
      <c r="F6536" s="9">
        <f t="shared" si="565"/>
        <v>45644</v>
      </c>
      <c r="G6536" s="10">
        <f t="shared" si="558"/>
        <v>12</v>
      </c>
      <c r="H6536" s="10">
        <f t="shared" si="559"/>
        <v>2024</v>
      </c>
      <c r="I6536" s="8" t="s">
        <v>4</v>
      </c>
      <c r="J6536" s="7" t="s">
        <v>7189</v>
      </c>
      <c r="K6536" s="8" t="s">
        <v>122</v>
      </c>
      <c r="L6536" s="8" t="s">
        <v>123</v>
      </c>
      <c r="M6536" s="8" t="s">
        <v>119</v>
      </c>
      <c r="N6536" s="10" t="str">
        <f t="shared" si="564"/>
        <v>TON</v>
      </c>
      <c r="O6536" s="11">
        <v>2.5150000000000001</v>
      </c>
    </row>
    <row r="6537" spans="2:15" x14ac:dyDescent="0.25">
      <c r="B6537" s="6" t="s">
        <v>1520</v>
      </c>
      <c r="C6537" s="7" t="s">
        <v>196</v>
      </c>
      <c r="D6537" s="8" t="s">
        <v>452</v>
      </c>
      <c r="E6537" s="8" t="s">
        <v>222</v>
      </c>
      <c r="F6537" s="9">
        <f t="shared" si="565"/>
        <v>45644</v>
      </c>
      <c r="G6537" s="10">
        <f t="shared" si="558"/>
        <v>12</v>
      </c>
      <c r="H6537" s="10">
        <f t="shared" si="559"/>
        <v>2024</v>
      </c>
      <c r="I6537" s="8" t="s">
        <v>4</v>
      </c>
      <c r="J6537" s="7" t="s">
        <v>7190</v>
      </c>
      <c r="K6537" s="8" t="s">
        <v>205</v>
      </c>
      <c r="L6537" s="8" t="s">
        <v>206</v>
      </c>
      <c r="M6537" s="8" t="s">
        <v>119</v>
      </c>
      <c r="N6537" s="10" t="str">
        <f t="shared" si="564"/>
        <v>TON</v>
      </c>
      <c r="O6537" s="11">
        <v>2.5175000000000001</v>
      </c>
    </row>
    <row r="6538" spans="2:15" x14ac:dyDescent="0.25">
      <c r="B6538" s="6" t="s">
        <v>1520</v>
      </c>
      <c r="C6538" s="7" t="s">
        <v>196</v>
      </c>
      <c r="D6538" s="8" t="s">
        <v>241</v>
      </c>
      <c r="E6538" s="8" t="s">
        <v>258</v>
      </c>
      <c r="F6538" s="9">
        <f t="shared" si="565"/>
        <v>45644</v>
      </c>
      <c r="G6538" s="10">
        <f t="shared" si="558"/>
        <v>12</v>
      </c>
      <c r="H6538" s="10">
        <f t="shared" si="559"/>
        <v>2024</v>
      </c>
      <c r="I6538" s="8" t="s">
        <v>4</v>
      </c>
      <c r="J6538" s="7" t="s">
        <v>7191</v>
      </c>
      <c r="K6538" s="8" t="s">
        <v>200</v>
      </c>
      <c r="L6538" s="8" t="s">
        <v>201</v>
      </c>
      <c r="M6538" s="8" t="s">
        <v>202</v>
      </c>
      <c r="N6538" s="10" t="str">
        <f t="shared" si="564"/>
        <v>GAL</v>
      </c>
      <c r="O6538" s="11">
        <v>10</v>
      </c>
    </row>
    <row r="6539" spans="2:15" x14ac:dyDescent="0.25">
      <c r="B6539" s="6" t="s">
        <v>1520</v>
      </c>
      <c r="C6539" s="7" t="s">
        <v>196</v>
      </c>
      <c r="D6539" s="8" t="s">
        <v>241</v>
      </c>
      <c r="E6539" s="8" t="s">
        <v>258</v>
      </c>
      <c r="F6539" s="9">
        <f t="shared" si="565"/>
        <v>45644</v>
      </c>
      <c r="G6539" s="10">
        <f t="shared" si="558"/>
        <v>12</v>
      </c>
      <c r="H6539" s="10">
        <f t="shared" si="559"/>
        <v>2024</v>
      </c>
      <c r="I6539" s="8" t="s">
        <v>4</v>
      </c>
      <c r="J6539" s="7" t="s">
        <v>7192</v>
      </c>
      <c r="K6539" s="8" t="s">
        <v>3458</v>
      </c>
      <c r="L6539" s="8" t="s">
        <v>3459</v>
      </c>
      <c r="M6539" s="8" t="s">
        <v>119</v>
      </c>
      <c r="N6539" s="10" t="str">
        <f t="shared" si="564"/>
        <v>TON</v>
      </c>
      <c r="O6539" s="11">
        <v>2.2599999999999998</v>
      </c>
    </row>
    <row r="6540" spans="2:15" x14ac:dyDescent="0.25">
      <c r="B6540" s="6" t="s">
        <v>1520</v>
      </c>
      <c r="C6540" s="7" t="s">
        <v>196</v>
      </c>
      <c r="D6540" s="8" t="s">
        <v>458</v>
      </c>
      <c r="E6540" s="8" t="s">
        <v>2868</v>
      </c>
      <c r="F6540" s="9">
        <f t="shared" si="565"/>
        <v>45644</v>
      </c>
      <c r="G6540" s="10">
        <f t="shared" si="558"/>
        <v>12</v>
      </c>
      <c r="H6540" s="10">
        <f t="shared" si="559"/>
        <v>2024</v>
      </c>
      <c r="I6540" s="8" t="s">
        <v>4</v>
      </c>
      <c r="J6540" s="7" t="s">
        <v>7193</v>
      </c>
      <c r="K6540" s="8" t="s">
        <v>329</v>
      </c>
      <c r="L6540" s="8" t="s">
        <v>330</v>
      </c>
      <c r="M6540" s="8" t="s">
        <v>119</v>
      </c>
      <c r="N6540" s="10" t="str">
        <f t="shared" si="564"/>
        <v>TON</v>
      </c>
      <c r="O6540" s="11">
        <v>5.01</v>
      </c>
    </row>
    <row r="6541" spans="2:15" x14ac:dyDescent="0.25">
      <c r="B6541" s="6" t="s">
        <v>1520</v>
      </c>
      <c r="C6541" s="7" t="s">
        <v>196</v>
      </c>
      <c r="D6541" s="8" t="s">
        <v>276</v>
      </c>
      <c r="E6541" s="8" t="s">
        <v>692</v>
      </c>
      <c r="F6541" s="9">
        <f t="shared" si="565"/>
        <v>45644</v>
      </c>
      <c r="G6541" s="10">
        <f t="shared" si="558"/>
        <v>12</v>
      </c>
      <c r="H6541" s="10">
        <f t="shared" si="559"/>
        <v>2024</v>
      </c>
      <c r="I6541" s="8" t="s">
        <v>4</v>
      </c>
      <c r="J6541" s="7" t="s">
        <v>7194</v>
      </c>
      <c r="K6541" s="8" t="s">
        <v>329</v>
      </c>
      <c r="L6541" s="8" t="s">
        <v>330</v>
      </c>
      <c r="M6541" s="8" t="s">
        <v>119</v>
      </c>
      <c r="N6541" s="10" t="str">
        <f t="shared" si="564"/>
        <v>TON</v>
      </c>
      <c r="O6541" s="11">
        <v>10.0175</v>
      </c>
    </row>
    <row r="6542" spans="2:15" x14ac:dyDescent="0.25">
      <c r="B6542" s="6" t="s">
        <v>1520</v>
      </c>
      <c r="C6542" s="7" t="s">
        <v>196</v>
      </c>
      <c r="D6542" s="8" t="s">
        <v>4034</v>
      </c>
      <c r="E6542" s="8" t="s">
        <v>759</v>
      </c>
      <c r="F6542" s="9">
        <f t="shared" si="565"/>
        <v>45644</v>
      </c>
      <c r="G6542" s="10">
        <f t="shared" si="558"/>
        <v>12</v>
      </c>
      <c r="H6542" s="10">
        <f t="shared" si="559"/>
        <v>2024</v>
      </c>
      <c r="I6542" s="8" t="s">
        <v>4</v>
      </c>
      <c r="J6542" s="7" t="s">
        <v>7195</v>
      </c>
      <c r="K6542" s="8" t="s">
        <v>117</v>
      </c>
      <c r="L6542" s="8" t="s">
        <v>118</v>
      </c>
      <c r="M6542" s="8" t="s">
        <v>119</v>
      </c>
      <c r="N6542" s="10" t="str">
        <f t="shared" si="564"/>
        <v>TON</v>
      </c>
      <c r="O6542" s="11">
        <v>5.0149999999999997</v>
      </c>
    </row>
    <row r="6543" spans="2:15" x14ac:dyDescent="0.25">
      <c r="B6543" s="6" t="s">
        <v>1520</v>
      </c>
      <c r="C6543" s="7" t="s">
        <v>196</v>
      </c>
      <c r="D6543" s="8" t="s">
        <v>114</v>
      </c>
      <c r="E6543" s="8" t="s">
        <v>377</v>
      </c>
      <c r="F6543" s="9">
        <f t="shared" si="565"/>
        <v>45644</v>
      </c>
      <c r="G6543" s="10">
        <f t="shared" si="558"/>
        <v>12</v>
      </c>
      <c r="H6543" s="10">
        <f t="shared" si="559"/>
        <v>2024</v>
      </c>
      <c r="I6543" s="8" t="s">
        <v>4</v>
      </c>
      <c r="J6543" s="7" t="s">
        <v>7196</v>
      </c>
      <c r="K6543" s="8" t="s">
        <v>422</v>
      </c>
      <c r="L6543" s="8" t="s">
        <v>423</v>
      </c>
      <c r="M6543" s="8" t="s">
        <v>119</v>
      </c>
      <c r="N6543" s="10" t="str">
        <f t="shared" si="564"/>
        <v>TON</v>
      </c>
      <c r="O6543" s="11">
        <v>5</v>
      </c>
    </row>
    <row r="6544" spans="2:15" x14ac:dyDescent="0.25">
      <c r="B6544" s="6" t="s">
        <v>1520</v>
      </c>
      <c r="C6544" s="7" t="s">
        <v>196</v>
      </c>
      <c r="D6544" s="8" t="s">
        <v>418</v>
      </c>
      <c r="E6544" s="8" t="s">
        <v>1595</v>
      </c>
      <c r="F6544" s="9">
        <f t="shared" si="565"/>
        <v>45644</v>
      </c>
      <c r="G6544" s="10">
        <f t="shared" si="558"/>
        <v>12</v>
      </c>
      <c r="H6544" s="10">
        <f t="shared" si="559"/>
        <v>2024</v>
      </c>
      <c r="I6544" s="8" t="s">
        <v>4</v>
      </c>
      <c r="J6544" s="7" t="s">
        <v>7197</v>
      </c>
      <c r="K6544" s="8" t="s">
        <v>422</v>
      </c>
      <c r="L6544" s="8" t="s">
        <v>423</v>
      </c>
      <c r="M6544" s="8" t="s">
        <v>119</v>
      </c>
      <c r="N6544" s="10" t="str">
        <f t="shared" si="564"/>
        <v>TON</v>
      </c>
      <c r="O6544" s="11">
        <v>10.02</v>
      </c>
    </row>
    <row r="6545" spans="2:15" x14ac:dyDescent="0.25">
      <c r="B6545" s="6" t="s">
        <v>1520</v>
      </c>
      <c r="C6545" s="7" t="s">
        <v>196</v>
      </c>
      <c r="D6545" s="8" t="s">
        <v>207</v>
      </c>
      <c r="E6545" s="8" t="s">
        <v>208</v>
      </c>
      <c r="F6545" s="9">
        <f t="shared" ref="F6545:F6553" si="566">DATE(2024,12,19)</f>
        <v>45645</v>
      </c>
      <c r="G6545" s="10">
        <f t="shared" si="558"/>
        <v>12</v>
      </c>
      <c r="H6545" s="10">
        <f t="shared" si="559"/>
        <v>2024</v>
      </c>
      <c r="I6545" s="8" t="s">
        <v>4</v>
      </c>
      <c r="J6545" s="7" t="s">
        <v>7198</v>
      </c>
      <c r="K6545" s="8" t="s">
        <v>236</v>
      </c>
      <c r="L6545" s="8" t="s">
        <v>237</v>
      </c>
      <c r="M6545" s="8" t="s">
        <v>119</v>
      </c>
      <c r="N6545" s="10" t="str">
        <f t="shared" si="564"/>
        <v>TON</v>
      </c>
      <c r="O6545" s="11">
        <v>2.5024999999999999</v>
      </c>
    </row>
    <row r="6546" spans="2:15" x14ac:dyDescent="0.25">
      <c r="B6546" s="6" t="s">
        <v>1520</v>
      </c>
      <c r="C6546" s="7" t="s">
        <v>196</v>
      </c>
      <c r="D6546" s="8" t="s">
        <v>207</v>
      </c>
      <c r="E6546" s="8" t="s">
        <v>208</v>
      </c>
      <c r="F6546" s="9">
        <f t="shared" si="566"/>
        <v>45645</v>
      </c>
      <c r="G6546" s="10">
        <f t="shared" ref="G6546:G6609" si="567">+MONTH(F6546)</f>
        <v>12</v>
      </c>
      <c r="H6546" s="10">
        <f t="shared" ref="H6546:H6609" si="568">+YEAR(F6546)</f>
        <v>2024</v>
      </c>
      <c r="I6546" s="8" t="s">
        <v>4</v>
      </c>
      <c r="J6546" s="7" t="s">
        <v>7199</v>
      </c>
      <c r="K6546" s="8" t="s">
        <v>205</v>
      </c>
      <c r="L6546" s="8" t="s">
        <v>206</v>
      </c>
      <c r="M6546" s="8" t="s">
        <v>119</v>
      </c>
      <c r="N6546" s="10" t="str">
        <f t="shared" si="564"/>
        <v>TON</v>
      </c>
      <c r="O6546" s="11">
        <v>2.5099999999999998</v>
      </c>
    </row>
    <row r="6547" spans="2:15" x14ac:dyDescent="0.25">
      <c r="B6547" s="6" t="s">
        <v>1520</v>
      </c>
      <c r="C6547" s="7" t="s">
        <v>196</v>
      </c>
      <c r="D6547" s="8" t="s">
        <v>280</v>
      </c>
      <c r="E6547" s="8" t="s">
        <v>254</v>
      </c>
      <c r="F6547" s="9">
        <f t="shared" si="566"/>
        <v>45645</v>
      </c>
      <c r="G6547" s="10">
        <f t="shared" si="567"/>
        <v>12</v>
      </c>
      <c r="H6547" s="10">
        <f t="shared" si="568"/>
        <v>2024</v>
      </c>
      <c r="I6547" s="8" t="s">
        <v>4</v>
      </c>
      <c r="J6547" s="7" t="s">
        <v>7200</v>
      </c>
      <c r="K6547" s="8" t="s">
        <v>422</v>
      </c>
      <c r="L6547" s="8" t="s">
        <v>423</v>
      </c>
      <c r="M6547" s="8" t="s">
        <v>119</v>
      </c>
      <c r="N6547" s="10" t="str">
        <f t="shared" si="564"/>
        <v>TON</v>
      </c>
      <c r="O6547" s="11">
        <v>12.494999999999999</v>
      </c>
    </row>
    <row r="6548" spans="2:15" x14ac:dyDescent="0.25">
      <c r="B6548" s="6" t="s">
        <v>1520</v>
      </c>
      <c r="C6548" s="7" t="s">
        <v>196</v>
      </c>
      <c r="D6548" s="8" t="s">
        <v>280</v>
      </c>
      <c r="E6548" s="8" t="s">
        <v>462</v>
      </c>
      <c r="F6548" s="9">
        <f t="shared" si="566"/>
        <v>45645</v>
      </c>
      <c r="G6548" s="10">
        <f t="shared" si="567"/>
        <v>12</v>
      </c>
      <c r="H6548" s="10">
        <f t="shared" si="568"/>
        <v>2024</v>
      </c>
      <c r="I6548" s="8" t="s">
        <v>4</v>
      </c>
      <c r="J6548" s="7" t="s">
        <v>7201</v>
      </c>
      <c r="K6548" s="8" t="s">
        <v>422</v>
      </c>
      <c r="L6548" s="8" t="s">
        <v>423</v>
      </c>
      <c r="M6548" s="8" t="s">
        <v>119</v>
      </c>
      <c r="N6548" s="10" t="str">
        <f t="shared" si="564"/>
        <v>TON</v>
      </c>
      <c r="O6548" s="11">
        <v>15.02</v>
      </c>
    </row>
    <row r="6549" spans="2:15" x14ac:dyDescent="0.25">
      <c r="B6549" s="6" t="s">
        <v>1520</v>
      </c>
      <c r="C6549" s="7" t="s">
        <v>196</v>
      </c>
      <c r="D6549" s="8" t="s">
        <v>280</v>
      </c>
      <c r="E6549" s="8" t="s">
        <v>1308</v>
      </c>
      <c r="F6549" s="9">
        <f t="shared" si="566"/>
        <v>45645</v>
      </c>
      <c r="G6549" s="10">
        <f t="shared" si="567"/>
        <v>12</v>
      </c>
      <c r="H6549" s="10">
        <f t="shared" si="568"/>
        <v>2024</v>
      </c>
      <c r="I6549" s="8" t="s">
        <v>4</v>
      </c>
      <c r="J6549" s="7" t="s">
        <v>7202</v>
      </c>
      <c r="K6549" s="8" t="s">
        <v>422</v>
      </c>
      <c r="L6549" s="8" t="s">
        <v>423</v>
      </c>
      <c r="M6549" s="8" t="s">
        <v>119</v>
      </c>
      <c r="N6549" s="10" t="str">
        <f t="shared" si="564"/>
        <v>TON</v>
      </c>
      <c r="O6549" s="11">
        <v>10.01</v>
      </c>
    </row>
    <row r="6550" spans="2:15" x14ac:dyDescent="0.25">
      <c r="B6550" s="6" t="s">
        <v>1520</v>
      </c>
      <c r="C6550" s="7" t="s">
        <v>196</v>
      </c>
      <c r="D6550" s="8" t="s">
        <v>331</v>
      </c>
      <c r="E6550" s="8" t="s">
        <v>432</v>
      </c>
      <c r="F6550" s="9">
        <f t="shared" si="566"/>
        <v>45645</v>
      </c>
      <c r="G6550" s="10">
        <f t="shared" si="567"/>
        <v>12</v>
      </c>
      <c r="H6550" s="10">
        <f t="shared" si="568"/>
        <v>2024</v>
      </c>
      <c r="I6550" s="8" t="s">
        <v>4</v>
      </c>
      <c r="J6550" s="7" t="s">
        <v>7203</v>
      </c>
      <c r="K6550" s="8" t="s">
        <v>329</v>
      </c>
      <c r="L6550" s="8" t="s">
        <v>330</v>
      </c>
      <c r="M6550" s="8" t="s">
        <v>119</v>
      </c>
      <c r="N6550" s="10" t="str">
        <f t="shared" si="564"/>
        <v>TON</v>
      </c>
      <c r="O6550" s="11">
        <v>5.0049999999999999</v>
      </c>
    </row>
    <row r="6551" spans="2:15" x14ac:dyDescent="0.25">
      <c r="B6551" s="6" t="s">
        <v>1520</v>
      </c>
      <c r="C6551" s="7" t="s">
        <v>196</v>
      </c>
      <c r="D6551" s="8" t="s">
        <v>321</v>
      </c>
      <c r="E6551" s="8" t="s">
        <v>353</v>
      </c>
      <c r="F6551" s="9">
        <f t="shared" si="566"/>
        <v>45645</v>
      </c>
      <c r="G6551" s="10">
        <f t="shared" si="567"/>
        <v>12</v>
      </c>
      <c r="H6551" s="10">
        <f t="shared" si="568"/>
        <v>2024</v>
      </c>
      <c r="I6551" s="8" t="s">
        <v>4</v>
      </c>
      <c r="J6551" s="7" t="s">
        <v>7204</v>
      </c>
      <c r="K6551" s="8" t="s">
        <v>394</v>
      </c>
      <c r="L6551" s="8" t="s">
        <v>395</v>
      </c>
      <c r="M6551" s="8" t="s">
        <v>119</v>
      </c>
      <c r="N6551" s="10" t="str">
        <f t="shared" si="564"/>
        <v>TON</v>
      </c>
      <c r="O6551" s="11">
        <v>15.0175</v>
      </c>
    </row>
    <row r="6552" spans="2:15" x14ac:dyDescent="0.25">
      <c r="B6552" s="6" t="s">
        <v>1520</v>
      </c>
      <c r="C6552" s="7" t="s">
        <v>196</v>
      </c>
      <c r="D6552" s="8" t="s">
        <v>283</v>
      </c>
      <c r="E6552" s="8" t="s">
        <v>699</v>
      </c>
      <c r="F6552" s="9">
        <f t="shared" si="566"/>
        <v>45645</v>
      </c>
      <c r="G6552" s="10">
        <f t="shared" si="567"/>
        <v>12</v>
      </c>
      <c r="H6552" s="10">
        <f t="shared" si="568"/>
        <v>2024</v>
      </c>
      <c r="I6552" s="8" t="s">
        <v>4</v>
      </c>
      <c r="J6552" s="7" t="s">
        <v>7205</v>
      </c>
      <c r="K6552" s="8" t="s">
        <v>307</v>
      </c>
      <c r="L6552" s="8" t="s">
        <v>308</v>
      </c>
      <c r="M6552" s="8" t="s">
        <v>119</v>
      </c>
      <c r="N6552" s="10" t="str">
        <f t="shared" si="564"/>
        <v>TON</v>
      </c>
      <c r="O6552" s="11">
        <v>1</v>
      </c>
    </row>
    <row r="6553" spans="2:15" x14ac:dyDescent="0.25">
      <c r="B6553" s="6" t="s">
        <v>1520</v>
      </c>
      <c r="C6553" s="7" t="s">
        <v>196</v>
      </c>
      <c r="D6553" s="8" t="s">
        <v>280</v>
      </c>
      <c r="E6553" s="8" t="s">
        <v>281</v>
      </c>
      <c r="F6553" s="9">
        <f t="shared" si="566"/>
        <v>45645</v>
      </c>
      <c r="G6553" s="10">
        <f t="shared" si="567"/>
        <v>12</v>
      </c>
      <c r="H6553" s="10">
        <f t="shared" si="568"/>
        <v>2024</v>
      </c>
      <c r="I6553" s="8" t="s">
        <v>4</v>
      </c>
      <c r="J6553" s="7" t="s">
        <v>7206</v>
      </c>
      <c r="K6553" s="8" t="s">
        <v>422</v>
      </c>
      <c r="L6553" s="8" t="s">
        <v>423</v>
      </c>
      <c r="M6553" s="8" t="s">
        <v>119</v>
      </c>
      <c r="N6553" s="10" t="str">
        <f t="shared" si="564"/>
        <v>TON</v>
      </c>
      <c r="O6553" s="11">
        <v>10.005000000000001</v>
      </c>
    </row>
    <row r="6554" spans="2:15" x14ac:dyDescent="0.25">
      <c r="B6554" s="6" t="s">
        <v>1520</v>
      </c>
      <c r="C6554" s="7" t="s">
        <v>196</v>
      </c>
      <c r="D6554" s="8" t="s">
        <v>404</v>
      </c>
      <c r="E6554" s="8" t="s">
        <v>405</v>
      </c>
      <c r="F6554" s="9">
        <f t="shared" ref="F6554:F6563" si="569">DATE(2024,12,20)</f>
        <v>45646</v>
      </c>
      <c r="G6554" s="10">
        <f t="shared" si="567"/>
        <v>12</v>
      </c>
      <c r="H6554" s="10">
        <f t="shared" si="568"/>
        <v>2024</v>
      </c>
      <c r="I6554" s="8" t="s">
        <v>4</v>
      </c>
      <c r="J6554" s="7" t="s">
        <v>7207</v>
      </c>
      <c r="K6554" s="8" t="s">
        <v>531</v>
      </c>
      <c r="L6554" s="8" t="s">
        <v>201</v>
      </c>
      <c r="M6554" s="8" t="s">
        <v>202</v>
      </c>
      <c r="N6554" s="10" t="str">
        <f t="shared" si="564"/>
        <v>GAL</v>
      </c>
      <c r="O6554" s="11">
        <v>30</v>
      </c>
    </row>
    <row r="6555" spans="2:15" x14ac:dyDescent="0.25">
      <c r="B6555" s="6" t="s">
        <v>1520</v>
      </c>
      <c r="C6555" s="7" t="s">
        <v>196</v>
      </c>
      <c r="D6555" s="8" t="s">
        <v>215</v>
      </c>
      <c r="E6555" s="8" t="s">
        <v>4113</v>
      </c>
      <c r="F6555" s="9">
        <f t="shared" si="569"/>
        <v>45646</v>
      </c>
      <c r="G6555" s="10">
        <f t="shared" si="567"/>
        <v>12</v>
      </c>
      <c r="H6555" s="10">
        <f t="shared" si="568"/>
        <v>2024</v>
      </c>
      <c r="I6555" s="8" t="s">
        <v>4</v>
      </c>
      <c r="J6555" s="7" t="s">
        <v>7208</v>
      </c>
      <c r="K6555" s="8" t="s">
        <v>329</v>
      </c>
      <c r="L6555" s="8" t="s">
        <v>330</v>
      </c>
      <c r="M6555" s="8" t="s">
        <v>119</v>
      </c>
      <c r="N6555" s="10" t="str">
        <f t="shared" si="564"/>
        <v>TON</v>
      </c>
      <c r="O6555" s="11">
        <v>12.5175</v>
      </c>
    </row>
    <row r="6556" spans="2:15" x14ac:dyDescent="0.25">
      <c r="B6556" s="6" t="s">
        <v>1520</v>
      </c>
      <c r="C6556" s="7" t="s">
        <v>196</v>
      </c>
      <c r="D6556" s="8" t="s">
        <v>888</v>
      </c>
      <c r="E6556" s="8" t="s">
        <v>888</v>
      </c>
      <c r="F6556" s="9">
        <f t="shared" si="569"/>
        <v>45646</v>
      </c>
      <c r="G6556" s="10">
        <f t="shared" si="567"/>
        <v>12</v>
      </c>
      <c r="H6556" s="10">
        <f t="shared" si="568"/>
        <v>2024</v>
      </c>
      <c r="I6556" s="8" t="s">
        <v>4</v>
      </c>
      <c r="J6556" s="7" t="s">
        <v>7209</v>
      </c>
      <c r="K6556" s="8" t="s">
        <v>268</v>
      </c>
      <c r="L6556" s="8" t="s">
        <v>269</v>
      </c>
      <c r="M6556" s="8" t="s">
        <v>119</v>
      </c>
      <c r="N6556" s="10" t="str">
        <f t="shared" si="564"/>
        <v>TON</v>
      </c>
      <c r="O6556" s="11">
        <v>0.3</v>
      </c>
    </row>
    <row r="6557" spans="2:15" x14ac:dyDescent="0.25">
      <c r="B6557" s="6" t="s">
        <v>1520</v>
      </c>
      <c r="C6557" s="7" t="s">
        <v>196</v>
      </c>
      <c r="D6557" s="8" t="s">
        <v>404</v>
      </c>
      <c r="E6557" s="8" t="s">
        <v>405</v>
      </c>
      <c r="F6557" s="9">
        <f t="shared" si="569"/>
        <v>45646</v>
      </c>
      <c r="G6557" s="10">
        <f t="shared" si="567"/>
        <v>12</v>
      </c>
      <c r="H6557" s="10">
        <f t="shared" si="568"/>
        <v>2024</v>
      </c>
      <c r="I6557" s="8" t="s">
        <v>4</v>
      </c>
      <c r="J6557" s="7" t="s">
        <v>7210</v>
      </c>
      <c r="K6557" s="8" t="s">
        <v>122</v>
      </c>
      <c r="L6557" s="8" t="s">
        <v>123</v>
      </c>
      <c r="M6557" s="8" t="s">
        <v>119</v>
      </c>
      <c r="N6557" s="10" t="str">
        <f t="shared" si="564"/>
        <v>TON</v>
      </c>
      <c r="O6557" s="11">
        <v>2.5024999999999999</v>
      </c>
    </row>
    <row r="6558" spans="2:15" x14ac:dyDescent="0.25">
      <c r="B6558" s="6" t="s">
        <v>1520</v>
      </c>
      <c r="C6558" s="7" t="s">
        <v>196</v>
      </c>
      <c r="D6558" s="8" t="s">
        <v>452</v>
      </c>
      <c r="E6558" s="8" t="s">
        <v>453</v>
      </c>
      <c r="F6558" s="9">
        <f t="shared" si="569"/>
        <v>45646</v>
      </c>
      <c r="G6558" s="10">
        <f t="shared" si="567"/>
        <v>12</v>
      </c>
      <c r="H6558" s="10">
        <f t="shared" si="568"/>
        <v>2024</v>
      </c>
      <c r="I6558" s="8" t="s">
        <v>4</v>
      </c>
      <c r="J6558" s="7" t="s">
        <v>7211</v>
      </c>
      <c r="K6558" s="8" t="s">
        <v>447</v>
      </c>
      <c r="L6558" s="8" t="s">
        <v>448</v>
      </c>
      <c r="M6558" s="8" t="s">
        <v>119</v>
      </c>
      <c r="N6558" s="10" t="str">
        <f t="shared" si="564"/>
        <v>TON</v>
      </c>
      <c r="O6558" s="11">
        <v>8.5574999999999992</v>
      </c>
    </row>
    <row r="6559" spans="2:15" x14ac:dyDescent="0.25">
      <c r="B6559" s="6" t="s">
        <v>1520</v>
      </c>
      <c r="C6559" s="7" t="s">
        <v>196</v>
      </c>
      <c r="D6559" s="8" t="s">
        <v>262</v>
      </c>
      <c r="E6559" s="8" t="s">
        <v>1170</v>
      </c>
      <c r="F6559" s="9">
        <f t="shared" si="569"/>
        <v>45646</v>
      </c>
      <c r="G6559" s="10">
        <f t="shared" si="567"/>
        <v>12</v>
      </c>
      <c r="H6559" s="10">
        <f t="shared" si="568"/>
        <v>2024</v>
      </c>
      <c r="I6559" s="8" t="s">
        <v>4</v>
      </c>
      <c r="J6559" s="7" t="s">
        <v>7212</v>
      </c>
      <c r="K6559" s="8" t="s">
        <v>292</v>
      </c>
      <c r="L6559" s="8" t="s">
        <v>293</v>
      </c>
      <c r="M6559" s="8" t="s">
        <v>119</v>
      </c>
      <c r="N6559" s="10" t="str">
        <f t="shared" si="564"/>
        <v>TON</v>
      </c>
      <c r="O6559" s="11">
        <v>4.5049999999999999</v>
      </c>
    </row>
    <row r="6560" spans="2:15" x14ac:dyDescent="0.25">
      <c r="B6560" s="6" t="s">
        <v>1520</v>
      </c>
      <c r="C6560" s="7" t="s">
        <v>196</v>
      </c>
      <c r="D6560" s="8" t="s">
        <v>232</v>
      </c>
      <c r="E6560" s="8" t="s">
        <v>6657</v>
      </c>
      <c r="F6560" s="9">
        <f t="shared" si="569"/>
        <v>45646</v>
      </c>
      <c r="G6560" s="10">
        <f t="shared" si="567"/>
        <v>12</v>
      </c>
      <c r="H6560" s="10">
        <f t="shared" si="568"/>
        <v>2024</v>
      </c>
      <c r="I6560" s="8" t="s">
        <v>4</v>
      </c>
      <c r="J6560" s="7" t="s">
        <v>7213</v>
      </c>
      <c r="K6560" s="8" t="s">
        <v>205</v>
      </c>
      <c r="L6560" s="8" t="s">
        <v>206</v>
      </c>
      <c r="M6560" s="8" t="s">
        <v>119</v>
      </c>
      <c r="N6560" s="10" t="str">
        <f t="shared" si="564"/>
        <v>TON</v>
      </c>
      <c r="O6560" s="11">
        <v>3.75</v>
      </c>
    </row>
    <row r="6561" spans="2:15" x14ac:dyDescent="0.25">
      <c r="B6561" s="6" t="s">
        <v>1520</v>
      </c>
      <c r="C6561" s="7" t="s">
        <v>196</v>
      </c>
      <c r="D6561" s="8" t="s">
        <v>669</v>
      </c>
      <c r="E6561" s="8" t="s">
        <v>670</v>
      </c>
      <c r="F6561" s="9">
        <f t="shared" si="569"/>
        <v>45646</v>
      </c>
      <c r="G6561" s="10">
        <f t="shared" si="567"/>
        <v>12</v>
      </c>
      <c r="H6561" s="10">
        <f t="shared" si="568"/>
        <v>2024</v>
      </c>
      <c r="I6561" s="8" t="s">
        <v>4</v>
      </c>
      <c r="J6561" s="7" t="s">
        <v>7214</v>
      </c>
      <c r="K6561" s="8" t="s">
        <v>384</v>
      </c>
      <c r="L6561" s="8" t="s">
        <v>385</v>
      </c>
      <c r="M6561" s="8" t="s">
        <v>119</v>
      </c>
      <c r="N6561" s="10" t="str">
        <f t="shared" si="564"/>
        <v>TON</v>
      </c>
      <c r="O6561" s="11">
        <v>3.0074999999999998</v>
      </c>
    </row>
    <row r="6562" spans="2:15" x14ac:dyDescent="0.25">
      <c r="B6562" s="6" t="s">
        <v>1520</v>
      </c>
      <c r="C6562" s="7" t="s">
        <v>196</v>
      </c>
      <c r="D6562" s="8" t="s">
        <v>232</v>
      </c>
      <c r="E6562" s="8" t="s">
        <v>233</v>
      </c>
      <c r="F6562" s="9">
        <f t="shared" si="569"/>
        <v>45646</v>
      </c>
      <c r="G6562" s="10">
        <f t="shared" si="567"/>
        <v>12</v>
      </c>
      <c r="H6562" s="10">
        <f t="shared" si="568"/>
        <v>2024</v>
      </c>
      <c r="I6562" s="8" t="s">
        <v>4</v>
      </c>
      <c r="J6562" s="7" t="s">
        <v>7215</v>
      </c>
      <c r="K6562" s="8" t="s">
        <v>205</v>
      </c>
      <c r="L6562" s="8" t="s">
        <v>206</v>
      </c>
      <c r="M6562" s="8" t="s">
        <v>119</v>
      </c>
      <c r="N6562" s="10" t="str">
        <f t="shared" si="564"/>
        <v>TON</v>
      </c>
      <c r="O6562" s="11">
        <v>5</v>
      </c>
    </row>
    <row r="6563" spans="2:15" x14ac:dyDescent="0.25">
      <c r="B6563" s="6" t="s">
        <v>1520</v>
      </c>
      <c r="C6563" s="7" t="s">
        <v>196</v>
      </c>
      <c r="D6563" s="8" t="s">
        <v>265</v>
      </c>
      <c r="E6563" s="8" t="s">
        <v>266</v>
      </c>
      <c r="F6563" s="9">
        <f t="shared" si="569"/>
        <v>45646</v>
      </c>
      <c r="G6563" s="10">
        <f t="shared" si="567"/>
        <v>12</v>
      </c>
      <c r="H6563" s="10">
        <f t="shared" si="568"/>
        <v>2024</v>
      </c>
      <c r="I6563" s="8" t="s">
        <v>4</v>
      </c>
      <c r="J6563" s="7" t="s">
        <v>7216</v>
      </c>
      <c r="K6563" s="8" t="s">
        <v>268</v>
      </c>
      <c r="L6563" s="8" t="s">
        <v>269</v>
      </c>
      <c r="M6563" s="8" t="s">
        <v>119</v>
      </c>
      <c r="N6563" s="10" t="str">
        <f t="shared" si="564"/>
        <v>TON</v>
      </c>
      <c r="O6563" s="11">
        <v>0.15</v>
      </c>
    </row>
    <row r="6564" spans="2:15" x14ac:dyDescent="0.25">
      <c r="B6564" s="6" t="s">
        <v>1520</v>
      </c>
      <c r="C6564" s="7" t="s">
        <v>196</v>
      </c>
      <c r="D6564" s="8" t="s">
        <v>232</v>
      </c>
      <c r="E6564" s="8" t="s">
        <v>778</v>
      </c>
      <c r="F6564" s="9">
        <f t="shared" ref="F6564:F6573" si="570">DATE(2024,12,23)</f>
        <v>45649</v>
      </c>
      <c r="G6564" s="10">
        <f t="shared" si="567"/>
        <v>12</v>
      </c>
      <c r="H6564" s="10">
        <f t="shared" si="568"/>
        <v>2024</v>
      </c>
      <c r="I6564" s="8" t="s">
        <v>4</v>
      </c>
      <c r="J6564" s="7" t="s">
        <v>7217</v>
      </c>
      <c r="K6564" s="8" t="s">
        <v>205</v>
      </c>
      <c r="L6564" s="8" t="s">
        <v>206</v>
      </c>
      <c r="M6564" s="8" t="s">
        <v>119</v>
      </c>
      <c r="N6564" s="10" t="str">
        <f t="shared" si="564"/>
        <v>TON</v>
      </c>
      <c r="O6564" s="11">
        <v>10</v>
      </c>
    </row>
    <row r="6565" spans="2:15" x14ac:dyDescent="0.25">
      <c r="B6565" s="6" t="s">
        <v>1520</v>
      </c>
      <c r="C6565" s="7" t="s">
        <v>196</v>
      </c>
      <c r="D6565" s="8" t="s">
        <v>374</v>
      </c>
      <c r="E6565" s="8" t="s">
        <v>4935</v>
      </c>
      <c r="F6565" s="9">
        <f t="shared" si="570"/>
        <v>45649</v>
      </c>
      <c r="G6565" s="10">
        <f t="shared" si="567"/>
        <v>12</v>
      </c>
      <c r="H6565" s="10">
        <f t="shared" si="568"/>
        <v>2024</v>
      </c>
      <c r="I6565" s="8" t="s">
        <v>4</v>
      </c>
      <c r="J6565" s="7" t="s">
        <v>7218</v>
      </c>
      <c r="K6565" s="8" t="s">
        <v>329</v>
      </c>
      <c r="L6565" s="8" t="s">
        <v>330</v>
      </c>
      <c r="M6565" s="8" t="s">
        <v>119</v>
      </c>
      <c r="N6565" s="10" t="str">
        <f t="shared" si="564"/>
        <v>TON</v>
      </c>
      <c r="O6565" s="11">
        <v>15.0725</v>
      </c>
    </row>
    <row r="6566" spans="2:15" x14ac:dyDescent="0.25">
      <c r="B6566" s="6" t="s">
        <v>1520</v>
      </c>
      <c r="C6566" s="7" t="s">
        <v>196</v>
      </c>
      <c r="D6566" s="8" t="s">
        <v>440</v>
      </c>
      <c r="E6566" s="8" t="s">
        <v>1369</v>
      </c>
      <c r="F6566" s="9">
        <f t="shared" si="570"/>
        <v>45649</v>
      </c>
      <c r="G6566" s="10">
        <f t="shared" si="567"/>
        <v>12</v>
      </c>
      <c r="H6566" s="10">
        <f t="shared" si="568"/>
        <v>2024</v>
      </c>
      <c r="I6566" s="8" t="s">
        <v>4</v>
      </c>
      <c r="J6566" s="7" t="s">
        <v>7219</v>
      </c>
      <c r="K6566" s="8" t="s">
        <v>7086</v>
      </c>
      <c r="L6566" s="8" t="s">
        <v>7087</v>
      </c>
      <c r="M6566" s="8" t="s">
        <v>119</v>
      </c>
      <c r="N6566" s="10" t="str">
        <f t="shared" si="564"/>
        <v>TON</v>
      </c>
      <c r="O6566" s="11">
        <v>5.0025000000000004</v>
      </c>
    </row>
    <row r="6567" spans="2:15" x14ac:dyDescent="0.25">
      <c r="B6567" s="6" t="s">
        <v>1520</v>
      </c>
      <c r="C6567" s="7" t="s">
        <v>196</v>
      </c>
      <c r="D6567" s="8" t="s">
        <v>440</v>
      </c>
      <c r="E6567" s="8" t="s">
        <v>441</v>
      </c>
      <c r="F6567" s="9">
        <f t="shared" si="570"/>
        <v>45649</v>
      </c>
      <c r="G6567" s="10">
        <f t="shared" si="567"/>
        <v>12</v>
      </c>
      <c r="H6567" s="10">
        <f t="shared" si="568"/>
        <v>2024</v>
      </c>
      <c r="I6567" s="8" t="s">
        <v>4</v>
      </c>
      <c r="J6567" s="7" t="s">
        <v>7220</v>
      </c>
      <c r="K6567" s="8" t="s">
        <v>7086</v>
      </c>
      <c r="L6567" s="8" t="s">
        <v>7087</v>
      </c>
      <c r="M6567" s="8" t="s">
        <v>119</v>
      </c>
      <c r="N6567" s="10" t="str">
        <f t="shared" si="564"/>
        <v>TON</v>
      </c>
      <c r="O6567" s="11">
        <v>10.0025</v>
      </c>
    </row>
    <row r="6568" spans="2:15" x14ac:dyDescent="0.25">
      <c r="B6568" s="6" t="s">
        <v>645</v>
      </c>
      <c r="C6568" s="7" t="s">
        <v>196</v>
      </c>
      <c r="D6568" s="8" t="s">
        <v>790</v>
      </c>
      <c r="E6568" s="8" t="s">
        <v>791</v>
      </c>
      <c r="F6568" s="9">
        <f t="shared" si="570"/>
        <v>45649</v>
      </c>
      <c r="G6568" s="10">
        <f t="shared" si="567"/>
        <v>12</v>
      </c>
      <c r="H6568" s="10">
        <f t="shared" si="568"/>
        <v>2024</v>
      </c>
      <c r="I6568" s="8" t="s">
        <v>4</v>
      </c>
      <c r="J6568" s="7" t="s">
        <v>7221</v>
      </c>
      <c r="K6568" s="8" t="s">
        <v>4149</v>
      </c>
      <c r="L6568" s="8" t="s">
        <v>4150</v>
      </c>
      <c r="M6568" s="8" t="s">
        <v>119</v>
      </c>
      <c r="N6568" s="10" t="str">
        <f t="shared" si="564"/>
        <v>TON</v>
      </c>
      <c r="O6568" s="11">
        <v>5.0049999999999999</v>
      </c>
    </row>
    <row r="6569" spans="2:15" x14ac:dyDescent="0.25">
      <c r="B6569" s="6" t="s">
        <v>1520</v>
      </c>
      <c r="C6569" s="7" t="s">
        <v>196</v>
      </c>
      <c r="D6569" s="8" t="s">
        <v>114</v>
      </c>
      <c r="E6569" s="8" t="s">
        <v>402</v>
      </c>
      <c r="F6569" s="9">
        <f t="shared" si="570"/>
        <v>45649</v>
      </c>
      <c r="G6569" s="10">
        <f t="shared" si="567"/>
        <v>12</v>
      </c>
      <c r="H6569" s="10">
        <f t="shared" si="568"/>
        <v>2024</v>
      </c>
      <c r="I6569" s="8" t="s">
        <v>4</v>
      </c>
      <c r="J6569" s="7" t="s">
        <v>7222</v>
      </c>
      <c r="K6569" s="8" t="s">
        <v>422</v>
      </c>
      <c r="L6569" s="8" t="s">
        <v>423</v>
      </c>
      <c r="M6569" s="8" t="s">
        <v>119</v>
      </c>
      <c r="N6569" s="10" t="str">
        <f t="shared" si="564"/>
        <v>TON</v>
      </c>
      <c r="O6569" s="11">
        <v>7.7625000000000002</v>
      </c>
    </row>
    <row r="6570" spans="2:15" x14ac:dyDescent="0.25">
      <c r="B6570" s="6" t="s">
        <v>1520</v>
      </c>
      <c r="C6570" s="7" t="s">
        <v>196</v>
      </c>
      <c r="D6570" s="8" t="s">
        <v>374</v>
      </c>
      <c r="E6570" s="8" t="s">
        <v>5309</v>
      </c>
      <c r="F6570" s="9">
        <f t="shared" si="570"/>
        <v>45649</v>
      </c>
      <c r="G6570" s="10">
        <f t="shared" si="567"/>
        <v>12</v>
      </c>
      <c r="H6570" s="10">
        <f t="shared" si="568"/>
        <v>2024</v>
      </c>
      <c r="I6570" s="8" t="s">
        <v>4</v>
      </c>
      <c r="J6570" s="7" t="s">
        <v>7223</v>
      </c>
      <c r="K6570" s="8" t="s">
        <v>329</v>
      </c>
      <c r="L6570" s="8" t="s">
        <v>330</v>
      </c>
      <c r="M6570" s="8" t="s">
        <v>119</v>
      </c>
      <c r="N6570" s="10" t="str">
        <f t="shared" si="564"/>
        <v>TON</v>
      </c>
      <c r="O6570" s="11">
        <v>15.0025</v>
      </c>
    </row>
    <row r="6571" spans="2:15" x14ac:dyDescent="0.25">
      <c r="B6571" s="6" t="s">
        <v>1520</v>
      </c>
      <c r="C6571" s="7" t="s">
        <v>196</v>
      </c>
      <c r="D6571" s="8" t="s">
        <v>1343</v>
      </c>
      <c r="E6571" s="8" t="s">
        <v>3729</v>
      </c>
      <c r="F6571" s="9">
        <f t="shared" si="570"/>
        <v>45649</v>
      </c>
      <c r="G6571" s="10">
        <f t="shared" si="567"/>
        <v>12</v>
      </c>
      <c r="H6571" s="10">
        <f t="shared" si="568"/>
        <v>2024</v>
      </c>
      <c r="I6571" s="8" t="s">
        <v>4</v>
      </c>
      <c r="J6571" s="7" t="s">
        <v>7224</v>
      </c>
      <c r="K6571" s="8" t="s">
        <v>3726</v>
      </c>
      <c r="L6571" s="8" t="s">
        <v>3727</v>
      </c>
      <c r="M6571" s="8" t="s">
        <v>145</v>
      </c>
      <c r="N6571" s="10" t="str">
        <f t="shared" si="564"/>
        <v>GAL</v>
      </c>
      <c r="O6571" s="11">
        <v>5.1624999999999996</v>
      </c>
    </row>
    <row r="6572" spans="2:15" x14ac:dyDescent="0.25">
      <c r="B6572" s="6" t="s">
        <v>1520</v>
      </c>
      <c r="C6572" s="7" t="s">
        <v>196</v>
      </c>
      <c r="D6572" s="8" t="s">
        <v>1343</v>
      </c>
      <c r="E6572" s="8" t="s">
        <v>3729</v>
      </c>
      <c r="F6572" s="9">
        <f t="shared" si="570"/>
        <v>45649</v>
      </c>
      <c r="G6572" s="10">
        <f t="shared" si="567"/>
        <v>12</v>
      </c>
      <c r="H6572" s="10">
        <f t="shared" si="568"/>
        <v>2024</v>
      </c>
      <c r="I6572" s="8" t="s">
        <v>4</v>
      </c>
      <c r="J6572" s="7" t="s">
        <v>7224</v>
      </c>
      <c r="K6572" s="8" t="s">
        <v>2039</v>
      </c>
      <c r="L6572" s="8" t="s">
        <v>2040</v>
      </c>
      <c r="M6572" s="8" t="s">
        <v>119</v>
      </c>
      <c r="N6572" s="10" t="str">
        <f t="shared" si="564"/>
        <v>TON</v>
      </c>
      <c r="O6572" s="11">
        <v>15</v>
      </c>
    </row>
    <row r="6573" spans="2:15" x14ac:dyDescent="0.25">
      <c r="B6573" s="6" t="s">
        <v>1520</v>
      </c>
      <c r="C6573" s="7" t="s">
        <v>196</v>
      </c>
      <c r="D6573" s="8" t="s">
        <v>7225</v>
      </c>
      <c r="E6573" s="8" t="s">
        <v>102</v>
      </c>
      <c r="F6573" s="9">
        <f t="shared" si="570"/>
        <v>45649</v>
      </c>
      <c r="G6573" s="10">
        <f t="shared" si="567"/>
        <v>12</v>
      </c>
      <c r="H6573" s="10">
        <f t="shared" si="568"/>
        <v>2024</v>
      </c>
      <c r="I6573" s="8" t="s">
        <v>4</v>
      </c>
      <c r="J6573" s="7" t="s">
        <v>7226</v>
      </c>
      <c r="K6573" s="8" t="s">
        <v>205</v>
      </c>
      <c r="L6573" s="8" t="s">
        <v>206</v>
      </c>
      <c r="M6573" s="8" t="s">
        <v>119</v>
      </c>
      <c r="N6573" s="10" t="str">
        <f t="shared" si="564"/>
        <v>TON</v>
      </c>
      <c r="O6573" s="11">
        <v>1.25</v>
      </c>
    </row>
    <row r="6574" spans="2:15" x14ac:dyDescent="0.25">
      <c r="B6574" s="6" t="s">
        <v>1520</v>
      </c>
      <c r="C6574" s="7" t="s">
        <v>196</v>
      </c>
      <c r="D6574" s="8" t="s">
        <v>1343</v>
      </c>
      <c r="E6574" s="8" t="s">
        <v>4151</v>
      </c>
      <c r="F6574" s="9">
        <f>DATE(2024,12,24)</f>
        <v>45650</v>
      </c>
      <c r="G6574" s="10">
        <f t="shared" si="567"/>
        <v>12</v>
      </c>
      <c r="H6574" s="10">
        <f t="shared" si="568"/>
        <v>2024</v>
      </c>
      <c r="I6574" s="8" t="s">
        <v>4</v>
      </c>
      <c r="J6574" s="7" t="s">
        <v>7227</v>
      </c>
      <c r="K6574" s="8" t="s">
        <v>3726</v>
      </c>
      <c r="L6574" s="8" t="s">
        <v>3727</v>
      </c>
      <c r="M6574" s="8" t="s">
        <v>145</v>
      </c>
      <c r="N6574" s="10" t="str">
        <f t="shared" si="564"/>
        <v>GAL</v>
      </c>
      <c r="O6574" s="11">
        <v>5.1624999999999996</v>
      </c>
    </row>
    <row r="6575" spans="2:15" x14ac:dyDescent="0.25">
      <c r="B6575" s="6" t="s">
        <v>1520</v>
      </c>
      <c r="C6575" s="7" t="s">
        <v>196</v>
      </c>
      <c r="D6575" s="8" t="s">
        <v>1343</v>
      </c>
      <c r="E6575" s="8" t="s">
        <v>4151</v>
      </c>
      <c r="F6575" s="9">
        <f>DATE(2024,12,24)</f>
        <v>45650</v>
      </c>
      <c r="G6575" s="10">
        <f t="shared" si="567"/>
        <v>12</v>
      </c>
      <c r="H6575" s="10">
        <f t="shared" si="568"/>
        <v>2024</v>
      </c>
      <c r="I6575" s="8" t="s">
        <v>4</v>
      </c>
      <c r="J6575" s="7" t="s">
        <v>7227</v>
      </c>
      <c r="K6575" s="8" t="s">
        <v>2039</v>
      </c>
      <c r="L6575" s="8" t="s">
        <v>2040</v>
      </c>
      <c r="M6575" s="8" t="s">
        <v>119</v>
      </c>
      <c r="N6575" s="10" t="str">
        <f t="shared" si="564"/>
        <v>TON</v>
      </c>
      <c r="O6575" s="11">
        <v>15.005000000000001</v>
      </c>
    </row>
    <row r="6576" spans="2:15" x14ac:dyDescent="0.25">
      <c r="B6576" s="6" t="s">
        <v>1520</v>
      </c>
      <c r="C6576" s="7" t="s">
        <v>196</v>
      </c>
      <c r="D6576" s="8" t="s">
        <v>227</v>
      </c>
      <c r="E6576" s="8" t="s">
        <v>757</v>
      </c>
      <c r="F6576" s="9">
        <f>DATE(2024,12,24)</f>
        <v>45650</v>
      </c>
      <c r="G6576" s="10">
        <f t="shared" si="567"/>
        <v>12</v>
      </c>
      <c r="H6576" s="10">
        <f t="shared" si="568"/>
        <v>2024</v>
      </c>
      <c r="I6576" s="8" t="s">
        <v>4</v>
      </c>
      <c r="J6576" s="7" t="s">
        <v>7228</v>
      </c>
      <c r="K6576" s="8" t="s">
        <v>122</v>
      </c>
      <c r="L6576" s="8" t="s">
        <v>123</v>
      </c>
      <c r="M6576" s="8" t="s">
        <v>119</v>
      </c>
      <c r="N6576" s="10" t="str">
        <f t="shared" si="564"/>
        <v>TON</v>
      </c>
      <c r="O6576" s="11">
        <v>6.0125000000000002</v>
      </c>
    </row>
    <row r="6577" spans="2:15" x14ac:dyDescent="0.25">
      <c r="B6577" s="6" t="s">
        <v>1520</v>
      </c>
      <c r="C6577" s="7" t="s">
        <v>196</v>
      </c>
      <c r="D6577" s="8" t="s">
        <v>114</v>
      </c>
      <c r="E6577" s="8" t="s">
        <v>336</v>
      </c>
      <c r="F6577" s="9">
        <f>DATE(2024,12,23)</f>
        <v>45649</v>
      </c>
      <c r="G6577" s="10">
        <f t="shared" si="567"/>
        <v>12</v>
      </c>
      <c r="H6577" s="10">
        <f t="shared" si="568"/>
        <v>2024</v>
      </c>
      <c r="I6577" s="8" t="s">
        <v>4</v>
      </c>
      <c r="J6577" s="7" t="s">
        <v>7229</v>
      </c>
      <c r="K6577" s="8" t="s">
        <v>422</v>
      </c>
      <c r="L6577" s="8" t="s">
        <v>423</v>
      </c>
      <c r="M6577" s="8" t="s">
        <v>119</v>
      </c>
      <c r="N6577" s="10" t="str">
        <f t="shared" si="564"/>
        <v>TON</v>
      </c>
      <c r="O6577" s="11">
        <v>13.01</v>
      </c>
    </row>
    <row r="6578" spans="2:15" x14ac:dyDescent="0.25">
      <c r="B6578" s="6" t="s">
        <v>1520</v>
      </c>
      <c r="C6578" s="7" t="s">
        <v>196</v>
      </c>
      <c r="D6578" s="8" t="s">
        <v>241</v>
      </c>
      <c r="E6578" s="8" t="s">
        <v>242</v>
      </c>
      <c r="F6578" s="9">
        <f t="shared" ref="F6578:F6584" si="571">DATE(2024,12,24)</f>
        <v>45650</v>
      </c>
      <c r="G6578" s="10">
        <f t="shared" si="567"/>
        <v>12</v>
      </c>
      <c r="H6578" s="10">
        <f t="shared" si="568"/>
        <v>2024</v>
      </c>
      <c r="I6578" s="8" t="s">
        <v>4</v>
      </c>
      <c r="J6578" s="7" t="s">
        <v>7230</v>
      </c>
      <c r="K6578" s="8" t="s">
        <v>7231</v>
      </c>
      <c r="L6578" s="8" t="s">
        <v>7232</v>
      </c>
      <c r="M6578" s="8" t="s">
        <v>119</v>
      </c>
      <c r="N6578" s="10" t="str">
        <f t="shared" si="564"/>
        <v>TON</v>
      </c>
      <c r="O6578" s="11">
        <v>0.15</v>
      </c>
    </row>
    <row r="6579" spans="2:15" x14ac:dyDescent="0.25">
      <c r="B6579" s="6" t="s">
        <v>1520</v>
      </c>
      <c r="C6579" s="7" t="s">
        <v>196</v>
      </c>
      <c r="D6579" s="8" t="s">
        <v>241</v>
      </c>
      <c r="E6579" s="8" t="s">
        <v>242</v>
      </c>
      <c r="F6579" s="9">
        <f t="shared" si="571"/>
        <v>45650</v>
      </c>
      <c r="G6579" s="10">
        <f t="shared" si="567"/>
        <v>12</v>
      </c>
      <c r="H6579" s="10">
        <f t="shared" si="568"/>
        <v>2024</v>
      </c>
      <c r="I6579" s="8" t="s">
        <v>4</v>
      </c>
      <c r="J6579" s="7" t="s">
        <v>7233</v>
      </c>
      <c r="K6579" s="8" t="s">
        <v>7234</v>
      </c>
      <c r="L6579" s="8" t="s">
        <v>7235</v>
      </c>
      <c r="M6579" s="8" t="s">
        <v>119</v>
      </c>
      <c r="N6579" s="10" t="str">
        <f t="shared" si="564"/>
        <v>TON</v>
      </c>
      <c r="O6579" s="11">
        <v>0.15</v>
      </c>
    </row>
    <row r="6580" spans="2:15" x14ac:dyDescent="0.25">
      <c r="B6580" s="6" t="s">
        <v>1520</v>
      </c>
      <c r="C6580" s="7" t="s">
        <v>196</v>
      </c>
      <c r="D6580" s="8" t="s">
        <v>303</v>
      </c>
      <c r="E6580" s="8" t="s">
        <v>501</v>
      </c>
      <c r="F6580" s="9">
        <f t="shared" si="571"/>
        <v>45650</v>
      </c>
      <c r="G6580" s="10">
        <f t="shared" si="567"/>
        <v>12</v>
      </c>
      <c r="H6580" s="10">
        <f t="shared" si="568"/>
        <v>2024</v>
      </c>
      <c r="I6580" s="8" t="s">
        <v>4</v>
      </c>
      <c r="J6580" s="7" t="s">
        <v>7236</v>
      </c>
      <c r="K6580" s="8" t="s">
        <v>3726</v>
      </c>
      <c r="L6580" s="8" t="s">
        <v>3727</v>
      </c>
      <c r="M6580" s="8" t="s">
        <v>145</v>
      </c>
      <c r="N6580" s="10" t="str">
        <f t="shared" si="564"/>
        <v>GAL</v>
      </c>
      <c r="O6580" s="11">
        <v>4.6875</v>
      </c>
    </row>
    <row r="6581" spans="2:15" x14ac:dyDescent="0.25">
      <c r="B6581" s="6" t="s">
        <v>1520</v>
      </c>
      <c r="C6581" s="7" t="s">
        <v>196</v>
      </c>
      <c r="D6581" s="8" t="s">
        <v>303</v>
      </c>
      <c r="E6581" s="8" t="s">
        <v>501</v>
      </c>
      <c r="F6581" s="9">
        <f t="shared" si="571"/>
        <v>45650</v>
      </c>
      <c r="G6581" s="10">
        <f t="shared" si="567"/>
        <v>12</v>
      </c>
      <c r="H6581" s="10">
        <f t="shared" si="568"/>
        <v>2024</v>
      </c>
      <c r="I6581" s="8" t="s">
        <v>4</v>
      </c>
      <c r="J6581" s="7" t="s">
        <v>7236</v>
      </c>
      <c r="K6581" s="8" t="s">
        <v>422</v>
      </c>
      <c r="L6581" s="8" t="s">
        <v>423</v>
      </c>
      <c r="M6581" s="8" t="s">
        <v>119</v>
      </c>
      <c r="N6581" s="10" t="str">
        <f t="shared" si="564"/>
        <v>TON</v>
      </c>
      <c r="O6581" s="11">
        <v>12.505000000000001</v>
      </c>
    </row>
    <row r="6582" spans="2:15" x14ac:dyDescent="0.25">
      <c r="B6582" s="6" t="s">
        <v>1520</v>
      </c>
      <c r="C6582" s="7" t="s">
        <v>196</v>
      </c>
      <c r="D6582" s="8" t="s">
        <v>458</v>
      </c>
      <c r="E6582" s="8" t="s">
        <v>459</v>
      </c>
      <c r="F6582" s="9">
        <f t="shared" si="571"/>
        <v>45650</v>
      </c>
      <c r="G6582" s="10">
        <f t="shared" si="567"/>
        <v>12</v>
      </c>
      <c r="H6582" s="10">
        <f t="shared" si="568"/>
        <v>2024</v>
      </c>
      <c r="I6582" s="8" t="s">
        <v>4</v>
      </c>
      <c r="J6582" s="7" t="s">
        <v>7237</v>
      </c>
      <c r="K6582" s="8" t="s">
        <v>329</v>
      </c>
      <c r="L6582" s="8" t="s">
        <v>330</v>
      </c>
      <c r="M6582" s="8" t="s">
        <v>119</v>
      </c>
      <c r="N6582" s="10" t="str">
        <f t="shared" si="564"/>
        <v>TON</v>
      </c>
      <c r="O6582" s="11">
        <v>2.4975000000000001</v>
      </c>
    </row>
    <row r="6583" spans="2:15" x14ac:dyDescent="0.25">
      <c r="B6583" s="6" t="s">
        <v>1520</v>
      </c>
      <c r="C6583" s="7" t="s">
        <v>196</v>
      </c>
      <c r="D6583" s="8" t="s">
        <v>6767</v>
      </c>
      <c r="E6583" s="8" t="s">
        <v>6912</v>
      </c>
      <c r="F6583" s="9">
        <f t="shared" si="571"/>
        <v>45650</v>
      </c>
      <c r="G6583" s="10">
        <f t="shared" si="567"/>
        <v>12</v>
      </c>
      <c r="H6583" s="10">
        <f t="shared" si="568"/>
        <v>2024</v>
      </c>
      <c r="I6583" s="8" t="s">
        <v>4</v>
      </c>
      <c r="J6583" s="7" t="s">
        <v>7238</v>
      </c>
      <c r="K6583" s="8" t="s">
        <v>205</v>
      </c>
      <c r="L6583" s="8" t="s">
        <v>206</v>
      </c>
      <c r="M6583" s="8" t="s">
        <v>119</v>
      </c>
      <c r="N6583" s="10" t="str">
        <f t="shared" si="564"/>
        <v>TON</v>
      </c>
      <c r="O6583" s="11">
        <v>1.5</v>
      </c>
    </row>
    <row r="6584" spans="2:15" x14ac:dyDescent="0.25">
      <c r="B6584" s="6" t="s">
        <v>1520</v>
      </c>
      <c r="C6584" s="7" t="s">
        <v>196</v>
      </c>
      <c r="D6584" s="8" t="s">
        <v>6767</v>
      </c>
      <c r="E6584" s="8" t="s">
        <v>102</v>
      </c>
      <c r="F6584" s="9">
        <f t="shared" si="571"/>
        <v>45650</v>
      </c>
      <c r="G6584" s="10">
        <f t="shared" si="567"/>
        <v>12</v>
      </c>
      <c r="H6584" s="10">
        <f t="shared" si="568"/>
        <v>2024</v>
      </c>
      <c r="I6584" s="8" t="s">
        <v>4</v>
      </c>
      <c r="J6584" s="7" t="s">
        <v>7239</v>
      </c>
      <c r="K6584" s="8" t="s">
        <v>189</v>
      </c>
      <c r="L6584" s="8" t="s">
        <v>190</v>
      </c>
      <c r="M6584" s="8" t="s">
        <v>191</v>
      </c>
      <c r="N6584" s="10" t="str">
        <f t="shared" si="564"/>
        <v>GAL</v>
      </c>
      <c r="O6584" s="11">
        <v>5</v>
      </c>
    </row>
    <row r="6585" spans="2:15" x14ac:dyDescent="0.25">
      <c r="B6585" s="6" t="s">
        <v>1520</v>
      </c>
      <c r="C6585" s="7" t="s">
        <v>196</v>
      </c>
      <c r="D6585" s="8" t="s">
        <v>197</v>
      </c>
      <c r="E6585" s="8" t="s">
        <v>198</v>
      </c>
      <c r="F6585" s="9">
        <f t="shared" ref="F6585:F6592" si="572">DATE(2024,12,26)</f>
        <v>45652</v>
      </c>
      <c r="G6585" s="10">
        <f t="shared" si="567"/>
        <v>12</v>
      </c>
      <c r="H6585" s="10">
        <f t="shared" si="568"/>
        <v>2024</v>
      </c>
      <c r="I6585" s="8" t="s">
        <v>4</v>
      </c>
      <c r="J6585" s="7" t="s">
        <v>7240</v>
      </c>
      <c r="K6585" s="8" t="s">
        <v>307</v>
      </c>
      <c r="L6585" s="8" t="s">
        <v>308</v>
      </c>
      <c r="M6585" s="8" t="s">
        <v>119</v>
      </c>
      <c r="N6585" s="10" t="str">
        <f t="shared" si="564"/>
        <v>TON</v>
      </c>
      <c r="O6585" s="11">
        <v>3.5049999999999999</v>
      </c>
    </row>
    <row r="6586" spans="2:15" x14ac:dyDescent="0.25">
      <c r="B6586" s="6" t="s">
        <v>1520</v>
      </c>
      <c r="C6586" s="7" t="s">
        <v>196</v>
      </c>
      <c r="D6586" s="8" t="s">
        <v>672</v>
      </c>
      <c r="E6586" s="8" t="s">
        <v>1193</v>
      </c>
      <c r="F6586" s="9">
        <f t="shared" si="572"/>
        <v>45652</v>
      </c>
      <c r="G6586" s="10">
        <f t="shared" si="567"/>
        <v>12</v>
      </c>
      <c r="H6586" s="10">
        <f t="shared" si="568"/>
        <v>2024</v>
      </c>
      <c r="I6586" s="8" t="s">
        <v>4</v>
      </c>
      <c r="J6586" s="7" t="s">
        <v>7241</v>
      </c>
      <c r="K6586" s="8" t="s">
        <v>251</v>
      </c>
      <c r="L6586" s="8" t="s">
        <v>252</v>
      </c>
      <c r="M6586" s="8" t="s">
        <v>119</v>
      </c>
      <c r="N6586" s="10" t="str">
        <f t="shared" si="564"/>
        <v>TON</v>
      </c>
      <c r="O6586" s="11">
        <v>4.5075000000000003</v>
      </c>
    </row>
    <row r="6587" spans="2:15" x14ac:dyDescent="0.25">
      <c r="B6587" s="6" t="s">
        <v>1520</v>
      </c>
      <c r="C6587" s="7" t="s">
        <v>196</v>
      </c>
      <c r="D6587" s="8" t="s">
        <v>800</v>
      </c>
      <c r="E6587" s="8" t="s">
        <v>911</v>
      </c>
      <c r="F6587" s="9">
        <f t="shared" si="572"/>
        <v>45652</v>
      </c>
      <c r="G6587" s="10">
        <f t="shared" si="567"/>
        <v>12</v>
      </c>
      <c r="H6587" s="10">
        <f t="shared" si="568"/>
        <v>2024</v>
      </c>
      <c r="I6587" s="8" t="s">
        <v>4</v>
      </c>
      <c r="J6587" s="7" t="s">
        <v>7242</v>
      </c>
      <c r="K6587" s="8" t="s">
        <v>122</v>
      </c>
      <c r="L6587" s="8" t="s">
        <v>123</v>
      </c>
      <c r="M6587" s="8" t="s">
        <v>119</v>
      </c>
      <c r="N6587" s="10" t="str">
        <f t="shared" si="564"/>
        <v>TON</v>
      </c>
      <c r="O6587" s="11">
        <v>0.995</v>
      </c>
    </row>
    <row r="6588" spans="2:15" x14ac:dyDescent="0.25">
      <c r="B6588" s="6" t="s">
        <v>1520</v>
      </c>
      <c r="C6588" s="7" t="s">
        <v>196</v>
      </c>
      <c r="D6588" s="8" t="s">
        <v>310</v>
      </c>
      <c r="E6588" s="8" t="s">
        <v>355</v>
      </c>
      <c r="F6588" s="9">
        <f t="shared" si="572"/>
        <v>45652</v>
      </c>
      <c r="G6588" s="10">
        <f t="shared" si="567"/>
        <v>12</v>
      </c>
      <c r="H6588" s="10">
        <f t="shared" si="568"/>
        <v>2024</v>
      </c>
      <c r="I6588" s="8" t="s">
        <v>4</v>
      </c>
      <c r="J6588" s="7" t="s">
        <v>7243</v>
      </c>
      <c r="K6588" s="8" t="s">
        <v>428</v>
      </c>
      <c r="L6588" s="8" t="s">
        <v>429</v>
      </c>
      <c r="M6588" s="8" t="s">
        <v>119</v>
      </c>
      <c r="N6588" s="10" t="str">
        <f t="shared" si="564"/>
        <v>TON</v>
      </c>
      <c r="O6588" s="11">
        <v>2.02</v>
      </c>
    </row>
    <row r="6589" spans="2:15" x14ac:dyDescent="0.25">
      <c r="B6589" s="6" t="s">
        <v>1520</v>
      </c>
      <c r="C6589" s="7" t="s">
        <v>196</v>
      </c>
      <c r="D6589" s="8" t="s">
        <v>3761</v>
      </c>
      <c r="E6589" s="8" t="s">
        <v>3762</v>
      </c>
      <c r="F6589" s="9">
        <f t="shared" si="572"/>
        <v>45652</v>
      </c>
      <c r="G6589" s="10">
        <f t="shared" si="567"/>
        <v>12</v>
      </c>
      <c r="H6589" s="10">
        <f t="shared" si="568"/>
        <v>2024</v>
      </c>
      <c r="I6589" s="8" t="s">
        <v>4</v>
      </c>
      <c r="J6589" s="7" t="s">
        <v>7244</v>
      </c>
      <c r="K6589" s="8" t="s">
        <v>329</v>
      </c>
      <c r="L6589" s="8" t="s">
        <v>330</v>
      </c>
      <c r="M6589" s="8" t="s">
        <v>119</v>
      </c>
      <c r="N6589" s="10" t="str">
        <f t="shared" si="564"/>
        <v>TON</v>
      </c>
      <c r="O6589" s="11">
        <v>10.012499999999999</v>
      </c>
    </row>
    <row r="6590" spans="2:15" x14ac:dyDescent="0.25">
      <c r="B6590" s="6" t="s">
        <v>1520</v>
      </c>
      <c r="C6590" s="7" t="s">
        <v>196</v>
      </c>
      <c r="D6590" s="8" t="s">
        <v>6651</v>
      </c>
      <c r="E6590" s="8" t="s">
        <v>6652</v>
      </c>
      <c r="F6590" s="9">
        <f t="shared" si="572"/>
        <v>45652</v>
      </c>
      <c r="G6590" s="10">
        <f t="shared" si="567"/>
        <v>12</v>
      </c>
      <c r="H6590" s="10">
        <f t="shared" si="568"/>
        <v>2024</v>
      </c>
      <c r="I6590" s="8" t="s">
        <v>4</v>
      </c>
      <c r="J6590" s="7" t="s">
        <v>7245</v>
      </c>
      <c r="K6590" s="8" t="s">
        <v>329</v>
      </c>
      <c r="L6590" s="8" t="s">
        <v>330</v>
      </c>
      <c r="M6590" s="8" t="s">
        <v>119</v>
      </c>
      <c r="N6590" s="10" t="str">
        <f t="shared" ref="N6590:N6653" si="573">+LEFT(M6590,3)</f>
        <v>TON</v>
      </c>
      <c r="O6590" s="11">
        <v>5.0125000000000002</v>
      </c>
    </row>
    <row r="6591" spans="2:15" x14ac:dyDescent="0.25">
      <c r="B6591" s="6" t="s">
        <v>1520</v>
      </c>
      <c r="C6591" s="7" t="s">
        <v>196</v>
      </c>
      <c r="D6591" s="8" t="s">
        <v>210</v>
      </c>
      <c r="E6591" s="8" t="s">
        <v>962</v>
      </c>
      <c r="F6591" s="9">
        <f t="shared" si="572"/>
        <v>45652</v>
      </c>
      <c r="G6591" s="10">
        <f t="shared" si="567"/>
        <v>12</v>
      </c>
      <c r="H6591" s="10">
        <f t="shared" si="568"/>
        <v>2024</v>
      </c>
      <c r="I6591" s="8" t="s">
        <v>4</v>
      </c>
      <c r="J6591" s="7" t="s">
        <v>7246</v>
      </c>
      <c r="K6591" s="8" t="s">
        <v>1379</v>
      </c>
      <c r="L6591" s="8" t="s">
        <v>1380</v>
      </c>
      <c r="M6591" s="8" t="s">
        <v>119</v>
      </c>
      <c r="N6591" s="10" t="str">
        <f t="shared" si="573"/>
        <v>TON</v>
      </c>
      <c r="O6591" s="11">
        <v>10.015000000000001</v>
      </c>
    </row>
    <row r="6592" spans="2:15" x14ac:dyDescent="0.25">
      <c r="B6592" s="6" t="s">
        <v>1520</v>
      </c>
      <c r="C6592" s="7" t="s">
        <v>196</v>
      </c>
      <c r="D6592" s="8" t="s">
        <v>210</v>
      </c>
      <c r="E6592" s="8" t="s">
        <v>827</v>
      </c>
      <c r="F6592" s="9">
        <f t="shared" si="572"/>
        <v>45652</v>
      </c>
      <c r="G6592" s="10">
        <f t="shared" si="567"/>
        <v>12</v>
      </c>
      <c r="H6592" s="10">
        <f t="shared" si="568"/>
        <v>2024</v>
      </c>
      <c r="I6592" s="8" t="s">
        <v>4</v>
      </c>
      <c r="J6592" s="7" t="s">
        <v>7247</v>
      </c>
      <c r="K6592" s="8" t="s">
        <v>5894</v>
      </c>
      <c r="L6592" s="8" t="s">
        <v>5895</v>
      </c>
      <c r="M6592" s="8" t="s">
        <v>119</v>
      </c>
      <c r="N6592" s="10" t="str">
        <f t="shared" si="573"/>
        <v>TON</v>
      </c>
      <c r="O6592" s="11">
        <v>5.01</v>
      </c>
    </row>
    <row r="6593" spans="2:15" x14ac:dyDescent="0.25">
      <c r="B6593" s="6" t="s">
        <v>1520</v>
      </c>
      <c r="C6593" s="7" t="s">
        <v>196</v>
      </c>
      <c r="D6593" s="8" t="s">
        <v>4098</v>
      </c>
      <c r="E6593" s="8" t="s">
        <v>695</v>
      </c>
      <c r="F6593" s="9">
        <f t="shared" ref="F6593:F6608" si="574">DATE(2024,12,27)</f>
        <v>45653</v>
      </c>
      <c r="G6593" s="10">
        <f t="shared" si="567"/>
        <v>12</v>
      </c>
      <c r="H6593" s="10">
        <f t="shared" si="568"/>
        <v>2024</v>
      </c>
      <c r="I6593" s="8" t="s">
        <v>4</v>
      </c>
      <c r="J6593" s="7" t="s">
        <v>7248</v>
      </c>
      <c r="K6593" s="8" t="s">
        <v>329</v>
      </c>
      <c r="L6593" s="8" t="s">
        <v>330</v>
      </c>
      <c r="M6593" s="8" t="s">
        <v>119</v>
      </c>
      <c r="N6593" s="10" t="str">
        <f t="shared" si="573"/>
        <v>TON</v>
      </c>
      <c r="O6593" s="11">
        <v>2.9950000000000001</v>
      </c>
    </row>
    <row r="6594" spans="2:15" x14ac:dyDescent="0.25">
      <c r="B6594" s="6" t="s">
        <v>1520</v>
      </c>
      <c r="C6594" s="7" t="s">
        <v>196</v>
      </c>
      <c r="D6594" s="8" t="s">
        <v>1276</v>
      </c>
      <c r="E6594" s="8" t="s">
        <v>1277</v>
      </c>
      <c r="F6594" s="9">
        <f t="shared" si="574"/>
        <v>45653</v>
      </c>
      <c r="G6594" s="10">
        <f t="shared" si="567"/>
        <v>12</v>
      </c>
      <c r="H6594" s="10">
        <f t="shared" si="568"/>
        <v>2024</v>
      </c>
      <c r="I6594" s="8" t="s">
        <v>4</v>
      </c>
      <c r="J6594" s="7" t="s">
        <v>7249</v>
      </c>
      <c r="K6594" s="8" t="s">
        <v>117</v>
      </c>
      <c r="L6594" s="8" t="s">
        <v>118</v>
      </c>
      <c r="M6594" s="8" t="s">
        <v>119</v>
      </c>
      <c r="N6594" s="10" t="str">
        <f t="shared" si="573"/>
        <v>TON</v>
      </c>
      <c r="O6594" s="11">
        <v>5.0125000000000002</v>
      </c>
    </row>
    <row r="6595" spans="2:15" x14ac:dyDescent="0.25">
      <c r="B6595" s="6" t="s">
        <v>1520</v>
      </c>
      <c r="C6595" s="7" t="s">
        <v>196</v>
      </c>
      <c r="D6595" s="8" t="s">
        <v>4034</v>
      </c>
      <c r="E6595" s="8" t="s">
        <v>759</v>
      </c>
      <c r="F6595" s="9">
        <f t="shared" si="574"/>
        <v>45653</v>
      </c>
      <c r="G6595" s="10">
        <f t="shared" si="567"/>
        <v>12</v>
      </c>
      <c r="H6595" s="10">
        <f t="shared" si="568"/>
        <v>2024</v>
      </c>
      <c r="I6595" s="8" t="s">
        <v>4</v>
      </c>
      <c r="J6595" s="7" t="s">
        <v>7250</v>
      </c>
      <c r="K6595" s="8" t="s">
        <v>117</v>
      </c>
      <c r="L6595" s="8" t="s">
        <v>118</v>
      </c>
      <c r="M6595" s="8" t="s">
        <v>119</v>
      </c>
      <c r="N6595" s="10" t="str">
        <f t="shared" si="573"/>
        <v>TON</v>
      </c>
      <c r="O6595" s="11">
        <v>5.0250000000000004</v>
      </c>
    </row>
    <row r="6596" spans="2:15" x14ac:dyDescent="0.25">
      <c r="B6596" s="6" t="s">
        <v>1520</v>
      </c>
      <c r="C6596" s="7" t="s">
        <v>196</v>
      </c>
      <c r="D6596" s="8" t="s">
        <v>387</v>
      </c>
      <c r="E6596" s="8" t="s">
        <v>797</v>
      </c>
      <c r="F6596" s="9">
        <f t="shared" si="574"/>
        <v>45653</v>
      </c>
      <c r="G6596" s="10">
        <f t="shared" si="567"/>
        <v>12</v>
      </c>
      <c r="H6596" s="10">
        <f t="shared" si="568"/>
        <v>2024</v>
      </c>
      <c r="I6596" s="8" t="s">
        <v>4</v>
      </c>
      <c r="J6596" s="7" t="s">
        <v>7251</v>
      </c>
      <c r="K6596" s="8" t="s">
        <v>3726</v>
      </c>
      <c r="L6596" s="8" t="s">
        <v>3727</v>
      </c>
      <c r="M6596" s="8" t="s">
        <v>145</v>
      </c>
      <c r="N6596" s="10" t="str">
        <f t="shared" si="573"/>
        <v>GAL</v>
      </c>
      <c r="O6596" s="11">
        <v>3.75</v>
      </c>
    </row>
    <row r="6597" spans="2:15" x14ac:dyDescent="0.25">
      <c r="B6597" s="6" t="s">
        <v>1520</v>
      </c>
      <c r="C6597" s="7" t="s">
        <v>196</v>
      </c>
      <c r="D6597" s="8" t="s">
        <v>387</v>
      </c>
      <c r="E6597" s="8" t="s">
        <v>797</v>
      </c>
      <c r="F6597" s="9">
        <f t="shared" si="574"/>
        <v>45653</v>
      </c>
      <c r="G6597" s="10">
        <f t="shared" si="567"/>
        <v>12</v>
      </c>
      <c r="H6597" s="10">
        <f t="shared" si="568"/>
        <v>2024</v>
      </c>
      <c r="I6597" s="8" t="s">
        <v>4</v>
      </c>
      <c r="J6597" s="7" t="s">
        <v>7251</v>
      </c>
      <c r="K6597" s="8" t="s">
        <v>7086</v>
      </c>
      <c r="L6597" s="8" t="s">
        <v>7087</v>
      </c>
      <c r="M6597" s="8" t="s">
        <v>119</v>
      </c>
      <c r="N6597" s="10" t="str">
        <f t="shared" si="573"/>
        <v>TON</v>
      </c>
      <c r="O6597" s="11">
        <v>10.005000000000001</v>
      </c>
    </row>
    <row r="6598" spans="2:15" x14ac:dyDescent="0.25">
      <c r="B6598" s="6" t="s">
        <v>1520</v>
      </c>
      <c r="C6598" s="7" t="s">
        <v>196</v>
      </c>
      <c r="D6598" s="8" t="s">
        <v>452</v>
      </c>
      <c r="E6598" s="8" t="s">
        <v>1611</v>
      </c>
      <c r="F6598" s="9">
        <f t="shared" si="574"/>
        <v>45653</v>
      </c>
      <c r="G6598" s="10">
        <f t="shared" si="567"/>
        <v>12</v>
      </c>
      <c r="H6598" s="10">
        <f t="shared" si="568"/>
        <v>2024</v>
      </c>
      <c r="I6598" s="8" t="s">
        <v>4</v>
      </c>
      <c r="J6598" s="7" t="s">
        <v>7252</v>
      </c>
      <c r="K6598" s="8" t="s">
        <v>447</v>
      </c>
      <c r="L6598" s="8" t="s">
        <v>448</v>
      </c>
      <c r="M6598" s="8" t="s">
        <v>119</v>
      </c>
      <c r="N6598" s="10" t="str">
        <f t="shared" si="573"/>
        <v>TON</v>
      </c>
      <c r="O6598" s="11">
        <v>5.26</v>
      </c>
    </row>
    <row r="6599" spans="2:15" x14ac:dyDescent="0.25">
      <c r="B6599" s="6" t="s">
        <v>1520</v>
      </c>
      <c r="C6599" s="7" t="s">
        <v>196</v>
      </c>
      <c r="D6599" s="8" t="s">
        <v>317</v>
      </c>
      <c r="E6599" s="8" t="s">
        <v>677</v>
      </c>
      <c r="F6599" s="9">
        <f t="shared" si="574"/>
        <v>45653</v>
      </c>
      <c r="G6599" s="10">
        <f t="shared" si="567"/>
        <v>12</v>
      </c>
      <c r="H6599" s="10">
        <f t="shared" si="568"/>
        <v>2024</v>
      </c>
      <c r="I6599" s="8" t="s">
        <v>4</v>
      </c>
      <c r="J6599" s="7" t="s">
        <v>7253</v>
      </c>
      <c r="K6599" s="8" t="s">
        <v>422</v>
      </c>
      <c r="L6599" s="8" t="s">
        <v>423</v>
      </c>
      <c r="M6599" s="8" t="s">
        <v>119</v>
      </c>
      <c r="N6599" s="10" t="str">
        <f t="shared" si="573"/>
        <v>TON</v>
      </c>
      <c r="O6599" s="11">
        <v>14.272500000000001</v>
      </c>
    </row>
    <row r="6600" spans="2:15" x14ac:dyDescent="0.25">
      <c r="B6600" s="6" t="s">
        <v>1520</v>
      </c>
      <c r="C6600" s="7" t="s">
        <v>196</v>
      </c>
      <c r="D6600" s="8" t="s">
        <v>317</v>
      </c>
      <c r="E6600" s="8" t="s">
        <v>677</v>
      </c>
      <c r="F6600" s="9">
        <f t="shared" si="574"/>
        <v>45653</v>
      </c>
      <c r="G6600" s="10">
        <f t="shared" si="567"/>
        <v>12</v>
      </c>
      <c r="H6600" s="10">
        <f t="shared" si="568"/>
        <v>2024</v>
      </c>
      <c r="I6600" s="8" t="s">
        <v>4</v>
      </c>
      <c r="J6600" s="7" t="s">
        <v>7254</v>
      </c>
      <c r="K6600" s="8" t="s">
        <v>422</v>
      </c>
      <c r="L6600" s="8" t="s">
        <v>423</v>
      </c>
      <c r="M6600" s="8" t="s">
        <v>119</v>
      </c>
      <c r="N6600" s="10" t="str">
        <f t="shared" si="573"/>
        <v>TON</v>
      </c>
      <c r="O6600" s="11">
        <v>12.022500000000001</v>
      </c>
    </row>
    <row r="6601" spans="2:15" x14ac:dyDescent="0.25">
      <c r="B6601" s="6" t="s">
        <v>1520</v>
      </c>
      <c r="C6601" s="7" t="s">
        <v>196</v>
      </c>
      <c r="D6601" s="8" t="s">
        <v>114</v>
      </c>
      <c r="E6601" s="8" t="s">
        <v>369</v>
      </c>
      <c r="F6601" s="9">
        <f t="shared" si="574"/>
        <v>45653</v>
      </c>
      <c r="G6601" s="10">
        <f t="shared" si="567"/>
        <v>12</v>
      </c>
      <c r="H6601" s="10">
        <f t="shared" si="568"/>
        <v>2024</v>
      </c>
      <c r="I6601" s="8" t="s">
        <v>4</v>
      </c>
      <c r="J6601" s="7" t="s">
        <v>7255</v>
      </c>
      <c r="K6601" s="8" t="s">
        <v>422</v>
      </c>
      <c r="L6601" s="8" t="s">
        <v>423</v>
      </c>
      <c r="M6601" s="8" t="s">
        <v>119</v>
      </c>
      <c r="N6601" s="10" t="str">
        <f t="shared" si="573"/>
        <v>TON</v>
      </c>
      <c r="O6601" s="11">
        <v>2.0074999999999998</v>
      </c>
    </row>
    <row r="6602" spans="2:15" x14ac:dyDescent="0.25">
      <c r="B6602" s="6" t="s">
        <v>1520</v>
      </c>
      <c r="C6602" s="7" t="s">
        <v>196</v>
      </c>
      <c r="D6602" s="8" t="s">
        <v>265</v>
      </c>
      <c r="E6602" s="8" t="s">
        <v>266</v>
      </c>
      <c r="F6602" s="9">
        <f t="shared" si="574"/>
        <v>45653</v>
      </c>
      <c r="G6602" s="10">
        <f t="shared" si="567"/>
        <v>12</v>
      </c>
      <c r="H6602" s="10">
        <f t="shared" si="568"/>
        <v>2024</v>
      </c>
      <c r="I6602" s="8" t="s">
        <v>4</v>
      </c>
      <c r="J6602" s="7" t="s">
        <v>7256</v>
      </c>
      <c r="K6602" s="8" t="s">
        <v>268</v>
      </c>
      <c r="L6602" s="8" t="s">
        <v>269</v>
      </c>
      <c r="M6602" s="8" t="s">
        <v>119</v>
      </c>
      <c r="N6602" s="10" t="str">
        <f t="shared" si="573"/>
        <v>TON</v>
      </c>
      <c r="O6602" s="11">
        <v>0.15</v>
      </c>
    </row>
    <row r="6603" spans="2:15" x14ac:dyDescent="0.25">
      <c r="B6603" s="6" t="s">
        <v>1520</v>
      </c>
      <c r="C6603" s="7" t="s">
        <v>196</v>
      </c>
      <c r="D6603" s="8" t="s">
        <v>1706</v>
      </c>
      <c r="E6603" s="8" t="s">
        <v>5019</v>
      </c>
      <c r="F6603" s="9">
        <f t="shared" si="574"/>
        <v>45653</v>
      </c>
      <c r="G6603" s="10">
        <f t="shared" si="567"/>
        <v>12</v>
      </c>
      <c r="H6603" s="10">
        <f t="shared" si="568"/>
        <v>2024</v>
      </c>
      <c r="I6603" s="8" t="s">
        <v>4</v>
      </c>
      <c r="J6603" s="7" t="s">
        <v>7257</v>
      </c>
      <c r="K6603" s="8" t="s">
        <v>200</v>
      </c>
      <c r="L6603" s="8" t="s">
        <v>201</v>
      </c>
      <c r="M6603" s="8" t="s">
        <v>202</v>
      </c>
      <c r="N6603" s="10" t="str">
        <f t="shared" si="573"/>
        <v>GAL</v>
      </c>
      <c r="O6603" s="11">
        <v>5</v>
      </c>
    </row>
    <row r="6604" spans="2:15" x14ac:dyDescent="0.25">
      <c r="B6604" s="6" t="s">
        <v>1520</v>
      </c>
      <c r="C6604" s="7" t="s">
        <v>196</v>
      </c>
      <c r="D6604" s="8" t="s">
        <v>1706</v>
      </c>
      <c r="E6604" s="8" t="s">
        <v>5019</v>
      </c>
      <c r="F6604" s="9">
        <f t="shared" si="574"/>
        <v>45653</v>
      </c>
      <c r="G6604" s="10">
        <f t="shared" si="567"/>
        <v>12</v>
      </c>
      <c r="H6604" s="10">
        <f t="shared" si="568"/>
        <v>2024</v>
      </c>
      <c r="I6604" s="8" t="s">
        <v>4</v>
      </c>
      <c r="J6604" s="7" t="s">
        <v>7258</v>
      </c>
      <c r="K6604" s="8" t="s">
        <v>205</v>
      </c>
      <c r="L6604" s="8" t="s">
        <v>206</v>
      </c>
      <c r="M6604" s="8" t="s">
        <v>119</v>
      </c>
      <c r="N6604" s="10" t="str">
        <f t="shared" si="573"/>
        <v>TON</v>
      </c>
      <c r="O6604" s="11">
        <v>1.25</v>
      </c>
    </row>
    <row r="6605" spans="2:15" x14ac:dyDescent="0.25">
      <c r="B6605" s="6" t="s">
        <v>1520</v>
      </c>
      <c r="C6605" s="7" t="s">
        <v>196</v>
      </c>
      <c r="D6605" s="8" t="s">
        <v>114</v>
      </c>
      <c r="E6605" s="8" t="s">
        <v>5054</v>
      </c>
      <c r="F6605" s="9">
        <f t="shared" si="574"/>
        <v>45653</v>
      </c>
      <c r="G6605" s="10">
        <f t="shared" si="567"/>
        <v>12</v>
      </c>
      <c r="H6605" s="10">
        <f t="shared" si="568"/>
        <v>2024</v>
      </c>
      <c r="I6605" s="8" t="s">
        <v>4</v>
      </c>
      <c r="J6605" s="7" t="s">
        <v>7259</v>
      </c>
      <c r="K6605" s="8" t="s">
        <v>422</v>
      </c>
      <c r="L6605" s="8" t="s">
        <v>423</v>
      </c>
      <c r="M6605" s="8" t="s">
        <v>119</v>
      </c>
      <c r="N6605" s="10" t="str">
        <f t="shared" si="573"/>
        <v>TON</v>
      </c>
      <c r="O6605" s="11">
        <v>10.0075</v>
      </c>
    </row>
    <row r="6606" spans="2:15" x14ac:dyDescent="0.25">
      <c r="B6606" s="6" t="s">
        <v>1520</v>
      </c>
      <c r="C6606" s="7" t="s">
        <v>196</v>
      </c>
      <c r="D6606" s="8" t="s">
        <v>317</v>
      </c>
      <c r="E6606" s="8" t="s">
        <v>319</v>
      </c>
      <c r="F6606" s="9">
        <f t="shared" si="574"/>
        <v>45653</v>
      </c>
      <c r="G6606" s="10">
        <f t="shared" si="567"/>
        <v>12</v>
      </c>
      <c r="H6606" s="10">
        <f t="shared" si="568"/>
        <v>2024</v>
      </c>
      <c r="I6606" s="8" t="s">
        <v>4</v>
      </c>
      <c r="J6606" s="7" t="s">
        <v>7260</v>
      </c>
      <c r="K6606" s="8" t="s">
        <v>422</v>
      </c>
      <c r="L6606" s="8" t="s">
        <v>423</v>
      </c>
      <c r="M6606" s="8" t="s">
        <v>119</v>
      </c>
      <c r="N6606" s="10" t="str">
        <f t="shared" si="573"/>
        <v>TON</v>
      </c>
      <c r="O6606" s="11">
        <v>5</v>
      </c>
    </row>
    <row r="6607" spans="2:15" x14ac:dyDescent="0.25">
      <c r="B6607" s="6" t="s">
        <v>1520</v>
      </c>
      <c r="C6607" s="7" t="s">
        <v>196</v>
      </c>
      <c r="D6607" s="8" t="s">
        <v>114</v>
      </c>
      <c r="E6607" s="8" t="s">
        <v>115</v>
      </c>
      <c r="F6607" s="9">
        <f t="shared" si="574"/>
        <v>45653</v>
      </c>
      <c r="G6607" s="10">
        <f t="shared" si="567"/>
        <v>12</v>
      </c>
      <c r="H6607" s="10">
        <f t="shared" si="568"/>
        <v>2024</v>
      </c>
      <c r="I6607" s="8" t="s">
        <v>4</v>
      </c>
      <c r="J6607" s="7" t="s">
        <v>7261</v>
      </c>
      <c r="K6607" s="8" t="s">
        <v>422</v>
      </c>
      <c r="L6607" s="8" t="s">
        <v>423</v>
      </c>
      <c r="M6607" s="8" t="s">
        <v>119</v>
      </c>
      <c r="N6607" s="10" t="str">
        <f t="shared" si="573"/>
        <v>TON</v>
      </c>
      <c r="O6607" s="11">
        <v>2.5049999999999999</v>
      </c>
    </row>
    <row r="6608" spans="2:15" x14ac:dyDescent="0.25">
      <c r="B6608" s="6" t="s">
        <v>1520</v>
      </c>
      <c r="C6608" s="7" t="s">
        <v>196</v>
      </c>
      <c r="D6608" s="8" t="s">
        <v>458</v>
      </c>
      <c r="E6608" s="8" t="s">
        <v>2868</v>
      </c>
      <c r="F6608" s="9">
        <f t="shared" si="574"/>
        <v>45653</v>
      </c>
      <c r="G6608" s="10">
        <f t="shared" si="567"/>
        <v>12</v>
      </c>
      <c r="H6608" s="10">
        <f t="shared" si="568"/>
        <v>2024</v>
      </c>
      <c r="I6608" s="8" t="s">
        <v>4</v>
      </c>
      <c r="J6608" s="7" t="s">
        <v>7262</v>
      </c>
      <c r="K6608" s="8" t="s">
        <v>117</v>
      </c>
      <c r="L6608" s="8" t="s">
        <v>118</v>
      </c>
      <c r="M6608" s="8" t="s">
        <v>119</v>
      </c>
      <c r="N6608" s="10" t="str">
        <f t="shared" si="573"/>
        <v>TON</v>
      </c>
      <c r="O6608" s="11">
        <v>10.015000000000001</v>
      </c>
    </row>
    <row r="6609" spans="2:15" x14ac:dyDescent="0.25">
      <c r="B6609" s="6" t="s">
        <v>1520</v>
      </c>
      <c r="C6609" s="7" t="s">
        <v>196</v>
      </c>
      <c r="D6609" s="8" t="s">
        <v>6236</v>
      </c>
      <c r="E6609" s="8" t="s">
        <v>7263</v>
      </c>
      <c r="F6609" s="9">
        <f t="shared" ref="F6609:F6616" si="575">DATE(2024,12,30)</f>
        <v>45656</v>
      </c>
      <c r="G6609" s="10">
        <f t="shared" si="567"/>
        <v>12</v>
      </c>
      <c r="H6609" s="10">
        <f t="shared" si="568"/>
        <v>2024</v>
      </c>
      <c r="I6609" s="8" t="s">
        <v>4</v>
      </c>
      <c r="J6609" s="7" t="s">
        <v>7264</v>
      </c>
      <c r="K6609" s="8" t="s">
        <v>6239</v>
      </c>
      <c r="L6609" s="8" t="s">
        <v>1493</v>
      </c>
      <c r="M6609" s="8" t="s">
        <v>202</v>
      </c>
      <c r="N6609" s="10" t="str">
        <f t="shared" si="573"/>
        <v>GAL</v>
      </c>
      <c r="O6609" s="11">
        <v>125</v>
      </c>
    </row>
    <row r="6610" spans="2:15" x14ac:dyDescent="0.25">
      <c r="B6610" s="6" t="s">
        <v>1520</v>
      </c>
      <c r="C6610" s="7" t="s">
        <v>196</v>
      </c>
      <c r="D6610" s="8" t="s">
        <v>215</v>
      </c>
      <c r="E6610" s="8" t="s">
        <v>2033</v>
      </c>
      <c r="F6610" s="9">
        <f t="shared" si="575"/>
        <v>45656</v>
      </c>
      <c r="G6610" s="10">
        <f t="shared" ref="G6610:G6673" si="576">+MONTH(F6610)</f>
        <v>12</v>
      </c>
      <c r="H6610" s="10">
        <f t="shared" ref="H6610:H6673" si="577">+YEAR(F6610)</f>
        <v>2024</v>
      </c>
      <c r="I6610" s="8" t="s">
        <v>4</v>
      </c>
      <c r="J6610" s="7" t="s">
        <v>7265</v>
      </c>
      <c r="K6610" s="8" t="s">
        <v>329</v>
      </c>
      <c r="L6610" s="8" t="s">
        <v>330</v>
      </c>
      <c r="M6610" s="8" t="s">
        <v>119</v>
      </c>
      <c r="N6610" s="10" t="str">
        <f t="shared" si="573"/>
        <v>TON</v>
      </c>
      <c r="O6610" s="11">
        <v>14.03</v>
      </c>
    </row>
    <row r="6611" spans="2:15" x14ac:dyDescent="0.25">
      <c r="B6611" s="6" t="s">
        <v>1520</v>
      </c>
      <c r="C6611" s="7" t="s">
        <v>196</v>
      </c>
      <c r="D6611" s="8" t="s">
        <v>3764</v>
      </c>
      <c r="E6611" s="8" t="s">
        <v>6925</v>
      </c>
      <c r="F6611" s="9">
        <f t="shared" si="575"/>
        <v>45656</v>
      </c>
      <c r="G6611" s="10">
        <f t="shared" si="576"/>
        <v>12</v>
      </c>
      <c r="H6611" s="10">
        <f t="shared" si="577"/>
        <v>2024</v>
      </c>
      <c r="I6611" s="8" t="s">
        <v>4</v>
      </c>
      <c r="J6611" s="7" t="s">
        <v>7266</v>
      </c>
      <c r="K6611" s="8" t="s">
        <v>447</v>
      </c>
      <c r="L6611" s="8" t="s">
        <v>448</v>
      </c>
      <c r="M6611" s="8" t="s">
        <v>119</v>
      </c>
      <c r="N6611" s="10" t="str">
        <f t="shared" si="573"/>
        <v>TON</v>
      </c>
      <c r="O6611" s="11">
        <v>1.2575000000000001</v>
      </c>
    </row>
    <row r="6612" spans="2:15" x14ac:dyDescent="0.25">
      <c r="B6612" s="6" t="s">
        <v>1520</v>
      </c>
      <c r="C6612" s="7" t="s">
        <v>196</v>
      </c>
      <c r="D6612" s="8" t="s">
        <v>452</v>
      </c>
      <c r="E6612" s="8" t="s">
        <v>453</v>
      </c>
      <c r="F6612" s="9">
        <f t="shared" si="575"/>
        <v>45656</v>
      </c>
      <c r="G6612" s="10">
        <f t="shared" si="576"/>
        <v>12</v>
      </c>
      <c r="H6612" s="10">
        <f t="shared" si="577"/>
        <v>2024</v>
      </c>
      <c r="I6612" s="8" t="s">
        <v>4</v>
      </c>
      <c r="J6612" s="7" t="s">
        <v>7267</v>
      </c>
      <c r="K6612" s="8" t="s">
        <v>447</v>
      </c>
      <c r="L6612" s="8" t="s">
        <v>448</v>
      </c>
      <c r="M6612" s="8" t="s">
        <v>119</v>
      </c>
      <c r="N6612" s="10" t="str">
        <f t="shared" si="573"/>
        <v>TON</v>
      </c>
      <c r="O6612" s="11">
        <v>8.5124999999999993</v>
      </c>
    </row>
    <row r="6613" spans="2:15" x14ac:dyDescent="0.25">
      <c r="B6613" s="6" t="s">
        <v>1520</v>
      </c>
      <c r="C6613" s="7" t="s">
        <v>196</v>
      </c>
      <c r="D6613" s="8" t="s">
        <v>276</v>
      </c>
      <c r="E6613" s="8" t="s">
        <v>682</v>
      </c>
      <c r="F6613" s="9">
        <f t="shared" si="575"/>
        <v>45656</v>
      </c>
      <c r="G6613" s="10">
        <f t="shared" si="576"/>
        <v>12</v>
      </c>
      <c r="H6613" s="10">
        <f t="shared" si="577"/>
        <v>2024</v>
      </c>
      <c r="I6613" s="8" t="s">
        <v>4</v>
      </c>
      <c r="J6613" s="7" t="s">
        <v>7268</v>
      </c>
      <c r="K6613" s="8" t="s">
        <v>307</v>
      </c>
      <c r="L6613" s="8" t="s">
        <v>308</v>
      </c>
      <c r="M6613" s="8" t="s">
        <v>119</v>
      </c>
      <c r="N6613" s="10" t="str">
        <f t="shared" si="573"/>
        <v>TON</v>
      </c>
      <c r="O6613" s="11">
        <v>5.0049999999999999</v>
      </c>
    </row>
    <row r="6614" spans="2:15" x14ac:dyDescent="0.25">
      <c r="B6614" s="6" t="s">
        <v>1520</v>
      </c>
      <c r="C6614" s="7" t="s">
        <v>196</v>
      </c>
      <c r="D6614" s="8" t="s">
        <v>276</v>
      </c>
      <c r="E6614" s="8" t="s">
        <v>682</v>
      </c>
      <c r="F6614" s="9">
        <f t="shared" si="575"/>
        <v>45656</v>
      </c>
      <c r="G6614" s="10">
        <f t="shared" si="576"/>
        <v>12</v>
      </c>
      <c r="H6614" s="10">
        <f t="shared" si="577"/>
        <v>2024</v>
      </c>
      <c r="I6614" s="8" t="s">
        <v>4</v>
      </c>
      <c r="J6614" s="7" t="s">
        <v>7269</v>
      </c>
      <c r="K6614" s="8" t="s">
        <v>329</v>
      </c>
      <c r="L6614" s="8" t="s">
        <v>330</v>
      </c>
      <c r="M6614" s="8" t="s">
        <v>119</v>
      </c>
      <c r="N6614" s="10" t="str">
        <f t="shared" si="573"/>
        <v>TON</v>
      </c>
      <c r="O6614" s="11">
        <v>10.015000000000001</v>
      </c>
    </row>
    <row r="6615" spans="2:15" x14ac:dyDescent="0.25">
      <c r="B6615" s="6" t="s">
        <v>1520</v>
      </c>
      <c r="C6615" s="7" t="s">
        <v>196</v>
      </c>
      <c r="D6615" s="8" t="s">
        <v>374</v>
      </c>
      <c r="E6615" s="8" t="s">
        <v>710</v>
      </c>
      <c r="F6615" s="9">
        <f t="shared" si="575"/>
        <v>45656</v>
      </c>
      <c r="G6615" s="10">
        <f t="shared" si="576"/>
        <v>12</v>
      </c>
      <c r="H6615" s="10">
        <f t="shared" si="577"/>
        <v>2024</v>
      </c>
      <c r="I6615" s="8" t="s">
        <v>4</v>
      </c>
      <c r="J6615" s="7" t="s">
        <v>7270</v>
      </c>
      <c r="K6615" s="8" t="s">
        <v>329</v>
      </c>
      <c r="L6615" s="8" t="s">
        <v>330</v>
      </c>
      <c r="M6615" s="8" t="s">
        <v>119</v>
      </c>
      <c r="N6615" s="10" t="str">
        <f t="shared" si="573"/>
        <v>TON</v>
      </c>
      <c r="O6615" s="11">
        <v>15.032500000000001</v>
      </c>
    </row>
    <row r="6616" spans="2:15" x14ac:dyDescent="0.25">
      <c r="B6616" s="6" t="s">
        <v>1520</v>
      </c>
      <c r="C6616" s="7" t="s">
        <v>196</v>
      </c>
      <c r="D6616" s="8" t="s">
        <v>1276</v>
      </c>
      <c r="E6616" s="8" t="s">
        <v>791</v>
      </c>
      <c r="F6616" s="9">
        <f t="shared" si="575"/>
        <v>45656</v>
      </c>
      <c r="G6616" s="10">
        <f t="shared" si="576"/>
        <v>12</v>
      </c>
      <c r="H6616" s="10">
        <f t="shared" si="577"/>
        <v>2024</v>
      </c>
      <c r="I6616" s="8" t="s">
        <v>4</v>
      </c>
      <c r="J6616" s="7" t="s">
        <v>7271</v>
      </c>
      <c r="K6616" s="8" t="s">
        <v>117</v>
      </c>
      <c r="L6616" s="8" t="s">
        <v>118</v>
      </c>
      <c r="M6616" s="8" t="s">
        <v>119</v>
      </c>
      <c r="N6616" s="10" t="str">
        <f t="shared" si="573"/>
        <v>TON</v>
      </c>
      <c r="O6616" s="11">
        <v>5.0075000000000003</v>
      </c>
    </row>
    <row r="6617" spans="2:15" x14ac:dyDescent="0.25">
      <c r="B6617" s="1" t="s">
        <v>1520</v>
      </c>
      <c r="C6617" s="2" t="s">
        <v>196</v>
      </c>
      <c r="D6617" s="2" t="s">
        <v>449</v>
      </c>
      <c r="E6617" s="2" t="s">
        <v>450</v>
      </c>
      <c r="F6617" s="3">
        <f>DATE(2024,12,31)</f>
        <v>45657</v>
      </c>
      <c r="G6617" s="10">
        <f t="shared" si="576"/>
        <v>12</v>
      </c>
      <c r="H6617" s="10">
        <f t="shared" si="577"/>
        <v>2024</v>
      </c>
      <c r="I6617" s="8" t="s">
        <v>4</v>
      </c>
      <c r="J6617" s="7" t="s">
        <v>7272</v>
      </c>
      <c r="K6617" s="8" t="s">
        <v>122</v>
      </c>
      <c r="L6617" s="8" t="s">
        <v>123</v>
      </c>
      <c r="M6617" s="8" t="s">
        <v>119</v>
      </c>
      <c r="N6617" s="10" t="str">
        <f t="shared" si="573"/>
        <v>TON</v>
      </c>
      <c r="O6617" s="11">
        <v>7.0025000000000004</v>
      </c>
    </row>
    <row r="6618" spans="2:15" x14ac:dyDescent="0.25">
      <c r="B6618" s="1" t="s">
        <v>1520</v>
      </c>
      <c r="C6618" s="2" t="s">
        <v>196</v>
      </c>
      <c r="D6618" s="2" t="s">
        <v>452</v>
      </c>
      <c r="E6618" s="2" t="s">
        <v>7109</v>
      </c>
      <c r="F6618" s="3">
        <f>DATE(2024,12,31)</f>
        <v>45657</v>
      </c>
      <c r="G6618" s="10">
        <f t="shared" si="576"/>
        <v>12</v>
      </c>
      <c r="H6618" s="10">
        <f t="shared" si="577"/>
        <v>2024</v>
      </c>
      <c r="I6618" s="8" t="s">
        <v>4</v>
      </c>
      <c r="J6618" s="7" t="s">
        <v>7273</v>
      </c>
      <c r="K6618" s="8" t="s">
        <v>205</v>
      </c>
      <c r="L6618" s="8" t="s">
        <v>206</v>
      </c>
      <c r="M6618" s="8" t="s">
        <v>119</v>
      </c>
      <c r="N6618" s="10" t="str">
        <f t="shared" si="573"/>
        <v>TON</v>
      </c>
      <c r="O6618" s="11">
        <v>2.5125000000000002</v>
      </c>
    </row>
    <row r="6619" spans="2:15" x14ac:dyDescent="0.25">
      <c r="B6619" s="1" t="s">
        <v>1520</v>
      </c>
      <c r="C6619" s="2" t="s">
        <v>196</v>
      </c>
      <c r="D6619" s="2" t="s">
        <v>331</v>
      </c>
      <c r="E6619" s="2" t="s">
        <v>332</v>
      </c>
      <c r="F6619" s="3">
        <f>DATE(2024,12,31)</f>
        <v>45657</v>
      </c>
      <c r="G6619" s="10">
        <f t="shared" si="576"/>
        <v>12</v>
      </c>
      <c r="H6619" s="10">
        <f t="shared" si="577"/>
        <v>2024</v>
      </c>
      <c r="I6619" s="8" t="s">
        <v>4</v>
      </c>
      <c r="J6619" s="7" t="s">
        <v>7274</v>
      </c>
      <c r="K6619" s="8" t="s">
        <v>329</v>
      </c>
      <c r="L6619" s="8" t="s">
        <v>330</v>
      </c>
      <c r="M6619" s="8" t="s">
        <v>119</v>
      </c>
      <c r="N6619" s="10" t="str">
        <f t="shared" si="573"/>
        <v>TON</v>
      </c>
      <c r="O6619" s="11">
        <v>10.0075</v>
      </c>
    </row>
    <row r="6620" spans="2:15" x14ac:dyDescent="0.25">
      <c r="B6620" s="1" t="s">
        <v>1520</v>
      </c>
      <c r="C6620" s="2" t="s">
        <v>196</v>
      </c>
      <c r="D6620" s="2" t="s">
        <v>321</v>
      </c>
      <c r="E6620" s="2" t="s">
        <v>697</v>
      </c>
      <c r="F6620" s="3">
        <f>DATE(2024,12,31)</f>
        <v>45657</v>
      </c>
      <c r="G6620" s="10">
        <f t="shared" si="576"/>
        <v>12</v>
      </c>
      <c r="H6620" s="10">
        <f t="shared" si="577"/>
        <v>2024</v>
      </c>
      <c r="I6620" s="8" t="s">
        <v>4</v>
      </c>
      <c r="J6620" s="7" t="s">
        <v>7275</v>
      </c>
      <c r="K6620" s="8" t="s">
        <v>394</v>
      </c>
      <c r="L6620" s="8" t="s">
        <v>395</v>
      </c>
      <c r="M6620" s="8" t="s">
        <v>119</v>
      </c>
      <c r="N6620" s="10" t="str">
        <f t="shared" si="573"/>
        <v>TON</v>
      </c>
      <c r="O6620" s="11">
        <v>10.012499999999999</v>
      </c>
    </row>
    <row r="6621" spans="2:15" x14ac:dyDescent="0.25">
      <c r="B6621" s="6" t="s">
        <v>382</v>
      </c>
      <c r="C6621" s="7" t="s">
        <v>506</v>
      </c>
      <c r="D6621" s="8" t="s">
        <v>1006</v>
      </c>
      <c r="E6621" s="8" t="s">
        <v>1007</v>
      </c>
      <c r="F6621" s="9">
        <f>DATE(2024,12,12)</f>
        <v>45638</v>
      </c>
      <c r="G6621" s="10">
        <f t="shared" si="576"/>
        <v>12</v>
      </c>
      <c r="H6621" s="10">
        <f t="shared" si="577"/>
        <v>2024</v>
      </c>
      <c r="I6621" s="8" t="s">
        <v>4</v>
      </c>
      <c r="J6621" s="7" t="s">
        <v>7276</v>
      </c>
      <c r="K6621" s="8" t="s">
        <v>1009</v>
      </c>
      <c r="L6621" s="8" t="s">
        <v>1010</v>
      </c>
      <c r="M6621" s="8" t="s">
        <v>13</v>
      </c>
      <c r="N6621" s="10" t="str">
        <f t="shared" si="573"/>
        <v>GAL</v>
      </c>
      <c r="O6621" s="11">
        <v>180</v>
      </c>
    </row>
    <row r="6622" spans="2:15" x14ac:dyDescent="0.25">
      <c r="B6622" s="6" t="s">
        <v>382</v>
      </c>
      <c r="C6622" s="7" t="s">
        <v>506</v>
      </c>
      <c r="D6622" s="8" t="s">
        <v>515</v>
      </c>
      <c r="E6622" s="8" t="s">
        <v>516</v>
      </c>
      <c r="F6622" s="9">
        <f>DATE(2024,12,20)</f>
        <v>45646</v>
      </c>
      <c r="G6622" s="10">
        <f t="shared" si="576"/>
        <v>12</v>
      </c>
      <c r="H6622" s="10">
        <f t="shared" si="577"/>
        <v>2024</v>
      </c>
      <c r="I6622" s="8" t="s">
        <v>4</v>
      </c>
      <c r="J6622" s="7" t="s">
        <v>7277</v>
      </c>
      <c r="K6622" s="8" t="s">
        <v>642</v>
      </c>
      <c r="L6622" s="8" t="s">
        <v>111</v>
      </c>
      <c r="M6622" s="8" t="s">
        <v>112</v>
      </c>
      <c r="N6622" s="10" t="str">
        <f t="shared" si="573"/>
        <v>GAL</v>
      </c>
      <c r="O6622" s="11">
        <v>120</v>
      </c>
    </row>
    <row r="6623" spans="2:15" x14ac:dyDescent="0.25">
      <c r="B6623" s="6" t="s">
        <v>382</v>
      </c>
      <c r="C6623" s="7" t="s">
        <v>506</v>
      </c>
      <c r="D6623" s="8" t="s">
        <v>515</v>
      </c>
      <c r="E6623" s="8" t="s">
        <v>516</v>
      </c>
      <c r="F6623" s="9">
        <f>DATE(2024,12,20)</f>
        <v>45646</v>
      </c>
      <c r="G6623" s="10">
        <f t="shared" si="576"/>
        <v>12</v>
      </c>
      <c r="H6623" s="10">
        <f t="shared" si="577"/>
        <v>2024</v>
      </c>
      <c r="I6623" s="8" t="s">
        <v>4</v>
      </c>
      <c r="J6623" s="7" t="s">
        <v>7277</v>
      </c>
      <c r="K6623" s="8" t="s">
        <v>609</v>
      </c>
      <c r="L6623" s="8" t="s">
        <v>610</v>
      </c>
      <c r="M6623" s="8" t="s">
        <v>611</v>
      </c>
      <c r="N6623" s="10" t="str">
        <f t="shared" si="573"/>
        <v>GAL</v>
      </c>
      <c r="O6623" s="11">
        <v>180</v>
      </c>
    </row>
    <row r="6624" spans="2:15" x14ac:dyDescent="0.25">
      <c r="B6624" s="6" t="s">
        <v>382</v>
      </c>
      <c r="C6624" s="7" t="s">
        <v>506</v>
      </c>
      <c r="D6624" s="8" t="s">
        <v>515</v>
      </c>
      <c r="E6624" s="8" t="s">
        <v>516</v>
      </c>
      <c r="F6624" s="9">
        <f>DATE(2024,12,20)</f>
        <v>45646</v>
      </c>
      <c r="G6624" s="10">
        <f t="shared" si="576"/>
        <v>12</v>
      </c>
      <c r="H6624" s="10">
        <f t="shared" si="577"/>
        <v>2024</v>
      </c>
      <c r="I6624" s="8" t="s">
        <v>4</v>
      </c>
      <c r="J6624" s="7" t="s">
        <v>7277</v>
      </c>
      <c r="K6624" s="8" t="s">
        <v>1085</v>
      </c>
      <c r="L6624" s="8" t="s">
        <v>999</v>
      </c>
      <c r="M6624" s="8" t="s">
        <v>1000</v>
      </c>
      <c r="N6624" s="10" t="str">
        <f t="shared" si="573"/>
        <v>GAL</v>
      </c>
      <c r="O6624" s="11">
        <v>30</v>
      </c>
    </row>
    <row r="6625" spans="2:15" x14ac:dyDescent="0.25">
      <c r="B6625" s="6" t="s">
        <v>382</v>
      </c>
      <c r="C6625" s="7" t="s">
        <v>506</v>
      </c>
      <c r="D6625" s="8" t="s">
        <v>1006</v>
      </c>
      <c r="E6625" s="8" t="s">
        <v>1007</v>
      </c>
      <c r="F6625" s="9">
        <f>DATE(2024,12,26)</f>
        <v>45652</v>
      </c>
      <c r="G6625" s="10">
        <f t="shared" si="576"/>
        <v>12</v>
      </c>
      <c r="H6625" s="10">
        <f t="shared" si="577"/>
        <v>2024</v>
      </c>
      <c r="I6625" s="8" t="s">
        <v>4</v>
      </c>
      <c r="J6625" s="7" t="s">
        <v>7278</v>
      </c>
      <c r="K6625" s="8" t="s">
        <v>25</v>
      </c>
      <c r="L6625" s="8" t="s">
        <v>541</v>
      </c>
      <c r="M6625" s="8" t="s">
        <v>27</v>
      </c>
      <c r="N6625" s="10" t="str">
        <f t="shared" si="573"/>
        <v>GAL</v>
      </c>
      <c r="O6625" s="11">
        <v>180</v>
      </c>
    </row>
    <row r="6626" spans="2:15" x14ac:dyDescent="0.25">
      <c r="B6626" s="6" t="s">
        <v>382</v>
      </c>
      <c r="C6626" s="7" t="s">
        <v>506</v>
      </c>
      <c r="D6626" s="8" t="s">
        <v>1006</v>
      </c>
      <c r="E6626" s="8" t="s">
        <v>1007</v>
      </c>
      <c r="F6626" s="9">
        <f>DATE(2024,12,26)</f>
        <v>45652</v>
      </c>
      <c r="G6626" s="10">
        <f t="shared" si="576"/>
        <v>12</v>
      </c>
      <c r="H6626" s="10">
        <f t="shared" si="577"/>
        <v>2024</v>
      </c>
      <c r="I6626" s="8" t="s">
        <v>4</v>
      </c>
      <c r="J6626" s="7" t="s">
        <v>7279</v>
      </c>
      <c r="K6626" s="8" t="s">
        <v>642</v>
      </c>
      <c r="L6626" s="8" t="s">
        <v>111</v>
      </c>
      <c r="M6626" s="8" t="s">
        <v>112</v>
      </c>
      <c r="N6626" s="10" t="str">
        <f t="shared" si="573"/>
        <v>GAL</v>
      </c>
      <c r="O6626" s="11">
        <v>360</v>
      </c>
    </row>
    <row r="6627" spans="2:15" x14ac:dyDescent="0.25">
      <c r="B6627" s="6" t="s">
        <v>645</v>
      </c>
      <c r="C6627" s="7" t="s">
        <v>1025</v>
      </c>
      <c r="D6627" s="8" t="s">
        <v>1401</v>
      </c>
      <c r="E6627" s="8" t="s">
        <v>1402</v>
      </c>
      <c r="F6627" s="9">
        <f>DATE(2024,12,2)</f>
        <v>45628</v>
      </c>
      <c r="G6627" s="10">
        <f t="shared" si="576"/>
        <v>12</v>
      </c>
      <c r="H6627" s="10">
        <f t="shared" si="577"/>
        <v>2024</v>
      </c>
      <c r="I6627" s="8" t="s">
        <v>4</v>
      </c>
      <c r="J6627" s="7" t="s">
        <v>7280</v>
      </c>
      <c r="K6627" s="8" t="s">
        <v>4772</v>
      </c>
      <c r="L6627" s="8" t="s">
        <v>4773</v>
      </c>
      <c r="M6627" s="8" t="s">
        <v>4774</v>
      </c>
      <c r="N6627" s="10" t="str">
        <f t="shared" si="573"/>
        <v>GAL</v>
      </c>
      <c r="O6627" s="11">
        <v>360</v>
      </c>
    </row>
    <row r="6628" spans="2:15" x14ac:dyDescent="0.25">
      <c r="B6628" s="6" t="s">
        <v>645</v>
      </c>
      <c r="C6628" s="7" t="s">
        <v>1025</v>
      </c>
      <c r="D6628" s="8" t="s">
        <v>1401</v>
      </c>
      <c r="E6628" s="8" t="s">
        <v>1402</v>
      </c>
      <c r="F6628" s="9">
        <f>DATE(2024,12,11)</f>
        <v>45637</v>
      </c>
      <c r="G6628" s="10">
        <f t="shared" si="576"/>
        <v>12</v>
      </c>
      <c r="H6628" s="10">
        <f t="shared" si="577"/>
        <v>2024</v>
      </c>
      <c r="I6628" s="8" t="s">
        <v>4</v>
      </c>
      <c r="J6628" s="7" t="s">
        <v>7281</v>
      </c>
      <c r="K6628" s="8" t="s">
        <v>642</v>
      </c>
      <c r="L6628" s="8" t="s">
        <v>111</v>
      </c>
      <c r="M6628" s="8" t="s">
        <v>112</v>
      </c>
      <c r="N6628" s="10" t="str">
        <f t="shared" si="573"/>
        <v>GAL</v>
      </c>
      <c r="O6628" s="11">
        <v>180</v>
      </c>
    </row>
    <row r="6629" spans="2:15" x14ac:dyDescent="0.25">
      <c r="B6629" s="6" t="s">
        <v>645</v>
      </c>
      <c r="C6629" s="7" t="s">
        <v>1025</v>
      </c>
      <c r="D6629" s="8" t="s">
        <v>1401</v>
      </c>
      <c r="E6629" s="8" t="s">
        <v>1402</v>
      </c>
      <c r="F6629" s="9">
        <f>DATE(2024,12,11)</f>
        <v>45637</v>
      </c>
      <c r="G6629" s="10">
        <f t="shared" si="576"/>
        <v>12</v>
      </c>
      <c r="H6629" s="10">
        <f t="shared" si="577"/>
        <v>2024</v>
      </c>
      <c r="I6629" s="8" t="s">
        <v>4</v>
      </c>
      <c r="J6629" s="7" t="s">
        <v>7281</v>
      </c>
      <c r="K6629" s="8" t="s">
        <v>5392</v>
      </c>
      <c r="L6629" s="8" t="s">
        <v>5393</v>
      </c>
      <c r="M6629" s="8" t="s">
        <v>2168</v>
      </c>
      <c r="N6629" s="10" t="str">
        <f t="shared" si="573"/>
        <v>GAL</v>
      </c>
      <c r="O6629" s="11">
        <v>180</v>
      </c>
    </row>
    <row r="6630" spans="2:15" x14ac:dyDescent="0.25">
      <c r="B6630" s="6" t="s">
        <v>645</v>
      </c>
      <c r="C6630" s="7" t="s">
        <v>1025</v>
      </c>
      <c r="D6630" s="8" t="s">
        <v>1401</v>
      </c>
      <c r="E6630" s="8" t="s">
        <v>1402</v>
      </c>
      <c r="F6630" s="9">
        <f>DATE(2024,12,11)</f>
        <v>45637</v>
      </c>
      <c r="G6630" s="10">
        <f t="shared" si="576"/>
        <v>12</v>
      </c>
      <c r="H6630" s="10">
        <f t="shared" si="577"/>
        <v>2024</v>
      </c>
      <c r="I6630" s="8" t="s">
        <v>4</v>
      </c>
      <c r="J6630" s="7" t="s">
        <v>7281</v>
      </c>
      <c r="K6630" s="8" t="s">
        <v>244</v>
      </c>
      <c r="L6630" s="8" t="s">
        <v>182</v>
      </c>
      <c r="M6630" s="8" t="s">
        <v>183</v>
      </c>
      <c r="N6630" s="10" t="str">
        <f t="shared" si="573"/>
        <v>GAL</v>
      </c>
      <c r="O6630" s="11">
        <v>20</v>
      </c>
    </row>
    <row r="6631" spans="2:15" x14ac:dyDescent="0.25">
      <c r="B6631" s="6" t="s">
        <v>645</v>
      </c>
      <c r="C6631" s="7" t="s">
        <v>1025</v>
      </c>
      <c r="D6631" s="8" t="s">
        <v>2079</v>
      </c>
      <c r="E6631" s="8" t="s">
        <v>1402</v>
      </c>
      <c r="F6631" s="9">
        <f>DATE(2024,12,20)</f>
        <v>45646</v>
      </c>
      <c r="G6631" s="10">
        <f t="shared" si="576"/>
        <v>12</v>
      </c>
      <c r="H6631" s="10">
        <f t="shared" si="577"/>
        <v>2024</v>
      </c>
      <c r="I6631" s="8" t="s">
        <v>4</v>
      </c>
      <c r="J6631" s="7" t="s">
        <v>7282</v>
      </c>
      <c r="K6631" s="8" t="s">
        <v>6193</v>
      </c>
      <c r="L6631" s="8" t="s">
        <v>6194</v>
      </c>
      <c r="M6631" s="8" t="s">
        <v>106</v>
      </c>
      <c r="N6631" s="10" t="str">
        <f t="shared" si="573"/>
        <v>LBS</v>
      </c>
      <c r="O6631" s="11">
        <v>500</v>
      </c>
    </row>
    <row r="6632" spans="2:15" x14ac:dyDescent="0.25">
      <c r="B6632" s="6" t="s">
        <v>1742</v>
      </c>
      <c r="C6632" s="7" t="s">
        <v>1025</v>
      </c>
      <c r="D6632" s="8" t="s">
        <v>628</v>
      </c>
      <c r="E6632" s="8" t="s">
        <v>4628</v>
      </c>
      <c r="F6632" s="9">
        <f>DATE(2024,12,23)</f>
        <v>45649</v>
      </c>
      <c r="G6632" s="10">
        <f t="shared" si="576"/>
        <v>12</v>
      </c>
      <c r="H6632" s="10">
        <f t="shared" si="577"/>
        <v>2024</v>
      </c>
      <c r="I6632" s="8" t="s">
        <v>4</v>
      </c>
      <c r="J6632" s="7" t="s">
        <v>7283</v>
      </c>
      <c r="K6632" s="8" t="s">
        <v>471</v>
      </c>
      <c r="L6632" s="8" t="s">
        <v>472</v>
      </c>
      <c r="M6632" s="8" t="s">
        <v>473</v>
      </c>
      <c r="N6632" s="10" t="str">
        <f t="shared" si="573"/>
        <v>GAL</v>
      </c>
      <c r="O6632" s="11">
        <v>250</v>
      </c>
    </row>
    <row r="6633" spans="2:15" x14ac:dyDescent="0.25">
      <c r="B6633" s="6" t="s">
        <v>1410</v>
      </c>
      <c r="C6633" s="7" t="s">
        <v>525</v>
      </c>
      <c r="D6633" s="8" t="s">
        <v>628</v>
      </c>
      <c r="E6633" s="8" t="s">
        <v>1036</v>
      </c>
      <c r="F6633" s="9">
        <f>DATE(2024,12,4)</f>
        <v>45630</v>
      </c>
      <c r="G6633" s="10">
        <f t="shared" si="576"/>
        <v>12</v>
      </c>
      <c r="H6633" s="10">
        <f t="shared" si="577"/>
        <v>2024</v>
      </c>
      <c r="I6633" s="8" t="s">
        <v>4</v>
      </c>
      <c r="J6633" s="7" t="s">
        <v>7284</v>
      </c>
      <c r="K6633" s="8" t="s">
        <v>531</v>
      </c>
      <c r="L6633" s="8" t="s">
        <v>201</v>
      </c>
      <c r="M6633" s="8" t="s">
        <v>202</v>
      </c>
      <c r="N6633" s="10" t="str">
        <f t="shared" si="573"/>
        <v>GAL</v>
      </c>
      <c r="O6633" s="11">
        <v>450</v>
      </c>
    </row>
    <row r="6634" spans="2:15" x14ac:dyDescent="0.25">
      <c r="B6634" s="6" t="s">
        <v>1410</v>
      </c>
      <c r="C6634" s="7" t="s">
        <v>525</v>
      </c>
      <c r="D6634" s="8" t="s">
        <v>646</v>
      </c>
      <c r="E6634" s="8" t="s">
        <v>647</v>
      </c>
      <c r="F6634" s="9">
        <f>DATE(2024,12,5)</f>
        <v>45631</v>
      </c>
      <c r="G6634" s="10">
        <f t="shared" si="576"/>
        <v>12</v>
      </c>
      <c r="H6634" s="10">
        <f t="shared" si="577"/>
        <v>2024</v>
      </c>
      <c r="I6634" s="8" t="s">
        <v>4</v>
      </c>
      <c r="J6634" s="7" t="s">
        <v>7285</v>
      </c>
      <c r="K6634" s="8" t="s">
        <v>649</v>
      </c>
      <c r="L6634" s="8" t="s">
        <v>538</v>
      </c>
      <c r="M6634" s="8" t="s">
        <v>4243</v>
      </c>
      <c r="N6634" s="10" t="str">
        <f t="shared" si="573"/>
        <v>GAL</v>
      </c>
      <c r="O6634" s="11">
        <v>1250</v>
      </c>
    </row>
    <row r="6635" spans="2:15" x14ac:dyDescent="0.25">
      <c r="B6635" s="6" t="s">
        <v>1410</v>
      </c>
      <c r="C6635" s="7" t="s">
        <v>525</v>
      </c>
      <c r="D6635" s="8" t="s">
        <v>507</v>
      </c>
      <c r="E6635" s="8" t="s">
        <v>508</v>
      </c>
      <c r="F6635" s="9">
        <f>DATE(2024,12,11)</f>
        <v>45637</v>
      </c>
      <c r="G6635" s="10">
        <f t="shared" si="576"/>
        <v>12</v>
      </c>
      <c r="H6635" s="10">
        <f t="shared" si="577"/>
        <v>2024</v>
      </c>
      <c r="I6635" s="8" t="s">
        <v>4</v>
      </c>
      <c r="J6635" s="7" t="s">
        <v>7286</v>
      </c>
      <c r="K6635" s="8" t="s">
        <v>200</v>
      </c>
      <c r="L6635" s="8" t="s">
        <v>201</v>
      </c>
      <c r="M6635" s="8" t="s">
        <v>202</v>
      </c>
      <c r="N6635" s="10" t="str">
        <f t="shared" si="573"/>
        <v>GAL</v>
      </c>
      <c r="O6635" s="11">
        <v>30</v>
      </c>
    </row>
    <row r="6636" spans="2:15" x14ac:dyDescent="0.25">
      <c r="B6636" s="6" t="s">
        <v>1410</v>
      </c>
      <c r="C6636" s="7" t="s">
        <v>525</v>
      </c>
      <c r="D6636" s="8" t="s">
        <v>507</v>
      </c>
      <c r="E6636" s="8" t="s">
        <v>508</v>
      </c>
      <c r="F6636" s="9">
        <f>DATE(2024,12,11)</f>
        <v>45637</v>
      </c>
      <c r="G6636" s="10">
        <f t="shared" si="576"/>
        <v>12</v>
      </c>
      <c r="H6636" s="10">
        <f t="shared" si="577"/>
        <v>2024</v>
      </c>
      <c r="I6636" s="8" t="s">
        <v>4</v>
      </c>
      <c r="J6636" s="7" t="s">
        <v>7286</v>
      </c>
      <c r="K6636" s="8" t="s">
        <v>220</v>
      </c>
      <c r="L6636" s="8" t="s">
        <v>201</v>
      </c>
      <c r="M6636" s="8" t="s">
        <v>202</v>
      </c>
      <c r="N6636" s="10" t="str">
        <f t="shared" si="573"/>
        <v>GAL</v>
      </c>
      <c r="O6636" s="11">
        <v>250</v>
      </c>
    </row>
    <row r="6637" spans="2:15" x14ac:dyDescent="0.25">
      <c r="B6637" s="6" t="s">
        <v>1410</v>
      </c>
      <c r="C6637" s="7" t="s">
        <v>525</v>
      </c>
      <c r="D6637" s="8" t="s">
        <v>628</v>
      </c>
      <c r="E6637" s="8" t="s">
        <v>1036</v>
      </c>
      <c r="F6637" s="9">
        <f>DATE(2024,12,12)</f>
        <v>45638</v>
      </c>
      <c r="G6637" s="10">
        <f t="shared" si="576"/>
        <v>12</v>
      </c>
      <c r="H6637" s="10">
        <f t="shared" si="577"/>
        <v>2024</v>
      </c>
      <c r="I6637" s="8" t="s">
        <v>4</v>
      </c>
      <c r="J6637" s="7" t="s">
        <v>7287</v>
      </c>
      <c r="K6637" s="8" t="s">
        <v>158</v>
      </c>
      <c r="L6637" s="8" t="s">
        <v>159</v>
      </c>
      <c r="M6637" s="8" t="s">
        <v>160</v>
      </c>
      <c r="N6637" s="10" t="str">
        <f t="shared" si="573"/>
        <v>GAL</v>
      </c>
      <c r="O6637" s="11">
        <v>360</v>
      </c>
    </row>
    <row r="6638" spans="2:15" x14ac:dyDescent="0.25">
      <c r="B6638" s="6" t="s">
        <v>1410</v>
      </c>
      <c r="C6638" s="7" t="s">
        <v>525</v>
      </c>
      <c r="D6638" s="8" t="s">
        <v>628</v>
      </c>
      <c r="E6638" s="8" t="s">
        <v>1036</v>
      </c>
      <c r="F6638" s="9">
        <f>DATE(2024,12,12)</f>
        <v>45638</v>
      </c>
      <c r="G6638" s="10">
        <f t="shared" si="576"/>
        <v>12</v>
      </c>
      <c r="H6638" s="10">
        <f t="shared" si="577"/>
        <v>2024</v>
      </c>
      <c r="I6638" s="8" t="s">
        <v>4</v>
      </c>
      <c r="J6638" s="7" t="s">
        <v>7287</v>
      </c>
      <c r="K6638" s="8" t="s">
        <v>531</v>
      </c>
      <c r="L6638" s="8" t="s">
        <v>201</v>
      </c>
      <c r="M6638" s="8" t="s">
        <v>202</v>
      </c>
      <c r="N6638" s="10" t="str">
        <f t="shared" si="573"/>
        <v>GAL</v>
      </c>
      <c r="O6638" s="11">
        <v>300</v>
      </c>
    </row>
    <row r="6639" spans="2:15" x14ac:dyDescent="0.25">
      <c r="B6639" s="6" t="s">
        <v>1410</v>
      </c>
      <c r="C6639" s="7" t="s">
        <v>525</v>
      </c>
      <c r="D6639" s="8" t="s">
        <v>628</v>
      </c>
      <c r="E6639" s="8" t="s">
        <v>1036</v>
      </c>
      <c r="F6639" s="9">
        <f>DATE(2024,12,13)</f>
        <v>45639</v>
      </c>
      <c r="G6639" s="10">
        <f t="shared" si="576"/>
        <v>12</v>
      </c>
      <c r="H6639" s="10">
        <f t="shared" si="577"/>
        <v>2024</v>
      </c>
      <c r="I6639" s="8" t="s">
        <v>4</v>
      </c>
      <c r="J6639" s="7" t="s">
        <v>7288</v>
      </c>
      <c r="K6639" s="8" t="s">
        <v>25</v>
      </c>
      <c r="L6639" s="8" t="s">
        <v>541</v>
      </c>
      <c r="M6639" s="8" t="s">
        <v>27</v>
      </c>
      <c r="N6639" s="10" t="str">
        <f t="shared" si="573"/>
        <v>GAL</v>
      </c>
      <c r="O6639" s="11">
        <v>360</v>
      </c>
    </row>
    <row r="6640" spans="2:15" x14ac:dyDescent="0.25">
      <c r="B6640" s="6" t="s">
        <v>1410</v>
      </c>
      <c r="C6640" s="7" t="s">
        <v>525</v>
      </c>
      <c r="D6640" s="8" t="s">
        <v>507</v>
      </c>
      <c r="E6640" s="8" t="s">
        <v>508</v>
      </c>
      <c r="F6640" s="9">
        <f>DATE(2024,12,13)</f>
        <v>45639</v>
      </c>
      <c r="G6640" s="10">
        <f t="shared" si="576"/>
        <v>12</v>
      </c>
      <c r="H6640" s="10">
        <f t="shared" si="577"/>
        <v>2024</v>
      </c>
      <c r="I6640" s="8" t="s">
        <v>4</v>
      </c>
      <c r="J6640" s="7" t="s">
        <v>7289</v>
      </c>
      <c r="K6640" s="8" t="s">
        <v>531</v>
      </c>
      <c r="L6640" s="8" t="s">
        <v>201</v>
      </c>
      <c r="M6640" s="8" t="s">
        <v>202</v>
      </c>
      <c r="N6640" s="10" t="str">
        <f t="shared" si="573"/>
        <v>GAL</v>
      </c>
      <c r="O6640" s="11">
        <v>150</v>
      </c>
    </row>
    <row r="6641" spans="2:15" x14ac:dyDescent="0.25">
      <c r="B6641" s="6" t="s">
        <v>1410</v>
      </c>
      <c r="C6641" s="7" t="s">
        <v>525</v>
      </c>
      <c r="D6641" s="8" t="s">
        <v>507</v>
      </c>
      <c r="E6641" s="8" t="s">
        <v>508</v>
      </c>
      <c r="F6641" s="9">
        <f>DATE(2024,12,13)</f>
        <v>45639</v>
      </c>
      <c r="G6641" s="10">
        <f t="shared" si="576"/>
        <v>12</v>
      </c>
      <c r="H6641" s="10">
        <f t="shared" si="577"/>
        <v>2024</v>
      </c>
      <c r="I6641" s="8" t="s">
        <v>4</v>
      </c>
      <c r="J6641" s="7" t="s">
        <v>7290</v>
      </c>
      <c r="K6641" s="8" t="s">
        <v>1119</v>
      </c>
      <c r="L6641" s="8" t="s">
        <v>1023</v>
      </c>
      <c r="M6641" s="8" t="s">
        <v>1024</v>
      </c>
      <c r="N6641" s="10" t="str">
        <f t="shared" si="573"/>
        <v>GAL</v>
      </c>
      <c r="O6641" s="11">
        <v>180</v>
      </c>
    </row>
    <row r="6642" spans="2:15" x14ac:dyDescent="0.25">
      <c r="B6642" s="6" t="s">
        <v>1410</v>
      </c>
      <c r="C6642" s="7" t="s">
        <v>525</v>
      </c>
      <c r="D6642" s="8" t="s">
        <v>646</v>
      </c>
      <c r="E6642" s="8" t="s">
        <v>647</v>
      </c>
      <c r="F6642" s="9">
        <f>DATE(2024,12,13)</f>
        <v>45639</v>
      </c>
      <c r="G6642" s="10">
        <f t="shared" si="576"/>
        <v>12</v>
      </c>
      <c r="H6642" s="10">
        <f t="shared" si="577"/>
        <v>2024</v>
      </c>
      <c r="I6642" s="8" t="s">
        <v>4</v>
      </c>
      <c r="J6642" s="7" t="s">
        <v>7291</v>
      </c>
      <c r="K6642" s="8" t="s">
        <v>649</v>
      </c>
      <c r="L6642" s="8" t="s">
        <v>538</v>
      </c>
      <c r="M6642" s="8" t="s">
        <v>4243</v>
      </c>
      <c r="N6642" s="10" t="str">
        <f t="shared" si="573"/>
        <v>GAL</v>
      </c>
      <c r="O6642" s="11">
        <v>2000</v>
      </c>
    </row>
    <row r="6643" spans="2:15" x14ac:dyDescent="0.25">
      <c r="B6643" s="6" t="s">
        <v>1410</v>
      </c>
      <c r="C6643" s="7" t="s">
        <v>525</v>
      </c>
      <c r="D6643" s="8" t="s">
        <v>507</v>
      </c>
      <c r="E6643" s="8" t="s">
        <v>508</v>
      </c>
      <c r="F6643" s="9">
        <f>DATE(2024,12,20)</f>
        <v>45646</v>
      </c>
      <c r="G6643" s="10">
        <f t="shared" si="576"/>
        <v>12</v>
      </c>
      <c r="H6643" s="10">
        <f t="shared" si="577"/>
        <v>2024</v>
      </c>
      <c r="I6643" s="8" t="s">
        <v>4</v>
      </c>
      <c r="J6643" s="7" t="s">
        <v>7292</v>
      </c>
      <c r="K6643" s="8" t="s">
        <v>25</v>
      </c>
      <c r="L6643" s="8" t="s">
        <v>541</v>
      </c>
      <c r="M6643" s="8" t="s">
        <v>27</v>
      </c>
      <c r="N6643" s="10" t="str">
        <f t="shared" si="573"/>
        <v>GAL</v>
      </c>
      <c r="O6643" s="11">
        <v>360</v>
      </c>
    </row>
    <row r="6644" spans="2:15" x14ac:dyDescent="0.25">
      <c r="B6644" s="6" t="s">
        <v>1410</v>
      </c>
      <c r="C6644" s="7" t="s">
        <v>525</v>
      </c>
      <c r="D6644" s="8" t="s">
        <v>628</v>
      </c>
      <c r="E6644" s="8" t="s">
        <v>1036</v>
      </c>
      <c r="F6644" s="9">
        <f>DATE(2024,12,20)</f>
        <v>45646</v>
      </c>
      <c r="G6644" s="10">
        <f t="shared" si="576"/>
        <v>12</v>
      </c>
      <c r="H6644" s="10">
        <f t="shared" si="577"/>
        <v>2024</v>
      </c>
      <c r="I6644" s="8" t="s">
        <v>4</v>
      </c>
      <c r="J6644" s="7" t="s">
        <v>7293</v>
      </c>
      <c r="K6644" s="8" t="s">
        <v>158</v>
      </c>
      <c r="L6644" s="8" t="s">
        <v>159</v>
      </c>
      <c r="M6644" s="8" t="s">
        <v>160</v>
      </c>
      <c r="N6644" s="10" t="str">
        <f t="shared" si="573"/>
        <v>GAL</v>
      </c>
      <c r="O6644" s="11">
        <v>180</v>
      </c>
    </row>
    <row r="6645" spans="2:15" x14ac:dyDescent="0.25">
      <c r="B6645" s="6" t="s">
        <v>1410</v>
      </c>
      <c r="C6645" s="7" t="s">
        <v>525</v>
      </c>
      <c r="D6645" s="8" t="s">
        <v>628</v>
      </c>
      <c r="E6645" s="8" t="s">
        <v>1036</v>
      </c>
      <c r="F6645" s="9">
        <f>DATE(2024,12,20)</f>
        <v>45646</v>
      </c>
      <c r="G6645" s="10">
        <f t="shared" si="576"/>
        <v>12</v>
      </c>
      <c r="H6645" s="10">
        <f t="shared" si="577"/>
        <v>2024</v>
      </c>
      <c r="I6645" s="8" t="s">
        <v>4</v>
      </c>
      <c r="J6645" s="7" t="s">
        <v>7293</v>
      </c>
      <c r="K6645" s="8" t="s">
        <v>25</v>
      </c>
      <c r="L6645" s="8" t="s">
        <v>541</v>
      </c>
      <c r="M6645" s="8" t="s">
        <v>27</v>
      </c>
      <c r="N6645" s="10" t="str">
        <f t="shared" si="573"/>
        <v>GAL</v>
      </c>
      <c r="O6645" s="11">
        <v>360</v>
      </c>
    </row>
    <row r="6646" spans="2:15" x14ac:dyDescent="0.25">
      <c r="B6646" s="6" t="s">
        <v>1410</v>
      </c>
      <c r="C6646" s="7" t="s">
        <v>525</v>
      </c>
      <c r="D6646" s="8" t="s">
        <v>628</v>
      </c>
      <c r="E6646" s="8" t="s">
        <v>1036</v>
      </c>
      <c r="F6646" s="9">
        <f>DATE(2024,12,20)</f>
        <v>45646</v>
      </c>
      <c r="G6646" s="10">
        <f t="shared" si="576"/>
        <v>12</v>
      </c>
      <c r="H6646" s="10">
        <f t="shared" si="577"/>
        <v>2024</v>
      </c>
      <c r="I6646" s="8" t="s">
        <v>4</v>
      </c>
      <c r="J6646" s="7" t="s">
        <v>7294</v>
      </c>
      <c r="K6646" s="8" t="s">
        <v>6193</v>
      </c>
      <c r="L6646" s="8" t="s">
        <v>6194</v>
      </c>
      <c r="M6646" s="8" t="s">
        <v>106</v>
      </c>
      <c r="N6646" s="10" t="str">
        <f t="shared" si="573"/>
        <v>LBS</v>
      </c>
      <c r="O6646" s="11">
        <v>200</v>
      </c>
    </row>
    <row r="6647" spans="2:15" x14ac:dyDescent="0.25">
      <c r="B6647" s="6" t="s">
        <v>1410</v>
      </c>
      <c r="C6647" s="7" t="s">
        <v>525</v>
      </c>
      <c r="D6647" s="8" t="s">
        <v>124</v>
      </c>
      <c r="E6647" s="8" t="s">
        <v>526</v>
      </c>
      <c r="F6647" s="9">
        <f>DATE(2024,12,20)</f>
        <v>45646</v>
      </c>
      <c r="G6647" s="10">
        <f t="shared" si="576"/>
        <v>12</v>
      </c>
      <c r="H6647" s="10">
        <f t="shared" si="577"/>
        <v>2024</v>
      </c>
      <c r="I6647" s="8" t="s">
        <v>4</v>
      </c>
      <c r="J6647" s="7" t="s">
        <v>7295</v>
      </c>
      <c r="K6647" s="8" t="s">
        <v>1031</v>
      </c>
      <c r="L6647" s="8" t="s">
        <v>1032</v>
      </c>
      <c r="M6647" s="8" t="s">
        <v>119</v>
      </c>
      <c r="N6647" s="10" t="str">
        <f t="shared" si="573"/>
        <v>TON</v>
      </c>
      <c r="O6647" s="11">
        <v>5.5</v>
      </c>
    </row>
    <row r="6648" spans="2:15" x14ac:dyDescent="0.25">
      <c r="B6648" s="6" t="s">
        <v>1410</v>
      </c>
      <c r="C6648" s="7" t="s">
        <v>525</v>
      </c>
      <c r="D6648" s="8" t="s">
        <v>646</v>
      </c>
      <c r="E6648" s="8" t="s">
        <v>647</v>
      </c>
      <c r="F6648" s="9">
        <f>DATE(2024,12,27)</f>
        <v>45653</v>
      </c>
      <c r="G6648" s="10">
        <f t="shared" si="576"/>
        <v>12</v>
      </c>
      <c r="H6648" s="10">
        <f t="shared" si="577"/>
        <v>2024</v>
      </c>
      <c r="I6648" s="8" t="s">
        <v>4</v>
      </c>
      <c r="J6648" s="7" t="s">
        <v>7296</v>
      </c>
      <c r="K6648" s="8" t="s">
        <v>649</v>
      </c>
      <c r="L6648" s="8" t="s">
        <v>538</v>
      </c>
      <c r="M6648" s="8" t="s">
        <v>4243</v>
      </c>
      <c r="N6648" s="10" t="str">
        <f t="shared" si="573"/>
        <v>GAL</v>
      </c>
      <c r="O6648" s="11">
        <v>750</v>
      </c>
    </row>
    <row r="6649" spans="2:15" x14ac:dyDescent="0.25">
      <c r="B6649" s="6" t="s">
        <v>1410</v>
      </c>
      <c r="C6649" s="7" t="s">
        <v>525</v>
      </c>
      <c r="D6649" s="8" t="s">
        <v>124</v>
      </c>
      <c r="E6649" s="8" t="s">
        <v>526</v>
      </c>
      <c r="F6649" s="9">
        <f>DATE(2024,12,31)</f>
        <v>45657</v>
      </c>
      <c r="G6649" s="10">
        <f t="shared" si="576"/>
        <v>12</v>
      </c>
      <c r="H6649" s="10">
        <f t="shared" si="577"/>
        <v>2024</v>
      </c>
      <c r="I6649" s="8" t="s">
        <v>4</v>
      </c>
      <c r="J6649" s="7" t="s">
        <v>7297</v>
      </c>
      <c r="K6649" s="8" t="s">
        <v>2113</v>
      </c>
      <c r="L6649" s="8" t="s">
        <v>2114</v>
      </c>
      <c r="M6649" s="8" t="s">
        <v>119</v>
      </c>
      <c r="N6649" s="10" t="str">
        <f t="shared" si="573"/>
        <v>TON</v>
      </c>
      <c r="O6649" s="11">
        <v>12.012499999999999</v>
      </c>
    </row>
    <row r="6650" spans="2:15" x14ac:dyDescent="0.25">
      <c r="B6650" s="6" t="s">
        <v>645</v>
      </c>
      <c r="C6650" s="7" t="s">
        <v>533</v>
      </c>
      <c r="D6650" s="8" t="s">
        <v>557</v>
      </c>
      <c r="E6650" s="8" t="s">
        <v>1090</v>
      </c>
      <c r="F6650" s="9">
        <f>DATE(2024,12,18)</f>
        <v>45644</v>
      </c>
      <c r="G6650" s="10">
        <f t="shared" si="576"/>
        <v>12</v>
      </c>
      <c r="H6650" s="10">
        <f t="shared" si="577"/>
        <v>2024</v>
      </c>
      <c r="I6650" s="8" t="s">
        <v>4</v>
      </c>
      <c r="J6650" s="7" t="s">
        <v>7298</v>
      </c>
      <c r="K6650" s="8" t="s">
        <v>569</v>
      </c>
      <c r="L6650" s="8" t="s">
        <v>570</v>
      </c>
      <c r="M6650" s="8" t="s">
        <v>106</v>
      </c>
      <c r="N6650" s="10" t="str">
        <f t="shared" si="573"/>
        <v>LBS</v>
      </c>
      <c r="O6650" s="11">
        <v>5100</v>
      </c>
    </row>
    <row r="6651" spans="2:15" x14ac:dyDescent="0.25">
      <c r="B6651" s="6" t="s">
        <v>3238</v>
      </c>
      <c r="C6651" s="7" t="s">
        <v>3239</v>
      </c>
      <c r="D6651" s="8" t="s">
        <v>3240</v>
      </c>
      <c r="E6651" s="8" t="s">
        <v>3908</v>
      </c>
      <c r="F6651" s="9">
        <f>DATE(2024,12,5)</f>
        <v>45631</v>
      </c>
      <c r="G6651" s="10">
        <f t="shared" si="576"/>
        <v>12</v>
      </c>
      <c r="H6651" s="10">
        <f t="shared" si="577"/>
        <v>2024</v>
      </c>
      <c r="I6651" s="8" t="s">
        <v>4</v>
      </c>
      <c r="J6651" s="7" t="s">
        <v>7299</v>
      </c>
      <c r="K6651" s="8" t="s">
        <v>3399</v>
      </c>
      <c r="L6651" s="8" t="s">
        <v>3400</v>
      </c>
      <c r="M6651" s="8" t="s">
        <v>3401</v>
      </c>
      <c r="N6651" s="10" t="str">
        <f t="shared" si="573"/>
        <v>GAL</v>
      </c>
      <c r="O6651" s="11">
        <v>250</v>
      </c>
    </row>
    <row r="6652" spans="2:15" x14ac:dyDescent="0.25">
      <c r="B6652" s="6" t="s">
        <v>3238</v>
      </c>
      <c r="C6652" s="7" t="s">
        <v>3239</v>
      </c>
      <c r="D6652" s="8" t="s">
        <v>3240</v>
      </c>
      <c r="E6652" s="8" t="s">
        <v>102</v>
      </c>
      <c r="F6652" s="9">
        <f>DATE(2024,12,5)</f>
        <v>45631</v>
      </c>
      <c r="G6652" s="10">
        <f t="shared" si="576"/>
        <v>12</v>
      </c>
      <c r="H6652" s="10">
        <f t="shared" si="577"/>
        <v>2024</v>
      </c>
      <c r="I6652" s="8" t="s">
        <v>4</v>
      </c>
      <c r="J6652" s="7" t="s">
        <v>7300</v>
      </c>
      <c r="K6652" s="8" t="s">
        <v>5968</v>
      </c>
      <c r="L6652" s="8" t="s">
        <v>5969</v>
      </c>
      <c r="M6652" s="8" t="s">
        <v>5970</v>
      </c>
      <c r="N6652" s="10" t="str">
        <f t="shared" si="573"/>
        <v>GAL</v>
      </c>
      <c r="O6652" s="11">
        <v>60</v>
      </c>
    </row>
    <row r="6653" spans="2:15" x14ac:dyDescent="0.25">
      <c r="B6653" s="6" t="s">
        <v>3238</v>
      </c>
      <c r="C6653" s="7" t="s">
        <v>3239</v>
      </c>
      <c r="D6653" s="8" t="s">
        <v>3240</v>
      </c>
      <c r="E6653" s="8" t="s">
        <v>102</v>
      </c>
      <c r="F6653" s="9">
        <f>DATE(2024,12,5)</f>
        <v>45631</v>
      </c>
      <c r="G6653" s="10">
        <f t="shared" si="576"/>
        <v>12</v>
      </c>
      <c r="H6653" s="10">
        <f t="shared" si="577"/>
        <v>2024</v>
      </c>
      <c r="I6653" s="8" t="s">
        <v>4</v>
      </c>
      <c r="J6653" s="7" t="s">
        <v>7300</v>
      </c>
      <c r="K6653" s="8" t="s">
        <v>2530</v>
      </c>
      <c r="L6653" s="8" t="s">
        <v>3503</v>
      </c>
      <c r="M6653" s="8" t="s">
        <v>2532</v>
      </c>
      <c r="N6653" s="10" t="str">
        <f t="shared" si="573"/>
        <v>GAL</v>
      </c>
      <c r="O6653" s="11">
        <v>60</v>
      </c>
    </row>
    <row r="6654" spans="2:15" x14ac:dyDescent="0.25">
      <c r="B6654" s="6" t="s">
        <v>3238</v>
      </c>
      <c r="C6654" s="7" t="s">
        <v>3239</v>
      </c>
      <c r="D6654" s="8" t="s">
        <v>3240</v>
      </c>
      <c r="E6654" s="8" t="s">
        <v>102</v>
      </c>
      <c r="F6654" s="9">
        <f>DATE(2024,12,5)</f>
        <v>45631</v>
      </c>
      <c r="G6654" s="10">
        <f t="shared" si="576"/>
        <v>12</v>
      </c>
      <c r="H6654" s="10">
        <f t="shared" si="577"/>
        <v>2024</v>
      </c>
      <c r="I6654" s="8" t="s">
        <v>4</v>
      </c>
      <c r="J6654" s="7" t="s">
        <v>7300</v>
      </c>
      <c r="K6654" s="8" t="s">
        <v>3914</v>
      </c>
      <c r="L6654" s="8" t="s">
        <v>3915</v>
      </c>
      <c r="M6654" s="8" t="s">
        <v>3916</v>
      </c>
      <c r="N6654" s="10" t="str">
        <f t="shared" ref="N6654:N6717" si="578">+LEFT(M6654,3)</f>
        <v>GAL</v>
      </c>
      <c r="O6654" s="11">
        <v>60</v>
      </c>
    </row>
    <row r="6655" spans="2:15" x14ac:dyDescent="0.25">
      <c r="B6655" s="6" t="s">
        <v>3238</v>
      </c>
      <c r="C6655" s="7" t="s">
        <v>3239</v>
      </c>
      <c r="D6655" s="8" t="s">
        <v>3240</v>
      </c>
      <c r="E6655" s="8" t="s">
        <v>3377</v>
      </c>
      <c r="F6655" s="9">
        <f>DATE(2024,12,6)</f>
        <v>45632</v>
      </c>
      <c r="G6655" s="10">
        <f t="shared" si="576"/>
        <v>12</v>
      </c>
      <c r="H6655" s="10">
        <f t="shared" si="577"/>
        <v>2024</v>
      </c>
      <c r="I6655" s="8" t="s">
        <v>4</v>
      </c>
      <c r="J6655" s="7" t="s">
        <v>7301</v>
      </c>
      <c r="K6655" s="8" t="s">
        <v>3925</v>
      </c>
      <c r="L6655" s="8" t="s">
        <v>4264</v>
      </c>
      <c r="M6655" s="8" t="s">
        <v>119</v>
      </c>
      <c r="N6655" s="10" t="str">
        <f t="shared" si="578"/>
        <v>TON</v>
      </c>
      <c r="O6655" s="11">
        <v>1.2675000000000001</v>
      </c>
    </row>
    <row r="6656" spans="2:15" x14ac:dyDescent="0.25">
      <c r="B6656" s="6" t="s">
        <v>3238</v>
      </c>
      <c r="C6656" s="7" t="s">
        <v>3239</v>
      </c>
      <c r="D6656" s="8" t="s">
        <v>6120</v>
      </c>
      <c r="E6656" s="8" t="s">
        <v>7302</v>
      </c>
      <c r="F6656" s="9">
        <f>DATE(2024,12,6)</f>
        <v>45632</v>
      </c>
      <c r="G6656" s="10">
        <f t="shared" si="576"/>
        <v>12</v>
      </c>
      <c r="H6656" s="10">
        <f t="shared" si="577"/>
        <v>2024</v>
      </c>
      <c r="I6656" s="8" t="s">
        <v>4</v>
      </c>
      <c r="J6656" s="7" t="s">
        <v>7303</v>
      </c>
      <c r="K6656" s="8" t="s">
        <v>822</v>
      </c>
      <c r="L6656" s="8" t="s">
        <v>565</v>
      </c>
      <c r="M6656" s="8" t="s">
        <v>21</v>
      </c>
      <c r="N6656" s="10" t="str">
        <f t="shared" si="578"/>
        <v>GAL</v>
      </c>
      <c r="O6656" s="11">
        <v>250</v>
      </c>
    </row>
    <row r="6657" spans="2:15" x14ac:dyDescent="0.25">
      <c r="B6657" s="6" t="s">
        <v>3238</v>
      </c>
      <c r="C6657" s="7" t="s">
        <v>3239</v>
      </c>
      <c r="D6657" s="8" t="s">
        <v>3240</v>
      </c>
      <c r="E6657" s="8" t="s">
        <v>3377</v>
      </c>
      <c r="F6657" s="9">
        <f>DATE(2024,12,6)</f>
        <v>45632</v>
      </c>
      <c r="G6657" s="10">
        <f t="shared" si="576"/>
        <v>12</v>
      </c>
      <c r="H6657" s="10">
        <f t="shared" si="577"/>
        <v>2024</v>
      </c>
      <c r="I6657" s="8" t="s">
        <v>4</v>
      </c>
      <c r="J6657" s="7" t="s">
        <v>7304</v>
      </c>
      <c r="K6657" s="8" t="s">
        <v>3390</v>
      </c>
      <c r="L6657" s="8" t="s">
        <v>3250</v>
      </c>
      <c r="M6657" s="8" t="s">
        <v>3251</v>
      </c>
      <c r="N6657" s="10" t="str">
        <f t="shared" si="578"/>
        <v>GAL</v>
      </c>
      <c r="O6657" s="11">
        <v>250</v>
      </c>
    </row>
    <row r="6658" spans="2:15" x14ac:dyDescent="0.25">
      <c r="B6658" s="6" t="s">
        <v>3238</v>
      </c>
      <c r="C6658" s="7" t="s">
        <v>3239</v>
      </c>
      <c r="D6658" s="8" t="s">
        <v>3240</v>
      </c>
      <c r="E6658" s="8" t="s">
        <v>3377</v>
      </c>
      <c r="F6658" s="9">
        <f>DATE(2024,12,6)</f>
        <v>45632</v>
      </c>
      <c r="G6658" s="10">
        <f t="shared" si="576"/>
        <v>12</v>
      </c>
      <c r="H6658" s="10">
        <f t="shared" si="577"/>
        <v>2024</v>
      </c>
      <c r="I6658" s="8" t="s">
        <v>4</v>
      </c>
      <c r="J6658" s="7" t="s">
        <v>7304</v>
      </c>
      <c r="K6658" s="8" t="s">
        <v>3910</v>
      </c>
      <c r="L6658" s="8" t="s">
        <v>3911</v>
      </c>
      <c r="M6658" s="8" t="s">
        <v>2100</v>
      </c>
      <c r="N6658" s="10" t="str">
        <f t="shared" si="578"/>
        <v>GAL</v>
      </c>
      <c r="O6658" s="11">
        <v>250</v>
      </c>
    </row>
    <row r="6659" spans="2:15" x14ac:dyDescent="0.25">
      <c r="B6659" s="6" t="s">
        <v>3238</v>
      </c>
      <c r="C6659" s="7" t="s">
        <v>3239</v>
      </c>
      <c r="D6659" s="8" t="s">
        <v>6120</v>
      </c>
      <c r="E6659" s="8" t="s">
        <v>141</v>
      </c>
      <c r="F6659" s="9">
        <f t="shared" ref="F6659:F6664" si="579">DATE(2024,12,9)</f>
        <v>45635</v>
      </c>
      <c r="G6659" s="10">
        <f t="shared" si="576"/>
        <v>12</v>
      </c>
      <c r="H6659" s="10">
        <f t="shared" si="577"/>
        <v>2024</v>
      </c>
      <c r="I6659" s="8" t="s">
        <v>4</v>
      </c>
      <c r="J6659" s="7" t="s">
        <v>7305</v>
      </c>
      <c r="K6659" s="8" t="s">
        <v>6079</v>
      </c>
      <c r="L6659" s="8" t="s">
        <v>6080</v>
      </c>
      <c r="M6659" s="8" t="s">
        <v>6081</v>
      </c>
      <c r="N6659" s="10" t="str">
        <f t="shared" si="578"/>
        <v>GAL</v>
      </c>
      <c r="O6659" s="11">
        <v>60</v>
      </c>
    </row>
    <row r="6660" spans="2:15" x14ac:dyDescent="0.25">
      <c r="B6660" s="6" t="s">
        <v>3238</v>
      </c>
      <c r="C6660" s="7" t="s">
        <v>3239</v>
      </c>
      <c r="D6660" s="8" t="s">
        <v>6120</v>
      </c>
      <c r="E6660" s="8" t="s">
        <v>141</v>
      </c>
      <c r="F6660" s="9">
        <f t="shared" si="579"/>
        <v>45635</v>
      </c>
      <c r="G6660" s="10">
        <f t="shared" si="576"/>
        <v>12</v>
      </c>
      <c r="H6660" s="10">
        <f t="shared" si="577"/>
        <v>2024</v>
      </c>
      <c r="I6660" s="8" t="s">
        <v>4</v>
      </c>
      <c r="J6660" s="7" t="s">
        <v>7305</v>
      </c>
      <c r="K6660" s="8" t="s">
        <v>5469</v>
      </c>
      <c r="L6660" s="8" t="s">
        <v>5470</v>
      </c>
      <c r="M6660" s="8" t="s">
        <v>1046</v>
      </c>
      <c r="N6660" s="10" t="str">
        <f t="shared" si="578"/>
        <v>GAL</v>
      </c>
      <c r="O6660" s="11">
        <v>60</v>
      </c>
    </row>
    <row r="6661" spans="2:15" x14ac:dyDescent="0.25">
      <c r="B6661" s="6" t="s">
        <v>3238</v>
      </c>
      <c r="C6661" s="7" t="s">
        <v>3239</v>
      </c>
      <c r="D6661" s="8" t="s">
        <v>6120</v>
      </c>
      <c r="E6661" s="8" t="s">
        <v>141</v>
      </c>
      <c r="F6661" s="9">
        <f t="shared" si="579"/>
        <v>45635</v>
      </c>
      <c r="G6661" s="10">
        <f t="shared" si="576"/>
        <v>12</v>
      </c>
      <c r="H6661" s="10">
        <f t="shared" si="577"/>
        <v>2024</v>
      </c>
      <c r="I6661" s="8" t="s">
        <v>4</v>
      </c>
      <c r="J6661" s="7" t="s">
        <v>7305</v>
      </c>
      <c r="K6661" s="8" t="s">
        <v>6512</v>
      </c>
      <c r="L6661" s="8" t="s">
        <v>6513</v>
      </c>
      <c r="M6661" s="8" t="s">
        <v>6514</v>
      </c>
      <c r="N6661" s="10" t="str">
        <f t="shared" si="578"/>
        <v>GAL</v>
      </c>
      <c r="O6661" s="11">
        <v>180</v>
      </c>
    </row>
    <row r="6662" spans="2:15" x14ac:dyDescent="0.25">
      <c r="B6662" s="6" t="s">
        <v>3238</v>
      </c>
      <c r="C6662" s="7" t="s">
        <v>3239</v>
      </c>
      <c r="D6662" s="8" t="s">
        <v>6120</v>
      </c>
      <c r="E6662" s="8" t="s">
        <v>141</v>
      </c>
      <c r="F6662" s="9">
        <f t="shared" si="579"/>
        <v>45635</v>
      </c>
      <c r="G6662" s="10">
        <f t="shared" si="576"/>
        <v>12</v>
      </c>
      <c r="H6662" s="10">
        <f t="shared" si="577"/>
        <v>2024</v>
      </c>
      <c r="I6662" s="8" t="s">
        <v>4</v>
      </c>
      <c r="J6662" s="7" t="s">
        <v>7305</v>
      </c>
      <c r="K6662" s="8" t="s">
        <v>7306</v>
      </c>
      <c r="L6662" s="8" t="s">
        <v>7307</v>
      </c>
      <c r="M6662" s="8" t="s">
        <v>7308</v>
      </c>
      <c r="N6662" s="10" t="str">
        <f t="shared" si="578"/>
        <v>GAL</v>
      </c>
      <c r="O6662" s="11">
        <v>30</v>
      </c>
    </row>
    <row r="6663" spans="2:15" x14ac:dyDescent="0.25">
      <c r="B6663" s="6" t="s">
        <v>3238</v>
      </c>
      <c r="C6663" s="7" t="s">
        <v>3239</v>
      </c>
      <c r="D6663" s="8" t="s">
        <v>6120</v>
      </c>
      <c r="E6663" s="8" t="s">
        <v>141</v>
      </c>
      <c r="F6663" s="9">
        <f t="shared" si="579"/>
        <v>45635</v>
      </c>
      <c r="G6663" s="10">
        <f t="shared" si="576"/>
        <v>12</v>
      </c>
      <c r="H6663" s="10">
        <f t="shared" si="577"/>
        <v>2024</v>
      </c>
      <c r="I6663" s="8" t="s">
        <v>4</v>
      </c>
      <c r="J6663" s="7" t="s">
        <v>7305</v>
      </c>
      <c r="K6663" s="8" t="s">
        <v>6133</v>
      </c>
      <c r="L6663" s="8" t="s">
        <v>6134</v>
      </c>
      <c r="M6663" s="8" t="s">
        <v>6135</v>
      </c>
      <c r="N6663" s="10" t="str">
        <f t="shared" si="578"/>
        <v>GAL</v>
      </c>
      <c r="O6663" s="11">
        <v>180</v>
      </c>
    </row>
    <row r="6664" spans="2:15" x14ac:dyDescent="0.25">
      <c r="B6664" s="6" t="s">
        <v>3238</v>
      </c>
      <c r="C6664" s="7" t="s">
        <v>3239</v>
      </c>
      <c r="D6664" s="8" t="s">
        <v>6120</v>
      </c>
      <c r="E6664" s="8" t="s">
        <v>141</v>
      </c>
      <c r="F6664" s="9">
        <f t="shared" si="579"/>
        <v>45635</v>
      </c>
      <c r="G6664" s="10">
        <f t="shared" si="576"/>
        <v>12</v>
      </c>
      <c r="H6664" s="10">
        <f t="shared" si="577"/>
        <v>2024</v>
      </c>
      <c r="I6664" s="8" t="s">
        <v>4</v>
      </c>
      <c r="J6664" s="7" t="s">
        <v>7305</v>
      </c>
      <c r="K6664" s="8" t="s">
        <v>6142</v>
      </c>
      <c r="L6664" s="8" t="s">
        <v>6143</v>
      </c>
      <c r="M6664" s="8" t="s">
        <v>1472</v>
      </c>
      <c r="N6664" s="10" t="str">
        <f t="shared" si="578"/>
        <v>GAL</v>
      </c>
      <c r="O6664" s="11">
        <v>180</v>
      </c>
    </row>
    <row r="6665" spans="2:15" x14ac:dyDescent="0.25">
      <c r="B6665" s="6" t="s">
        <v>3238</v>
      </c>
      <c r="C6665" s="7" t="s">
        <v>3239</v>
      </c>
      <c r="D6665" s="8" t="s">
        <v>3240</v>
      </c>
      <c r="E6665" s="8" t="s">
        <v>102</v>
      </c>
      <c r="F6665" s="9">
        <f t="shared" ref="F6665:F6670" si="580">DATE(2024,12,10)</f>
        <v>45636</v>
      </c>
      <c r="G6665" s="10">
        <f t="shared" si="576"/>
        <v>12</v>
      </c>
      <c r="H6665" s="10">
        <f t="shared" si="577"/>
        <v>2024</v>
      </c>
      <c r="I6665" s="8" t="s">
        <v>4</v>
      </c>
      <c r="J6665" s="7" t="s">
        <v>7309</v>
      </c>
      <c r="K6665" s="8" t="s">
        <v>3943</v>
      </c>
      <c r="L6665" s="8" t="s">
        <v>3405</v>
      </c>
      <c r="M6665" s="8" t="s">
        <v>3406</v>
      </c>
      <c r="N6665" s="10" t="str">
        <f t="shared" si="578"/>
        <v>GAL</v>
      </c>
      <c r="O6665" s="11">
        <v>60</v>
      </c>
    </row>
    <row r="6666" spans="2:15" x14ac:dyDescent="0.25">
      <c r="B6666" s="6" t="s">
        <v>3238</v>
      </c>
      <c r="C6666" s="7" t="s">
        <v>3239</v>
      </c>
      <c r="D6666" s="8" t="s">
        <v>3240</v>
      </c>
      <c r="E6666" s="8" t="s">
        <v>102</v>
      </c>
      <c r="F6666" s="9">
        <f t="shared" si="580"/>
        <v>45636</v>
      </c>
      <c r="G6666" s="10">
        <f t="shared" si="576"/>
        <v>12</v>
      </c>
      <c r="H6666" s="10">
        <f t="shared" si="577"/>
        <v>2024</v>
      </c>
      <c r="I6666" s="8" t="s">
        <v>4</v>
      </c>
      <c r="J6666" s="7" t="s">
        <v>7309</v>
      </c>
      <c r="K6666" s="8" t="s">
        <v>6516</v>
      </c>
      <c r="L6666" s="8" t="s">
        <v>3396</v>
      </c>
      <c r="M6666" s="8" t="s">
        <v>844</v>
      </c>
      <c r="N6666" s="10" t="str">
        <f t="shared" si="578"/>
        <v>GAL</v>
      </c>
      <c r="O6666" s="11">
        <v>60</v>
      </c>
    </row>
    <row r="6667" spans="2:15" x14ac:dyDescent="0.25">
      <c r="B6667" s="6" t="s">
        <v>3238</v>
      </c>
      <c r="C6667" s="7" t="s">
        <v>3239</v>
      </c>
      <c r="D6667" s="8" t="s">
        <v>3240</v>
      </c>
      <c r="E6667" s="8" t="s">
        <v>102</v>
      </c>
      <c r="F6667" s="9">
        <f t="shared" si="580"/>
        <v>45636</v>
      </c>
      <c r="G6667" s="10">
        <f t="shared" si="576"/>
        <v>12</v>
      </c>
      <c r="H6667" s="10">
        <f t="shared" si="577"/>
        <v>2024</v>
      </c>
      <c r="I6667" s="8" t="s">
        <v>4</v>
      </c>
      <c r="J6667" s="7" t="s">
        <v>7309</v>
      </c>
      <c r="K6667" s="8" t="s">
        <v>36</v>
      </c>
      <c r="L6667" s="8" t="s">
        <v>6154</v>
      </c>
      <c r="M6667" s="8" t="s">
        <v>38</v>
      </c>
      <c r="N6667" s="10" t="str">
        <f t="shared" si="578"/>
        <v>GAL</v>
      </c>
      <c r="O6667" s="11">
        <v>60</v>
      </c>
    </row>
    <row r="6668" spans="2:15" x14ac:dyDescent="0.25">
      <c r="B6668" s="6" t="s">
        <v>3238</v>
      </c>
      <c r="C6668" s="7" t="s">
        <v>3239</v>
      </c>
      <c r="D6668" s="8" t="s">
        <v>3240</v>
      </c>
      <c r="E6668" s="8" t="s">
        <v>102</v>
      </c>
      <c r="F6668" s="9">
        <f t="shared" si="580"/>
        <v>45636</v>
      </c>
      <c r="G6668" s="10">
        <f t="shared" si="576"/>
        <v>12</v>
      </c>
      <c r="H6668" s="10">
        <f t="shared" si="577"/>
        <v>2024</v>
      </c>
      <c r="I6668" s="8" t="s">
        <v>4</v>
      </c>
      <c r="J6668" s="7" t="s">
        <v>7310</v>
      </c>
      <c r="K6668" s="8" t="s">
        <v>3917</v>
      </c>
      <c r="L6668" s="8" t="s">
        <v>3525</v>
      </c>
      <c r="M6668" s="8" t="s">
        <v>1397</v>
      </c>
      <c r="N6668" s="10" t="str">
        <f t="shared" si="578"/>
        <v>GAL</v>
      </c>
      <c r="O6668" s="11">
        <v>60</v>
      </c>
    </row>
    <row r="6669" spans="2:15" x14ac:dyDescent="0.25">
      <c r="B6669" s="6" t="s">
        <v>3238</v>
      </c>
      <c r="C6669" s="7" t="s">
        <v>3239</v>
      </c>
      <c r="D6669" s="8" t="s">
        <v>3240</v>
      </c>
      <c r="E6669" s="8" t="s">
        <v>102</v>
      </c>
      <c r="F6669" s="9">
        <f t="shared" si="580"/>
        <v>45636</v>
      </c>
      <c r="G6669" s="10">
        <f t="shared" si="576"/>
        <v>12</v>
      </c>
      <c r="H6669" s="10">
        <f t="shared" si="577"/>
        <v>2024</v>
      </c>
      <c r="I6669" s="8" t="s">
        <v>4</v>
      </c>
      <c r="J6669" s="7" t="s">
        <v>7310</v>
      </c>
      <c r="K6669" s="8" t="s">
        <v>3521</v>
      </c>
      <c r="L6669" s="8" t="s">
        <v>3498</v>
      </c>
      <c r="M6669" s="8" t="s">
        <v>556</v>
      </c>
      <c r="N6669" s="10" t="str">
        <f t="shared" si="578"/>
        <v>GAL</v>
      </c>
      <c r="O6669" s="11">
        <v>60</v>
      </c>
    </row>
    <row r="6670" spans="2:15" x14ac:dyDescent="0.25">
      <c r="B6670" s="6" t="s">
        <v>3238</v>
      </c>
      <c r="C6670" s="7" t="s">
        <v>3239</v>
      </c>
      <c r="D6670" s="8" t="s">
        <v>3240</v>
      </c>
      <c r="E6670" s="8" t="s">
        <v>102</v>
      </c>
      <c r="F6670" s="9">
        <f t="shared" si="580"/>
        <v>45636</v>
      </c>
      <c r="G6670" s="10">
        <f t="shared" si="576"/>
        <v>12</v>
      </c>
      <c r="H6670" s="10">
        <f t="shared" si="577"/>
        <v>2024</v>
      </c>
      <c r="I6670" s="8" t="s">
        <v>4</v>
      </c>
      <c r="J6670" s="7" t="s">
        <v>7310</v>
      </c>
      <c r="K6670" s="8" t="s">
        <v>39</v>
      </c>
      <c r="L6670" s="8" t="s">
        <v>6380</v>
      </c>
      <c r="M6670" s="8" t="s">
        <v>41</v>
      </c>
      <c r="N6670" s="10" t="str">
        <f t="shared" si="578"/>
        <v>GAL</v>
      </c>
      <c r="O6670" s="11">
        <v>60</v>
      </c>
    </row>
    <row r="6671" spans="2:15" x14ac:dyDescent="0.25">
      <c r="B6671" s="6" t="s">
        <v>3238</v>
      </c>
      <c r="C6671" s="7" t="s">
        <v>3239</v>
      </c>
      <c r="D6671" s="8" t="s">
        <v>3240</v>
      </c>
      <c r="E6671" s="8" t="s">
        <v>102</v>
      </c>
      <c r="F6671" s="9">
        <f>DATE(2024,12,11)</f>
        <v>45637</v>
      </c>
      <c r="G6671" s="10">
        <f t="shared" si="576"/>
        <v>12</v>
      </c>
      <c r="H6671" s="10">
        <f t="shared" si="577"/>
        <v>2024</v>
      </c>
      <c r="I6671" s="8" t="s">
        <v>4</v>
      </c>
      <c r="J6671" s="7" t="s">
        <v>7311</v>
      </c>
      <c r="K6671" s="8" t="s">
        <v>6489</v>
      </c>
      <c r="L6671" s="8" t="s">
        <v>6490</v>
      </c>
      <c r="M6671" s="8" t="s">
        <v>2528</v>
      </c>
      <c r="N6671" s="10" t="str">
        <f t="shared" si="578"/>
        <v>GAL</v>
      </c>
      <c r="O6671" s="11">
        <v>10</v>
      </c>
    </row>
    <row r="6672" spans="2:15" x14ac:dyDescent="0.25">
      <c r="B6672" s="6" t="s">
        <v>3238</v>
      </c>
      <c r="C6672" s="7" t="s">
        <v>3239</v>
      </c>
      <c r="D6672" s="8" t="s">
        <v>3240</v>
      </c>
      <c r="E6672" s="8" t="s">
        <v>7312</v>
      </c>
      <c r="F6672" s="9">
        <f>DATE(2024,12,12)</f>
        <v>45638</v>
      </c>
      <c r="G6672" s="10">
        <f t="shared" si="576"/>
        <v>12</v>
      </c>
      <c r="H6672" s="10">
        <f t="shared" si="577"/>
        <v>2024</v>
      </c>
      <c r="I6672" s="8" t="s">
        <v>4</v>
      </c>
      <c r="J6672" s="7" t="s">
        <v>7313</v>
      </c>
      <c r="K6672" s="8" t="s">
        <v>7314</v>
      </c>
      <c r="L6672" s="8" t="s">
        <v>5969</v>
      </c>
      <c r="M6672" s="8" t="s">
        <v>5970</v>
      </c>
      <c r="N6672" s="10" t="str">
        <f t="shared" si="578"/>
        <v>GAL</v>
      </c>
      <c r="O6672" s="11">
        <v>150</v>
      </c>
    </row>
    <row r="6673" spans="2:15" x14ac:dyDescent="0.25">
      <c r="B6673" s="6" t="s">
        <v>3238</v>
      </c>
      <c r="C6673" s="7" t="s">
        <v>3239</v>
      </c>
      <c r="D6673" s="8" t="s">
        <v>3240</v>
      </c>
      <c r="E6673" s="8" t="s">
        <v>7312</v>
      </c>
      <c r="F6673" s="9">
        <f>DATE(2024,12,12)</f>
        <v>45638</v>
      </c>
      <c r="G6673" s="10">
        <f t="shared" si="576"/>
        <v>12</v>
      </c>
      <c r="H6673" s="10">
        <f t="shared" si="577"/>
        <v>2024</v>
      </c>
      <c r="I6673" s="8" t="s">
        <v>4</v>
      </c>
      <c r="J6673" s="7" t="s">
        <v>7313</v>
      </c>
      <c r="K6673" s="8" t="s">
        <v>7315</v>
      </c>
      <c r="L6673" s="8" t="s">
        <v>3498</v>
      </c>
      <c r="M6673" s="8" t="s">
        <v>556</v>
      </c>
      <c r="N6673" s="10" t="str">
        <f t="shared" si="578"/>
        <v>GAL</v>
      </c>
      <c r="O6673" s="11">
        <v>150</v>
      </c>
    </row>
    <row r="6674" spans="2:15" x14ac:dyDescent="0.25">
      <c r="B6674" s="6" t="s">
        <v>3238</v>
      </c>
      <c r="C6674" s="7" t="s">
        <v>3239</v>
      </c>
      <c r="D6674" s="8" t="s">
        <v>3240</v>
      </c>
      <c r="E6674" s="8" t="s">
        <v>7312</v>
      </c>
      <c r="F6674" s="9">
        <f>DATE(2024,12,12)</f>
        <v>45638</v>
      </c>
      <c r="G6674" s="10">
        <f t="shared" ref="G6674:G6737" si="581">+MONTH(F6674)</f>
        <v>12</v>
      </c>
      <c r="H6674" s="10">
        <f t="shared" ref="H6674:H6737" si="582">+YEAR(F6674)</f>
        <v>2024</v>
      </c>
      <c r="I6674" s="8" t="s">
        <v>4</v>
      </c>
      <c r="J6674" s="7" t="s">
        <v>7313</v>
      </c>
      <c r="K6674" s="8" t="s">
        <v>4270</v>
      </c>
      <c r="L6674" s="8" t="s">
        <v>3396</v>
      </c>
      <c r="M6674" s="8" t="s">
        <v>844</v>
      </c>
      <c r="N6674" s="10" t="str">
        <f t="shared" si="578"/>
        <v>GAL</v>
      </c>
      <c r="O6674" s="11">
        <v>150</v>
      </c>
    </row>
    <row r="6675" spans="2:15" x14ac:dyDescent="0.25">
      <c r="B6675" s="6" t="s">
        <v>3238</v>
      </c>
      <c r="C6675" s="7" t="s">
        <v>3239</v>
      </c>
      <c r="D6675" s="8" t="s">
        <v>3240</v>
      </c>
      <c r="E6675" s="8" t="s">
        <v>3379</v>
      </c>
      <c r="F6675" s="9">
        <f>DATE(2024,12,12)</f>
        <v>45638</v>
      </c>
      <c r="G6675" s="10">
        <f t="shared" si="581"/>
        <v>12</v>
      </c>
      <c r="H6675" s="10">
        <f t="shared" si="582"/>
        <v>2024</v>
      </c>
      <c r="I6675" s="8" t="s">
        <v>4</v>
      </c>
      <c r="J6675" s="7" t="s">
        <v>7316</v>
      </c>
      <c r="K6675" s="8" t="s">
        <v>6720</v>
      </c>
      <c r="L6675" s="8" t="s">
        <v>3651</v>
      </c>
      <c r="M6675" s="8" t="s">
        <v>3652</v>
      </c>
      <c r="N6675" s="10" t="str">
        <f t="shared" si="578"/>
        <v>GAL</v>
      </c>
      <c r="O6675" s="11">
        <v>275</v>
      </c>
    </row>
    <row r="6676" spans="2:15" x14ac:dyDescent="0.25">
      <c r="B6676" s="6" t="s">
        <v>3238</v>
      </c>
      <c r="C6676" s="7" t="s">
        <v>3239</v>
      </c>
      <c r="D6676" s="8" t="s">
        <v>3240</v>
      </c>
      <c r="E6676" s="8" t="s">
        <v>102</v>
      </c>
      <c r="F6676" s="9">
        <f>DATE(2024,12,16)</f>
        <v>45642</v>
      </c>
      <c r="G6676" s="10">
        <f t="shared" si="581"/>
        <v>12</v>
      </c>
      <c r="H6676" s="10">
        <f t="shared" si="582"/>
        <v>2024</v>
      </c>
      <c r="I6676" s="8" t="s">
        <v>4</v>
      </c>
      <c r="J6676" s="7" t="s">
        <v>7317</v>
      </c>
      <c r="K6676" s="8" t="s">
        <v>5968</v>
      </c>
      <c r="L6676" s="8" t="s">
        <v>5969</v>
      </c>
      <c r="M6676" s="8" t="s">
        <v>5970</v>
      </c>
      <c r="N6676" s="10" t="str">
        <f t="shared" si="578"/>
        <v>GAL</v>
      </c>
      <c r="O6676" s="11">
        <v>60</v>
      </c>
    </row>
    <row r="6677" spans="2:15" x14ac:dyDescent="0.25">
      <c r="B6677" s="6" t="s">
        <v>3238</v>
      </c>
      <c r="C6677" s="7" t="s">
        <v>3239</v>
      </c>
      <c r="D6677" s="8" t="s">
        <v>3240</v>
      </c>
      <c r="E6677" s="8" t="s">
        <v>102</v>
      </c>
      <c r="F6677" s="9">
        <f>DATE(2024,12,16)</f>
        <v>45642</v>
      </c>
      <c r="G6677" s="10">
        <f t="shared" si="581"/>
        <v>12</v>
      </c>
      <c r="H6677" s="10">
        <f t="shared" si="582"/>
        <v>2024</v>
      </c>
      <c r="I6677" s="8" t="s">
        <v>4</v>
      </c>
      <c r="J6677" s="7" t="s">
        <v>7317</v>
      </c>
      <c r="K6677" s="8" t="s">
        <v>3941</v>
      </c>
      <c r="L6677" s="8" t="s">
        <v>3911</v>
      </c>
      <c r="M6677" s="8" t="s">
        <v>2100</v>
      </c>
      <c r="N6677" s="10" t="str">
        <f t="shared" si="578"/>
        <v>GAL</v>
      </c>
      <c r="O6677" s="11">
        <v>60</v>
      </c>
    </row>
    <row r="6678" spans="2:15" x14ac:dyDescent="0.25">
      <c r="B6678" s="6" t="s">
        <v>3238</v>
      </c>
      <c r="C6678" s="7" t="s">
        <v>3239</v>
      </c>
      <c r="D6678" s="8" t="s">
        <v>3240</v>
      </c>
      <c r="E6678" s="8" t="s">
        <v>102</v>
      </c>
      <c r="F6678" s="9">
        <f>DATE(2024,12,16)</f>
        <v>45642</v>
      </c>
      <c r="G6678" s="10">
        <f t="shared" si="581"/>
        <v>12</v>
      </c>
      <c r="H6678" s="10">
        <f t="shared" si="582"/>
        <v>2024</v>
      </c>
      <c r="I6678" s="8" t="s">
        <v>4</v>
      </c>
      <c r="J6678" s="7" t="s">
        <v>7317</v>
      </c>
      <c r="K6678" s="8" t="s">
        <v>2098</v>
      </c>
      <c r="L6678" s="8" t="s">
        <v>7318</v>
      </c>
      <c r="M6678" s="8" t="s">
        <v>2100</v>
      </c>
      <c r="N6678" s="10" t="str">
        <f t="shared" si="578"/>
        <v>GAL</v>
      </c>
      <c r="O6678" s="11">
        <v>60</v>
      </c>
    </row>
    <row r="6679" spans="2:15" x14ac:dyDescent="0.25">
      <c r="B6679" s="6" t="s">
        <v>3238</v>
      </c>
      <c r="C6679" s="7" t="s">
        <v>3239</v>
      </c>
      <c r="D6679" s="8" t="s">
        <v>6120</v>
      </c>
      <c r="E6679" s="8" t="s">
        <v>7319</v>
      </c>
      <c r="F6679" s="9">
        <f>DATE(2024,12,17)</f>
        <v>45643</v>
      </c>
      <c r="G6679" s="10">
        <f t="shared" si="581"/>
        <v>12</v>
      </c>
      <c r="H6679" s="10">
        <f t="shared" si="582"/>
        <v>2024</v>
      </c>
      <c r="I6679" s="8" t="s">
        <v>4</v>
      </c>
      <c r="J6679" s="7" t="s">
        <v>7320</v>
      </c>
      <c r="K6679" s="8" t="s">
        <v>7321</v>
      </c>
      <c r="L6679" s="8" t="s">
        <v>6492</v>
      </c>
      <c r="M6679" s="8" t="s">
        <v>2455</v>
      </c>
      <c r="N6679" s="10" t="str">
        <f t="shared" si="578"/>
        <v>GAL</v>
      </c>
      <c r="O6679" s="11">
        <v>30</v>
      </c>
    </row>
    <row r="6680" spans="2:15" x14ac:dyDescent="0.25">
      <c r="B6680" s="6" t="s">
        <v>3238</v>
      </c>
      <c r="C6680" s="7" t="s">
        <v>3239</v>
      </c>
      <c r="D6680" s="8" t="s">
        <v>3240</v>
      </c>
      <c r="E6680" s="8" t="s">
        <v>102</v>
      </c>
      <c r="F6680" s="9">
        <f>DATE(2024,12,17)</f>
        <v>45643</v>
      </c>
      <c r="G6680" s="10">
        <f t="shared" si="581"/>
        <v>12</v>
      </c>
      <c r="H6680" s="10">
        <f t="shared" si="582"/>
        <v>2024</v>
      </c>
      <c r="I6680" s="8" t="s">
        <v>4</v>
      </c>
      <c r="J6680" s="7" t="s">
        <v>7322</v>
      </c>
      <c r="K6680" s="8" t="s">
        <v>5976</v>
      </c>
      <c r="L6680" s="8" t="s">
        <v>3915</v>
      </c>
      <c r="M6680" s="8" t="s">
        <v>3916</v>
      </c>
      <c r="N6680" s="10" t="str">
        <f t="shared" si="578"/>
        <v>GAL</v>
      </c>
      <c r="O6680" s="11">
        <v>250</v>
      </c>
    </row>
    <row r="6681" spans="2:15" x14ac:dyDescent="0.25">
      <c r="B6681" s="6" t="s">
        <v>3238</v>
      </c>
      <c r="C6681" s="7" t="s">
        <v>3239</v>
      </c>
      <c r="D6681" s="8" t="s">
        <v>6120</v>
      </c>
      <c r="E6681" s="8" t="s">
        <v>6712</v>
      </c>
      <c r="F6681" s="9">
        <f>DATE(2024,12,18)</f>
        <v>45644</v>
      </c>
      <c r="G6681" s="10">
        <f t="shared" si="581"/>
        <v>12</v>
      </c>
      <c r="H6681" s="10">
        <f t="shared" si="582"/>
        <v>2024</v>
      </c>
      <c r="I6681" s="8" t="s">
        <v>4</v>
      </c>
      <c r="J6681" s="7" t="s">
        <v>7323</v>
      </c>
      <c r="K6681" s="8" t="s">
        <v>6133</v>
      </c>
      <c r="L6681" s="8" t="s">
        <v>6134</v>
      </c>
      <c r="M6681" s="8" t="s">
        <v>6135</v>
      </c>
      <c r="N6681" s="10" t="str">
        <f t="shared" si="578"/>
        <v>GAL</v>
      </c>
      <c r="O6681" s="11">
        <v>90</v>
      </c>
    </row>
    <row r="6682" spans="2:15" x14ac:dyDescent="0.25">
      <c r="B6682" s="6" t="s">
        <v>3238</v>
      </c>
      <c r="C6682" s="7" t="s">
        <v>3239</v>
      </c>
      <c r="D6682" s="8" t="s">
        <v>6120</v>
      </c>
      <c r="E6682" s="8" t="s">
        <v>6712</v>
      </c>
      <c r="F6682" s="9">
        <f>DATE(2024,12,18)</f>
        <v>45644</v>
      </c>
      <c r="G6682" s="10">
        <f t="shared" si="581"/>
        <v>12</v>
      </c>
      <c r="H6682" s="10">
        <f t="shared" si="582"/>
        <v>2024</v>
      </c>
      <c r="I6682" s="8" t="s">
        <v>4</v>
      </c>
      <c r="J6682" s="7" t="s">
        <v>7323</v>
      </c>
      <c r="K6682" s="8" t="s">
        <v>6491</v>
      </c>
      <c r="L6682" s="8" t="s">
        <v>6492</v>
      </c>
      <c r="M6682" s="8" t="s">
        <v>2455</v>
      </c>
      <c r="N6682" s="10" t="str">
        <f t="shared" si="578"/>
        <v>GAL</v>
      </c>
      <c r="O6682" s="11">
        <v>90</v>
      </c>
    </row>
    <row r="6683" spans="2:15" x14ac:dyDescent="0.25">
      <c r="B6683" s="6" t="s">
        <v>3238</v>
      </c>
      <c r="C6683" s="7" t="s">
        <v>3239</v>
      </c>
      <c r="D6683" s="8" t="s">
        <v>6120</v>
      </c>
      <c r="E6683" s="8" t="s">
        <v>6712</v>
      </c>
      <c r="F6683" s="9">
        <f>DATE(2024,12,18)</f>
        <v>45644</v>
      </c>
      <c r="G6683" s="10">
        <f t="shared" si="581"/>
        <v>12</v>
      </c>
      <c r="H6683" s="10">
        <f t="shared" si="582"/>
        <v>2024</v>
      </c>
      <c r="I6683" s="8" t="s">
        <v>4</v>
      </c>
      <c r="J6683" s="7" t="s">
        <v>7323</v>
      </c>
      <c r="K6683" s="8" t="s">
        <v>6144</v>
      </c>
      <c r="L6683" s="8" t="s">
        <v>6145</v>
      </c>
      <c r="M6683" s="8" t="s">
        <v>49</v>
      </c>
      <c r="N6683" s="10" t="str">
        <f t="shared" si="578"/>
        <v>GAL</v>
      </c>
      <c r="O6683" s="11">
        <v>90</v>
      </c>
    </row>
    <row r="6684" spans="2:15" x14ac:dyDescent="0.25">
      <c r="B6684" s="6" t="s">
        <v>3238</v>
      </c>
      <c r="C6684" s="7" t="s">
        <v>3239</v>
      </c>
      <c r="D6684" s="8" t="s">
        <v>3240</v>
      </c>
      <c r="E6684" s="8" t="s">
        <v>3499</v>
      </c>
      <c r="F6684" s="9">
        <f>DATE(2024,12,20)</f>
        <v>45646</v>
      </c>
      <c r="G6684" s="10">
        <f t="shared" si="581"/>
        <v>12</v>
      </c>
      <c r="H6684" s="10">
        <f t="shared" si="582"/>
        <v>2024</v>
      </c>
      <c r="I6684" s="8" t="s">
        <v>4</v>
      </c>
      <c r="J6684" s="7" t="s">
        <v>7324</v>
      </c>
      <c r="K6684" s="8" t="s">
        <v>3947</v>
      </c>
      <c r="L6684" s="8" t="s">
        <v>5978</v>
      </c>
      <c r="M6684" s="8" t="s">
        <v>3299</v>
      </c>
      <c r="N6684" s="10" t="str">
        <f t="shared" si="578"/>
        <v>GAL</v>
      </c>
      <c r="O6684" s="11">
        <v>250</v>
      </c>
    </row>
    <row r="6685" spans="2:15" x14ac:dyDescent="0.25">
      <c r="B6685" s="6" t="s">
        <v>3238</v>
      </c>
      <c r="C6685" s="7" t="s">
        <v>3239</v>
      </c>
      <c r="D6685" s="8" t="s">
        <v>3240</v>
      </c>
      <c r="E6685" s="8" t="s">
        <v>3499</v>
      </c>
      <c r="F6685" s="9">
        <f>DATE(2024,12,20)</f>
        <v>45646</v>
      </c>
      <c r="G6685" s="10">
        <f t="shared" si="581"/>
        <v>12</v>
      </c>
      <c r="H6685" s="10">
        <f t="shared" si="582"/>
        <v>2024</v>
      </c>
      <c r="I6685" s="8" t="s">
        <v>4</v>
      </c>
      <c r="J6685" s="7" t="s">
        <v>7324</v>
      </c>
      <c r="K6685" s="8" t="s">
        <v>3390</v>
      </c>
      <c r="L6685" s="8" t="s">
        <v>3250</v>
      </c>
      <c r="M6685" s="8" t="s">
        <v>3251</v>
      </c>
      <c r="N6685" s="10" t="str">
        <f t="shared" si="578"/>
        <v>GAL</v>
      </c>
      <c r="O6685" s="11">
        <v>250</v>
      </c>
    </row>
    <row r="6686" spans="2:15" x14ac:dyDescent="0.25">
      <c r="B6686" s="6" t="s">
        <v>3238</v>
      </c>
      <c r="C6686" s="7" t="s">
        <v>3239</v>
      </c>
      <c r="D6686" s="8" t="s">
        <v>6120</v>
      </c>
      <c r="E6686" s="8" t="s">
        <v>6182</v>
      </c>
      <c r="F6686" s="9">
        <f>DATE(2024,12,20)</f>
        <v>45646</v>
      </c>
      <c r="G6686" s="10">
        <f t="shared" si="581"/>
        <v>12</v>
      </c>
      <c r="H6686" s="10">
        <f t="shared" si="582"/>
        <v>2024</v>
      </c>
      <c r="I6686" s="8" t="s">
        <v>4</v>
      </c>
      <c r="J6686" s="7" t="s">
        <v>7325</v>
      </c>
      <c r="K6686" s="8" t="s">
        <v>6489</v>
      </c>
      <c r="L6686" s="8" t="s">
        <v>6490</v>
      </c>
      <c r="M6686" s="8" t="s">
        <v>2528</v>
      </c>
      <c r="N6686" s="10" t="str">
        <f t="shared" si="578"/>
        <v>GAL</v>
      </c>
      <c r="O6686" s="11">
        <v>60</v>
      </c>
    </row>
    <row r="6687" spans="2:15" x14ac:dyDescent="0.25">
      <c r="B6687" s="6" t="s">
        <v>3238</v>
      </c>
      <c r="C6687" s="7" t="s">
        <v>3239</v>
      </c>
      <c r="D6687" s="8" t="s">
        <v>6120</v>
      </c>
      <c r="E6687" s="8" t="s">
        <v>6182</v>
      </c>
      <c r="F6687" s="9">
        <f>DATE(2024,12,20)</f>
        <v>45646</v>
      </c>
      <c r="G6687" s="10">
        <f t="shared" si="581"/>
        <v>12</v>
      </c>
      <c r="H6687" s="10">
        <f t="shared" si="582"/>
        <v>2024</v>
      </c>
      <c r="I6687" s="8" t="s">
        <v>4</v>
      </c>
      <c r="J6687" s="7" t="s">
        <v>7325</v>
      </c>
      <c r="K6687" s="8" t="s">
        <v>6491</v>
      </c>
      <c r="L6687" s="8" t="s">
        <v>6492</v>
      </c>
      <c r="M6687" s="8" t="s">
        <v>2455</v>
      </c>
      <c r="N6687" s="10" t="str">
        <f t="shared" si="578"/>
        <v>GAL</v>
      </c>
      <c r="O6687" s="11">
        <v>60</v>
      </c>
    </row>
    <row r="6688" spans="2:15" x14ac:dyDescent="0.25">
      <c r="B6688" s="6" t="s">
        <v>3238</v>
      </c>
      <c r="C6688" s="7" t="s">
        <v>3239</v>
      </c>
      <c r="D6688" s="8" t="s">
        <v>6120</v>
      </c>
      <c r="E6688" s="8" t="s">
        <v>6182</v>
      </c>
      <c r="F6688" s="9">
        <f>DATE(2024,12,20)</f>
        <v>45646</v>
      </c>
      <c r="G6688" s="10">
        <f t="shared" si="581"/>
        <v>12</v>
      </c>
      <c r="H6688" s="10">
        <f t="shared" si="582"/>
        <v>2024</v>
      </c>
      <c r="I6688" s="8" t="s">
        <v>4</v>
      </c>
      <c r="J6688" s="7" t="s">
        <v>7325</v>
      </c>
      <c r="K6688" s="8" t="s">
        <v>578</v>
      </c>
      <c r="L6688" s="8" t="s">
        <v>7326</v>
      </c>
      <c r="M6688" s="8" t="s">
        <v>73</v>
      </c>
      <c r="N6688" s="10" t="str">
        <f t="shared" si="578"/>
        <v>GAL</v>
      </c>
      <c r="O6688" s="11">
        <v>60</v>
      </c>
    </row>
    <row r="6689" spans="2:15" x14ac:dyDescent="0.25">
      <c r="B6689" s="6" t="s">
        <v>3238</v>
      </c>
      <c r="C6689" s="7" t="s">
        <v>3239</v>
      </c>
      <c r="D6689" s="8" t="s">
        <v>3240</v>
      </c>
      <c r="E6689" s="8" t="s">
        <v>3529</v>
      </c>
      <c r="F6689" s="9">
        <f>DATE(2024,12,23)</f>
        <v>45649</v>
      </c>
      <c r="G6689" s="10">
        <f t="shared" si="581"/>
        <v>12</v>
      </c>
      <c r="H6689" s="10">
        <f t="shared" si="582"/>
        <v>2024</v>
      </c>
      <c r="I6689" s="8" t="s">
        <v>4</v>
      </c>
      <c r="J6689" s="7" t="s">
        <v>7327</v>
      </c>
      <c r="K6689" s="8" t="s">
        <v>3395</v>
      </c>
      <c r="L6689" s="8" t="s">
        <v>3396</v>
      </c>
      <c r="M6689" s="8" t="s">
        <v>844</v>
      </c>
      <c r="N6689" s="10" t="str">
        <f t="shared" si="578"/>
        <v>GAL</v>
      </c>
      <c r="O6689" s="11">
        <v>275</v>
      </c>
    </row>
    <row r="6690" spans="2:15" x14ac:dyDescent="0.25">
      <c r="B6690" s="6" t="s">
        <v>3238</v>
      </c>
      <c r="C6690" s="7" t="s">
        <v>3239</v>
      </c>
      <c r="D6690" s="8" t="s">
        <v>3240</v>
      </c>
      <c r="E6690" s="8" t="s">
        <v>3379</v>
      </c>
      <c r="F6690" s="9">
        <f>DATE(2024,12,27)</f>
        <v>45653</v>
      </c>
      <c r="G6690" s="10">
        <f t="shared" si="581"/>
        <v>12</v>
      </c>
      <c r="H6690" s="10">
        <f t="shared" si="582"/>
        <v>2024</v>
      </c>
      <c r="I6690" s="8" t="s">
        <v>4</v>
      </c>
      <c r="J6690" s="7" t="s">
        <v>7328</v>
      </c>
      <c r="K6690" s="8" t="s">
        <v>3937</v>
      </c>
      <c r="L6690" s="8" t="s">
        <v>4275</v>
      </c>
      <c r="M6690" s="8" t="s">
        <v>3939</v>
      </c>
      <c r="N6690" s="10" t="str">
        <f t="shared" si="578"/>
        <v>GAL</v>
      </c>
      <c r="O6690" s="11">
        <v>250</v>
      </c>
    </row>
    <row r="6691" spans="2:15" x14ac:dyDescent="0.25">
      <c r="B6691" s="6" t="s">
        <v>3238</v>
      </c>
      <c r="C6691" s="7" t="s">
        <v>3239</v>
      </c>
      <c r="D6691" s="8" t="s">
        <v>3240</v>
      </c>
      <c r="E6691" s="8" t="s">
        <v>102</v>
      </c>
      <c r="F6691" s="9">
        <f>DATE(2024,12,30)</f>
        <v>45656</v>
      </c>
      <c r="G6691" s="10">
        <f t="shared" si="581"/>
        <v>12</v>
      </c>
      <c r="H6691" s="10">
        <f t="shared" si="582"/>
        <v>2024</v>
      </c>
      <c r="I6691" s="8" t="s">
        <v>4</v>
      </c>
      <c r="J6691" s="7" t="s">
        <v>7329</v>
      </c>
      <c r="K6691" s="8" t="s">
        <v>4257</v>
      </c>
      <c r="L6691" s="8" t="s">
        <v>4258</v>
      </c>
      <c r="M6691" s="8" t="s">
        <v>3251</v>
      </c>
      <c r="N6691" s="10" t="str">
        <f t="shared" si="578"/>
        <v>GAL</v>
      </c>
      <c r="O6691" s="11">
        <v>1300</v>
      </c>
    </row>
    <row r="6692" spans="2:15" x14ac:dyDescent="0.25">
      <c r="B6692" s="6" t="s">
        <v>3238</v>
      </c>
      <c r="C6692" s="7" t="s">
        <v>3239</v>
      </c>
      <c r="D6692" s="8" t="s">
        <v>3240</v>
      </c>
      <c r="E6692" s="8" t="s">
        <v>3388</v>
      </c>
      <c r="F6692" s="9">
        <f>DATE(2024,12,30)</f>
        <v>45656</v>
      </c>
      <c r="G6692" s="10">
        <f t="shared" si="581"/>
        <v>12</v>
      </c>
      <c r="H6692" s="10">
        <f t="shared" si="582"/>
        <v>2024</v>
      </c>
      <c r="I6692" s="8" t="s">
        <v>4</v>
      </c>
      <c r="J6692" s="7" t="s">
        <v>7330</v>
      </c>
      <c r="K6692" s="8" t="s">
        <v>4257</v>
      </c>
      <c r="L6692" s="8" t="s">
        <v>4258</v>
      </c>
      <c r="M6692" s="8" t="s">
        <v>3251</v>
      </c>
      <c r="N6692" s="10" t="str">
        <f t="shared" si="578"/>
        <v>GAL</v>
      </c>
      <c r="O6692" s="11">
        <v>500</v>
      </c>
    </row>
    <row r="6693" spans="2:15" x14ac:dyDescent="0.25">
      <c r="B6693" s="6" t="s">
        <v>3238</v>
      </c>
      <c r="C6693" s="7" t="s">
        <v>3239</v>
      </c>
      <c r="D6693" s="8" t="s">
        <v>3240</v>
      </c>
      <c r="E6693" s="8" t="s">
        <v>102</v>
      </c>
      <c r="F6693" s="9">
        <f>DATE(2024,12,30)</f>
        <v>45656</v>
      </c>
      <c r="G6693" s="10">
        <f t="shared" si="581"/>
        <v>12</v>
      </c>
      <c r="H6693" s="10">
        <f t="shared" si="582"/>
        <v>2024</v>
      </c>
      <c r="I6693" s="8" t="s">
        <v>4</v>
      </c>
      <c r="J6693" s="7" t="s">
        <v>7331</v>
      </c>
      <c r="K6693" s="8" t="s">
        <v>2530</v>
      </c>
      <c r="L6693" s="8" t="s">
        <v>3503</v>
      </c>
      <c r="M6693" s="8" t="s">
        <v>2532</v>
      </c>
      <c r="N6693" s="10" t="str">
        <f t="shared" si="578"/>
        <v>GAL</v>
      </c>
      <c r="O6693" s="11">
        <v>90</v>
      </c>
    </row>
    <row r="6694" spans="2:15" x14ac:dyDescent="0.25">
      <c r="B6694" s="6" t="s">
        <v>3238</v>
      </c>
      <c r="C6694" s="7" t="s">
        <v>3239</v>
      </c>
      <c r="D6694" s="8" t="s">
        <v>3240</v>
      </c>
      <c r="E6694" s="8" t="s">
        <v>102</v>
      </c>
      <c r="F6694" s="9">
        <f>DATE(2024,12,30)</f>
        <v>45656</v>
      </c>
      <c r="G6694" s="10">
        <f t="shared" si="581"/>
        <v>12</v>
      </c>
      <c r="H6694" s="10">
        <f t="shared" si="582"/>
        <v>2024</v>
      </c>
      <c r="I6694" s="8" t="s">
        <v>4</v>
      </c>
      <c r="J6694" s="7" t="s">
        <v>7331</v>
      </c>
      <c r="K6694" s="8" t="s">
        <v>3914</v>
      </c>
      <c r="L6694" s="8" t="s">
        <v>3915</v>
      </c>
      <c r="M6694" s="8" t="s">
        <v>3916</v>
      </c>
      <c r="N6694" s="10" t="str">
        <f t="shared" si="578"/>
        <v>GAL</v>
      </c>
      <c r="O6694" s="11">
        <v>90</v>
      </c>
    </row>
    <row r="6695" spans="2:15" x14ac:dyDescent="0.25">
      <c r="B6695" s="6" t="s">
        <v>3238</v>
      </c>
      <c r="C6695" s="7" t="s">
        <v>3239</v>
      </c>
      <c r="D6695" s="8" t="s">
        <v>6120</v>
      </c>
      <c r="E6695" s="8" t="s">
        <v>7302</v>
      </c>
      <c r="F6695" s="9">
        <f>DATE(2024,12,31)</f>
        <v>45657</v>
      </c>
      <c r="G6695" s="10">
        <f t="shared" si="581"/>
        <v>12</v>
      </c>
      <c r="H6695" s="10">
        <f t="shared" si="582"/>
        <v>2024</v>
      </c>
      <c r="I6695" s="8" t="s">
        <v>4</v>
      </c>
      <c r="J6695" s="7" t="s">
        <v>7332</v>
      </c>
      <c r="K6695" s="8" t="s">
        <v>822</v>
      </c>
      <c r="L6695" s="8" t="s">
        <v>565</v>
      </c>
      <c r="M6695" s="8" t="s">
        <v>21</v>
      </c>
      <c r="N6695" s="10" t="str">
        <f t="shared" si="578"/>
        <v>GAL</v>
      </c>
      <c r="O6695" s="11">
        <v>250</v>
      </c>
    </row>
    <row r="6696" spans="2:15" x14ac:dyDescent="0.25">
      <c r="B6696" s="20" t="s">
        <v>3238</v>
      </c>
      <c r="C6696" s="7" t="s">
        <v>3239</v>
      </c>
      <c r="D6696" s="8" t="s">
        <v>3240</v>
      </c>
      <c r="E6696" s="8" t="s">
        <v>6123</v>
      </c>
      <c r="F6696" s="9">
        <f>DATE(2024,12,31)</f>
        <v>45657</v>
      </c>
      <c r="G6696" s="10">
        <f t="shared" si="581"/>
        <v>12</v>
      </c>
      <c r="H6696" s="10">
        <f t="shared" si="582"/>
        <v>2024</v>
      </c>
      <c r="I6696" s="8" t="s">
        <v>4</v>
      </c>
      <c r="J6696" s="7" t="s">
        <v>7333</v>
      </c>
      <c r="K6696" s="8" t="s">
        <v>3497</v>
      </c>
      <c r="L6696" s="8" t="s">
        <v>3498</v>
      </c>
      <c r="M6696" s="8" t="s">
        <v>556</v>
      </c>
      <c r="N6696" s="10" t="str">
        <f t="shared" si="578"/>
        <v>GAL</v>
      </c>
      <c r="O6696" s="11">
        <v>500</v>
      </c>
    </row>
    <row r="6697" spans="2:15" x14ac:dyDescent="0.25">
      <c r="B6697" s="20" t="s">
        <v>3238</v>
      </c>
      <c r="C6697" s="7" t="s">
        <v>3239</v>
      </c>
      <c r="D6697" s="8" t="s">
        <v>3240</v>
      </c>
      <c r="E6697" s="8" t="s">
        <v>6123</v>
      </c>
      <c r="F6697" s="9">
        <f>DATE(2024,12,31)</f>
        <v>45657</v>
      </c>
      <c r="G6697" s="10">
        <f t="shared" si="581"/>
        <v>12</v>
      </c>
      <c r="H6697" s="10">
        <f t="shared" si="582"/>
        <v>2024</v>
      </c>
      <c r="I6697" s="8" t="s">
        <v>4</v>
      </c>
      <c r="J6697" s="7" t="s">
        <v>7333</v>
      </c>
      <c r="K6697" s="8" t="s">
        <v>3531</v>
      </c>
      <c r="L6697" s="8" t="s">
        <v>6380</v>
      </c>
      <c r="M6697" s="8" t="s">
        <v>41</v>
      </c>
      <c r="N6697" s="10" t="str">
        <f t="shared" si="578"/>
        <v>GAL</v>
      </c>
      <c r="O6697" s="11">
        <v>250</v>
      </c>
    </row>
    <row r="6698" spans="2:15" x14ac:dyDescent="0.25">
      <c r="B6698" s="20" t="s">
        <v>3238</v>
      </c>
      <c r="C6698" s="7" t="s">
        <v>3239</v>
      </c>
      <c r="D6698" s="8" t="s">
        <v>3240</v>
      </c>
      <c r="E6698" s="8" t="s">
        <v>6123</v>
      </c>
      <c r="F6698" s="9">
        <f>DATE(2024,12,31)</f>
        <v>45657</v>
      </c>
      <c r="G6698" s="10">
        <f t="shared" si="581"/>
        <v>12</v>
      </c>
      <c r="H6698" s="10">
        <f t="shared" si="582"/>
        <v>2024</v>
      </c>
      <c r="I6698" s="8" t="s">
        <v>4</v>
      </c>
      <c r="J6698" s="7" t="s">
        <v>7333</v>
      </c>
      <c r="K6698" s="8" t="s">
        <v>3399</v>
      </c>
      <c r="L6698" s="8" t="s">
        <v>3400</v>
      </c>
      <c r="M6698" s="8" t="s">
        <v>3401</v>
      </c>
      <c r="N6698" s="10" t="str">
        <f t="shared" si="578"/>
        <v>GAL</v>
      </c>
      <c r="O6698" s="11">
        <v>250</v>
      </c>
    </row>
    <row r="6699" spans="2:15" x14ac:dyDescent="0.25">
      <c r="B6699" s="20" t="s">
        <v>3238</v>
      </c>
      <c r="C6699" s="7" t="s">
        <v>3239</v>
      </c>
      <c r="D6699" s="8" t="s">
        <v>3240</v>
      </c>
      <c r="E6699" s="8" t="s">
        <v>6123</v>
      </c>
      <c r="F6699" s="9">
        <f>DATE(2024,12,31)</f>
        <v>45657</v>
      </c>
      <c r="G6699" s="10">
        <f t="shared" si="581"/>
        <v>12</v>
      </c>
      <c r="H6699" s="10">
        <f t="shared" si="582"/>
        <v>2024</v>
      </c>
      <c r="I6699" s="8" t="s">
        <v>4</v>
      </c>
      <c r="J6699" s="7" t="s">
        <v>7333</v>
      </c>
      <c r="K6699" s="8" t="s">
        <v>3946</v>
      </c>
      <c r="L6699" s="8" t="s">
        <v>3506</v>
      </c>
      <c r="M6699" s="8" t="s">
        <v>917</v>
      </c>
      <c r="N6699" s="10" t="str">
        <f t="shared" si="578"/>
        <v>GAL</v>
      </c>
      <c r="O6699" s="11">
        <v>250</v>
      </c>
    </row>
    <row r="6700" spans="2:15" x14ac:dyDescent="0.25">
      <c r="B6700" s="6" t="s">
        <v>0</v>
      </c>
      <c r="C6700" s="7" t="s">
        <v>1</v>
      </c>
      <c r="D6700" s="8" t="s">
        <v>2</v>
      </c>
      <c r="E6700" s="8" t="s">
        <v>4287</v>
      </c>
      <c r="F6700" s="9">
        <f t="shared" ref="F6700:F6705" si="583">DATE(2025,1,8)</f>
        <v>45665</v>
      </c>
      <c r="G6700" s="10">
        <f t="shared" si="581"/>
        <v>1</v>
      </c>
      <c r="H6700" s="10">
        <f t="shared" si="582"/>
        <v>2025</v>
      </c>
      <c r="I6700" s="8" t="s">
        <v>4</v>
      </c>
      <c r="J6700" s="7" t="s">
        <v>7334</v>
      </c>
      <c r="K6700" s="8" t="s">
        <v>28</v>
      </c>
      <c r="L6700" s="8" t="s">
        <v>29</v>
      </c>
      <c r="M6700" s="8" t="s">
        <v>30</v>
      </c>
      <c r="N6700" s="10" t="str">
        <f t="shared" si="578"/>
        <v>GAL</v>
      </c>
      <c r="O6700" s="11">
        <v>120</v>
      </c>
    </row>
    <row r="6701" spans="2:15" x14ac:dyDescent="0.25">
      <c r="B6701" s="6" t="s">
        <v>0</v>
      </c>
      <c r="C6701" s="7" t="s">
        <v>1</v>
      </c>
      <c r="D6701" s="8" t="s">
        <v>2</v>
      </c>
      <c r="E6701" s="8" t="s">
        <v>4287</v>
      </c>
      <c r="F6701" s="9">
        <f t="shared" si="583"/>
        <v>45665</v>
      </c>
      <c r="G6701" s="10">
        <f t="shared" si="581"/>
        <v>1</v>
      </c>
      <c r="H6701" s="10">
        <f t="shared" si="582"/>
        <v>2025</v>
      </c>
      <c r="I6701" s="8" t="s">
        <v>4</v>
      </c>
      <c r="J6701" s="7" t="s">
        <v>7334</v>
      </c>
      <c r="K6701" s="8" t="s">
        <v>83</v>
      </c>
      <c r="L6701" s="8" t="s">
        <v>84</v>
      </c>
      <c r="M6701" s="8" t="s">
        <v>85</v>
      </c>
      <c r="N6701" s="10" t="str">
        <f t="shared" si="578"/>
        <v>GAL</v>
      </c>
      <c r="O6701" s="11">
        <v>120</v>
      </c>
    </row>
    <row r="6702" spans="2:15" x14ac:dyDescent="0.25">
      <c r="B6702" s="6" t="s">
        <v>0</v>
      </c>
      <c r="C6702" s="7" t="s">
        <v>1</v>
      </c>
      <c r="D6702" s="8" t="s">
        <v>2</v>
      </c>
      <c r="E6702" s="8" t="s">
        <v>4287</v>
      </c>
      <c r="F6702" s="9">
        <f t="shared" si="583"/>
        <v>45665</v>
      </c>
      <c r="G6702" s="10">
        <f t="shared" si="581"/>
        <v>1</v>
      </c>
      <c r="H6702" s="10">
        <f t="shared" si="582"/>
        <v>2025</v>
      </c>
      <c r="I6702" s="8" t="s">
        <v>4</v>
      </c>
      <c r="J6702" s="7" t="s">
        <v>7334</v>
      </c>
      <c r="K6702" s="8" t="s">
        <v>574</v>
      </c>
      <c r="L6702" s="8" t="s">
        <v>66</v>
      </c>
      <c r="M6702" s="8" t="s">
        <v>67</v>
      </c>
      <c r="N6702" s="10" t="str">
        <f t="shared" si="578"/>
        <v>GAL</v>
      </c>
      <c r="O6702" s="11">
        <v>60</v>
      </c>
    </row>
    <row r="6703" spans="2:15" x14ac:dyDescent="0.25">
      <c r="B6703" s="6" t="s">
        <v>0</v>
      </c>
      <c r="C6703" s="7" t="s">
        <v>1</v>
      </c>
      <c r="D6703" s="8" t="s">
        <v>2</v>
      </c>
      <c r="E6703" s="8" t="s">
        <v>4287</v>
      </c>
      <c r="F6703" s="9">
        <f t="shared" si="583"/>
        <v>45665</v>
      </c>
      <c r="G6703" s="10">
        <f t="shared" si="581"/>
        <v>1</v>
      </c>
      <c r="H6703" s="10">
        <f t="shared" si="582"/>
        <v>2025</v>
      </c>
      <c r="I6703" s="8" t="s">
        <v>4</v>
      </c>
      <c r="J6703" s="7" t="s">
        <v>7334</v>
      </c>
      <c r="K6703" s="8" t="s">
        <v>25</v>
      </c>
      <c r="L6703" s="8" t="s">
        <v>26</v>
      </c>
      <c r="M6703" s="8" t="s">
        <v>27</v>
      </c>
      <c r="N6703" s="10" t="str">
        <f t="shared" si="578"/>
        <v>GAL</v>
      </c>
      <c r="O6703" s="11">
        <v>120</v>
      </c>
    </row>
    <row r="6704" spans="2:15" x14ac:dyDescent="0.25">
      <c r="B6704" s="6" t="s">
        <v>0</v>
      </c>
      <c r="C6704" s="7" t="s">
        <v>1</v>
      </c>
      <c r="D6704" s="8" t="s">
        <v>2</v>
      </c>
      <c r="E6704" s="8" t="s">
        <v>4287</v>
      </c>
      <c r="F6704" s="9">
        <f t="shared" si="583"/>
        <v>45665</v>
      </c>
      <c r="G6704" s="10">
        <f t="shared" si="581"/>
        <v>1</v>
      </c>
      <c r="H6704" s="10">
        <f t="shared" si="582"/>
        <v>2025</v>
      </c>
      <c r="I6704" s="8" t="s">
        <v>4</v>
      </c>
      <c r="J6704" s="7" t="s">
        <v>7334</v>
      </c>
      <c r="K6704" s="8" t="s">
        <v>16</v>
      </c>
      <c r="L6704" s="8" t="s">
        <v>7</v>
      </c>
      <c r="M6704" s="8" t="s">
        <v>8</v>
      </c>
      <c r="N6704" s="10" t="str">
        <f t="shared" si="578"/>
        <v>GAL</v>
      </c>
      <c r="O6704" s="11">
        <v>120</v>
      </c>
    </row>
    <row r="6705" spans="2:15" x14ac:dyDescent="0.25">
      <c r="B6705" s="6" t="s">
        <v>0</v>
      </c>
      <c r="C6705" s="7" t="s">
        <v>1</v>
      </c>
      <c r="D6705" s="8" t="s">
        <v>2</v>
      </c>
      <c r="E6705" s="8" t="s">
        <v>4287</v>
      </c>
      <c r="F6705" s="9">
        <f t="shared" si="583"/>
        <v>45665</v>
      </c>
      <c r="G6705" s="10">
        <f t="shared" si="581"/>
        <v>1</v>
      </c>
      <c r="H6705" s="10">
        <f t="shared" si="582"/>
        <v>2025</v>
      </c>
      <c r="I6705" s="8" t="s">
        <v>4</v>
      </c>
      <c r="J6705" s="7" t="s">
        <v>7334</v>
      </c>
      <c r="K6705" s="8" t="s">
        <v>19</v>
      </c>
      <c r="L6705" s="8" t="s">
        <v>6006</v>
      </c>
      <c r="M6705" s="8" t="s">
        <v>21</v>
      </c>
      <c r="N6705" s="10" t="str">
        <f t="shared" si="578"/>
        <v>GAL</v>
      </c>
      <c r="O6705" s="11">
        <v>60</v>
      </c>
    </row>
    <row r="6706" spans="2:15" x14ac:dyDescent="0.25">
      <c r="B6706" s="6" t="s">
        <v>0</v>
      </c>
      <c r="C6706" s="7" t="s">
        <v>1</v>
      </c>
      <c r="D6706" s="8" t="s">
        <v>2</v>
      </c>
      <c r="E6706" s="8" t="s">
        <v>6413</v>
      </c>
      <c r="F6706" s="9">
        <f t="shared" ref="F6706:F6713" si="584">DATE(2025,1,13)</f>
        <v>45670</v>
      </c>
      <c r="G6706" s="10">
        <f t="shared" si="581"/>
        <v>1</v>
      </c>
      <c r="H6706" s="10">
        <f t="shared" si="582"/>
        <v>2025</v>
      </c>
      <c r="I6706" s="8" t="s">
        <v>4</v>
      </c>
      <c r="J6706" s="7" t="s">
        <v>7335</v>
      </c>
      <c r="K6706" s="8" t="s">
        <v>28</v>
      </c>
      <c r="L6706" s="8" t="s">
        <v>29</v>
      </c>
      <c r="M6706" s="8" t="s">
        <v>30</v>
      </c>
      <c r="N6706" s="10" t="str">
        <f t="shared" si="578"/>
        <v>GAL</v>
      </c>
      <c r="O6706" s="11">
        <v>20</v>
      </c>
    </row>
    <row r="6707" spans="2:15" x14ac:dyDescent="0.25">
      <c r="B6707" s="6" t="s">
        <v>0</v>
      </c>
      <c r="C6707" s="7" t="s">
        <v>1</v>
      </c>
      <c r="D6707" s="8" t="s">
        <v>2</v>
      </c>
      <c r="E6707" s="8" t="s">
        <v>6413</v>
      </c>
      <c r="F6707" s="9">
        <f t="shared" si="584"/>
        <v>45670</v>
      </c>
      <c r="G6707" s="10">
        <f t="shared" si="581"/>
        <v>1</v>
      </c>
      <c r="H6707" s="10">
        <f t="shared" si="582"/>
        <v>2025</v>
      </c>
      <c r="I6707" s="8" t="s">
        <v>4</v>
      </c>
      <c r="J6707" s="7" t="s">
        <v>7335</v>
      </c>
      <c r="K6707" s="8" t="s">
        <v>6</v>
      </c>
      <c r="L6707" s="8" t="s">
        <v>7</v>
      </c>
      <c r="M6707" s="8" t="s">
        <v>8</v>
      </c>
      <c r="N6707" s="10" t="str">
        <f t="shared" si="578"/>
        <v>GAL</v>
      </c>
      <c r="O6707" s="11">
        <v>55</v>
      </c>
    </row>
    <row r="6708" spans="2:15" x14ac:dyDescent="0.25">
      <c r="B6708" s="6" t="s">
        <v>0</v>
      </c>
      <c r="C6708" s="7" t="s">
        <v>1</v>
      </c>
      <c r="D6708" s="8" t="s">
        <v>2</v>
      </c>
      <c r="E6708" s="8" t="s">
        <v>6413</v>
      </c>
      <c r="F6708" s="9">
        <f t="shared" si="584"/>
        <v>45670</v>
      </c>
      <c r="G6708" s="10">
        <f t="shared" si="581"/>
        <v>1</v>
      </c>
      <c r="H6708" s="10">
        <f t="shared" si="582"/>
        <v>2025</v>
      </c>
      <c r="I6708" s="8" t="s">
        <v>4</v>
      </c>
      <c r="J6708" s="7" t="s">
        <v>7335</v>
      </c>
      <c r="K6708" s="8" t="s">
        <v>566</v>
      </c>
      <c r="L6708" s="8" t="s">
        <v>20</v>
      </c>
      <c r="M6708" s="8" t="s">
        <v>21</v>
      </c>
      <c r="N6708" s="10" t="str">
        <f t="shared" si="578"/>
        <v>GAL</v>
      </c>
      <c r="O6708" s="11">
        <v>55</v>
      </c>
    </row>
    <row r="6709" spans="2:15" x14ac:dyDescent="0.25">
      <c r="B6709" s="6" t="s">
        <v>0</v>
      </c>
      <c r="C6709" s="7" t="s">
        <v>1</v>
      </c>
      <c r="D6709" s="8" t="s">
        <v>2</v>
      </c>
      <c r="E6709" s="8" t="s">
        <v>1787</v>
      </c>
      <c r="F6709" s="9">
        <f t="shared" si="584"/>
        <v>45670</v>
      </c>
      <c r="G6709" s="10">
        <f t="shared" si="581"/>
        <v>1</v>
      </c>
      <c r="H6709" s="10">
        <f t="shared" si="582"/>
        <v>2025</v>
      </c>
      <c r="I6709" s="8" t="s">
        <v>4</v>
      </c>
      <c r="J6709" s="7" t="s">
        <v>7336</v>
      </c>
      <c r="K6709" s="8" t="s">
        <v>1786</v>
      </c>
      <c r="L6709" s="8" t="s">
        <v>84</v>
      </c>
      <c r="M6709" s="8" t="s">
        <v>85</v>
      </c>
      <c r="N6709" s="10" t="str">
        <f t="shared" si="578"/>
        <v>GAL</v>
      </c>
      <c r="O6709" s="11">
        <v>55</v>
      </c>
    </row>
    <row r="6710" spans="2:15" x14ac:dyDescent="0.25">
      <c r="B6710" s="6" t="s">
        <v>0</v>
      </c>
      <c r="C6710" s="7" t="s">
        <v>1</v>
      </c>
      <c r="D6710" s="8" t="s">
        <v>2</v>
      </c>
      <c r="E6710" s="8" t="s">
        <v>1787</v>
      </c>
      <c r="F6710" s="9">
        <f t="shared" si="584"/>
        <v>45670</v>
      </c>
      <c r="G6710" s="10">
        <f t="shared" si="581"/>
        <v>1</v>
      </c>
      <c r="H6710" s="10">
        <f t="shared" si="582"/>
        <v>2025</v>
      </c>
      <c r="I6710" s="8" t="s">
        <v>4</v>
      </c>
      <c r="J6710" s="7" t="s">
        <v>7336</v>
      </c>
      <c r="K6710" s="8" t="s">
        <v>6</v>
      </c>
      <c r="L6710" s="8" t="s">
        <v>7</v>
      </c>
      <c r="M6710" s="8" t="s">
        <v>8</v>
      </c>
      <c r="N6710" s="10" t="str">
        <f t="shared" si="578"/>
        <v>GAL</v>
      </c>
      <c r="O6710" s="11">
        <v>55</v>
      </c>
    </row>
    <row r="6711" spans="2:15" x14ac:dyDescent="0.25">
      <c r="B6711" s="6" t="s">
        <v>0</v>
      </c>
      <c r="C6711" s="7" t="s">
        <v>1</v>
      </c>
      <c r="D6711" s="8" t="s">
        <v>2</v>
      </c>
      <c r="E6711" s="8" t="s">
        <v>1787</v>
      </c>
      <c r="F6711" s="9">
        <f t="shared" si="584"/>
        <v>45670</v>
      </c>
      <c r="G6711" s="10">
        <f t="shared" si="581"/>
        <v>1</v>
      </c>
      <c r="H6711" s="10">
        <f t="shared" si="582"/>
        <v>2025</v>
      </c>
      <c r="I6711" s="8" t="s">
        <v>4</v>
      </c>
      <c r="J6711" s="7" t="s">
        <v>7336</v>
      </c>
      <c r="K6711" s="8" t="s">
        <v>566</v>
      </c>
      <c r="L6711" s="8" t="s">
        <v>20</v>
      </c>
      <c r="M6711" s="8" t="s">
        <v>21</v>
      </c>
      <c r="N6711" s="10" t="str">
        <f t="shared" si="578"/>
        <v>GAL</v>
      </c>
      <c r="O6711" s="11">
        <v>55</v>
      </c>
    </row>
    <row r="6712" spans="2:15" x14ac:dyDescent="0.25">
      <c r="B6712" s="6" t="s">
        <v>0</v>
      </c>
      <c r="C6712" s="7" t="s">
        <v>1</v>
      </c>
      <c r="D6712" s="8" t="s">
        <v>2</v>
      </c>
      <c r="E6712" s="8" t="s">
        <v>1784</v>
      </c>
      <c r="F6712" s="9">
        <f t="shared" si="584"/>
        <v>45670</v>
      </c>
      <c r="G6712" s="10">
        <f t="shared" si="581"/>
        <v>1</v>
      </c>
      <c r="H6712" s="10">
        <f t="shared" si="582"/>
        <v>2025</v>
      </c>
      <c r="I6712" s="8" t="s">
        <v>4</v>
      </c>
      <c r="J6712" s="7" t="s">
        <v>7337</v>
      </c>
      <c r="K6712" s="8" t="s">
        <v>28</v>
      </c>
      <c r="L6712" s="8" t="s">
        <v>29</v>
      </c>
      <c r="M6712" s="8" t="s">
        <v>30</v>
      </c>
      <c r="N6712" s="10" t="str">
        <f t="shared" si="578"/>
        <v>GAL</v>
      </c>
      <c r="O6712" s="11">
        <v>30</v>
      </c>
    </row>
    <row r="6713" spans="2:15" x14ac:dyDescent="0.25">
      <c r="B6713" s="6" t="s">
        <v>0</v>
      </c>
      <c r="C6713" s="7" t="s">
        <v>1</v>
      </c>
      <c r="D6713" s="8" t="s">
        <v>2</v>
      </c>
      <c r="E6713" s="8" t="s">
        <v>1784</v>
      </c>
      <c r="F6713" s="9">
        <f t="shared" si="584"/>
        <v>45670</v>
      </c>
      <c r="G6713" s="10">
        <f t="shared" si="581"/>
        <v>1</v>
      </c>
      <c r="H6713" s="10">
        <f t="shared" si="582"/>
        <v>2025</v>
      </c>
      <c r="I6713" s="8" t="s">
        <v>4</v>
      </c>
      <c r="J6713" s="7" t="s">
        <v>7337</v>
      </c>
      <c r="K6713" s="8" t="s">
        <v>1786</v>
      </c>
      <c r="L6713" s="8" t="s">
        <v>84</v>
      </c>
      <c r="M6713" s="8" t="s">
        <v>85</v>
      </c>
      <c r="N6713" s="10" t="str">
        <f t="shared" si="578"/>
        <v>GAL</v>
      </c>
      <c r="O6713" s="11">
        <v>55</v>
      </c>
    </row>
    <row r="6714" spans="2:15" x14ac:dyDescent="0.25">
      <c r="B6714" s="6" t="s">
        <v>0</v>
      </c>
      <c r="C6714" s="7" t="s">
        <v>1</v>
      </c>
      <c r="D6714" s="8" t="s">
        <v>2</v>
      </c>
      <c r="E6714" s="8" t="s">
        <v>1784</v>
      </c>
      <c r="F6714" s="9">
        <f>DATE(2025,1,17)</f>
        <v>45674</v>
      </c>
      <c r="G6714" s="10">
        <f t="shared" si="581"/>
        <v>1</v>
      </c>
      <c r="H6714" s="10">
        <f t="shared" si="582"/>
        <v>2025</v>
      </c>
      <c r="I6714" s="8" t="s">
        <v>4</v>
      </c>
      <c r="J6714" s="7" t="s">
        <v>7338</v>
      </c>
      <c r="K6714" s="8" t="s">
        <v>566</v>
      </c>
      <c r="L6714" s="8" t="s">
        <v>20</v>
      </c>
      <c r="M6714" s="8" t="s">
        <v>21</v>
      </c>
      <c r="N6714" s="10" t="str">
        <f t="shared" si="578"/>
        <v>GAL</v>
      </c>
      <c r="O6714" s="11">
        <v>55</v>
      </c>
    </row>
    <row r="6715" spans="2:15" x14ac:dyDescent="0.25">
      <c r="B6715" s="6" t="s">
        <v>0</v>
      </c>
      <c r="C6715" s="7" t="s">
        <v>1</v>
      </c>
      <c r="D6715" s="8" t="s">
        <v>2</v>
      </c>
      <c r="E6715" s="8" t="s">
        <v>86</v>
      </c>
      <c r="F6715" s="9">
        <f>DATE(2025,1,17)</f>
        <v>45674</v>
      </c>
      <c r="G6715" s="10">
        <f t="shared" si="581"/>
        <v>1</v>
      </c>
      <c r="H6715" s="10">
        <f t="shared" si="582"/>
        <v>2025</v>
      </c>
      <c r="I6715" s="8" t="s">
        <v>4</v>
      </c>
      <c r="J6715" s="7" t="s">
        <v>7339</v>
      </c>
      <c r="K6715" s="8" t="s">
        <v>11</v>
      </c>
      <c r="L6715" s="8" t="s">
        <v>12</v>
      </c>
      <c r="M6715" s="8" t="s">
        <v>13</v>
      </c>
      <c r="N6715" s="10" t="str">
        <f t="shared" si="578"/>
        <v>GAL</v>
      </c>
      <c r="O6715" s="11">
        <v>110</v>
      </c>
    </row>
    <row r="6716" spans="2:15" x14ac:dyDescent="0.25">
      <c r="B6716" s="6" t="s">
        <v>0</v>
      </c>
      <c r="C6716" s="7" t="s">
        <v>1</v>
      </c>
      <c r="D6716" s="8" t="s">
        <v>2</v>
      </c>
      <c r="E6716" s="8" t="s">
        <v>4287</v>
      </c>
      <c r="F6716" s="9">
        <f>DATE(2025,1,20)</f>
        <v>45677</v>
      </c>
      <c r="G6716" s="10">
        <f t="shared" si="581"/>
        <v>1</v>
      </c>
      <c r="H6716" s="10">
        <f t="shared" si="582"/>
        <v>2025</v>
      </c>
      <c r="I6716" s="8" t="s">
        <v>4</v>
      </c>
      <c r="J6716" s="7" t="s">
        <v>7340</v>
      </c>
      <c r="K6716" s="8" t="s">
        <v>50</v>
      </c>
      <c r="L6716" s="8" t="s">
        <v>51</v>
      </c>
      <c r="M6716" s="8" t="s">
        <v>52</v>
      </c>
      <c r="N6716" s="10" t="str">
        <f t="shared" si="578"/>
        <v>GAL</v>
      </c>
      <c r="O6716" s="11">
        <v>120</v>
      </c>
    </row>
    <row r="6717" spans="2:15" x14ac:dyDescent="0.25">
      <c r="B6717" s="6" t="s">
        <v>0</v>
      </c>
      <c r="C6717" s="7" t="s">
        <v>1</v>
      </c>
      <c r="D6717" s="8" t="s">
        <v>2</v>
      </c>
      <c r="E6717" s="8" t="s">
        <v>4287</v>
      </c>
      <c r="F6717" s="9">
        <f>DATE(2025,1,20)</f>
        <v>45677</v>
      </c>
      <c r="G6717" s="10">
        <f t="shared" si="581"/>
        <v>1</v>
      </c>
      <c r="H6717" s="10">
        <f t="shared" si="582"/>
        <v>2025</v>
      </c>
      <c r="I6717" s="8" t="s">
        <v>4</v>
      </c>
      <c r="J6717" s="7" t="s">
        <v>7340</v>
      </c>
      <c r="K6717" s="8" t="s">
        <v>47</v>
      </c>
      <c r="L6717" s="8" t="s">
        <v>48</v>
      </c>
      <c r="M6717" s="8" t="s">
        <v>49</v>
      </c>
      <c r="N6717" s="10" t="str">
        <f t="shared" si="578"/>
        <v>GAL</v>
      </c>
      <c r="O6717" s="11">
        <v>60</v>
      </c>
    </row>
    <row r="6718" spans="2:15" x14ac:dyDescent="0.25">
      <c r="B6718" s="6" t="s">
        <v>0</v>
      </c>
      <c r="C6718" s="7" t="s">
        <v>1</v>
      </c>
      <c r="D6718" s="8" t="s">
        <v>2</v>
      </c>
      <c r="E6718" s="8" t="s">
        <v>4287</v>
      </c>
      <c r="F6718" s="9">
        <f>DATE(2025,1,20)</f>
        <v>45677</v>
      </c>
      <c r="G6718" s="10">
        <f t="shared" si="581"/>
        <v>1</v>
      </c>
      <c r="H6718" s="10">
        <f t="shared" si="582"/>
        <v>2025</v>
      </c>
      <c r="I6718" s="8" t="s">
        <v>4</v>
      </c>
      <c r="J6718" s="7" t="s">
        <v>7340</v>
      </c>
      <c r="K6718" s="8" t="s">
        <v>19</v>
      </c>
      <c r="L6718" s="8" t="s">
        <v>6006</v>
      </c>
      <c r="M6718" s="8" t="s">
        <v>21</v>
      </c>
      <c r="N6718" s="10" t="str">
        <f t="shared" ref="N6718:N6781" si="585">+LEFT(M6718,3)</f>
        <v>GAL</v>
      </c>
      <c r="O6718" s="11">
        <v>40</v>
      </c>
    </row>
    <row r="6719" spans="2:15" x14ac:dyDescent="0.25">
      <c r="B6719" s="6" t="s">
        <v>0</v>
      </c>
      <c r="C6719" s="7" t="s">
        <v>1</v>
      </c>
      <c r="D6719" s="8" t="s">
        <v>2</v>
      </c>
      <c r="E6719" s="8" t="s">
        <v>4287</v>
      </c>
      <c r="F6719" s="9">
        <f>DATE(2025,1,20)</f>
        <v>45677</v>
      </c>
      <c r="G6719" s="10">
        <f t="shared" si="581"/>
        <v>1</v>
      </c>
      <c r="H6719" s="10">
        <f t="shared" si="582"/>
        <v>2025</v>
      </c>
      <c r="I6719" s="8" t="s">
        <v>4</v>
      </c>
      <c r="J6719" s="7" t="s">
        <v>7340</v>
      </c>
      <c r="K6719" s="8" t="s">
        <v>578</v>
      </c>
      <c r="L6719" s="8" t="s">
        <v>72</v>
      </c>
      <c r="M6719" s="8" t="s">
        <v>73</v>
      </c>
      <c r="N6719" s="10" t="str">
        <f t="shared" si="585"/>
        <v>GAL</v>
      </c>
      <c r="O6719" s="11">
        <v>20</v>
      </c>
    </row>
    <row r="6720" spans="2:15" x14ac:dyDescent="0.25">
      <c r="B6720" s="6" t="s">
        <v>0</v>
      </c>
      <c r="C6720" s="7" t="s">
        <v>1</v>
      </c>
      <c r="D6720" s="8" t="s">
        <v>55</v>
      </c>
      <c r="E6720" s="8" t="s">
        <v>56</v>
      </c>
      <c r="F6720" s="9">
        <f>DATE(2025,1,28)</f>
        <v>45685</v>
      </c>
      <c r="G6720" s="10">
        <f t="shared" si="581"/>
        <v>1</v>
      </c>
      <c r="H6720" s="10">
        <f t="shared" si="582"/>
        <v>2025</v>
      </c>
      <c r="I6720" s="8" t="s">
        <v>4</v>
      </c>
      <c r="J6720" s="7" t="s">
        <v>7341</v>
      </c>
      <c r="K6720" s="8" t="s">
        <v>83</v>
      </c>
      <c r="L6720" s="8" t="s">
        <v>584</v>
      </c>
      <c r="M6720" s="8" t="s">
        <v>85</v>
      </c>
      <c r="N6720" s="10" t="str">
        <f t="shared" si="585"/>
        <v>GAL</v>
      </c>
      <c r="O6720" s="11">
        <v>55</v>
      </c>
    </row>
    <row r="6721" spans="2:15" x14ac:dyDescent="0.25">
      <c r="B6721" s="6" t="s">
        <v>0</v>
      </c>
      <c r="C6721" s="7" t="s">
        <v>1</v>
      </c>
      <c r="D6721" s="8" t="s">
        <v>55</v>
      </c>
      <c r="E6721" s="8" t="s">
        <v>56</v>
      </c>
      <c r="F6721" s="9">
        <f>DATE(2025,1,28)</f>
        <v>45685</v>
      </c>
      <c r="G6721" s="10">
        <f t="shared" si="581"/>
        <v>1</v>
      </c>
      <c r="H6721" s="10">
        <f t="shared" si="582"/>
        <v>2025</v>
      </c>
      <c r="I6721" s="8" t="s">
        <v>4</v>
      </c>
      <c r="J6721" s="7" t="s">
        <v>7341</v>
      </c>
      <c r="K6721" s="8" t="s">
        <v>585</v>
      </c>
      <c r="L6721" s="8" t="s">
        <v>586</v>
      </c>
      <c r="M6721" s="8" t="s">
        <v>587</v>
      </c>
      <c r="N6721" s="10" t="str">
        <f t="shared" si="585"/>
        <v>GAL</v>
      </c>
      <c r="O6721" s="11">
        <v>55</v>
      </c>
    </row>
    <row r="6722" spans="2:15" x14ac:dyDescent="0.25">
      <c r="B6722" s="6" t="s">
        <v>0</v>
      </c>
      <c r="C6722" s="7" t="s">
        <v>1</v>
      </c>
      <c r="D6722" s="8" t="s">
        <v>2</v>
      </c>
      <c r="E6722" s="8" t="s">
        <v>4287</v>
      </c>
      <c r="F6722" s="9">
        <f t="shared" ref="F6722:F6729" si="586">DATE(2025,1,29)</f>
        <v>45686</v>
      </c>
      <c r="G6722" s="10">
        <f t="shared" si="581"/>
        <v>1</v>
      </c>
      <c r="H6722" s="10">
        <f t="shared" si="582"/>
        <v>2025</v>
      </c>
      <c r="I6722" s="8" t="s">
        <v>4</v>
      </c>
      <c r="J6722" s="7" t="s">
        <v>7342</v>
      </c>
      <c r="K6722" s="8" t="s">
        <v>22</v>
      </c>
      <c r="L6722" s="8" t="s">
        <v>23</v>
      </c>
      <c r="M6722" s="8" t="s">
        <v>24</v>
      </c>
      <c r="N6722" s="10" t="str">
        <f t="shared" si="585"/>
        <v>GAL</v>
      </c>
      <c r="O6722" s="11">
        <v>60</v>
      </c>
    </row>
    <row r="6723" spans="2:15" x14ac:dyDescent="0.25">
      <c r="B6723" s="6" t="s">
        <v>0</v>
      </c>
      <c r="C6723" s="7" t="s">
        <v>1</v>
      </c>
      <c r="D6723" s="8" t="s">
        <v>2</v>
      </c>
      <c r="E6723" s="8" t="s">
        <v>4287</v>
      </c>
      <c r="F6723" s="9">
        <f t="shared" si="586"/>
        <v>45686</v>
      </c>
      <c r="G6723" s="10">
        <f t="shared" si="581"/>
        <v>1</v>
      </c>
      <c r="H6723" s="10">
        <f t="shared" si="582"/>
        <v>2025</v>
      </c>
      <c r="I6723" s="8" t="s">
        <v>4</v>
      </c>
      <c r="J6723" s="7" t="s">
        <v>7342</v>
      </c>
      <c r="K6723" s="8" t="s">
        <v>80</v>
      </c>
      <c r="L6723" s="8" t="s">
        <v>81</v>
      </c>
      <c r="M6723" s="8" t="s">
        <v>82</v>
      </c>
      <c r="N6723" s="10" t="str">
        <f t="shared" si="585"/>
        <v>GAL</v>
      </c>
      <c r="O6723" s="11">
        <v>120</v>
      </c>
    </row>
    <row r="6724" spans="2:15" x14ac:dyDescent="0.25">
      <c r="B6724" s="6" t="s">
        <v>0</v>
      </c>
      <c r="C6724" s="7" t="s">
        <v>1</v>
      </c>
      <c r="D6724" s="8" t="s">
        <v>2</v>
      </c>
      <c r="E6724" s="8" t="s">
        <v>4287</v>
      </c>
      <c r="F6724" s="9">
        <f t="shared" si="586"/>
        <v>45686</v>
      </c>
      <c r="G6724" s="10">
        <f t="shared" si="581"/>
        <v>1</v>
      </c>
      <c r="H6724" s="10">
        <f t="shared" si="582"/>
        <v>2025</v>
      </c>
      <c r="I6724" s="8" t="s">
        <v>4</v>
      </c>
      <c r="J6724" s="7" t="s">
        <v>7342</v>
      </c>
      <c r="K6724" s="8" t="s">
        <v>33</v>
      </c>
      <c r="L6724" s="8" t="s">
        <v>34</v>
      </c>
      <c r="M6724" s="8" t="s">
        <v>35</v>
      </c>
      <c r="N6724" s="10" t="str">
        <f t="shared" si="585"/>
        <v>GAL</v>
      </c>
      <c r="O6724" s="11">
        <v>60</v>
      </c>
    </row>
    <row r="6725" spans="2:15" x14ac:dyDescent="0.25">
      <c r="B6725" s="6" t="s">
        <v>0</v>
      </c>
      <c r="C6725" s="7" t="s">
        <v>1</v>
      </c>
      <c r="D6725" s="8" t="s">
        <v>2</v>
      </c>
      <c r="E6725" s="8" t="s">
        <v>4287</v>
      </c>
      <c r="F6725" s="9">
        <f t="shared" si="586"/>
        <v>45686</v>
      </c>
      <c r="G6725" s="10">
        <f t="shared" si="581"/>
        <v>1</v>
      </c>
      <c r="H6725" s="10">
        <f t="shared" si="582"/>
        <v>2025</v>
      </c>
      <c r="I6725" s="8" t="s">
        <v>4</v>
      </c>
      <c r="J6725" s="7" t="s">
        <v>7342</v>
      </c>
      <c r="K6725" s="8" t="s">
        <v>16</v>
      </c>
      <c r="L6725" s="8" t="s">
        <v>7</v>
      </c>
      <c r="M6725" s="8" t="s">
        <v>8</v>
      </c>
      <c r="N6725" s="10" t="str">
        <f t="shared" si="585"/>
        <v>GAL</v>
      </c>
      <c r="O6725" s="11">
        <v>120</v>
      </c>
    </row>
    <row r="6726" spans="2:15" x14ac:dyDescent="0.25">
      <c r="B6726" s="6" t="s">
        <v>0</v>
      </c>
      <c r="C6726" s="7" t="s">
        <v>1</v>
      </c>
      <c r="D6726" s="8" t="s">
        <v>2</v>
      </c>
      <c r="E6726" s="8" t="s">
        <v>61</v>
      </c>
      <c r="F6726" s="9">
        <f t="shared" si="586"/>
        <v>45686</v>
      </c>
      <c r="G6726" s="10">
        <f t="shared" si="581"/>
        <v>1</v>
      </c>
      <c r="H6726" s="10">
        <f t="shared" si="582"/>
        <v>2025</v>
      </c>
      <c r="I6726" s="8" t="s">
        <v>4</v>
      </c>
      <c r="J6726" s="7" t="s">
        <v>7343</v>
      </c>
      <c r="K6726" s="8" t="s">
        <v>28</v>
      </c>
      <c r="L6726" s="8" t="s">
        <v>29</v>
      </c>
      <c r="M6726" s="8" t="s">
        <v>30</v>
      </c>
      <c r="N6726" s="10" t="str">
        <f t="shared" si="585"/>
        <v>GAL</v>
      </c>
      <c r="O6726" s="11">
        <v>50</v>
      </c>
    </row>
    <row r="6727" spans="2:15" x14ac:dyDescent="0.25">
      <c r="B6727" s="6" t="s">
        <v>0</v>
      </c>
      <c r="C6727" s="7" t="s">
        <v>1</v>
      </c>
      <c r="D6727" s="8" t="s">
        <v>2</v>
      </c>
      <c r="E6727" s="8" t="s">
        <v>61</v>
      </c>
      <c r="F6727" s="9">
        <f t="shared" si="586"/>
        <v>45686</v>
      </c>
      <c r="G6727" s="10">
        <f t="shared" si="581"/>
        <v>1</v>
      </c>
      <c r="H6727" s="10">
        <f t="shared" si="582"/>
        <v>2025</v>
      </c>
      <c r="I6727" s="8" t="s">
        <v>4</v>
      </c>
      <c r="J6727" s="7" t="s">
        <v>7343</v>
      </c>
      <c r="K6727" s="8" t="s">
        <v>25</v>
      </c>
      <c r="L6727" s="8" t="s">
        <v>26</v>
      </c>
      <c r="M6727" s="8" t="s">
        <v>27</v>
      </c>
      <c r="N6727" s="10" t="str">
        <f t="shared" si="585"/>
        <v>GAL</v>
      </c>
      <c r="O6727" s="11">
        <v>100</v>
      </c>
    </row>
    <row r="6728" spans="2:15" x14ac:dyDescent="0.25">
      <c r="B6728" s="6" t="s">
        <v>0</v>
      </c>
      <c r="C6728" s="7" t="s">
        <v>1</v>
      </c>
      <c r="D6728" s="8" t="s">
        <v>2</v>
      </c>
      <c r="E6728" s="8" t="s">
        <v>61</v>
      </c>
      <c r="F6728" s="9">
        <f t="shared" si="586"/>
        <v>45686</v>
      </c>
      <c r="G6728" s="10">
        <f t="shared" si="581"/>
        <v>1</v>
      </c>
      <c r="H6728" s="10">
        <f t="shared" si="582"/>
        <v>2025</v>
      </c>
      <c r="I6728" s="8" t="s">
        <v>4</v>
      </c>
      <c r="J6728" s="7" t="s">
        <v>7343</v>
      </c>
      <c r="K6728" s="8" t="s">
        <v>16</v>
      </c>
      <c r="L6728" s="8" t="s">
        <v>7</v>
      </c>
      <c r="M6728" s="8" t="s">
        <v>8</v>
      </c>
      <c r="N6728" s="10" t="str">
        <f t="shared" si="585"/>
        <v>GAL</v>
      </c>
      <c r="O6728" s="11">
        <v>100</v>
      </c>
    </row>
    <row r="6729" spans="2:15" x14ac:dyDescent="0.25">
      <c r="B6729" s="6" t="s">
        <v>0</v>
      </c>
      <c r="C6729" s="7" t="s">
        <v>1</v>
      </c>
      <c r="D6729" s="8" t="s">
        <v>2</v>
      </c>
      <c r="E6729" s="8" t="s">
        <v>61</v>
      </c>
      <c r="F6729" s="9">
        <f t="shared" si="586"/>
        <v>45686</v>
      </c>
      <c r="G6729" s="10">
        <f t="shared" si="581"/>
        <v>1</v>
      </c>
      <c r="H6729" s="10">
        <f t="shared" si="582"/>
        <v>2025</v>
      </c>
      <c r="I6729" s="8" t="s">
        <v>4</v>
      </c>
      <c r="J6729" s="7" t="s">
        <v>7343</v>
      </c>
      <c r="K6729" s="8" t="s">
        <v>19</v>
      </c>
      <c r="L6729" s="8" t="s">
        <v>6006</v>
      </c>
      <c r="M6729" s="8" t="s">
        <v>21</v>
      </c>
      <c r="N6729" s="10" t="str">
        <f t="shared" si="585"/>
        <v>GAL</v>
      </c>
      <c r="O6729" s="11">
        <v>50</v>
      </c>
    </row>
    <row r="6730" spans="2:15" x14ac:dyDescent="0.25">
      <c r="B6730" s="6" t="s">
        <v>88</v>
      </c>
      <c r="C6730" s="7" t="s">
        <v>89</v>
      </c>
      <c r="D6730" s="8" t="s">
        <v>1103</v>
      </c>
      <c r="E6730" s="8" t="s">
        <v>1104</v>
      </c>
      <c r="F6730" s="9">
        <f>DATE(2025,1,2)</f>
        <v>45659</v>
      </c>
      <c r="G6730" s="10">
        <f t="shared" si="581"/>
        <v>1</v>
      </c>
      <c r="H6730" s="10">
        <f t="shared" si="582"/>
        <v>2025</v>
      </c>
      <c r="I6730" s="8" t="s">
        <v>4</v>
      </c>
      <c r="J6730" s="7" t="s">
        <v>7344</v>
      </c>
      <c r="K6730" s="8" t="s">
        <v>126</v>
      </c>
      <c r="L6730" s="8" t="s">
        <v>127</v>
      </c>
      <c r="M6730" s="8" t="s">
        <v>106</v>
      </c>
      <c r="N6730" s="10" t="str">
        <f t="shared" si="585"/>
        <v>LBS</v>
      </c>
      <c r="O6730" s="11">
        <v>9863</v>
      </c>
    </row>
    <row r="6731" spans="2:15" x14ac:dyDescent="0.25">
      <c r="B6731" s="6" t="s">
        <v>88</v>
      </c>
      <c r="C6731" s="7" t="s">
        <v>89</v>
      </c>
      <c r="D6731" s="8" t="s">
        <v>1047</v>
      </c>
      <c r="E6731" s="8" t="s">
        <v>1468</v>
      </c>
      <c r="F6731" s="9">
        <f>DATE(2025,1,3)</f>
        <v>45660</v>
      </c>
      <c r="G6731" s="10">
        <f t="shared" si="581"/>
        <v>1</v>
      </c>
      <c r="H6731" s="10">
        <f t="shared" si="582"/>
        <v>2025</v>
      </c>
      <c r="I6731" s="8" t="s">
        <v>4</v>
      </c>
      <c r="J6731" s="7" t="s">
        <v>7345</v>
      </c>
      <c r="K6731" s="8" t="s">
        <v>83</v>
      </c>
      <c r="L6731" s="8" t="s">
        <v>518</v>
      </c>
      <c r="M6731" s="8" t="s">
        <v>85</v>
      </c>
      <c r="N6731" s="10" t="str">
        <f t="shared" si="585"/>
        <v>GAL</v>
      </c>
      <c r="O6731" s="11">
        <v>265</v>
      </c>
    </row>
    <row r="6732" spans="2:15" x14ac:dyDescent="0.25">
      <c r="B6732" s="6" t="s">
        <v>88</v>
      </c>
      <c r="C6732" s="7" t="s">
        <v>89</v>
      </c>
      <c r="D6732" s="8" t="s">
        <v>1047</v>
      </c>
      <c r="E6732" s="8" t="s">
        <v>1468</v>
      </c>
      <c r="F6732" s="9">
        <f>DATE(2025,1,3)</f>
        <v>45660</v>
      </c>
      <c r="G6732" s="10">
        <f t="shared" si="581"/>
        <v>1</v>
      </c>
      <c r="H6732" s="10">
        <f t="shared" si="582"/>
        <v>2025</v>
      </c>
      <c r="I6732" s="8" t="s">
        <v>4</v>
      </c>
      <c r="J6732" s="7" t="s">
        <v>7345</v>
      </c>
      <c r="K6732" s="8" t="s">
        <v>1470</v>
      </c>
      <c r="L6732" s="8" t="s">
        <v>2558</v>
      </c>
      <c r="M6732" s="8" t="s">
        <v>1472</v>
      </c>
      <c r="N6732" s="10" t="str">
        <f t="shared" si="585"/>
        <v>GAL</v>
      </c>
      <c r="O6732" s="11">
        <v>220</v>
      </c>
    </row>
    <row r="6733" spans="2:15" x14ac:dyDescent="0.25">
      <c r="B6733" s="6" t="s">
        <v>88</v>
      </c>
      <c r="C6733" s="7" t="s">
        <v>89</v>
      </c>
      <c r="D6733" s="8" t="s">
        <v>7024</v>
      </c>
      <c r="E6733" s="8" t="s">
        <v>7346</v>
      </c>
      <c r="F6733" s="9">
        <f>DATE(2025,1,8)</f>
        <v>45665</v>
      </c>
      <c r="G6733" s="10">
        <f t="shared" si="581"/>
        <v>1</v>
      </c>
      <c r="H6733" s="10">
        <f t="shared" si="582"/>
        <v>2025</v>
      </c>
      <c r="I6733" s="8" t="s">
        <v>4</v>
      </c>
      <c r="J6733" s="7" t="s">
        <v>7347</v>
      </c>
      <c r="K6733" s="8" t="s">
        <v>7027</v>
      </c>
      <c r="L6733" s="8" t="s">
        <v>7028</v>
      </c>
      <c r="M6733" s="8" t="s">
        <v>106</v>
      </c>
      <c r="N6733" s="10" t="str">
        <f t="shared" si="585"/>
        <v>LBS</v>
      </c>
      <c r="O6733" s="11">
        <v>41060</v>
      </c>
    </row>
    <row r="6734" spans="2:15" x14ac:dyDescent="0.25">
      <c r="B6734" s="6" t="s">
        <v>88</v>
      </c>
      <c r="C6734" s="7" t="s">
        <v>89</v>
      </c>
      <c r="D6734" s="8" t="s">
        <v>1444</v>
      </c>
      <c r="E6734" s="8" t="s">
        <v>102</v>
      </c>
      <c r="F6734" s="9">
        <f>DATE(2025,1,14)</f>
        <v>45671</v>
      </c>
      <c r="G6734" s="10">
        <f t="shared" si="581"/>
        <v>1</v>
      </c>
      <c r="H6734" s="10">
        <f t="shared" si="582"/>
        <v>2025</v>
      </c>
      <c r="I6734" s="8" t="s">
        <v>4</v>
      </c>
      <c r="J6734" s="7" t="s">
        <v>7348</v>
      </c>
      <c r="K6734" s="8" t="s">
        <v>1446</v>
      </c>
      <c r="L6734" s="8" t="s">
        <v>2581</v>
      </c>
      <c r="M6734" s="8" t="s">
        <v>1448</v>
      </c>
      <c r="N6734" s="10" t="str">
        <f t="shared" si="585"/>
        <v>GAL</v>
      </c>
      <c r="O6734" s="11">
        <v>360</v>
      </c>
    </row>
    <row r="6735" spans="2:15" x14ac:dyDescent="0.25">
      <c r="B6735" s="6" t="s">
        <v>88</v>
      </c>
      <c r="C6735" s="7" t="s">
        <v>89</v>
      </c>
      <c r="D6735" s="8" t="s">
        <v>1444</v>
      </c>
      <c r="E6735" s="8" t="s">
        <v>7349</v>
      </c>
      <c r="F6735" s="9">
        <f>DATE(2025,1,15)</f>
        <v>45672</v>
      </c>
      <c r="G6735" s="10">
        <f t="shared" si="581"/>
        <v>1</v>
      </c>
      <c r="H6735" s="10">
        <f t="shared" si="582"/>
        <v>2025</v>
      </c>
      <c r="I6735" s="8" t="s">
        <v>4</v>
      </c>
      <c r="J6735" s="7" t="s">
        <v>7350</v>
      </c>
      <c r="K6735" s="8" t="s">
        <v>1446</v>
      </c>
      <c r="L6735" s="8" t="s">
        <v>2581</v>
      </c>
      <c r="M6735" s="8" t="s">
        <v>1448</v>
      </c>
      <c r="N6735" s="10" t="str">
        <f t="shared" si="585"/>
        <v>GAL</v>
      </c>
      <c r="O6735" s="11">
        <v>360</v>
      </c>
    </row>
    <row r="6736" spans="2:15" x14ac:dyDescent="0.25">
      <c r="B6736" s="6" t="s">
        <v>88</v>
      </c>
      <c r="C6736" s="7" t="s">
        <v>89</v>
      </c>
      <c r="D6736" s="8" t="s">
        <v>1444</v>
      </c>
      <c r="E6736" s="8" t="s">
        <v>3965</v>
      </c>
      <c r="F6736" s="9">
        <f>DATE(2025,1,21)</f>
        <v>45678</v>
      </c>
      <c r="G6736" s="10">
        <f t="shared" si="581"/>
        <v>1</v>
      </c>
      <c r="H6736" s="10">
        <f t="shared" si="582"/>
        <v>2025</v>
      </c>
      <c r="I6736" s="8" t="s">
        <v>4</v>
      </c>
      <c r="J6736" s="7" t="s">
        <v>7351</v>
      </c>
      <c r="K6736" s="8" t="s">
        <v>3136</v>
      </c>
      <c r="L6736" s="8" t="s">
        <v>2581</v>
      </c>
      <c r="M6736" s="8" t="s">
        <v>1448</v>
      </c>
      <c r="N6736" s="10" t="str">
        <f t="shared" si="585"/>
        <v>GAL</v>
      </c>
      <c r="O6736" s="11">
        <v>150</v>
      </c>
    </row>
    <row r="6737" spans="2:15" x14ac:dyDescent="0.25">
      <c r="B6737" s="6" t="s">
        <v>88</v>
      </c>
      <c r="C6737" s="7" t="s">
        <v>89</v>
      </c>
      <c r="D6737" s="8" t="s">
        <v>1444</v>
      </c>
      <c r="E6737" s="8" t="s">
        <v>102</v>
      </c>
      <c r="F6737" s="9">
        <f>DATE(2025,1,24)</f>
        <v>45681</v>
      </c>
      <c r="G6737" s="10">
        <f t="shared" si="581"/>
        <v>1</v>
      </c>
      <c r="H6737" s="10">
        <f t="shared" si="582"/>
        <v>2025</v>
      </c>
      <c r="I6737" s="8" t="s">
        <v>4</v>
      </c>
      <c r="J6737" s="7" t="s">
        <v>7352</v>
      </c>
      <c r="K6737" s="8" t="s">
        <v>1446</v>
      </c>
      <c r="L6737" s="8" t="s">
        <v>2581</v>
      </c>
      <c r="M6737" s="8" t="s">
        <v>1448</v>
      </c>
      <c r="N6737" s="10" t="str">
        <f t="shared" si="585"/>
        <v>GAL</v>
      </c>
      <c r="O6737" s="11">
        <v>180</v>
      </c>
    </row>
    <row r="6738" spans="2:15" x14ac:dyDescent="0.25">
      <c r="B6738" s="6" t="s">
        <v>88</v>
      </c>
      <c r="C6738" s="7" t="s">
        <v>89</v>
      </c>
      <c r="D6738" s="8" t="s">
        <v>628</v>
      </c>
      <c r="E6738" s="8" t="s">
        <v>1036</v>
      </c>
      <c r="F6738" s="9">
        <f>DATE(2025,1,24)</f>
        <v>45681</v>
      </c>
      <c r="G6738" s="10">
        <f t="shared" ref="G6738:G6801" si="587">+MONTH(F6738)</f>
        <v>1</v>
      </c>
      <c r="H6738" s="10">
        <f t="shared" ref="H6738:H6801" si="588">+YEAR(F6738)</f>
        <v>2025</v>
      </c>
      <c r="I6738" s="8" t="s">
        <v>4</v>
      </c>
      <c r="J6738" s="7" t="s">
        <v>7353</v>
      </c>
      <c r="K6738" s="8" t="s">
        <v>1041</v>
      </c>
      <c r="L6738" s="8" t="s">
        <v>1042</v>
      </c>
      <c r="M6738" s="8" t="s">
        <v>106</v>
      </c>
      <c r="N6738" s="10" t="str">
        <f t="shared" si="585"/>
        <v>LBS</v>
      </c>
      <c r="O6738" s="11">
        <v>600</v>
      </c>
    </row>
    <row r="6739" spans="2:15" x14ac:dyDescent="0.25">
      <c r="B6739" s="6" t="s">
        <v>88</v>
      </c>
      <c r="C6739" s="7" t="s">
        <v>89</v>
      </c>
      <c r="D6739" s="8" t="s">
        <v>1103</v>
      </c>
      <c r="E6739" s="8" t="s">
        <v>1104</v>
      </c>
      <c r="F6739" s="9">
        <f>DATE(2025,1,31)</f>
        <v>45688</v>
      </c>
      <c r="G6739" s="10">
        <f t="shared" si="587"/>
        <v>1</v>
      </c>
      <c r="H6739" s="10">
        <f t="shared" si="588"/>
        <v>2025</v>
      </c>
      <c r="I6739" s="8" t="s">
        <v>4</v>
      </c>
      <c r="J6739" s="7" t="s">
        <v>7354</v>
      </c>
      <c r="K6739" s="8" t="s">
        <v>126</v>
      </c>
      <c r="L6739" s="8" t="s">
        <v>127</v>
      </c>
      <c r="M6739" s="8" t="s">
        <v>106</v>
      </c>
      <c r="N6739" s="10" t="str">
        <f t="shared" si="585"/>
        <v>LBS</v>
      </c>
      <c r="O6739" s="11">
        <v>19280</v>
      </c>
    </row>
    <row r="6740" spans="2:15" x14ac:dyDescent="0.25">
      <c r="B6740" s="6" t="s">
        <v>154</v>
      </c>
      <c r="C6740" s="7" t="s">
        <v>155</v>
      </c>
      <c r="D6740" s="8" t="s">
        <v>178</v>
      </c>
      <c r="E6740" s="8" t="s">
        <v>179</v>
      </c>
      <c r="F6740" s="9">
        <f>DATE(2025,1,2)</f>
        <v>45659</v>
      </c>
      <c r="G6740" s="10">
        <f t="shared" si="587"/>
        <v>1</v>
      </c>
      <c r="H6740" s="10">
        <f t="shared" si="588"/>
        <v>2025</v>
      </c>
      <c r="I6740" s="8" t="s">
        <v>4</v>
      </c>
      <c r="J6740" s="7" t="s">
        <v>7355</v>
      </c>
      <c r="K6740" s="8" t="s">
        <v>189</v>
      </c>
      <c r="L6740" s="8" t="s">
        <v>190</v>
      </c>
      <c r="M6740" s="8" t="s">
        <v>191</v>
      </c>
      <c r="N6740" s="10" t="str">
        <f t="shared" si="585"/>
        <v>GAL</v>
      </c>
      <c r="O6740" s="11">
        <v>180</v>
      </c>
    </row>
    <row r="6741" spans="2:15" x14ac:dyDescent="0.25">
      <c r="B6741" s="6" t="s">
        <v>154</v>
      </c>
      <c r="C6741" s="7" t="s">
        <v>155</v>
      </c>
      <c r="D6741" s="8" t="s">
        <v>623</v>
      </c>
      <c r="E6741" s="8" t="s">
        <v>624</v>
      </c>
      <c r="F6741" s="9">
        <f>DATE(2025,1,3)</f>
        <v>45660</v>
      </c>
      <c r="G6741" s="10">
        <f t="shared" si="587"/>
        <v>1</v>
      </c>
      <c r="H6741" s="10">
        <f t="shared" si="588"/>
        <v>2025</v>
      </c>
      <c r="I6741" s="8" t="s">
        <v>4</v>
      </c>
      <c r="J6741" s="7" t="s">
        <v>7356</v>
      </c>
      <c r="K6741" s="8" t="s">
        <v>7043</v>
      </c>
      <c r="L6741" s="8" t="s">
        <v>7044</v>
      </c>
      <c r="M6741" s="8" t="s">
        <v>119</v>
      </c>
      <c r="N6741" s="10" t="str">
        <f t="shared" si="585"/>
        <v>TON</v>
      </c>
      <c r="O6741" s="11">
        <v>15.007</v>
      </c>
    </row>
    <row r="6742" spans="2:15" x14ac:dyDescent="0.25">
      <c r="B6742" s="6" t="s">
        <v>645</v>
      </c>
      <c r="C6742" s="7" t="s">
        <v>155</v>
      </c>
      <c r="D6742" s="8" t="s">
        <v>646</v>
      </c>
      <c r="E6742" s="8" t="s">
        <v>647</v>
      </c>
      <c r="F6742" s="9">
        <f>DATE(2025,1,6)</f>
        <v>45663</v>
      </c>
      <c r="G6742" s="10">
        <f t="shared" si="587"/>
        <v>1</v>
      </c>
      <c r="H6742" s="10">
        <f t="shared" si="588"/>
        <v>2025</v>
      </c>
      <c r="I6742" s="8" t="s">
        <v>4</v>
      </c>
      <c r="J6742" s="7" t="s">
        <v>7357</v>
      </c>
      <c r="K6742" s="8" t="s">
        <v>609</v>
      </c>
      <c r="L6742" s="8" t="s">
        <v>610</v>
      </c>
      <c r="M6742" s="8" t="s">
        <v>611</v>
      </c>
      <c r="N6742" s="10" t="str">
        <f t="shared" si="585"/>
        <v>GAL</v>
      </c>
      <c r="O6742" s="11">
        <v>180</v>
      </c>
    </row>
    <row r="6743" spans="2:15" x14ac:dyDescent="0.25">
      <c r="B6743" s="6" t="s">
        <v>645</v>
      </c>
      <c r="C6743" s="7" t="s">
        <v>155</v>
      </c>
      <c r="D6743" s="8" t="s">
        <v>646</v>
      </c>
      <c r="E6743" s="8" t="s">
        <v>647</v>
      </c>
      <c r="F6743" s="9">
        <f>DATE(2025,1,6)</f>
        <v>45663</v>
      </c>
      <c r="G6743" s="10">
        <f t="shared" si="587"/>
        <v>1</v>
      </c>
      <c r="H6743" s="10">
        <f t="shared" si="588"/>
        <v>2025</v>
      </c>
      <c r="I6743" s="8" t="s">
        <v>4</v>
      </c>
      <c r="J6743" s="7" t="s">
        <v>7357</v>
      </c>
      <c r="K6743" s="8" t="s">
        <v>25</v>
      </c>
      <c r="L6743" s="8" t="s">
        <v>541</v>
      </c>
      <c r="M6743" s="8" t="s">
        <v>27</v>
      </c>
      <c r="N6743" s="10" t="str">
        <f t="shared" si="585"/>
        <v>GAL</v>
      </c>
      <c r="O6743" s="11">
        <v>180</v>
      </c>
    </row>
    <row r="6744" spans="2:15" x14ac:dyDescent="0.25">
      <c r="B6744" s="6" t="s">
        <v>645</v>
      </c>
      <c r="C6744" s="7" t="s">
        <v>155</v>
      </c>
      <c r="D6744" s="8" t="s">
        <v>646</v>
      </c>
      <c r="E6744" s="8" t="s">
        <v>647</v>
      </c>
      <c r="F6744" s="9">
        <f>DATE(2025,1,6)</f>
        <v>45663</v>
      </c>
      <c r="G6744" s="10">
        <f t="shared" si="587"/>
        <v>1</v>
      </c>
      <c r="H6744" s="10">
        <f t="shared" si="588"/>
        <v>2025</v>
      </c>
      <c r="I6744" s="8" t="s">
        <v>4</v>
      </c>
      <c r="J6744" s="7" t="s">
        <v>7357</v>
      </c>
      <c r="K6744" s="8" t="s">
        <v>649</v>
      </c>
      <c r="L6744" s="8" t="s">
        <v>538</v>
      </c>
      <c r="M6744" s="8" t="s">
        <v>4243</v>
      </c>
      <c r="N6744" s="10" t="str">
        <f t="shared" si="585"/>
        <v>GAL</v>
      </c>
      <c r="O6744" s="11">
        <v>1500</v>
      </c>
    </row>
    <row r="6745" spans="2:15" x14ac:dyDescent="0.25">
      <c r="B6745" s="6" t="s">
        <v>154</v>
      </c>
      <c r="C6745" s="7" t="s">
        <v>155</v>
      </c>
      <c r="D6745" s="8" t="s">
        <v>507</v>
      </c>
      <c r="E6745" s="8" t="s">
        <v>508</v>
      </c>
      <c r="F6745" s="9">
        <f t="shared" ref="F6745:F6750" si="589">DATE(2025,1,9)</f>
        <v>45666</v>
      </c>
      <c r="G6745" s="10">
        <f t="shared" si="587"/>
        <v>1</v>
      </c>
      <c r="H6745" s="10">
        <f t="shared" si="588"/>
        <v>2025</v>
      </c>
      <c r="I6745" s="8" t="s">
        <v>4</v>
      </c>
      <c r="J6745" s="7" t="s">
        <v>7358</v>
      </c>
      <c r="K6745" s="8" t="s">
        <v>158</v>
      </c>
      <c r="L6745" s="8" t="s">
        <v>159</v>
      </c>
      <c r="M6745" s="8" t="s">
        <v>160</v>
      </c>
      <c r="N6745" s="10" t="str">
        <f t="shared" si="585"/>
        <v>GAL</v>
      </c>
      <c r="O6745" s="11">
        <v>360</v>
      </c>
    </row>
    <row r="6746" spans="2:15" x14ac:dyDescent="0.25">
      <c r="B6746" s="6" t="s">
        <v>154</v>
      </c>
      <c r="C6746" s="7" t="s">
        <v>155</v>
      </c>
      <c r="D6746" s="8" t="s">
        <v>507</v>
      </c>
      <c r="E6746" s="8" t="s">
        <v>508</v>
      </c>
      <c r="F6746" s="9">
        <f t="shared" si="589"/>
        <v>45666</v>
      </c>
      <c r="G6746" s="10">
        <f t="shared" si="587"/>
        <v>1</v>
      </c>
      <c r="H6746" s="10">
        <f t="shared" si="588"/>
        <v>2025</v>
      </c>
      <c r="I6746" s="8" t="s">
        <v>4</v>
      </c>
      <c r="J6746" s="7" t="s">
        <v>7358</v>
      </c>
      <c r="K6746" s="8" t="s">
        <v>560</v>
      </c>
      <c r="L6746" s="8" t="s">
        <v>602</v>
      </c>
      <c r="M6746" s="8" t="s">
        <v>41</v>
      </c>
      <c r="N6746" s="10" t="str">
        <f t="shared" si="585"/>
        <v>GAL</v>
      </c>
      <c r="O6746" s="11">
        <v>250</v>
      </c>
    </row>
    <row r="6747" spans="2:15" x14ac:dyDescent="0.25">
      <c r="B6747" s="6" t="s">
        <v>154</v>
      </c>
      <c r="C6747" s="7" t="s">
        <v>155</v>
      </c>
      <c r="D6747" s="8" t="s">
        <v>107</v>
      </c>
      <c r="E6747" s="8" t="s">
        <v>108</v>
      </c>
      <c r="F6747" s="9">
        <f t="shared" si="589"/>
        <v>45666</v>
      </c>
      <c r="G6747" s="10">
        <f t="shared" si="587"/>
        <v>1</v>
      </c>
      <c r="H6747" s="10">
        <f t="shared" si="588"/>
        <v>2025</v>
      </c>
      <c r="I6747" s="8" t="s">
        <v>4</v>
      </c>
      <c r="J6747" s="7" t="s">
        <v>7359</v>
      </c>
      <c r="K6747" s="8" t="s">
        <v>1120</v>
      </c>
      <c r="L6747" s="8" t="s">
        <v>1568</v>
      </c>
      <c r="M6747" s="8" t="s">
        <v>131</v>
      </c>
      <c r="N6747" s="10" t="str">
        <f t="shared" si="585"/>
        <v>GAL</v>
      </c>
      <c r="O6747" s="11">
        <v>180</v>
      </c>
    </row>
    <row r="6748" spans="2:15" x14ac:dyDescent="0.25">
      <c r="B6748" s="6" t="s">
        <v>154</v>
      </c>
      <c r="C6748" s="7" t="s">
        <v>155</v>
      </c>
      <c r="D6748" s="8" t="s">
        <v>107</v>
      </c>
      <c r="E6748" s="8" t="s">
        <v>108</v>
      </c>
      <c r="F6748" s="9">
        <f t="shared" si="589"/>
        <v>45666</v>
      </c>
      <c r="G6748" s="10">
        <f t="shared" si="587"/>
        <v>1</v>
      </c>
      <c r="H6748" s="10">
        <f t="shared" si="588"/>
        <v>2025</v>
      </c>
      <c r="I6748" s="8" t="s">
        <v>4</v>
      </c>
      <c r="J6748" s="7" t="s">
        <v>7359</v>
      </c>
      <c r="K6748" s="8" t="s">
        <v>187</v>
      </c>
      <c r="L6748" s="8" t="s">
        <v>188</v>
      </c>
      <c r="M6748" s="8" t="s">
        <v>160</v>
      </c>
      <c r="N6748" s="10" t="str">
        <f t="shared" si="585"/>
        <v>GAL</v>
      </c>
      <c r="O6748" s="11">
        <v>60</v>
      </c>
    </row>
    <row r="6749" spans="2:15" x14ac:dyDescent="0.25">
      <c r="B6749" s="6" t="s">
        <v>154</v>
      </c>
      <c r="C6749" s="7" t="s">
        <v>155</v>
      </c>
      <c r="D6749" s="8" t="s">
        <v>107</v>
      </c>
      <c r="E6749" s="8" t="s">
        <v>108</v>
      </c>
      <c r="F6749" s="9">
        <f t="shared" si="589"/>
        <v>45666</v>
      </c>
      <c r="G6749" s="10">
        <f t="shared" si="587"/>
        <v>1</v>
      </c>
      <c r="H6749" s="10">
        <f t="shared" si="588"/>
        <v>2025</v>
      </c>
      <c r="I6749" s="8" t="s">
        <v>4</v>
      </c>
      <c r="J6749" s="7" t="s">
        <v>7359</v>
      </c>
      <c r="K6749" s="8" t="s">
        <v>1501</v>
      </c>
      <c r="L6749" s="8" t="s">
        <v>602</v>
      </c>
      <c r="M6749" s="8" t="s">
        <v>41</v>
      </c>
      <c r="N6749" s="10" t="str">
        <f t="shared" si="585"/>
        <v>GAL</v>
      </c>
      <c r="O6749" s="11">
        <v>180</v>
      </c>
    </row>
    <row r="6750" spans="2:15" x14ac:dyDescent="0.25">
      <c r="B6750" s="6" t="s">
        <v>154</v>
      </c>
      <c r="C6750" s="7" t="s">
        <v>155</v>
      </c>
      <c r="D6750" s="8" t="s">
        <v>107</v>
      </c>
      <c r="E6750" s="8" t="s">
        <v>108</v>
      </c>
      <c r="F6750" s="9">
        <f t="shared" si="589"/>
        <v>45666</v>
      </c>
      <c r="G6750" s="10">
        <f t="shared" si="587"/>
        <v>1</v>
      </c>
      <c r="H6750" s="10">
        <f t="shared" si="588"/>
        <v>2025</v>
      </c>
      <c r="I6750" s="8" t="s">
        <v>4</v>
      </c>
      <c r="J6750" s="7" t="s">
        <v>7359</v>
      </c>
      <c r="K6750" s="8" t="s">
        <v>25</v>
      </c>
      <c r="L6750" s="8" t="s">
        <v>541</v>
      </c>
      <c r="M6750" s="8" t="s">
        <v>27</v>
      </c>
      <c r="N6750" s="10" t="str">
        <f t="shared" si="585"/>
        <v>GAL</v>
      </c>
      <c r="O6750" s="11">
        <v>60</v>
      </c>
    </row>
    <row r="6751" spans="2:15" x14ac:dyDescent="0.25">
      <c r="B6751" s="6" t="s">
        <v>154</v>
      </c>
      <c r="C6751" s="7" t="s">
        <v>155</v>
      </c>
      <c r="D6751" s="8" t="s">
        <v>1103</v>
      </c>
      <c r="E6751" s="8" t="s">
        <v>1104</v>
      </c>
      <c r="F6751" s="9">
        <f>DATE(2025,1,10)</f>
        <v>45667</v>
      </c>
      <c r="G6751" s="10">
        <f t="shared" si="587"/>
        <v>1</v>
      </c>
      <c r="H6751" s="10">
        <f t="shared" si="588"/>
        <v>2025</v>
      </c>
      <c r="I6751" s="8" t="s">
        <v>4</v>
      </c>
      <c r="J6751" s="7" t="s">
        <v>7360</v>
      </c>
      <c r="K6751" s="8" t="s">
        <v>1482</v>
      </c>
      <c r="L6751" s="8" t="s">
        <v>1483</v>
      </c>
      <c r="M6751" s="8" t="s">
        <v>1484</v>
      </c>
      <c r="N6751" s="10" t="str">
        <f t="shared" si="585"/>
        <v>GAL</v>
      </c>
      <c r="O6751" s="11">
        <v>120</v>
      </c>
    </row>
    <row r="6752" spans="2:15" x14ac:dyDescent="0.25">
      <c r="B6752" s="6" t="s">
        <v>154</v>
      </c>
      <c r="C6752" s="7" t="s">
        <v>155</v>
      </c>
      <c r="D6752" s="8" t="s">
        <v>623</v>
      </c>
      <c r="E6752" s="8" t="s">
        <v>624</v>
      </c>
      <c r="F6752" s="9">
        <f>DATE(2025,1,10)</f>
        <v>45667</v>
      </c>
      <c r="G6752" s="10">
        <f t="shared" si="587"/>
        <v>1</v>
      </c>
      <c r="H6752" s="10">
        <f t="shared" si="588"/>
        <v>2025</v>
      </c>
      <c r="I6752" s="8" t="s">
        <v>4</v>
      </c>
      <c r="J6752" s="7" t="s">
        <v>7361</v>
      </c>
      <c r="K6752" s="8" t="s">
        <v>7043</v>
      </c>
      <c r="L6752" s="8" t="s">
        <v>7044</v>
      </c>
      <c r="M6752" s="8" t="s">
        <v>119</v>
      </c>
      <c r="N6752" s="10" t="str">
        <f t="shared" si="585"/>
        <v>TON</v>
      </c>
      <c r="O6752" s="11">
        <v>15.04</v>
      </c>
    </row>
    <row r="6753" spans="2:15" x14ac:dyDescent="0.25">
      <c r="B6753" s="6" t="s">
        <v>154</v>
      </c>
      <c r="C6753" s="7" t="s">
        <v>155</v>
      </c>
      <c r="D6753" s="8" t="s">
        <v>161</v>
      </c>
      <c r="E6753" s="8" t="s">
        <v>162</v>
      </c>
      <c r="F6753" s="9">
        <f>DATE(2025,1,13)</f>
        <v>45670</v>
      </c>
      <c r="G6753" s="10">
        <f t="shared" si="587"/>
        <v>1</v>
      </c>
      <c r="H6753" s="10">
        <f t="shared" si="588"/>
        <v>2025</v>
      </c>
      <c r="I6753" s="8" t="s">
        <v>4</v>
      </c>
      <c r="J6753" s="7" t="s">
        <v>7362</v>
      </c>
      <c r="K6753" s="8" t="s">
        <v>1814</v>
      </c>
      <c r="L6753" s="8" t="s">
        <v>1815</v>
      </c>
      <c r="M6753" s="8" t="s">
        <v>1816</v>
      </c>
      <c r="N6753" s="10" t="str">
        <f t="shared" si="585"/>
        <v>GAL</v>
      </c>
      <c r="O6753" s="11">
        <v>180</v>
      </c>
    </row>
    <row r="6754" spans="2:15" x14ac:dyDescent="0.25">
      <c r="B6754" s="6" t="s">
        <v>645</v>
      </c>
      <c r="C6754" s="7" t="s">
        <v>155</v>
      </c>
      <c r="D6754" s="8" t="s">
        <v>646</v>
      </c>
      <c r="E6754" s="8" t="s">
        <v>647</v>
      </c>
      <c r="F6754" s="9">
        <f>DATE(2025,1,14)</f>
        <v>45671</v>
      </c>
      <c r="G6754" s="10">
        <f t="shared" si="587"/>
        <v>1</v>
      </c>
      <c r="H6754" s="10">
        <f t="shared" si="588"/>
        <v>2025</v>
      </c>
      <c r="I6754" s="8" t="s">
        <v>4</v>
      </c>
      <c r="J6754" s="7" t="s">
        <v>7363</v>
      </c>
      <c r="K6754" s="8" t="s">
        <v>158</v>
      </c>
      <c r="L6754" s="8" t="s">
        <v>159</v>
      </c>
      <c r="M6754" s="8" t="s">
        <v>160</v>
      </c>
      <c r="N6754" s="10" t="str">
        <f t="shared" si="585"/>
        <v>GAL</v>
      </c>
      <c r="O6754" s="11">
        <v>180</v>
      </c>
    </row>
    <row r="6755" spans="2:15" x14ac:dyDescent="0.25">
      <c r="B6755" s="6" t="s">
        <v>645</v>
      </c>
      <c r="C6755" s="7" t="s">
        <v>155</v>
      </c>
      <c r="D6755" s="8" t="s">
        <v>646</v>
      </c>
      <c r="E6755" s="8" t="s">
        <v>647</v>
      </c>
      <c r="F6755" s="9">
        <f>DATE(2025,1,14)</f>
        <v>45671</v>
      </c>
      <c r="G6755" s="10">
        <f t="shared" si="587"/>
        <v>1</v>
      </c>
      <c r="H6755" s="10">
        <f t="shared" si="588"/>
        <v>2025</v>
      </c>
      <c r="I6755" s="8" t="s">
        <v>4</v>
      </c>
      <c r="J6755" s="7" t="s">
        <v>7364</v>
      </c>
      <c r="K6755" s="8" t="s">
        <v>25</v>
      </c>
      <c r="L6755" s="8" t="s">
        <v>541</v>
      </c>
      <c r="M6755" s="8" t="s">
        <v>27</v>
      </c>
      <c r="N6755" s="10" t="str">
        <f t="shared" si="585"/>
        <v>GAL</v>
      </c>
      <c r="O6755" s="11">
        <v>540</v>
      </c>
    </row>
    <row r="6756" spans="2:15" x14ac:dyDescent="0.25">
      <c r="B6756" s="6" t="s">
        <v>645</v>
      </c>
      <c r="C6756" s="7" t="s">
        <v>155</v>
      </c>
      <c r="D6756" s="8" t="s">
        <v>646</v>
      </c>
      <c r="E6756" s="8" t="s">
        <v>647</v>
      </c>
      <c r="F6756" s="9">
        <f>DATE(2025,1,16)</f>
        <v>45673</v>
      </c>
      <c r="G6756" s="10">
        <f t="shared" si="587"/>
        <v>1</v>
      </c>
      <c r="H6756" s="10">
        <f t="shared" si="588"/>
        <v>2025</v>
      </c>
      <c r="I6756" s="8" t="s">
        <v>4</v>
      </c>
      <c r="J6756" s="7" t="s">
        <v>7365</v>
      </c>
      <c r="K6756" s="8" t="s">
        <v>649</v>
      </c>
      <c r="L6756" s="8" t="s">
        <v>538</v>
      </c>
      <c r="M6756" s="8" t="s">
        <v>4243</v>
      </c>
      <c r="N6756" s="10" t="str">
        <f t="shared" si="585"/>
        <v>GAL</v>
      </c>
      <c r="O6756" s="11">
        <v>500</v>
      </c>
    </row>
    <row r="6757" spans="2:15" x14ac:dyDescent="0.25">
      <c r="B6757" s="6" t="s">
        <v>154</v>
      </c>
      <c r="C6757" s="7" t="s">
        <v>155</v>
      </c>
      <c r="D6757" s="8" t="s">
        <v>167</v>
      </c>
      <c r="E6757" s="8" t="s">
        <v>168</v>
      </c>
      <c r="F6757" s="9">
        <f>DATE(2025,1,17)</f>
        <v>45674</v>
      </c>
      <c r="G6757" s="10">
        <f t="shared" si="587"/>
        <v>1</v>
      </c>
      <c r="H6757" s="10">
        <f t="shared" si="588"/>
        <v>2025</v>
      </c>
      <c r="I6757" s="8" t="s">
        <v>4</v>
      </c>
      <c r="J6757" s="7" t="s">
        <v>7366</v>
      </c>
      <c r="K6757" s="8" t="s">
        <v>158</v>
      </c>
      <c r="L6757" s="8" t="s">
        <v>159</v>
      </c>
      <c r="M6757" s="8" t="s">
        <v>160</v>
      </c>
      <c r="N6757" s="10" t="str">
        <f t="shared" si="585"/>
        <v>GAL</v>
      </c>
      <c r="O6757" s="11">
        <v>360</v>
      </c>
    </row>
    <row r="6758" spans="2:15" x14ac:dyDescent="0.25">
      <c r="B6758" s="6" t="s">
        <v>154</v>
      </c>
      <c r="C6758" s="7" t="s">
        <v>155</v>
      </c>
      <c r="D6758" s="8" t="s">
        <v>623</v>
      </c>
      <c r="E6758" s="8" t="s">
        <v>624</v>
      </c>
      <c r="F6758" s="9">
        <f>DATE(2025,1,20)</f>
        <v>45677</v>
      </c>
      <c r="G6758" s="10">
        <f t="shared" si="587"/>
        <v>1</v>
      </c>
      <c r="H6758" s="10">
        <f t="shared" si="588"/>
        <v>2025</v>
      </c>
      <c r="I6758" s="8" t="s">
        <v>4</v>
      </c>
      <c r="J6758" s="7" t="s">
        <v>7367</v>
      </c>
      <c r="K6758" s="8" t="s">
        <v>7043</v>
      </c>
      <c r="L6758" s="8" t="s">
        <v>7044</v>
      </c>
      <c r="M6758" s="8" t="s">
        <v>119</v>
      </c>
      <c r="N6758" s="10" t="str">
        <f t="shared" si="585"/>
        <v>TON</v>
      </c>
      <c r="O6758" s="11">
        <v>15</v>
      </c>
    </row>
    <row r="6759" spans="2:15" x14ac:dyDescent="0.25">
      <c r="B6759" s="6" t="s">
        <v>645</v>
      </c>
      <c r="C6759" s="7" t="s">
        <v>155</v>
      </c>
      <c r="D6759" s="8" t="s">
        <v>646</v>
      </c>
      <c r="E6759" s="8" t="s">
        <v>647</v>
      </c>
      <c r="F6759" s="9">
        <f>DATE(2025,1,20)</f>
        <v>45677</v>
      </c>
      <c r="G6759" s="10">
        <f t="shared" si="587"/>
        <v>1</v>
      </c>
      <c r="H6759" s="10">
        <f t="shared" si="588"/>
        <v>2025</v>
      </c>
      <c r="I6759" s="8" t="s">
        <v>4</v>
      </c>
      <c r="J6759" s="7" t="s">
        <v>7368</v>
      </c>
      <c r="K6759" s="8" t="s">
        <v>158</v>
      </c>
      <c r="L6759" s="8" t="s">
        <v>159</v>
      </c>
      <c r="M6759" s="8" t="s">
        <v>160</v>
      </c>
      <c r="N6759" s="10" t="str">
        <f t="shared" si="585"/>
        <v>GAL</v>
      </c>
      <c r="O6759" s="11">
        <v>360</v>
      </c>
    </row>
    <row r="6760" spans="2:15" x14ac:dyDescent="0.25">
      <c r="B6760" s="6" t="s">
        <v>154</v>
      </c>
      <c r="C6760" s="7" t="s">
        <v>155</v>
      </c>
      <c r="D6760" s="8" t="s">
        <v>1111</v>
      </c>
      <c r="E6760" s="8" t="s">
        <v>1112</v>
      </c>
      <c r="F6760" s="9">
        <f>DATE(2025,1,23)</f>
        <v>45680</v>
      </c>
      <c r="G6760" s="10">
        <f t="shared" si="587"/>
        <v>1</v>
      </c>
      <c r="H6760" s="10">
        <f t="shared" si="588"/>
        <v>2025</v>
      </c>
      <c r="I6760" s="8" t="s">
        <v>4</v>
      </c>
      <c r="J6760" s="7" t="s">
        <v>7369</v>
      </c>
      <c r="K6760" s="8" t="s">
        <v>510</v>
      </c>
      <c r="L6760" s="8" t="s">
        <v>511</v>
      </c>
      <c r="M6760" s="8" t="s">
        <v>38</v>
      </c>
      <c r="N6760" s="10" t="str">
        <f t="shared" si="585"/>
        <v>GAL</v>
      </c>
      <c r="O6760" s="11">
        <v>2000</v>
      </c>
    </row>
    <row r="6761" spans="2:15" x14ac:dyDescent="0.25">
      <c r="B6761" s="6" t="s">
        <v>154</v>
      </c>
      <c r="C6761" s="7" t="s">
        <v>155</v>
      </c>
      <c r="D6761" s="8" t="s">
        <v>107</v>
      </c>
      <c r="E6761" s="8" t="s">
        <v>108</v>
      </c>
      <c r="F6761" s="9">
        <f>DATE(2025,1,23)</f>
        <v>45680</v>
      </c>
      <c r="G6761" s="10">
        <f t="shared" si="587"/>
        <v>1</v>
      </c>
      <c r="H6761" s="10">
        <f t="shared" si="588"/>
        <v>2025</v>
      </c>
      <c r="I6761" s="8" t="s">
        <v>4</v>
      </c>
      <c r="J6761" s="7" t="s">
        <v>7370</v>
      </c>
      <c r="K6761" s="8" t="s">
        <v>192</v>
      </c>
      <c r="L6761" s="8" t="s">
        <v>193</v>
      </c>
      <c r="M6761" s="8" t="s">
        <v>160</v>
      </c>
      <c r="N6761" s="10" t="str">
        <f t="shared" si="585"/>
        <v>GAL</v>
      </c>
      <c r="O6761" s="11">
        <v>250</v>
      </c>
    </row>
    <row r="6762" spans="2:15" x14ac:dyDescent="0.25">
      <c r="B6762" s="6" t="s">
        <v>154</v>
      </c>
      <c r="C6762" s="7" t="s">
        <v>155</v>
      </c>
      <c r="D6762" s="8" t="s">
        <v>173</v>
      </c>
      <c r="E6762" s="8" t="s">
        <v>174</v>
      </c>
      <c r="F6762" s="9">
        <f>DATE(2025,1,23)</f>
        <v>45680</v>
      </c>
      <c r="G6762" s="10">
        <f t="shared" si="587"/>
        <v>1</v>
      </c>
      <c r="H6762" s="10">
        <f t="shared" si="588"/>
        <v>2025</v>
      </c>
      <c r="I6762" s="8" t="s">
        <v>4</v>
      </c>
      <c r="J6762" s="7" t="s">
        <v>7371</v>
      </c>
      <c r="K6762" s="8" t="s">
        <v>22</v>
      </c>
      <c r="L6762" s="8" t="s">
        <v>5951</v>
      </c>
      <c r="M6762" s="8" t="s">
        <v>24</v>
      </c>
      <c r="N6762" s="10" t="str">
        <f t="shared" si="585"/>
        <v>GAL</v>
      </c>
      <c r="O6762" s="11">
        <v>180</v>
      </c>
    </row>
    <row r="6763" spans="2:15" x14ac:dyDescent="0.25">
      <c r="B6763" s="6" t="s">
        <v>154</v>
      </c>
      <c r="C6763" s="7" t="s">
        <v>155</v>
      </c>
      <c r="D6763" s="8" t="s">
        <v>628</v>
      </c>
      <c r="E6763" s="8" t="s">
        <v>629</v>
      </c>
      <c r="F6763" s="9">
        <f>DATE(2025,1,23)</f>
        <v>45680</v>
      </c>
      <c r="G6763" s="10">
        <f t="shared" si="587"/>
        <v>1</v>
      </c>
      <c r="H6763" s="10">
        <f t="shared" si="588"/>
        <v>2025</v>
      </c>
      <c r="I6763" s="8" t="s">
        <v>4</v>
      </c>
      <c r="J6763" s="7" t="s">
        <v>7372</v>
      </c>
      <c r="K6763" s="8" t="s">
        <v>631</v>
      </c>
      <c r="L6763" s="8" t="s">
        <v>632</v>
      </c>
      <c r="M6763" s="8" t="s">
        <v>633</v>
      </c>
      <c r="N6763" s="10" t="str">
        <f t="shared" si="585"/>
        <v>GAL</v>
      </c>
      <c r="O6763" s="11">
        <v>2750</v>
      </c>
    </row>
    <row r="6764" spans="2:15" x14ac:dyDescent="0.25">
      <c r="B6764" s="6" t="s">
        <v>154</v>
      </c>
      <c r="C6764" s="7" t="s">
        <v>155</v>
      </c>
      <c r="D6764" s="8" t="s">
        <v>1111</v>
      </c>
      <c r="E6764" s="8" t="s">
        <v>1112</v>
      </c>
      <c r="F6764" s="9">
        <f>DATE(2025,1,24)</f>
        <v>45681</v>
      </c>
      <c r="G6764" s="10">
        <f t="shared" si="587"/>
        <v>1</v>
      </c>
      <c r="H6764" s="10">
        <f t="shared" si="588"/>
        <v>2025</v>
      </c>
      <c r="I6764" s="8" t="s">
        <v>4</v>
      </c>
      <c r="J6764" s="7" t="s">
        <v>7373</v>
      </c>
      <c r="K6764" s="8" t="s">
        <v>510</v>
      </c>
      <c r="L6764" s="8" t="s">
        <v>511</v>
      </c>
      <c r="M6764" s="8" t="s">
        <v>38</v>
      </c>
      <c r="N6764" s="10" t="str">
        <f t="shared" si="585"/>
        <v>GAL</v>
      </c>
      <c r="O6764" s="11">
        <v>2500</v>
      </c>
    </row>
    <row r="6765" spans="2:15" x14ac:dyDescent="0.25">
      <c r="B6765" s="6" t="s">
        <v>154</v>
      </c>
      <c r="C6765" s="7" t="s">
        <v>155</v>
      </c>
      <c r="D6765" s="8" t="s">
        <v>107</v>
      </c>
      <c r="E6765" s="8" t="s">
        <v>108</v>
      </c>
      <c r="F6765" s="9">
        <f>DATE(2025,1,27)</f>
        <v>45684</v>
      </c>
      <c r="G6765" s="10">
        <f t="shared" si="587"/>
        <v>1</v>
      </c>
      <c r="H6765" s="10">
        <f t="shared" si="588"/>
        <v>2025</v>
      </c>
      <c r="I6765" s="8" t="s">
        <v>4</v>
      </c>
      <c r="J6765" s="7" t="s">
        <v>7374</v>
      </c>
      <c r="K6765" s="8" t="s">
        <v>192</v>
      </c>
      <c r="L6765" s="8" t="s">
        <v>193</v>
      </c>
      <c r="M6765" s="8" t="s">
        <v>160</v>
      </c>
      <c r="N6765" s="10" t="str">
        <f t="shared" si="585"/>
        <v>GAL</v>
      </c>
      <c r="O6765" s="11">
        <v>250</v>
      </c>
    </row>
    <row r="6766" spans="2:15" x14ac:dyDescent="0.25">
      <c r="B6766" s="6" t="s">
        <v>645</v>
      </c>
      <c r="C6766" s="7" t="s">
        <v>155</v>
      </c>
      <c r="D6766" s="8" t="s">
        <v>646</v>
      </c>
      <c r="E6766" s="8" t="s">
        <v>647</v>
      </c>
      <c r="F6766" s="9">
        <f>DATE(2025,1,28)</f>
        <v>45685</v>
      </c>
      <c r="G6766" s="10">
        <f t="shared" si="587"/>
        <v>1</v>
      </c>
      <c r="H6766" s="10">
        <f t="shared" si="588"/>
        <v>2025</v>
      </c>
      <c r="I6766" s="8" t="s">
        <v>4</v>
      </c>
      <c r="J6766" s="7" t="s">
        <v>7375</v>
      </c>
      <c r="K6766" s="8" t="s">
        <v>189</v>
      </c>
      <c r="L6766" s="8" t="s">
        <v>190</v>
      </c>
      <c r="M6766" s="8" t="s">
        <v>191</v>
      </c>
      <c r="N6766" s="10" t="str">
        <f t="shared" si="585"/>
        <v>GAL</v>
      </c>
      <c r="O6766" s="11">
        <v>180</v>
      </c>
    </row>
    <row r="6767" spans="2:15" x14ac:dyDescent="0.25">
      <c r="B6767" s="6" t="s">
        <v>154</v>
      </c>
      <c r="C6767" s="7" t="s">
        <v>155</v>
      </c>
      <c r="D6767" s="8" t="s">
        <v>178</v>
      </c>
      <c r="E6767" s="8" t="s">
        <v>179</v>
      </c>
      <c r="F6767" s="9">
        <f>DATE(2025,1,28)</f>
        <v>45685</v>
      </c>
      <c r="G6767" s="10">
        <f t="shared" si="587"/>
        <v>1</v>
      </c>
      <c r="H6767" s="10">
        <f t="shared" si="588"/>
        <v>2025</v>
      </c>
      <c r="I6767" s="8" t="s">
        <v>4</v>
      </c>
      <c r="J6767" s="7" t="s">
        <v>7376</v>
      </c>
      <c r="K6767" s="8" t="s">
        <v>158</v>
      </c>
      <c r="L6767" s="8" t="s">
        <v>159</v>
      </c>
      <c r="M6767" s="8" t="s">
        <v>160</v>
      </c>
      <c r="N6767" s="10" t="str">
        <f t="shared" si="585"/>
        <v>GAL</v>
      </c>
      <c r="O6767" s="11">
        <v>180</v>
      </c>
    </row>
    <row r="6768" spans="2:15" x14ac:dyDescent="0.25">
      <c r="B6768" s="6" t="s">
        <v>154</v>
      </c>
      <c r="C6768" s="7" t="s">
        <v>155</v>
      </c>
      <c r="D6768" s="8" t="s">
        <v>178</v>
      </c>
      <c r="E6768" s="8" t="s">
        <v>179</v>
      </c>
      <c r="F6768" s="9">
        <f>DATE(2025,1,28)</f>
        <v>45685</v>
      </c>
      <c r="G6768" s="10">
        <f t="shared" si="587"/>
        <v>1</v>
      </c>
      <c r="H6768" s="10">
        <f t="shared" si="588"/>
        <v>2025</v>
      </c>
      <c r="I6768" s="8" t="s">
        <v>4</v>
      </c>
      <c r="J6768" s="7" t="s">
        <v>7376</v>
      </c>
      <c r="K6768" s="8" t="s">
        <v>25</v>
      </c>
      <c r="L6768" s="8" t="s">
        <v>541</v>
      </c>
      <c r="M6768" s="8" t="s">
        <v>27</v>
      </c>
      <c r="N6768" s="10" t="str">
        <f t="shared" si="585"/>
        <v>GAL</v>
      </c>
      <c r="O6768" s="11">
        <v>180</v>
      </c>
    </row>
    <row r="6769" spans="2:15" x14ac:dyDescent="0.25">
      <c r="B6769" s="6" t="s">
        <v>645</v>
      </c>
      <c r="C6769" s="7" t="s">
        <v>155</v>
      </c>
      <c r="D6769" s="8" t="s">
        <v>646</v>
      </c>
      <c r="E6769" s="8" t="s">
        <v>647</v>
      </c>
      <c r="F6769" s="9">
        <f>DATE(2025,1,29)</f>
        <v>45686</v>
      </c>
      <c r="G6769" s="10">
        <f t="shared" si="587"/>
        <v>1</v>
      </c>
      <c r="H6769" s="10">
        <f t="shared" si="588"/>
        <v>2025</v>
      </c>
      <c r="I6769" s="8" t="s">
        <v>4</v>
      </c>
      <c r="J6769" s="7" t="s">
        <v>7377</v>
      </c>
      <c r="K6769" s="8" t="s">
        <v>189</v>
      </c>
      <c r="L6769" s="8" t="s">
        <v>190</v>
      </c>
      <c r="M6769" s="8" t="s">
        <v>191</v>
      </c>
      <c r="N6769" s="10" t="str">
        <f t="shared" si="585"/>
        <v>GAL</v>
      </c>
      <c r="O6769" s="11">
        <v>180</v>
      </c>
    </row>
    <row r="6770" spans="2:15" x14ac:dyDescent="0.25">
      <c r="B6770" s="6" t="s">
        <v>154</v>
      </c>
      <c r="C6770" s="7" t="s">
        <v>155</v>
      </c>
      <c r="D6770" s="8" t="s">
        <v>1111</v>
      </c>
      <c r="E6770" s="8" t="s">
        <v>1112</v>
      </c>
      <c r="F6770" s="9">
        <f>DATE(2025,1,29)</f>
        <v>45686</v>
      </c>
      <c r="G6770" s="10">
        <f t="shared" si="587"/>
        <v>1</v>
      </c>
      <c r="H6770" s="10">
        <f t="shared" si="588"/>
        <v>2025</v>
      </c>
      <c r="I6770" s="8" t="s">
        <v>4</v>
      </c>
      <c r="J6770" s="7" t="s">
        <v>7378</v>
      </c>
      <c r="K6770" s="8" t="s">
        <v>1496</v>
      </c>
      <c r="L6770" s="8" t="s">
        <v>159</v>
      </c>
      <c r="M6770" s="8" t="s">
        <v>160</v>
      </c>
      <c r="N6770" s="10" t="str">
        <f t="shared" si="585"/>
        <v>GAL</v>
      </c>
      <c r="O6770" s="11">
        <v>1250</v>
      </c>
    </row>
    <row r="6771" spans="2:15" x14ac:dyDescent="0.25">
      <c r="B6771" s="6" t="s">
        <v>154</v>
      </c>
      <c r="C6771" s="7" t="s">
        <v>155</v>
      </c>
      <c r="D6771" s="8" t="s">
        <v>167</v>
      </c>
      <c r="E6771" s="8" t="s">
        <v>168</v>
      </c>
      <c r="F6771" s="9">
        <f>DATE(2025,1,29)</f>
        <v>45686</v>
      </c>
      <c r="G6771" s="10">
        <f t="shared" si="587"/>
        <v>1</v>
      </c>
      <c r="H6771" s="10">
        <f t="shared" si="588"/>
        <v>2025</v>
      </c>
      <c r="I6771" s="8" t="s">
        <v>4</v>
      </c>
      <c r="J6771" s="7" t="s">
        <v>7379</v>
      </c>
      <c r="K6771" s="8" t="s">
        <v>1853</v>
      </c>
      <c r="L6771" s="8" t="s">
        <v>1854</v>
      </c>
      <c r="M6771" s="8" t="s">
        <v>1816</v>
      </c>
      <c r="N6771" s="10" t="str">
        <f t="shared" si="585"/>
        <v>GAL</v>
      </c>
      <c r="O6771" s="11">
        <v>180</v>
      </c>
    </row>
    <row r="6772" spans="2:15" x14ac:dyDescent="0.25">
      <c r="B6772" s="6" t="s">
        <v>154</v>
      </c>
      <c r="C6772" s="7" t="s">
        <v>155</v>
      </c>
      <c r="D6772" s="8" t="s">
        <v>161</v>
      </c>
      <c r="E6772" s="8" t="s">
        <v>162</v>
      </c>
      <c r="F6772" s="9">
        <f>DATE(2025,1,29)</f>
        <v>45686</v>
      </c>
      <c r="G6772" s="10">
        <f t="shared" si="587"/>
        <v>1</v>
      </c>
      <c r="H6772" s="10">
        <f t="shared" si="588"/>
        <v>2025</v>
      </c>
      <c r="I6772" s="8" t="s">
        <v>4</v>
      </c>
      <c r="J6772" s="7" t="s">
        <v>7380</v>
      </c>
      <c r="K6772" s="8" t="s">
        <v>158</v>
      </c>
      <c r="L6772" s="8" t="s">
        <v>159</v>
      </c>
      <c r="M6772" s="8" t="s">
        <v>160</v>
      </c>
      <c r="N6772" s="10" t="str">
        <f t="shared" si="585"/>
        <v>GAL</v>
      </c>
      <c r="O6772" s="11">
        <v>360</v>
      </c>
    </row>
    <row r="6773" spans="2:15" x14ac:dyDescent="0.25">
      <c r="B6773" s="6" t="s">
        <v>154</v>
      </c>
      <c r="C6773" s="7" t="s">
        <v>155</v>
      </c>
      <c r="D6773" s="8" t="s">
        <v>1103</v>
      </c>
      <c r="E6773" s="8" t="s">
        <v>1104</v>
      </c>
      <c r="F6773" s="9">
        <f>DATE(2025,1,30)</f>
        <v>45687</v>
      </c>
      <c r="G6773" s="10">
        <f t="shared" si="587"/>
        <v>1</v>
      </c>
      <c r="H6773" s="10">
        <f t="shared" si="588"/>
        <v>2025</v>
      </c>
      <c r="I6773" s="8" t="s">
        <v>4</v>
      </c>
      <c r="J6773" s="7" t="s">
        <v>7381</v>
      </c>
      <c r="K6773" s="8" t="s">
        <v>631</v>
      </c>
      <c r="L6773" s="8" t="s">
        <v>632</v>
      </c>
      <c r="M6773" s="8" t="s">
        <v>633</v>
      </c>
      <c r="N6773" s="10" t="str">
        <f t="shared" si="585"/>
        <v>GAL</v>
      </c>
      <c r="O6773" s="11">
        <v>1500</v>
      </c>
    </row>
    <row r="6774" spans="2:15" x14ac:dyDescent="0.25">
      <c r="B6774" s="6" t="s">
        <v>645</v>
      </c>
      <c r="C6774" s="7" t="s">
        <v>155</v>
      </c>
      <c r="D6774" s="8" t="s">
        <v>646</v>
      </c>
      <c r="E6774" s="8" t="s">
        <v>647</v>
      </c>
      <c r="F6774" s="9">
        <f>DATE(2025,1,30)</f>
        <v>45687</v>
      </c>
      <c r="G6774" s="10">
        <f t="shared" si="587"/>
        <v>1</v>
      </c>
      <c r="H6774" s="10">
        <f t="shared" si="588"/>
        <v>2025</v>
      </c>
      <c r="I6774" s="8" t="s">
        <v>4</v>
      </c>
      <c r="J6774" s="7" t="s">
        <v>7382</v>
      </c>
      <c r="K6774" s="8" t="s">
        <v>143</v>
      </c>
      <c r="L6774" s="8" t="s">
        <v>7383</v>
      </c>
      <c r="M6774" s="8" t="s">
        <v>145</v>
      </c>
      <c r="N6774" s="10" t="str">
        <f t="shared" si="585"/>
        <v>GAL</v>
      </c>
      <c r="O6774" s="11">
        <v>540</v>
      </c>
    </row>
    <row r="6775" spans="2:15" x14ac:dyDescent="0.25">
      <c r="B6775" s="6" t="s">
        <v>154</v>
      </c>
      <c r="C6775" s="7" t="s">
        <v>155</v>
      </c>
      <c r="D6775" s="8" t="s">
        <v>107</v>
      </c>
      <c r="E6775" s="8" t="s">
        <v>108</v>
      </c>
      <c r="F6775" s="9">
        <f t="shared" ref="F6775:F6780" si="590">DATE(2025,1,31)</f>
        <v>45688</v>
      </c>
      <c r="G6775" s="10">
        <f t="shared" si="587"/>
        <v>1</v>
      </c>
      <c r="H6775" s="10">
        <f t="shared" si="588"/>
        <v>2025</v>
      </c>
      <c r="I6775" s="8" t="s">
        <v>4</v>
      </c>
      <c r="J6775" s="7" t="s">
        <v>7384</v>
      </c>
      <c r="K6775" s="8" t="s">
        <v>192</v>
      </c>
      <c r="L6775" s="8" t="s">
        <v>193</v>
      </c>
      <c r="M6775" s="8" t="s">
        <v>160</v>
      </c>
      <c r="N6775" s="10" t="str">
        <f t="shared" si="585"/>
        <v>GAL</v>
      </c>
      <c r="O6775" s="11">
        <v>500</v>
      </c>
    </row>
    <row r="6776" spans="2:15" x14ac:dyDescent="0.25">
      <c r="B6776" s="6" t="s">
        <v>645</v>
      </c>
      <c r="C6776" s="7" t="s">
        <v>155</v>
      </c>
      <c r="D6776" s="8" t="s">
        <v>646</v>
      </c>
      <c r="E6776" s="8" t="s">
        <v>647</v>
      </c>
      <c r="F6776" s="9">
        <f t="shared" si="590"/>
        <v>45688</v>
      </c>
      <c r="G6776" s="10">
        <f t="shared" si="587"/>
        <v>1</v>
      </c>
      <c r="H6776" s="10">
        <f t="shared" si="588"/>
        <v>2025</v>
      </c>
      <c r="I6776" s="8" t="s">
        <v>4</v>
      </c>
      <c r="J6776" s="7" t="s">
        <v>7385</v>
      </c>
      <c r="K6776" s="8" t="s">
        <v>158</v>
      </c>
      <c r="L6776" s="8" t="s">
        <v>159</v>
      </c>
      <c r="M6776" s="8" t="s">
        <v>160</v>
      </c>
      <c r="N6776" s="10" t="str">
        <f t="shared" si="585"/>
        <v>GAL</v>
      </c>
      <c r="O6776" s="11">
        <v>360</v>
      </c>
    </row>
    <row r="6777" spans="2:15" x14ac:dyDescent="0.25">
      <c r="B6777" s="6" t="s">
        <v>154</v>
      </c>
      <c r="C6777" s="7" t="s">
        <v>155</v>
      </c>
      <c r="D6777" s="8" t="s">
        <v>161</v>
      </c>
      <c r="E6777" s="8" t="s">
        <v>162</v>
      </c>
      <c r="F6777" s="9">
        <f t="shared" si="590"/>
        <v>45688</v>
      </c>
      <c r="G6777" s="10">
        <f t="shared" si="587"/>
        <v>1</v>
      </c>
      <c r="H6777" s="10">
        <f t="shared" si="588"/>
        <v>2025</v>
      </c>
      <c r="I6777" s="8" t="s">
        <v>4</v>
      </c>
      <c r="J6777" s="7" t="s">
        <v>7386</v>
      </c>
      <c r="K6777" s="8" t="s">
        <v>1119</v>
      </c>
      <c r="L6777" s="8" t="s">
        <v>1023</v>
      </c>
      <c r="M6777" s="8" t="s">
        <v>1024</v>
      </c>
      <c r="N6777" s="10" t="str">
        <f t="shared" si="585"/>
        <v>GAL</v>
      </c>
      <c r="O6777" s="11">
        <v>180</v>
      </c>
    </row>
    <row r="6778" spans="2:15" x14ac:dyDescent="0.25">
      <c r="B6778" s="6" t="s">
        <v>154</v>
      </c>
      <c r="C6778" s="7" t="s">
        <v>155</v>
      </c>
      <c r="D6778" s="8" t="s">
        <v>161</v>
      </c>
      <c r="E6778" s="8" t="s">
        <v>162</v>
      </c>
      <c r="F6778" s="9">
        <f t="shared" si="590"/>
        <v>45688</v>
      </c>
      <c r="G6778" s="10">
        <f t="shared" si="587"/>
        <v>1</v>
      </c>
      <c r="H6778" s="10">
        <f t="shared" si="588"/>
        <v>2025</v>
      </c>
      <c r="I6778" s="8" t="s">
        <v>4</v>
      </c>
      <c r="J6778" s="7" t="s">
        <v>7386</v>
      </c>
      <c r="K6778" s="8" t="s">
        <v>171</v>
      </c>
      <c r="L6778" s="8" t="s">
        <v>172</v>
      </c>
      <c r="M6778" s="8" t="s">
        <v>27</v>
      </c>
      <c r="N6778" s="10" t="str">
        <f t="shared" si="585"/>
        <v>GAL</v>
      </c>
      <c r="O6778" s="11">
        <v>180</v>
      </c>
    </row>
    <row r="6779" spans="2:15" x14ac:dyDescent="0.25">
      <c r="B6779" s="6" t="s">
        <v>154</v>
      </c>
      <c r="C6779" s="7" t="s">
        <v>155</v>
      </c>
      <c r="D6779" s="8" t="s">
        <v>161</v>
      </c>
      <c r="E6779" s="8" t="s">
        <v>162</v>
      </c>
      <c r="F6779" s="9">
        <f t="shared" si="590"/>
        <v>45688</v>
      </c>
      <c r="G6779" s="10">
        <f t="shared" si="587"/>
        <v>1</v>
      </c>
      <c r="H6779" s="10">
        <f t="shared" si="588"/>
        <v>2025</v>
      </c>
      <c r="I6779" s="8" t="s">
        <v>4</v>
      </c>
      <c r="J6779" s="7" t="s">
        <v>7386</v>
      </c>
      <c r="K6779" s="8" t="s">
        <v>25</v>
      </c>
      <c r="L6779" s="8" t="s">
        <v>541</v>
      </c>
      <c r="M6779" s="8" t="s">
        <v>27</v>
      </c>
      <c r="N6779" s="10" t="str">
        <f t="shared" si="585"/>
        <v>GAL</v>
      </c>
      <c r="O6779" s="11">
        <v>180</v>
      </c>
    </row>
    <row r="6780" spans="2:15" x14ac:dyDescent="0.25">
      <c r="B6780" s="6" t="s">
        <v>154</v>
      </c>
      <c r="C6780" s="7" t="s">
        <v>155</v>
      </c>
      <c r="D6780" s="8" t="s">
        <v>167</v>
      </c>
      <c r="E6780" s="8" t="s">
        <v>168</v>
      </c>
      <c r="F6780" s="9">
        <f t="shared" si="590"/>
        <v>45688</v>
      </c>
      <c r="G6780" s="10">
        <f t="shared" si="587"/>
        <v>1</v>
      </c>
      <c r="H6780" s="10">
        <f t="shared" si="588"/>
        <v>2025</v>
      </c>
      <c r="I6780" s="8" t="s">
        <v>4</v>
      </c>
      <c r="J6780" s="7" t="s">
        <v>7387</v>
      </c>
      <c r="K6780" s="8" t="s">
        <v>3436</v>
      </c>
      <c r="L6780" s="8" t="s">
        <v>3437</v>
      </c>
      <c r="M6780" s="8" t="s">
        <v>67</v>
      </c>
      <c r="N6780" s="10" t="str">
        <f t="shared" si="585"/>
        <v>GAL</v>
      </c>
      <c r="O6780" s="11">
        <v>750</v>
      </c>
    </row>
    <row r="6781" spans="2:15" x14ac:dyDescent="0.25">
      <c r="B6781" s="6" t="s">
        <v>1520</v>
      </c>
      <c r="C6781" s="7" t="s">
        <v>196</v>
      </c>
      <c r="D6781" s="8" t="s">
        <v>227</v>
      </c>
      <c r="E6781" s="8" t="s">
        <v>228</v>
      </c>
      <c r="F6781" s="9">
        <f t="shared" ref="F6781:F6786" si="591">DATE(2025,1,2)</f>
        <v>45659</v>
      </c>
      <c r="G6781" s="10">
        <f t="shared" si="587"/>
        <v>1</v>
      </c>
      <c r="H6781" s="10">
        <f t="shared" si="588"/>
        <v>2025</v>
      </c>
      <c r="I6781" s="8" t="s">
        <v>4</v>
      </c>
      <c r="J6781" s="7" t="s">
        <v>7388</v>
      </c>
      <c r="K6781" s="8" t="s">
        <v>205</v>
      </c>
      <c r="L6781" s="8" t="s">
        <v>206</v>
      </c>
      <c r="M6781" s="8" t="s">
        <v>119</v>
      </c>
      <c r="N6781" s="10" t="str">
        <f t="shared" si="585"/>
        <v>TON</v>
      </c>
      <c r="O6781" s="11">
        <v>5.0075000000000003</v>
      </c>
    </row>
    <row r="6782" spans="2:15" x14ac:dyDescent="0.25">
      <c r="B6782" s="6" t="s">
        <v>1520</v>
      </c>
      <c r="C6782" s="7" t="s">
        <v>196</v>
      </c>
      <c r="D6782" s="8" t="s">
        <v>248</v>
      </c>
      <c r="E6782" s="8" t="s">
        <v>3610</v>
      </c>
      <c r="F6782" s="9">
        <f t="shared" si="591"/>
        <v>45659</v>
      </c>
      <c r="G6782" s="10">
        <f t="shared" si="587"/>
        <v>1</v>
      </c>
      <c r="H6782" s="10">
        <f t="shared" si="588"/>
        <v>2025</v>
      </c>
      <c r="I6782" s="8" t="s">
        <v>4</v>
      </c>
      <c r="J6782" s="7" t="s">
        <v>7389</v>
      </c>
      <c r="K6782" s="8" t="s">
        <v>251</v>
      </c>
      <c r="L6782" s="8" t="s">
        <v>252</v>
      </c>
      <c r="M6782" s="8" t="s">
        <v>119</v>
      </c>
      <c r="N6782" s="10" t="str">
        <f t="shared" ref="N6782:N6845" si="592">+LEFT(M6782,3)</f>
        <v>TON</v>
      </c>
      <c r="O6782" s="11">
        <v>15.012499999999999</v>
      </c>
    </row>
    <row r="6783" spans="2:15" x14ac:dyDescent="0.25">
      <c r="B6783" s="6" t="s">
        <v>1520</v>
      </c>
      <c r="C6783" s="7" t="s">
        <v>196</v>
      </c>
      <c r="D6783" s="8" t="s">
        <v>227</v>
      </c>
      <c r="E6783" s="8" t="s">
        <v>228</v>
      </c>
      <c r="F6783" s="9">
        <f t="shared" si="591"/>
        <v>45659</v>
      </c>
      <c r="G6783" s="10">
        <f t="shared" si="587"/>
        <v>1</v>
      </c>
      <c r="H6783" s="10">
        <f t="shared" si="588"/>
        <v>2025</v>
      </c>
      <c r="I6783" s="8" t="s">
        <v>4</v>
      </c>
      <c r="J6783" s="7" t="s">
        <v>7390</v>
      </c>
      <c r="K6783" s="8" t="s">
        <v>823</v>
      </c>
      <c r="L6783" s="8" t="s">
        <v>776</v>
      </c>
      <c r="M6783" s="8" t="s">
        <v>82</v>
      </c>
      <c r="N6783" s="10" t="str">
        <f t="shared" si="592"/>
        <v>GAL</v>
      </c>
      <c r="O6783" s="11">
        <v>500</v>
      </c>
    </row>
    <row r="6784" spans="2:15" x14ac:dyDescent="0.25">
      <c r="B6784" s="6" t="s">
        <v>1520</v>
      </c>
      <c r="C6784" s="7" t="s">
        <v>196</v>
      </c>
      <c r="D6784" s="8" t="s">
        <v>669</v>
      </c>
      <c r="E6784" s="8" t="s">
        <v>56</v>
      </c>
      <c r="F6784" s="9">
        <f t="shared" si="591"/>
        <v>45659</v>
      </c>
      <c r="G6784" s="10">
        <f t="shared" si="587"/>
        <v>1</v>
      </c>
      <c r="H6784" s="10">
        <f t="shared" si="588"/>
        <v>2025</v>
      </c>
      <c r="I6784" s="8" t="s">
        <v>4</v>
      </c>
      <c r="J6784" s="7" t="s">
        <v>7391</v>
      </c>
      <c r="K6784" s="8" t="s">
        <v>384</v>
      </c>
      <c r="L6784" s="8" t="s">
        <v>385</v>
      </c>
      <c r="M6784" s="8" t="s">
        <v>119</v>
      </c>
      <c r="N6784" s="10" t="str">
        <f t="shared" si="592"/>
        <v>TON</v>
      </c>
      <c r="O6784" s="11">
        <v>4.9924999999999997</v>
      </c>
    </row>
    <row r="6785" spans="2:15" x14ac:dyDescent="0.25">
      <c r="B6785" s="6" t="s">
        <v>1520</v>
      </c>
      <c r="C6785" s="7" t="s">
        <v>196</v>
      </c>
      <c r="D6785" s="8" t="s">
        <v>299</v>
      </c>
      <c r="E6785" s="8" t="s">
        <v>713</v>
      </c>
      <c r="F6785" s="9">
        <f t="shared" si="591"/>
        <v>45659</v>
      </c>
      <c r="G6785" s="10">
        <f t="shared" si="587"/>
        <v>1</v>
      </c>
      <c r="H6785" s="10">
        <f t="shared" si="588"/>
        <v>2025</v>
      </c>
      <c r="I6785" s="8" t="s">
        <v>4</v>
      </c>
      <c r="J6785" s="7" t="s">
        <v>7392</v>
      </c>
      <c r="K6785" s="8" t="s">
        <v>422</v>
      </c>
      <c r="L6785" s="8" t="s">
        <v>423</v>
      </c>
      <c r="M6785" s="8" t="s">
        <v>119</v>
      </c>
      <c r="N6785" s="10" t="str">
        <f t="shared" si="592"/>
        <v>TON</v>
      </c>
      <c r="O6785" s="11">
        <v>8.77</v>
      </c>
    </row>
    <row r="6786" spans="2:15" x14ac:dyDescent="0.25">
      <c r="B6786" s="6" t="s">
        <v>1520</v>
      </c>
      <c r="C6786" s="7" t="s">
        <v>196</v>
      </c>
      <c r="D6786" s="8" t="s">
        <v>374</v>
      </c>
      <c r="E6786" s="8" t="s">
        <v>379</v>
      </c>
      <c r="F6786" s="9">
        <f t="shared" si="591"/>
        <v>45659</v>
      </c>
      <c r="G6786" s="10">
        <f t="shared" si="587"/>
        <v>1</v>
      </c>
      <c r="H6786" s="10">
        <f t="shared" si="588"/>
        <v>2025</v>
      </c>
      <c r="I6786" s="8" t="s">
        <v>4</v>
      </c>
      <c r="J6786" s="7" t="s">
        <v>7393</v>
      </c>
      <c r="K6786" s="8" t="s">
        <v>220</v>
      </c>
      <c r="L6786" s="8" t="s">
        <v>201</v>
      </c>
      <c r="M6786" s="8" t="s">
        <v>202</v>
      </c>
      <c r="N6786" s="10" t="str">
        <f t="shared" si="592"/>
        <v>GAL</v>
      </c>
      <c r="O6786" s="11">
        <v>250</v>
      </c>
    </row>
    <row r="6787" spans="2:15" x14ac:dyDescent="0.25">
      <c r="B6787" s="6" t="s">
        <v>1520</v>
      </c>
      <c r="C6787" s="7" t="s">
        <v>196</v>
      </c>
      <c r="D6787" s="8" t="s">
        <v>215</v>
      </c>
      <c r="E6787" s="8" t="s">
        <v>4113</v>
      </c>
      <c r="F6787" s="9">
        <f t="shared" ref="F6787:F6804" si="593">DATE(2025,1,3)</f>
        <v>45660</v>
      </c>
      <c r="G6787" s="10">
        <f t="shared" si="587"/>
        <v>1</v>
      </c>
      <c r="H6787" s="10">
        <f t="shared" si="588"/>
        <v>2025</v>
      </c>
      <c r="I6787" s="8" t="s">
        <v>4</v>
      </c>
      <c r="J6787" s="7" t="s">
        <v>7394</v>
      </c>
      <c r="K6787" s="8" t="s">
        <v>329</v>
      </c>
      <c r="L6787" s="8" t="s">
        <v>330</v>
      </c>
      <c r="M6787" s="8" t="s">
        <v>119</v>
      </c>
      <c r="N6787" s="10" t="str">
        <f t="shared" si="592"/>
        <v>TON</v>
      </c>
      <c r="O6787" s="11">
        <v>5.0175000000000001</v>
      </c>
    </row>
    <row r="6788" spans="2:15" x14ac:dyDescent="0.25">
      <c r="B6788" s="6" t="s">
        <v>1520</v>
      </c>
      <c r="C6788" s="7" t="s">
        <v>196</v>
      </c>
      <c r="D6788" s="8" t="s">
        <v>837</v>
      </c>
      <c r="E6788" s="8" t="s">
        <v>102</v>
      </c>
      <c r="F6788" s="9">
        <f t="shared" si="593"/>
        <v>45660</v>
      </c>
      <c r="G6788" s="10">
        <f t="shared" si="587"/>
        <v>1</v>
      </c>
      <c r="H6788" s="10">
        <f t="shared" si="588"/>
        <v>2025</v>
      </c>
      <c r="I6788" s="8" t="s">
        <v>4</v>
      </c>
      <c r="J6788" s="7" t="s">
        <v>7395</v>
      </c>
      <c r="K6788" s="8" t="s">
        <v>268</v>
      </c>
      <c r="L6788" s="8" t="s">
        <v>269</v>
      </c>
      <c r="M6788" s="8" t="s">
        <v>119</v>
      </c>
      <c r="N6788" s="10" t="str">
        <f t="shared" si="592"/>
        <v>TON</v>
      </c>
      <c r="O6788" s="11">
        <v>0.15</v>
      </c>
    </row>
    <row r="6789" spans="2:15" x14ac:dyDescent="0.25">
      <c r="B6789" s="6" t="s">
        <v>1520</v>
      </c>
      <c r="C6789" s="7" t="s">
        <v>196</v>
      </c>
      <c r="D6789" s="8" t="s">
        <v>215</v>
      </c>
      <c r="E6789" s="8" t="s">
        <v>4113</v>
      </c>
      <c r="F6789" s="9">
        <f t="shared" si="593"/>
        <v>45660</v>
      </c>
      <c r="G6789" s="10">
        <f t="shared" si="587"/>
        <v>1</v>
      </c>
      <c r="H6789" s="10">
        <f t="shared" si="588"/>
        <v>2025</v>
      </c>
      <c r="I6789" s="8" t="s">
        <v>4</v>
      </c>
      <c r="J6789" s="7" t="s">
        <v>7396</v>
      </c>
      <c r="K6789" s="8" t="s">
        <v>329</v>
      </c>
      <c r="L6789" s="8" t="s">
        <v>330</v>
      </c>
      <c r="M6789" s="8" t="s">
        <v>119</v>
      </c>
      <c r="N6789" s="10" t="str">
        <f t="shared" si="592"/>
        <v>TON</v>
      </c>
      <c r="O6789" s="11">
        <v>15.05</v>
      </c>
    </row>
    <row r="6790" spans="2:15" x14ac:dyDescent="0.25">
      <c r="B6790" s="6" t="s">
        <v>1520</v>
      </c>
      <c r="C6790" s="7" t="s">
        <v>196</v>
      </c>
      <c r="D6790" s="8" t="s">
        <v>207</v>
      </c>
      <c r="E6790" s="8" t="s">
        <v>208</v>
      </c>
      <c r="F6790" s="9">
        <f t="shared" si="593"/>
        <v>45660</v>
      </c>
      <c r="G6790" s="10">
        <f t="shared" si="587"/>
        <v>1</v>
      </c>
      <c r="H6790" s="10">
        <f t="shared" si="588"/>
        <v>2025</v>
      </c>
      <c r="I6790" s="8" t="s">
        <v>4</v>
      </c>
      <c r="J6790" s="7" t="s">
        <v>7397</v>
      </c>
      <c r="K6790" s="8" t="s">
        <v>236</v>
      </c>
      <c r="L6790" s="8" t="s">
        <v>237</v>
      </c>
      <c r="M6790" s="8" t="s">
        <v>119</v>
      </c>
      <c r="N6790" s="10" t="str">
        <f t="shared" si="592"/>
        <v>TON</v>
      </c>
      <c r="O6790" s="11">
        <v>2.5024999999999999</v>
      </c>
    </row>
    <row r="6791" spans="2:15" x14ac:dyDescent="0.25">
      <c r="B6791" s="6" t="s">
        <v>1520</v>
      </c>
      <c r="C6791" s="7" t="s">
        <v>196</v>
      </c>
      <c r="D6791" s="8" t="s">
        <v>207</v>
      </c>
      <c r="E6791" s="8" t="s">
        <v>208</v>
      </c>
      <c r="F6791" s="9">
        <f t="shared" si="593"/>
        <v>45660</v>
      </c>
      <c r="G6791" s="10">
        <f t="shared" si="587"/>
        <v>1</v>
      </c>
      <c r="H6791" s="10">
        <f t="shared" si="588"/>
        <v>2025</v>
      </c>
      <c r="I6791" s="8" t="s">
        <v>4</v>
      </c>
      <c r="J6791" s="7" t="s">
        <v>7398</v>
      </c>
      <c r="K6791" s="8" t="s">
        <v>205</v>
      </c>
      <c r="L6791" s="8" t="s">
        <v>206</v>
      </c>
      <c r="M6791" s="8" t="s">
        <v>119</v>
      </c>
      <c r="N6791" s="10" t="str">
        <f t="shared" si="592"/>
        <v>TON</v>
      </c>
      <c r="O6791" s="11">
        <v>2.5049999999999999</v>
      </c>
    </row>
    <row r="6792" spans="2:15" x14ac:dyDescent="0.25">
      <c r="B6792" s="6" t="s">
        <v>1520</v>
      </c>
      <c r="C6792" s="7" t="s">
        <v>196</v>
      </c>
      <c r="D6792" s="8" t="s">
        <v>289</v>
      </c>
      <c r="E6792" s="8" t="s">
        <v>290</v>
      </c>
      <c r="F6792" s="9">
        <f t="shared" si="593"/>
        <v>45660</v>
      </c>
      <c r="G6792" s="10">
        <f t="shared" si="587"/>
        <v>1</v>
      </c>
      <c r="H6792" s="10">
        <f t="shared" si="588"/>
        <v>2025</v>
      </c>
      <c r="I6792" s="8" t="s">
        <v>4</v>
      </c>
      <c r="J6792" s="7" t="s">
        <v>7399</v>
      </c>
      <c r="K6792" s="8" t="s">
        <v>865</v>
      </c>
      <c r="L6792" s="8" t="s">
        <v>866</v>
      </c>
      <c r="M6792" s="8" t="s">
        <v>119</v>
      </c>
      <c r="N6792" s="10" t="str">
        <f t="shared" si="592"/>
        <v>TON</v>
      </c>
      <c r="O6792" s="11">
        <v>1</v>
      </c>
    </row>
    <row r="6793" spans="2:15" x14ac:dyDescent="0.25">
      <c r="B6793" s="6" t="s">
        <v>1520</v>
      </c>
      <c r="C6793" s="7" t="s">
        <v>196</v>
      </c>
      <c r="D6793" s="8" t="s">
        <v>440</v>
      </c>
      <c r="E6793" s="8" t="s">
        <v>1274</v>
      </c>
      <c r="F6793" s="9">
        <f t="shared" si="593"/>
        <v>45660</v>
      </c>
      <c r="G6793" s="10">
        <f t="shared" si="587"/>
        <v>1</v>
      </c>
      <c r="H6793" s="10">
        <f t="shared" si="588"/>
        <v>2025</v>
      </c>
      <c r="I6793" s="8" t="s">
        <v>4</v>
      </c>
      <c r="J6793" s="7" t="s">
        <v>7400</v>
      </c>
      <c r="K6793" s="8" t="s">
        <v>7086</v>
      </c>
      <c r="L6793" s="8" t="s">
        <v>7087</v>
      </c>
      <c r="M6793" s="8" t="s">
        <v>119</v>
      </c>
      <c r="N6793" s="10" t="str">
        <f t="shared" si="592"/>
        <v>TON</v>
      </c>
      <c r="O6793" s="11">
        <v>5.0075000000000003</v>
      </c>
    </row>
    <row r="6794" spans="2:15" x14ac:dyDescent="0.25">
      <c r="B6794" s="6" t="s">
        <v>1520</v>
      </c>
      <c r="C6794" s="7" t="s">
        <v>196</v>
      </c>
      <c r="D6794" s="8" t="s">
        <v>280</v>
      </c>
      <c r="E6794" s="8" t="s">
        <v>868</v>
      </c>
      <c r="F6794" s="9">
        <f t="shared" si="593"/>
        <v>45660</v>
      </c>
      <c r="G6794" s="10">
        <f t="shared" si="587"/>
        <v>1</v>
      </c>
      <c r="H6794" s="10">
        <f t="shared" si="588"/>
        <v>2025</v>
      </c>
      <c r="I6794" s="8" t="s">
        <v>4</v>
      </c>
      <c r="J6794" s="7" t="s">
        <v>7401</v>
      </c>
      <c r="K6794" s="8" t="s">
        <v>422</v>
      </c>
      <c r="L6794" s="8" t="s">
        <v>423</v>
      </c>
      <c r="M6794" s="8" t="s">
        <v>119</v>
      </c>
      <c r="N6794" s="10" t="str">
        <f t="shared" si="592"/>
        <v>TON</v>
      </c>
      <c r="O6794" s="11">
        <v>8.0124999999999993</v>
      </c>
    </row>
    <row r="6795" spans="2:15" x14ac:dyDescent="0.25">
      <c r="B6795" s="6" t="s">
        <v>1520</v>
      </c>
      <c r="C6795" s="7" t="s">
        <v>196</v>
      </c>
      <c r="D6795" s="8" t="s">
        <v>114</v>
      </c>
      <c r="E6795" s="8" t="s">
        <v>274</v>
      </c>
      <c r="F6795" s="9">
        <f t="shared" si="593"/>
        <v>45660</v>
      </c>
      <c r="G6795" s="10">
        <f t="shared" si="587"/>
        <v>1</v>
      </c>
      <c r="H6795" s="10">
        <f t="shared" si="588"/>
        <v>2025</v>
      </c>
      <c r="I6795" s="8" t="s">
        <v>4</v>
      </c>
      <c r="J6795" s="7" t="s">
        <v>7402</v>
      </c>
      <c r="K6795" s="8" t="s">
        <v>422</v>
      </c>
      <c r="L6795" s="8" t="s">
        <v>423</v>
      </c>
      <c r="M6795" s="8" t="s">
        <v>119</v>
      </c>
      <c r="N6795" s="10" t="str">
        <f t="shared" si="592"/>
        <v>TON</v>
      </c>
      <c r="O6795" s="11">
        <v>3.0125000000000002</v>
      </c>
    </row>
    <row r="6796" spans="2:15" x14ac:dyDescent="0.25">
      <c r="B6796" s="6" t="s">
        <v>1520</v>
      </c>
      <c r="C6796" s="7" t="s">
        <v>196</v>
      </c>
      <c r="D6796" s="8" t="s">
        <v>114</v>
      </c>
      <c r="E6796" s="8" t="s">
        <v>3751</v>
      </c>
      <c r="F6796" s="9">
        <f t="shared" si="593"/>
        <v>45660</v>
      </c>
      <c r="G6796" s="10">
        <f t="shared" si="587"/>
        <v>1</v>
      </c>
      <c r="H6796" s="10">
        <f t="shared" si="588"/>
        <v>2025</v>
      </c>
      <c r="I6796" s="8" t="s">
        <v>4</v>
      </c>
      <c r="J6796" s="7" t="s">
        <v>7403</v>
      </c>
      <c r="K6796" s="8" t="s">
        <v>422</v>
      </c>
      <c r="L6796" s="8" t="s">
        <v>423</v>
      </c>
      <c r="M6796" s="8" t="s">
        <v>119</v>
      </c>
      <c r="N6796" s="10" t="str">
        <f t="shared" si="592"/>
        <v>TON</v>
      </c>
      <c r="O6796" s="11">
        <v>3.7425000000000002</v>
      </c>
    </row>
    <row r="6797" spans="2:15" x14ac:dyDescent="0.25">
      <c r="B6797" s="6" t="s">
        <v>1520</v>
      </c>
      <c r="C6797" s="7" t="s">
        <v>196</v>
      </c>
      <c r="D6797" s="8" t="s">
        <v>440</v>
      </c>
      <c r="E6797" s="8" t="s">
        <v>1369</v>
      </c>
      <c r="F6797" s="9">
        <f t="shared" si="593"/>
        <v>45660</v>
      </c>
      <c r="G6797" s="10">
        <f t="shared" si="587"/>
        <v>1</v>
      </c>
      <c r="H6797" s="10">
        <f t="shared" si="588"/>
        <v>2025</v>
      </c>
      <c r="I6797" s="8" t="s">
        <v>4</v>
      </c>
      <c r="J6797" s="7" t="s">
        <v>7404</v>
      </c>
      <c r="K6797" s="8" t="s">
        <v>7086</v>
      </c>
      <c r="L6797" s="8" t="s">
        <v>7087</v>
      </c>
      <c r="M6797" s="8" t="s">
        <v>119</v>
      </c>
      <c r="N6797" s="10" t="str">
        <f t="shared" si="592"/>
        <v>TON</v>
      </c>
      <c r="O6797" s="11">
        <v>5.0075000000000003</v>
      </c>
    </row>
    <row r="6798" spans="2:15" x14ac:dyDescent="0.25">
      <c r="B6798" s="6" t="s">
        <v>1520</v>
      </c>
      <c r="C6798" s="7" t="s">
        <v>196</v>
      </c>
      <c r="D6798" s="8" t="s">
        <v>669</v>
      </c>
      <c r="E6798" s="8" t="s">
        <v>861</v>
      </c>
      <c r="F6798" s="9">
        <f t="shared" si="593"/>
        <v>45660</v>
      </c>
      <c r="G6798" s="10">
        <f t="shared" si="587"/>
        <v>1</v>
      </c>
      <c r="H6798" s="10">
        <f t="shared" si="588"/>
        <v>2025</v>
      </c>
      <c r="I6798" s="8" t="s">
        <v>4</v>
      </c>
      <c r="J6798" s="7" t="s">
        <v>7405</v>
      </c>
      <c r="K6798" s="8" t="s">
        <v>384</v>
      </c>
      <c r="L6798" s="8" t="s">
        <v>385</v>
      </c>
      <c r="M6798" s="8" t="s">
        <v>119</v>
      </c>
      <c r="N6798" s="10" t="str">
        <f t="shared" si="592"/>
        <v>TON</v>
      </c>
      <c r="O6798" s="11">
        <v>1.7475000000000001</v>
      </c>
    </row>
    <row r="6799" spans="2:15" x14ac:dyDescent="0.25">
      <c r="B6799" s="6" t="s">
        <v>1520</v>
      </c>
      <c r="C6799" s="7" t="s">
        <v>196</v>
      </c>
      <c r="D6799" s="8" t="s">
        <v>280</v>
      </c>
      <c r="E6799" s="8" t="s">
        <v>254</v>
      </c>
      <c r="F6799" s="9">
        <f t="shared" si="593"/>
        <v>45660</v>
      </c>
      <c r="G6799" s="10">
        <f t="shared" si="587"/>
        <v>1</v>
      </c>
      <c r="H6799" s="10">
        <f t="shared" si="588"/>
        <v>2025</v>
      </c>
      <c r="I6799" s="8" t="s">
        <v>4</v>
      </c>
      <c r="J6799" s="7" t="s">
        <v>7406</v>
      </c>
      <c r="K6799" s="8" t="s">
        <v>422</v>
      </c>
      <c r="L6799" s="8" t="s">
        <v>423</v>
      </c>
      <c r="M6799" s="8" t="s">
        <v>119</v>
      </c>
      <c r="N6799" s="10" t="str">
        <f t="shared" si="592"/>
        <v>TON</v>
      </c>
      <c r="O6799" s="11">
        <v>15.0375</v>
      </c>
    </row>
    <row r="6800" spans="2:15" x14ac:dyDescent="0.25">
      <c r="B6800" s="6" t="s">
        <v>1520</v>
      </c>
      <c r="C6800" s="7" t="s">
        <v>196</v>
      </c>
      <c r="D6800" s="8" t="s">
        <v>310</v>
      </c>
      <c r="E6800" s="8" t="s">
        <v>426</v>
      </c>
      <c r="F6800" s="9">
        <f t="shared" si="593"/>
        <v>45660</v>
      </c>
      <c r="G6800" s="10">
        <f t="shared" si="587"/>
        <v>1</v>
      </c>
      <c r="H6800" s="10">
        <f t="shared" si="588"/>
        <v>2025</v>
      </c>
      <c r="I6800" s="8" t="s">
        <v>4</v>
      </c>
      <c r="J6800" s="7" t="s">
        <v>7407</v>
      </c>
      <c r="K6800" s="8" t="s">
        <v>428</v>
      </c>
      <c r="L6800" s="8" t="s">
        <v>429</v>
      </c>
      <c r="M6800" s="8" t="s">
        <v>119</v>
      </c>
      <c r="N6800" s="10" t="str">
        <f t="shared" si="592"/>
        <v>TON</v>
      </c>
      <c r="O6800" s="11">
        <v>2.0024999999999999</v>
      </c>
    </row>
    <row r="6801" spans="2:15" x14ac:dyDescent="0.25">
      <c r="B6801" s="6" t="s">
        <v>1520</v>
      </c>
      <c r="C6801" s="7" t="s">
        <v>196</v>
      </c>
      <c r="D6801" s="8" t="s">
        <v>4034</v>
      </c>
      <c r="E6801" s="8" t="s">
        <v>1346</v>
      </c>
      <c r="F6801" s="9">
        <f t="shared" si="593"/>
        <v>45660</v>
      </c>
      <c r="G6801" s="10">
        <f t="shared" si="587"/>
        <v>1</v>
      </c>
      <c r="H6801" s="10">
        <f t="shared" si="588"/>
        <v>2025</v>
      </c>
      <c r="I6801" s="8" t="s">
        <v>4</v>
      </c>
      <c r="J6801" s="7" t="s">
        <v>7408</v>
      </c>
      <c r="K6801" s="8" t="s">
        <v>117</v>
      </c>
      <c r="L6801" s="8" t="s">
        <v>118</v>
      </c>
      <c r="M6801" s="8" t="s">
        <v>119</v>
      </c>
      <c r="N6801" s="10" t="str">
        <f t="shared" si="592"/>
        <v>TON</v>
      </c>
      <c r="O6801" s="11">
        <v>5.0049999999999999</v>
      </c>
    </row>
    <row r="6802" spans="2:15" x14ac:dyDescent="0.25">
      <c r="B6802" s="6" t="s">
        <v>1520</v>
      </c>
      <c r="C6802" s="7" t="s">
        <v>196</v>
      </c>
      <c r="D6802" s="8" t="s">
        <v>387</v>
      </c>
      <c r="E6802" s="8" t="s">
        <v>797</v>
      </c>
      <c r="F6802" s="9">
        <f t="shared" si="593"/>
        <v>45660</v>
      </c>
      <c r="G6802" s="10">
        <f t="shared" ref="G6802:G6865" si="594">+MONTH(F6802)</f>
        <v>1</v>
      </c>
      <c r="H6802" s="10">
        <f t="shared" ref="H6802:H6865" si="595">+YEAR(F6802)</f>
        <v>2025</v>
      </c>
      <c r="I6802" s="8" t="s">
        <v>4</v>
      </c>
      <c r="J6802" s="7" t="s">
        <v>7409</v>
      </c>
      <c r="K6802" s="8" t="s">
        <v>7086</v>
      </c>
      <c r="L6802" s="8" t="s">
        <v>7087</v>
      </c>
      <c r="M6802" s="8" t="s">
        <v>119</v>
      </c>
      <c r="N6802" s="10" t="str">
        <f t="shared" si="592"/>
        <v>TON</v>
      </c>
      <c r="O6802" s="11">
        <v>10.012499999999999</v>
      </c>
    </row>
    <row r="6803" spans="2:15" x14ac:dyDescent="0.25">
      <c r="B6803" s="6" t="s">
        <v>1520</v>
      </c>
      <c r="C6803" s="7" t="s">
        <v>196</v>
      </c>
      <c r="D6803" s="8" t="s">
        <v>280</v>
      </c>
      <c r="E6803" s="8" t="s">
        <v>254</v>
      </c>
      <c r="F6803" s="9">
        <f t="shared" si="593"/>
        <v>45660</v>
      </c>
      <c r="G6803" s="10">
        <f t="shared" si="594"/>
        <v>1</v>
      </c>
      <c r="H6803" s="10">
        <f t="shared" si="595"/>
        <v>2025</v>
      </c>
      <c r="I6803" s="8" t="s">
        <v>4</v>
      </c>
      <c r="J6803" s="7" t="s">
        <v>7410</v>
      </c>
      <c r="K6803" s="8" t="s">
        <v>422</v>
      </c>
      <c r="L6803" s="8" t="s">
        <v>423</v>
      </c>
      <c r="M6803" s="8" t="s">
        <v>119</v>
      </c>
      <c r="N6803" s="10" t="str">
        <f t="shared" si="592"/>
        <v>TON</v>
      </c>
      <c r="O6803" s="11">
        <v>15.0175</v>
      </c>
    </row>
    <row r="6804" spans="2:15" x14ac:dyDescent="0.25">
      <c r="B6804" s="6" t="s">
        <v>1520</v>
      </c>
      <c r="C6804" s="7" t="s">
        <v>196</v>
      </c>
      <c r="D6804" s="8" t="s">
        <v>1343</v>
      </c>
      <c r="E6804" s="8" t="s">
        <v>7411</v>
      </c>
      <c r="F6804" s="9">
        <f t="shared" si="593"/>
        <v>45660</v>
      </c>
      <c r="G6804" s="10">
        <f t="shared" si="594"/>
        <v>1</v>
      </c>
      <c r="H6804" s="10">
        <f t="shared" si="595"/>
        <v>2025</v>
      </c>
      <c r="I6804" s="8" t="s">
        <v>4</v>
      </c>
      <c r="J6804" s="7" t="s">
        <v>7412</v>
      </c>
      <c r="K6804" s="8" t="s">
        <v>2039</v>
      </c>
      <c r="L6804" s="8" t="s">
        <v>2040</v>
      </c>
      <c r="M6804" s="8" t="s">
        <v>119</v>
      </c>
      <c r="N6804" s="10" t="str">
        <f t="shared" si="592"/>
        <v>TON</v>
      </c>
      <c r="O6804" s="11">
        <v>15.025</v>
      </c>
    </row>
    <row r="6805" spans="2:15" x14ac:dyDescent="0.25">
      <c r="B6805" s="6" t="s">
        <v>1520</v>
      </c>
      <c r="C6805" s="7" t="s">
        <v>196</v>
      </c>
      <c r="D6805" s="8" t="s">
        <v>1343</v>
      </c>
      <c r="E6805" s="8" t="s">
        <v>3729</v>
      </c>
      <c r="F6805" s="9">
        <f t="shared" ref="F6805:F6817" si="596">DATE(2025,1,6)</f>
        <v>45663</v>
      </c>
      <c r="G6805" s="10">
        <f t="shared" si="594"/>
        <v>1</v>
      </c>
      <c r="H6805" s="10">
        <f t="shared" si="595"/>
        <v>2025</v>
      </c>
      <c r="I6805" s="8" t="s">
        <v>4</v>
      </c>
      <c r="J6805" s="7" t="s">
        <v>7413</v>
      </c>
      <c r="K6805" s="8" t="s">
        <v>2039</v>
      </c>
      <c r="L6805" s="8" t="s">
        <v>2040</v>
      </c>
      <c r="M6805" s="8" t="s">
        <v>119</v>
      </c>
      <c r="N6805" s="10" t="str">
        <f t="shared" si="592"/>
        <v>TON</v>
      </c>
      <c r="O6805" s="11">
        <v>15.005000000000001</v>
      </c>
    </row>
    <row r="6806" spans="2:15" x14ac:dyDescent="0.25">
      <c r="B6806" s="6" t="s">
        <v>1520</v>
      </c>
      <c r="C6806" s="7" t="s">
        <v>196</v>
      </c>
      <c r="D6806" s="8" t="s">
        <v>299</v>
      </c>
      <c r="E6806" s="8" t="s">
        <v>713</v>
      </c>
      <c r="F6806" s="9">
        <f t="shared" si="596"/>
        <v>45663</v>
      </c>
      <c r="G6806" s="10">
        <f t="shared" si="594"/>
        <v>1</v>
      </c>
      <c r="H6806" s="10">
        <f t="shared" si="595"/>
        <v>2025</v>
      </c>
      <c r="I6806" s="8" t="s">
        <v>4</v>
      </c>
      <c r="J6806" s="7" t="s">
        <v>7414</v>
      </c>
      <c r="K6806" s="8" t="s">
        <v>7415</v>
      </c>
      <c r="L6806" s="8" t="s">
        <v>7416</v>
      </c>
      <c r="M6806" s="8" t="s">
        <v>160</v>
      </c>
      <c r="N6806" s="10" t="str">
        <f t="shared" si="592"/>
        <v>GAL</v>
      </c>
      <c r="O6806" s="11">
        <v>60</v>
      </c>
    </row>
    <row r="6807" spans="2:15" x14ac:dyDescent="0.25">
      <c r="B6807" s="6" t="s">
        <v>1520</v>
      </c>
      <c r="C6807" s="7" t="s">
        <v>196</v>
      </c>
      <c r="D6807" s="8" t="s">
        <v>114</v>
      </c>
      <c r="E6807" s="8" t="s">
        <v>3751</v>
      </c>
      <c r="F6807" s="9">
        <f t="shared" si="596"/>
        <v>45663</v>
      </c>
      <c r="G6807" s="10">
        <f t="shared" si="594"/>
        <v>1</v>
      </c>
      <c r="H6807" s="10">
        <f t="shared" si="595"/>
        <v>2025</v>
      </c>
      <c r="I6807" s="8" t="s">
        <v>4</v>
      </c>
      <c r="J6807" s="7" t="s">
        <v>7417</v>
      </c>
      <c r="K6807" s="8" t="s">
        <v>7415</v>
      </c>
      <c r="L6807" s="8" t="s">
        <v>7416</v>
      </c>
      <c r="M6807" s="8" t="s">
        <v>160</v>
      </c>
      <c r="N6807" s="10" t="str">
        <f t="shared" si="592"/>
        <v>GAL</v>
      </c>
      <c r="O6807" s="11">
        <v>30</v>
      </c>
    </row>
    <row r="6808" spans="2:15" x14ac:dyDescent="0.25">
      <c r="B6808" s="6" t="s">
        <v>1520</v>
      </c>
      <c r="C6808" s="7" t="s">
        <v>196</v>
      </c>
      <c r="D6808" s="8" t="s">
        <v>672</v>
      </c>
      <c r="E6808" s="8" t="s">
        <v>699</v>
      </c>
      <c r="F6808" s="9">
        <f t="shared" si="596"/>
        <v>45663</v>
      </c>
      <c r="G6808" s="10">
        <f t="shared" si="594"/>
        <v>1</v>
      </c>
      <c r="H6808" s="10">
        <f t="shared" si="595"/>
        <v>2025</v>
      </c>
      <c r="I6808" s="8" t="s">
        <v>4</v>
      </c>
      <c r="J6808" s="7" t="s">
        <v>7418</v>
      </c>
      <c r="K6808" s="8" t="s">
        <v>251</v>
      </c>
      <c r="L6808" s="8" t="s">
        <v>252</v>
      </c>
      <c r="M6808" s="8" t="s">
        <v>119</v>
      </c>
      <c r="N6808" s="10" t="str">
        <f t="shared" si="592"/>
        <v>TON</v>
      </c>
      <c r="O6808" s="11">
        <v>5.0075000000000003</v>
      </c>
    </row>
    <row r="6809" spans="2:15" x14ac:dyDescent="0.25">
      <c r="B6809" s="6" t="s">
        <v>1520</v>
      </c>
      <c r="C6809" s="7" t="s">
        <v>196</v>
      </c>
      <c r="D6809" s="8" t="s">
        <v>452</v>
      </c>
      <c r="E6809" s="8" t="s">
        <v>1167</v>
      </c>
      <c r="F6809" s="9">
        <f t="shared" si="596"/>
        <v>45663</v>
      </c>
      <c r="G6809" s="10">
        <f t="shared" si="594"/>
        <v>1</v>
      </c>
      <c r="H6809" s="10">
        <f t="shared" si="595"/>
        <v>2025</v>
      </c>
      <c r="I6809" s="8" t="s">
        <v>4</v>
      </c>
      <c r="J6809" s="7" t="s">
        <v>7419</v>
      </c>
      <c r="K6809" s="8" t="s">
        <v>447</v>
      </c>
      <c r="L6809" s="8" t="s">
        <v>448</v>
      </c>
      <c r="M6809" s="8" t="s">
        <v>119</v>
      </c>
      <c r="N6809" s="10" t="str">
        <f t="shared" si="592"/>
        <v>TON</v>
      </c>
      <c r="O6809" s="11">
        <v>2.5125000000000002</v>
      </c>
    </row>
    <row r="6810" spans="2:15" x14ac:dyDescent="0.25">
      <c r="B6810" s="6" t="s">
        <v>1520</v>
      </c>
      <c r="C6810" s="7" t="s">
        <v>196</v>
      </c>
      <c r="D6810" s="8" t="s">
        <v>241</v>
      </c>
      <c r="E6810" s="8" t="s">
        <v>258</v>
      </c>
      <c r="F6810" s="9">
        <f t="shared" si="596"/>
        <v>45663</v>
      </c>
      <c r="G6810" s="10">
        <f t="shared" si="594"/>
        <v>1</v>
      </c>
      <c r="H6810" s="10">
        <f t="shared" si="595"/>
        <v>2025</v>
      </c>
      <c r="I6810" s="8" t="s">
        <v>4</v>
      </c>
      <c r="J6810" s="7" t="s">
        <v>7420</v>
      </c>
      <c r="K6810" s="8" t="s">
        <v>3458</v>
      </c>
      <c r="L6810" s="8" t="s">
        <v>3459</v>
      </c>
      <c r="M6810" s="8" t="s">
        <v>119</v>
      </c>
      <c r="N6810" s="10" t="str">
        <f t="shared" si="592"/>
        <v>TON</v>
      </c>
      <c r="O6810" s="11">
        <v>2.2574999999999998</v>
      </c>
    </row>
    <row r="6811" spans="2:15" x14ac:dyDescent="0.25">
      <c r="B6811" s="6" t="s">
        <v>1520</v>
      </c>
      <c r="C6811" s="7" t="s">
        <v>196</v>
      </c>
      <c r="D6811" s="8" t="s">
        <v>1216</v>
      </c>
      <c r="E6811" s="8" t="s">
        <v>7421</v>
      </c>
      <c r="F6811" s="9">
        <f t="shared" si="596"/>
        <v>45663</v>
      </c>
      <c r="G6811" s="10">
        <f t="shared" si="594"/>
        <v>1</v>
      </c>
      <c r="H6811" s="10">
        <f t="shared" si="595"/>
        <v>2025</v>
      </c>
      <c r="I6811" s="8" t="s">
        <v>4</v>
      </c>
      <c r="J6811" s="7" t="s">
        <v>7422</v>
      </c>
      <c r="K6811" s="8" t="s">
        <v>7415</v>
      </c>
      <c r="L6811" s="8" t="s">
        <v>7416</v>
      </c>
      <c r="M6811" s="8" t="s">
        <v>160</v>
      </c>
      <c r="N6811" s="10" t="str">
        <f t="shared" si="592"/>
        <v>GAL</v>
      </c>
      <c r="O6811" s="11">
        <v>30</v>
      </c>
    </row>
    <row r="6812" spans="2:15" x14ac:dyDescent="0.25">
      <c r="B6812" s="6" t="s">
        <v>1520</v>
      </c>
      <c r="C6812" s="7" t="s">
        <v>196</v>
      </c>
      <c r="D6812" s="8" t="s">
        <v>4705</v>
      </c>
      <c r="E6812" s="8" t="s">
        <v>4706</v>
      </c>
      <c r="F6812" s="9">
        <f t="shared" si="596"/>
        <v>45663</v>
      </c>
      <c r="G6812" s="10">
        <f t="shared" si="594"/>
        <v>1</v>
      </c>
      <c r="H6812" s="10">
        <f t="shared" si="595"/>
        <v>2025</v>
      </c>
      <c r="I6812" s="8" t="s">
        <v>4</v>
      </c>
      <c r="J6812" s="7" t="s">
        <v>7423</v>
      </c>
      <c r="K6812" s="8" t="s">
        <v>7415</v>
      </c>
      <c r="L6812" s="8" t="s">
        <v>7416</v>
      </c>
      <c r="M6812" s="8" t="s">
        <v>160</v>
      </c>
      <c r="N6812" s="10" t="str">
        <f t="shared" si="592"/>
        <v>GAL</v>
      </c>
      <c r="O6812" s="11">
        <v>60</v>
      </c>
    </row>
    <row r="6813" spans="2:15" x14ac:dyDescent="0.25">
      <c r="B6813" s="6" t="s">
        <v>1520</v>
      </c>
      <c r="C6813" s="7" t="s">
        <v>196</v>
      </c>
      <c r="D6813" s="8" t="s">
        <v>3761</v>
      </c>
      <c r="E6813" s="8" t="s">
        <v>3762</v>
      </c>
      <c r="F6813" s="9">
        <f t="shared" si="596"/>
        <v>45663</v>
      </c>
      <c r="G6813" s="10">
        <f t="shared" si="594"/>
        <v>1</v>
      </c>
      <c r="H6813" s="10">
        <f t="shared" si="595"/>
        <v>2025</v>
      </c>
      <c r="I6813" s="8" t="s">
        <v>4</v>
      </c>
      <c r="J6813" s="7" t="s">
        <v>7424</v>
      </c>
      <c r="K6813" s="8" t="s">
        <v>329</v>
      </c>
      <c r="L6813" s="8" t="s">
        <v>330</v>
      </c>
      <c r="M6813" s="8" t="s">
        <v>119</v>
      </c>
      <c r="N6813" s="10" t="str">
        <f t="shared" si="592"/>
        <v>TON</v>
      </c>
      <c r="O6813" s="11">
        <v>10.0075</v>
      </c>
    </row>
    <row r="6814" spans="2:15" x14ac:dyDescent="0.25">
      <c r="B6814" s="6" t="s">
        <v>1520</v>
      </c>
      <c r="C6814" s="7" t="s">
        <v>196</v>
      </c>
      <c r="D6814" s="8" t="s">
        <v>6651</v>
      </c>
      <c r="E6814" s="8" t="s">
        <v>6652</v>
      </c>
      <c r="F6814" s="9">
        <f t="shared" si="596"/>
        <v>45663</v>
      </c>
      <c r="G6814" s="10">
        <f t="shared" si="594"/>
        <v>1</v>
      </c>
      <c r="H6814" s="10">
        <f t="shared" si="595"/>
        <v>2025</v>
      </c>
      <c r="I6814" s="8" t="s">
        <v>4</v>
      </c>
      <c r="J6814" s="7" t="s">
        <v>7425</v>
      </c>
      <c r="K6814" s="8" t="s">
        <v>329</v>
      </c>
      <c r="L6814" s="8" t="s">
        <v>330</v>
      </c>
      <c r="M6814" s="8" t="s">
        <v>119</v>
      </c>
      <c r="N6814" s="10" t="str">
        <f t="shared" si="592"/>
        <v>TON</v>
      </c>
      <c r="O6814" s="11">
        <v>5.01</v>
      </c>
    </row>
    <row r="6815" spans="2:15" x14ac:dyDescent="0.25">
      <c r="B6815" s="6" t="s">
        <v>1520</v>
      </c>
      <c r="C6815" s="7" t="s">
        <v>196</v>
      </c>
      <c r="D6815" s="8" t="s">
        <v>224</v>
      </c>
      <c r="E6815" s="8" t="s">
        <v>361</v>
      </c>
      <c r="F6815" s="9">
        <f t="shared" si="596"/>
        <v>45663</v>
      </c>
      <c r="G6815" s="10">
        <f t="shared" si="594"/>
        <v>1</v>
      </c>
      <c r="H6815" s="10">
        <f t="shared" si="595"/>
        <v>2025</v>
      </c>
      <c r="I6815" s="8" t="s">
        <v>4</v>
      </c>
      <c r="J6815" s="7" t="s">
        <v>7426</v>
      </c>
      <c r="K6815" s="8" t="s">
        <v>205</v>
      </c>
      <c r="L6815" s="8" t="s">
        <v>206</v>
      </c>
      <c r="M6815" s="8" t="s">
        <v>119</v>
      </c>
      <c r="N6815" s="10" t="str">
        <f t="shared" si="592"/>
        <v>TON</v>
      </c>
      <c r="O6815" s="11">
        <v>5.0025000000000004</v>
      </c>
    </row>
    <row r="6816" spans="2:15" x14ac:dyDescent="0.25">
      <c r="B6816" s="6" t="s">
        <v>1520</v>
      </c>
      <c r="C6816" s="7" t="s">
        <v>196</v>
      </c>
      <c r="D6816" s="8" t="s">
        <v>276</v>
      </c>
      <c r="E6816" s="8" t="s">
        <v>692</v>
      </c>
      <c r="F6816" s="9">
        <f t="shared" si="596"/>
        <v>45663</v>
      </c>
      <c r="G6816" s="10">
        <f t="shared" si="594"/>
        <v>1</v>
      </c>
      <c r="H6816" s="10">
        <f t="shared" si="595"/>
        <v>2025</v>
      </c>
      <c r="I6816" s="8" t="s">
        <v>4</v>
      </c>
      <c r="J6816" s="7" t="s">
        <v>7427</v>
      </c>
      <c r="K6816" s="8" t="s">
        <v>329</v>
      </c>
      <c r="L6816" s="8" t="s">
        <v>330</v>
      </c>
      <c r="M6816" s="8" t="s">
        <v>119</v>
      </c>
      <c r="N6816" s="10" t="str">
        <f t="shared" si="592"/>
        <v>TON</v>
      </c>
      <c r="O6816" s="11">
        <v>10.005000000000001</v>
      </c>
    </row>
    <row r="6817" spans="2:15" x14ac:dyDescent="0.25">
      <c r="B6817" s="6" t="s">
        <v>1520</v>
      </c>
      <c r="C6817" s="7" t="s">
        <v>196</v>
      </c>
      <c r="D6817" s="8" t="s">
        <v>114</v>
      </c>
      <c r="E6817" s="8" t="s">
        <v>402</v>
      </c>
      <c r="F6817" s="9">
        <f t="shared" si="596"/>
        <v>45663</v>
      </c>
      <c r="G6817" s="10">
        <f t="shared" si="594"/>
        <v>1</v>
      </c>
      <c r="H6817" s="10">
        <f t="shared" si="595"/>
        <v>2025</v>
      </c>
      <c r="I6817" s="8" t="s">
        <v>4</v>
      </c>
      <c r="J6817" s="7" t="s">
        <v>7428</v>
      </c>
      <c r="K6817" s="8" t="s">
        <v>422</v>
      </c>
      <c r="L6817" s="8" t="s">
        <v>423</v>
      </c>
      <c r="M6817" s="8" t="s">
        <v>119</v>
      </c>
      <c r="N6817" s="10" t="str">
        <f t="shared" si="592"/>
        <v>TON</v>
      </c>
      <c r="O6817" s="11">
        <v>4.0125000000000002</v>
      </c>
    </row>
    <row r="6818" spans="2:15" x14ac:dyDescent="0.25">
      <c r="B6818" s="6" t="s">
        <v>1520</v>
      </c>
      <c r="C6818" s="7" t="s">
        <v>196</v>
      </c>
      <c r="D6818" s="8" t="s">
        <v>800</v>
      </c>
      <c r="E6818" s="8" t="s">
        <v>907</v>
      </c>
      <c r="F6818" s="9">
        <f>DATE(2025,1,7)</f>
        <v>45664</v>
      </c>
      <c r="G6818" s="10">
        <f t="shared" si="594"/>
        <v>1</v>
      </c>
      <c r="H6818" s="10">
        <f t="shared" si="595"/>
        <v>2025</v>
      </c>
      <c r="I6818" s="8" t="s">
        <v>4</v>
      </c>
      <c r="J6818" s="7" t="s">
        <v>7429</v>
      </c>
      <c r="K6818" s="8" t="s">
        <v>122</v>
      </c>
      <c r="L6818" s="8" t="s">
        <v>123</v>
      </c>
      <c r="M6818" s="8" t="s">
        <v>119</v>
      </c>
      <c r="N6818" s="10" t="str">
        <f t="shared" si="592"/>
        <v>TON</v>
      </c>
      <c r="O6818" s="11">
        <v>2.5024999999999999</v>
      </c>
    </row>
    <row r="6819" spans="2:15" x14ac:dyDescent="0.25">
      <c r="B6819" s="6" t="s">
        <v>1520</v>
      </c>
      <c r="C6819" s="7" t="s">
        <v>196</v>
      </c>
      <c r="D6819" s="8" t="s">
        <v>679</v>
      </c>
      <c r="E6819" s="8" t="s">
        <v>359</v>
      </c>
      <c r="F6819" s="9">
        <f>DATE(2025,1,7)</f>
        <v>45664</v>
      </c>
      <c r="G6819" s="10">
        <f t="shared" si="594"/>
        <v>1</v>
      </c>
      <c r="H6819" s="10">
        <f t="shared" si="595"/>
        <v>2025</v>
      </c>
      <c r="I6819" s="8" t="s">
        <v>4</v>
      </c>
      <c r="J6819" s="7" t="s">
        <v>7430</v>
      </c>
      <c r="K6819" s="8" t="s">
        <v>329</v>
      </c>
      <c r="L6819" s="8" t="s">
        <v>330</v>
      </c>
      <c r="M6819" s="8" t="s">
        <v>119</v>
      </c>
      <c r="N6819" s="10" t="str">
        <f t="shared" si="592"/>
        <v>TON</v>
      </c>
      <c r="O6819" s="11">
        <v>4.0149999999999997</v>
      </c>
    </row>
    <row r="6820" spans="2:15" x14ac:dyDescent="0.25">
      <c r="B6820" s="6" t="s">
        <v>1520</v>
      </c>
      <c r="C6820" s="7" t="s">
        <v>196</v>
      </c>
      <c r="D6820" s="8" t="s">
        <v>280</v>
      </c>
      <c r="E6820" s="8" t="s">
        <v>371</v>
      </c>
      <c r="F6820" s="9">
        <f>DATE(2025,1,7)</f>
        <v>45664</v>
      </c>
      <c r="G6820" s="10">
        <f t="shared" si="594"/>
        <v>1</v>
      </c>
      <c r="H6820" s="10">
        <f t="shared" si="595"/>
        <v>2025</v>
      </c>
      <c r="I6820" s="8" t="s">
        <v>4</v>
      </c>
      <c r="J6820" s="7" t="s">
        <v>7431</v>
      </c>
      <c r="K6820" s="8" t="s">
        <v>422</v>
      </c>
      <c r="L6820" s="8" t="s">
        <v>423</v>
      </c>
      <c r="M6820" s="8" t="s">
        <v>119</v>
      </c>
      <c r="N6820" s="10" t="str">
        <f t="shared" si="592"/>
        <v>TON</v>
      </c>
      <c r="O6820" s="11">
        <v>15.0025</v>
      </c>
    </row>
    <row r="6821" spans="2:15" x14ac:dyDescent="0.25">
      <c r="B6821" s="6" t="s">
        <v>1520</v>
      </c>
      <c r="C6821" s="7" t="s">
        <v>196</v>
      </c>
      <c r="D6821" s="8" t="s">
        <v>660</v>
      </c>
      <c r="E6821" s="8" t="s">
        <v>699</v>
      </c>
      <c r="F6821" s="9">
        <f t="shared" ref="F6821:F6827" si="597">DATE(2025,1,8)</f>
        <v>45665</v>
      </c>
      <c r="G6821" s="10">
        <f t="shared" si="594"/>
        <v>1</v>
      </c>
      <c r="H6821" s="10">
        <f t="shared" si="595"/>
        <v>2025</v>
      </c>
      <c r="I6821" s="8" t="s">
        <v>4</v>
      </c>
      <c r="J6821" s="7" t="s">
        <v>7432</v>
      </c>
      <c r="K6821" s="8" t="s">
        <v>447</v>
      </c>
      <c r="L6821" s="8" t="s">
        <v>448</v>
      </c>
      <c r="M6821" s="8" t="s">
        <v>119</v>
      </c>
      <c r="N6821" s="10" t="str">
        <f t="shared" si="592"/>
        <v>TON</v>
      </c>
      <c r="O6821" s="11">
        <v>2.5</v>
      </c>
    </row>
    <row r="6822" spans="2:15" x14ac:dyDescent="0.25">
      <c r="B6822" s="6" t="s">
        <v>645</v>
      </c>
      <c r="C6822" s="7" t="s">
        <v>196</v>
      </c>
      <c r="D6822" s="8" t="s">
        <v>790</v>
      </c>
      <c r="E6822" s="8" t="s">
        <v>791</v>
      </c>
      <c r="F6822" s="9">
        <f t="shared" si="597"/>
        <v>45665</v>
      </c>
      <c r="G6822" s="10">
        <f t="shared" si="594"/>
        <v>1</v>
      </c>
      <c r="H6822" s="10">
        <f t="shared" si="595"/>
        <v>2025</v>
      </c>
      <c r="I6822" s="8" t="s">
        <v>4</v>
      </c>
      <c r="J6822" s="7" t="s">
        <v>7433</v>
      </c>
      <c r="K6822" s="8" t="s">
        <v>4149</v>
      </c>
      <c r="L6822" s="8" t="s">
        <v>4150</v>
      </c>
      <c r="M6822" s="8" t="s">
        <v>119</v>
      </c>
      <c r="N6822" s="10" t="str">
        <f t="shared" si="592"/>
        <v>TON</v>
      </c>
      <c r="O6822" s="11">
        <v>8.5075000000000003</v>
      </c>
    </row>
    <row r="6823" spans="2:15" x14ac:dyDescent="0.25">
      <c r="B6823" s="6" t="s">
        <v>1520</v>
      </c>
      <c r="C6823" s="7" t="s">
        <v>196</v>
      </c>
      <c r="D6823" s="8" t="s">
        <v>317</v>
      </c>
      <c r="E6823" s="8" t="s">
        <v>677</v>
      </c>
      <c r="F6823" s="9">
        <f t="shared" si="597"/>
        <v>45665</v>
      </c>
      <c r="G6823" s="10">
        <f t="shared" si="594"/>
        <v>1</v>
      </c>
      <c r="H6823" s="10">
        <f t="shared" si="595"/>
        <v>2025</v>
      </c>
      <c r="I6823" s="8" t="s">
        <v>4</v>
      </c>
      <c r="J6823" s="7" t="s">
        <v>7434</v>
      </c>
      <c r="K6823" s="8" t="s">
        <v>7415</v>
      </c>
      <c r="L6823" s="8" t="s">
        <v>7416</v>
      </c>
      <c r="M6823" s="8" t="s">
        <v>160</v>
      </c>
      <c r="N6823" s="10" t="str">
        <f t="shared" si="592"/>
        <v>GAL</v>
      </c>
      <c r="O6823" s="11">
        <v>30</v>
      </c>
    </row>
    <row r="6824" spans="2:15" x14ac:dyDescent="0.25">
      <c r="B6824" s="6" t="s">
        <v>1520</v>
      </c>
      <c r="C6824" s="7" t="s">
        <v>196</v>
      </c>
      <c r="D6824" s="8" t="s">
        <v>294</v>
      </c>
      <c r="E6824" s="8" t="s">
        <v>295</v>
      </c>
      <c r="F6824" s="9">
        <f t="shared" si="597"/>
        <v>45665</v>
      </c>
      <c r="G6824" s="10">
        <f t="shared" si="594"/>
        <v>1</v>
      </c>
      <c r="H6824" s="10">
        <f t="shared" si="595"/>
        <v>2025</v>
      </c>
      <c r="I6824" s="8" t="s">
        <v>4</v>
      </c>
      <c r="J6824" s="7" t="s">
        <v>7435</v>
      </c>
      <c r="K6824" s="8" t="s">
        <v>122</v>
      </c>
      <c r="L6824" s="8" t="s">
        <v>123</v>
      </c>
      <c r="M6824" s="8" t="s">
        <v>119</v>
      </c>
      <c r="N6824" s="10" t="str">
        <f t="shared" si="592"/>
        <v>TON</v>
      </c>
      <c r="O6824" s="11">
        <v>7.4924999999999997</v>
      </c>
    </row>
    <row r="6825" spans="2:15" x14ac:dyDescent="0.25">
      <c r="B6825" s="6" t="s">
        <v>1520</v>
      </c>
      <c r="C6825" s="7" t="s">
        <v>196</v>
      </c>
      <c r="D6825" s="8" t="s">
        <v>440</v>
      </c>
      <c r="E6825" s="8" t="s">
        <v>441</v>
      </c>
      <c r="F6825" s="9">
        <f t="shared" si="597"/>
        <v>45665</v>
      </c>
      <c r="G6825" s="10">
        <f t="shared" si="594"/>
        <v>1</v>
      </c>
      <c r="H6825" s="10">
        <f t="shared" si="595"/>
        <v>2025</v>
      </c>
      <c r="I6825" s="8" t="s">
        <v>4</v>
      </c>
      <c r="J6825" s="7" t="s">
        <v>7436</v>
      </c>
      <c r="K6825" s="8" t="s">
        <v>7086</v>
      </c>
      <c r="L6825" s="8" t="s">
        <v>7087</v>
      </c>
      <c r="M6825" s="8" t="s">
        <v>119</v>
      </c>
      <c r="N6825" s="10" t="str">
        <f t="shared" si="592"/>
        <v>TON</v>
      </c>
      <c r="O6825" s="11">
        <v>5.0075000000000003</v>
      </c>
    </row>
    <row r="6826" spans="2:15" x14ac:dyDescent="0.25">
      <c r="B6826" s="6" t="s">
        <v>1520</v>
      </c>
      <c r="C6826" s="7" t="s">
        <v>196</v>
      </c>
      <c r="D6826" s="8" t="s">
        <v>303</v>
      </c>
      <c r="E6826" s="8" t="s">
        <v>501</v>
      </c>
      <c r="F6826" s="9">
        <f t="shared" si="597"/>
        <v>45665</v>
      </c>
      <c r="G6826" s="10">
        <f t="shared" si="594"/>
        <v>1</v>
      </c>
      <c r="H6826" s="10">
        <f t="shared" si="595"/>
        <v>2025</v>
      </c>
      <c r="I6826" s="8" t="s">
        <v>4</v>
      </c>
      <c r="J6826" s="7" t="s">
        <v>7437</v>
      </c>
      <c r="K6826" s="8" t="s">
        <v>3726</v>
      </c>
      <c r="L6826" s="8" t="s">
        <v>3727</v>
      </c>
      <c r="M6826" s="8" t="s">
        <v>145</v>
      </c>
      <c r="N6826" s="10" t="str">
        <f t="shared" si="592"/>
        <v>GAL</v>
      </c>
      <c r="O6826" s="11">
        <v>1.875</v>
      </c>
    </row>
    <row r="6827" spans="2:15" x14ac:dyDescent="0.25">
      <c r="B6827" s="6" t="s">
        <v>1520</v>
      </c>
      <c r="C6827" s="7" t="s">
        <v>196</v>
      </c>
      <c r="D6827" s="8" t="s">
        <v>303</v>
      </c>
      <c r="E6827" s="8" t="s">
        <v>501</v>
      </c>
      <c r="F6827" s="9">
        <f t="shared" si="597"/>
        <v>45665</v>
      </c>
      <c r="G6827" s="10">
        <f t="shared" si="594"/>
        <v>1</v>
      </c>
      <c r="H6827" s="10">
        <f t="shared" si="595"/>
        <v>2025</v>
      </c>
      <c r="I6827" s="8" t="s">
        <v>4</v>
      </c>
      <c r="J6827" s="7" t="s">
        <v>7437</v>
      </c>
      <c r="K6827" s="8" t="s">
        <v>7438</v>
      </c>
      <c r="L6827" s="8" t="s">
        <v>7439</v>
      </c>
      <c r="M6827" s="8" t="s">
        <v>119</v>
      </c>
      <c r="N6827" s="10" t="str">
        <f t="shared" si="592"/>
        <v>TON</v>
      </c>
      <c r="O6827" s="11">
        <v>5.0125000000000002</v>
      </c>
    </row>
    <row r="6828" spans="2:15" x14ac:dyDescent="0.25">
      <c r="B6828" s="6" t="s">
        <v>1520</v>
      </c>
      <c r="C6828" s="7" t="s">
        <v>196</v>
      </c>
      <c r="D6828" s="8" t="s">
        <v>232</v>
      </c>
      <c r="E6828" s="8" t="s">
        <v>6657</v>
      </c>
      <c r="F6828" s="9">
        <f t="shared" ref="F6828:F6836" si="598">DATE(2025,1,9)</f>
        <v>45666</v>
      </c>
      <c r="G6828" s="10">
        <f t="shared" si="594"/>
        <v>1</v>
      </c>
      <c r="H6828" s="10">
        <f t="shared" si="595"/>
        <v>2025</v>
      </c>
      <c r="I6828" s="8" t="s">
        <v>4</v>
      </c>
      <c r="J6828" s="7" t="s">
        <v>7440</v>
      </c>
      <c r="K6828" s="8" t="s">
        <v>205</v>
      </c>
      <c r="L6828" s="8" t="s">
        <v>206</v>
      </c>
      <c r="M6828" s="8" t="s">
        <v>119</v>
      </c>
      <c r="N6828" s="10" t="str">
        <f t="shared" si="592"/>
        <v>TON</v>
      </c>
      <c r="O6828" s="11">
        <v>3.75</v>
      </c>
    </row>
    <row r="6829" spans="2:15" x14ac:dyDescent="0.25">
      <c r="B6829" s="6" t="s">
        <v>1520</v>
      </c>
      <c r="C6829" s="7" t="s">
        <v>196</v>
      </c>
      <c r="D6829" s="8" t="s">
        <v>387</v>
      </c>
      <c r="E6829" s="8" t="s">
        <v>797</v>
      </c>
      <c r="F6829" s="9">
        <f t="shared" si="598"/>
        <v>45666</v>
      </c>
      <c r="G6829" s="10">
        <f t="shared" si="594"/>
        <v>1</v>
      </c>
      <c r="H6829" s="10">
        <f t="shared" si="595"/>
        <v>2025</v>
      </c>
      <c r="I6829" s="8" t="s">
        <v>4</v>
      </c>
      <c r="J6829" s="7" t="s">
        <v>7441</v>
      </c>
      <c r="K6829" s="8" t="s">
        <v>7086</v>
      </c>
      <c r="L6829" s="8" t="s">
        <v>7087</v>
      </c>
      <c r="M6829" s="8" t="s">
        <v>119</v>
      </c>
      <c r="N6829" s="10" t="str">
        <f t="shared" si="592"/>
        <v>TON</v>
      </c>
      <c r="O6829" s="11">
        <v>10.012499999999999</v>
      </c>
    </row>
    <row r="6830" spans="2:15" x14ac:dyDescent="0.25">
      <c r="B6830" s="6" t="s">
        <v>1520</v>
      </c>
      <c r="C6830" s="7" t="s">
        <v>196</v>
      </c>
      <c r="D6830" s="8" t="s">
        <v>458</v>
      </c>
      <c r="E6830" s="8" t="s">
        <v>2868</v>
      </c>
      <c r="F6830" s="9">
        <f t="shared" si="598"/>
        <v>45666</v>
      </c>
      <c r="G6830" s="10">
        <f t="shared" si="594"/>
        <v>1</v>
      </c>
      <c r="H6830" s="10">
        <f t="shared" si="595"/>
        <v>2025</v>
      </c>
      <c r="I6830" s="8" t="s">
        <v>4</v>
      </c>
      <c r="J6830" s="7" t="s">
        <v>7442</v>
      </c>
      <c r="K6830" s="8" t="s">
        <v>823</v>
      </c>
      <c r="L6830" s="8" t="s">
        <v>776</v>
      </c>
      <c r="M6830" s="8" t="s">
        <v>82</v>
      </c>
      <c r="N6830" s="10" t="str">
        <f t="shared" si="592"/>
        <v>GAL</v>
      </c>
      <c r="O6830" s="11">
        <v>250</v>
      </c>
    </row>
    <row r="6831" spans="2:15" x14ac:dyDescent="0.25">
      <c r="B6831" s="6" t="s">
        <v>1520</v>
      </c>
      <c r="C6831" s="7" t="s">
        <v>196</v>
      </c>
      <c r="D6831" s="8" t="s">
        <v>458</v>
      </c>
      <c r="E6831" s="8" t="s">
        <v>2868</v>
      </c>
      <c r="F6831" s="9">
        <f t="shared" si="598"/>
        <v>45666</v>
      </c>
      <c r="G6831" s="10">
        <f t="shared" si="594"/>
        <v>1</v>
      </c>
      <c r="H6831" s="10">
        <f t="shared" si="595"/>
        <v>2025</v>
      </c>
      <c r="I6831" s="8" t="s">
        <v>4</v>
      </c>
      <c r="J6831" s="7" t="s">
        <v>7442</v>
      </c>
      <c r="K6831" s="8" t="s">
        <v>1204</v>
      </c>
      <c r="L6831" s="8" t="s">
        <v>1151</v>
      </c>
      <c r="M6831" s="8" t="s">
        <v>8</v>
      </c>
      <c r="N6831" s="10" t="str">
        <f t="shared" si="592"/>
        <v>GAL</v>
      </c>
      <c r="O6831" s="11">
        <v>250</v>
      </c>
    </row>
    <row r="6832" spans="2:15" x14ac:dyDescent="0.25">
      <c r="B6832" s="6" t="s">
        <v>1520</v>
      </c>
      <c r="C6832" s="7" t="s">
        <v>196</v>
      </c>
      <c r="D6832" s="8" t="s">
        <v>458</v>
      </c>
      <c r="E6832" s="8" t="s">
        <v>2868</v>
      </c>
      <c r="F6832" s="9">
        <f t="shared" si="598"/>
        <v>45666</v>
      </c>
      <c r="G6832" s="10">
        <f t="shared" si="594"/>
        <v>1</v>
      </c>
      <c r="H6832" s="10">
        <f t="shared" si="595"/>
        <v>2025</v>
      </c>
      <c r="I6832" s="8" t="s">
        <v>4</v>
      </c>
      <c r="J6832" s="7" t="s">
        <v>7442</v>
      </c>
      <c r="K6832" s="8" t="s">
        <v>822</v>
      </c>
      <c r="L6832" s="8" t="s">
        <v>565</v>
      </c>
      <c r="M6832" s="8" t="s">
        <v>21</v>
      </c>
      <c r="N6832" s="10" t="str">
        <f t="shared" si="592"/>
        <v>GAL</v>
      </c>
      <c r="O6832" s="11">
        <v>250</v>
      </c>
    </row>
    <row r="6833" spans="2:15" x14ac:dyDescent="0.25">
      <c r="B6833" s="6" t="s">
        <v>1520</v>
      </c>
      <c r="C6833" s="7" t="s">
        <v>196</v>
      </c>
      <c r="D6833" s="8" t="s">
        <v>904</v>
      </c>
      <c r="E6833" s="8" t="s">
        <v>7443</v>
      </c>
      <c r="F6833" s="9">
        <f t="shared" si="598"/>
        <v>45666</v>
      </c>
      <c r="G6833" s="10">
        <f t="shared" si="594"/>
        <v>1</v>
      </c>
      <c r="H6833" s="10">
        <f t="shared" si="595"/>
        <v>2025</v>
      </c>
      <c r="I6833" s="8" t="s">
        <v>4</v>
      </c>
      <c r="J6833" s="7" t="s">
        <v>7444</v>
      </c>
      <c r="K6833" s="8" t="s">
        <v>551</v>
      </c>
      <c r="L6833" s="8" t="s">
        <v>2426</v>
      </c>
      <c r="M6833" s="8" t="s">
        <v>553</v>
      </c>
      <c r="N6833" s="10" t="str">
        <f t="shared" si="592"/>
        <v>GAL</v>
      </c>
      <c r="O6833" s="11">
        <v>60</v>
      </c>
    </row>
    <row r="6834" spans="2:15" x14ac:dyDescent="0.25">
      <c r="B6834" s="6" t="s">
        <v>1520</v>
      </c>
      <c r="C6834" s="7" t="s">
        <v>196</v>
      </c>
      <c r="D6834" s="8" t="s">
        <v>904</v>
      </c>
      <c r="E6834" s="8" t="s">
        <v>7443</v>
      </c>
      <c r="F6834" s="9">
        <f t="shared" si="598"/>
        <v>45666</v>
      </c>
      <c r="G6834" s="10">
        <f t="shared" si="594"/>
        <v>1</v>
      </c>
      <c r="H6834" s="10">
        <f t="shared" si="595"/>
        <v>2025</v>
      </c>
      <c r="I6834" s="8" t="s">
        <v>4</v>
      </c>
      <c r="J6834" s="7" t="s">
        <v>7444</v>
      </c>
      <c r="K6834" s="8" t="s">
        <v>415</v>
      </c>
      <c r="L6834" s="8" t="s">
        <v>416</v>
      </c>
      <c r="M6834" s="8" t="s">
        <v>417</v>
      </c>
      <c r="N6834" s="10" t="str">
        <f t="shared" si="592"/>
        <v>GAL</v>
      </c>
      <c r="O6834" s="11">
        <v>60</v>
      </c>
    </row>
    <row r="6835" spans="2:15" x14ac:dyDescent="0.25">
      <c r="B6835" s="6" t="s">
        <v>1520</v>
      </c>
      <c r="C6835" s="7" t="s">
        <v>196</v>
      </c>
      <c r="D6835" s="8" t="s">
        <v>374</v>
      </c>
      <c r="E6835" s="8" t="s">
        <v>4935</v>
      </c>
      <c r="F6835" s="9">
        <f t="shared" si="598"/>
        <v>45666</v>
      </c>
      <c r="G6835" s="10">
        <f t="shared" si="594"/>
        <v>1</v>
      </c>
      <c r="H6835" s="10">
        <f t="shared" si="595"/>
        <v>2025</v>
      </c>
      <c r="I6835" s="8" t="s">
        <v>4</v>
      </c>
      <c r="J6835" s="7" t="s">
        <v>7445</v>
      </c>
      <c r="K6835" s="8" t="s">
        <v>329</v>
      </c>
      <c r="L6835" s="8" t="s">
        <v>330</v>
      </c>
      <c r="M6835" s="8" t="s">
        <v>119</v>
      </c>
      <c r="N6835" s="10" t="str">
        <f t="shared" si="592"/>
        <v>TON</v>
      </c>
      <c r="O6835" s="11">
        <v>15.015000000000001</v>
      </c>
    </row>
    <row r="6836" spans="2:15" x14ac:dyDescent="0.25">
      <c r="B6836" s="6" t="s">
        <v>1520</v>
      </c>
      <c r="C6836" s="7" t="s">
        <v>196</v>
      </c>
      <c r="D6836" s="8" t="s">
        <v>452</v>
      </c>
      <c r="E6836" s="8" t="s">
        <v>222</v>
      </c>
      <c r="F6836" s="9">
        <f t="shared" si="598"/>
        <v>45666</v>
      </c>
      <c r="G6836" s="10">
        <f t="shared" si="594"/>
        <v>1</v>
      </c>
      <c r="H6836" s="10">
        <f t="shared" si="595"/>
        <v>2025</v>
      </c>
      <c r="I6836" s="8" t="s">
        <v>4</v>
      </c>
      <c r="J6836" s="7" t="s">
        <v>7446</v>
      </c>
      <c r="K6836" s="8" t="s">
        <v>205</v>
      </c>
      <c r="L6836" s="8" t="s">
        <v>206</v>
      </c>
      <c r="M6836" s="8" t="s">
        <v>119</v>
      </c>
      <c r="N6836" s="10" t="str">
        <f t="shared" si="592"/>
        <v>TON</v>
      </c>
      <c r="O6836" s="11">
        <v>2.5024999999999999</v>
      </c>
    </row>
    <row r="6837" spans="2:15" x14ac:dyDescent="0.25">
      <c r="B6837" s="6" t="s">
        <v>1520</v>
      </c>
      <c r="C6837" s="7" t="s">
        <v>196</v>
      </c>
      <c r="D6837" s="8" t="s">
        <v>418</v>
      </c>
      <c r="E6837" s="8" t="s">
        <v>419</v>
      </c>
      <c r="F6837" s="9">
        <f t="shared" ref="F6837:F6845" si="599">DATE(2025,1,10)</f>
        <v>45667</v>
      </c>
      <c r="G6837" s="10">
        <f t="shared" si="594"/>
        <v>1</v>
      </c>
      <c r="H6837" s="10">
        <f t="shared" si="595"/>
        <v>2025</v>
      </c>
      <c r="I6837" s="8" t="s">
        <v>4</v>
      </c>
      <c r="J6837" s="7" t="s">
        <v>7447</v>
      </c>
      <c r="K6837" s="8" t="s">
        <v>329</v>
      </c>
      <c r="L6837" s="8" t="s">
        <v>330</v>
      </c>
      <c r="M6837" s="8" t="s">
        <v>119</v>
      </c>
      <c r="N6837" s="10" t="str">
        <f t="shared" si="592"/>
        <v>TON</v>
      </c>
      <c r="O6837" s="11">
        <v>10.01</v>
      </c>
    </row>
    <row r="6838" spans="2:15" x14ac:dyDescent="0.25">
      <c r="B6838" s="6" t="s">
        <v>1520</v>
      </c>
      <c r="C6838" s="7" t="s">
        <v>196</v>
      </c>
      <c r="D6838" s="8" t="s">
        <v>418</v>
      </c>
      <c r="E6838" s="8" t="s">
        <v>419</v>
      </c>
      <c r="F6838" s="9">
        <f t="shared" si="599"/>
        <v>45667</v>
      </c>
      <c r="G6838" s="10">
        <f t="shared" si="594"/>
        <v>1</v>
      </c>
      <c r="H6838" s="10">
        <f t="shared" si="595"/>
        <v>2025</v>
      </c>
      <c r="I6838" s="8" t="s">
        <v>4</v>
      </c>
      <c r="J6838" s="7" t="s">
        <v>7448</v>
      </c>
      <c r="K6838" s="8" t="s">
        <v>205</v>
      </c>
      <c r="L6838" s="8" t="s">
        <v>206</v>
      </c>
      <c r="M6838" s="8" t="s">
        <v>119</v>
      </c>
      <c r="N6838" s="10" t="str">
        <f t="shared" si="592"/>
        <v>TON</v>
      </c>
      <c r="O6838" s="11">
        <v>11.0375</v>
      </c>
    </row>
    <row r="6839" spans="2:15" x14ac:dyDescent="0.25">
      <c r="B6839" s="6" t="s">
        <v>1520</v>
      </c>
      <c r="C6839" s="7" t="s">
        <v>196</v>
      </c>
      <c r="D6839" s="8" t="s">
        <v>280</v>
      </c>
      <c r="E6839" s="8" t="s">
        <v>4460</v>
      </c>
      <c r="F6839" s="9">
        <f t="shared" si="599"/>
        <v>45667</v>
      </c>
      <c r="G6839" s="10">
        <f t="shared" si="594"/>
        <v>1</v>
      </c>
      <c r="H6839" s="10">
        <f t="shared" si="595"/>
        <v>2025</v>
      </c>
      <c r="I6839" s="8" t="s">
        <v>4</v>
      </c>
      <c r="J6839" s="7" t="s">
        <v>7449</v>
      </c>
      <c r="K6839" s="8" t="s">
        <v>1189</v>
      </c>
      <c r="L6839" s="8" t="s">
        <v>1190</v>
      </c>
      <c r="M6839" s="8" t="s">
        <v>139</v>
      </c>
      <c r="N6839" s="10" t="str">
        <f t="shared" si="592"/>
        <v>GAL</v>
      </c>
      <c r="O6839" s="11">
        <v>250</v>
      </c>
    </row>
    <row r="6840" spans="2:15" x14ac:dyDescent="0.25">
      <c r="B6840" s="6" t="s">
        <v>1520</v>
      </c>
      <c r="C6840" s="7" t="s">
        <v>196</v>
      </c>
      <c r="D6840" s="8" t="s">
        <v>114</v>
      </c>
      <c r="E6840" s="8" t="s">
        <v>369</v>
      </c>
      <c r="F6840" s="9">
        <f t="shared" si="599"/>
        <v>45667</v>
      </c>
      <c r="G6840" s="10">
        <f t="shared" si="594"/>
        <v>1</v>
      </c>
      <c r="H6840" s="10">
        <f t="shared" si="595"/>
        <v>2025</v>
      </c>
      <c r="I6840" s="8" t="s">
        <v>4</v>
      </c>
      <c r="J6840" s="7" t="s">
        <v>7450</v>
      </c>
      <c r="K6840" s="8" t="s">
        <v>422</v>
      </c>
      <c r="L6840" s="8" t="s">
        <v>423</v>
      </c>
      <c r="M6840" s="8" t="s">
        <v>119</v>
      </c>
      <c r="N6840" s="10" t="str">
        <f t="shared" si="592"/>
        <v>TON</v>
      </c>
      <c r="O6840" s="11">
        <v>2.0125000000000002</v>
      </c>
    </row>
    <row r="6841" spans="2:15" x14ac:dyDescent="0.25">
      <c r="B6841" s="6" t="s">
        <v>1520</v>
      </c>
      <c r="C6841" s="7" t="s">
        <v>196</v>
      </c>
      <c r="D6841" s="8" t="s">
        <v>114</v>
      </c>
      <c r="E6841" s="8" t="s">
        <v>402</v>
      </c>
      <c r="F6841" s="9">
        <f t="shared" si="599"/>
        <v>45667</v>
      </c>
      <c r="G6841" s="10">
        <f t="shared" si="594"/>
        <v>1</v>
      </c>
      <c r="H6841" s="10">
        <f t="shared" si="595"/>
        <v>2025</v>
      </c>
      <c r="I6841" s="8" t="s">
        <v>4</v>
      </c>
      <c r="J6841" s="7" t="s">
        <v>7451</v>
      </c>
      <c r="K6841" s="8" t="s">
        <v>422</v>
      </c>
      <c r="L6841" s="8" t="s">
        <v>423</v>
      </c>
      <c r="M6841" s="8" t="s">
        <v>119</v>
      </c>
      <c r="N6841" s="10" t="str">
        <f t="shared" si="592"/>
        <v>TON</v>
      </c>
      <c r="O6841" s="11">
        <v>14.532500000000001</v>
      </c>
    </row>
    <row r="6842" spans="2:15" x14ac:dyDescent="0.25">
      <c r="B6842" s="6" t="s">
        <v>1520</v>
      </c>
      <c r="C6842" s="7" t="s">
        <v>196</v>
      </c>
      <c r="D6842" s="8" t="s">
        <v>837</v>
      </c>
      <c r="E6842" s="8" t="s">
        <v>7452</v>
      </c>
      <c r="F6842" s="9">
        <f t="shared" si="599"/>
        <v>45667</v>
      </c>
      <c r="G6842" s="10">
        <f t="shared" si="594"/>
        <v>1</v>
      </c>
      <c r="H6842" s="10">
        <f t="shared" si="595"/>
        <v>2025</v>
      </c>
      <c r="I6842" s="8" t="s">
        <v>4</v>
      </c>
      <c r="J6842" s="7" t="s">
        <v>7453</v>
      </c>
      <c r="K6842" s="8" t="s">
        <v>268</v>
      </c>
      <c r="L6842" s="8" t="s">
        <v>269</v>
      </c>
      <c r="M6842" s="8" t="s">
        <v>119</v>
      </c>
      <c r="N6842" s="10" t="str">
        <f t="shared" si="592"/>
        <v>TON</v>
      </c>
      <c r="O6842" s="11">
        <v>1.0049999999999999</v>
      </c>
    </row>
    <row r="6843" spans="2:15" x14ac:dyDescent="0.25">
      <c r="B6843" s="6" t="s">
        <v>1520</v>
      </c>
      <c r="C6843" s="7" t="s">
        <v>196</v>
      </c>
      <c r="D6843" s="8" t="s">
        <v>224</v>
      </c>
      <c r="E6843" s="8" t="s">
        <v>895</v>
      </c>
      <c r="F6843" s="9">
        <f t="shared" si="599"/>
        <v>45667</v>
      </c>
      <c r="G6843" s="10">
        <f t="shared" si="594"/>
        <v>1</v>
      </c>
      <c r="H6843" s="10">
        <f t="shared" si="595"/>
        <v>2025</v>
      </c>
      <c r="I6843" s="8" t="s">
        <v>4</v>
      </c>
      <c r="J6843" s="7" t="s">
        <v>7454</v>
      </c>
      <c r="K6843" s="8" t="s">
        <v>205</v>
      </c>
      <c r="L6843" s="8" t="s">
        <v>206</v>
      </c>
      <c r="M6843" s="8" t="s">
        <v>119</v>
      </c>
      <c r="N6843" s="10" t="str">
        <f t="shared" si="592"/>
        <v>TON</v>
      </c>
      <c r="O6843" s="11">
        <v>5.0199999999999996</v>
      </c>
    </row>
    <row r="6844" spans="2:15" x14ac:dyDescent="0.25">
      <c r="B6844" s="6" t="s">
        <v>1520</v>
      </c>
      <c r="C6844" s="7" t="s">
        <v>196</v>
      </c>
      <c r="D6844" s="8" t="s">
        <v>444</v>
      </c>
      <c r="E6844" s="8" t="s">
        <v>445</v>
      </c>
      <c r="F6844" s="9">
        <f t="shared" si="599"/>
        <v>45667</v>
      </c>
      <c r="G6844" s="10">
        <f t="shared" si="594"/>
        <v>1</v>
      </c>
      <c r="H6844" s="10">
        <f t="shared" si="595"/>
        <v>2025</v>
      </c>
      <c r="I6844" s="8" t="s">
        <v>4</v>
      </c>
      <c r="J6844" s="7" t="s">
        <v>7455</v>
      </c>
      <c r="K6844" s="8" t="s">
        <v>394</v>
      </c>
      <c r="L6844" s="8" t="s">
        <v>395</v>
      </c>
      <c r="M6844" s="8" t="s">
        <v>119</v>
      </c>
      <c r="N6844" s="10" t="str">
        <f t="shared" si="592"/>
        <v>TON</v>
      </c>
      <c r="O6844" s="11">
        <v>5.5025000000000004</v>
      </c>
    </row>
    <row r="6845" spans="2:15" x14ac:dyDescent="0.25">
      <c r="B6845" s="6" t="s">
        <v>1520</v>
      </c>
      <c r="C6845" s="7" t="s">
        <v>196</v>
      </c>
      <c r="D6845" s="8" t="s">
        <v>317</v>
      </c>
      <c r="E6845" s="8" t="s">
        <v>677</v>
      </c>
      <c r="F6845" s="9">
        <f t="shared" si="599"/>
        <v>45667</v>
      </c>
      <c r="G6845" s="10">
        <f t="shared" si="594"/>
        <v>1</v>
      </c>
      <c r="H6845" s="10">
        <f t="shared" si="595"/>
        <v>2025</v>
      </c>
      <c r="I6845" s="8" t="s">
        <v>4</v>
      </c>
      <c r="J6845" s="7" t="s">
        <v>7456</v>
      </c>
      <c r="K6845" s="8" t="s">
        <v>422</v>
      </c>
      <c r="L6845" s="8" t="s">
        <v>423</v>
      </c>
      <c r="M6845" s="8" t="s">
        <v>119</v>
      </c>
      <c r="N6845" s="10" t="str">
        <f t="shared" si="592"/>
        <v>TON</v>
      </c>
      <c r="O6845" s="11">
        <v>15.3725</v>
      </c>
    </row>
    <row r="6846" spans="2:15" x14ac:dyDescent="0.25">
      <c r="B6846" s="6" t="s">
        <v>1520</v>
      </c>
      <c r="C6846" s="7" t="s">
        <v>196</v>
      </c>
      <c r="D6846" s="8" t="s">
        <v>374</v>
      </c>
      <c r="E6846" s="8" t="s">
        <v>455</v>
      </c>
      <c r="F6846" s="9">
        <f>DATE(2025,1,13)</f>
        <v>45670</v>
      </c>
      <c r="G6846" s="10">
        <f t="shared" si="594"/>
        <v>1</v>
      </c>
      <c r="H6846" s="10">
        <f t="shared" si="595"/>
        <v>2025</v>
      </c>
      <c r="I6846" s="8" t="s">
        <v>4</v>
      </c>
      <c r="J6846" s="7" t="s">
        <v>7457</v>
      </c>
      <c r="K6846" s="8" t="s">
        <v>329</v>
      </c>
      <c r="L6846" s="8" t="s">
        <v>330</v>
      </c>
      <c r="M6846" s="8" t="s">
        <v>119</v>
      </c>
      <c r="N6846" s="10" t="str">
        <f t="shared" ref="N6846:N6909" si="600">+LEFT(M6846,3)</f>
        <v>TON</v>
      </c>
      <c r="O6846" s="11">
        <v>15.015000000000001</v>
      </c>
    </row>
    <row r="6847" spans="2:15" x14ac:dyDescent="0.25">
      <c r="B6847" s="6" t="s">
        <v>1520</v>
      </c>
      <c r="C6847" s="7" t="s">
        <v>196</v>
      </c>
      <c r="D6847" s="8" t="s">
        <v>4013</v>
      </c>
      <c r="E6847" s="8" t="s">
        <v>102</v>
      </c>
      <c r="F6847" s="9">
        <f>DATE(2025,1,13)</f>
        <v>45670</v>
      </c>
      <c r="G6847" s="10">
        <f t="shared" si="594"/>
        <v>1</v>
      </c>
      <c r="H6847" s="10">
        <f t="shared" si="595"/>
        <v>2025</v>
      </c>
      <c r="I6847" s="8" t="s">
        <v>4</v>
      </c>
      <c r="J6847" s="7" t="s">
        <v>7458</v>
      </c>
      <c r="K6847" s="8" t="s">
        <v>329</v>
      </c>
      <c r="L6847" s="8" t="s">
        <v>330</v>
      </c>
      <c r="M6847" s="8" t="s">
        <v>119</v>
      </c>
      <c r="N6847" s="10" t="str">
        <f t="shared" si="600"/>
        <v>TON</v>
      </c>
      <c r="O6847" s="11">
        <v>1.0169999999999999</v>
      </c>
    </row>
    <row r="6848" spans="2:15" x14ac:dyDescent="0.25">
      <c r="B6848" s="6" t="s">
        <v>1520</v>
      </c>
      <c r="C6848" s="7" t="s">
        <v>196</v>
      </c>
      <c r="D6848" s="8" t="s">
        <v>210</v>
      </c>
      <c r="E6848" s="8" t="s">
        <v>962</v>
      </c>
      <c r="F6848" s="9">
        <f>DATE(2025,1,13)</f>
        <v>45670</v>
      </c>
      <c r="G6848" s="10">
        <f t="shared" si="594"/>
        <v>1</v>
      </c>
      <c r="H6848" s="10">
        <f t="shared" si="595"/>
        <v>2025</v>
      </c>
      <c r="I6848" s="8" t="s">
        <v>4</v>
      </c>
      <c r="J6848" s="7" t="s">
        <v>7459</v>
      </c>
      <c r="K6848" s="8" t="s">
        <v>1379</v>
      </c>
      <c r="L6848" s="8" t="s">
        <v>1380</v>
      </c>
      <c r="M6848" s="8" t="s">
        <v>119</v>
      </c>
      <c r="N6848" s="10" t="str">
        <f t="shared" si="600"/>
        <v>TON</v>
      </c>
      <c r="O6848" s="11">
        <v>20.02</v>
      </c>
    </row>
    <row r="6849" spans="2:15" x14ac:dyDescent="0.25">
      <c r="B6849" s="6" t="s">
        <v>1520</v>
      </c>
      <c r="C6849" s="7" t="s">
        <v>196</v>
      </c>
      <c r="D6849" s="8" t="s">
        <v>227</v>
      </c>
      <c r="E6849" s="8" t="s">
        <v>757</v>
      </c>
      <c r="F6849" s="9">
        <f>DATE(2025,1,13)</f>
        <v>45670</v>
      </c>
      <c r="G6849" s="10">
        <f t="shared" si="594"/>
        <v>1</v>
      </c>
      <c r="H6849" s="10">
        <f t="shared" si="595"/>
        <v>2025</v>
      </c>
      <c r="I6849" s="8" t="s">
        <v>4</v>
      </c>
      <c r="J6849" s="7" t="s">
        <v>7460</v>
      </c>
      <c r="K6849" s="8" t="s">
        <v>122</v>
      </c>
      <c r="L6849" s="8" t="s">
        <v>123</v>
      </c>
      <c r="M6849" s="8" t="s">
        <v>119</v>
      </c>
      <c r="N6849" s="10" t="str">
        <f t="shared" si="600"/>
        <v>TON</v>
      </c>
      <c r="O6849" s="11">
        <v>8.4824999999999999</v>
      </c>
    </row>
    <row r="6850" spans="2:15" x14ac:dyDescent="0.25">
      <c r="B6850" s="6" t="s">
        <v>1520</v>
      </c>
      <c r="C6850" s="7" t="s">
        <v>196</v>
      </c>
      <c r="D6850" s="8" t="s">
        <v>4098</v>
      </c>
      <c r="E6850" s="8" t="s">
        <v>695</v>
      </c>
      <c r="F6850" s="9">
        <f>DATE(2025,1,13)</f>
        <v>45670</v>
      </c>
      <c r="G6850" s="10">
        <f t="shared" si="594"/>
        <v>1</v>
      </c>
      <c r="H6850" s="10">
        <f t="shared" si="595"/>
        <v>2025</v>
      </c>
      <c r="I6850" s="8" t="s">
        <v>4</v>
      </c>
      <c r="J6850" s="7" t="s">
        <v>7461</v>
      </c>
      <c r="K6850" s="8" t="s">
        <v>329</v>
      </c>
      <c r="L6850" s="8" t="s">
        <v>330</v>
      </c>
      <c r="M6850" s="8" t="s">
        <v>119</v>
      </c>
      <c r="N6850" s="10" t="str">
        <f t="shared" si="600"/>
        <v>TON</v>
      </c>
      <c r="O6850" s="11">
        <v>3.0024999999999999</v>
      </c>
    </row>
    <row r="6851" spans="2:15" x14ac:dyDescent="0.25">
      <c r="B6851" s="6" t="s">
        <v>1520</v>
      </c>
      <c r="C6851" s="7" t="s">
        <v>196</v>
      </c>
      <c r="D6851" s="8" t="s">
        <v>452</v>
      </c>
      <c r="E6851" s="8" t="s">
        <v>7092</v>
      </c>
      <c r="F6851" s="9">
        <f t="shared" ref="F6851:F6859" si="601">DATE(2025,1,14)</f>
        <v>45671</v>
      </c>
      <c r="G6851" s="10">
        <f t="shared" si="594"/>
        <v>1</v>
      </c>
      <c r="H6851" s="10">
        <f t="shared" si="595"/>
        <v>2025</v>
      </c>
      <c r="I6851" s="8" t="s">
        <v>4</v>
      </c>
      <c r="J6851" s="7" t="s">
        <v>7462</v>
      </c>
      <c r="K6851" s="8" t="s">
        <v>447</v>
      </c>
      <c r="L6851" s="8" t="s">
        <v>448</v>
      </c>
      <c r="M6851" s="8" t="s">
        <v>119</v>
      </c>
      <c r="N6851" s="10" t="str">
        <f t="shared" si="600"/>
        <v>TON</v>
      </c>
      <c r="O6851" s="11">
        <v>13.53</v>
      </c>
    </row>
    <row r="6852" spans="2:15" x14ac:dyDescent="0.25">
      <c r="B6852" s="6" t="s">
        <v>1520</v>
      </c>
      <c r="C6852" s="7" t="s">
        <v>196</v>
      </c>
      <c r="D6852" s="8" t="s">
        <v>197</v>
      </c>
      <c r="E6852" s="8" t="s">
        <v>198</v>
      </c>
      <c r="F6852" s="9">
        <f t="shared" si="601"/>
        <v>45671</v>
      </c>
      <c r="G6852" s="10">
        <f t="shared" si="594"/>
        <v>1</v>
      </c>
      <c r="H6852" s="10">
        <f t="shared" si="595"/>
        <v>2025</v>
      </c>
      <c r="I6852" s="8" t="s">
        <v>4</v>
      </c>
      <c r="J6852" s="7" t="s">
        <v>7463</v>
      </c>
      <c r="K6852" s="8" t="s">
        <v>307</v>
      </c>
      <c r="L6852" s="8" t="s">
        <v>308</v>
      </c>
      <c r="M6852" s="8" t="s">
        <v>119</v>
      </c>
      <c r="N6852" s="10" t="str">
        <f t="shared" si="600"/>
        <v>TON</v>
      </c>
      <c r="O6852" s="11">
        <v>4.0125000000000002</v>
      </c>
    </row>
    <row r="6853" spans="2:15" x14ac:dyDescent="0.25">
      <c r="B6853" s="6" t="s">
        <v>1520</v>
      </c>
      <c r="C6853" s="7" t="s">
        <v>196</v>
      </c>
      <c r="D6853" s="8" t="s">
        <v>4034</v>
      </c>
      <c r="E6853" s="8" t="s">
        <v>759</v>
      </c>
      <c r="F6853" s="9">
        <f t="shared" si="601"/>
        <v>45671</v>
      </c>
      <c r="G6853" s="10">
        <f t="shared" si="594"/>
        <v>1</v>
      </c>
      <c r="H6853" s="10">
        <f t="shared" si="595"/>
        <v>2025</v>
      </c>
      <c r="I6853" s="8" t="s">
        <v>4</v>
      </c>
      <c r="J6853" s="7" t="s">
        <v>7464</v>
      </c>
      <c r="K6853" s="8" t="s">
        <v>117</v>
      </c>
      <c r="L6853" s="8" t="s">
        <v>118</v>
      </c>
      <c r="M6853" s="8" t="s">
        <v>119</v>
      </c>
      <c r="N6853" s="10" t="str">
        <f t="shared" si="600"/>
        <v>TON</v>
      </c>
      <c r="O6853" s="11">
        <v>5.0225</v>
      </c>
    </row>
    <row r="6854" spans="2:15" x14ac:dyDescent="0.25">
      <c r="B6854" s="6" t="s">
        <v>1520</v>
      </c>
      <c r="C6854" s="7" t="s">
        <v>196</v>
      </c>
      <c r="D6854" s="8" t="s">
        <v>1276</v>
      </c>
      <c r="E6854" s="8" t="s">
        <v>791</v>
      </c>
      <c r="F6854" s="9">
        <f t="shared" si="601"/>
        <v>45671</v>
      </c>
      <c r="G6854" s="10">
        <f t="shared" si="594"/>
        <v>1</v>
      </c>
      <c r="H6854" s="10">
        <f t="shared" si="595"/>
        <v>2025</v>
      </c>
      <c r="I6854" s="8" t="s">
        <v>4</v>
      </c>
      <c r="J6854" s="7" t="s">
        <v>7465</v>
      </c>
      <c r="K6854" s="8" t="s">
        <v>117</v>
      </c>
      <c r="L6854" s="8" t="s">
        <v>118</v>
      </c>
      <c r="M6854" s="8" t="s">
        <v>119</v>
      </c>
      <c r="N6854" s="10" t="str">
        <f t="shared" si="600"/>
        <v>TON</v>
      </c>
      <c r="O6854" s="11">
        <v>5.0199999999999996</v>
      </c>
    </row>
    <row r="6855" spans="2:15" x14ac:dyDescent="0.25">
      <c r="B6855" s="6" t="s">
        <v>1520</v>
      </c>
      <c r="C6855" s="7" t="s">
        <v>196</v>
      </c>
      <c r="D6855" s="8" t="s">
        <v>280</v>
      </c>
      <c r="E6855" s="8" t="s">
        <v>254</v>
      </c>
      <c r="F6855" s="9">
        <f t="shared" si="601"/>
        <v>45671</v>
      </c>
      <c r="G6855" s="10">
        <f t="shared" si="594"/>
        <v>1</v>
      </c>
      <c r="H6855" s="10">
        <f t="shared" si="595"/>
        <v>2025</v>
      </c>
      <c r="I6855" s="8" t="s">
        <v>4</v>
      </c>
      <c r="J6855" s="7" t="s">
        <v>7466</v>
      </c>
      <c r="K6855" s="8" t="s">
        <v>422</v>
      </c>
      <c r="L6855" s="8" t="s">
        <v>423</v>
      </c>
      <c r="M6855" s="8" t="s">
        <v>119</v>
      </c>
      <c r="N6855" s="10" t="str">
        <f t="shared" si="600"/>
        <v>TON</v>
      </c>
      <c r="O6855" s="11">
        <v>20.045000000000002</v>
      </c>
    </row>
    <row r="6856" spans="2:15" x14ac:dyDescent="0.25">
      <c r="B6856" s="6" t="s">
        <v>1520</v>
      </c>
      <c r="C6856" s="7" t="s">
        <v>196</v>
      </c>
      <c r="D6856" s="8" t="s">
        <v>800</v>
      </c>
      <c r="E6856" s="8" t="s">
        <v>911</v>
      </c>
      <c r="F6856" s="9">
        <f t="shared" si="601"/>
        <v>45671</v>
      </c>
      <c r="G6856" s="10">
        <f t="shared" si="594"/>
        <v>1</v>
      </c>
      <c r="H6856" s="10">
        <f t="shared" si="595"/>
        <v>2025</v>
      </c>
      <c r="I6856" s="8" t="s">
        <v>4</v>
      </c>
      <c r="J6856" s="7" t="s">
        <v>7467</v>
      </c>
      <c r="K6856" s="8" t="s">
        <v>122</v>
      </c>
      <c r="L6856" s="8" t="s">
        <v>123</v>
      </c>
      <c r="M6856" s="8" t="s">
        <v>119</v>
      </c>
      <c r="N6856" s="10" t="str">
        <f t="shared" si="600"/>
        <v>TON</v>
      </c>
      <c r="O6856" s="11">
        <v>1.9775</v>
      </c>
    </row>
    <row r="6857" spans="2:15" x14ac:dyDescent="0.25">
      <c r="B6857" s="6" t="s">
        <v>1520</v>
      </c>
      <c r="C6857" s="7" t="s">
        <v>196</v>
      </c>
      <c r="D6857" s="8" t="s">
        <v>440</v>
      </c>
      <c r="E6857" s="8" t="s">
        <v>1369</v>
      </c>
      <c r="F6857" s="9">
        <f t="shared" si="601"/>
        <v>45671</v>
      </c>
      <c r="G6857" s="10">
        <f t="shared" si="594"/>
        <v>1</v>
      </c>
      <c r="H6857" s="10">
        <f t="shared" si="595"/>
        <v>2025</v>
      </c>
      <c r="I6857" s="8" t="s">
        <v>4</v>
      </c>
      <c r="J6857" s="7" t="s">
        <v>7468</v>
      </c>
      <c r="K6857" s="8" t="s">
        <v>7086</v>
      </c>
      <c r="L6857" s="8" t="s">
        <v>7087</v>
      </c>
      <c r="M6857" s="8" t="s">
        <v>119</v>
      </c>
      <c r="N6857" s="10" t="str">
        <f t="shared" si="600"/>
        <v>TON</v>
      </c>
      <c r="O6857" s="11">
        <v>7.51</v>
      </c>
    </row>
    <row r="6858" spans="2:15" x14ac:dyDescent="0.25">
      <c r="B6858" s="6" t="s">
        <v>1520</v>
      </c>
      <c r="C6858" s="7" t="s">
        <v>196</v>
      </c>
      <c r="D6858" s="8" t="s">
        <v>331</v>
      </c>
      <c r="E6858" s="8" t="s">
        <v>432</v>
      </c>
      <c r="F6858" s="9">
        <f t="shared" si="601"/>
        <v>45671</v>
      </c>
      <c r="G6858" s="10">
        <f t="shared" si="594"/>
        <v>1</v>
      </c>
      <c r="H6858" s="10">
        <f t="shared" si="595"/>
        <v>2025</v>
      </c>
      <c r="I6858" s="8" t="s">
        <v>4</v>
      </c>
      <c r="J6858" s="7" t="s">
        <v>7469</v>
      </c>
      <c r="K6858" s="8" t="s">
        <v>329</v>
      </c>
      <c r="L6858" s="8" t="s">
        <v>330</v>
      </c>
      <c r="M6858" s="8" t="s">
        <v>119</v>
      </c>
      <c r="N6858" s="10" t="str">
        <f t="shared" si="600"/>
        <v>TON</v>
      </c>
      <c r="O6858" s="11">
        <v>5.0199999999999996</v>
      </c>
    </row>
    <row r="6859" spans="2:15" x14ac:dyDescent="0.25">
      <c r="B6859" s="6" t="s">
        <v>1520</v>
      </c>
      <c r="C6859" s="7" t="s">
        <v>196</v>
      </c>
      <c r="D6859" s="8" t="s">
        <v>280</v>
      </c>
      <c r="E6859" s="8" t="s">
        <v>364</v>
      </c>
      <c r="F6859" s="9">
        <f t="shared" si="601"/>
        <v>45671</v>
      </c>
      <c r="G6859" s="10">
        <f t="shared" si="594"/>
        <v>1</v>
      </c>
      <c r="H6859" s="10">
        <f t="shared" si="595"/>
        <v>2025</v>
      </c>
      <c r="I6859" s="8" t="s">
        <v>4</v>
      </c>
      <c r="J6859" s="7" t="s">
        <v>7470</v>
      </c>
      <c r="K6859" s="8" t="s">
        <v>422</v>
      </c>
      <c r="L6859" s="8" t="s">
        <v>423</v>
      </c>
      <c r="M6859" s="8" t="s">
        <v>119</v>
      </c>
      <c r="N6859" s="10" t="str">
        <f t="shared" si="600"/>
        <v>TON</v>
      </c>
      <c r="O6859" s="11">
        <v>15.035</v>
      </c>
    </row>
    <row r="6860" spans="2:15" x14ac:dyDescent="0.25">
      <c r="B6860" s="6" t="s">
        <v>1520</v>
      </c>
      <c r="C6860" s="7" t="s">
        <v>196</v>
      </c>
      <c r="D6860" s="8" t="s">
        <v>232</v>
      </c>
      <c r="E6860" s="8" t="s">
        <v>778</v>
      </c>
      <c r="F6860" s="9">
        <f t="shared" ref="F6860:F6865" si="602">DATE(2025,1,15)</f>
        <v>45672</v>
      </c>
      <c r="G6860" s="10">
        <f t="shared" si="594"/>
        <v>1</v>
      </c>
      <c r="H6860" s="10">
        <f t="shared" si="595"/>
        <v>2025</v>
      </c>
      <c r="I6860" s="8" t="s">
        <v>4</v>
      </c>
      <c r="J6860" s="7" t="s">
        <v>7471</v>
      </c>
      <c r="K6860" s="8" t="s">
        <v>329</v>
      </c>
      <c r="L6860" s="8" t="s">
        <v>330</v>
      </c>
      <c r="M6860" s="8" t="s">
        <v>119</v>
      </c>
      <c r="N6860" s="10" t="str">
        <f t="shared" si="600"/>
        <v>TON</v>
      </c>
      <c r="O6860" s="11">
        <v>10</v>
      </c>
    </row>
    <row r="6861" spans="2:15" x14ac:dyDescent="0.25">
      <c r="B6861" s="6" t="s">
        <v>1520</v>
      </c>
      <c r="C6861" s="7" t="s">
        <v>196</v>
      </c>
      <c r="D6861" s="8" t="s">
        <v>418</v>
      </c>
      <c r="E6861" s="8" t="s">
        <v>1243</v>
      </c>
      <c r="F6861" s="9">
        <f t="shared" si="602"/>
        <v>45672</v>
      </c>
      <c r="G6861" s="10">
        <f t="shared" si="594"/>
        <v>1</v>
      </c>
      <c r="H6861" s="10">
        <f t="shared" si="595"/>
        <v>2025</v>
      </c>
      <c r="I6861" s="8" t="s">
        <v>4</v>
      </c>
      <c r="J6861" s="7" t="s">
        <v>7472</v>
      </c>
      <c r="K6861" s="8" t="s">
        <v>422</v>
      </c>
      <c r="L6861" s="8" t="s">
        <v>423</v>
      </c>
      <c r="M6861" s="8" t="s">
        <v>119</v>
      </c>
      <c r="N6861" s="10" t="str">
        <f t="shared" si="600"/>
        <v>TON</v>
      </c>
      <c r="O6861" s="11">
        <v>6.52</v>
      </c>
    </row>
    <row r="6862" spans="2:15" x14ac:dyDescent="0.25">
      <c r="B6862" s="6" t="s">
        <v>1520</v>
      </c>
      <c r="C6862" s="7" t="s">
        <v>196</v>
      </c>
      <c r="D6862" s="8" t="s">
        <v>215</v>
      </c>
      <c r="E6862" s="8" t="s">
        <v>315</v>
      </c>
      <c r="F6862" s="9">
        <f t="shared" si="602"/>
        <v>45672</v>
      </c>
      <c r="G6862" s="10">
        <f t="shared" si="594"/>
        <v>1</v>
      </c>
      <c r="H6862" s="10">
        <f t="shared" si="595"/>
        <v>2025</v>
      </c>
      <c r="I6862" s="8" t="s">
        <v>4</v>
      </c>
      <c r="J6862" s="7" t="s">
        <v>7473</v>
      </c>
      <c r="K6862" s="8" t="s">
        <v>329</v>
      </c>
      <c r="L6862" s="8" t="s">
        <v>330</v>
      </c>
      <c r="M6862" s="8" t="s">
        <v>119</v>
      </c>
      <c r="N6862" s="10" t="str">
        <f t="shared" si="600"/>
        <v>TON</v>
      </c>
      <c r="O6862" s="11">
        <v>10.0175</v>
      </c>
    </row>
    <row r="6863" spans="2:15" x14ac:dyDescent="0.25">
      <c r="B6863" s="6" t="s">
        <v>1520</v>
      </c>
      <c r="C6863" s="7" t="s">
        <v>196</v>
      </c>
      <c r="D6863" s="8" t="s">
        <v>6651</v>
      </c>
      <c r="E6863" s="8" t="s">
        <v>6652</v>
      </c>
      <c r="F6863" s="9">
        <f t="shared" si="602"/>
        <v>45672</v>
      </c>
      <c r="G6863" s="10">
        <f t="shared" si="594"/>
        <v>1</v>
      </c>
      <c r="H6863" s="10">
        <f t="shared" si="595"/>
        <v>2025</v>
      </c>
      <c r="I6863" s="8" t="s">
        <v>4</v>
      </c>
      <c r="J6863" s="7" t="s">
        <v>7474</v>
      </c>
      <c r="K6863" s="8" t="s">
        <v>329</v>
      </c>
      <c r="L6863" s="8" t="s">
        <v>330</v>
      </c>
      <c r="M6863" s="8" t="s">
        <v>119</v>
      </c>
      <c r="N6863" s="10" t="str">
        <f t="shared" si="600"/>
        <v>TON</v>
      </c>
      <c r="O6863" s="11">
        <v>2.5074999999999998</v>
      </c>
    </row>
    <row r="6864" spans="2:15" x14ac:dyDescent="0.25">
      <c r="B6864" s="6" t="s">
        <v>1520</v>
      </c>
      <c r="C6864" s="7" t="s">
        <v>196</v>
      </c>
      <c r="D6864" s="8" t="s">
        <v>3761</v>
      </c>
      <c r="E6864" s="8" t="s">
        <v>3762</v>
      </c>
      <c r="F6864" s="9">
        <f t="shared" si="602"/>
        <v>45672</v>
      </c>
      <c r="G6864" s="10">
        <f t="shared" si="594"/>
        <v>1</v>
      </c>
      <c r="H6864" s="10">
        <f t="shared" si="595"/>
        <v>2025</v>
      </c>
      <c r="I6864" s="8" t="s">
        <v>4</v>
      </c>
      <c r="J6864" s="7" t="s">
        <v>7475</v>
      </c>
      <c r="K6864" s="8" t="s">
        <v>329</v>
      </c>
      <c r="L6864" s="8" t="s">
        <v>330</v>
      </c>
      <c r="M6864" s="8" t="s">
        <v>119</v>
      </c>
      <c r="N6864" s="10" t="str">
        <f t="shared" si="600"/>
        <v>TON</v>
      </c>
      <c r="O6864" s="11">
        <v>12.525</v>
      </c>
    </row>
    <row r="6865" spans="2:15" x14ac:dyDescent="0.25">
      <c r="B6865" s="6" t="s">
        <v>1520</v>
      </c>
      <c r="C6865" s="7" t="s">
        <v>196</v>
      </c>
      <c r="D6865" s="8" t="s">
        <v>704</v>
      </c>
      <c r="E6865" s="8" t="s">
        <v>1563</v>
      </c>
      <c r="F6865" s="9">
        <f t="shared" si="602"/>
        <v>45672</v>
      </c>
      <c r="G6865" s="10">
        <f t="shared" si="594"/>
        <v>1</v>
      </c>
      <c r="H6865" s="10">
        <f t="shared" si="595"/>
        <v>2025</v>
      </c>
      <c r="I6865" s="8" t="s">
        <v>4</v>
      </c>
      <c r="J6865" s="7" t="s">
        <v>7476</v>
      </c>
      <c r="K6865" s="8" t="s">
        <v>329</v>
      </c>
      <c r="L6865" s="8" t="s">
        <v>330</v>
      </c>
      <c r="M6865" s="8" t="s">
        <v>119</v>
      </c>
      <c r="N6865" s="10" t="str">
        <f t="shared" si="600"/>
        <v>TON</v>
      </c>
      <c r="O6865" s="11">
        <v>10.522500000000001</v>
      </c>
    </row>
    <row r="6866" spans="2:15" x14ac:dyDescent="0.25">
      <c r="B6866" s="6" t="s">
        <v>1520</v>
      </c>
      <c r="C6866" s="7" t="s">
        <v>196</v>
      </c>
      <c r="D6866" s="8" t="s">
        <v>468</v>
      </c>
      <c r="E6866" s="8" t="s">
        <v>141</v>
      </c>
      <c r="F6866" s="9">
        <f>DATE(2025,1,16)</f>
        <v>45673</v>
      </c>
      <c r="G6866" s="10">
        <f t="shared" ref="G6866:G6929" si="603">+MONTH(F6866)</f>
        <v>1</v>
      </c>
      <c r="H6866" s="10">
        <f t="shared" ref="H6866:H6929" si="604">+YEAR(F6866)</f>
        <v>2025</v>
      </c>
      <c r="I6866" s="8" t="s">
        <v>4</v>
      </c>
      <c r="J6866" s="7" t="s">
        <v>7477</v>
      </c>
      <c r="K6866" s="8" t="s">
        <v>268</v>
      </c>
      <c r="L6866" s="8" t="s">
        <v>269</v>
      </c>
      <c r="M6866" s="8" t="s">
        <v>119</v>
      </c>
      <c r="N6866" s="10" t="str">
        <f t="shared" si="600"/>
        <v>TON</v>
      </c>
      <c r="O6866" s="11">
        <v>0.15</v>
      </c>
    </row>
    <row r="6867" spans="2:15" x14ac:dyDescent="0.25">
      <c r="B6867" s="6" t="s">
        <v>1520</v>
      </c>
      <c r="C6867" s="7" t="s">
        <v>196</v>
      </c>
      <c r="D6867" s="8" t="s">
        <v>299</v>
      </c>
      <c r="E6867" s="8" t="s">
        <v>2410</v>
      </c>
      <c r="F6867" s="9">
        <f>DATE(2025,1,16)</f>
        <v>45673</v>
      </c>
      <c r="G6867" s="10">
        <f t="shared" si="603"/>
        <v>1</v>
      </c>
      <c r="H6867" s="10">
        <f t="shared" si="604"/>
        <v>2025</v>
      </c>
      <c r="I6867" s="8" t="s">
        <v>4</v>
      </c>
      <c r="J6867" s="7" t="s">
        <v>7478</v>
      </c>
      <c r="K6867" s="8" t="s">
        <v>422</v>
      </c>
      <c r="L6867" s="8" t="s">
        <v>423</v>
      </c>
      <c r="M6867" s="8" t="s">
        <v>119</v>
      </c>
      <c r="N6867" s="10" t="str">
        <f t="shared" si="600"/>
        <v>TON</v>
      </c>
      <c r="O6867" s="11">
        <v>15.032500000000001</v>
      </c>
    </row>
    <row r="6868" spans="2:15" x14ac:dyDescent="0.25">
      <c r="B6868" s="6" t="s">
        <v>1520</v>
      </c>
      <c r="C6868" s="7" t="s">
        <v>196</v>
      </c>
      <c r="D6868" s="8" t="s">
        <v>299</v>
      </c>
      <c r="E6868" s="8" t="s">
        <v>713</v>
      </c>
      <c r="F6868" s="9">
        <f>DATE(2025,1,16)</f>
        <v>45673</v>
      </c>
      <c r="G6868" s="10">
        <f t="shared" si="603"/>
        <v>1</v>
      </c>
      <c r="H6868" s="10">
        <f t="shared" si="604"/>
        <v>2025</v>
      </c>
      <c r="I6868" s="8" t="s">
        <v>4</v>
      </c>
      <c r="J6868" s="7" t="s">
        <v>7479</v>
      </c>
      <c r="K6868" s="8" t="s">
        <v>422</v>
      </c>
      <c r="L6868" s="8" t="s">
        <v>423</v>
      </c>
      <c r="M6868" s="8" t="s">
        <v>119</v>
      </c>
      <c r="N6868" s="10" t="str">
        <f t="shared" si="600"/>
        <v>TON</v>
      </c>
      <c r="O6868" s="11">
        <v>14.0425</v>
      </c>
    </row>
    <row r="6869" spans="2:15" x14ac:dyDescent="0.25">
      <c r="B6869" s="6" t="s">
        <v>1520</v>
      </c>
      <c r="C6869" s="7" t="s">
        <v>196</v>
      </c>
      <c r="D6869" s="8" t="s">
        <v>270</v>
      </c>
      <c r="E6869" s="8" t="s">
        <v>141</v>
      </c>
      <c r="F6869" s="9">
        <f t="shared" ref="F6869:F6880" si="605">DATE(2025,1,17)</f>
        <v>45674</v>
      </c>
      <c r="G6869" s="10">
        <f t="shared" si="603"/>
        <v>1</v>
      </c>
      <c r="H6869" s="10">
        <f t="shared" si="604"/>
        <v>2025</v>
      </c>
      <c r="I6869" s="8" t="s">
        <v>4</v>
      </c>
      <c r="J6869" s="7" t="s">
        <v>7480</v>
      </c>
      <c r="K6869" s="8" t="s">
        <v>531</v>
      </c>
      <c r="L6869" s="8" t="s">
        <v>201</v>
      </c>
      <c r="M6869" s="8" t="s">
        <v>202</v>
      </c>
      <c r="N6869" s="10" t="str">
        <f t="shared" si="600"/>
        <v>GAL</v>
      </c>
      <c r="O6869" s="11">
        <v>30</v>
      </c>
    </row>
    <row r="6870" spans="2:15" x14ac:dyDescent="0.25">
      <c r="B6870" s="6" t="s">
        <v>1520</v>
      </c>
      <c r="C6870" s="7" t="s">
        <v>196</v>
      </c>
      <c r="D6870" s="8" t="s">
        <v>6767</v>
      </c>
      <c r="E6870" s="8" t="s">
        <v>102</v>
      </c>
      <c r="F6870" s="9">
        <f t="shared" si="605"/>
        <v>45674</v>
      </c>
      <c r="G6870" s="10">
        <f t="shared" si="603"/>
        <v>1</v>
      </c>
      <c r="H6870" s="10">
        <f t="shared" si="604"/>
        <v>2025</v>
      </c>
      <c r="I6870" s="8" t="s">
        <v>4</v>
      </c>
      <c r="J6870" s="7" t="s">
        <v>7481</v>
      </c>
      <c r="K6870" s="8" t="s">
        <v>189</v>
      </c>
      <c r="L6870" s="8" t="s">
        <v>190</v>
      </c>
      <c r="M6870" s="8" t="s">
        <v>191</v>
      </c>
      <c r="N6870" s="10" t="str">
        <f t="shared" si="600"/>
        <v>GAL</v>
      </c>
      <c r="O6870" s="11">
        <v>5</v>
      </c>
    </row>
    <row r="6871" spans="2:15" x14ac:dyDescent="0.25">
      <c r="B6871" s="6" t="s">
        <v>1520</v>
      </c>
      <c r="C6871" s="7" t="s">
        <v>196</v>
      </c>
      <c r="D6871" s="8" t="s">
        <v>6767</v>
      </c>
      <c r="E6871" s="8" t="s">
        <v>102</v>
      </c>
      <c r="F6871" s="9">
        <f t="shared" si="605"/>
        <v>45674</v>
      </c>
      <c r="G6871" s="10">
        <f t="shared" si="603"/>
        <v>1</v>
      </c>
      <c r="H6871" s="10">
        <f t="shared" si="604"/>
        <v>2025</v>
      </c>
      <c r="I6871" s="8" t="s">
        <v>4</v>
      </c>
      <c r="J6871" s="7" t="s">
        <v>7482</v>
      </c>
      <c r="K6871" s="8" t="s">
        <v>205</v>
      </c>
      <c r="L6871" s="8" t="s">
        <v>206</v>
      </c>
      <c r="M6871" s="8" t="s">
        <v>119</v>
      </c>
      <c r="N6871" s="10" t="str">
        <f t="shared" si="600"/>
        <v>TON</v>
      </c>
      <c r="O6871" s="11">
        <v>1.5</v>
      </c>
    </row>
    <row r="6872" spans="2:15" x14ac:dyDescent="0.25">
      <c r="B6872" s="6" t="s">
        <v>1520</v>
      </c>
      <c r="C6872" s="7" t="s">
        <v>196</v>
      </c>
      <c r="D6872" s="8" t="s">
        <v>299</v>
      </c>
      <c r="E6872" s="8" t="s">
        <v>300</v>
      </c>
      <c r="F6872" s="9">
        <f t="shared" si="605"/>
        <v>45674</v>
      </c>
      <c r="G6872" s="10">
        <f t="shared" si="603"/>
        <v>1</v>
      </c>
      <c r="H6872" s="10">
        <f t="shared" si="604"/>
        <v>2025</v>
      </c>
      <c r="I6872" s="8" t="s">
        <v>4</v>
      </c>
      <c r="J6872" s="7" t="s">
        <v>7483</v>
      </c>
      <c r="K6872" s="8" t="s">
        <v>422</v>
      </c>
      <c r="L6872" s="8" t="s">
        <v>423</v>
      </c>
      <c r="M6872" s="8" t="s">
        <v>119</v>
      </c>
      <c r="N6872" s="10" t="str">
        <f t="shared" si="600"/>
        <v>TON</v>
      </c>
      <c r="O6872" s="11">
        <v>15.04</v>
      </c>
    </row>
    <row r="6873" spans="2:15" x14ac:dyDescent="0.25">
      <c r="B6873" s="6" t="s">
        <v>1520</v>
      </c>
      <c r="C6873" s="7" t="s">
        <v>196</v>
      </c>
      <c r="D6873" s="8" t="s">
        <v>114</v>
      </c>
      <c r="E6873" s="8" t="s">
        <v>274</v>
      </c>
      <c r="F6873" s="9">
        <f t="shared" si="605"/>
        <v>45674</v>
      </c>
      <c r="G6873" s="10">
        <f t="shared" si="603"/>
        <v>1</v>
      </c>
      <c r="H6873" s="10">
        <f t="shared" si="604"/>
        <v>2025</v>
      </c>
      <c r="I6873" s="8" t="s">
        <v>4</v>
      </c>
      <c r="J6873" s="7" t="s">
        <v>7484</v>
      </c>
      <c r="K6873" s="8" t="s">
        <v>422</v>
      </c>
      <c r="L6873" s="8" t="s">
        <v>423</v>
      </c>
      <c r="M6873" s="8" t="s">
        <v>119</v>
      </c>
      <c r="N6873" s="10" t="str">
        <f t="shared" si="600"/>
        <v>TON</v>
      </c>
      <c r="O6873" s="11">
        <v>15.025</v>
      </c>
    </row>
    <row r="6874" spans="2:15" x14ac:dyDescent="0.25">
      <c r="B6874" s="6" t="s">
        <v>1520</v>
      </c>
      <c r="C6874" s="7" t="s">
        <v>196</v>
      </c>
      <c r="D6874" s="8" t="s">
        <v>4641</v>
      </c>
      <c r="E6874" s="8" t="s">
        <v>102</v>
      </c>
      <c r="F6874" s="9">
        <f t="shared" si="605"/>
        <v>45674</v>
      </c>
      <c r="G6874" s="10">
        <f t="shared" si="603"/>
        <v>1</v>
      </c>
      <c r="H6874" s="10">
        <f t="shared" si="604"/>
        <v>2025</v>
      </c>
      <c r="I6874" s="8" t="s">
        <v>4</v>
      </c>
      <c r="J6874" s="7" t="s">
        <v>7485</v>
      </c>
      <c r="K6874" s="8" t="s">
        <v>158</v>
      </c>
      <c r="L6874" s="8" t="s">
        <v>159</v>
      </c>
      <c r="M6874" s="8" t="s">
        <v>160</v>
      </c>
      <c r="N6874" s="10" t="str">
        <f t="shared" si="600"/>
        <v>GAL</v>
      </c>
      <c r="O6874" s="11">
        <v>2.5</v>
      </c>
    </row>
    <row r="6875" spans="2:15" x14ac:dyDescent="0.25">
      <c r="B6875" s="6" t="s">
        <v>1520</v>
      </c>
      <c r="C6875" s="7" t="s">
        <v>196</v>
      </c>
      <c r="D6875" s="8" t="s">
        <v>4641</v>
      </c>
      <c r="E6875" s="8" t="s">
        <v>102</v>
      </c>
      <c r="F6875" s="9">
        <f t="shared" si="605"/>
        <v>45674</v>
      </c>
      <c r="G6875" s="10">
        <f t="shared" si="603"/>
        <v>1</v>
      </c>
      <c r="H6875" s="10">
        <f t="shared" si="604"/>
        <v>2025</v>
      </c>
      <c r="I6875" s="8" t="s">
        <v>4</v>
      </c>
      <c r="J6875" s="7" t="s">
        <v>7485</v>
      </c>
      <c r="K6875" s="8" t="s">
        <v>189</v>
      </c>
      <c r="L6875" s="8" t="s">
        <v>190</v>
      </c>
      <c r="M6875" s="8" t="s">
        <v>191</v>
      </c>
      <c r="N6875" s="10" t="str">
        <f t="shared" si="600"/>
        <v>GAL</v>
      </c>
      <c r="O6875" s="11">
        <v>5</v>
      </c>
    </row>
    <row r="6876" spans="2:15" x14ac:dyDescent="0.25">
      <c r="B6876" s="6" t="s">
        <v>1520</v>
      </c>
      <c r="C6876" s="7" t="s">
        <v>196</v>
      </c>
      <c r="D6876" s="8" t="s">
        <v>440</v>
      </c>
      <c r="E6876" s="8" t="s">
        <v>441</v>
      </c>
      <c r="F6876" s="9">
        <f t="shared" si="605"/>
        <v>45674</v>
      </c>
      <c r="G6876" s="10">
        <f t="shared" si="603"/>
        <v>1</v>
      </c>
      <c r="H6876" s="10">
        <f t="shared" si="604"/>
        <v>2025</v>
      </c>
      <c r="I6876" s="8" t="s">
        <v>4</v>
      </c>
      <c r="J6876" s="7" t="s">
        <v>7486</v>
      </c>
      <c r="K6876" s="8" t="s">
        <v>7086</v>
      </c>
      <c r="L6876" s="8" t="s">
        <v>7087</v>
      </c>
      <c r="M6876" s="8" t="s">
        <v>119</v>
      </c>
      <c r="N6876" s="10" t="str">
        <f t="shared" si="600"/>
        <v>TON</v>
      </c>
      <c r="O6876" s="11">
        <v>10</v>
      </c>
    </row>
    <row r="6877" spans="2:15" x14ac:dyDescent="0.25">
      <c r="B6877" s="6" t="s">
        <v>1520</v>
      </c>
      <c r="C6877" s="7" t="s">
        <v>196</v>
      </c>
      <c r="D6877" s="8" t="s">
        <v>4034</v>
      </c>
      <c r="E6877" s="8" t="s">
        <v>759</v>
      </c>
      <c r="F6877" s="9">
        <f t="shared" si="605"/>
        <v>45674</v>
      </c>
      <c r="G6877" s="10">
        <f t="shared" si="603"/>
        <v>1</v>
      </c>
      <c r="H6877" s="10">
        <f t="shared" si="604"/>
        <v>2025</v>
      </c>
      <c r="I6877" s="8" t="s">
        <v>4</v>
      </c>
      <c r="J6877" s="7" t="s">
        <v>7487</v>
      </c>
      <c r="K6877" s="8" t="s">
        <v>117</v>
      </c>
      <c r="L6877" s="8" t="s">
        <v>118</v>
      </c>
      <c r="M6877" s="8" t="s">
        <v>119</v>
      </c>
      <c r="N6877" s="10" t="str">
        <f t="shared" si="600"/>
        <v>TON</v>
      </c>
      <c r="O6877" s="11">
        <v>5.0149999999999997</v>
      </c>
    </row>
    <row r="6878" spans="2:15" x14ac:dyDescent="0.25">
      <c r="B6878" s="6" t="s">
        <v>1520</v>
      </c>
      <c r="C6878" s="7" t="s">
        <v>196</v>
      </c>
      <c r="D6878" s="8" t="s">
        <v>387</v>
      </c>
      <c r="E6878" s="8" t="s">
        <v>797</v>
      </c>
      <c r="F6878" s="9">
        <f t="shared" si="605"/>
        <v>45674</v>
      </c>
      <c r="G6878" s="10">
        <f t="shared" si="603"/>
        <v>1</v>
      </c>
      <c r="H6878" s="10">
        <f t="shared" si="604"/>
        <v>2025</v>
      </c>
      <c r="I6878" s="8" t="s">
        <v>4</v>
      </c>
      <c r="J6878" s="7" t="s">
        <v>7488</v>
      </c>
      <c r="K6878" s="8" t="s">
        <v>7086</v>
      </c>
      <c r="L6878" s="8" t="s">
        <v>7087</v>
      </c>
      <c r="M6878" s="8" t="s">
        <v>119</v>
      </c>
      <c r="N6878" s="10" t="str">
        <f t="shared" si="600"/>
        <v>TON</v>
      </c>
      <c r="O6878" s="11">
        <v>10.0075</v>
      </c>
    </row>
    <row r="6879" spans="2:15" x14ac:dyDescent="0.25">
      <c r="B6879" s="6" t="s">
        <v>1520</v>
      </c>
      <c r="C6879" s="7" t="s">
        <v>196</v>
      </c>
      <c r="D6879" s="8" t="s">
        <v>2764</v>
      </c>
      <c r="E6879" s="8" t="s">
        <v>102</v>
      </c>
      <c r="F6879" s="9">
        <f t="shared" si="605"/>
        <v>45674</v>
      </c>
      <c r="G6879" s="10">
        <f t="shared" si="603"/>
        <v>1</v>
      </c>
      <c r="H6879" s="10">
        <f t="shared" si="604"/>
        <v>2025</v>
      </c>
      <c r="I6879" s="8" t="s">
        <v>4</v>
      </c>
      <c r="J6879" s="7" t="s">
        <v>7489</v>
      </c>
      <c r="K6879" s="8" t="s">
        <v>865</v>
      </c>
      <c r="L6879" s="8" t="s">
        <v>866</v>
      </c>
      <c r="M6879" s="8" t="s">
        <v>119</v>
      </c>
      <c r="N6879" s="10" t="str">
        <f t="shared" si="600"/>
        <v>TON</v>
      </c>
      <c r="O6879" s="11">
        <v>2.5</v>
      </c>
    </row>
    <row r="6880" spans="2:15" x14ac:dyDescent="0.25">
      <c r="B6880" s="6" t="s">
        <v>1520</v>
      </c>
      <c r="C6880" s="7" t="s">
        <v>196</v>
      </c>
      <c r="D6880" s="8" t="s">
        <v>114</v>
      </c>
      <c r="E6880" s="8" t="s">
        <v>5054</v>
      </c>
      <c r="F6880" s="9">
        <f t="shared" si="605"/>
        <v>45674</v>
      </c>
      <c r="G6880" s="10">
        <f t="shared" si="603"/>
        <v>1</v>
      </c>
      <c r="H6880" s="10">
        <f t="shared" si="604"/>
        <v>2025</v>
      </c>
      <c r="I6880" s="8" t="s">
        <v>4</v>
      </c>
      <c r="J6880" s="7" t="s">
        <v>7490</v>
      </c>
      <c r="K6880" s="8" t="s">
        <v>422</v>
      </c>
      <c r="L6880" s="8" t="s">
        <v>423</v>
      </c>
      <c r="M6880" s="8" t="s">
        <v>119</v>
      </c>
      <c r="N6880" s="10" t="str">
        <f t="shared" si="600"/>
        <v>TON</v>
      </c>
      <c r="O6880" s="11">
        <v>9.0150000000000006</v>
      </c>
    </row>
    <row r="6881" spans="2:15" x14ac:dyDescent="0.25">
      <c r="B6881" s="6" t="s">
        <v>1520</v>
      </c>
      <c r="C6881" s="7" t="s">
        <v>196</v>
      </c>
      <c r="D6881" s="8" t="s">
        <v>1343</v>
      </c>
      <c r="E6881" s="8" t="s">
        <v>3724</v>
      </c>
      <c r="F6881" s="9">
        <f t="shared" ref="F6881:F6893" si="606">DATE(2025,1,20)</f>
        <v>45677</v>
      </c>
      <c r="G6881" s="10">
        <f t="shared" si="603"/>
        <v>1</v>
      </c>
      <c r="H6881" s="10">
        <f t="shared" si="604"/>
        <v>2025</v>
      </c>
      <c r="I6881" s="8" t="s">
        <v>4</v>
      </c>
      <c r="J6881" s="7" t="s">
        <v>7491</v>
      </c>
      <c r="K6881" s="8" t="s">
        <v>2039</v>
      </c>
      <c r="L6881" s="8" t="s">
        <v>2040</v>
      </c>
      <c r="M6881" s="8" t="s">
        <v>119</v>
      </c>
      <c r="N6881" s="10" t="str">
        <f t="shared" si="600"/>
        <v>TON</v>
      </c>
      <c r="O6881" s="11">
        <v>15.015000000000001</v>
      </c>
    </row>
    <row r="6882" spans="2:15" x14ac:dyDescent="0.25">
      <c r="B6882" s="6" t="s">
        <v>1520</v>
      </c>
      <c r="C6882" s="7" t="s">
        <v>196</v>
      </c>
      <c r="D6882" s="8" t="s">
        <v>270</v>
      </c>
      <c r="E6882" s="8" t="s">
        <v>7492</v>
      </c>
      <c r="F6882" s="9">
        <f t="shared" si="606"/>
        <v>45677</v>
      </c>
      <c r="G6882" s="10">
        <f t="shared" si="603"/>
        <v>1</v>
      </c>
      <c r="H6882" s="10">
        <f t="shared" si="604"/>
        <v>2025</v>
      </c>
      <c r="I6882" s="8" t="s">
        <v>4</v>
      </c>
      <c r="J6882" s="7" t="s">
        <v>7493</v>
      </c>
      <c r="K6882" s="8" t="s">
        <v>329</v>
      </c>
      <c r="L6882" s="8" t="s">
        <v>330</v>
      </c>
      <c r="M6882" s="8" t="s">
        <v>119</v>
      </c>
      <c r="N6882" s="10" t="str">
        <f t="shared" si="600"/>
        <v>TON</v>
      </c>
      <c r="O6882" s="11">
        <v>1</v>
      </c>
    </row>
    <row r="6883" spans="2:15" x14ac:dyDescent="0.25">
      <c r="B6883" s="6" t="s">
        <v>1520</v>
      </c>
      <c r="C6883" s="7" t="s">
        <v>196</v>
      </c>
      <c r="D6883" s="8" t="s">
        <v>241</v>
      </c>
      <c r="E6883" s="8" t="s">
        <v>242</v>
      </c>
      <c r="F6883" s="9">
        <f t="shared" si="606"/>
        <v>45677</v>
      </c>
      <c r="G6883" s="10">
        <f t="shared" si="603"/>
        <v>1</v>
      </c>
      <c r="H6883" s="10">
        <f t="shared" si="604"/>
        <v>2025</v>
      </c>
      <c r="I6883" s="8" t="s">
        <v>4</v>
      </c>
      <c r="J6883" s="7" t="s">
        <v>7494</v>
      </c>
      <c r="K6883" s="8" t="s">
        <v>39</v>
      </c>
      <c r="L6883" s="8" t="s">
        <v>932</v>
      </c>
      <c r="M6883" s="8" t="s">
        <v>41</v>
      </c>
      <c r="N6883" s="10" t="str">
        <f t="shared" si="600"/>
        <v>GAL</v>
      </c>
      <c r="O6883" s="11">
        <v>5</v>
      </c>
    </row>
    <row r="6884" spans="2:15" x14ac:dyDescent="0.25">
      <c r="B6884" s="6" t="s">
        <v>1520</v>
      </c>
      <c r="C6884" s="7" t="s">
        <v>196</v>
      </c>
      <c r="D6884" s="8" t="s">
        <v>241</v>
      </c>
      <c r="E6884" s="8" t="s">
        <v>242</v>
      </c>
      <c r="F6884" s="9">
        <f t="shared" si="606"/>
        <v>45677</v>
      </c>
      <c r="G6884" s="10">
        <f t="shared" si="603"/>
        <v>1</v>
      </c>
      <c r="H6884" s="10">
        <f t="shared" si="604"/>
        <v>2025</v>
      </c>
      <c r="I6884" s="8" t="s">
        <v>4</v>
      </c>
      <c r="J6884" s="7" t="s">
        <v>7494</v>
      </c>
      <c r="K6884" s="8" t="s">
        <v>2170</v>
      </c>
      <c r="L6884" s="8" t="s">
        <v>99</v>
      </c>
      <c r="M6884" s="8" t="s">
        <v>100</v>
      </c>
      <c r="N6884" s="10" t="str">
        <f t="shared" si="600"/>
        <v>GAL</v>
      </c>
      <c r="O6884" s="11">
        <v>5</v>
      </c>
    </row>
    <row r="6885" spans="2:15" x14ac:dyDescent="0.25">
      <c r="B6885" s="6" t="s">
        <v>1520</v>
      </c>
      <c r="C6885" s="7" t="s">
        <v>196</v>
      </c>
      <c r="D6885" s="8" t="s">
        <v>262</v>
      </c>
      <c r="E6885" s="8" t="s">
        <v>1170</v>
      </c>
      <c r="F6885" s="9">
        <f t="shared" si="606"/>
        <v>45677</v>
      </c>
      <c r="G6885" s="10">
        <f t="shared" si="603"/>
        <v>1</v>
      </c>
      <c r="H6885" s="10">
        <f t="shared" si="604"/>
        <v>2025</v>
      </c>
      <c r="I6885" s="8" t="s">
        <v>4</v>
      </c>
      <c r="J6885" s="7" t="s">
        <v>7495</v>
      </c>
      <c r="K6885" s="8" t="s">
        <v>292</v>
      </c>
      <c r="L6885" s="8" t="s">
        <v>293</v>
      </c>
      <c r="M6885" s="8" t="s">
        <v>119</v>
      </c>
      <c r="N6885" s="10" t="str">
        <f t="shared" si="600"/>
        <v>TON</v>
      </c>
      <c r="O6885" s="11">
        <v>5.0025000000000004</v>
      </c>
    </row>
    <row r="6886" spans="2:15" x14ac:dyDescent="0.25">
      <c r="B6886" s="6" t="s">
        <v>1520</v>
      </c>
      <c r="C6886" s="7" t="s">
        <v>196</v>
      </c>
      <c r="D6886" s="8" t="s">
        <v>387</v>
      </c>
      <c r="E6886" s="8" t="s">
        <v>797</v>
      </c>
      <c r="F6886" s="9">
        <f t="shared" si="606"/>
        <v>45677</v>
      </c>
      <c r="G6886" s="10">
        <f t="shared" si="603"/>
        <v>1</v>
      </c>
      <c r="H6886" s="10">
        <f t="shared" si="604"/>
        <v>2025</v>
      </c>
      <c r="I6886" s="8" t="s">
        <v>4</v>
      </c>
      <c r="J6886" s="7" t="s">
        <v>7496</v>
      </c>
      <c r="K6886" s="8" t="s">
        <v>7086</v>
      </c>
      <c r="L6886" s="8" t="s">
        <v>7087</v>
      </c>
      <c r="M6886" s="8" t="s">
        <v>119</v>
      </c>
      <c r="N6886" s="10" t="str">
        <f t="shared" si="600"/>
        <v>TON</v>
      </c>
      <c r="O6886" s="11">
        <v>9.9975000000000005</v>
      </c>
    </row>
    <row r="6887" spans="2:15" x14ac:dyDescent="0.25">
      <c r="B6887" s="6" t="s">
        <v>1520</v>
      </c>
      <c r="C6887" s="7" t="s">
        <v>196</v>
      </c>
      <c r="D6887" s="8" t="s">
        <v>458</v>
      </c>
      <c r="E6887" s="8" t="s">
        <v>1177</v>
      </c>
      <c r="F6887" s="9">
        <f t="shared" si="606"/>
        <v>45677</v>
      </c>
      <c r="G6887" s="10">
        <f t="shared" si="603"/>
        <v>1</v>
      </c>
      <c r="H6887" s="10">
        <f t="shared" si="604"/>
        <v>2025</v>
      </c>
      <c r="I6887" s="8" t="s">
        <v>4</v>
      </c>
      <c r="J6887" s="7" t="s">
        <v>7497</v>
      </c>
      <c r="K6887" s="8" t="s">
        <v>422</v>
      </c>
      <c r="L6887" s="8" t="s">
        <v>423</v>
      </c>
      <c r="M6887" s="8" t="s">
        <v>119</v>
      </c>
      <c r="N6887" s="10" t="str">
        <f t="shared" si="600"/>
        <v>TON</v>
      </c>
      <c r="O6887" s="11">
        <v>4.01</v>
      </c>
    </row>
    <row r="6888" spans="2:15" x14ac:dyDescent="0.25">
      <c r="B6888" s="6" t="s">
        <v>1520</v>
      </c>
      <c r="C6888" s="7" t="s">
        <v>196</v>
      </c>
      <c r="D6888" s="8" t="s">
        <v>321</v>
      </c>
      <c r="E6888" s="8" t="s">
        <v>697</v>
      </c>
      <c r="F6888" s="9">
        <f t="shared" si="606"/>
        <v>45677</v>
      </c>
      <c r="G6888" s="10">
        <f t="shared" si="603"/>
        <v>1</v>
      </c>
      <c r="H6888" s="10">
        <f t="shared" si="604"/>
        <v>2025</v>
      </c>
      <c r="I6888" s="8" t="s">
        <v>4</v>
      </c>
      <c r="J6888" s="7" t="s">
        <v>7498</v>
      </c>
      <c r="K6888" s="8" t="s">
        <v>394</v>
      </c>
      <c r="L6888" s="8" t="s">
        <v>395</v>
      </c>
      <c r="M6888" s="8" t="s">
        <v>119</v>
      </c>
      <c r="N6888" s="10" t="str">
        <f t="shared" si="600"/>
        <v>TON</v>
      </c>
      <c r="O6888" s="11">
        <v>10.02</v>
      </c>
    </row>
    <row r="6889" spans="2:15" x14ac:dyDescent="0.25">
      <c r="B6889" s="6" t="s">
        <v>1520</v>
      </c>
      <c r="C6889" s="7" t="s">
        <v>196</v>
      </c>
      <c r="D6889" s="8" t="s">
        <v>3767</v>
      </c>
      <c r="E6889" s="8" t="s">
        <v>271</v>
      </c>
      <c r="F6889" s="9">
        <f t="shared" si="606"/>
        <v>45677</v>
      </c>
      <c r="G6889" s="10">
        <f t="shared" si="603"/>
        <v>1</v>
      </c>
      <c r="H6889" s="10">
        <f t="shared" si="604"/>
        <v>2025</v>
      </c>
      <c r="I6889" s="8" t="s">
        <v>4</v>
      </c>
      <c r="J6889" s="7" t="s">
        <v>7499</v>
      </c>
      <c r="K6889" s="8" t="s">
        <v>447</v>
      </c>
      <c r="L6889" s="8" t="s">
        <v>448</v>
      </c>
      <c r="M6889" s="8" t="s">
        <v>119</v>
      </c>
      <c r="N6889" s="10" t="str">
        <f t="shared" si="600"/>
        <v>TON</v>
      </c>
      <c r="O6889" s="11">
        <v>5.0250000000000004</v>
      </c>
    </row>
    <row r="6890" spans="2:15" x14ac:dyDescent="0.25">
      <c r="B6890" s="6" t="s">
        <v>1520</v>
      </c>
      <c r="C6890" s="7" t="s">
        <v>196</v>
      </c>
      <c r="D6890" s="8" t="s">
        <v>321</v>
      </c>
      <c r="E6890" s="8" t="s">
        <v>353</v>
      </c>
      <c r="F6890" s="9">
        <f t="shared" si="606"/>
        <v>45677</v>
      </c>
      <c r="G6890" s="10">
        <f t="shared" si="603"/>
        <v>1</v>
      </c>
      <c r="H6890" s="10">
        <f t="shared" si="604"/>
        <v>2025</v>
      </c>
      <c r="I6890" s="8" t="s">
        <v>4</v>
      </c>
      <c r="J6890" s="7" t="s">
        <v>7500</v>
      </c>
      <c r="K6890" s="8" t="s">
        <v>394</v>
      </c>
      <c r="L6890" s="8" t="s">
        <v>395</v>
      </c>
      <c r="M6890" s="8" t="s">
        <v>119</v>
      </c>
      <c r="N6890" s="10" t="str">
        <f t="shared" si="600"/>
        <v>TON</v>
      </c>
      <c r="O6890" s="11">
        <v>10.022500000000001</v>
      </c>
    </row>
    <row r="6891" spans="2:15" x14ac:dyDescent="0.25">
      <c r="B6891" s="6" t="s">
        <v>1520</v>
      </c>
      <c r="C6891" s="7" t="s">
        <v>196</v>
      </c>
      <c r="D6891" s="8" t="s">
        <v>310</v>
      </c>
      <c r="E6891" s="8" t="s">
        <v>426</v>
      </c>
      <c r="F6891" s="9">
        <f t="shared" si="606"/>
        <v>45677</v>
      </c>
      <c r="G6891" s="10">
        <f t="shared" si="603"/>
        <v>1</v>
      </c>
      <c r="H6891" s="10">
        <f t="shared" si="604"/>
        <v>2025</v>
      </c>
      <c r="I6891" s="8" t="s">
        <v>4</v>
      </c>
      <c r="J6891" s="7" t="s">
        <v>7501</v>
      </c>
      <c r="K6891" s="8" t="s">
        <v>428</v>
      </c>
      <c r="L6891" s="8" t="s">
        <v>429</v>
      </c>
      <c r="M6891" s="8" t="s">
        <v>119</v>
      </c>
      <c r="N6891" s="10" t="str">
        <f t="shared" si="600"/>
        <v>TON</v>
      </c>
      <c r="O6891" s="11">
        <v>3.0150000000000001</v>
      </c>
    </row>
    <row r="6892" spans="2:15" x14ac:dyDescent="0.25">
      <c r="B6892" s="6" t="s">
        <v>1520</v>
      </c>
      <c r="C6892" s="7" t="s">
        <v>196</v>
      </c>
      <c r="D6892" s="8" t="s">
        <v>704</v>
      </c>
      <c r="E6892" s="8" t="s">
        <v>705</v>
      </c>
      <c r="F6892" s="9">
        <f t="shared" si="606"/>
        <v>45677</v>
      </c>
      <c r="G6892" s="10">
        <f t="shared" si="603"/>
        <v>1</v>
      </c>
      <c r="H6892" s="10">
        <f t="shared" si="604"/>
        <v>2025</v>
      </c>
      <c r="I6892" s="8" t="s">
        <v>4</v>
      </c>
      <c r="J6892" s="7" t="s">
        <v>7502</v>
      </c>
      <c r="K6892" s="8" t="s">
        <v>329</v>
      </c>
      <c r="L6892" s="8" t="s">
        <v>330</v>
      </c>
      <c r="M6892" s="8" t="s">
        <v>119</v>
      </c>
      <c r="N6892" s="10" t="str">
        <f t="shared" si="600"/>
        <v>TON</v>
      </c>
      <c r="O6892" s="11">
        <v>6.77</v>
      </c>
    </row>
    <row r="6893" spans="2:15" x14ac:dyDescent="0.25">
      <c r="B6893" s="6" t="s">
        <v>1520</v>
      </c>
      <c r="C6893" s="7" t="s">
        <v>196</v>
      </c>
      <c r="D6893" s="8" t="s">
        <v>207</v>
      </c>
      <c r="E6893" s="8" t="s">
        <v>208</v>
      </c>
      <c r="F6893" s="9">
        <f t="shared" si="606"/>
        <v>45677</v>
      </c>
      <c r="G6893" s="10">
        <f t="shared" si="603"/>
        <v>1</v>
      </c>
      <c r="H6893" s="10">
        <f t="shared" si="604"/>
        <v>2025</v>
      </c>
      <c r="I6893" s="8" t="s">
        <v>4</v>
      </c>
      <c r="J6893" s="7" t="s">
        <v>7503</v>
      </c>
      <c r="K6893" s="8" t="s">
        <v>205</v>
      </c>
      <c r="L6893" s="8" t="s">
        <v>206</v>
      </c>
      <c r="M6893" s="8" t="s">
        <v>119</v>
      </c>
      <c r="N6893" s="10" t="str">
        <f t="shared" si="600"/>
        <v>TON</v>
      </c>
      <c r="O6893" s="11">
        <v>2.5074999999999998</v>
      </c>
    </row>
    <row r="6894" spans="2:15" x14ac:dyDescent="0.25">
      <c r="B6894" s="6" t="s">
        <v>1520</v>
      </c>
      <c r="C6894" s="7" t="s">
        <v>196</v>
      </c>
      <c r="D6894" s="8" t="s">
        <v>215</v>
      </c>
      <c r="E6894" s="8" t="s">
        <v>4113</v>
      </c>
      <c r="F6894" s="9">
        <f t="shared" ref="F6894:F6904" si="607">DATE(2025,1,21)</f>
        <v>45678</v>
      </c>
      <c r="G6894" s="10">
        <f t="shared" si="603"/>
        <v>1</v>
      </c>
      <c r="H6894" s="10">
        <f t="shared" si="604"/>
        <v>2025</v>
      </c>
      <c r="I6894" s="8" t="s">
        <v>4</v>
      </c>
      <c r="J6894" s="7" t="s">
        <v>7504</v>
      </c>
      <c r="K6894" s="8" t="s">
        <v>823</v>
      </c>
      <c r="L6894" s="8" t="s">
        <v>776</v>
      </c>
      <c r="M6894" s="8" t="s">
        <v>82</v>
      </c>
      <c r="N6894" s="10" t="str">
        <f t="shared" si="600"/>
        <v>GAL</v>
      </c>
      <c r="O6894" s="11">
        <v>250</v>
      </c>
    </row>
    <row r="6895" spans="2:15" x14ac:dyDescent="0.25">
      <c r="B6895" s="6" t="s">
        <v>1520</v>
      </c>
      <c r="C6895" s="7" t="s">
        <v>196</v>
      </c>
      <c r="D6895" s="8" t="s">
        <v>215</v>
      </c>
      <c r="E6895" s="8" t="s">
        <v>4113</v>
      </c>
      <c r="F6895" s="9">
        <f t="shared" si="607"/>
        <v>45678</v>
      </c>
      <c r="G6895" s="10">
        <f t="shared" si="603"/>
        <v>1</v>
      </c>
      <c r="H6895" s="10">
        <f t="shared" si="604"/>
        <v>2025</v>
      </c>
      <c r="I6895" s="8" t="s">
        <v>4</v>
      </c>
      <c r="J6895" s="7" t="s">
        <v>7504</v>
      </c>
      <c r="K6895" s="8" t="s">
        <v>822</v>
      </c>
      <c r="L6895" s="8" t="s">
        <v>565</v>
      </c>
      <c r="M6895" s="8" t="s">
        <v>21</v>
      </c>
      <c r="N6895" s="10" t="str">
        <f t="shared" si="600"/>
        <v>GAL</v>
      </c>
      <c r="O6895" s="11">
        <v>250</v>
      </c>
    </row>
    <row r="6896" spans="2:15" x14ac:dyDescent="0.25">
      <c r="B6896" s="6" t="s">
        <v>1520</v>
      </c>
      <c r="C6896" s="7" t="s">
        <v>196</v>
      </c>
      <c r="D6896" s="8" t="s">
        <v>215</v>
      </c>
      <c r="E6896" s="8" t="s">
        <v>4113</v>
      </c>
      <c r="F6896" s="9">
        <f t="shared" si="607"/>
        <v>45678</v>
      </c>
      <c r="G6896" s="10">
        <f t="shared" si="603"/>
        <v>1</v>
      </c>
      <c r="H6896" s="10">
        <f t="shared" si="604"/>
        <v>2025</v>
      </c>
      <c r="I6896" s="8" t="s">
        <v>4</v>
      </c>
      <c r="J6896" s="7" t="s">
        <v>7504</v>
      </c>
      <c r="K6896" s="8" t="s">
        <v>220</v>
      </c>
      <c r="L6896" s="8" t="s">
        <v>201</v>
      </c>
      <c r="M6896" s="8" t="s">
        <v>202</v>
      </c>
      <c r="N6896" s="10" t="str">
        <f t="shared" si="600"/>
        <v>GAL</v>
      </c>
      <c r="O6896" s="11">
        <v>250</v>
      </c>
    </row>
    <row r="6897" spans="2:15" x14ac:dyDescent="0.25">
      <c r="B6897" s="6" t="s">
        <v>1520</v>
      </c>
      <c r="C6897" s="7" t="s">
        <v>196</v>
      </c>
      <c r="D6897" s="8" t="s">
        <v>241</v>
      </c>
      <c r="E6897" s="8" t="s">
        <v>141</v>
      </c>
      <c r="F6897" s="9">
        <f t="shared" si="607"/>
        <v>45678</v>
      </c>
      <c r="G6897" s="10">
        <f t="shared" si="603"/>
        <v>1</v>
      </c>
      <c r="H6897" s="10">
        <f t="shared" si="604"/>
        <v>2025</v>
      </c>
      <c r="I6897" s="8" t="s">
        <v>4</v>
      </c>
      <c r="J6897" s="7" t="s">
        <v>7505</v>
      </c>
      <c r="K6897" s="8" t="s">
        <v>260</v>
      </c>
      <c r="L6897" s="8" t="s">
        <v>261</v>
      </c>
      <c r="M6897" s="8" t="s">
        <v>119</v>
      </c>
      <c r="N6897" s="10" t="str">
        <f t="shared" si="600"/>
        <v>TON</v>
      </c>
      <c r="O6897" s="11">
        <v>0.3</v>
      </c>
    </row>
    <row r="6898" spans="2:15" x14ac:dyDescent="0.25">
      <c r="B6898" s="6" t="s">
        <v>1520</v>
      </c>
      <c r="C6898" s="7" t="s">
        <v>196</v>
      </c>
      <c r="D6898" s="8" t="s">
        <v>232</v>
      </c>
      <c r="E6898" s="8" t="s">
        <v>6657</v>
      </c>
      <c r="F6898" s="9">
        <f t="shared" si="607"/>
        <v>45678</v>
      </c>
      <c r="G6898" s="10">
        <f t="shared" si="603"/>
        <v>1</v>
      </c>
      <c r="H6898" s="10">
        <f t="shared" si="604"/>
        <v>2025</v>
      </c>
      <c r="I6898" s="8" t="s">
        <v>4</v>
      </c>
      <c r="J6898" s="7" t="s">
        <v>7506</v>
      </c>
      <c r="K6898" s="8" t="s">
        <v>205</v>
      </c>
      <c r="L6898" s="8" t="s">
        <v>206</v>
      </c>
      <c r="M6898" s="8" t="s">
        <v>119</v>
      </c>
      <c r="N6898" s="10" t="str">
        <f t="shared" si="600"/>
        <v>TON</v>
      </c>
      <c r="O6898" s="11">
        <v>3.75</v>
      </c>
    </row>
    <row r="6899" spans="2:15" x14ac:dyDescent="0.25">
      <c r="B6899" s="6" t="s">
        <v>1520</v>
      </c>
      <c r="C6899" s="7" t="s">
        <v>196</v>
      </c>
      <c r="D6899" s="8" t="s">
        <v>215</v>
      </c>
      <c r="E6899" s="8" t="s">
        <v>216</v>
      </c>
      <c r="F6899" s="9">
        <f t="shared" si="607"/>
        <v>45678</v>
      </c>
      <c r="G6899" s="10">
        <f t="shared" si="603"/>
        <v>1</v>
      </c>
      <c r="H6899" s="10">
        <f t="shared" si="604"/>
        <v>2025</v>
      </c>
      <c r="I6899" s="8" t="s">
        <v>4</v>
      </c>
      <c r="J6899" s="7" t="s">
        <v>7507</v>
      </c>
      <c r="K6899" s="8" t="s">
        <v>775</v>
      </c>
      <c r="L6899" s="8" t="s">
        <v>776</v>
      </c>
      <c r="M6899" s="8" t="s">
        <v>82</v>
      </c>
      <c r="N6899" s="10" t="str">
        <f t="shared" si="600"/>
        <v>GAL</v>
      </c>
      <c r="O6899" s="11">
        <v>90</v>
      </c>
    </row>
    <row r="6900" spans="2:15" x14ac:dyDescent="0.25">
      <c r="B6900" s="6" t="s">
        <v>1520</v>
      </c>
      <c r="C6900" s="7" t="s">
        <v>196</v>
      </c>
      <c r="D6900" s="8" t="s">
        <v>215</v>
      </c>
      <c r="E6900" s="8" t="s">
        <v>216</v>
      </c>
      <c r="F6900" s="9">
        <f t="shared" si="607"/>
        <v>45678</v>
      </c>
      <c r="G6900" s="10">
        <f t="shared" si="603"/>
        <v>1</v>
      </c>
      <c r="H6900" s="10">
        <f t="shared" si="604"/>
        <v>2025</v>
      </c>
      <c r="I6900" s="8" t="s">
        <v>4</v>
      </c>
      <c r="J6900" s="7" t="s">
        <v>7507</v>
      </c>
      <c r="K6900" s="8" t="s">
        <v>69</v>
      </c>
      <c r="L6900" s="8" t="s">
        <v>565</v>
      </c>
      <c r="M6900" s="8" t="s">
        <v>21</v>
      </c>
      <c r="N6900" s="10" t="str">
        <f t="shared" si="600"/>
        <v>GAL</v>
      </c>
      <c r="O6900" s="11">
        <v>90</v>
      </c>
    </row>
    <row r="6901" spans="2:15" x14ac:dyDescent="0.25">
      <c r="B6901" s="6" t="s">
        <v>1520</v>
      </c>
      <c r="C6901" s="7" t="s">
        <v>196</v>
      </c>
      <c r="D6901" s="8" t="s">
        <v>215</v>
      </c>
      <c r="E6901" s="8" t="s">
        <v>216</v>
      </c>
      <c r="F6901" s="9">
        <f t="shared" si="607"/>
        <v>45678</v>
      </c>
      <c r="G6901" s="10">
        <f t="shared" si="603"/>
        <v>1</v>
      </c>
      <c r="H6901" s="10">
        <f t="shared" si="604"/>
        <v>2025</v>
      </c>
      <c r="I6901" s="8" t="s">
        <v>4</v>
      </c>
      <c r="J6901" s="7" t="s">
        <v>7507</v>
      </c>
      <c r="K6901" s="8" t="s">
        <v>531</v>
      </c>
      <c r="L6901" s="8" t="s">
        <v>201</v>
      </c>
      <c r="M6901" s="8" t="s">
        <v>202</v>
      </c>
      <c r="N6901" s="10" t="str">
        <f t="shared" si="600"/>
        <v>GAL</v>
      </c>
      <c r="O6901" s="11">
        <v>90</v>
      </c>
    </row>
    <row r="6902" spans="2:15" x14ac:dyDescent="0.25">
      <c r="B6902" s="6" t="s">
        <v>1520</v>
      </c>
      <c r="C6902" s="7" t="s">
        <v>196</v>
      </c>
      <c r="D6902" s="8" t="s">
        <v>289</v>
      </c>
      <c r="E6902" s="8" t="s">
        <v>290</v>
      </c>
      <c r="F6902" s="9">
        <f t="shared" si="607"/>
        <v>45678</v>
      </c>
      <c r="G6902" s="10">
        <f t="shared" si="603"/>
        <v>1</v>
      </c>
      <c r="H6902" s="10">
        <f t="shared" si="604"/>
        <v>2025</v>
      </c>
      <c r="I6902" s="8" t="s">
        <v>4</v>
      </c>
      <c r="J6902" s="7" t="s">
        <v>7508</v>
      </c>
      <c r="K6902" s="8" t="s">
        <v>865</v>
      </c>
      <c r="L6902" s="8" t="s">
        <v>866</v>
      </c>
      <c r="M6902" s="8" t="s">
        <v>119</v>
      </c>
      <c r="N6902" s="10" t="str">
        <f t="shared" si="600"/>
        <v>TON</v>
      </c>
      <c r="O6902" s="11">
        <v>1</v>
      </c>
    </row>
    <row r="6903" spans="2:15" x14ac:dyDescent="0.25">
      <c r="B6903" s="6" t="s">
        <v>1520</v>
      </c>
      <c r="C6903" s="7" t="s">
        <v>196</v>
      </c>
      <c r="D6903" s="8" t="s">
        <v>276</v>
      </c>
      <c r="E6903" s="8" t="s">
        <v>692</v>
      </c>
      <c r="F6903" s="9">
        <f t="shared" si="607"/>
        <v>45678</v>
      </c>
      <c r="G6903" s="10">
        <f t="shared" si="603"/>
        <v>1</v>
      </c>
      <c r="H6903" s="10">
        <f t="shared" si="604"/>
        <v>2025</v>
      </c>
      <c r="I6903" s="8" t="s">
        <v>4</v>
      </c>
      <c r="J6903" s="7" t="s">
        <v>7509</v>
      </c>
      <c r="K6903" s="8" t="s">
        <v>329</v>
      </c>
      <c r="L6903" s="8" t="s">
        <v>330</v>
      </c>
      <c r="M6903" s="8" t="s">
        <v>119</v>
      </c>
      <c r="N6903" s="10" t="str">
        <f t="shared" si="600"/>
        <v>TON</v>
      </c>
      <c r="O6903" s="11">
        <v>10.012499999999999</v>
      </c>
    </row>
    <row r="6904" spans="2:15" x14ac:dyDescent="0.25">
      <c r="B6904" s="6" t="s">
        <v>1520</v>
      </c>
      <c r="C6904" s="7" t="s">
        <v>196</v>
      </c>
      <c r="D6904" s="8" t="s">
        <v>317</v>
      </c>
      <c r="E6904" s="8" t="s">
        <v>677</v>
      </c>
      <c r="F6904" s="9">
        <f t="shared" si="607"/>
        <v>45678</v>
      </c>
      <c r="G6904" s="10">
        <f t="shared" si="603"/>
        <v>1</v>
      </c>
      <c r="H6904" s="10">
        <f t="shared" si="604"/>
        <v>2025</v>
      </c>
      <c r="I6904" s="8" t="s">
        <v>4</v>
      </c>
      <c r="J6904" s="7" t="s">
        <v>7510</v>
      </c>
      <c r="K6904" s="8" t="s">
        <v>422</v>
      </c>
      <c r="L6904" s="8" t="s">
        <v>423</v>
      </c>
      <c r="M6904" s="8" t="s">
        <v>119</v>
      </c>
      <c r="N6904" s="10" t="str">
        <f t="shared" si="600"/>
        <v>TON</v>
      </c>
      <c r="O6904" s="11">
        <v>13.765000000000001</v>
      </c>
    </row>
    <row r="6905" spans="2:15" x14ac:dyDescent="0.25">
      <c r="B6905" s="6" t="s">
        <v>1520</v>
      </c>
      <c r="C6905" s="7" t="s">
        <v>196</v>
      </c>
      <c r="D6905" s="8" t="s">
        <v>207</v>
      </c>
      <c r="E6905" s="8" t="s">
        <v>208</v>
      </c>
      <c r="F6905" s="9">
        <f>DATE(2025,1,22)</f>
        <v>45679</v>
      </c>
      <c r="G6905" s="10">
        <f t="shared" si="603"/>
        <v>1</v>
      </c>
      <c r="H6905" s="10">
        <f t="shared" si="604"/>
        <v>2025</v>
      </c>
      <c r="I6905" s="8" t="s">
        <v>4</v>
      </c>
      <c r="J6905" s="7" t="s">
        <v>7511</v>
      </c>
      <c r="K6905" s="8" t="s">
        <v>236</v>
      </c>
      <c r="L6905" s="8" t="s">
        <v>237</v>
      </c>
      <c r="M6905" s="8" t="s">
        <v>119</v>
      </c>
      <c r="N6905" s="10" t="str">
        <f t="shared" si="600"/>
        <v>TON</v>
      </c>
      <c r="O6905" s="11">
        <v>2.5</v>
      </c>
    </row>
    <row r="6906" spans="2:15" x14ac:dyDescent="0.25">
      <c r="B6906" s="6" t="s">
        <v>1520</v>
      </c>
      <c r="C6906" s="7" t="s">
        <v>196</v>
      </c>
      <c r="D6906" s="8" t="s">
        <v>452</v>
      </c>
      <c r="E6906" s="8" t="s">
        <v>1611</v>
      </c>
      <c r="F6906" s="9">
        <f>DATE(2025,1,22)</f>
        <v>45679</v>
      </c>
      <c r="G6906" s="10">
        <f t="shared" si="603"/>
        <v>1</v>
      </c>
      <c r="H6906" s="10">
        <f t="shared" si="604"/>
        <v>2025</v>
      </c>
      <c r="I6906" s="8" t="s">
        <v>4</v>
      </c>
      <c r="J6906" s="7" t="s">
        <v>7512</v>
      </c>
      <c r="K6906" s="8" t="s">
        <v>447</v>
      </c>
      <c r="L6906" s="8" t="s">
        <v>448</v>
      </c>
      <c r="M6906" s="8" t="s">
        <v>119</v>
      </c>
      <c r="N6906" s="10" t="str">
        <f t="shared" si="600"/>
        <v>TON</v>
      </c>
      <c r="O6906" s="11">
        <v>4.79</v>
      </c>
    </row>
    <row r="6907" spans="2:15" x14ac:dyDescent="0.25">
      <c r="B6907" s="6" t="s">
        <v>1520</v>
      </c>
      <c r="C6907" s="7" t="s">
        <v>196</v>
      </c>
      <c r="D6907" s="8" t="s">
        <v>215</v>
      </c>
      <c r="E6907" s="8" t="s">
        <v>4113</v>
      </c>
      <c r="F6907" s="9">
        <f>DATE(2025,1,22)</f>
        <v>45679</v>
      </c>
      <c r="G6907" s="10">
        <f t="shared" si="603"/>
        <v>1</v>
      </c>
      <c r="H6907" s="10">
        <f t="shared" si="604"/>
        <v>2025</v>
      </c>
      <c r="I6907" s="8" t="s">
        <v>4</v>
      </c>
      <c r="J6907" s="7" t="s">
        <v>7513</v>
      </c>
      <c r="K6907" s="8" t="s">
        <v>329</v>
      </c>
      <c r="L6907" s="8" t="s">
        <v>330</v>
      </c>
      <c r="M6907" s="8" t="s">
        <v>119</v>
      </c>
      <c r="N6907" s="10" t="str">
        <f t="shared" si="600"/>
        <v>TON</v>
      </c>
      <c r="O6907" s="11">
        <v>10.0025</v>
      </c>
    </row>
    <row r="6908" spans="2:15" x14ac:dyDescent="0.25">
      <c r="B6908" s="6" t="s">
        <v>1520</v>
      </c>
      <c r="C6908" s="7" t="s">
        <v>196</v>
      </c>
      <c r="D6908" s="8" t="s">
        <v>215</v>
      </c>
      <c r="E6908" s="8" t="s">
        <v>4113</v>
      </c>
      <c r="F6908" s="9">
        <f>DATE(2025,1,22)</f>
        <v>45679</v>
      </c>
      <c r="G6908" s="10">
        <f t="shared" si="603"/>
        <v>1</v>
      </c>
      <c r="H6908" s="10">
        <f t="shared" si="604"/>
        <v>2025</v>
      </c>
      <c r="I6908" s="8" t="s">
        <v>4</v>
      </c>
      <c r="J6908" s="7" t="s">
        <v>7514</v>
      </c>
      <c r="K6908" s="8" t="s">
        <v>329</v>
      </c>
      <c r="L6908" s="8" t="s">
        <v>330</v>
      </c>
      <c r="M6908" s="8" t="s">
        <v>119</v>
      </c>
      <c r="N6908" s="10" t="str">
        <f t="shared" si="600"/>
        <v>TON</v>
      </c>
      <c r="O6908" s="11">
        <v>10.0075</v>
      </c>
    </row>
    <row r="6909" spans="2:15" x14ac:dyDescent="0.25">
      <c r="B6909" s="6" t="s">
        <v>1520</v>
      </c>
      <c r="C6909" s="7" t="s">
        <v>196</v>
      </c>
      <c r="D6909" s="8" t="s">
        <v>1343</v>
      </c>
      <c r="E6909" s="8" t="s">
        <v>1274</v>
      </c>
      <c r="F6909" s="9">
        <f>DATE(2025,1,23)</f>
        <v>45680</v>
      </c>
      <c r="G6909" s="10">
        <f t="shared" si="603"/>
        <v>1</v>
      </c>
      <c r="H6909" s="10">
        <f t="shared" si="604"/>
        <v>2025</v>
      </c>
      <c r="I6909" s="8" t="s">
        <v>4</v>
      </c>
      <c r="J6909" s="7" t="s">
        <v>7515</v>
      </c>
      <c r="K6909" s="8" t="s">
        <v>2039</v>
      </c>
      <c r="L6909" s="8" t="s">
        <v>2040</v>
      </c>
      <c r="M6909" s="8" t="s">
        <v>119</v>
      </c>
      <c r="N6909" s="10" t="str">
        <f t="shared" si="600"/>
        <v>TON</v>
      </c>
      <c r="O6909" s="11">
        <v>15.0275</v>
      </c>
    </row>
    <row r="6910" spans="2:15" x14ac:dyDescent="0.25">
      <c r="B6910" s="6" t="s">
        <v>1520</v>
      </c>
      <c r="C6910" s="7" t="s">
        <v>196</v>
      </c>
      <c r="D6910" s="8" t="s">
        <v>458</v>
      </c>
      <c r="E6910" s="8" t="s">
        <v>2868</v>
      </c>
      <c r="F6910" s="9">
        <f>DATE(2025,1,24)</f>
        <v>45681</v>
      </c>
      <c r="G6910" s="10">
        <f t="shared" si="603"/>
        <v>1</v>
      </c>
      <c r="H6910" s="10">
        <f t="shared" si="604"/>
        <v>2025</v>
      </c>
      <c r="I6910" s="8" t="s">
        <v>4</v>
      </c>
      <c r="J6910" s="7" t="s">
        <v>7516</v>
      </c>
      <c r="K6910" s="8" t="s">
        <v>251</v>
      </c>
      <c r="L6910" s="8" t="s">
        <v>252</v>
      </c>
      <c r="M6910" s="8" t="s">
        <v>119</v>
      </c>
      <c r="N6910" s="10" t="str">
        <f t="shared" ref="N6910:N6973" si="608">+LEFT(M6910,3)</f>
        <v>TON</v>
      </c>
      <c r="O6910" s="11">
        <v>10.0075</v>
      </c>
    </row>
    <row r="6911" spans="2:15" x14ac:dyDescent="0.25">
      <c r="B6911" s="6" t="s">
        <v>1520</v>
      </c>
      <c r="C6911" s="7" t="s">
        <v>196</v>
      </c>
      <c r="D6911" s="8" t="s">
        <v>241</v>
      </c>
      <c r="E6911" s="8" t="s">
        <v>258</v>
      </c>
      <c r="F6911" s="9">
        <f>DATE(2025,1,24)</f>
        <v>45681</v>
      </c>
      <c r="G6911" s="10">
        <f t="shared" si="603"/>
        <v>1</v>
      </c>
      <c r="H6911" s="10">
        <f t="shared" si="604"/>
        <v>2025</v>
      </c>
      <c r="I6911" s="8" t="s">
        <v>4</v>
      </c>
      <c r="J6911" s="7" t="s">
        <v>7517</v>
      </c>
      <c r="K6911" s="8" t="s">
        <v>3458</v>
      </c>
      <c r="L6911" s="8" t="s">
        <v>3459</v>
      </c>
      <c r="M6911" s="8" t="s">
        <v>119</v>
      </c>
      <c r="N6911" s="10" t="str">
        <f t="shared" si="608"/>
        <v>TON</v>
      </c>
      <c r="O6911" s="11">
        <v>2.2799999999999998</v>
      </c>
    </row>
    <row r="6912" spans="2:15" x14ac:dyDescent="0.25">
      <c r="B6912" s="6" t="s">
        <v>1520</v>
      </c>
      <c r="C6912" s="7" t="s">
        <v>196</v>
      </c>
      <c r="D6912" s="8" t="s">
        <v>241</v>
      </c>
      <c r="E6912" s="8" t="s">
        <v>242</v>
      </c>
      <c r="F6912" s="9">
        <f>DATE(2025,1,27)</f>
        <v>45684</v>
      </c>
      <c r="G6912" s="10">
        <f t="shared" si="603"/>
        <v>1</v>
      </c>
      <c r="H6912" s="10">
        <f t="shared" si="604"/>
        <v>2025</v>
      </c>
      <c r="I6912" s="8" t="s">
        <v>4</v>
      </c>
      <c r="J6912" s="7" t="s">
        <v>7518</v>
      </c>
      <c r="K6912" s="8" t="s">
        <v>7519</v>
      </c>
      <c r="L6912" s="8" t="s">
        <v>7520</v>
      </c>
      <c r="M6912" s="8" t="s">
        <v>1397</v>
      </c>
      <c r="N6912" s="10" t="str">
        <f t="shared" si="608"/>
        <v>GAL</v>
      </c>
      <c r="O6912" s="11">
        <v>5</v>
      </c>
    </row>
    <row r="6913" spans="2:15" x14ac:dyDescent="0.25">
      <c r="B6913" s="6" t="s">
        <v>1520</v>
      </c>
      <c r="C6913" s="7" t="s">
        <v>196</v>
      </c>
      <c r="D6913" s="8" t="s">
        <v>241</v>
      </c>
      <c r="E6913" s="8" t="s">
        <v>242</v>
      </c>
      <c r="F6913" s="9">
        <f>DATE(2025,1,27)</f>
        <v>45684</v>
      </c>
      <c r="G6913" s="10">
        <f t="shared" si="603"/>
        <v>1</v>
      </c>
      <c r="H6913" s="10">
        <f t="shared" si="604"/>
        <v>2025</v>
      </c>
      <c r="I6913" s="8" t="s">
        <v>4</v>
      </c>
      <c r="J6913" s="7" t="s">
        <v>7521</v>
      </c>
      <c r="K6913" s="8" t="s">
        <v>260</v>
      </c>
      <c r="L6913" s="8" t="s">
        <v>261</v>
      </c>
      <c r="M6913" s="8" t="s">
        <v>119</v>
      </c>
      <c r="N6913" s="10" t="str">
        <f t="shared" si="608"/>
        <v>TON</v>
      </c>
      <c r="O6913" s="11">
        <v>1.9875</v>
      </c>
    </row>
    <row r="6914" spans="2:15" x14ac:dyDescent="0.25">
      <c r="B6914" s="6" t="s">
        <v>1520</v>
      </c>
      <c r="C6914" s="7" t="s">
        <v>196</v>
      </c>
      <c r="D6914" s="8" t="s">
        <v>114</v>
      </c>
      <c r="E6914" s="8" t="s">
        <v>402</v>
      </c>
      <c r="F6914" s="9">
        <f>DATE(2025,1,27)</f>
        <v>45684</v>
      </c>
      <c r="G6914" s="10">
        <f t="shared" si="603"/>
        <v>1</v>
      </c>
      <c r="H6914" s="10">
        <f t="shared" si="604"/>
        <v>2025</v>
      </c>
      <c r="I6914" s="8" t="s">
        <v>4</v>
      </c>
      <c r="J6914" s="7" t="s">
        <v>7522</v>
      </c>
      <c r="K6914" s="8" t="s">
        <v>422</v>
      </c>
      <c r="L6914" s="8" t="s">
        <v>423</v>
      </c>
      <c r="M6914" s="8" t="s">
        <v>119</v>
      </c>
      <c r="N6914" s="10" t="str">
        <f t="shared" si="608"/>
        <v>TON</v>
      </c>
      <c r="O6914" s="11">
        <v>9.0175000000000001</v>
      </c>
    </row>
    <row r="6915" spans="2:15" x14ac:dyDescent="0.25">
      <c r="B6915" s="6" t="s">
        <v>1520</v>
      </c>
      <c r="C6915" s="7" t="s">
        <v>196</v>
      </c>
      <c r="D6915" s="8" t="s">
        <v>4034</v>
      </c>
      <c r="E6915" s="8" t="s">
        <v>759</v>
      </c>
      <c r="F6915" s="9">
        <f t="shared" ref="F6915:F6920" si="609">DATE(2025,1,28)</f>
        <v>45685</v>
      </c>
      <c r="G6915" s="10">
        <f t="shared" si="603"/>
        <v>1</v>
      </c>
      <c r="H6915" s="10">
        <f t="shared" si="604"/>
        <v>2025</v>
      </c>
      <c r="I6915" s="8" t="s">
        <v>4</v>
      </c>
      <c r="J6915" s="7" t="s">
        <v>7523</v>
      </c>
      <c r="K6915" s="8" t="s">
        <v>117</v>
      </c>
      <c r="L6915" s="8" t="s">
        <v>118</v>
      </c>
      <c r="M6915" s="8" t="s">
        <v>119</v>
      </c>
      <c r="N6915" s="10" t="str">
        <f t="shared" si="608"/>
        <v>TON</v>
      </c>
      <c r="O6915" s="11">
        <v>5.0199999999999996</v>
      </c>
    </row>
    <row r="6916" spans="2:15" x14ac:dyDescent="0.25">
      <c r="B6916" s="6" t="s">
        <v>1520</v>
      </c>
      <c r="C6916" s="7" t="s">
        <v>196</v>
      </c>
      <c r="D6916" s="8" t="s">
        <v>452</v>
      </c>
      <c r="E6916" s="8" t="s">
        <v>115</v>
      </c>
      <c r="F6916" s="9">
        <f t="shared" si="609"/>
        <v>45685</v>
      </c>
      <c r="G6916" s="10">
        <f t="shared" si="603"/>
        <v>1</v>
      </c>
      <c r="H6916" s="10">
        <f t="shared" si="604"/>
        <v>2025</v>
      </c>
      <c r="I6916" s="8" t="s">
        <v>4</v>
      </c>
      <c r="J6916" s="7" t="s">
        <v>7524</v>
      </c>
      <c r="K6916" s="8" t="s">
        <v>447</v>
      </c>
      <c r="L6916" s="8" t="s">
        <v>448</v>
      </c>
      <c r="M6916" s="8" t="s">
        <v>119</v>
      </c>
      <c r="N6916" s="10" t="str">
        <f t="shared" si="608"/>
        <v>TON</v>
      </c>
      <c r="O6916" s="11">
        <v>2.5249999999999999</v>
      </c>
    </row>
    <row r="6917" spans="2:15" x14ac:dyDescent="0.25">
      <c r="B6917" s="6" t="s">
        <v>1520</v>
      </c>
      <c r="C6917" s="7" t="s">
        <v>196</v>
      </c>
      <c r="D6917" s="8" t="s">
        <v>1276</v>
      </c>
      <c r="E6917" s="8" t="s">
        <v>791</v>
      </c>
      <c r="F6917" s="9">
        <f t="shared" si="609"/>
        <v>45685</v>
      </c>
      <c r="G6917" s="10">
        <f t="shared" si="603"/>
        <v>1</v>
      </c>
      <c r="H6917" s="10">
        <f t="shared" si="604"/>
        <v>2025</v>
      </c>
      <c r="I6917" s="8" t="s">
        <v>4</v>
      </c>
      <c r="J6917" s="7" t="s">
        <v>7525</v>
      </c>
      <c r="K6917" s="8" t="s">
        <v>117</v>
      </c>
      <c r="L6917" s="8" t="s">
        <v>118</v>
      </c>
      <c r="M6917" s="8" t="s">
        <v>119</v>
      </c>
      <c r="N6917" s="10" t="str">
        <f t="shared" si="608"/>
        <v>TON</v>
      </c>
      <c r="O6917" s="11">
        <v>5.0199999999999996</v>
      </c>
    </row>
    <row r="6918" spans="2:15" x14ac:dyDescent="0.25">
      <c r="B6918" s="6" t="s">
        <v>1520</v>
      </c>
      <c r="C6918" s="7" t="s">
        <v>196</v>
      </c>
      <c r="D6918" s="8" t="s">
        <v>114</v>
      </c>
      <c r="E6918" s="8" t="s">
        <v>369</v>
      </c>
      <c r="F6918" s="9">
        <f t="shared" si="609"/>
        <v>45685</v>
      </c>
      <c r="G6918" s="10">
        <f t="shared" si="603"/>
        <v>1</v>
      </c>
      <c r="H6918" s="10">
        <f t="shared" si="604"/>
        <v>2025</v>
      </c>
      <c r="I6918" s="8" t="s">
        <v>4</v>
      </c>
      <c r="J6918" s="7" t="s">
        <v>7526</v>
      </c>
      <c r="K6918" s="8" t="s">
        <v>422</v>
      </c>
      <c r="L6918" s="8" t="s">
        <v>423</v>
      </c>
      <c r="M6918" s="8" t="s">
        <v>119</v>
      </c>
      <c r="N6918" s="10" t="str">
        <f t="shared" si="608"/>
        <v>TON</v>
      </c>
      <c r="O6918" s="11">
        <v>2.0249999999999999</v>
      </c>
    </row>
    <row r="6919" spans="2:15" x14ac:dyDescent="0.25">
      <c r="B6919" s="6" t="s">
        <v>1520</v>
      </c>
      <c r="C6919" s="7" t="s">
        <v>196</v>
      </c>
      <c r="D6919" s="8" t="s">
        <v>440</v>
      </c>
      <c r="E6919" s="8" t="s">
        <v>1369</v>
      </c>
      <c r="F6919" s="9">
        <f t="shared" si="609"/>
        <v>45685</v>
      </c>
      <c r="G6919" s="10">
        <f t="shared" si="603"/>
        <v>1</v>
      </c>
      <c r="H6919" s="10">
        <f t="shared" si="604"/>
        <v>2025</v>
      </c>
      <c r="I6919" s="8" t="s">
        <v>4</v>
      </c>
      <c r="J6919" s="7" t="s">
        <v>7527</v>
      </c>
      <c r="K6919" s="8" t="s">
        <v>7086</v>
      </c>
      <c r="L6919" s="8" t="s">
        <v>7087</v>
      </c>
      <c r="M6919" s="8" t="s">
        <v>119</v>
      </c>
      <c r="N6919" s="10" t="str">
        <f t="shared" si="608"/>
        <v>TON</v>
      </c>
      <c r="O6919" s="11">
        <v>5.0049999999999999</v>
      </c>
    </row>
    <row r="6920" spans="2:15" x14ac:dyDescent="0.25">
      <c r="B6920" s="6" t="s">
        <v>1520</v>
      </c>
      <c r="C6920" s="7" t="s">
        <v>196</v>
      </c>
      <c r="D6920" s="8" t="s">
        <v>440</v>
      </c>
      <c r="E6920" s="8" t="s">
        <v>1274</v>
      </c>
      <c r="F6920" s="9">
        <f t="shared" si="609"/>
        <v>45685</v>
      </c>
      <c r="G6920" s="10">
        <f t="shared" si="603"/>
        <v>1</v>
      </c>
      <c r="H6920" s="10">
        <f t="shared" si="604"/>
        <v>2025</v>
      </c>
      <c r="I6920" s="8" t="s">
        <v>4</v>
      </c>
      <c r="J6920" s="7" t="s">
        <v>7528</v>
      </c>
      <c r="K6920" s="8" t="s">
        <v>7086</v>
      </c>
      <c r="L6920" s="8" t="s">
        <v>7087</v>
      </c>
      <c r="M6920" s="8" t="s">
        <v>119</v>
      </c>
      <c r="N6920" s="10" t="str">
        <f t="shared" si="608"/>
        <v>TON</v>
      </c>
      <c r="O6920" s="11">
        <v>5.0225</v>
      </c>
    </row>
    <row r="6921" spans="2:15" x14ac:dyDescent="0.25">
      <c r="B6921" s="6" t="s">
        <v>1520</v>
      </c>
      <c r="C6921" s="7" t="s">
        <v>196</v>
      </c>
      <c r="D6921" s="8" t="s">
        <v>232</v>
      </c>
      <c r="E6921" s="8" t="s">
        <v>778</v>
      </c>
      <c r="F6921" s="9">
        <f t="shared" ref="F6921:F6932" si="610">DATE(2025,1,29)</f>
        <v>45686</v>
      </c>
      <c r="G6921" s="10">
        <f t="shared" si="603"/>
        <v>1</v>
      </c>
      <c r="H6921" s="10">
        <f t="shared" si="604"/>
        <v>2025</v>
      </c>
      <c r="I6921" s="8" t="s">
        <v>4</v>
      </c>
      <c r="J6921" s="7" t="s">
        <v>7529</v>
      </c>
      <c r="K6921" s="8" t="s">
        <v>823</v>
      </c>
      <c r="L6921" s="8" t="s">
        <v>776</v>
      </c>
      <c r="M6921" s="8" t="s">
        <v>82</v>
      </c>
      <c r="N6921" s="10" t="str">
        <f t="shared" si="608"/>
        <v>GAL</v>
      </c>
      <c r="O6921" s="11">
        <v>250</v>
      </c>
    </row>
    <row r="6922" spans="2:15" x14ac:dyDescent="0.25">
      <c r="B6922" s="6" t="s">
        <v>1520</v>
      </c>
      <c r="C6922" s="7" t="s">
        <v>196</v>
      </c>
      <c r="D6922" s="8" t="s">
        <v>3761</v>
      </c>
      <c r="E6922" s="8" t="s">
        <v>3762</v>
      </c>
      <c r="F6922" s="9">
        <f t="shared" si="610"/>
        <v>45686</v>
      </c>
      <c r="G6922" s="10">
        <f t="shared" si="603"/>
        <v>1</v>
      </c>
      <c r="H6922" s="10">
        <f t="shared" si="604"/>
        <v>2025</v>
      </c>
      <c r="I6922" s="8" t="s">
        <v>4</v>
      </c>
      <c r="J6922" s="7" t="s">
        <v>7530</v>
      </c>
      <c r="K6922" s="8" t="s">
        <v>329</v>
      </c>
      <c r="L6922" s="8" t="s">
        <v>330</v>
      </c>
      <c r="M6922" s="8" t="s">
        <v>119</v>
      </c>
      <c r="N6922" s="10" t="str">
        <f t="shared" si="608"/>
        <v>TON</v>
      </c>
      <c r="O6922" s="11">
        <v>10.01</v>
      </c>
    </row>
    <row r="6923" spans="2:15" x14ac:dyDescent="0.25">
      <c r="B6923" s="6" t="s">
        <v>1520</v>
      </c>
      <c r="C6923" s="7" t="s">
        <v>196</v>
      </c>
      <c r="D6923" s="8" t="s">
        <v>6651</v>
      </c>
      <c r="E6923" s="8" t="s">
        <v>6652</v>
      </c>
      <c r="F6923" s="9">
        <f t="shared" si="610"/>
        <v>45686</v>
      </c>
      <c r="G6923" s="10">
        <f t="shared" si="603"/>
        <v>1</v>
      </c>
      <c r="H6923" s="10">
        <f t="shared" si="604"/>
        <v>2025</v>
      </c>
      <c r="I6923" s="8" t="s">
        <v>4</v>
      </c>
      <c r="J6923" s="7" t="s">
        <v>7531</v>
      </c>
      <c r="K6923" s="8" t="s">
        <v>329</v>
      </c>
      <c r="L6923" s="8" t="s">
        <v>330</v>
      </c>
      <c r="M6923" s="8" t="s">
        <v>119</v>
      </c>
      <c r="N6923" s="10" t="str">
        <f t="shared" si="608"/>
        <v>TON</v>
      </c>
      <c r="O6923" s="11">
        <v>5.0125000000000002</v>
      </c>
    </row>
    <row r="6924" spans="2:15" x14ac:dyDescent="0.25">
      <c r="B6924" s="6" t="s">
        <v>1520</v>
      </c>
      <c r="C6924" s="7" t="s">
        <v>196</v>
      </c>
      <c r="D6924" s="8" t="s">
        <v>232</v>
      </c>
      <c r="E6924" s="8" t="s">
        <v>778</v>
      </c>
      <c r="F6924" s="9">
        <f t="shared" si="610"/>
        <v>45686</v>
      </c>
      <c r="G6924" s="10">
        <f t="shared" si="603"/>
        <v>1</v>
      </c>
      <c r="H6924" s="10">
        <f t="shared" si="604"/>
        <v>2025</v>
      </c>
      <c r="I6924" s="8" t="s">
        <v>4</v>
      </c>
      <c r="J6924" s="7" t="s">
        <v>7532</v>
      </c>
      <c r="K6924" s="8" t="s">
        <v>329</v>
      </c>
      <c r="L6924" s="8" t="s">
        <v>330</v>
      </c>
      <c r="M6924" s="8" t="s">
        <v>119</v>
      </c>
      <c r="N6924" s="10" t="str">
        <f t="shared" si="608"/>
        <v>TON</v>
      </c>
      <c r="O6924" s="11">
        <v>10</v>
      </c>
    </row>
    <row r="6925" spans="2:15" x14ac:dyDescent="0.25">
      <c r="B6925" s="6" t="s">
        <v>1520</v>
      </c>
      <c r="C6925" s="7" t="s">
        <v>196</v>
      </c>
      <c r="D6925" s="8" t="s">
        <v>114</v>
      </c>
      <c r="E6925" s="8" t="s">
        <v>927</v>
      </c>
      <c r="F6925" s="9">
        <f t="shared" si="610"/>
        <v>45686</v>
      </c>
      <c r="G6925" s="10">
        <f t="shared" si="603"/>
        <v>1</v>
      </c>
      <c r="H6925" s="10">
        <f t="shared" si="604"/>
        <v>2025</v>
      </c>
      <c r="I6925" s="8" t="s">
        <v>4</v>
      </c>
      <c r="J6925" s="7" t="s">
        <v>7533</v>
      </c>
      <c r="K6925" s="8" t="s">
        <v>422</v>
      </c>
      <c r="L6925" s="8" t="s">
        <v>423</v>
      </c>
      <c r="M6925" s="8" t="s">
        <v>119</v>
      </c>
      <c r="N6925" s="10" t="str">
        <f t="shared" si="608"/>
        <v>TON</v>
      </c>
      <c r="O6925" s="11">
        <v>12.03</v>
      </c>
    </row>
    <row r="6926" spans="2:15" x14ac:dyDescent="0.25">
      <c r="B6926" s="6" t="s">
        <v>1520</v>
      </c>
      <c r="C6926" s="7" t="s">
        <v>196</v>
      </c>
      <c r="D6926" s="8" t="s">
        <v>210</v>
      </c>
      <c r="E6926" s="8" t="s">
        <v>141</v>
      </c>
      <c r="F6926" s="9">
        <f t="shared" si="610"/>
        <v>45686</v>
      </c>
      <c r="G6926" s="10">
        <f t="shared" si="603"/>
        <v>1</v>
      </c>
      <c r="H6926" s="10">
        <f t="shared" si="604"/>
        <v>2025</v>
      </c>
      <c r="I6926" s="8" t="s">
        <v>4</v>
      </c>
      <c r="J6926" s="7" t="s">
        <v>7534</v>
      </c>
      <c r="K6926" s="8" t="s">
        <v>1119</v>
      </c>
      <c r="L6926" s="8" t="s">
        <v>1023</v>
      </c>
      <c r="M6926" s="8" t="s">
        <v>1024</v>
      </c>
      <c r="N6926" s="10" t="str">
        <f t="shared" si="608"/>
        <v>GAL</v>
      </c>
      <c r="O6926" s="11">
        <v>20</v>
      </c>
    </row>
    <row r="6927" spans="2:15" x14ac:dyDescent="0.25">
      <c r="B6927" s="6" t="s">
        <v>1520</v>
      </c>
      <c r="C6927" s="7" t="s">
        <v>196</v>
      </c>
      <c r="D6927" s="8" t="s">
        <v>248</v>
      </c>
      <c r="E6927" s="8" t="s">
        <v>3610</v>
      </c>
      <c r="F6927" s="9">
        <f t="shared" si="610"/>
        <v>45686</v>
      </c>
      <c r="G6927" s="10">
        <f t="shared" si="603"/>
        <v>1</v>
      </c>
      <c r="H6927" s="10">
        <f t="shared" si="604"/>
        <v>2025</v>
      </c>
      <c r="I6927" s="8" t="s">
        <v>4</v>
      </c>
      <c r="J6927" s="7" t="s">
        <v>7535</v>
      </c>
      <c r="K6927" s="8" t="s">
        <v>251</v>
      </c>
      <c r="L6927" s="8" t="s">
        <v>252</v>
      </c>
      <c r="M6927" s="8" t="s">
        <v>119</v>
      </c>
      <c r="N6927" s="10" t="str">
        <f t="shared" si="608"/>
        <v>TON</v>
      </c>
      <c r="O6927" s="11">
        <v>15.0275</v>
      </c>
    </row>
    <row r="6928" spans="2:15" x14ac:dyDescent="0.25">
      <c r="B6928" s="6" t="s">
        <v>645</v>
      </c>
      <c r="C6928" s="7" t="s">
        <v>196</v>
      </c>
      <c r="D6928" s="8" t="s">
        <v>790</v>
      </c>
      <c r="E6928" s="8" t="s">
        <v>791</v>
      </c>
      <c r="F6928" s="9">
        <f t="shared" si="610"/>
        <v>45686</v>
      </c>
      <c r="G6928" s="10">
        <f t="shared" si="603"/>
        <v>1</v>
      </c>
      <c r="H6928" s="10">
        <f t="shared" si="604"/>
        <v>2025</v>
      </c>
      <c r="I6928" s="8" t="s">
        <v>4</v>
      </c>
      <c r="J6928" s="7" t="s">
        <v>7536</v>
      </c>
      <c r="K6928" s="8" t="s">
        <v>4149</v>
      </c>
      <c r="L6928" s="8" t="s">
        <v>4150</v>
      </c>
      <c r="M6928" s="8" t="s">
        <v>119</v>
      </c>
      <c r="N6928" s="10" t="str">
        <f t="shared" si="608"/>
        <v>TON</v>
      </c>
      <c r="O6928" s="11">
        <v>5.0125000000000002</v>
      </c>
    </row>
    <row r="6929" spans="2:15" x14ac:dyDescent="0.25">
      <c r="B6929" s="6" t="s">
        <v>1520</v>
      </c>
      <c r="C6929" s="7" t="s">
        <v>196</v>
      </c>
      <c r="D6929" s="8" t="s">
        <v>232</v>
      </c>
      <c r="E6929" s="8" t="s">
        <v>233</v>
      </c>
      <c r="F6929" s="9">
        <f t="shared" si="610"/>
        <v>45686</v>
      </c>
      <c r="G6929" s="10">
        <f t="shared" si="603"/>
        <v>1</v>
      </c>
      <c r="H6929" s="10">
        <f t="shared" si="604"/>
        <v>2025</v>
      </c>
      <c r="I6929" s="8" t="s">
        <v>4</v>
      </c>
      <c r="J6929" s="7" t="s">
        <v>7537</v>
      </c>
      <c r="K6929" s="8" t="s">
        <v>205</v>
      </c>
      <c r="L6929" s="8" t="s">
        <v>206</v>
      </c>
      <c r="M6929" s="8" t="s">
        <v>119</v>
      </c>
      <c r="N6929" s="10" t="str">
        <f t="shared" si="608"/>
        <v>TON</v>
      </c>
      <c r="O6929" s="11">
        <v>5</v>
      </c>
    </row>
    <row r="6930" spans="2:15" x14ac:dyDescent="0.25">
      <c r="B6930" s="6" t="s">
        <v>1520</v>
      </c>
      <c r="C6930" s="7" t="s">
        <v>196</v>
      </c>
      <c r="D6930" s="8" t="s">
        <v>1276</v>
      </c>
      <c r="E6930" s="8" t="s">
        <v>1277</v>
      </c>
      <c r="F6930" s="9">
        <f t="shared" si="610"/>
        <v>45686</v>
      </c>
      <c r="G6930" s="10">
        <f t="shared" ref="G6930:G6993" si="611">+MONTH(F6930)</f>
        <v>1</v>
      </c>
      <c r="H6930" s="10">
        <f t="shared" ref="H6930:H6993" si="612">+YEAR(F6930)</f>
        <v>2025</v>
      </c>
      <c r="I6930" s="8" t="s">
        <v>4</v>
      </c>
      <c r="J6930" s="7" t="s">
        <v>7538</v>
      </c>
      <c r="K6930" s="8" t="s">
        <v>117</v>
      </c>
      <c r="L6930" s="8" t="s">
        <v>118</v>
      </c>
      <c r="M6930" s="8" t="s">
        <v>119</v>
      </c>
      <c r="N6930" s="10" t="str">
        <f t="shared" si="608"/>
        <v>TON</v>
      </c>
      <c r="O6930" s="11">
        <v>5.0075000000000003</v>
      </c>
    </row>
    <row r="6931" spans="2:15" x14ac:dyDescent="0.25">
      <c r="B6931" s="6" t="s">
        <v>1520</v>
      </c>
      <c r="C6931" s="7" t="s">
        <v>196</v>
      </c>
      <c r="D6931" s="8" t="s">
        <v>248</v>
      </c>
      <c r="E6931" s="8" t="s">
        <v>409</v>
      </c>
      <c r="F6931" s="9">
        <f t="shared" si="610"/>
        <v>45686</v>
      </c>
      <c r="G6931" s="10">
        <f t="shared" si="611"/>
        <v>1</v>
      </c>
      <c r="H6931" s="10">
        <f t="shared" si="612"/>
        <v>2025</v>
      </c>
      <c r="I6931" s="8" t="s">
        <v>4</v>
      </c>
      <c r="J6931" s="7" t="s">
        <v>7539</v>
      </c>
      <c r="K6931" s="8" t="s">
        <v>251</v>
      </c>
      <c r="L6931" s="8" t="s">
        <v>252</v>
      </c>
      <c r="M6931" s="8" t="s">
        <v>119</v>
      </c>
      <c r="N6931" s="10" t="str">
        <f t="shared" si="608"/>
        <v>TON</v>
      </c>
      <c r="O6931" s="11">
        <v>5.01</v>
      </c>
    </row>
    <row r="6932" spans="2:15" x14ac:dyDescent="0.25">
      <c r="B6932" s="6" t="s">
        <v>1520</v>
      </c>
      <c r="C6932" s="7" t="s">
        <v>196</v>
      </c>
      <c r="D6932" s="8" t="s">
        <v>227</v>
      </c>
      <c r="E6932" s="8" t="s">
        <v>7116</v>
      </c>
      <c r="F6932" s="9">
        <f t="shared" si="610"/>
        <v>45686</v>
      </c>
      <c r="G6932" s="10">
        <f t="shared" si="611"/>
        <v>1</v>
      </c>
      <c r="H6932" s="10">
        <f t="shared" si="612"/>
        <v>2025</v>
      </c>
      <c r="I6932" s="8" t="s">
        <v>4</v>
      </c>
      <c r="J6932" s="7" t="s">
        <v>7540</v>
      </c>
      <c r="K6932" s="8" t="s">
        <v>205</v>
      </c>
      <c r="L6932" s="8" t="s">
        <v>206</v>
      </c>
      <c r="M6932" s="8" t="s">
        <v>119</v>
      </c>
      <c r="N6932" s="10" t="str">
        <f t="shared" si="608"/>
        <v>TON</v>
      </c>
      <c r="O6932" s="11">
        <v>10.0175</v>
      </c>
    </row>
    <row r="6933" spans="2:15" x14ac:dyDescent="0.25">
      <c r="B6933" s="6" t="s">
        <v>1520</v>
      </c>
      <c r="C6933" s="7" t="s">
        <v>196</v>
      </c>
      <c r="D6933" s="8" t="s">
        <v>276</v>
      </c>
      <c r="E6933" s="8" t="s">
        <v>682</v>
      </c>
      <c r="F6933" s="9">
        <f t="shared" ref="F6933:F6942" si="613">DATE(2025,1,30)</f>
        <v>45687</v>
      </c>
      <c r="G6933" s="10">
        <f t="shared" si="611"/>
        <v>1</v>
      </c>
      <c r="H6933" s="10">
        <f t="shared" si="612"/>
        <v>2025</v>
      </c>
      <c r="I6933" s="8" t="s">
        <v>4</v>
      </c>
      <c r="J6933" s="7" t="s">
        <v>7541</v>
      </c>
      <c r="K6933" s="8" t="s">
        <v>329</v>
      </c>
      <c r="L6933" s="8" t="s">
        <v>330</v>
      </c>
      <c r="M6933" s="8" t="s">
        <v>119</v>
      </c>
      <c r="N6933" s="10" t="str">
        <f t="shared" si="608"/>
        <v>TON</v>
      </c>
      <c r="O6933" s="11">
        <v>15.0175</v>
      </c>
    </row>
    <row r="6934" spans="2:15" x14ac:dyDescent="0.25">
      <c r="B6934" s="6" t="s">
        <v>1520</v>
      </c>
      <c r="C6934" s="7" t="s">
        <v>196</v>
      </c>
      <c r="D6934" s="8" t="s">
        <v>374</v>
      </c>
      <c r="E6934" s="8" t="s">
        <v>4935</v>
      </c>
      <c r="F6934" s="9">
        <f t="shared" si="613"/>
        <v>45687</v>
      </c>
      <c r="G6934" s="10">
        <f t="shared" si="611"/>
        <v>1</v>
      </c>
      <c r="H6934" s="10">
        <f t="shared" si="612"/>
        <v>2025</v>
      </c>
      <c r="I6934" s="8" t="s">
        <v>4</v>
      </c>
      <c r="J6934" s="7" t="s">
        <v>7542</v>
      </c>
      <c r="K6934" s="8" t="s">
        <v>329</v>
      </c>
      <c r="L6934" s="8" t="s">
        <v>330</v>
      </c>
      <c r="M6934" s="8" t="s">
        <v>119</v>
      </c>
      <c r="N6934" s="10" t="str">
        <f t="shared" si="608"/>
        <v>TON</v>
      </c>
      <c r="O6934" s="11">
        <v>15.0275</v>
      </c>
    </row>
    <row r="6935" spans="2:15" x14ac:dyDescent="0.25">
      <c r="B6935" s="6" t="s">
        <v>1520</v>
      </c>
      <c r="C6935" s="7" t="s">
        <v>196</v>
      </c>
      <c r="D6935" s="8" t="s">
        <v>890</v>
      </c>
      <c r="E6935" s="8" t="s">
        <v>891</v>
      </c>
      <c r="F6935" s="9">
        <f t="shared" si="613"/>
        <v>45687</v>
      </c>
      <c r="G6935" s="10">
        <f t="shared" si="611"/>
        <v>1</v>
      </c>
      <c r="H6935" s="10">
        <f t="shared" si="612"/>
        <v>2025</v>
      </c>
      <c r="I6935" s="8" t="s">
        <v>4</v>
      </c>
      <c r="J6935" s="7" t="s">
        <v>7543</v>
      </c>
      <c r="K6935" s="8" t="s">
        <v>205</v>
      </c>
      <c r="L6935" s="8" t="s">
        <v>206</v>
      </c>
      <c r="M6935" s="8" t="s">
        <v>119</v>
      </c>
      <c r="N6935" s="10" t="str">
        <f t="shared" si="608"/>
        <v>TON</v>
      </c>
      <c r="O6935" s="11">
        <v>6.5149999999999997</v>
      </c>
    </row>
    <row r="6936" spans="2:15" x14ac:dyDescent="0.25">
      <c r="B6936" s="6" t="s">
        <v>1520</v>
      </c>
      <c r="C6936" s="7" t="s">
        <v>196</v>
      </c>
      <c r="D6936" s="8" t="s">
        <v>4098</v>
      </c>
      <c r="E6936" s="8" t="s">
        <v>695</v>
      </c>
      <c r="F6936" s="9">
        <f t="shared" si="613"/>
        <v>45687</v>
      </c>
      <c r="G6936" s="10">
        <f t="shared" si="611"/>
        <v>1</v>
      </c>
      <c r="H6936" s="10">
        <f t="shared" si="612"/>
        <v>2025</v>
      </c>
      <c r="I6936" s="8" t="s">
        <v>4</v>
      </c>
      <c r="J6936" s="7" t="s">
        <v>7544</v>
      </c>
      <c r="K6936" s="8" t="s">
        <v>329</v>
      </c>
      <c r="L6936" s="8" t="s">
        <v>330</v>
      </c>
      <c r="M6936" s="8" t="s">
        <v>119</v>
      </c>
      <c r="N6936" s="10" t="str">
        <f t="shared" si="608"/>
        <v>TON</v>
      </c>
      <c r="O6936" s="11">
        <v>3.02</v>
      </c>
    </row>
    <row r="6937" spans="2:15" x14ac:dyDescent="0.25">
      <c r="B6937" s="6" t="s">
        <v>1520</v>
      </c>
      <c r="C6937" s="7" t="s">
        <v>196</v>
      </c>
      <c r="D6937" s="8" t="s">
        <v>280</v>
      </c>
      <c r="E6937" s="8" t="s">
        <v>254</v>
      </c>
      <c r="F6937" s="9">
        <f t="shared" si="613"/>
        <v>45687</v>
      </c>
      <c r="G6937" s="10">
        <f t="shared" si="611"/>
        <v>1</v>
      </c>
      <c r="H6937" s="10">
        <f t="shared" si="612"/>
        <v>2025</v>
      </c>
      <c r="I6937" s="8" t="s">
        <v>4</v>
      </c>
      <c r="J6937" s="7" t="s">
        <v>7545</v>
      </c>
      <c r="K6937" s="8" t="s">
        <v>422</v>
      </c>
      <c r="L6937" s="8" t="s">
        <v>423</v>
      </c>
      <c r="M6937" s="8" t="s">
        <v>119</v>
      </c>
      <c r="N6937" s="10" t="str">
        <f t="shared" si="608"/>
        <v>TON</v>
      </c>
      <c r="O6937" s="11">
        <v>15.0075</v>
      </c>
    </row>
    <row r="6938" spans="2:15" x14ac:dyDescent="0.25">
      <c r="B6938" s="6" t="s">
        <v>1520</v>
      </c>
      <c r="C6938" s="7" t="s">
        <v>196</v>
      </c>
      <c r="D6938" s="8" t="s">
        <v>280</v>
      </c>
      <c r="E6938" s="8" t="s">
        <v>364</v>
      </c>
      <c r="F6938" s="9">
        <f t="shared" si="613"/>
        <v>45687</v>
      </c>
      <c r="G6938" s="10">
        <f t="shared" si="611"/>
        <v>1</v>
      </c>
      <c r="H6938" s="10">
        <f t="shared" si="612"/>
        <v>2025</v>
      </c>
      <c r="I6938" s="8" t="s">
        <v>4</v>
      </c>
      <c r="J6938" s="7" t="s">
        <v>7546</v>
      </c>
      <c r="K6938" s="8" t="s">
        <v>422</v>
      </c>
      <c r="L6938" s="8" t="s">
        <v>423</v>
      </c>
      <c r="M6938" s="8" t="s">
        <v>119</v>
      </c>
      <c r="N6938" s="10" t="str">
        <f t="shared" si="608"/>
        <v>TON</v>
      </c>
      <c r="O6938" s="11">
        <v>12.522500000000001</v>
      </c>
    </row>
    <row r="6939" spans="2:15" x14ac:dyDescent="0.25">
      <c r="B6939" s="6" t="s">
        <v>1520</v>
      </c>
      <c r="C6939" s="7" t="s">
        <v>196</v>
      </c>
      <c r="D6939" s="8" t="s">
        <v>280</v>
      </c>
      <c r="E6939" s="8" t="s">
        <v>254</v>
      </c>
      <c r="F6939" s="9">
        <f t="shared" si="613"/>
        <v>45687</v>
      </c>
      <c r="G6939" s="10">
        <f t="shared" si="611"/>
        <v>1</v>
      </c>
      <c r="H6939" s="10">
        <f t="shared" si="612"/>
        <v>2025</v>
      </c>
      <c r="I6939" s="8" t="s">
        <v>4</v>
      </c>
      <c r="J6939" s="7" t="s">
        <v>7547</v>
      </c>
      <c r="K6939" s="8" t="s">
        <v>422</v>
      </c>
      <c r="L6939" s="8" t="s">
        <v>423</v>
      </c>
      <c r="M6939" s="8" t="s">
        <v>119</v>
      </c>
      <c r="N6939" s="10" t="str">
        <f t="shared" si="608"/>
        <v>TON</v>
      </c>
      <c r="O6939" s="11">
        <v>15.01</v>
      </c>
    </row>
    <row r="6940" spans="2:15" x14ac:dyDescent="0.25">
      <c r="B6940" s="6" t="s">
        <v>1520</v>
      </c>
      <c r="C6940" s="7" t="s">
        <v>196</v>
      </c>
      <c r="D6940" s="8" t="s">
        <v>303</v>
      </c>
      <c r="E6940" s="8" t="s">
        <v>501</v>
      </c>
      <c r="F6940" s="9">
        <f t="shared" si="613"/>
        <v>45687</v>
      </c>
      <c r="G6940" s="10">
        <f t="shared" si="611"/>
        <v>1</v>
      </c>
      <c r="H6940" s="10">
        <f t="shared" si="612"/>
        <v>2025</v>
      </c>
      <c r="I6940" s="8" t="s">
        <v>4</v>
      </c>
      <c r="J6940" s="7" t="s">
        <v>7548</v>
      </c>
      <c r="K6940" s="8" t="s">
        <v>3726</v>
      </c>
      <c r="L6940" s="8" t="s">
        <v>3727</v>
      </c>
      <c r="M6940" s="8" t="s">
        <v>145</v>
      </c>
      <c r="N6940" s="10" t="str">
        <f t="shared" si="608"/>
        <v>GAL</v>
      </c>
      <c r="O6940" s="11">
        <v>3.75</v>
      </c>
    </row>
    <row r="6941" spans="2:15" x14ac:dyDescent="0.25">
      <c r="B6941" s="6" t="s">
        <v>1520</v>
      </c>
      <c r="C6941" s="7" t="s">
        <v>196</v>
      </c>
      <c r="D6941" s="8" t="s">
        <v>303</v>
      </c>
      <c r="E6941" s="8" t="s">
        <v>501</v>
      </c>
      <c r="F6941" s="9">
        <f t="shared" si="613"/>
        <v>45687</v>
      </c>
      <c r="G6941" s="10">
        <f t="shared" si="611"/>
        <v>1</v>
      </c>
      <c r="H6941" s="10">
        <f t="shared" si="612"/>
        <v>2025</v>
      </c>
      <c r="I6941" s="8" t="s">
        <v>4</v>
      </c>
      <c r="J6941" s="7" t="s">
        <v>7548</v>
      </c>
      <c r="K6941" s="8" t="s">
        <v>7549</v>
      </c>
      <c r="L6941" s="8" t="s">
        <v>7550</v>
      </c>
      <c r="M6941" s="8" t="s">
        <v>119</v>
      </c>
      <c r="N6941" s="10" t="str">
        <f t="shared" si="608"/>
        <v>TON</v>
      </c>
      <c r="O6941" s="11">
        <v>10.026999999999999</v>
      </c>
    </row>
    <row r="6942" spans="2:15" x14ac:dyDescent="0.25">
      <c r="B6942" s="6" t="s">
        <v>1520</v>
      </c>
      <c r="C6942" s="7" t="s">
        <v>196</v>
      </c>
      <c r="D6942" s="8" t="s">
        <v>800</v>
      </c>
      <c r="E6942" s="8" t="s">
        <v>1134</v>
      </c>
      <c r="F6942" s="9">
        <f t="shared" si="613"/>
        <v>45687</v>
      </c>
      <c r="G6942" s="10">
        <f t="shared" si="611"/>
        <v>1</v>
      </c>
      <c r="H6942" s="10">
        <f t="shared" si="612"/>
        <v>2025</v>
      </c>
      <c r="I6942" s="8" t="s">
        <v>4</v>
      </c>
      <c r="J6942" s="7" t="s">
        <v>7551</v>
      </c>
      <c r="K6942" s="8" t="s">
        <v>122</v>
      </c>
      <c r="L6942" s="8" t="s">
        <v>123</v>
      </c>
      <c r="M6942" s="8" t="s">
        <v>119</v>
      </c>
      <c r="N6942" s="10" t="str">
        <f t="shared" si="608"/>
        <v>TON</v>
      </c>
      <c r="O6942" s="11">
        <v>2.4925000000000002</v>
      </c>
    </row>
    <row r="6943" spans="2:15" x14ac:dyDescent="0.25">
      <c r="B6943" s="6" t="s">
        <v>1520</v>
      </c>
      <c r="C6943" s="7" t="s">
        <v>196</v>
      </c>
      <c r="D6943" s="8" t="s">
        <v>232</v>
      </c>
      <c r="E6943" s="8" t="s">
        <v>6657</v>
      </c>
      <c r="F6943" s="9">
        <f t="shared" ref="F6943:F6948" si="614">DATE(2025,1,31)</f>
        <v>45688</v>
      </c>
      <c r="G6943" s="10">
        <f t="shared" si="611"/>
        <v>1</v>
      </c>
      <c r="H6943" s="10">
        <f t="shared" si="612"/>
        <v>2025</v>
      </c>
      <c r="I6943" s="8" t="s">
        <v>4</v>
      </c>
      <c r="J6943" s="7" t="s">
        <v>7552</v>
      </c>
      <c r="K6943" s="8" t="s">
        <v>822</v>
      </c>
      <c r="L6943" s="8" t="s">
        <v>565</v>
      </c>
      <c r="M6943" s="8" t="s">
        <v>21</v>
      </c>
      <c r="N6943" s="10" t="str">
        <f t="shared" si="608"/>
        <v>GAL</v>
      </c>
      <c r="O6943" s="11">
        <v>250</v>
      </c>
    </row>
    <row r="6944" spans="2:15" x14ac:dyDescent="0.25">
      <c r="B6944" s="6" t="s">
        <v>1520</v>
      </c>
      <c r="C6944" s="7" t="s">
        <v>196</v>
      </c>
      <c r="D6944" s="8" t="s">
        <v>452</v>
      </c>
      <c r="E6944" s="8" t="s">
        <v>7092</v>
      </c>
      <c r="F6944" s="9">
        <f t="shared" si="614"/>
        <v>45688</v>
      </c>
      <c r="G6944" s="10">
        <f t="shared" si="611"/>
        <v>1</v>
      </c>
      <c r="H6944" s="10">
        <f t="shared" si="612"/>
        <v>2025</v>
      </c>
      <c r="I6944" s="8" t="s">
        <v>4</v>
      </c>
      <c r="J6944" s="7" t="s">
        <v>7553</v>
      </c>
      <c r="K6944" s="8" t="s">
        <v>447</v>
      </c>
      <c r="L6944" s="8" t="s">
        <v>448</v>
      </c>
      <c r="M6944" s="8" t="s">
        <v>119</v>
      </c>
      <c r="N6944" s="10" t="str">
        <f t="shared" si="608"/>
        <v>TON</v>
      </c>
      <c r="O6944" s="11">
        <v>6.0075000000000003</v>
      </c>
    </row>
    <row r="6945" spans="2:15" x14ac:dyDescent="0.25">
      <c r="B6945" s="6" t="s">
        <v>1520</v>
      </c>
      <c r="C6945" s="7" t="s">
        <v>196</v>
      </c>
      <c r="D6945" s="8" t="s">
        <v>224</v>
      </c>
      <c r="E6945" s="8" t="s">
        <v>361</v>
      </c>
      <c r="F6945" s="9">
        <f t="shared" si="614"/>
        <v>45688</v>
      </c>
      <c r="G6945" s="10">
        <f t="shared" si="611"/>
        <v>1</v>
      </c>
      <c r="H6945" s="10">
        <f t="shared" si="612"/>
        <v>2025</v>
      </c>
      <c r="I6945" s="8" t="s">
        <v>4</v>
      </c>
      <c r="J6945" s="7" t="s">
        <v>7554</v>
      </c>
      <c r="K6945" s="8" t="s">
        <v>205</v>
      </c>
      <c r="L6945" s="8" t="s">
        <v>206</v>
      </c>
      <c r="M6945" s="8" t="s">
        <v>119</v>
      </c>
      <c r="N6945" s="10" t="str">
        <f t="shared" si="608"/>
        <v>TON</v>
      </c>
      <c r="O6945" s="11">
        <v>5.0025000000000004</v>
      </c>
    </row>
    <row r="6946" spans="2:15" x14ac:dyDescent="0.25">
      <c r="B6946" s="6" t="s">
        <v>1520</v>
      </c>
      <c r="C6946" s="7" t="s">
        <v>196</v>
      </c>
      <c r="D6946" s="8" t="s">
        <v>4013</v>
      </c>
      <c r="E6946" s="8" t="s">
        <v>5546</v>
      </c>
      <c r="F6946" s="9">
        <f t="shared" si="614"/>
        <v>45688</v>
      </c>
      <c r="G6946" s="10">
        <f t="shared" si="611"/>
        <v>1</v>
      </c>
      <c r="H6946" s="10">
        <f t="shared" si="612"/>
        <v>2025</v>
      </c>
      <c r="I6946" s="8" t="s">
        <v>4</v>
      </c>
      <c r="J6946" s="7" t="s">
        <v>7555</v>
      </c>
      <c r="K6946" s="8" t="s">
        <v>329</v>
      </c>
      <c r="L6946" s="8" t="s">
        <v>330</v>
      </c>
      <c r="M6946" s="8" t="s">
        <v>119</v>
      </c>
      <c r="N6946" s="10" t="str">
        <f t="shared" si="608"/>
        <v>TON</v>
      </c>
      <c r="O6946" s="11">
        <v>1</v>
      </c>
    </row>
    <row r="6947" spans="2:15" x14ac:dyDescent="0.25">
      <c r="B6947" s="6" t="s">
        <v>1520</v>
      </c>
      <c r="C6947" s="7" t="s">
        <v>196</v>
      </c>
      <c r="D6947" s="8" t="s">
        <v>452</v>
      </c>
      <c r="E6947" s="8" t="s">
        <v>222</v>
      </c>
      <c r="F6947" s="9">
        <f t="shared" si="614"/>
        <v>45688</v>
      </c>
      <c r="G6947" s="10">
        <f t="shared" si="611"/>
        <v>1</v>
      </c>
      <c r="H6947" s="10">
        <f t="shared" si="612"/>
        <v>2025</v>
      </c>
      <c r="I6947" s="8" t="s">
        <v>4</v>
      </c>
      <c r="J6947" s="7" t="s">
        <v>7556</v>
      </c>
      <c r="K6947" s="8" t="s">
        <v>447</v>
      </c>
      <c r="L6947" s="8" t="s">
        <v>448</v>
      </c>
      <c r="M6947" s="8" t="s">
        <v>119</v>
      </c>
      <c r="N6947" s="10" t="str">
        <f t="shared" si="608"/>
        <v>TON</v>
      </c>
      <c r="O6947" s="11">
        <v>2.4975000000000001</v>
      </c>
    </row>
    <row r="6948" spans="2:15" x14ac:dyDescent="0.25">
      <c r="B6948" s="6" t="s">
        <v>1520</v>
      </c>
      <c r="C6948" s="7" t="s">
        <v>196</v>
      </c>
      <c r="D6948" s="8" t="s">
        <v>232</v>
      </c>
      <c r="E6948" s="8" t="s">
        <v>6657</v>
      </c>
      <c r="F6948" s="9">
        <f t="shared" si="614"/>
        <v>45688</v>
      </c>
      <c r="G6948" s="10">
        <f t="shared" si="611"/>
        <v>1</v>
      </c>
      <c r="H6948" s="10">
        <f t="shared" si="612"/>
        <v>2025</v>
      </c>
      <c r="I6948" s="8" t="s">
        <v>4</v>
      </c>
      <c r="J6948" s="7" t="s">
        <v>7557</v>
      </c>
      <c r="K6948" s="8" t="s">
        <v>205</v>
      </c>
      <c r="L6948" s="8" t="s">
        <v>206</v>
      </c>
      <c r="M6948" s="8" t="s">
        <v>119</v>
      </c>
      <c r="N6948" s="10" t="str">
        <f t="shared" si="608"/>
        <v>TON</v>
      </c>
      <c r="O6948" s="11">
        <v>3.75</v>
      </c>
    </row>
    <row r="6949" spans="2:15" x14ac:dyDescent="0.25">
      <c r="B6949" s="6" t="s">
        <v>382</v>
      </c>
      <c r="C6949" s="7" t="s">
        <v>506</v>
      </c>
      <c r="D6949" s="8" t="s">
        <v>515</v>
      </c>
      <c r="E6949" s="8" t="s">
        <v>516</v>
      </c>
      <c r="F6949" s="9">
        <f>DATE(2025,1,17)</f>
        <v>45674</v>
      </c>
      <c r="G6949" s="10">
        <f t="shared" si="611"/>
        <v>1</v>
      </c>
      <c r="H6949" s="10">
        <f t="shared" si="612"/>
        <v>2025</v>
      </c>
      <c r="I6949" s="8" t="s">
        <v>4</v>
      </c>
      <c r="J6949" s="7" t="s">
        <v>7558</v>
      </c>
      <c r="K6949" s="8" t="s">
        <v>1470</v>
      </c>
      <c r="L6949" s="8" t="s">
        <v>1471</v>
      </c>
      <c r="M6949" s="8" t="s">
        <v>1472</v>
      </c>
      <c r="N6949" s="10" t="str">
        <f t="shared" si="608"/>
        <v>GAL</v>
      </c>
      <c r="O6949" s="11">
        <v>60</v>
      </c>
    </row>
    <row r="6950" spans="2:15" x14ac:dyDescent="0.25">
      <c r="B6950" s="6" t="s">
        <v>382</v>
      </c>
      <c r="C6950" s="7" t="s">
        <v>506</v>
      </c>
      <c r="D6950" s="8" t="s">
        <v>515</v>
      </c>
      <c r="E6950" s="8" t="s">
        <v>516</v>
      </c>
      <c r="F6950" s="9">
        <f>DATE(2025,1,17)</f>
        <v>45674</v>
      </c>
      <c r="G6950" s="10">
        <f t="shared" si="611"/>
        <v>1</v>
      </c>
      <c r="H6950" s="10">
        <f t="shared" si="612"/>
        <v>2025</v>
      </c>
      <c r="I6950" s="8" t="s">
        <v>4</v>
      </c>
      <c r="J6950" s="7" t="s">
        <v>7558</v>
      </c>
      <c r="K6950" s="8" t="s">
        <v>4502</v>
      </c>
      <c r="L6950" s="8" t="s">
        <v>182</v>
      </c>
      <c r="M6950" s="8" t="s">
        <v>183</v>
      </c>
      <c r="N6950" s="10" t="str">
        <f t="shared" si="608"/>
        <v>GAL</v>
      </c>
      <c r="O6950" s="11">
        <v>55</v>
      </c>
    </row>
    <row r="6951" spans="2:15" x14ac:dyDescent="0.25">
      <c r="B6951" s="6" t="s">
        <v>382</v>
      </c>
      <c r="C6951" s="7" t="s">
        <v>506</v>
      </c>
      <c r="D6951" s="8" t="s">
        <v>515</v>
      </c>
      <c r="E6951" s="8" t="s">
        <v>516</v>
      </c>
      <c r="F6951" s="9">
        <f>DATE(2025,1,20)</f>
        <v>45677</v>
      </c>
      <c r="G6951" s="10">
        <f t="shared" si="611"/>
        <v>1</v>
      </c>
      <c r="H6951" s="10">
        <f t="shared" si="612"/>
        <v>2025</v>
      </c>
      <c r="I6951" s="8" t="s">
        <v>4</v>
      </c>
      <c r="J6951" s="7" t="s">
        <v>7559</v>
      </c>
      <c r="K6951" s="8" t="s">
        <v>83</v>
      </c>
      <c r="L6951" s="8" t="s">
        <v>518</v>
      </c>
      <c r="M6951" s="8" t="s">
        <v>85</v>
      </c>
      <c r="N6951" s="10" t="str">
        <f t="shared" si="608"/>
        <v>GAL</v>
      </c>
      <c r="O6951" s="11">
        <v>180</v>
      </c>
    </row>
    <row r="6952" spans="2:15" x14ac:dyDescent="0.25">
      <c r="B6952" s="6" t="s">
        <v>382</v>
      </c>
      <c r="C6952" s="7" t="s">
        <v>506</v>
      </c>
      <c r="D6952" s="8" t="s">
        <v>515</v>
      </c>
      <c r="E6952" s="8" t="s">
        <v>516</v>
      </c>
      <c r="F6952" s="9">
        <f>DATE(2025,1,20)</f>
        <v>45677</v>
      </c>
      <c r="G6952" s="10">
        <f t="shared" si="611"/>
        <v>1</v>
      </c>
      <c r="H6952" s="10">
        <f t="shared" si="612"/>
        <v>2025</v>
      </c>
      <c r="I6952" s="8" t="s">
        <v>4</v>
      </c>
      <c r="J6952" s="7" t="s">
        <v>7559</v>
      </c>
      <c r="K6952" s="8" t="s">
        <v>1085</v>
      </c>
      <c r="L6952" s="8" t="s">
        <v>999</v>
      </c>
      <c r="M6952" s="8" t="s">
        <v>1000</v>
      </c>
      <c r="N6952" s="10" t="str">
        <f t="shared" si="608"/>
        <v>GAL</v>
      </c>
      <c r="O6952" s="11">
        <v>60</v>
      </c>
    </row>
    <row r="6953" spans="2:15" x14ac:dyDescent="0.25">
      <c r="B6953" s="6" t="s">
        <v>382</v>
      </c>
      <c r="C6953" s="7" t="s">
        <v>506</v>
      </c>
      <c r="D6953" s="8" t="s">
        <v>507</v>
      </c>
      <c r="E6953" s="8" t="s">
        <v>508</v>
      </c>
      <c r="F6953" s="9">
        <f>DATE(2025,1,22)</f>
        <v>45679</v>
      </c>
      <c r="G6953" s="10">
        <f t="shared" si="611"/>
        <v>1</v>
      </c>
      <c r="H6953" s="10">
        <f t="shared" si="612"/>
        <v>2025</v>
      </c>
      <c r="I6953" s="8" t="s">
        <v>4</v>
      </c>
      <c r="J6953" s="7" t="s">
        <v>7560</v>
      </c>
      <c r="K6953" s="8" t="s">
        <v>560</v>
      </c>
      <c r="L6953" s="8" t="s">
        <v>602</v>
      </c>
      <c r="M6953" s="8" t="s">
        <v>41</v>
      </c>
      <c r="N6953" s="10" t="str">
        <f t="shared" si="608"/>
        <v>GAL</v>
      </c>
      <c r="O6953" s="11">
        <v>500</v>
      </c>
    </row>
    <row r="6954" spans="2:15" x14ac:dyDescent="0.25">
      <c r="B6954" s="6" t="s">
        <v>382</v>
      </c>
      <c r="C6954" s="7" t="s">
        <v>506</v>
      </c>
      <c r="D6954" s="8" t="s">
        <v>515</v>
      </c>
      <c r="E6954" s="8" t="s">
        <v>516</v>
      </c>
      <c r="F6954" s="9">
        <f>DATE(2025,1,31)</f>
        <v>45688</v>
      </c>
      <c r="G6954" s="10">
        <f t="shared" si="611"/>
        <v>1</v>
      </c>
      <c r="H6954" s="10">
        <f t="shared" si="612"/>
        <v>2025</v>
      </c>
      <c r="I6954" s="8" t="s">
        <v>4</v>
      </c>
      <c r="J6954" s="7" t="s">
        <v>7561</v>
      </c>
      <c r="K6954" s="8" t="s">
        <v>149</v>
      </c>
      <c r="L6954" s="8" t="s">
        <v>150</v>
      </c>
      <c r="M6954" s="8" t="s">
        <v>21</v>
      </c>
      <c r="N6954" s="10" t="str">
        <f t="shared" si="608"/>
        <v>GAL</v>
      </c>
      <c r="O6954" s="11">
        <v>180</v>
      </c>
    </row>
    <row r="6955" spans="2:15" x14ac:dyDescent="0.25">
      <c r="B6955" s="6" t="s">
        <v>382</v>
      </c>
      <c r="C6955" s="7" t="s">
        <v>506</v>
      </c>
      <c r="D6955" s="8" t="s">
        <v>515</v>
      </c>
      <c r="E6955" s="8" t="s">
        <v>516</v>
      </c>
      <c r="F6955" s="9">
        <f>DATE(2025,1,31)</f>
        <v>45688</v>
      </c>
      <c r="G6955" s="10">
        <f t="shared" si="611"/>
        <v>1</v>
      </c>
      <c r="H6955" s="10">
        <f t="shared" si="612"/>
        <v>2025</v>
      </c>
      <c r="I6955" s="8" t="s">
        <v>4</v>
      </c>
      <c r="J6955" s="7" t="s">
        <v>7562</v>
      </c>
      <c r="K6955" s="8" t="s">
        <v>986</v>
      </c>
      <c r="L6955" s="8" t="s">
        <v>987</v>
      </c>
      <c r="M6955" s="8" t="s">
        <v>988</v>
      </c>
      <c r="N6955" s="10" t="str">
        <f t="shared" si="608"/>
        <v>GAL</v>
      </c>
      <c r="O6955" s="11">
        <v>60</v>
      </c>
    </row>
    <row r="6956" spans="2:15" x14ac:dyDescent="0.25">
      <c r="B6956" s="6" t="s">
        <v>645</v>
      </c>
      <c r="C6956" s="7" t="s">
        <v>1025</v>
      </c>
      <c r="D6956" s="8" t="s">
        <v>2079</v>
      </c>
      <c r="E6956" s="8" t="s">
        <v>1402</v>
      </c>
      <c r="F6956" s="9">
        <f>DATE(2025,1,2)</f>
        <v>45659</v>
      </c>
      <c r="G6956" s="10">
        <f t="shared" si="611"/>
        <v>1</v>
      </c>
      <c r="H6956" s="10">
        <f t="shared" si="612"/>
        <v>2025</v>
      </c>
      <c r="I6956" s="8" t="s">
        <v>4</v>
      </c>
      <c r="J6956" s="7" t="s">
        <v>7563</v>
      </c>
      <c r="K6956" s="8" t="s">
        <v>7564</v>
      </c>
      <c r="L6956" s="8" t="s">
        <v>7565</v>
      </c>
      <c r="M6956" s="8" t="s">
        <v>106</v>
      </c>
      <c r="N6956" s="10" t="str">
        <f t="shared" si="608"/>
        <v>LBS</v>
      </c>
      <c r="O6956" s="11">
        <v>2250</v>
      </c>
    </row>
    <row r="6957" spans="2:15" x14ac:dyDescent="0.25">
      <c r="B6957" s="6" t="s">
        <v>645</v>
      </c>
      <c r="C6957" s="7" t="s">
        <v>1025</v>
      </c>
      <c r="D6957" s="8" t="s">
        <v>2079</v>
      </c>
      <c r="E6957" s="8" t="s">
        <v>1402</v>
      </c>
      <c r="F6957" s="9">
        <f>DATE(2025,1,2)</f>
        <v>45659</v>
      </c>
      <c r="G6957" s="10">
        <f t="shared" si="611"/>
        <v>1</v>
      </c>
      <c r="H6957" s="10">
        <f t="shared" si="612"/>
        <v>2025</v>
      </c>
      <c r="I6957" s="8" t="s">
        <v>4</v>
      </c>
      <c r="J6957" s="7" t="s">
        <v>7563</v>
      </c>
      <c r="K6957" s="8" t="s">
        <v>6193</v>
      </c>
      <c r="L6957" s="8" t="s">
        <v>6194</v>
      </c>
      <c r="M6957" s="8" t="s">
        <v>106</v>
      </c>
      <c r="N6957" s="10" t="str">
        <f t="shared" si="608"/>
        <v>LBS</v>
      </c>
      <c r="O6957" s="11">
        <v>1500</v>
      </c>
    </row>
    <row r="6958" spans="2:15" x14ac:dyDescent="0.25">
      <c r="B6958" s="6" t="s">
        <v>645</v>
      </c>
      <c r="C6958" s="7" t="s">
        <v>1025</v>
      </c>
      <c r="D6958" s="8" t="s">
        <v>2079</v>
      </c>
      <c r="E6958" s="8" t="s">
        <v>1402</v>
      </c>
      <c r="F6958" s="9">
        <f>DATE(2025,1,20)</f>
        <v>45677</v>
      </c>
      <c r="G6958" s="10">
        <f t="shared" si="611"/>
        <v>1</v>
      </c>
      <c r="H6958" s="10">
        <f t="shared" si="612"/>
        <v>2025</v>
      </c>
      <c r="I6958" s="8" t="s">
        <v>4</v>
      </c>
      <c r="J6958" s="7" t="s">
        <v>7566</v>
      </c>
      <c r="K6958" s="8" t="s">
        <v>1404</v>
      </c>
      <c r="L6958" s="8" t="s">
        <v>1405</v>
      </c>
      <c r="M6958" s="8" t="s">
        <v>1397</v>
      </c>
      <c r="N6958" s="10" t="str">
        <f t="shared" si="608"/>
        <v>GAL</v>
      </c>
      <c r="O6958" s="11">
        <v>960</v>
      </c>
    </row>
    <row r="6959" spans="2:15" x14ac:dyDescent="0.25">
      <c r="B6959" s="6" t="s">
        <v>645</v>
      </c>
      <c r="C6959" s="7" t="s">
        <v>1025</v>
      </c>
      <c r="D6959" s="8" t="s">
        <v>2079</v>
      </c>
      <c r="E6959" s="8" t="s">
        <v>1402</v>
      </c>
      <c r="F6959" s="9">
        <f>DATE(2025,1,20)</f>
        <v>45677</v>
      </c>
      <c r="G6959" s="10">
        <f t="shared" si="611"/>
        <v>1</v>
      </c>
      <c r="H6959" s="10">
        <f t="shared" si="612"/>
        <v>2025</v>
      </c>
      <c r="I6959" s="8" t="s">
        <v>4</v>
      </c>
      <c r="J6959" s="7" t="s">
        <v>7566</v>
      </c>
      <c r="K6959" s="8" t="s">
        <v>2081</v>
      </c>
      <c r="L6959" s="8" t="s">
        <v>1405</v>
      </c>
      <c r="M6959" s="8" t="s">
        <v>1397</v>
      </c>
      <c r="N6959" s="10" t="str">
        <f t="shared" si="608"/>
        <v>GAL</v>
      </c>
      <c r="O6959" s="11">
        <v>1250</v>
      </c>
    </row>
    <row r="6960" spans="2:15" x14ac:dyDescent="0.25">
      <c r="B6960" s="6" t="s">
        <v>645</v>
      </c>
      <c r="C6960" s="7" t="s">
        <v>1025</v>
      </c>
      <c r="D6960" s="8" t="s">
        <v>1401</v>
      </c>
      <c r="E6960" s="8" t="s">
        <v>1402</v>
      </c>
      <c r="F6960" s="9">
        <f>DATE(2025,1,22)</f>
        <v>45679</v>
      </c>
      <c r="G6960" s="10">
        <f t="shared" si="611"/>
        <v>1</v>
      </c>
      <c r="H6960" s="10">
        <f t="shared" si="612"/>
        <v>2025</v>
      </c>
      <c r="I6960" s="8" t="s">
        <v>4</v>
      </c>
      <c r="J6960" s="7" t="s">
        <v>7567</v>
      </c>
      <c r="K6960" s="8" t="s">
        <v>4772</v>
      </c>
      <c r="L6960" s="8" t="s">
        <v>4773</v>
      </c>
      <c r="M6960" s="8" t="s">
        <v>4774</v>
      </c>
      <c r="N6960" s="10" t="str">
        <f t="shared" si="608"/>
        <v>GAL</v>
      </c>
      <c r="O6960" s="11">
        <v>180</v>
      </c>
    </row>
    <row r="6961" spans="2:15" x14ac:dyDescent="0.25">
      <c r="B6961" s="6" t="s">
        <v>1742</v>
      </c>
      <c r="C6961" s="7" t="s">
        <v>1025</v>
      </c>
      <c r="D6961" s="8" t="s">
        <v>496</v>
      </c>
      <c r="E6961" s="8" t="s">
        <v>497</v>
      </c>
      <c r="F6961" s="9">
        <f>DATE(2025,1,22)</f>
        <v>45679</v>
      </c>
      <c r="G6961" s="10">
        <f t="shared" si="611"/>
        <v>1</v>
      </c>
      <c r="H6961" s="10">
        <f t="shared" si="612"/>
        <v>2025</v>
      </c>
      <c r="I6961" s="8" t="s">
        <v>4</v>
      </c>
      <c r="J6961" s="7" t="s">
        <v>7568</v>
      </c>
      <c r="K6961" s="8" t="s">
        <v>499</v>
      </c>
      <c r="L6961" s="8" t="s">
        <v>500</v>
      </c>
      <c r="M6961" s="8" t="s">
        <v>119</v>
      </c>
      <c r="N6961" s="10" t="str">
        <f t="shared" si="608"/>
        <v>TON</v>
      </c>
      <c r="O6961" s="11">
        <v>1.2675000000000001</v>
      </c>
    </row>
    <row r="6962" spans="2:15" x14ac:dyDescent="0.25">
      <c r="B6962" s="6" t="s">
        <v>1742</v>
      </c>
      <c r="C6962" s="7" t="s">
        <v>1025</v>
      </c>
      <c r="D6962" s="8" t="s">
        <v>628</v>
      </c>
      <c r="E6962" s="8" t="s">
        <v>1036</v>
      </c>
      <c r="F6962" s="9">
        <f>DATE(2025,1,24)</f>
        <v>45681</v>
      </c>
      <c r="G6962" s="10">
        <f t="shared" si="611"/>
        <v>1</v>
      </c>
      <c r="H6962" s="10">
        <f t="shared" si="612"/>
        <v>2025</v>
      </c>
      <c r="I6962" s="8" t="s">
        <v>4</v>
      </c>
      <c r="J6962" s="7" t="s">
        <v>7569</v>
      </c>
      <c r="K6962" s="8" t="s">
        <v>471</v>
      </c>
      <c r="L6962" s="8" t="s">
        <v>472</v>
      </c>
      <c r="M6962" s="8" t="s">
        <v>473</v>
      </c>
      <c r="N6962" s="10" t="str">
        <f t="shared" si="608"/>
        <v>GAL</v>
      </c>
      <c r="O6962" s="11">
        <v>500</v>
      </c>
    </row>
    <row r="6963" spans="2:15" x14ac:dyDescent="0.25">
      <c r="B6963" s="6" t="s">
        <v>1410</v>
      </c>
      <c r="C6963" s="7" t="s">
        <v>525</v>
      </c>
      <c r="D6963" s="8" t="s">
        <v>124</v>
      </c>
      <c r="E6963" s="8" t="s">
        <v>526</v>
      </c>
      <c r="F6963" s="9">
        <f>DATE(2025,1,3)</f>
        <v>45660</v>
      </c>
      <c r="G6963" s="10">
        <f t="shared" si="611"/>
        <v>1</v>
      </c>
      <c r="H6963" s="10">
        <f t="shared" si="612"/>
        <v>2025</v>
      </c>
      <c r="I6963" s="8" t="s">
        <v>4</v>
      </c>
      <c r="J6963" s="7" t="s">
        <v>7570</v>
      </c>
      <c r="K6963" s="8" t="s">
        <v>2113</v>
      </c>
      <c r="L6963" s="8" t="s">
        <v>2114</v>
      </c>
      <c r="M6963" s="8" t="s">
        <v>119</v>
      </c>
      <c r="N6963" s="10" t="str">
        <f t="shared" si="608"/>
        <v>TON</v>
      </c>
      <c r="O6963" s="11">
        <v>12.0175</v>
      </c>
    </row>
    <row r="6964" spans="2:15" x14ac:dyDescent="0.25">
      <c r="B6964" s="6" t="s">
        <v>1410</v>
      </c>
      <c r="C6964" s="7" t="s">
        <v>525</v>
      </c>
      <c r="D6964" s="8" t="s">
        <v>507</v>
      </c>
      <c r="E6964" s="8" t="s">
        <v>508</v>
      </c>
      <c r="F6964" s="9">
        <f>DATE(2025,1,3)</f>
        <v>45660</v>
      </c>
      <c r="G6964" s="10">
        <f t="shared" si="611"/>
        <v>1</v>
      </c>
      <c r="H6964" s="10">
        <f t="shared" si="612"/>
        <v>2025</v>
      </c>
      <c r="I6964" s="8" t="s">
        <v>4</v>
      </c>
      <c r="J6964" s="7" t="s">
        <v>7571</v>
      </c>
      <c r="K6964" s="8" t="s">
        <v>329</v>
      </c>
      <c r="L6964" s="8" t="s">
        <v>330</v>
      </c>
      <c r="M6964" s="8" t="s">
        <v>119</v>
      </c>
      <c r="N6964" s="10" t="str">
        <f t="shared" si="608"/>
        <v>TON</v>
      </c>
      <c r="O6964" s="11">
        <v>2.5049999999999999</v>
      </c>
    </row>
    <row r="6965" spans="2:15" x14ac:dyDescent="0.25">
      <c r="B6965" s="6" t="s">
        <v>1410</v>
      </c>
      <c r="C6965" s="7" t="s">
        <v>525</v>
      </c>
      <c r="D6965" s="8" t="s">
        <v>1956</v>
      </c>
      <c r="E6965" s="8" t="s">
        <v>102</v>
      </c>
      <c r="F6965" s="9">
        <f>DATE(2025,1,3)</f>
        <v>45660</v>
      </c>
      <c r="G6965" s="10">
        <f t="shared" si="611"/>
        <v>1</v>
      </c>
      <c r="H6965" s="10">
        <f t="shared" si="612"/>
        <v>2025</v>
      </c>
      <c r="I6965" s="8" t="s">
        <v>4</v>
      </c>
      <c r="J6965" s="7" t="s">
        <v>7572</v>
      </c>
      <c r="K6965" s="8" t="s">
        <v>122</v>
      </c>
      <c r="L6965" s="8" t="s">
        <v>123</v>
      </c>
      <c r="M6965" s="8" t="s">
        <v>119</v>
      </c>
      <c r="N6965" s="10" t="str">
        <f t="shared" si="608"/>
        <v>TON</v>
      </c>
      <c r="O6965" s="11">
        <v>0.15</v>
      </c>
    </row>
    <row r="6966" spans="2:15" x14ac:dyDescent="0.25">
      <c r="B6966" s="6" t="s">
        <v>1410</v>
      </c>
      <c r="C6966" s="7" t="s">
        <v>525</v>
      </c>
      <c r="D6966" s="8" t="s">
        <v>646</v>
      </c>
      <c r="E6966" s="8" t="s">
        <v>647</v>
      </c>
      <c r="F6966" s="9">
        <f>DATE(2025,1,8)</f>
        <v>45665</v>
      </c>
      <c r="G6966" s="10">
        <f t="shared" si="611"/>
        <v>1</v>
      </c>
      <c r="H6966" s="10">
        <f t="shared" si="612"/>
        <v>2025</v>
      </c>
      <c r="I6966" s="8" t="s">
        <v>4</v>
      </c>
      <c r="J6966" s="7" t="s">
        <v>7573</v>
      </c>
      <c r="K6966" s="8" t="s">
        <v>649</v>
      </c>
      <c r="L6966" s="8" t="s">
        <v>538</v>
      </c>
      <c r="M6966" s="8" t="s">
        <v>4243</v>
      </c>
      <c r="N6966" s="10" t="str">
        <f t="shared" si="608"/>
        <v>GAL</v>
      </c>
      <c r="O6966" s="11">
        <v>1000</v>
      </c>
    </row>
    <row r="6967" spans="2:15" x14ac:dyDescent="0.25">
      <c r="B6967" s="6" t="s">
        <v>1410</v>
      </c>
      <c r="C6967" s="7" t="s">
        <v>525</v>
      </c>
      <c r="D6967" s="8" t="s">
        <v>628</v>
      </c>
      <c r="E6967" s="8" t="s">
        <v>1036</v>
      </c>
      <c r="F6967" s="9">
        <f>DATE(2025,1,8)</f>
        <v>45665</v>
      </c>
      <c r="G6967" s="10">
        <f t="shared" si="611"/>
        <v>1</v>
      </c>
      <c r="H6967" s="10">
        <f t="shared" si="612"/>
        <v>2025</v>
      </c>
      <c r="I6967" s="8" t="s">
        <v>4</v>
      </c>
      <c r="J6967" s="7" t="s">
        <v>7574</v>
      </c>
      <c r="K6967" s="8" t="s">
        <v>137</v>
      </c>
      <c r="L6967" s="8" t="s">
        <v>1190</v>
      </c>
      <c r="M6967" s="8" t="s">
        <v>139</v>
      </c>
      <c r="N6967" s="10" t="str">
        <f t="shared" si="608"/>
        <v>GAL</v>
      </c>
      <c r="O6967" s="11">
        <v>180</v>
      </c>
    </row>
    <row r="6968" spans="2:15" x14ac:dyDescent="0.25">
      <c r="B6968" s="6" t="s">
        <v>1410</v>
      </c>
      <c r="C6968" s="7" t="s">
        <v>525</v>
      </c>
      <c r="D6968" s="8" t="s">
        <v>628</v>
      </c>
      <c r="E6968" s="8" t="s">
        <v>1036</v>
      </c>
      <c r="F6968" s="9">
        <f>DATE(2025,1,8)</f>
        <v>45665</v>
      </c>
      <c r="G6968" s="10">
        <f t="shared" si="611"/>
        <v>1</v>
      </c>
      <c r="H6968" s="10">
        <f t="shared" si="612"/>
        <v>2025</v>
      </c>
      <c r="I6968" s="8" t="s">
        <v>4</v>
      </c>
      <c r="J6968" s="7" t="s">
        <v>7575</v>
      </c>
      <c r="K6968" s="8" t="s">
        <v>158</v>
      </c>
      <c r="L6968" s="8" t="s">
        <v>159</v>
      </c>
      <c r="M6968" s="8" t="s">
        <v>160</v>
      </c>
      <c r="N6968" s="10" t="str">
        <f t="shared" si="608"/>
        <v>GAL</v>
      </c>
      <c r="O6968" s="11">
        <v>180</v>
      </c>
    </row>
    <row r="6969" spans="2:15" x14ac:dyDescent="0.25">
      <c r="B6969" s="6" t="s">
        <v>1410</v>
      </c>
      <c r="C6969" s="7" t="s">
        <v>525</v>
      </c>
      <c r="D6969" s="8" t="s">
        <v>628</v>
      </c>
      <c r="E6969" s="8" t="s">
        <v>1036</v>
      </c>
      <c r="F6969" s="9">
        <f>DATE(2025,1,8)</f>
        <v>45665</v>
      </c>
      <c r="G6969" s="10">
        <f t="shared" si="611"/>
        <v>1</v>
      </c>
      <c r="H6969" s="10">
        <f t="shared" si="612"/>
        <v>2025</v>
      </c>
      <c r="I6969" s="8" t="s">
        <v>4</v>
      </c>
      <c r="J6969" s="7" t="s">
        <v>7575</v>
      </c>
      <c r="K6969" s="8" t="s">
        <v>25</v>
      </c>
      <c r="L6969" s="8" t="s">
        <v>541</v>
      </c>
      <c r="M6969" s="8" t="s">
        <v>27</v>
      </c>
      <c r="N6969" s="10" t="str">
        <f t="shared" si="608"/>
        <v>GAL</v>
      </c>
      <c r="O6969" s="11">
        <v>180</v>
      </c>
    </row>
    <row r="6970" spans="2:15" x14ac:dyDescent="0.25">
      <c r="B6970" s="6" t="s">
        <v>1410</v>
      </c>
      <c r="C6970" s="7" t="s">
        <v>525</v>
      </c>
      <c r="D6970" s="8" t="s">
        <v>124</v>
      </c>
      <c r="E6970" s="8" t="s">
        <v>526</v>
      </c>
      <c r="F6970" s="9">
        <f>DATE(2025,1,8)</f>
        <v>45665</v>
      </c>
      <c r="G6970" s="10">
        <f t="shared" si="611"/>
        <v>1</v>
      </c>
      <c r="H6970" s="10">
        <f t="shared" si="612"/>
        <v>2025</v>
      </c>
      <c r="I6970" s="8" t="s">
        <v>4</v>
      </c>
      <c r="J6970" s="7" t="s">
        <v>7576</v>
      </c>
      <c r="K6970" s="8" t="s">
        <v>4788</v>
      </c>
      <c r="L6970" s="8" t="s">
        <v>4789</v>
      </c>
      <c r="M6970" s="8" t="s">
        <v>119</v>
      </c>
      <c r="N6970" s="10" t="str">
        <f t="shared" si="608"/>
        <v>TON</v>
      </c>
      <c r="O6970" s="11">
        <v>12.0175</v>
      </c>
    </row>
    <row r="6971" spans="2:15" x14ac:dyDescent="0.25">
      <c r="B6971" s="6" t="s">
        <v>1410</v>
      </c>
      <c r="C6971" s="7" t="s">
        <v>525</v>
      </c>
      <c r="D6971" s="8" t="s">
        <v>124</v>
      </c>
      <c r="E6971" s="8" t="s">
        <v>526</v>
      </c>
      <c r="F6971" s="9">
        <f>DATE(2025,1,10)</f>
        <v>45667</v>
      </c>
      <c r="G6971" s="10">
        <f t="shared" si="611"/>
        <v>1</v>
      </c>
      <c r="H6971" s="10">
        <f t="shared" si="612"/>
        <v>2025</v>
      </c>
      <c r="I6971" s="8" t="s">
        <v>4</v>
      </c>
      <c r="J6971" s="7" t="s">
        <v>7577</v>
      </c>
      <c r="K6971" s="8" t="s">
        <v>1031</v>
      </c>
      <c r="L6971" s="8" t="s">
        <v>1032</v>
      </c>
      <c r="M6971" s="8" t="s">
        <v>119</v>
      </c>
      <c r="N6971" s="10" t="str">
        <f t="shared" si="608"/>
        <v>TON</v>
      </c>
      <c r="O6971" s="11">
        <v>2.4950000000000001</v>
      </c>
    </row>
    <row r="6972" spans="2:15" x14ac:dyDescent="0.25">
      <c r="B6972" s="6" t="s">
        <v>1410</v>
      </c>
      <c r="C6972" s="7" t="s">
        <v>525</v>
      </c>
      <c r="D6972" s="8" t="s">
        <v>628</v>
      </c>
      <c r="E6972" s="8" t="s">
        <v>1036</v>
      </c>
      <c r="F6972" s="9">
        <f>DATE(2025,1,14)</f>
        <v>45671</v>
      </c>
      <c r="G6972" s="10">
        <f t="shared" si="611"/>
        <v>1</v>
      </c>
      <c r="H6972" s="10">
        <f t="shared" si="612"/>
        <v>2025</v>
      </c>
      <c r="I6972" s="8" t="s">
        <v>4</v>
      </c>
      <c r="J6972" s="7" t="s">
        <v>7578</v>
      </c>
      <c r="K6972" s="8" t="s">
        <v>220</v>
      </c>
      <c r="L6972" s="8" t="s">
        <v>201</v>
      </c>
      <c r="M6972" s="8" t="s">
        <v>202</v>
      </c>
      <c r="N6972" s="10" t="str">
        <f t="shared" si="608"/>
        <v>GAL</v>
      </c>
      <c r="O6972" s="11">
        <v>500</v>
      </c>
    </row>
    <row r="6973" spans="2:15" x14ac:dyDescent="0.25">
      <c r="B6973" s="6" t="s">
        <v>1410</v>
      </c>
      <c r="C6973" s="7" t="s">
        <v>525</v>
      </c>
      <c r="D6973" s="8" t="s">
        <v>124</v>
      </c>
      <c r="E6973" s="8" t="s">
        <v>526</v>
      </c>
      <c r="F6973" s="9">
        <f>DATE(2025,1,14)</f>
        <v>45671</v>
      </c>
      <c r="G6973" s="10">
        <f t="shared" si="611"/>
        <v>1</v>
      </c>
      <c r="H6973" s="10">
        <f t="shared" si="612"/>
        <v>2025</v>
      </c>
      <c r="I6973" s="8" t="s">
        <v>4</v>
      </c>
      <c r="J6973" s="7" t="s">
        <v>7579</v>
      </c>
      <c r="K6973" s="8" t="s">
        <v>1031</v>
      </c>
      <c r="L6973" s="8" t="s">
        <v>1032</v>
      </c>
      <c r="M6973" s="8" t="s">
        <v>119</v>
      </c>
      <c r="N6973" s="10" t="str">
        <f t="shared" si="608"/>
        <v>TON</v>
      </c>
      <c r="O6973" s="11">
        <v>5.0075000000000003</v>
      </c>
    </row>
    <row r="6974" spans="2:15" x14ac:dyDescent="0.25">
      <c r="B6974" s="6" t="s">
        <v>1410</v>
      </c>
      <c r="C6974" s="7" t="s">
        <v>525</v>
      </c>
      <c r="D6974" s="8" t="s">
        <v>646</v>
      </c>
      <c r="E6974" s="8" t="s">
        <v>647</v>
      </c>
      <c r="F6974" s="9">
        <f>DATE(2025,1,16)</f>
        <v>45673</v>
      </c>
      <c r="G6974" s="10">
        <f t="shared" si="611"/>
        <v>1</v>
      </c>
      <c r="H6974" s="10">
        <f t="shared" si="612"/>
        <v>2025</v>
      </c>
      <c r="I6974" s="8" t="s">
        <v>4</v>
      </c>
      <c r="J6974" s="7" t="s">
        <v>7580</v>
      </c>
      <c r="K6974" s="8" t="s">
        <v>649</v>
      </c>
      <c r="L6974" s="8" t="s">
        <v>538</v>
      </c>
      <c r="M6974" s="8" t="s">
        <v>4243</v>
      </c>
      <c r="N6974" s="10" t="str">
        <f t="shared" ref="N6974:N7037" si="615">+LEFT(M6974,3)</f>
        <v>GAL</v>
      </c>
      <c r="O6974" s="11">
        <v>2000</v>
      </c>
    </row>
    <row r="6975" spans="2:15" x14ac:dyDescent="0.25">
      <c r="B6975" s="6" t="s">
        <v>1410</v>
      </c>
      <c r="C6975" s="7" t="s">
        <v>525</v>
      </c>
      <c r="D6975" s="8" t="s">
        <v>628</v>
      </c>
      <c r="E6975" s="8" t="s">
        <v>1036</v>
      </c>
      <c r="F6975" s="9">
        <f>DATE(2025,1,16)</f>
        <v>45673</v>
      </c>
      <c r="G6975" s="10">
        <f t="shared" si="611"/>
        <v>1</v>
      </c>
      <c r="H6975" s="10">
        <f t="shared" si="612"/>
        <v>2025</v>
      </c>
      <c r="I6975" s="8" t="s">
        <v>4</v>
      </c>
      <c r="J6975" s="7" t="s">
        <v>7581</v>
      </c>
      <c r="K6975" s="8" t="s">
        <v>220</v>
      </c>
      <c r="L6975" s="8" t="s">
        <v>201</v>
      </c>
      <c r="M6975" s="8" t="s">
        <v>202</v>
      </c>
      <c r="N6975" s="10" t="str">
        <f t="shared" si="615"/>
        <v>GAL</v>
      </c>
      <c r="O6975" s="11">
        <v>500</v>
      </c>
    </row>
    <row r="6976" spans="2:15" x14ac:dyDescent="0.25">
      <c r="B6976" s="6" t="s">
        <v>1410</v>
      </c>
      <c r="C6976" s="7" t="s">
        <v>525</v>
      </c>
      <c r="D6976" s="8" t="s">
        <v>507</v>
      </c>
      <c r="E6976" s="8" t="s">
        <v>508</v>
      </c>
      <c r="F6976" s="9">
        <f>DATE(2025,1,17)</f>
        <v>45674</v>
      </c>
      <c r="G6976" s="10">
        <f t="shared" si="611"/>
        <v>1</v>
      </c>
      <c r="H6976" s="10">
        <f t="shared" si="612"/>
        <v>2025</v>
      </c>
      <c r="I6976" s="8" t="s">
        <v>4</v>
      </c>
      <c r="J6976" s="7" t="s">
        <v>7582</v>
      </c>
      <c r="K6976" s="8" t="s">
        <v>137</v>
      </c>
      <c r="L6976" s="8" t="s">
        <v>1190</v>
      </c>
      <c r="M6976" s="8" t="s">
        <v>139</v>
      </c>
      <c r="N6976" s="10" t="str">
        <f t="shared" si="615"/>
        <v>GAL</v>
      </c>
      <c r="O6976" s="11">
        <v>180</v>
      </c>
    </row>
    <row r="6977" spans="2:15" x14ac:dyDescent="0.25">
      <c r="B6977" s="6" t="s">
        <v>1410</v>
      </c>
      <c r="C6977" s="7" t="s">
        <v>525</v>
      </c>
      <c r="D6977" s="8" t="s">
        <v>124</v>
      </c>
      <c r="E6977" s="8" t="s">
        <v>526</v>
      </c>
      <c r="F6977" s="9">
        <f>DATE(2025,1,20)</f>
        <v>45677</v>
      </c>
      <c r="G6977" s="10">
        <f t="shared" si="611"/>
        <v>1</v>
      </c>
      <c r="H6977" s="10">
        <f t="shared" si="612"/>
        <v>2025</v>
      </c>
      <c r="I6977" s="8" t="s">
        <v>4</v>
      </c>
      <c r="J6977" s="7" t="s">
        <v>7583</v>
      </c>
      <c r="K6977" s="8" t="s">
        <v>4643</v>
      </c>
      <c r="L6977" s="8" t="s">
        <v>4644</v>
      </c>
      <c r="M6977" s="8" t="s">
        <v>119</v>
      </c>
      <c r="N6977" s="10" t="str">
        <f t="shared" si="615"/>
        <v>TON</v>
      </c>
      <c r="O6977" s="11">
        <v>5.04</v>
      </c>
    </row>
    <row r="6978" spans="2:15" x14ac:dyDescent="0.25">
      <c r="B6978" s="6" t="s">
        <v>1410</v>
      </c>
      <c r="C6978" s="7" t="s">
        <v>525</v>
      </c>
      <c r="D6978" s="8" t="s">
        <v>628</v>
      </c>
      <c r="E6978" s="8" t="s">
        <v>1036</v>
      </c>
      <c r="F6978" s="9">
        <f>DATE(2025,1,22)</f>
        <v>45679</v>
      </c>
      <c r="G6978" s="10">
        <f t="shared" si="611"/>
        <v>1</v>
      </c>
      <c r="H6978" s="10">
        <f t="shared" si="612"/>
        <v>2025</v>
      </c>
      <c r="I6978" s="8" t="s">
        <v>4</v>
      </c>
      <c r="J6978" s="7" t="s">
        <v>7584</v>
      </c>
      <c r="K6978" s="8" t="s">
        <v>609</v>
      </c>
      <c r="L6978" s="8" t="s">
        <v>610</v>
      </c>
      <c r="M6978" s="8" t="s">
        <v>611</v>
      </c>
      <c r="N6978" s="10" t="str">
        <f t="shared" si="615"/>
        <v>GAL</v>
      </c>
      <c r="O6978" s="11">
        <v>180</v>
      </c>
    </row>
    <row r="6979" spans="2:15" x14ac:dyDescent="0.25">
      <c r="B6979" s="6" t="s">
        <v>1410</v>
      </c>
      <c r="C6979" s="7" t="s">
        <v>525</v>
      </c>
      <c r="D6979" s="8" t="s">
        <v>628</v>
      </c>
      <c r="E6979" s="8" t="s">
        <v>1036</v>
      </c>
      <c r="F6979" s="9">
        <f>DATE(2025,1,22)</f>
        <v>45679</v>
      </c>
      <c r="G6979" s="10">
        <f t="shared" si="611"/>
        <v>1</v>
      </c>
      <c r="H6979" s="10">
        <f t="shared" si="612"/>
        <v>2025</v>
      </c>
      <c r="I6979" s="8" t="s">
        <v>4</v>
      </c>
      <c r="J6979" s="7" t="s">
        <v>7584</v>
      </c>
      <c r="K6979" s="8" t="s">
        <v>189</v>
      </c>
      <c r="L6979" s="8" t="s">
        <v>190</v>
      </c>
      <c r="M6979" s="8" t="s">
        <v>191</v>
      </c>
      <c r="N6979" s="10" t="str">
        <f t="shared" si="615"/>
        <v>GAL</v>
      </c>
      <c r="O6979" s="11">
        <v>180</v>
      </c>
    </row>
    <row r="6980" spans="2:15" x14ac:dyDescent="0.25">
      <c r="B6980" s="6" t="s">
        <v>1410</v>
      </c>
      <c r="C6980" s="7" t="s">
        <v>525</v>
      </c>
      <c r="D6980" s="8" t="s">
        <v>628</v>
      </c>
      <c r="E6980" s="8" t="s">
        <v>1036</v>
      </c>
      <c r="F6980" s="9">
        <f>DATE(2025,1,22)</f>
        <v>45679</v>
      </c>
      <c r="G6980" s="10">
        <f t="shared" si="611"/>
        <v>1</v>
      </c>
      <c r="H6980" s="10">
        <f t="shared" si="612"/>
        <v>2025</v>
      </c>
      <c r="I6980" s="8" t="s">
        <v>4</v>
      </c>
      <c r="J6980" s="7" t="s">
        <v>7584</v>
      </c>
      <c r="K6980" s="8" t="s">
        <v>531</v>
      </c>
      <c r="L6980" s="8" t="s">
        <v>201</v>
      </c>
      <c r="M6980" s="8" t="s">
        <v>202</v>
      </c>
      <c r="N6980" s="10" t="str">
        <f t="shared" si="615"/>
        <v>GAL</v>
      </c>
      <c r="O6980" s="11">
        <v>150</v>
      </c>
    </row>
    <row r="6981" spans="2:15" x14ac:dyDescent="0.25">
      <c r="B6981" s="6" t="s">
        <v>1410</v>
      </c>
      <c r="C6981" s="7" t="s">
        <v>525</v>
      </c>
      <c r="D6981" s="8" t="s">
        <v>1956</v>
      </c>
      <c r="E6981" s="8" t="s">
        <v>102</v>
      </c>
      <c r="F6981" s="9">
        <f>DATE(2025,1,29)</f>
        <v>45686</v>
      </c>
      <c r="G6981" s="10">
        <f t="shared" si="611"/>
        <v>1</v>
      </c>
      <c r="H6981" s="10">
        <f t="shared" si="612"/>
        <v>2025</v>
      </c>
      <c r="I6981" s="8" t="s">
        <v>4</v>
      </c>
      <c r="J6981" s="7" t="s">
        <v>7585</v>
      </c>
      <c r="K6981" s="8" t="s">
        <v>268</v>
      </c>
      <c r="L6981" s="8" t="s">
        <v>269</v>
      </c>
      <c r="M6981" s="8" t="s">
        <v>119</v>
      </c>
      <c r="N6981" s="10" t="str">
        <f t="shared" si="615"/>
        <v>TON</v>
      </c>
      <c r="O6981" s="11">
        <v>0.15</v>
      </c>
    </row>
    <row r="6982" spans="2:15" x14ac:dyDescent="0.25">
      <c r="B6982" s="6" t="s">
        <v>1410</v>
      </c>
      <c r="C6982" s="7" t="s">
        <v>525</v>
      </c>
      <c r="D6982" s="8" t="s">
        <v>507</v>
      </c>
      <c r="E6982" s="8" t="s">
        <v>508</v>
      </c>
      <c r="F6982" s="9">
        <f>DATE(2025,1,31)</f>
        <v>45688</v>
      </c>
      <c r="G6982" s="10">
        <f t="shared" si="611"/>
        <v>1</v>
      </c>
      <c r="H6982" s="10">
        <f t="shared" si="612"/>
        <v>2025</v>
      </c>
      <c r="I6982" s="8" t="s">
        <v>4</v>
      </c>
      <c r="J6982" s="7" t="s">
        <v>7586</v>
      </c>
      <c r="K6982" s="8" t="s">
        <v>220</v>
      </c>
      <c r="L6982" s="8" t="s">
        <v>201</v>
      </c>
      <c r="M6982" s="8" t="s">
        <v>202</v>
      </c>
      <c r="N6982" s="10" t="str">
        <f t="shared" si="615"/>
        <v>GAL</v>
      </c>
      <c r="O6982" s="11">
        <v>500</v>
      </c>
    </row>
    <row r="6983" spans="2:15" x14ac:dyDescent="0.25">
      <c r="B6983" s="6" t="s">
        <v>1050</v>
      </c>
      <c r="C6983" s="7" t="s">
        <v>533</v>
      </c>
      <c r="D6983" s="8" t="s">
        <v>562</v>
      </c>
      <c r="E6983" s="8" t="s">
        <v>1101</v>
      </c>
      <c r="F6983" s="9">
        <f>DATE(2025,1,8)</f>
        <v>45665</v>
      </c>
      <c r="G6983" s="10">
        <f t="shared" si="611"/>
        <v>1</v>
      </c>
      <c r="H6983" s="10">
        <f t="shared" si="612"/>
        <v>2025</v>
      </c>
      <c r="I6983" s="8" t="s">
        <v>4</v>
      </c>
      <c r="J6983" s="7" t="s">
        <v>7587</v>
      </c>
      <c r="K6983" s="8" t="s">
        <v>1786</v>
      </c>
      <c r="L6983" s="8" t="s">
        <v>518</v>
      </c>
      <c r="M6983" s="8" t="s">
        <v>85</v>
      </c>
      <c r="N6983" s="10" t="str">
        <f t="shared" si="615"/>
        <v>GAL</v>
      </c>
      <c r="O6983" s="11">
        <v>440</v>
      </c>
    </row>
    <row r="6984" spans="2:15" x14ac:dyDescent="0.25">
      <c r="B6984" s="6" t="s">
        <v>1050</v>
      </c>
      <c r="C6984" s="7" t="s">
        <v>533</v>
      </c>
      <c r="D6984" s="8" t="s">
        <v>562</v>
      </c>
      <c r="E6984" s="8" t="s">
        <v>1101</v>
      </c>
      <c r="F6984" s="9">
        <f>DATE(2025,1,8)</f>
        <v>45665</v>
      </c>
      <c r="G6984" s="10">
        <f t="shared" si="611"/>
        <v>1</v>
      </c>
      <c r="H6984" s="10">
        <f t="shared" si="612"/>
        <v>2025</v>
      </c>
      <c r="I6984" s="8" t="s">
        <v>4</v>
      </c>
      <c r="J6984" s="7" t="s">
        <v>7587</v>
      </c>
      <c r="K6984" s="8" t="s">
        <v>83</v>
      </c>
      <c r="L6984" s="8" t="s">
        <v>518</v>
      </c>
      <c r="M6984" s="8" t="s">
        <v>85</v>
      </c>
      <c r="N6984" s="10" t="str">
        <f t="shared" si="615"/>
        <v>GAL</v>
      </c>
      <c r="O6984" s="11">
        <v>180</v>
      </c>
    </row>
    <row r="6985" spans="2:15" x14ac:dyDescent="0.25">
      <c r="B6985" s="6" t="s">
        <v>1050</v>
      </c>
      <c r="C6985" s="7" t="s">
        <v>533</v>
      </c>
      <c r="D6985" s="8" t="s">
        <v>557</v>
      </c>
      <c r="E6985" s="8" t="s">
        <v>1763</v>
      </c>
      <c r="F6985" s="9">
        <f>DATE(2025,1,23)</f>
        <v>45680</v>
      </c>
      <c r="G6985" s="10">
        <f t="shared" si="611"/>
        <v>1</v>
      </c>
      <c r="H6985" s="10">
        <f t="shared" si="612"/>
        <v>2025</v>
      </c>
      <c r="I6985" s="8" t="s">
        <v>4</v>
      </c>
      <c r="J6985" s="7" t="s">
        <v>7588</v>
      </c>
      <c r="K6985" s="8" t="s">
        <v>1424</v>
      </c>
      <c r="L6985" s="8" t="s">
        <v>1057</v>
      </c>
      <c r="M6985" s="8" t="s">
        <v>1058</v>
      </c>
      <c r="N6985" s="10" t="str">
        <f t="shared" si="615"/>
        <v>GAL</v>
      </c>
      <c r="O6985" s="11">
        <v>3600</v>
      </c>
    </row>
    <row r="6986" spans="2:15" x14ac:dyDescent="0.25">
      <c r="B6986" s="6" t="s">
        <v>645</v>
      </c>
      <c r="C6986" s="7" t="s">
        <v>533</v>
      </c>
      <c r="D6986" s="8" t="s">
        <v>557</v>
      </c>
      <c r="E6986" s="8" t="s">
        <v>4801</v>
      </c>
      <c r="F6986" s="9">
        <f>DATE(2025,1,24)</f>
        <v>45681</v>
      </c>
      <c r="G6986" s="10">
        <f t="shared" si="611"/>
        <v>1</v>
      </c>
      <c r="H6986" s="10">
        <f t="shared" si="612"/>
        <v>2025</v>
      </c>
      <c r="I6986" s="8" t="s">
        <v>4</v>
      </c>
      <c r="J6986" s="7" t="s">
        <v>7589</v>
      </c>
      <c r="K6986" s="8" t="s">
        <v>1424</v>
      </c>
      <c r="L6986" s="8" t="s">
        <v>1057</v>
      </c>
      <c r="M6986" s="8" t="s">
        <v>1058</v>
      </c>
      <c r="N6986" s="10" t="str">
        <f t="shared" si="615"/>
        <v>GAL</v>
      </c>
      <c r="O6986" s="11">
        <v>3600</v>
      </c>
    </row>
    <row r="6987" spans="2:15" x14ac:dyDescent="0.25">
      <c r="B6987" s="6" t="s">
        <v>645</v>
      </c>
      <c r="C6987" s="7" t="s">
        <v>533</v>
      </c>
      <c r="D6987" s="8" t="s">
        <v>557</v>
      </c>
      <c r="E6987" s="8" t="s">
        <v>4801</v>
      </c>
      <c r="F6987" s="9">
        <f>DATE(2025,1,30)</f>
        <v>45687</v>
      </c>
      <c r="G6987" s="10">
        <f t="shared" si="611"/>
        <v>1</v>
      </c>
      <c r="H6987" s="10">
        <f t="shared" si="612"/>
        <v>2025</v>
      </c>
      <c r="I6987" s="8" t="s">
        <v>4</v>
      </c>
      <c r="J6987" s="7" t="s">
        <v>7590</v>
      </c>
      <c r="K6987" s="8" t="s">
        <v>1056</v>
      </c>
      <c r="L6987" s="8" t="s">
        <v>1057</v>
      </c>
      <c r="M6987" s="8" t="s">
        <v>1058</v>
      </c>
      <c r="N6987" s="10" t="str">
        <f t="shared" si="615"/>
        <v>GAL</v>
      </c>
      <c r="O6987" s="11">
        <v>3710</v>
      </c>
    </row>
    <row r="6988" spans="2:15" x14ac:dyDescent="0.25">
      <c r="B6988" s="6" t="s">
        <v>1050</v>
      </c>
      <c r="C6988" s="7" t="s">
        <v>533</v>
      </c>
      <c r="D6988" s="8" t="s">
        <v>557</v>
      </c>
      <c r="E6988" s="8" t="s">
        <v>1059</v>
      </c>
      <c r="F6988" s="9">
        <f>DATE(2025,1,31)</f>
        <v>45688</v>
      </c>
      <c r="G6988" s="10">
        <f t="shared" si="611"/>
        <v>1</v>
      </c>
      <c r="H6988" s="10">
        <f t="shared" si="612"/>
        <v>2025</v>
      </c>
      <c r="I6988" s="8" t="s">
        <v>4</v>
      </c>
      <c r="J6988" s="7" t="s">
        <v>7591</v>
      </c>
      <c r="K6988" s="8" t="s">
        <v>1056</v>
      </c>
      <c r="L6988" s="8" t="s">
        <v>1057</v>
      </c>
      <c r="M6988" s="8" t="s">
        <v>1058</v>
      </c>
      <c r="N6988" s="10" t="str">
        <f t="shared" si="615"/>
        <v>GAL</v>
      </c>
      <c r="O6988" s="11">
        <v>3710</v>
      </c>
    </row>
    <row r="6989" spans="2:15" x14ac:dyDescent="0.25">
      <c r="B6989" s="6" t="s">
        <v>1050</v>
      </c>
      <c r="C6989" s="7" t="s">
        <v>533</v>
      </c>
      <c r="D6989" s="8" t="s">
        <v>557</v>
      </c>
      <c r="E6989" s="8" t="s">
        <v>1419</v>
      </c>
      <c r="F6989" s="9">
        <f>DATE(2025,1,31)</f>
        <v>45688</v>
      </c>
      <c r="G6989" s="10">
        <f t="shared" si="611"/>
        <v>1</v>
      </c>
      <c r="H6989" s="10">
        <f t="shared" si="612"/>
        <v>2025</v>
      </c>
      <c r="I6989" s="8" t="s">
        <v>4</v>
      </c>
      <c r="J6989" s="7" t="s">
        <v>7592</v>
      </c>
      <c r="K6989" s="8" t="s">
        <v>1056</v>
      </c>
      <c r="L6989" s="8" t="s">
        <v>1057</v>
      </c>
      <c r="M6989" s="8" t="s">
        <v>1058</v>
      </c>
      <c r="N6989" s="10" t="str">
        <f t="shared" si="615"/>
        <v>GAL</v>
      </c>
      <c r="O6989" s="11">
        <v>3710</v>
      </c>
    </row>
    <row r="6990" spans="2:15" x14ac:dyDescent="0.25">
      <c r="B6990" s="6" t="s">
        <v>3113</v>
      </c>
      <c r="C6990" s="7" t="s">
        <v>3114</v>
      </c>
      <c r="D6990" s="8" t="s">
        <v>7593</v>
      </c>
      <c r="E6990" s="8" t="s">
        <v>7594</v>
      </c>
      <c r="F6990" s="9">
        <f>DATE(2025,1,8)</f>
        <v>45665</v>
      </c>
      <c r="G6990" s="10">
        <f t="shared" si="611"/>
        <v>1</v>
      </c>
      <c r="H6990" s="10">
        <f t="shared" si="612"/>
        <v>2025</v>
      </c>
      <c r="I6990" s="8" t="s">
        <v>4</v>
      </c>
      <c r="J6990" s="7" t="s">
        <v>7595</v>
      </c>
      <c r="K6990" s="8" t="s">
        <v>6995</v>
      </c>
      <c r="L6990" s="8" t="s">
        <v>6996</v>
      </c>
      <c r="M6990" s="8" t="s">
        <v>6997</v>
      </c>
      <c r="N6990" s="10" t="str">
        <f t="shared" si="615"/>
        <v>GAL</v>
      </c>
      <c r="O6990" s="11">
        <v>500</v>
      </c>
    </row>
    <row r="6991" spans="2:15" x14ac:dyDescent="0.25">
      <c r="B6991" s="6" t="s">
        <v>3238</v>
      </c>
      <c r="C6991" s="7" t="s">
        <v>3239</v>
      </c>
      <c r="D6991" s="8" t="s">
        <v>3240</v>
      </c>
      <c r="E6991" s="8" t="s">
        <v>6276</v>
      </c>
      <c r="F6991" s="9">
        <f>DATE(2025,1,3)</f>
        <v>45660</v>
      </c>
      <c r="G6991" s="10">
        <f t="shared" si="611"/>
        <v>1</v>
      </c>
      <c r="H6991" s="10">
        <f t="shared" si="612"/>
        <v>2025</v>
      </c>
      <c r="I6991" s="8" t="s">
        <v>4</v>
      </c>
      <c r="J6991" s="7" t="s">
        <v>7596</v>
      </c>
      <c r="K6991" s="8" t="s">
        <v>998</v>
      </c>
      <c r="L6991" s="8" t="s">
        <v>3526</v>
      </c>
      <c r="M6991" s="8" t="s">
        <v>1000</v>
      </c>
      <c r="N6991" s="10" t="str">
        <f t="shared" si="615"/>
        <v>GAL</v>
      </c>
      <c r="O6991" s="11">
        <v>250</v>
      </c>
    </row>
    <row r="6992" spans="2:15" x14ac:dyDescent="0.25">
      <c r="B6992" s="6" t="s">
        <v>3238</v>
      </c>
      <c r="C6992" s="7" t="s">
        <v>3239</v>
      </c>
      <c r="D6992" s="8" t="s">
        <v>3240</v>
      </c>
      <c r="E6992" s="8" t="s">
        <v>6693</v>
      </c>
      <c r="F6992" s="9">
        <f>DATE(2025,1,3)</f>
        <v>45660</v>
      </c>
      <c r="G6992" s="10">
        <f t="shared" si="611"/>
        <v>1</v>
      </c>
      <c r="H6992" s="10">
        <f t="shared" si="612"/>
        <v>2025</v>
      </c>
      <c r="I6992" s="8" t="s">
        <v>4</v>
      </c>
      <c r="J6992" s="7" t="s">
        <v>7597</v>
      </c>
      <c r="K6992" s="8" t="s">
        <v>998</v>
      </c>
      <c r="L6992" s="8" t="s">
        <v>3526</v>
      </c>
      <c r="M6992" s="8" t="s">
        <v>1000</v>
      </c>
      <c r="N6992" s="10" t="str">
        <f t="shared" si="615"/>
        <v>GAL</v>
      </c>
      <c r="O6992" s="11">
        <v>250</v>
      </c>
    </row>
    <row r="6993" spans="2:15" x14ac:dyDescent="0.25">
      <c r="B6993" s="6" t="s">
        <v>3238</v>
      </c>
      <c r="C6993" s="7" t="s">
        <v>3239</v>
      </c>
      <c r="D6993" s="8" t="s">
        <v>3240</v>
      </c>
      <c r="E6993" s="8" t="s">
        <v>6382</v>
      </c>
      <c r="F6993" s="9">
        <f>DATE(2025,1,8)</f>
        <v>45665</v>
      </c>
      <c r="G6993" s="10">
        <f t="shared" si="611"/>
        <v>1</v>
      </c>
      <c r="H6993" s="10">
        <f t="shared" si="612"/>
        <v>2025</v>
      </c>
      <c r="I6993" s="8" t="s">
        <v>4</v>
      </c>
      <c r="J6993" s="7" t="s">
        <v>7598</v>
      </c>
      <c r="K6993" s="8" t="s">
        <v>4267</v>
      </c>
      <c r="L6993" s="8" t="s">
        <v>4268</v>
      </c>
      <c r="M6993" s="8" t="s">
        <v>119</v>
      </c>
      <c r="N6993" s="10" t="str">
        <f t="shared" si="615"/>
        <v>TON</v>
      </c>
      <c r="O6993" s="11">
        <v>0.27</v>
      </c>
    </row>
    <row r="6994" spans="2:15" x14ac:dyDescent="0.25">
      <c r="B6994" s="6" t="s">
        <v>3238</v>
      </c>
      <c r="C6994" s="7" t="s">
        <v>3239</v>
      </c>
      <c r="D6994" s="8" t="s">
        <v>3240</v>
      </c>
      <c r="E6994" s="8" t="s">
        <v>6382</v>
      </c>
      <c r="F6994" s="9">
        <f>DATE(2025,1,8)</f>
        <v>45665</v>
      </c>
      <c r="G6994" s="10">
        <f t="shared" ref="G6994:G7057" si="616">+MONTH(F6994)</f>
        <v>1</v>
      </c>
      <c r="H6994" s="10">
        <f t="shared" ref="H6994:H7057" si="617">+YEAR(F6994)</f>
        <v>2025</v>
      </c>
      <c r="I6994" s="8" t="s">
        <v>4</v>
      </c>
      <c r="J6994" s="7" t="s">
        <v>7599</v>
      </c>
      <c r="K6994" s="8" t="s">
        <v>7600</v>
      </c>
      <c r="L6994" s="8" t="s">
        <v>6490</v>
      </c>
      <c r="M6994" s="8" t="s">
        <v>2528</v>
      </c>
      <c r="N6994" s="10" t="str">
        <f t="shared" si="615"/>
        <v>GAL</v>
      </c>
      <c r="O6994" s="11">
        <v>55</v>
      </c>
    </row>
    <row r="6995" spans="2:15" x14ac:dyDescent="0.25">
      <c r="B6995" s="6" t="s">
        <v>3238</v>
      </c>
      <c r="C6995" s="7" t="s">
        <v>3239</v>
      </c>
      <c r="D6995" s="8" t="s">
        <v>6120</v>
      </c>
      <c r="E6995" s="8" t="s">
        <v>7601</v>
      </c>
      <c r="F6995" s="9">
        <f>DATE(2025,1,10)</f>
        <v>45667</v>
      </c>
      <c r="G6995" s="10">
        <f t="shared" si="616"/>
        <v>1</v>
      </c>
      <c r="H6995" s="10">
        <f t="shared" si="617"/>
        <v>2025</v>
      </c>
      <c r="I6995" s="8" t="s">
        <v>4</v>
      </c>
      <c r="J6995" s="7" t="s">
        <v>7602</v>
      </c>
      <c r="K6995" s="8" t="s">
        <v>998</v>
      </c>
      <c r="L6995" s="8" t="s">
        <v>999</v>
      </c>
      <c r="M6995" s="8" t="s">
        <v>1000</v>
      </c>
      <c r="N6995" s="10" t="str">
        <f t="shared" si="615"/>
        <v>GAL</v>
      </c>
      <c r="O6995" s="11">
        <v>250</v>
      </c>
    </row>
    <row r="6996" spans="2:15" x14ac:dyDescent="0.25">
      <c r="B6996" s="6" t="s">
        <v>3238</v>
      </c>
      <c r="C6996" s="7" t="s">
        <v>3239</v>
      </c>
      <c r="D6996" s="8" t="s">
        <v>6120</v>
      </c>
      <c r="E6996" s="8" t="s">
        <v>7603</v>
      </c>
      <c r="F6996" s="9">
        <f>DATE(2025,1,9)</f>
        <v>45666</v>
      </c>
      <c r="G6996" s="10">
        <f t="shared" si="616"/>
        <v>1</v>
      </c>
      <c r="H6996" s="10">
        <f t="shared" si="617"/>
        <v>2025</v>
      </c>
      <c r="I6996" s="8" t="s">
        <v>4</v>
      </c>
      <c r="J6996" s="7" t="s">
        <v>7604</v>
      </c>
      <c r="K6996" s="8" t="s">
        <v>7605</v>
      </c>
      <c r="L6996" s="8" t="s">
        <v>7606</v>
      </c>
      <c r="M6996" s="8" t="s">
        <v>119</v>
      </c>
      <c r="N6996" s="10" t="str">
        <f t="shared" si="615"/>
        <v>TON</v>
      </c>
      <c r="O6996" s="11">
        <v>8.0120000000000005</v>
      </c>
    </row>
    <row r="6997" spans="2:15" x14ac:dyDescent="0.25">
      <c r="B6997" s="6" t="s">
        <v>3238</v>
      </c>
      <c r="C6997" s="7" t="s">
        <v>3239</v>
      </c>
      <c r="D6997" s="8" t="s">
        <v>3240</v>
      </c>
      <c r="E6997" s="8" t="s">
        <v>102</v>
      </c>
      <c r="F6997" s="9">
        <f>DATE(2025,1,10)</f>
        <v>45667</v>
      </c>
      <c r="G6997" s="10">
        <f t="shared" si="616"/>
        <v>1</v>
      </c>
      <c r="H6997" s="10">
        <f t="shared" si="617"/>
        <v>2025</v>
      </c>
      <c r="I6997" s="8" t="s">
        <v>4</v>
      </c>
      <c r="J6997" s="7" t="s">
        <v>7607</v>
      </c>
      <c r="K6997" s="8" t="s">
        <v>7608</v>
      </c>
      <c r="L6997" s="8" t="s">
        <v>3536</v>
      </c>
      <c r="M6997" s="8" t="s">
        <v>2532</v>
      </c>
      <c r="N6997" s="10" t="str">
        <f t="shared" si="615"/>
        <v>GAL</v>
      </c>
      <c r="O6997" s="11">
        <v>60</v>
      </c>
    </row>
    <row r="6998" spans="2:15" x14ac:dyDescent="0.25">
      <c r="B6998" s="6" t="s">
        <v>3238</v>
      </c>
      <c r="C6998" s="7" t="s">
        <v>3239</v>
      </c>
      <c r="D6998" s="8" t="s">
        <v>3240</v>
      </c>
      <c r="E6998" s="8" t="s">
        <v>102</v>
      </c>
      <c r="F6998" s="9">
        <f>DATE(2025,1,10)</f>
        <v>45667</v>
      </c>
      <c r="G6998" s="10">
        <f t="shared" si="616"/>
        <v>1</v>
      </c>
      <c r="H6998" s="10">
        <f t="shared" si="617"/>
        <v>2025</v>
      </c>
      <c r="I6998" s="8" t="s">
        <v>4</v>
      </c>
      <c r="J6998" s="7" t="s">
        <v>7609</v>
      </c>
      <c r="K6998" s="8" t="s">
        <v>5968</v>
      </c>
      <c r="L6998" s="8" t="s">
        <v>5969</v>
      </c>
      <c r="M6998" s="8" t="s">
        <v>5970</v>
      </c>
      <c r="N6998" s="10" t="str">
        <f t="shared" si="615"/>
        <v>GAL</v>
      </c>
      <c r="O6998" s="11">
        <v>60</v>
      </c>
    </row>
    <row r="6999" spans="2:15" x14ac:dyDescent="0.25">
      <c r="B6999" s="6" t="s">
        <v>3238</v>
      </c>
      <c r="C6999" s="7" t="s">
        <v>3239</v>
      </c>
      <c r="D6999" s="8" t="s">
        <v>3240</v>
      </c>
      <c r="E6999" s="8" t="s">
        <v>102</v>
      </c>
      <c r="F6999" s="9">
        <f>DATE(2025,1,10)</f>
        <v>45667</v>
      </c>
      <c r="G6999" s="10">
        <f t="shared" si="616"/>
        <v>1</v>
      </c>
      <c r="H6999" s="10">
        <f t="shared" si="617"/>
        <v>2025</v>
      </c>
      <c r="I6999" s="8" t="s">
        <v>4</v>
      </c>
      <c r="J6999" s="7" t="s">
        <v>7609</v>
      </c>
      <c r="K6999" s="8" t="s">
        <v>1470</v>
      </c>
      <c r="L6999" s="8" t="s">
        <v>7002</v>
      </c>
      <c r="M6999" s="8" t="s">
        <v>1472</v>
      </c>
      <c r="N6999" s="10" t="str">
        <f t="shared" si="615"/>
        <v>GAL</v>
      </c>
      <c r="O6999" s="11">
        <v>90</v>
      </c>
    </row>
    <row r="7000" spans="2:15" x14ac:dyDescent="0.25">
      <c r="B7000" s="6" t="s">
        <v>3238</v>
      </c>
      <c r="C7000" s="7" t="s">
        <v>3239</v>
      </c>
      <c r="D7000" s="8" t="s">
        <v>3240</v>
      </c>
      <c r="E7000" s="8" t="s">
        <v>102</v>
      </c>
      <c r="F7000" s="9">
        <f>DATE(2025,1,10)</f>
        <v>45667</v>
      </c>
      <c r="G7000" s="10">
        <f t="shared" si="616"/>
        <v>1</v>
      </c>
      <c r="H7000" s="10">
        <f t="shared" si="617"/>
        <v>2025</v>
      </c>
      <c r="I7000" s="8" t="s">
        <v>4</v>
      </c>
      <c r="J7000" s="7" t="s">
        <v>7609</v>
      </c>
      <c r="K7000" s="8" t="s">
        <v>6516</v>
      </c>
      <c r="L7000" s="8" t="s">
        <v>3396</v>
      </c>
      <c r="M7000" s="8" t="s">
        <v>844</v>
      </c>
      <c r="N7000" s="10" t="str">
        <f t="shared" si="615"/>
        <v>GAL</v>
      </c>
      <c r="O7000" s="11">
        <v>60</v>
      </c>
    </row>
    <row r="7001" spans="2:15" x14ac:dyDescent="0.25">
      <c r="B7001" s="6" t="s">
        <v>3238</v>
      </c>
      <c r="C7001" s="7" t="s">
        <v>3239</v>
      </c>
      <c r="D7001" s="8" t="s">
        <v>3240</v>
      </c>
      <c r="E7001" s="8" t="s">
        <v>102</v>
      </c>
      <c r="F7001" s="9">
        <f>DATE(2025,1,10)</f>
        <v>45667</v>
      </c>
      <c r="G7001" s="10">
        <f t="shared" si="616"/>
        <v>1</v>
      </c>
      <c r="H7001" s="10">
        <f t="shared" si="617"/>
        <v>2025</v>
      </c>
      <c r="I7001" s="8" t="s">
        <v>4</v>
      </c>
      <c r="J7001" s="7" t="s">
        <v>7609</v>
      </c>
      <c r="K7001" s="8" t="s">
        <v>19</v>
      </c>
      <c r="L7001" s="8" t="s">
        <v>6275</v>
      </c>
      <c r="M7001" s="8" t="s">
        <v>21</v>
      </c>
      <c r="N7001" s="10" t="str">
        <f t="shared" si="615"/>
        <v>GAL</v>
      </c>
      <c r="O7001" s="11">
        <v>60</v>
      </c>
    </row>
    <row r="7002" spans="2:15" x14ac:dyDescent="0.25">
      <c r="B7002" s="6" t="s">
        <v>3238</v>
      </c>
      <c r="C7002" s="7" t="s">
        <v>3239</v>
      </c>
      <c r="D7002" s="8" t="s">
        <v>6120</v>
      </c>
      <c r="E7002" s="8" t="s">
        <v>6712</v>
      </c>
      <c r="F7002" s="9">
        <f>DATE(2025,1,14)</f>
        <v>45671</v>
      </c>
      <c r="G7002" s="10">
        <f t="shared" si="616"/>
        <v>1</v>
      </c>
      <c r="H7002" s="10">
        <f t="shared" si="617"/>
        <v>2025</v>
      </c>
      <c r="I7002" s="8" t="s">
        <v>4</v>
      </c>
      <c r="J7002" s="7" t="s">
        <v>7610</v>
      </c>
      <c r="K7002" s="8" t="s">
        <v>6138</v>
      </c>
      <c r="L7002" s="8" t="s">
        <v>6139</v>
      </c>
      <c r="M7002" s="8" t="s">
        <v>6140</v>
      </c>
      <c r="N7002" s="10" t="str">
        <f t="shared" si="615"/>
        <v>GAL</v>
      </c>
      <c r="O7002" s="11">
        <v>90</v>
      </c>
    </row>
    <row r="7003" spans="2:15" x14ac:dyDescent="0.25">
      <c r="B7003" s="6" t="s">
        <v>3238</v>
      </c>
      <c r="C7003" s="7" t="s">
        <v>3239</v>
      </c>
      <c r="D7003" s="8" t="s">
        <v>6120</v>
      </c>
      <c r="E7003" s="8" t="s">
        <v>6712</v>
      </c>
      <c r="F7003" s="9">
        <f>DATE(2025,1,14)</f>
        <v>45671</v>
      </c>
      <c r="G7003" s="10">
        <f t="shared" si="616"/>
        <v>1</v>
      </c>
      <c r="H7003" s="10">
        <f t="shared" si="617"/>
        <v>2025</v>
      </c>
      <c r="I7003" s="8" t="s">
        <v>4</v>
      </c>
      <c r="J7003" s="7" t="s">
        <v>7610</v>
      </c>
      <c r="K7003" s="8" t="s">
        <v>6136</v>
      </c>
      <c r="L7003" s="8" t="s">
        <v>6137</v>
      </c>
      <c r="M7003" s="8" t="s">
        <v>30</v>
      </c>
      <c r="N7003" s="10" t="str">
        <f t="shared" si="615"/>
        <v>GAL</v>
      </c>
      <c r="O7003" s="11">
        <v>90</v>
      </c>
    </row>
    <row r="7004" spans="2:15" x14ac:dyDescent="0.25">
      <c r="B7004" s="6" t="s">
        <v>3238</v>
      </c>
      <c r="C7004" s="7" t="s">
        <v>3239</v>
      </c>
      <c r="D7004" s="8" t="s">
        <v>6120</v>
      </c>
      <c r="E7004" s="8" t="s">
        <v>6712</v>
      </c>
      <c r="F7004" s="9">
        <f>DATE(2025,1,14)</f>
        <v>45671</v>
      </c>
      <c r="G7004" s="10">
        <f t="shared" si="616"/>
        <v>1</v>
      </c>
      <c r="H7004" s="10">
        <f t="shared" si="617"/>
        <v>2025</v>
      </c>
      <c r="I7004" s="8" t="s">
        <v>4</v>
      </c>
      <c r="J7004" s="7" t="s">
        <v>7610</v>
      </c>
      <c r="K7004" s="8" t="s">
        <v>2098</v>
      </c>
      <c r="L7004" s="8" t="s">
        <v>6164</v>
      </c>
      <c r="M7004" s="8" t="s">
        <v>2100</v>
      </c>
      <c r="N7004" s="10" t="str">
        <f t="shared" si="615"/>
        <v>GAL</v>
      </c>
      <c r="O7004" s="11">
        <v>90</v>
      </c>
    </row>
    <row r="7005" spans="2:15" x14ac:dyDescent="0.25">
      <c r="B7005" s="6" t="s">
        <v>3238</v>
      </c>
      <c r="C7005" s="7" t="s">
        <v>3239</v>
      </c>
      <c r="D7005" s="8" t="s">
        <v>6120</v>
      </c>
      <c r="E7005" s="8" t="s">
        <v>6712</v>
      </c>
      <c r="F7005" s="9">
        <f>DATE(2025,1,14)</f>
        <v>45671</v>
      </c>
      <c r="G7005" s="10">
        <f t="shared" si="616"/>
        <v>1</v>
      </c>
      <c r="H7005" s="10">
        <f t="shared" si="617"/>
        <v>2025</v>
      </c>
      <c r="I7005" s="8" t="s">
        <v>4</v>
      </c>
      <c r="J7005" s="7" t="s">
        <v>7610</v>
      </c>
      <c r="K7005" s="8" t="s">
        <v>6172</v>
      </c>
      <c r="L7005" s="8" t="s">
        <v>6173</v>
      </c>
      <c r="M7005" s="8" t="s">
        <v>6174</v>
      </c>
      <c r="N7005" s="10" t="str">
        <f t="shared" si="615"/>
        <v>GAL</v>
      </c>
      <c r="O7005" s="11">
        <v>90</v>
      </c>
    </row>
    <row r="7006" spans="2:15" x14ac:dyDescent="0.25">
      <c r="B7006" s="6" t="s">
        <v>3238</v>
      </c>
      <c r="C7006" s="7" t="s">
        <v>3239</v>
      </c>
      <c r="D7006" s="8" t="s">
        <v>3240</v>
      </c>
      <c r="E7006" s="8" t="s">
        <v>3379</v>
      </c>
      <c r="F7006" s="9">
        <f>DATE(2025,1,15)</f>
        <v>45672</v>
      </c>
      <c r="G7006" s="10">
        <f t="shared" si="616"/>
        <v>1</v>
      </c>
      <c r="H7006" s="10">
        <f t="shared" si="617"/>
        <v>2025</v>
      </c>
      <c r="I7006" s="8" t="s">
        <v>4</v>
      </c>
      <c r="J7006" s="7" t="s">
        <v>7611</v>
      </c>
      <c r="K7006" s="8" t="s">
        <v>3937</v>
      </c>
      <c r="L7006" s="8" t="s">
        <v>4275</v>
      </c>
      <c r="M7006" s="8" t="s">
        <v>3939</v>
      </c>
      <c r="N7006" s="10" t="str">
        <f t="shared" si="615"/>
        <v>GAL</v>
      </c>
      <c r="O7006" s="11">
        <v>250</v>
      </c>
    </row>
    <row r="7007" spans="2:15" x14ac:dyDescent="0.25">
      <c r="B7007" s="6" t="s">
        <v>3238</v>
      </c>
      <c r="C7007" s="7" t="s">
        <v>3239</v>
      </c>
      <c r="D7007" s="8" t="s">
        <v>3240</v>
      </c>
      <c r="E7007" s="8" t="s">
        <v>4822</v>
      </c>
      <c r="F7007" s="9">
        <f t="shared" ref="F7007:F7015" si="618">DATE(2025,1,16)</f>
        <v>45673</v>
      </c>
      <c r="G7007" s="10">
        <f t="shared" si="616"/>
        <v>1</v>
      </c>
      <c r="H7007" s="10">
        <f t="shared" si="617"/>
        <v>2025</v>
      </c>
      <c r="I7007" s="8" t="s">
        <v>4</v>
      </c>
      <c r="J7007" s="7" t="s">
        <v>7612</v>
      </c>
      <c r="K7007" s="8" t="s">
        <v>3390</v>
      </c>
      <c r="L7007" s="8" t="s">
        <v>3250</v>
      </c>
      <c r="M7007" s="8" t="s">
        <v>3251</v>
      </c>
      <c r="N7007" s="10" t="str">
        <f t="shared" si="615"/>
        <v>GAL</v>
      </c>
      <c r="O7007" s="11">
        <v>275</v>
      </c>
    </row>
    <row r="7008" spans="2:15" x14ac:dyDescent="0.25">
      <c r="B7008" s="6" t="s">
        <v>3238</v>
      </c>
      <c r="C7008" s="7" t="s">
        <v>3239</v>
      </c>
      <c r="D7008" s="8" t="s">
        <v>3240</v>
      </c>
      <c r="E7008" s="8" t="s">
        <v>4822</v>
      </c>
      <c r="F7008" s="9">
        <f t="shared" si="618"/>
        <v>45673</v>
      </c>
      <c r="G7008" s="10">
        <f t="shared" si="616"/>
        <v>1</v>
      </c>
      <c r="H7008" s="10">
        <f t="shared" si="617"/>
        <v>2025</v>
      </c>
      <c r="I7008" s="8" t="s">
        <v>4</v>
      </c>
      <c r="J7008" s="7" t="s">
        <v>7612</v>
      </c>
      <c r="K7008" s="8" t="s">
        <v>5976</v>
      </c>
      <c r="L7008" s="8" t="s">
        <v>3915</v>
      </c>
      <c r="M7008" s="8" t="s">
        <v>3916</v>
      </c>
      <c r="N7008" s="10" t="str">
        <f t="shared" si="615"/>
        <v>GAL</v>
      </c>
      <c r="O7008" s="11">
        <v>275</v>
      </c>
    </row>
    <row r="7009" spans="2:15" x14ac:dyDescent="0.25">
      <c r="B7009" s="6" t="s">
        <v>3238</v>
      </c>
      <c r="C7009" s="7" t="s">
        <v>3239</v>
      </c>
      <c r="D7009" s="8" t="s">
        <v>3240</v>
      </c>
      <c r="E7009" s="8" t="s">
        <v>4822</v>
      </c>
      <c r="F7009" s="9">
        <f t="shared" si="618"/>
        <v>45673</v>
      </c>
      <c r="G7009" s="10">
        <f t="shared" si="616"/>
        <v>1</v>
      </c>
      <c r="H7009" s="10">
        <f t="shared" si="617"/>
        <v>2025</v>
      </c>
      <c r="I7009" s="8" t="s">
        <v>4</v>
      </c>
      <c r="J7009" s="7" t="s">
        <v>7612</v>
      </c>
      <c r="K7009" s="8" t="s">
        <v>998</v>
      </c>
      <c r="L7009" s="8" t="s">
        <v>3526</v>
      </c>
      <c r="M7009" s="8" t="s">
        <v>1000</v>
      </c>
      <c r="N7009" s="10" t="str">
        <f t="shared" si="615"/>
        <v>GAL</v>
      </c>
      <c r="O7009" s="11">
        <v>250</v>
      </c>
    </row>
    <row r="7010" spans="2:15" x14ac:dyDescent="0.25">
      <c r="B7010" s="6" t="s">
        <v>3238</v>
      </c>
      <c r="C7010" s="7" t="s">
        <v>3239</v>
      </c>
      <c r="D7010" s="8" t="s">
        <v>3240</v>
      </c>
      <c r="E7010" s="8" t="s">
        <v>102</v>
      </c>
      <c r="F7010" s="9">
        <f t="shared" si="618"/>
        <v>45673</v>
      </c>
      <c r="G7010" s="10">
        <f t="shared" si="616"/>
        <v>1</v>
      </c>
      <c r="H7010" s="10">
        <f t="shared" si="617"/>
        <v>2025</v>
      </c>
      <c r="I7010" s="8" t="s">
        <v>4</v>
      </c>
      <c r="J7010" s="7" t="s">
        <v>7613</v>
      </c>
      <c r="K7010" s="8" t="s">
        <v>3941</v>
      </c>
      <c r="L7010" s="8" t="s">
        <v>3911</v>
      </c>
      <c r="M7010" s="8" t="s">
        <v>2100</v>
      </c>
      <c r="N7010" s="10" t="str">
        <f t="shared" si="615"/>
        <v>GAL</v>
      </c>
      <c r="O7010" s="11">
        <v>60</v>
      </c>
    </row>
    <row r="7011" spans="2:15" x14ac:dyDescent="0.25">
      <c r="B7011" s="6" t="s">
        <v>3238</v>
      </c>
      <c r="C7011" s="7" t="s">
        <v>3239</v>
      </c>
      <c r="D7011" s="8" t="s">
        <v>3240</v>
      </c>
      <c r="E7011" s="8" t="s">
        <v>102</v>
      </c>
      <c r="F7011" s="9">
        <f t="shared" si="618"/>
        <v>45673</v>
      </c>
      <c r="G7011" s="10">
        <f t="shared" si="616"/>
        <v>1</v>
      </c>
      <c r="H7011" s="10">
        <f t="shared" si="617"/>
        <v>2025</v>
      </c>
      <c r="I7011" s="8" t="s">
        <v>4</v>
      </c>
      <c r="J7011" s="7" t="s">
        <v>7613</v>
      </c>
      <c r="K7011" s="8" t="s">
        <v>3917</v>
      </c>
      <c r="L7011" s="8" t="s">
        <v>3525</v>
      </c>
      <c r="M7011" s="8" t="s">
        <v>1397</v>
      </c>
      <c r="N7011" s="10" t="str">
        <f t="shared" si="615"/>
        <v>GAL</v>
      </c>
      <c r="O7011" s="11">
        <v>60</v>
      </c>
    </row>
    <row r="7012" spans="2:15" x14ac:dyDescent="0.25">
      <c r="B7012" s="6" t="s">
        <v>3238</v>
      </c>
      <c r="C7012" s="7" t="s">
        <v>3239</v>
      </c>
      <c r="D7012" s="8" t="s">
        <v>3240</v>
      </c>
      <c r="E7012" s="8" t="s">
        <v>102</v>
      </c>
      <c r="F7012" s="9">
        <f t="shared" si="618"/>
        <v>45673</v>
      </c>
      <c r="G7012" s="10">
        <f t="shared" si="616"/>
        <v>1</v>
      </c>
      <c r="H7012" s="10">
        <f t="shared" si="617"/>
        <v>2025</v>
      </c>
      <c r="I7012" s="8" t="s">
        <v>4</v>
      </c>
      <c r="J7012" s="7" t="s">
        <v>7613</v>
      </c>
      <c r="K7012" s="8" t="s">
        <v>3535</v>
      </c>
      <c r="L7012" s="8" t="s">
        <v>3536</v>
      </c>
      <c r="M7012" s="8" t="s">
        <v>2532</v>
      </c>
      <c r="N7012" s="10" t="str">
        <f t="shared" si="615"/>
        <v>GAL</v>
      </c>
      <c r="O7012" s="11">
        <v>60</v>
      </c>
    </row>
    <row r="7013" spans="2:15" x14ac:dyDescent="0.25">
      <c r="B7013" s="6" t="s">
        <v>3238</v>
      </c>
      <c r="C7013" s="7" t="s">
        <v>3239</v>
      </c>
      <c r="D7013" s="8" t="s">
        <v>3240</v>
      </c>
      <c r="E7013" s="8" t="s">
        <v>102</v>
      </c>
      <c r="F7013" s="9">
        <f t="shared" si="618"/>
        <v>45673</v>
      </c>
      <c r="G7013" s="10">
        <f t="shared" si="616"/>
        <v>1</v>
      </c>
      <c r="H7013" s="10">
        <f t="shared" si="617"/>
        <v>2025</v>
      </c>
      <c r="I7013" s="8" t="s">
        <v>4</v>
      </c>
      <c r="J7013" s="7" t="s">
        <v>7614</v>
      </c>
      <c r="K7013" s="8" t="s">
        <v>3249</v>
      </c>
      <c r="L7013" s="8" t="s">
        <v>3250</v>
      </c>
      <c r="M7013" s="8" t="s">
        <v>3251</v>
      </c>
      <c r="N7013" s="10" t="str">
        <f t="shared" si="615"/>
        <v>GAL</v>
      </c>
      <c r="O7013" s="11">
        <v>90</v>
      </c>
    </row>
    <row r="7014" spans="2:15" x14ac:dyDescent="0.25">
      <c r="B7014" s="6" t="s">
        <v>3238</v>
      </c>
      <c r="C7014" s="7" t="s">
        <v>3239</v>
      </c>
      <c r="D7014" s="8" t="s">
        <v>3240</v>
      </c>
      <c r="E7014" s="8" t="s">
        <v>102</v>
      </c>
      <c r="F7014" s="9">
        <f t="shared" si="618"/>
        <v>45673</v>
      </c>
      <c r="G7014" s="10">
        <f t="shared" si="616"/>
        <v>1</v>
      </c>
      <c r="H7014" s="10">
        <f t="shared" si="617"/>
        <v>2025</v>
      </c>
      <c r="I7014" s="8" t="s">
        <v>4</v>
      </c>
      <c r="J7014" s="7" t="s">
        <v>7614</v>
      </c>
      <c r="K7014" s="8" t="s">
        <v>2530</v>
      </c>
      <c r="L7014" s="8" t="s">
        <v>3503</v>
      </c>
      <c r="M7014" s="8" t="s">
        <v>2532</v>
      </c>
      <c r="N7014" s="10" t="str">
        <f t="shared" si="615"/>
        <v>GAL</v>
      </c>
      <c r="O7014" s="11">
        <v>90</v>
      </c>
    </row>
    <row r="7015" spans="2:15" x14ac:dyDescent="0.25">
      <c r="B7015" s="6" t="s">
        <v>3238</v>
      </c>
      <c r="C7015" s="7" t="s">
        <v>3239</v>
      </c>
      <c r="D7015" s="8" t="s">
        <v>3240</v>
      </c>
      <c r="E7015" s="8" t="s">
        <v>102</v>
      </c>
      <c r="F7015" s="9">
        <f t="shared" si="618"/>
        <v>45673</v>
      </c>
      <c r="G7015" s="10">
        <f t="shared" si="616"/>
        <v>1</v>
      </c>
      <c r="H7015" s="10">
        <f t="shared" si="617"/>
        <v>2025</v>
      </c>
      <c r="I7015" s="8" t="s">
        <v>4</v>
      </c>
      <c r="J7015" s="7" t="s">
        <v>7615</v>
      </c>
      <c r="K7015" s="8" t="s">
        <v>1502</v>
      </c>
      <c r="L7015" s="8" t="s">
        <v>7616</v>
      </c>
      <c r="M7015" s="8" t="s">
        <v>8</v>
      </c>
      <c r="N7015" s="10" t="str">
        <f t="shared" si="615"/>
        <v>GAL</v>
      </c>
      <c r="O7015" s="11">
        <v>20</v>
      </c>
    </row>
    <row r="7016" spans="2:15" x14ac:dyDescent="0.25">
      <c r="B7016" s="6" t="s">
        <v>3238</v>
      </c>
      <c r="C7016" s="7" t="s">
        <v>3239</v>
      </c>
      <c r="D7016" s="8" t="s">
        <v>3240</v>
      </c>
      <c r="E7016" s="8" t="s">
        <v>3908</v>
      </c>
      <c r="F7016" s="9">
        <f>DATE(2025,1,17)</f>
        <v>45674</v>
      </c>
      <c r="G7016" s="10">
        <f t="shared" si="616"/>
        <v>1</v>
      </c>
      <c r="H7016" s="10">
        <f t="shared" si="617"/>
        <v>2025</v>
      </c>
      <c r="I7016" s="8" t="s">
        <v>4</v>
      </c>
      <c r="J7016" s="7" t="s">
        <v>7617</v>
      </c>
      <c r="K7016" s="8" t="s">
        <v>3399</v>
      </c>
      <c r="L7016" s="8" t="s">
        <v>3400</v>
      </c>
      <c r="M7016" s="8" t="s">
        <v>3401</v>
      </c>
      <c r="N7016" s="10" t="str">
        <f t="shared" si="615"/>
        <v>GAL</v>
      </c>
      <c r="O7016" s="11">
        <v>250</v>
      </c>
    </row>
    <row r="7017" spans="2:15" x14ac:dyDescent="0.25">
      <c r="B7017" s="6" t="s">
        <v>3238</v>
      </c>
      <c r="C7017" s="7" t="s">
        <v>3239</v>
      </c>
      <c r="D7017" s="8" t="s">
        <v>3240</v>
      </c>
      <c r="E7017" s="8" t="s">
        <v>3908</v>
      </c>
      <c r="F7017" s="9">
        <f>DATE(2025,1,17)</f>
        <v>45674</v>
      </c>
      <c r="G7017" s="10">
        <f t="shared" si="616"/>
        <v>1</v>
      </c>
      <c r="H7017" s="10">
        <f t="shared" si="617"/>
        <v>2025</v>
      </c>
      <c r="I7017" s="8" t="s">
        <v>4</v>
      </c>
      <c r="J7017" s="7" t="s">
        <v>7617</v>
      </c>
      <c r="K7017" s="8" t="s">
        <v>998</v>
      </c>
      <c r="L7017" s="8" t="s">
        <v>3526</v>
      </c>
      <c r="M7017" s="8" t="s">
        <v>1000</v>
      </c>
      <c r="N7017" s="10" t="str">
        <f t="shared" si="615"/>
        <v>GAL</v>
      </c>
      <c r="O7017" s="11">
        <v>250</v>
      </c>
    </row>
    <row r="7018" spans="2:15" x14ac:dyDescent="0.25">
      <c r="B7018" s="6" t="s">
        <v>3238</v>
      </c>
      <c r="C7018" s="7" t="s">
        <v>3239</v>
      </c>
      <c r="D7018" s="8" t="s">
        <v>3240</v>
      </c>
      <c r="E7018" s="8" t="s">
        <v>3908</v>
      </c>
      <c r="F7018" s="9">
        <f>DATE(2025,1,17)</f>
        <v>45674</v>
      </c>
      <c r="G7018" s="10">
        <f t="shared" si="616"/>
        <v>1</v>
      </c>
      <c r="H7018" s="10">
        <f t="shared" si="617"/>
        <v>2025</v>
      </c>
      <c r="I7018" s="8" t="s">
        <v>4</v>
      </c>
      <c r="J7018" s="7" t="s">
        <v>7618</v>
      </c>
      <c r="K7018" s="8" t="s">
        <v>5469</v>
      </c>
      <c r="L7018" s="8" t="s">
        <v>5470</v>
      </c>
      <c r="M7018" s="8" t="s">
        <v>1046</v>
      </c>
      <c r="N7018" s="10" t="str">
        <f t="shared" si="615"/>
        <v>GAL</v>
      </c>
      <c r="O7018" s="11">
        <v>10</v>
      </c>
    </row>
    <row r="7019" spans="2:15" x14ac:dyDescent="0.25">
      <c r="B7019" s="6" t="s">
        <v>3238</v>
      </c>
      <c r="C7019" s="7" t="s">
        <v>3239</v>
      </c>
      <c r="D7019" s="8" t="s">
        <v>3240</v>
      </c>
      <c r="E7019" s="8" t="s">
        <v>3529</v>
      </c>
      <c r="F7019" s="9">
        <f>DATE(2025,1,23)</f>
        <v>45680</v>
      </c>
      <c r="G7019" s="10">
        <f t="shared" si="616"/>
        <v>1</v>
      </c>
      <c r="H7019" s="10">
        <f t="shared" si="617"/>
        <v>2025</v>
      </c>
      <c r="I7019" s="8" t="s">
        <v>4</v>
      </c>
      <c r="J7019" s="7" t="s">
        <v>7619</v>
      </c>
      <c r="K7019" s="8" t="s">
        <v>3395</v>
      </c>
      <c r="L7019" s="8" t="s">
        <v>3396</v>
      </c>
      <c r="M7019" s="8" t="s">
        <v>844</v>
      </c>
      <c r="N7019" s="10" t="str">
        <f t="shared" si="615"/>
        <v>GAL</v>
      </c>
      <c r="O7019" s="11">
        <v>275</v>
      </c>
    </row>
    <row r="7020" spans="2:15" x14ac:dyDescent="0.25">
      <c r="B7020" s="6" t="s">
        <v>3238</v>
      </c>
      <c r="C7020" s="7" t="s">
        <v>3239</v>
      </c>
      <c r="D7020" s="8" t="s">
        <v>3240</v>
      </c>
      <c r="E7020" s="8" t="s">
        <v>102</v>
      </c>
      <c r="F7020" s="9">
        <f>DATE(2025,1,24)</f>
        <v>45681</v>
      </c>
      <c r="G7020" s="10">
        <f t="shared" si="616"/>
        <v>1</v>
      </c>
      <c r="H7020" s="10">
        <f t="shared" si="617"/>
        <v>2025</v>
      </c>
      <c r="I7020" s="8" t="s">
        <v>4</v>
      </c>
      <c r="J7020" s="7" t="s">
        <v>7620</v>
      </c>
      <c r="K7020" s="8" t="s">
        <v>5994</v>
      </c>
      <c r="L7020" s="8" t="s">
        <v>5995</v>
      </c>
      <c r="M7020" s="8" t="s">
        <v>5996</v>
      </c>
      <c r="N7020" s="10" t="str">
        <f t="shared" si="615"/>
        <v>GAL</v>
      </c>
      <c r="O7020" s="11">
        <v>60</v>
      </c>
    </row>
    <row r="7021" spans="2:15" x14ac:dyDescent="0.25">
      <c r="B7021" s="6" t="s">
        <v>3238</v>
      </c>
      <c r="C7021" s="7" t="s">
        <v>3239</v>
      </c>
      <c r="D7021" s="8" t="s">
        <v>3240</v>
      </c>
      <c r="E7021" s="8" t="s">
        <v>102</v>
      </c>
      <c r="F7021" s="9">
        <f>DATE(2025,1,24)</f>
        <v>45681</v>
      </c>
      <c r="G7021" s="10">
        <f t="shared" si="616"/>
        <v>1</v>
      </c>
      <c r="H7021" s="10">
        <f t="shared" si="617"/>
        <v>2025</v>
      </c>
      <c r="I7021" s="8" t="s">
        <v>4</v>
      </c>
      <c r="J7021" s="7" t="s">
        <v>7620</v>
      </c>
      <c r="K7021" s="8" t="s">
        <v>36</v>
      </c>
      <c r="L7021" s="8" t="s">
        <v>6154</v>
      </c>
      <c r="M7021" s="8" t="s">
        <v>38</v>
      </c>
      <c r="N7021" s="10" t="str">
        <f t="shared" si="615"/>
        <v>GAL</v>
      </c>
      <c r="O7021" s="11">
        <v>60</v>
      </c>
    </row>
    <row r="7022" spans="2:15" x14ac:dyDescent="0.25">
      <c r="B7022" s="6" t="s">
        <v>3238</v>
      </c>
      <c r="C7022" s="7" t="s">
        <v>3239</v>
      </c>
      <c r="D7022" s="8" t="s">
        <v>3240</v>
      </c>
      <c r="E7022" s="8" t="s">
        <v>102</v>
      </c>
      <c r="F7022" s="9">
        <f>DATE(2025,1,24)</f>
        <v>45681</v>
      </c>
      <c r="G7022" s="10">
        <f t="shared" si="616"/>
        <v>1</v>
      </c>
      <c r="H7022" s="10">
        <f t="shared" si="617"/>
        <v>2025</v>
      </c>
      <c r="I7022" s="8" t="s">
        <v>4</v>
      </c>
      <c r="J7022" s="7" t="s">
        <v>7620</v>
      </c>
      <c r="K7022" s="8" t="s">
        <v>19</v>
      </c>
      <c r="L7022" s="8" t="s">
        <v>6275</v>
      </c>
      <c r="M7022" s="8" t="s">
        <v>21</v>
      </c>
      <c r="N7022" s="10" t="str">
        <f t="shared" si="615"/>
        <v>GAL</v>
      </c>
      <c r="O7022" s="11">
        <v>60</v>
      </c>
    </row>
    <row r="7023" spans="2:15" x14ac:dyDescent="0.25">
      <c r="B7023" s="6" t="s">
        <v>3238</v>
      </c>
      <c r="C7023" s="7" t="s">
        <v>3239</v>
      </c>
      <c r="D7023" s="8" t="s">
        <v>3240</v>
      </c>
      <c r="E7023" s="8" t="s">
        <v>3944</v>
      </c>
      <c r="F7023" s="9">
        <f>DATE(2025,1,30)</f>
        <v>45687</v>
      </c>
      <c r="G7023" s="10">
        <f t="shared" si="616"/>
        <v>1</v>
      </c>
      <c r="H7023" s="10">
        <f t="shared" si="617"/>
        <v>2025</v>
      </c>
      <c r="I7023" s="8" t="s">
        <v>4</v>
      </c>
      <c r="J7023" s="7" t="s">
        <v>7621</v>
      </c>
      <c r="K7023" s="8" t="s">
        <v>6390</v>
      </c>
      <c r="L7023" s="8" t="s">
        <v>5978</v>
      </c>
      <c r="M7023" s="8" t="s">
        <v>3299</v>
      </c>
      <c r="N7023" s="10" t="str">
        <f t="shared" si="615"/>
        <v>GAL</v>
      </c>
      <c r="O7023" s="11">
        <v>55</v>
      </c>
    </row>
    <row r="7024" spans="2:15" x14ac:dyDescent="0.25">
      <c r="B7024" s="6" t="s">
        <v>3238</v>
      </c>
      <c r="C7024" s="7" t="s">
        <v>3239</v>
      </c>
      <c r="D7024" s="8" t="s">
        <v>3240</v>
      </c>
      <c r="E7024" s="8" t="s">
        <v>102</v>
      </c>
      <c r="F7024" s="9">
        <f>DATE(2025,1,30)</f>
        <v>45687</v>
      </c>
      <c r="G7024" s="10">
        <f t="shared" si="616"/>
        <v>1</v>
      </c>
      <c r="H7024" s="10">
        <f t="shared" si="617"/>
        <v>2025</v>
      </c>
      <c r="I7024" s="8" t="s">
        <v>4</v>
      </c>
      <c r="J7024" s="7" t="s">
        <v>7622</v>
      </c>
      <c r="K7024" s="8" t="s">
        <v>5469</v>
      </c>
      <c r="L7024" s="8" t="s">
        <v>5470</v>
      </c>
      <c r="M7024" s="8" t="s">
        <v>1046</v>
      </c>
      <c r="N7024" s="10" t="str">
        <f t="shared" si="615"/>
        <v>GAL</v>
      </c>
      <c r="O7024" s="11">
        <v>60</v>
      </c>
    </row>
    <row r="7025" spans="2:15" x14ac:dyDescent="0.25">
      <c r="B7025" s="6" t="s">
        <v>3238</v>
      </c>
      <c r="C7025" s="7" t="s">
        <v>3239</v>
      </c>
      <c r="D7025" s="8" t="s">
        <v>3240</v>
      </c>
      <c r="E7025" s="8" t="s">
        <v>102</v>
      </c>
      <c r="F7025" s="9">
        <f>DATE(2025,1,30)</f>
        <v>45687</v>
      </c>
      <c r="G7025" s="10">
        <f t="shared" si="616"/>
        <v>1</v>
      </c>
      <c r="H7025" s="10">
        <f t="shared" si="617"/>
        <v>2025</v>
      </c>
      <c r="I7025" s="8" t="s">
        <v>4</v>
      </c>
      <c r="J7025" s="7" t="s">
        <v>7622</v>
      </c>
      <c r="K7025" s="8" t="s">
        <v>5971</v>
      </c>
      <c r="L7025" s="8" t="s">
        <v>3515</v>
      </c>
      <c r="M7025" s="8" t="s">
        <v>3516</v>
      </c>
      <c r="N7025" s="10" t="str">
        <f t="shared" si="615"/>
        <v>GAL</v>
      </c>
      <c r="O7025" s="11">
        <v>60</v>
      </c>
    </row>
    <row r="7026" spans="2:15" x14ac:dyDescent="0.25">
      <c r="B7026" s="6" t="s">
        <v>3238</v>
      </c>
      <c r="C7026" s="7" t="s">
        <v>3239</v>
      </c>
      <c r="D7026" s="8" t="s">
        <v>3240</v>
      </c>
      <c r="E7026" s="8" t="s">
        <v>102</v>
      </c>
      <c r="F7026" s="9">
        <f>DATE(2025,1,30)</f>
        <v>45687</v>
      </c>
      <c r="G7026" s="10">
        <f t="shared" si="616"/>
        <v>1</v>
      </c>
      <c r="H7026" s="10">
        <f t="shared" si="617"/>
        <v>2025</v>
      </c>
      <c r="I7026" s="8" t="s">
        <v>4</v>
      </c>
      <c r="J7026" s="7" t="s">
        <v>7622</v>
      </c>
      <c r="K7026" s="8" t="s">
        <v>3521</v>
      </c>
      <c r="L7026" s="8" t="s">
        <v>3498</v>
      </c>
      <c r="M7026" s="8" t="s">
        <v>556</v>
      </c>
      <c r="N7026" s="10" t="str">
        <f t="shared" si="615"/>
        <v>GAL</v>
      </c>
      <c r="O7026" s="11">
        <v>60</v>
      </c>
    </row>
    <row r="7027" spans="2:15" x14ac:dyDescent="0.25">
      <c r="B7027" s="6" t="s">
        <v>3238</v>
      </c>
      <c r="C7027" s="7" t="s">
        <v>3239</v>
      </c>
      <c r="D7027" s="8" t="s">
        <v>3240</v>
      </c>
      <c r="E7027" s="8" t="s">
        <v>3944</v>
      </c>
      <c r="F7027" s="9">
        <f>DATE(2025,1,30)</f>
        <v>45687</v>
      </c>
      <c r="G7027" s="10">
        <f t="shared" si="616"/>
        <v>1</v>
      </c>
      <c r="H7027" s="10">
        <f t="shared" si="617"/>
        <v>2025</v>
      </c>
      <c r="I7027" s="8" t="s">
        <v>4</v>
      </c>
      <c r="J7027" s="7" t="s">
        <v>7623</v>
      </c>
      <c r="K7027" s="8" t="s">
        <v>3925</v>
      </c>
      <c r="L7027" s="8" t="s">
        <v>4264</v>
      </c>
      <c r="M7027" s="8" t="s">
        <v>119</v>
      </c>
      <c r="N7027" s="10" t="str">
        <f t="shared" si="615"/>
        <v>TON</v>
      </c>
      <c r="O7027" s="11">
        <v>0.27579999999999999</v>
      </c>
    </row>
    <row r="7028" spans="2:15" x14ac:dyDescent="0.25">
      <c r="B7028" s="16" t="s">
        <v>0</v>
      </c>
      <c r="C7028" s="17" t="s">
        <v>1</v>
      </c>
      <c r="D7028" s="17" t="s">
        <v>2</v>
      </c>
      <c r="E7028" s="17" t="s">
        <v>4287</v>
      </c>
      <c r="F7028" s="18">
        <f t="shared" ref="F7028:F7033" si="619">DATE(2025,2,10)</f>
        <v>45698</v>
      </c>
      <c r="G7028" s="22">
        <f t="shared" si="616"/>
        <v>2</v>
      </c>
      <c r="H7028" s="22">
        <f t="shared" si="617"/>
        <v>2025</v>
      </c>
      <c r="I7028" s="17" t="s">
        <v>4</v>
      </c>
      <c r="J7028" s="17" t="s">
        <v>7624</v>
      </c>
      <c r="K7028" s="17" t="s">
        <v>28</v>
      </c>
      <c r="L7028" s="17" t="s">
        <v>29</v>
      </c>
      <c r="M7028" s="17" t="s">
        <v>30</v>
      </c>
      <c r="N7028" s="22" t="str">
        <f t="shared" si="615"/>
        <v>GAL</v>
      </c>
      <c r="O7028" s="19">
        <v>120</v>
      </c>
    </row>
    <row r="7029" spans="2:15" x14ac:dyDescent="0.25">
      <c r="B7029" s="16" t="s">
        <v>0</v>
      </c>
      <c r="C7029" s="17" t="s">
        <v>1</v>
      </c>
      <c r="D7029" s="17" t="s">
        <v>2</v>
      </c>
      <c r="E7029" s="17" t="s">
        <v>4287</v>
      </c>
      <c r="F7029" s="18">
        <f t="shared" si="619"/>
        <v>45698</v>
      </c>
      <c r="G7029" s="22">
        <f t="shared" si="616"/>
        <v>2</v>
      </c>
      <c r="H7029" s="22">
        <f t="shared" si="617"/>
        <v>2025</v>
      </c>
      <c r="I7029" s="17" t="s">
        <v>4</v>
      </c>
      <c r="J7029" s="17" t="s">
        <v>7624</v>
      </c>
      <c r="K7029" s="17" t="s">
        <v>574</v>
      </c>
      <c r="L7029" s="17" t="s">
        <v>66</v>
      </c>
      <c r="M7029" s="17" t="s">
        <v>67</v>
      </c>
      <c r="N7029" s="22" t="str">
        <f t="shared" si="615"/>
        <v>GAL</v>
      </c>
      <c r="O7029" s="19">
        <v>60</v>
      </c>
    </row>
    <row r="7030" spans="2:15" x14ac:dyDescent="0.25">
      <c r="B7030" s="16" t="s">
        <v>0</v>
      </c>
      <c r="C7030" s="17" t="s">
        <v>1</v>
      </c>
      <c r="D7030" s="17" t="s">
        <v>2</v>
      </c>
      <c r="E7030" s="17" t="s">
        <v>4287</v>
      </c>
      <c r="F7030" s="18">
        <f t="shared" si="619"/>
        <v>45698</v>
      </c>
      <c r="G7030" s="22">
        <f t="shared" si="616"/>
        <v>2</v>
      </c>
      <c r="H7030" s="22">
        <f t="shared" si="617"/>
        <v>2025</v>
      </c>
      <c r="I7030" s="17" t="s">
        <v>4</v>
      </c>
      <c r="J7030" s="17" t="s">
        <v>7624</v>
      </c>
      <c r="K7030" s="17" t="s">
        <v>25</v>
      </c>
      <c r="L7030" s="17" t="s">
        <v>26</v>
      </c>
      <c r="M7030" s="17" t="s">
        <v>27</v>
      </c>
      <c r="N7030" s="22" t="str">
        <f t="shared" si="615"/>
        <v>GAL</v>
      </c>
      <c r="O7030" s="19">
        <v>120</v>
      </c>
    </row>
    <row r="7031" spans="2:15" x14ac:dyDescent="0.25">
      <c r="B7031" s="16" t="s">
        <v>0</v>
      </c>
      <c r="C7031" s="17" t="s">
        <v>1</v>
      </c>
      <c r="D7031" s="17" t="s">
        <v>2</v>
      </c>
      <c r="E7031" s="17" t="s">
        <v>4287</v>
      </c>
      <c r="F7031" s="18">
        <f t="shared" si="619"/>
        <v>45698</v>
      </c>
      <c r="G7031" s="22">
        <f t="shared" si="616"/>
        <v>2</v>
      </c>
      <c r="H7031" s="22">
        <f t="shared" si="617"/>
        <v>2025</v>
      </c>
      <c r="I7031" s="17" t="s">
        <v>4</v>
      </c>
      <c r="J7031" s="17" t="s">
        <v>7624</v>
      </c>
      <c r="K7031" s="17" t="s">
        <v>36</v>
      </c>
      <c r="L7031" s="17" t="s">
        <v>37</v>
      </c>
      <c r="M7031" s="17" t="s">
        <v>38</v>
      </c>
      <c r="N7031" s="22" t="str">
        <f t="shared" si="615"/>
        <v>GAL</v>
      </c>
      <c r="O7031" s="19">
        <v>60</v>
      </c>
    </row>
    <row r="7032" spans="2:15" x14ac:dyDescent="0.25">
      <c r="B7032" s="16" t="s">
        <v>0</v>
      </c>
      <c r="C7032" s="17" t="s">
        <v>1</v>
      </c>
      <c r="D7032" s="17" t="s">
        <v>2</v>
      </c>
      <c r="E7032" s="17" t="s">
        <v>4287</v>
      </c>
      <c r="F7032" s="18">
        <f t="shared" si="619"/>
        <v>45698</v>
      </c>
      <c r="G7032" s="22">
        <f t="shared" si="616"/>
        <v>2</v>
      </c>
      <c r="H7032" s="22">
        <f t="shared" si="617"/>
        <v>2025</v>
      </c>
      <c r="I7032" s="17" t="s">
        <v>4</v>
      </c>
      <c r="J7032" s="17" t="s">
        <v>7624</v>
      </c>
      <c r="K7032" s="17" t="s">
        <v>16</v>
      </c>
      <c r="L7032" s="17" t="s">
        <v>7</v>
      </c>
      <c r="M7032" s="17" t="s">
        <v>8</v>
      </c>
      <c r="N7032" s="22" t="str">
        <f t="shared" si="615"/>
        <v>GAL</v>
      </c>
      <c r="O7032" s="19">
        <v>120</v>
      </c>
    </row>
    <row r="7033" spans="2:15" x14ac:dyDescent="0.25">
      <c r="B7033" s="16" t="s">
        <v>0</v>
      </c>
      <c r="C7033" s="17" t="s">
        <v>1</v>
      </c>
      <c r="D7033" s="17" t="s">
        <v>2</v>
      </c>
      <c r="E7033" s="17" t="s">
        <v>4287</v>
      </c>
      <c r="F7033" s="18">
        <f t="shared" si="619"/>
        <v>45698</v>
      </c>
      <c r="G7033" s="22">
        <f t="shared" si="616"/>
        <v>2</v>
      </c>
      <c r="H7033" s="22">
        <f t="shared" si="617"/>
        <v>2025</v>
      </c>
      <c r="I7033" s="17" t="s">
        <v>4</v>
      </c>
      <c r="J7033" s="17" t="s">
        <v>7624</v>
      </c>
      <c r="K7033" s="17" t="s">
        <v>19</v>
      </c>
      <c r="L7033" s="17" t="s">
        <v>6006</v>
      </c>
      <c r="M7033" s="17" t="s">
        <v>21</v>
      </c>
      <c r="N7033" s="22" t="str">
        <f t="shared" si="615"/>
        <v>GAL</v>
      </c>
      <c r="O7033" s="19">
        <v>120</v>
      </c>
    </row>
    <row r="7034" spans="2:15" x14ac:dyDescent="0.25">
      <c r="B7034" s="16" t="s">
        <v>0</v>
      </c>
      <c r="C7034" s="17" t="s">
        <v>1</v>
      </c>
      <c r="D7034" s="17" t="s">
        <v>2</v>
      </c>
      <c r="E7034" s="17" t="s">
        <v>1790</v>
      </c>
      <c r="F7034" s="18">
        <f t="shared" ref="F7034:F7040" si="620">DATE(2025,2,21)</f>
        <v>45709</v>
      </c>
      <c r="G7034" s="22">
        <f t="shared" si="616"/>
        <v>2</v>
      </c>
      <c r="H7034" s="22">
        <f t="shared" si="617"/>
        <v>2025</v>
      </c>
      <c r="I7034" s="17" t="s">
        <v>4</v>
      </c>
      <c r="J7034" s="17" t="s">
        <v>7625</v>
      </c>
      <c r="K7034" s="17" t="s">
        <v>22</v>
      </c>
      <c r="L7034" s="17" t="s">
        <v>23</v>
      </c>
      <c r="M7034" s="17" t="s">
        <v>24</v>
      </c>
      <c r="N7034" s="22" t="str">
        <f t="shared" si="615"/>
        <v>GAL</v>
      </c>
      <c r="O7034" s="19">
        <v>40</v>
      </c>
    </row>
    <row r="7035" spans="2:15" x14ac:dyDescent="0.25">
      <c r="B7035" s="16" t="s">
        <v>0</v>
      </c>
      <c r="C7035" s="17" t="s">
        <v>1</v>
      </c>
      <c r="D7035" s="17" t="s">
        <v>2</v>
      </c>
      <c r="E7035" s="17" t="s">
        <v>1790</v>
      </c>
      <c r="F7035" s="18">
        <f t="shared" si="620"/>
        <v>45709</v>
      </c>
      <c r="G7035" s="22">
        <f t="shared" si="616"/>
        <v>2</v>
      </c>
      <c r="H7035" s="22">
        <f t="shared" si="617"/>
        <v>2025</v>
      </c>
      <c r="I7035" s="17" t="s">
        <v>4</v>
      </c>
      <c r="J7035" s="17" t="s">
        <v>7625</v>
      </c>
      <c r="K7035" s="17" t="s">
        <v>28</v>
      </c>
      <c r="L7035" s="17" t="s">
        <v>29</v>
      </c>
      <c r="M7035" s="17" t="s">
        <v>30</v>
      </c>
      <c r="N7035" s="22" t="str">
        <f t="shared" si="615"/>
        <v>GAL</v>
      </c>
      <c r="O7035" s="19">
        <v>40</v>
      </c>
    </row>
    <row r="7036" spans="2:15" x14ac:dyDescent="0.25">
      <c r="B7036" s="16" t="s">
        <v>0</v>
      </c>
      <c r="C7036" s="17" t="s">
        <v>1</v>
      </c>
      <c r="D7036" s="17" t="s">
        <v>2</v>
      </c>
      <c r="E7036" s="17" t="s">
        <v>1790</v>
      </c>
      <c r="F7036" s="18">
        <f t="shared" si="620"/>
        <v>45709</v>
      </c>
      <c r="G7036" s="22">
        <f t="shared" si="616"/>
        <v>2</v>
      </c>
      <c r="H7036" s="22">
        <f t="shared" si="617"/>
        <v>2025</v>
      </c>
      <c r="I7036" s="17" t="s">
        <v>4</v>
      </c>
      <c r="J7036" s="17" t="s">
        <v>7625</v>
      </c>
      <c r="K7036" s="17" t="s">
        <v>25</v>
      </c>
      <c r="L7036" s="17" t="s">
        <v>26</v>
      </c>
      <c r="M7036" s="17" t="s">
        <v>27</v>
      </c>
      <c r="N7036" s="22" t="str">
        <f t="shared" si="615"/>
        <v>GAL</v>
      </c>
      <c r="O7036" s="19">
        <v>40</v>
      </c>
    </row>
    <row r="7037" spans="2:15" x14ac:dyDescent="0.25">
      <c r="B7037" s="16" t="s">
        <v>0</v>
      </c>
      <c r="C7037" s="17" t="s">
        <v>1</v>
      </c>
      <c r="D7037" s="17" t="s">
        <v>2</v>
      </c>
      <c r="E7037" s="17" t="s">
        <v>1790</v>
      </c>
      <c r="F7037" s="18">
        <f t="shared" si="620"/>
        <v>45709</v>
      </c>
      <c r="G7037" s="22">
        <f t="shared" si="616"/>
        <v>2</v>
      </c>
      <c r="H7037" s="22">
        <f t="shared" si="617"/>
        <v>2025</v>
      </c>
      <c r="I7037" s="17" t="s">
        <v>4</v>
      </c>
      <c r="J7037" s="17" t="s">
        <v>7625</v>
      </c>
      <c r="K7037" s="17" t="s">
        <v>16</v>
      </c>
      <c r="L7037" s="17" t="s">
        <v>7</v>
      </c>
      <c r="M7037" s="17" t="s">
        <v>8</v>
      </c>
      <c r="N7037" s="22" t="str">
        <f t="shared" si="615"/>
        <v>GAL</v>
      </c>
      <c r="O7037" s="19">
        <v>40</v>
      </c>
    </row>
    <row r="7038" spans="2:15" x14ac:dyDescent="0.25">
      <c r="B7038" s="16" t="s">
        <v>0</v>
      </c>
      <c r="C7038" s="17" t="s">
        <v>1</v>
      </c>
      <c r="D7038" s="17" t="s">
        <v>2</v>
      </c>
      <c r="E7038" s="17" t="s">
        <v>1790</v>
      </c>
      <c r="F7038" s="18">
        <f t="shared" si="620"/>
        <v>45709</v>
      </c>
      <c r="G7038" s="22">
        <f t="shared" si="616"/>
        <v>2</v>
      </c>
      <c r="H7038" s="22">
        <f t="shared" si="617"/>
        <v>2025</v>
      </c>
      <c r="I7038" s="17" t="s">
        <v>4</v>
      </c>
      <c r="J7038" s="17" t="s">
        <v>7625</v>
      </c>
      <c r="K7038" s="17" t="s">
        <v>19</v>
      </c>
      <c r="L7038" s="17" t="s">
        <v>6006</v>
      </c>
      <c r="M7038" s="17" t="s">
        <v>21</v>
      </c>
      <c r="N7038" s="22" t="str">
        <f t="shared" ref="N7038:N7101" si="621">+LEFT(M7038,3)</f>
        <v>GAL</v>
      </c>
      <c r="O7038" s="19">
        <v>40</v>
      </c>
    </row>
    <row r="7039" spans="2:15" x14ac:dyDescent="0.25">
      <c r="B7039" s="16" t="s">
        <v>0</v>
      </c>
      <c r="C7039" s="17" t="s">
        <v>1</v>
      </c>
      <c r="D7039" s="17" t="s">
        <v>2</v>
      </c>
      <c r="E7039" s="17" t="s">
        <v>6413</v>
      </c>
      <c r="F7039" s="18">
        <f t="shared" si="620"/>
        <v>45709</v>
      </c>
      <c r="G7039" s="22">
        <f t="shared" si="616"/>
        <v>2</v>
      </c>
      <c r="H7039" s="22">
        <f t="shared" si="617"/>
        <v>2025</v>
      </c>
      <c r="I7039" s="17" t="s">
        <v>4</v>
      </c>
      <c r="J7039" s="17" t="s">
        <v>7626</v>
      </c>
      <c r="K7039" s="17" t="s">
        <v>6</v>
      </c>
      <c r="L7039" s="17" t="s">
        <v>7</v>
      </c>
      <c r="M7039" s="17" t="s">
        <v>8</v>
      </c>
      <c r="N7039" s="22" t="str">
        <f t="shared" si="621"/>
        <v>GAL</v>
      </c>
      <c r="O7039" s="19">
        <v>55</v>
      </c>
    </row>
    <row r="7040" spans="2:15" x14ac:dyDescent="0.25">
      <c r="B7040" s="16" t="s">
        <v>0</v>
      </c>
      <c r="C7040" s="17" t="s">
        <v>1</v>
      </c>
      <c r="D7040" s="17" t="s">
        <v>2</v>
      </c>
      <c r="E7040" s="17" t="s">
        <v>6413</v>
      </c>
      <c r="F7040" s="18">
        <f t="shared" si="620"/>
        <v>45709</v>
      </c>
      <c r="G7040" s="22">
        <f t="shared" si="616"/>
        <v>2</v>
      </c>
      <c r="H7040" s="22">
        <f t="shared" si="617"/>
        <v>2025</v>
      </c>
      <c r="I7040" s="17" t="s">
        <v>4</v>
      </c>
      <c r="J7040" s="17" t="s">
        <v>7626</v>
      </c>
      <c r="K7040" s="17" t="s">
        <v>566</v>
      </c>
      <c r="L7040" s="17" t="s">
        <v>20</v>
      </c>
      <c r="M7040" s="17" t="s">
        <v>21</v>
      </c>
      <c r="N7040" s="22" t="str">
        <f t="shared" si="621"/>
        <v>GAL</v>
      </c>
      <c r="O7040" s="19">
        <v>55</v>
      </c>
    </row>
    <row r="7041" spans="2:15" x14ac:dyDescent="0.25">
      <c r="B7041" s="16" t="s">
        <v>0</v>
      </c>
      <c r="C7041" s="17" t="s">
        <v>1</v>
      </c>
      <c r="D7041" s="17" t="s">
        <v>2</v>
      </c>
      <c r="E7041" s="17" t="s">
        <v>1784</v>
      </c>
      <c r="F7041" s="18">
        <f>DATE(2025,2,25)</f>
        <v>45713</v>
      </c>
      <c r="G7041" s="22">
        <f t="shared" si="616"/>
        <v>2</v>
      </c>
      <c r="H7041" s="22">
        <f t="shared" si="617"/>
        <v>2025</v>
      </c>
      <c r="I7041" s="17" t="s">
        <v>4</v>
      </c>
      <c r="J7041" s="17" t="s">
        <v>7627</v>
      </c>
      <c r="K7041" s="17" t="s">
        <v>28</v>
      </c>
      <c r="L7041" s="17" t="s">
        <v>29</v>
      </c>
      <c r="M7041" s="17" t="s">
        <v>30</v>
      </c>
      <c r="N7041" s="22" t="str">
        <f t="shared" si="621"/>
        <v>GAL</v>
      </c>
      <c r="O7041" s="19">
        <v>30</v>
      </c>
    </row>
    <row r="7042" spans="2:15" x14ac:dyDescent="0.25">
      <c r="B7042" s="16" t="s">
        <v>0</v>
      </c>
      <c r="C7042" s="17" t="s">
        <v>1</v>
      </c>
      <c r="D7042" s="17" t="s">
        <v>2</v>
      </c>
      <c r="E7042" s="17" t="s">
        <v>1784</v>
      </c>
      <c r="F7042" s="18">
        <f>DATE(2025,2,25)</f>
        <v>45713</v>
      </c>
      <c r="G7042" s="22">
        <f t="shared" si="616"/>
        <v>2</v>
      </c>
      <c r="H7042" s="22">
        <f t="shared" si="617"/>
        <v>2025</v>
      </c>
      <c r="I7042" s="17" t="s">
        <v>4</v>
      </c>
      <c r="J7042" s="17" t="s">
        <v>7627</v>
      </c>
      <c r="K7042" s="17" t="s">
        <v>1786</v>
      </c>
      <c r="L7042" s="17" t="s">
        <v>84</v>
      </c>
      <c r="M7042" s="17" t="s">
        <v>85</v>
      </c>
      <c r="N7042" s="22" t="str">
        <f t="shared" si="621"/>
        <v>GAL</v>
      </c>
      <c r="O7042" s="19">
        <v>55</v>
      </c>
    </row>
    <row r="7043" spans="2:15" x14ac:dyDescent="0.25">
      <c r="B7043" s="16" t="s">
        <v>0</v>
      </c>
      <c r="C7043" s="17" t="s">
        <v>1</v>
      </c>
      <c r="D7043" s="17" t="s">
        <v>2</v>
      </c>
      <c r="E7043" s="17" t="s">
        <v>1784</v>
      </c>
      <c r="F7043" s="18">
        <f>DATE(2025,2,25)</f>
        <v>45713</v>
      </c>
      <c r="G7043" s="22">
        <f t="shared" si="616"/>
        <v>2</v>
      </c>
      <c r="H7043" s="22">
        <f t="shared" si="617"/>
        <v>2025</v>
      </c>
      <c r="I7043" s="17" t="s">
        <v>4</v>
      </c>
      <c r="J7043" s="17" t="s">
        <v>7627</v>
      </c>
      <c r="K7043" s="17" t="s">
        <v>540</v>
      </c>
      <c r="L7043" s="17" t="s">
        <v>26</v>
      </c>
      <c r="M7043" s="17" t="s">
        <v>27</v>
      </c>
      <c r="N7043" s="22" t="str">
        <f t="shared" si="621"/>
        <v>GAL</v>
      </c>
      <c r="O7043" s="19">
        <v>55</v>
      </c>
    </row>
    <row r="7044" spans="2:15" x14ac:dyDescent="0.25">
      <c r="B7044" s="16" t="s">
        <v>0</v>
      </c>
      <c r="C7044" s="17" t="s">
        <v>1</v>
      </c>
      <c r="D7044" s="17" t="s">
        <v>2</v>
      </c>
      <c r="E7044" s="17" t="s">
        <v>1784</v>
      </c>
      <c r="F7044" s="18">
        <f>DATE(2025,2,25)</f>
        <v>45713</v>
      </c>
      <c r="G7044" s="22">
        <f t="shared" si="616"/>
        <v>2</v>
      </c>
      <c r="H7044" s="22">
        <f t="shared" si="617"/>
        <v>2025</v>
      </c>
      <c r="I7044" s="17" t="s">
        <v>4</v>
      </c>
      <c r="J7044" s="17" t="s">
        <v>7627</v>
      </c>
      <c r="K7044" s="17" t="s">
        <v>6</v>
      </c>
      <c r="L7044" s="17" t="s">
        <v>7</v>
      </c>
      <c r="M7044" s="17" t="s">
        <v>8</v>
      </c>
      <c r="N7044" s="22" t="str">
        <f t="shared" si="621"/>
        <v>GAL</v>
      </c>
      <c r="O7044" s="19">
        <v>55</v>
      </c>
    </row>
    <row r="7045" spans="2:15" x14ac:dyDescent="0.25">
      <c r="B7045" s="16" t="s">
        <v>88</v>
      </c>
      <c r="C7045" s="17" t="s">
        <v>89</v>
      </c>
      <c r="D7045" s="17" t="s">
        <v>3962</v>
      </c>
      <c r="E7045" s="17" t="s">
        <v>102</v>
      </c>
      <c r="F7045" s="18">
        <f>DATE(2025,2,4)</f>
        <v>45692</v>
      </c>
      <c r="G7045" s="22">
        <f t="shared" si="616"/>
        <v>2</v>
      </c>
      <c r="H7045" s="22">
        <f t="shared" si="617"/>
        <v>2025</v>
      </c>
      <c r="I7045" s="17" t="s">
        <v>4</v>
      </c>
      <c r="J7045" s="17" t="s">
        <v>7628</v>
      </c>
      <c r="K7045" s="17" t="s">
        <v>171</v>
      </c>
      <c r="L7045" s="17" t="s">
        <v>172</v>
      </c>
      <c r="M7045" s="17" t="s">
        <v>27</v>
      </c>
      <c r="N7045" s="22" t="str">
        <f t="shared" si="621"/>
        <v>GAL</v>
      </c>
      <c r="O7045" s="19">
        <v>2.5</v>
      </c>
    </row>
    <row r="7046" spans="2:15" x14ac:dyDescent="0.25">
      <c r="B7046" s="16" t="s">
        <v>88</v>
      </c>
      <c r="C7046" s="17" t="s">
        <v>89</v>
      </c>
      <c r="D7046" s="17" t="s">
        <v>6019</v>
      </c>
      <c r="E7046" s="17" t="s">
        <v>6020</v>
      </c>
      <c r="F7046" s="18">
        <f>DATE(2025,2,4)</f>
        <v>45692</v>
      </c>
      <c r="G7046" s="22">
        <f t="shared" si="616"/>
        <v>2</v>
      </c>
      <c r="H7046" s="22">
        <f t="shared" si="617"/>
        <v>2025</v>
      </c>
      <c r="I7046" s="17" t="s">
        <v>4</v>
      </c>
      <c r="J7046" s="17" t="s">
        <v>7629</v>
      </c>
      <c r="K7046" s="17" t="s">
        <v>7630</v>
      </c>
      <c r="L7046" s="17" t="s">
        <v>7631</v>
      </c>
      <c r="M7046" s="17" t="s">
        <v>4204</v>
      </c>
      <c r="N7046" s="22" t="str">
        <f t="shared" si="621"/>
        <v>GAL</v>
      </c>
      <c r="O7046" s="19">
        <v>7090</v>
      </c>
    </row>
    <row r="7047" spans="2:15" x14ac:dyDescent="0.25">
      <c r="B7047" s="16" t="s">
        <v>88</v>
      </c>
      <c r="C7047" s="17" t="s">
        <v>89</v>
      </c>
      <c r="D7047" s="17" t="s">
        <v>1111</v>
      </c>
      <c r="E7047" s="17" t="s">
        <v>1112</v>
      </c>
      <c r="F7047" s="18">
        <f>DATE(2025,2,4)</f>
        <v>45692</v>
      </c>
      <c r="G7047" s="22">
        <f t="shared" si="616"/>
        <v>2</v>
      </c>
      <c r="H7047" s="22">
        <f t="shared" si="617"/>
        <v>2025</v>
      </c>
      <c r="I7047" s="17" t="s">
        <v>4</v>
      </c>
      <c r="J7047" s="17" t="s">
        <v>7632</v>
      </c>
      <c r="K7047" s="17" t="s">
        <v>2629</v>
      </c>
      <c r="L7047" s="17" t="s">
        <v>2630</v>
      </c>
      <c r="M7047" s="17" t="s">
        <v>2631</v>
      </c>
      <c r="N7047" s="22" t="str">
        <f t="shared" si="621"/>
        <v>GAL</v>
      </c>
      <c r="O7047" s="19">
        <v>70</v>
      </c>
    </row>
    <row r="7048" spans="2:15" x14ac:dyDescent="0.25">
      <c r="B7048" s="16" t="s">
        <v>88</v>
      </c>
      <c r="C7048" s="17" t="s">
        <v>89</v>
      </c>
      <c r="D7048" s="17" t="s">
        <v>6019</v>
      </c>
      <c r="E7048" s="17" t="s">
        <v>7633</v>
      </c>
      <c r="F7048" s="18">
        <f>DATE(2025,2,5)</f>
        <v>45693</v>
      </c>
      <c r="G7048" s="22">
        <f t="shared" si="616"/>
        <v>2</v>
      </c>
      <c r="H7048" s="22">
        <f t="shared" si="617"/>
        <v>2025</v>
      </c>
      <c r="I7048" s="17" t="s">
        <v>4</v>
      </c>
      <c r="J7048" s="17" t="s">
        <v>7634</v>
      </c>
      <c r="K7048" s="17" t="s">
        <v>7630</v>
      </c>
      <c r="L7048" s="17" t="s">
        <v>7631</v>
      </c>
      <c r="M7048" s="17" t="s">
        <v>4204</v>
      </c>
      <c r="N7048" s="22" t="str">
        <f t="shared" si="621"/>
        <v>GAL</v>
      </c>
      <c r="O7048" s="19">
        <v>6947</v>
      </c>
    </row>
    <row r="7049" spans="2:15" x14ac:dyDescent="0.25">
      <c r="B7049" s="16" t="s">
        <v>88</v>
      </c>
      <c r="C7049" s="17" t="s">
        <v>89</v>
      </c>
      <c r="D7049" s="17" t="s">
        <v>557</v>
      </c>
      <c r="E7049" s="17" t="s">
        <v>1090</v>
      </c>
      <c r="F7049" s="18">
        <f>DATE(2025,2,10)</f>
        <v>45698</v>
      </c>
      <c r="G7049" s="22">
        <f t="shared" si="616"/>
        <v>2</v>
      </c>
      <c r="H7049" s="22">
        <f t="shared" si="617"/>
        <v>2025</v>
      </c>
      <c r="I7049" s="17" t="s">
        <v>4</v>
      </c>
      <c r="J7049" s="17" t="s">
        <v>7635</v>
      </c>
      <c r="K7049" s="17" t="s">
        <v>569</v>
      </c>
      <c r="L7049" s="17" t="s">
        <v>570</v>
      </c>
      <c r="M7049" s="17" t="s">
        <v>106</v>
      </c>
      <c r="N7049" s="22" t="str">
        <f t="shared" si="621"/>
        <v>LBS</v>
      </c>
      <c r="O7049" s="19">
        <v>2500</v>
      </c>
    </row>
    <row r="7050" spans="2:15" x14ac:dyDescent="0.25">
      <c r="B7050" s="16" t="s">
        <v>88</v>
      </c>
      <c r="C7050" s="17" t="s">
        <v>89</v>
      </c>
      <c r="D7050" s="17" t="s">
        <v>1444</v>
      </c>
      <c r="E7050" s="17" t="s">
        <v>102</v>
      </c>
      <c r="F7050" s="18">
        <f>DATE(2025,2,11)</f>
        <v>45699</v>
      </c>
      <c r="G7050" s="22">
        <f t="shared" si="616"/>
        <v>2</v>
      </c>
      <c r="H7050" s="22">
        <f t="shared" si="617"/>
        <v>2025</v>
      </c>
      <c r="I7050" s="17" t="s">
        <v>4</v>
      </c>
      <c r="J7050" s="17" t="s">
        <v>7636</v>
      </c>
      <c r="K7050" s="17" t="s">
        <v>1446</v>
      </c>
      <c r="L7050" s="17" t="s">
        <v>2581</v>
      </c>
      <c r="M7050" s="17" t="s">
        <v>1448</v>
      </c>
      <c r="N7050" s="22" t="str">
        <f t="shared" si="621"/>
        <v>GAL</v>
      </c>
      <c r="O7050" s="19">
        <v>360</v>
      </c>
    </row>
    <row r="7051" spans="2:15" x14ac:dyDescent="0.25">
      <c r="B7051" s="16" t="s">
        <v>88</v>
      </c>
      <c r="C7051" s="17" t="s">
        <v>89</v>
      </c>
      <c r="D7051" s="17" t="s">
        <v>7024</v>
      </c>
      <c r="E7051" s="17" t="s">
        <v>7346</v>
      </c>
      <c r="F7051" s="18">
        <f>DATE(2025,2,12)</f>
        <v>45700</v>
      </c>
      <c r="G7051" s="22">
        <f t="shared" si="616"/>
        <v>2</v>
      </c>
      <c r="H7051" s="22">
        <f t="shared" si="617"/>
        <v>2025</v>
      </c>
      <c r="I7051" s="17" t="s">
        <v>4</v>
      </c>
      <c r="J7051" s="17" t="s">
        <v>7637</v>
      </c>
      <c r="K7051" s="17" t="s">
        <v>7027</v>
      </c>
      <c r="L7051" s="17" t="s">
        <v>7028</v>
      </c>
      <c r="M7051" s="17" t="s">
        <v>106</v>
      </c>
      <c r="N7051" s="22" t="str">
        <f t="shared" si="621"/>
        <v>LBS</v>
      </c>
      <c r="O7051" s="19">
        <v>43160</v>
      </c>
    </row>
    <row r="7052" spans="2:15" x14ac:dyDescent="0.25">
      <c r="B7052" s="16" t="s">
        <v>88</v>
      </c>
      <c r="C7052" s="17" t="s">
        <v>89</v>
      </c>
      <c r="D7052" s="17" t="s">
        <v>7638</v>
      </c>
      <c r="E7052" s="17" t="s">
        <v>102</v>
      </c>
      <c r="F7052" s="18">
        <f>DATE(2025,2,13)</f>
        <v>45701</v>
      </c>
      <c r="G7052" s="22">
        <f t="shared" si="616"/>
        <v>2</v>
      </c>
      <c r="H7052" s="22">
        <f t="shared" si="617"/>
        <v>2025</v>
      </c>
      <c r="I7052" s="17" t="s">
        <v>4</v>
      </c>
      <c r="J7052" s="17" t="s">
        <v>7639</v>
      </c>
      <c r="K7052" s="17" t="s">
        <v>2548</v>
      </c>
      <c r="L7052" s="17" t="s">
        <v>5951</v>
      </c>
      <c r="M7052" s="17" t="s">
        <v>24</v>
      </c>
      <c r="N7052" s="22" t="str">
        <f t="shared" si="621"/>
        <v>GAL</v>
      </c>
      <c r="O7052" s="19">
        <v>1650</v>
      </c>
    </row>
    <row r="7053" spans="2:15" x14ac:dyDescent="0.25">
      <c r="B7053" s="16" t="s">
        <v>88</v>
      </c>
      <c r="C7053" s="17" t="s">
        <v>89</v>
      </c>
      <c r="D7053" s="17" t="s">
        <v>7638</v>
      </c>
      <c r="E7053" s="17" t="s">
        <v>102</v>
      </c>
      <c r="F7053" s="18">
        <f>DATE(2025,2,13)</f>
        <v>45701</v>
      </c>
      <c r="G7053" s="22">
        <f t="shared" si="616"/>
        <v>2</v>
      </c>
      <c r="H7053" s="22">
        <f t="shared" si="617"/>
        <v>2025</v>
      </c>
      <c r="I7053" s="17" t="s">
        <v>4</v>
      </c>
      <c r="J7053" s="17" t="s">
        <v>7639</v>
      </c>
      <c r="K7053" s="17" t="s">
        <v>7640</v>
      </c>
      <c r="L7053" s="17" t="s">
        <v>7641</v>
      </c>
      <c r="M7053" s="17" t="s">
        <v>7642</v>
      </c>
      <c r="N7053" s="22" t="str">
        <f t="shared" si="621"/>
        <v>GAL</v>
      </c>
      <c r="O7053" s="19">
        <v>275</v>
      </c>
    </row>
    <row r="7054" spans="2:15" x14ac:dyDescent="0.25">
      <c r="B7054" s="16" t="s">
        <v>88</v>
      </c>
      <c r="C7054" s="17" t="s">
        <v>89</v>
      </c>
      <c r="D7054" s="17" t="s">
        <v>7638</v>
      </c>
      <c r="E7054" s="17" t="s">
        <v>102</v>
      </c>
      <c r="F7054" s="18">
        <f>DATE(2025,2,13)</f>
        <v>45701</v>
      </c>
      <c r="G7054" s="22">
        <f t="shared" si="616"/>
        <v>2</v>
      </c>
      <c r="H7054" s="22">
        <f t="shared" si="617"/>
        <v>2025</v>
      </c>
      <c r="I7054" s="17" t="s">
        <v>4</v>
      </c>
      <c r="J7054" s="17" t="s">
        <v>7639</v>
      </c>
      <c r="K7054" s="17" t="s">
        <v>7643</v>
      </c>
      <c r="L7054" s="17" t="s">
        <v>7644</v>
      </c>
      <c r="M7054" s="17" t="s">
        <v>3649</v>
      </c>
      <c r="N7054" s="22" t="str">
        <f t="shared" si="621"/>
        <v>GAL</v>
      </c>
      <c r="O7054" s="19">
        <v>1650</v>
      </c>
    </row>
    <row r="7055" spans="2:15" x14ac:dyDescent="0.25">
      <c r="B7055" s="16" t="s">
        <v>88</v>
      </c>
      <c r="C7055" s="17" t="s">
        <v>89</v>
      </c>
      <c r="D7055" s="17" t="s">
        <v>7638</v>
      </c>
      <c r="E7055" s="17" t="s">
        <v>102</v>
      </c>
      <c r="F7055" s="18">
        <f>DATE(2025,2,13)</f>
        <v>45701</v>
      </c>
      <c r="G7055" s="22">
        <f t="shared" si="616"/>
        <v>2</v>
      </c>
      <c r="H7055" s="22">
        <f t="shared" si="617"/>
        <v>2025</v>
      </c>
      <c r="I7055" s="17" t="s">
        <v>4</v>
      </c>
      <c r="J7055" s="17" t="s">
        <v>7639</v>
      </c>
      <c r="K7055" s="17" t="s">
        <v>7645</v>
      </c>
      <c r="L7055" s="17" t="s">
        <v>7646</v>
      </c>
      <c r="M7055" s="17" t="s">
        <v>7647</v>
      </c>
      <c r="N7055" s="22" t="str">
        <f t="shared" si="621"/>
        <v>GAL</v>
      </c>
      <c r="O7055" s="19">
        <v>550</v>
      </c>
    </row>
    <row r="7056" spans="2:15" x14ac:dyDescent="0.25">
      <c r="B7056" s="16" t="s">
        <v>88</v>
      </c>
      <c r="C7056" s="17" t="s">
        <v>89</v>
      </c>
      <c r="D7056" s="17" t="s">
        <v>2887</v>
      </c>
      <c r="E7056" s="17" t="s">
        <v>617</v>
      </c>
      <c r="F7056" s="18">
        <f>DATE(2025,2,17)</f>
        <v>45705</v>
      </c>
      <c r="G7056" s="22">
        <f t="shared" si="616"/>
        <v>2</v>
      </c>
      <c r="H7056" s="22">
        <f t="shared" si="617"/>
        <v>2025</v>
      </c>
      <c r="I7056" s="17" t="s">
        <v>4</v>
      </c>
      <c r="J7056" s="17" t="s">
        <v>7648</v>
      </c>
      <c r="K7056" s="17" t="s">
        <v>2889</v>
      </c>
      <c r="L7056" s="17" t="s">
        <v>99</v>
      </c>
      <c r="M7056" s="17" t="s">
        <v>100</v>
      </c>
      <c r="N7056" s="22" t="str">
        <f t="shared" si="621"/>
        <v>GAL</v>
      </c>
      <c r="O7056" s="19">
        <v>55</v>
      </c>
    </row>
    <row r="7057" spans="2:15" x14ac:dyDescent="0.25">
      <c r="B7057" s="16" t="s">
        <v>88</v>
      </c>
      <c r="C7057" s="17" t="s">
        <v>89</v>
      </c>
      <c r="D7057" s="17" t="s">
        <v>557</v>
      </c>
      <c r="E7057" s="17" t="s">
        <v>1090</v>
      </c>
      <c r="F7057" s="18">
        <f>DATE(2025,2,18)</f>
        <v>45706</v>
      </c>
      <c r="G7057" s="22">
        <f t="shared" si="616"/>
        <v>2</v>
      </c>
      <c r="H7057" s="22">
        <f t="shared" si="617"/>
        <v>2025</v>
      </c>
      <c r="I7057" s="17" t="s">
        <v>4</v>
      </c>
      <c r="J7057" s="17" t="s">
        <v>7649</v>
      </c>
      <c r="K7057" s="17" t="s">
        <v>569</v>
      </c>
      <c r="L7057" s="17" t="s">
        <v>570</v>
      </c>
      <c r="M7057" s="17" t="s">
        <v>106</v>
      </c>
      <c r="N7057" s="22" t="str">
        <f t="shared" si="621"/>
        <v>LBS</v>
      </c>
      <c r="O7057" s="19">
        <v>2500</v>
      </c>
    </row>
    <row r="7058" spans="2:15" x14ac:dyDescent="0.25">
      <c r="B7058" s="16" t="s">
        <v>88</v>
      </c>
      <c r="C7058" s="17" t="s">
        <v>89</v>
      </c>
      <c r="D7058" s="17" t="s">
        <v>1026</v>
      </c>
      <c r="E7058" s="17" t="s">
        <v>3262</v>
      </c>
      <c r="F7058" s="18">
        <f>DATE(2025,2,25)</f>
        <v>45713</v>
      </c>
      <c r="G7058" s="22">
        <f t="shared" ref="G7058:G7121" si="622">+MONTH(F7058)</f>
        <v>2</v>
      </c>
      <c r="H7058" s="22">
        <f t="shared" ref="H7058:H7121" si="623">+YEAR(F7058)</f>
        <v>2025</v>
      </c>
      <c r="I7058" s="17" t="s">
        <v>4</v>
      </c>
      <c r="J7058" s="17" t="s">
        <v>7650</v>
      </c>
      <c r="K7058" s="17" t="s">
        <v>1028</v>
      </c>
      <c r="L7058" s="17" t="s">
        <v>2198</v>
      </c>
      <c r="M7058" s="17" t="s">
        <v>106</v>
      </c>
      <c r="N7058" s="22" t="str">
        <f t="shared" si="621"/>
        <v>LBS</v>
      </c>
      <c r="O7058" s="19">
        <v>21980</v>
      </c>
    </row>
    <row r="7059" spans="2:15" x14ac:dyDescent="0.25">
      <c r="B7059" s="16" t="s">
        <v>88</v>
      </c>
      <c r="C7059" s="17" t="s">
        <v>89</v>
      </c>
      <c r="D7059" s="17" t="s">
        <v>515</v>
      </c>
      <c r="E7059" s="17" t="s">
        <v>516</v>
      </c>
      <c r="F7059" s="18">
        <f>DATE(2025,2,25)</f>
        <v>45713</v>
      </c>
      <c r="G7059" s="22">
        <f t="shared" si="622"/>
        <v>2</v>
      </c>
      <c r="H7059" s="22">
        <f t="shared" si="623"/>
        <v>2025</v>
      </c>
      <c r="I7059" s="17" t="s">
        <v>4</v>
      </c>
      <c r="J7059" s="17" t="s">
        <v>7651</v>
      </c>
      <c r="K7059" s="17" t="s">
        <v>110</v>
      </c>
      <c r="L7059" s="17" t="s">
        <v>111</v>
      </c>
      <c r="M7059" s="17" t="s">
        <v>112</v>
      </c>
      <c r="N7059" s="22" t="str">
        <f t="shared" si="621"/>
        <v>GAL</v>
      </c>
      <c r="O7059" s="19">
        <v>2192</v>
      </c>
    </row>
    <row r="7060" spans="2:15" x14ac:dyDescent="0.25">
      <c r="B7060" s="16" t="s">
        <v>88</v>
      </c>
      <c r="C7060" s="17" t="s">
        <v>89</v>
      </c>
      <c r="D7060" s="17" t="s">
        <v>7652</v>
      </c>
      <c r="E7060" s="17" t="s">
        <v>7653</v>
      </c>
      <c r="F7060" s="18">
        <f>DATE(2025,2,26)</f>
        <v>45714</v>
      </c>
      <c r="G7060" s="22">
        <f t="shared" si="622"/>
        <v>2</v>
      </c>
      <c r="H7060" s="22">
        <f t="shared" si="623"/>
        <v>2025</v>
      </c>
      <c r="I7060" s="17" t="s">
        <v>4</v>
      </c>
      <c r="J7060" s="17" t="s">
        <v>7654</v>
      </c>
      <c r="K7060" s="17" t="s">
        <v>7655</v>
      </c>
      <c r="L7060" s="17" t="s">
        <v>7656</v>
      </c>
      <c r="M7060" s="17" t="s">
        <v>7657</v>
      </c>
      <c r="N7060" s="22" t="str">
        <f t="shared" si="621"/>
        <v>GAL</v>
      </c>
      <c r="O7060" s="19">
        <v>1000</v>
      </c>
    </row>
    <row r="7061" spans="2:15" x14ac:dyDescent="0.25">
      <c r="B7061" s="16" t="s">
        <v>88</v>
      </c>
      <c r="C7061" s="17" t="s">
        <v>89</v>
      </c>
      <c r="D7061" s="17" t="s">
        <v>7652</v>
      </c>
      <c r="E7061" s="17" t="s">
        <v>7653</v>
      </c>
      <c r="F7061" s="18">
        <f>DATE(2025,2,26)</f>
        <v>45714</v>
      </c>
      <c r="G7061" s="22">
        <f t="shared" si="622"/>
        <v>2</v>
      </c>
      <c r="H7061" s="22">
        <f t="shared" si="623"/>
        <v>2025</v>
      </c>
      <c r="I7061" s="17" t="s">
        <v>4</v>
      </c>
      <c r="J7061" s="17" t="s">
        <v>7654</v>
      </c>
      <c r="K7061" s="17" t="s">
        <v>7658</v>
      </c>
      <c r="L7061" s="17" t="s">
        <v>7659</v>
      </c>
      <c r="M7061" s="17" t="s">
        <v>7660</v>
      </c>
      <c r="N7061" s="22" t="str">
        <f t="shared" si="621"/>
        <v>Gal</v>
      </c>
      <c r="O7061" s="19">
        <v>2120</v>
      </c>
    </row>
    <row r="7062" spans="2:15" x14ac:dyDescent="0.25">
      <c r="B7062" s="16" t="s">
        <v>88</v>
      </c>
      <c r="C7062" s="17" t="s">
        <v>89</v>
      </c>
      <c r="D7062" s="17" t="s">
        <v>6019</v>
      </c>
      <c r="E7062" s="17" t="s">
        <v>6020</v>
      </c>
      <c r="F7062" s="18">
        <f>DATE(2025,2,28)</f>
        <v>45716</v>
      </c>
      <c r="G7062" s="22">
        <f t="shared" si="622"/>
        <v>2</v>
      </c>
      <c r="H7062" s="22">
        <f t="shared" si="623"/>
        <v>2025</v>
      </c>
      <c r="I7062" s="17" t="s">
        <v>4</v>
      </c>
      <c r="J7062" s="17" t="s">
        <v>7661</v>
      </c>
      <c r="K7062" s="17" t="s">
        <v>7630</v>
      </c>
      <c r="L7062" s="17" t="s">
        <v>7631</v>
      </c>
      <c r="M7062" s="17" t="s">
        <v>4204</v>
      </c>
      <c r="N7062" s="22" t="str">
        <f t="shared" si="621"/>
        <v>GAL</v>
      </c>
      <c r="O7062" s="19">
        <v>7090</v>
      </c>
    </row>
    <row r="7063" spans="2:15" x14ac:dyDescent="0.25">
      <c r="B7063" s="16" t="s">
        <v>88</v>
      </c>
      <c r="C7063" s="17" t="s">
        <v>89</v>
      </c>
      <c r="D7063" s="17" t="s">
        <v>1111</v>
      </c>
      <c r="E7063" s="17" t="s">
        <v>1112</v>
      </c>
      <c r="F7063" s="18">
        <f>DATE(2025,2,28)</f>
        <v>45716</v>
      </c>
      <c r="G7063" s="22">
        <f t="shared" si="622"/>
        <v>2</v>
      </c>
      <c r="H7063" s="22">
        <f t="shared" si="623"/>
        <v>2025</v>
      </c>
      <c r="I7063" s="17" t="s">
        <v>4</v>
      </c>
      <c r="J7063" s="17" t="s">
        <v>7662</v>
      </c>
      <c r="K7063" s="17" t="s">
        <v>2629</v>
      </c>
      <c r="L7063" s="17" t="s">
        <v>2630</v>
      </c>
      <c r="M7063" s="17" t="s">
        <v>2631</v>
      </c>
      <c r="N7063" s="22" t="str">
        <f t="shared" si="621"/>
        <v>GAL</v>
      </c>
      <c r="O7063" s="19">
        <v>70</v>
      </c>
    </row>
    <row r="7064" spans="2:15" x14ac:dyDescent="0.25">
      <c r="B7064" s="16" t="s">
        <v>88</v>
      </c>
      <c r="C7064" s="17" t="s">
        <v>89</v>
      </c>
      <c r="D7064" s="17" t="s">
        <v>6019</v>
      </c>
      <c r="E7064" s="17" t="s">
        <v>7633</v>
      </c>
      <c r="F7064" s="18">
        <f>DATE(2025,2,28)</f>
        <v>45716</v>
      </c>
      <c r="G7064" s="22">
        <f t="shared" si="622"/>
        <v>2</v>
      </c>
      <c r="H7064" s="22">
        <f t="shared" si="623"/>
        <v>2025</v>
      </c>
      <c r="I7064" s="17" t="s">
        <v>4</v>
      </c>
      <c r="J7064" s="17" t="s">
        <v>7663</v>
      </c>
      <c r="K7064" s="17" t="s">
        <v>7630</v>
      </c>
      <c r="L7064" s="17" t="s">
        <v>7631</v>
      </c>
      <c r="M7064" s="17" t="s">
        <v>4204</v>
      </c>
      <c r="N7064" s="22" t="str">
        <f t="shared" si="621"/>
        <v>GAL</v>
      </c>
      <c r="O7064" s="19">
        <v>7056</v>
      </c>
    </row>
    <row r="7065" spans="2:15" x14ac:dyDescent="0.25">
      <c r="B7065" s="16" t="s">
        <v>154</v>
      </c>
      <c r="C7065" s="17" t="s">
        <v>155</v>
      </c>
      <c r="D7065" s="17" t="s">
        <v>623</v>
      </c>
      <c r="E7065" s="17" t="s">
        <v>624</v>
      </c>
      <c r="F7065" s="18">
        <f>DATE(2025,2,3)</f>
        <v>45691</v>
      </c>
      <c r="G7065" s="22">
        <f t="shared" si="622"/>
        <v>2</v>
      </c>
      <c r="H7065" s="22">
        <f t="shared" si="623"/>
        <v>2025</v>
      </c>
      <c r="I7065" s="17" t="s">
        <v>4</v>
      </c>
      <c r="J7065" s="17" t="s">
        <v>7664</v>
      </c>
      <c r="K7065" s="17" t="s">
        <v>7043</v>
      </c>
      <c r="L7065" s="17" t="s">
        <v>7044</v>
      </c>
      <c r="M7065" s="17" t="s">
        <v>119</v>
      </c>
      <c r="N7065" s="22" t="str">
        <f t="shared" si="621"/>
        <v>TON</v>
      </c>
      <c r="O7065" s="19">
        <v>15.015000000000001</v>
      </c>
    </row>
    <row r="7066" spans="2:15" x14ac:dyDescent="0.25">
      <c r="B7066" s="16" t="s">
        <v>645</v>
      </c>
      <c r="C7066" s="17" t="s">
        <v>155</v>
      </c>
      <c r="D7066" s="17" t="s">
        <v>646</v>
      </c>
      <c r="E7066" s="17" t="s">
        <v>647</v>
      </c>
      <c r="F7066" s="18">
        <f>DATE(2025,2,4)</f>
        <v>45692</v>
      </c>
      <c r="G7066" s="22">
        <f t="shared" si="622"/>
        <v>2</v>
      </c>
      <c r="H7066" s="22">
        <f t="shared" si="623"/>
        <v>2025</v>
      </c>
      <c r="I7066" s="17" t="s">
        <v>4</v>
      </c>
      <c r="J7066" s="17" t="s">
        <v>7665</v>
      </c>
      <c r="K7066" s="17" t="s">
        <v>25</v>
      </c>
      <c r="L7066" s="17" t="s">
        <v>541</v>
      </c>
      <c r="M7066" s="17" t="s">
        <v>27</v>
      </c>
      <c r="N7066" s="22" t="str">
        <f t="shared" si="621"/>
        <v>GAL</v>
      </c>
      <c r="O7066" s="19">
        <v>180</v>
      </c>
    </row>
    <row r="7067" spans="2:15" x14ac:dyDescent="0.25">
      <c r="B7067" s="16" t="s">
        <v>154</v>
      </c>
      <c r="C7067" s="17" t="s">
        <v>155</v>
      </c>
      <c r="D7067" s="17" t="s">
        <v>161</v>
      </c>
      <c r="E7067" s="17" t="s">
        <v>162</v>
      </c>
      <c r="F7067" s="18">
        <f>DATE(2025,2,5)</f>
        <v>45693</v>
      </c>
      <c r="G7067" s="22">
        <f t="shared" si="622"/>
        <v>2</v>
      </c>
      <c r="H7067" s="22">
        <f t="shared" si="623"/>
        <v>2025</v>
      </c>
      <c r="I7067" s="17" t="s">
        <v>4</v>
      </c>
      <c r="J7067" s="17" t="s">
        <v>7666</v>
      </c>
      <c r="K7067" s="17" t="s">
        <v>1814</v>
      </c>
      <c r="L7067" s="17" t="s">
        <v>1815</v>
      </c>
      <c r="M7067" s="17" t="s">
        <v>1816</v>
      </c>
      <c r="N7067" s="22" t="str">
        <f t="shared" si="621"/>
        <v>GAL</v>
      </c>
      <c r="O7067" s="19">
        <v>180</v>
      </c>
    </row>
    <row r="7068" spans="2:15" x14ac:dyDescent="0.25">
      <c r="B7068" s="16" t="s">
        <v>154</v>
      </c>
      <c r="C7068" s="17" t="s">
        <v>155</v>
      </c>
      <c r="D7068" s="17" t="s">
        <v>591</v>
      </c>
      <c r="E7068" s="17" t="s">
        <v>592</v>
      </c>
      <c r="F7068" s="18">
        <f>DATE(2025,2,6)</f>
        <v>45694</v>
      </c>
      <c r="G7068" s="22">
        <f t="shared" si="622"/>
        <v>2</v>
      </c>
      <c r="H7068" s="22">
        <f t="shared" si="623"/>
        <v>2025</v>
      </c>
      <c r="I7068" s="17" t="s">
        <v>4</v>
      </c>
      <c r="J7068" s="17" t="s">
        <v>7667</v>
      </c>
      <c r="K7068" s="17" t="s">
        <v>1098</v>
      </c>
      <c r="L7068" s="17" t="s">
        <v>632</v>
      </c>
      <c r="M7068" s="17" t="s">
        <v>633</v>
      </c>
      <c r="N7068" s="22" t="str">
        <f t="shared" si="621"/>
        <v>GAL</v>
      </c>
      <c r="O7068" s="19">
        <v>2500</v>
      </c>
    </row>
    <row r="7069" spans="2:15" x14ac:dyDescent="0.25">
      <c r="B7069" s="16" t="s">
        <v>154</v>
      </c>
      <c r="C7069" s="17" t="s">
        <v>155</v>
      </c>
      <c r="D7069" s="17" t="s">
        <v>623</v>
      </c>
      <c r="E7069" s="17" t="s">
        <v>624</v>
      </c>
      <c r="F7069" s="18">
        <f>DATE(2025,2,7)</f>
        <v>45695</v>
      </c>
      <c r="G7069" s="22">
        <f t="shared" si="622"/>
        <v>2</v>
      </c>
      <c r="H7069" s="22">
        <f t="shared" si="623"/>
        <v>2025</v>
      </c>
      <c r="I7069" s="17" t="s">
        <v>4</v>
      </c>
      <c r="J7069" s="17" t="s">
        <v>7668</v>
      </c>
      <c r="K7069" s="17" t="s">
        <v>7043</v>
      </c>
      <c r="L7069" s="17" t="s">
        <v>7044</v>
      </c>
      <c r="M7069" s="17" t="s">
        <v>119</v>
      </c>
      <c r="N7069" s="22" t="str">
        <f t="shared" si="621"/>
        <v>TON</v>
      </c>
      <c r="O7069" s="19">
        <v>15.015000000000001</v>
      </c>
    </row>
    <row r="7070" spans="2:15" x14ac:dyDescent="0.25">
      <c r="B7070" s="16" t="s">
        <v>154</v>
      </c>
      <c r="C7070" s="17" t="s">
        <v>155</v>
      </c>
      <c r="D7070" s="17" t="s">
        <v>1111</v>
      </c>
      <c r="E7070" s="17" t="s">
        <v>1112</v>
      </c>
      <c r="F7070" s="18">
        <f>DATE(2025,2,10)</f>
        <v>45698</v>
      </c>
      <c r="G7070" s="22">
        <f t="shared" si="622"/>
        <v>2</v>
      </c>
      <c r="H7070" s="22">
        <f t="shared" si="623"/>
        <v>2025</v>
      </c>
      <c r="I7070" s="17" t="s">
        <v>4</v>
      </c>
      <c r="J7070" s="17" t="s">
        <v>7669</v>
      </c>
      <c r="K7070" s="17" t="s">
        <v>158</v>
      </c>
      <c r="L7070" s="17" t="s">
        <v>159</v>
      </c>
      <c r="M7070" s="17" t="s">
        <v>160</v>
      </c>
      <c r="N7070" s="22" t="str">
        <f t="shared" si="621"/>
        <v>GAL</v>
      </c>
      <c r="O7070" s="19">
        <v>180</v>
      </c>
    </row>
    <row r="7071" spans="2:15" x14ac:dyDescent="0.25">
      <c r="B7071" s="16" t="s">
        <v>154</v>
      </c>
      <c r="C7071" s="17" t="s">
        <v>155</v>
      </c>
      <c r="D7071" s="17" t="s">
        <v>3198</v>
      </c>
      <c r="E7071" s="17" t="s">
        <v>174</v>
      </c>
      <c r="F7071" s="18">
        <f>DATE(2025,2,11)</f>
        <v>45699</v>
      </c>
      <c r="G7071" s="22">
        <f t="shared" si="622"/>
        <v>2</v>
      </c>
      <c r="H7071" s="22">
        <f t="shared" si="623"/>
        <v>2025</v>
      </c>
      <c r="I7071" s="17" t="s">
        <v>4</v>
      </c>
      <c r="J7071" s="17" t="s">
        <v>7670</v>
      </c>
      <c r="K7071" s="17" t="s">
        <v>158</v>
      </c>
      <c r="L7071" s="17" t="s">
        <v>159</v>
      </c>
      <c r="M7071" s="17" t="s">
        <v>160</v>
      </c>
      <c r="N7071" s="22" t="str">
        <f t="shared" si="621"/>
        <v>GAL</v>
      </c>
      <c r="O7071" s="19">
        <v>180</v>
      </c>
    </row>
    <row r="7072" spans="2:15" x14ac:dyDescent="0.25">
      <c r="B7072" s="16" t="s">
        <v>154</v>
      </c>
      <c r="C7072" s="17" t="s">
        <v>155</v>
      </c>
      <c r="D7072" s="17" t="s">
        <v>1111</v>
      </c>
      <c r="E7072" s="17" t="s">
        <v>1112</v>
      </c>
      <c r="F7072" s="18">
        <f>DATE(2025,2,13)</f>
        <v>45701</v>
      </c>
      <c r="G7072" s="22">
        <f t="shared" si="622"/>
        <v>2</v>
      </c>
      <c r="H7072" s="22">
        <f t="shared" si="623"/>
        <v>2025</v>
      </c>
      <c r="I7072" s="17" t="s">
        <v>4</v>
      </c>
      <c r="J7072" s="17" t="s">
        <v>7671</v>
      </c>
      <c r="K7072" s="17" t="s">
        <v>1496</v>
      </c>
      <c r="L7072" s="17" t="s">
        <v>159</v>
      </c>
      <c r="M7072" s="17" t="s">
        <v>160</v>
      </c>
      <c r="N7072" s="22" t="str">
        <f t="shared" si="621"/>
        <v>GAL</v>
      </c>
      <c r="O7072" s="19">
        <v>500</v>
      </c>
    </row>
    <row r="7073" spans="2:15" x14ac:dyDescent="0.25">
      <c r="B7073" s="16" t="s">
        <v>645</v>
      </c>
      <c r="C7073" s="17" t="s">
        <v>155</v>
      </c>
      <c r="D7073" s="17" t="s">
        <v>646</v>
      </c>
      <c r="E7073" s="17" t="s">
        <v>647</v>
      </c>
      <c r="F7073" s="18">
        <f>DATE(2025,2,13)</f>
        <v>45701</v>
      </c>
      <c r="G7073" s="22">
        <f t="shared" si="622"/>
        <v>2</v>
      </c>
      <c r="H7073" s="22">
        <f t="shared" si="623"/>
        <v>2025</v>
      </c>
      <c r="I7073" s="17" t="s">
        <v>4</v>
      </c>
      <c r="J7073" s="17" t="s">
        <v>7672</v>
      </c>
      <c r="K7073" s="17" t="s">
        <v>25</v>
      </c>
      <c r="L7073" s="17" t="s">
        <v>541</v>
      </c>
      <c r="M7073" s="17" t="s">
        <v>27</v>
      </c>
      <c r="N7073" s="22" t="str">
        <f t="shared" si="621"/>
        <v>GAL</v>
      </c>
      <c r="O7073" s="19">
        <v>540</v>
      </c>
    </row>
    <row r="7074" spans="2:15" x14ac:dyDescent="0.25">
      <c r="B7074" s="16" t="s">
        <v>154</v>
      </c>
      <c r="C7074" s="17" t="s">
        <v>155</v>
      </c>
      <c r="D7074" s="17" t="s">
        <v>161</v>
      </c>
      <c r="E7074" s="17" t="s">
        <v>162</v>
      </c>
      <c r="F7074" s="18">
        <f>DATE(2025,2,13)</f>
        <v>45701</v>
      </c>
      <c r="G7074" s="22">
        <f t="shared" si="622"/>
        <v>2</v>
      </c>
      <c r="H7074" s="22">
        <f t="shared" si="623"/>
        <v>2025</v>
      </c>
      <c r="I7074" s="17" t="s">
        <v>4</v>
      </c>
      <c r="J7074" s="17" t="s">
        <v>7673</v>
      </c>
      <c r="K7074" s="17" t="s">
        <v>25</v>
      </c>
      <c r="L7074" s="17" t="s">
        <v>541</v>
      </c>
      <c r="M7074" s="17" t="s">
        <v>27</v>
      </c>
      <c r="N7074" s="22" t="str">
        <f t="shared" si="621"/>
        <v>GAL</v>
      </c>
      <c r="O7074" s="19">
        <v>180</v>
      </c>
    </row>
    <row r="7075" spans="2:15" x14ac:dyDescent="0.25">
      <c r="B7075" s="16" t="s">
        <v>154</v>
      </c>
      <c r="C7075" s="17" t="s">
        <v>155</v>
      </c>
      <c r="D7075" s="17" t="s">
        <v>178</v>
      </c>
      <c r="E7075" s="17" t="s">
        <v>179</v>
      </c>
      <c r="F7075" s="18">
        <f>DATE(2025,2,13)</f>
        <v>45701</v>
      </c>
      <c r="G7075" s="22">
        <f t="shared" si="622"/>
        <v>2</v>
      </c>
      <c r="H7075" s="22">
        <f t="shared" si="623"/>
        <v>2025</v>
      </c>
      <c r="I7075" s="17" t="s">
        <v>4</v>
      </c>
      <c r="J7075" s="17" t="s">
        <v>7674</v>
      </c>
      <c r="K7075" s="17" t="s">
        <v>200</v>
      </c>
      <c r="L7075" s="17" t="s">
        <v>201</v>
      </c>
      <c r="M7075" s="17" t="s">
        <v>202</v>
      </c>
      <c r="N7075" s="22" t="str">
        <f t="shared" si="621"/>
        <v>GAL</v>
      </c>
      <c r="O7075" s="19">
        <v>60</v>
      </c>
    </row>
    <row r="7076" spans="2:15" x14ac:dyDescent="0.25">
      <c r="B7076" s="16" t="s">
        <v>154</v>
      </c>
      <c r="C7076" s="17" t="s">
        <v>155</v>
      </c>
      <c r="D7076" s="17" t="s">
        <v>167</v>
      </c>
      <c r="E7076" s="17" t="s">
        <v>168</v>
      </c>
      <c r="F7076" s="18">
        <f>DATE(2025,2,13)</f>
        <v>45701</v>
      </c>
      <c r="G7076" s="22">
        <f t="shared" si="622"/>
        <v>2</v>
      </c>
      <c r="H7076" s="22">
        <f t="shared" si="623"/>
        <v>2025</v>
      </c>
      <c r="I7076" s="17" t="s">
        <v>4</v>
      </c>
      <c r="J7076" s="17" t="s">
        <v>7675</v>
      </c>
      <c r="K7076" s="17" t="s">
        <v>1853</v>
      </c>
      <c r="L7076" s="17" t="s">
        <v>1854</v>
      </c>
      <c r="M7076" s="17" t="s">
        <v>1816</v>
      </c>
      <c r="N7076" s="22" t="str">
        <f t="shared" si="621"/>
        <v>GAL</v>
      </c>
      <c r="O7076" s="19">
        <v>360</v>
      </c>
    </row>
    <row r="7077" spans="2:15" x14ac:dyDescent="0.25">
      <c r="B7077" s="16" t="s">
        <v>154</v>
      </c>
      <c r="C7077" s="17" t="s">
        <v>155</v>
      </c>
      <c r="D7077" s="17" t="s">
        <v>623</v>
      </c>
      <c r="E7077" s="17" t="s">
        <v>624</v>
      </c>
      <c r="F7077" s="18">
        <f>DATE(2025,2,14)</f>
        <v>45702</v>
      </c>
      <c r="G7077" s="22">
        <f t="shared" si="622"/>
        <v>2</v>
      </c>
      <c r="H7077" s="22">
        <f t="shared" si="623"/>
        <v>2025</v>
      </c>
      <c r="I7077" s="17" t="s">
        <v>4</v>
      </c>
      <c r="J7077" s="17" t="s">
        <v>7676</v>
      </c>
      <c r="K7077" s="17" t="s">
        <v>7043</v>
      </c>
      <c r="L7077" s="17" t="s">
        <v>7044</v>
      </c>
      <c r="M7077" s="17" t="s">
        <v>119</v>
      </c>
      <c r="N7077" s="22" t="str">
        <f t="shared" si="621"/>
        <v>TON</v>
      </c>
      <c r="O7077" s="19">
        <v>15.012</v>
      </c>
    </row>
    <row r="7078" spans="2:15" x14ac:dyDescent="0.25">
      <c r="B7078" s="16" t="s">
        <v>154</v>
      </c>
      <c r="C7078" s="17" t="s">
        <v>155</v>
      </c>
      <c r="D7078" s="17" t="s">
        <v>628</v>
      </c>
      <c r="E7078" s="17" t="s">
        <v>629</v>
      </c>
      <c r="F7078" s="18">
        <f>DATE(2025,2,14)</f>
        <v>45702</v>
      </c>
      <c r="G7078" s="22">
        <f t="shared" si="622"/>
        <v>2</v>
      </c>
      <c r="H7078" s="22">
        <f t="shared" si="623"/>
        <v>2025</v>
      </c>
      <c r="I7078" s="17" t="s">
        <v>4</v>
      </c>
      <c r="J7078" s="17" t="s">
        <v>7677</v>
      </c>
      <c r="K7078" s="17" t="s">
        <v>1496</v>
      </c>
      <c r="L7078" s="17" t="s">
        <v>159</v>
      </c>
      <c r="M7078" s="17" t="s">
        <v>160</v>
      </c>
      <c r="N7078" s="22" t="str">
        <f t="shared" si="621"/>
        <v>GAL</v>
      </c>
      <c r="O7078" s="19">
        <v>250</v>
      </c>
    </row>
    <row r="7079" spans="2:15" x14ac:dyDescent="0.25">
      <c r="B7079" s="16" t="s">
        <v>154</v>
      </c>
      <c r="C7079" s="17" t="s">
        <v>155</v>
      </c>
      <c r="D7079" s="17" t="s">
        <v>178</v>
      </c>
      <c r="E7079" s="17" t="s">
        <v>179</v>
      </c>
      <c r="F7079" s="18">
        <f>DATE(2025,2,19)</f>
        <v>45707</v>
      </c>
      <c r="G7079" s="22">
        <f t="shared" si="622"/>
        <v>2</v>
      </c>
      <c r="H7079" s="22">
        <f t="shared" si="623"/>
        <v>2025</v>
      </c>
      <c r="I7079" s="17" t="s">
        <v>4</v>
      </c>
      <c r="J7079" s="17" t="s">
        <v>7678</v>
      </c>
      <c r="K7079" s="17" t="s">
        <v>25</v>
      </c>
      <c r="L7079" s="17" t="s">
        <v>541</v>
      </c>
      <c r="M7079" s="17" t="s">
        <v>27</v>
      </c>
      <c r="N7079" s="22" t="str">
        <f t="shared" si="621"/>
        <v>GAL</v>
      </c>
      <c r="O7079" s="19">
        <v>180</v>
      </c>
    </row>
    <row r="7080" spans="2:15" x14ac:dyDescent="0.25">
      <c r="B7080" s="16" t="s">
        <v>154</v>
      </c>
      <c r="C7080" s="17" t="s">
        <v>155</v>
      </c>
      <c r="D7080" s="17" t="s">
        <v>628</v>
      </c>
      <c r="E7080" s="17" t="s">
        <v>629</v>
      </c>
      <c r="F7080" s="18">
        <f>DATE(2025,2,19)</f>
        <v>45707</v>
      </c>
      <c r="G7080" s="22">
        <f t="shared" si="622"/>
        <v>2</v>
      </c>
      <c r="H7080" s="22">
        <f t="shared" si="623"/>
        <v>2025</v>
      </c>
      <c r="I7080" s="17" t="s">
        <v>4</v>
      </c>
      <c r="J7080" s="17" t="s">
        <v>7679</v>
      </c>
      <c r="K7080" s="17" t="s">
        <v>1119</v>
      </c>
      <c r="L7080" s="17" t="s">
        <v>1023</v>
      </c>
      <c r="M7080" s="17" t="s">
        <v>1024</v>
      </c>
      <c r="N7080" s="22" t="str">
        <f t="shared" si="621"/>
        <v>GAL</v>
      </c>
      <c r="O7080" s="19">
        <v>540</v>
      </c>
    </row>
    <row r="7081" spans="2:15" x14ac:dyDescent="0.25">
      <c r="B7081" s="16" t="s">
        <v>154</v>
      </c>
      <c r="C7081" s="17" t="s">
        <v>155</v>
      </c>
      <c r="D7081" s="17" t="s">
        <v>628</v>
      </c>
      <c r="E7081" s="17" t="s">
        <v>629</v>
      </c>
      <c r="F7081" s="18">
        <f>DATE(2025,2,21)</f>
        <v>45709</v>
      </c>
      <c r="G7081" s="22">
        <f t="shared" si="622"/>
        <v>2</v>
      </c>
      <c r="H7081" s="22">
        <f t="shared" si="623"/>
        <v>2025</v>
      </c>
      <c r="I7081" s="17" t="s">
        <v>4</v>
      </c>
      <c r="J7081" s="17" t="s">
        <v>7680</v>
      </c>
      <c r="K7081" s="17" t="s">
        <v>1119</v>
      </c>
      <c r="L7081" s="17" t="s">
        <v>1023</v>
      </c>
      <c r="M7081" s="17" t="s">
        <v>1024</v>
      </c>
      <c r="N7081" s="22" t="str">
        <f t="shared" si="621"/>
        <v>GAL</v>
      </c>
      <c r="O7081" s="19">
        <v>720</v>
      </c>
    </row>
    <row r="7082" spans="2:15" x14ac:dyDescent="0.25">
      <c r="B7082" s="16" t="s">
        <v>154</v>
      </c>
      <c r="C7082" s="17" t="s">
        <v>155</v>
      </c>
      <c r="D7082" s="17" t="s">
        <v>161</v>
      </c>
      <c r="E7082" s="17" t="s">
        <v>162</v>
      </c>
      <c r="F7082" s="18">
        <f>DATE(2025,2,21)</f>
        <v>45709</v>
      </c>
      <c r="G7082" s="22">
        <f t="shared" si="622"/>
        <v>2</v>
      </c>
      <c r="H7082" s="22">
        <f t="shared" si="623"/>
        <v>2025</v>
      </c>
      <c r="I7082" s="17" t="s">
        <v>4</v>
      </c>
      <c r="J7082" s="17" t="s">
        <v>7681</v>
      </c>
      <c r="K7082" s="17" t="s">
        <v>185</v>
      </c>
      <c r="L7082" s="17" t="s">
        <v>165</v>
      </c>
      <c r="M7082" s="17" t="s">
        <v>166</v>
      </c>
      <c r="N7082" s="22" t="str">
        <f t="shared" si="621"/>
        <v>GAL</v>
      </c>
      <c r="O7082" s="19">
        <v>250</v>
      </c>
    </row>
    <row r="7083" spans="2:15" x14ac:dyDescent="0.25">
      <c r="B7083" s="16" t="s">
        <v>154</v>
      </c>
      <c r="C7083" s="17" t="s">
        <v>155</v>
      </c>
      <c r="D7083" s="17" t="s">
        <v>161</v>
      </c>
      <c r="E7083" s="17" t="s">
        <v>162</v>
      </c>
      <c r="F7083" s="18">
        <f>DATE(2025,2,21)</f>
        <v>45709</v>
      </c>
      <c r="G7083" s="22">
        <f t="shared" si="622"/>
        <v>2</v>
      </c>
      <c r="H7083" s="22">
        <f t="shared" si="623"/>
        <v>2025</v>
      </c>
      <c r="I7083" s="17" t="s">
        <v>4</v>
      </c>
      <c r="J7083" s="17" t="s">
        <v>7681</v>
      </c>
      <c r="K7083" s="17" t="s">
        <v>1188</v>
      </c>
      <c r="L7083" s="17" t="s">
        <v>541</v>
      </c>
      <c r="M7083" s="17" t="s">
        <v>27</v>
      </c>
      <c r="N7083" s="22" t="str">
        <f t="shared" si="621"/>
        <v>GAL</v>
      </c>
      <c r="O7083" s="19">
        <v>250</v>
      </c>
    </row>
    <row r="7084" spans="2:15" x14ac:dyDescent="0.25">
      <c r="B7084" s="16" t="s">
        <v>154</v>
      </c>
      <c r="C7084" s="17" t="s">
        <v>155</v>
      </c>
      <c r="D7084" s="17" t="s">
        <v>161</v>
      </c>
      <c r="E7084" s="17" t="s">
        <v>162</v>
      </c>
      <c r="F7084" s="18">
        <f>DATE(2025,2,21)</f>
        <v>45709</v>
      </c>
      <c r="G7084" s="22">
        <f t="shared" si="622"/>
        <v>2</v>
      </c>
      <c r="H7084" s="22">
        <f t="shared" si="623"/>
        <v>2025</v>
      </c>
      <c r="I7084" s="17" t="s">
        <v>4</v>
      </c>
      <c r="J7084" s="17" t="s">
        <v>7682</v>
      </c>
      <c r="K7084" s="17" t="s">
        <v>185</v>
      </c>
      <c r="L7084" s="17" t="s">
        <v>165</v>
      </c>
      <c r="M7084" s="17" t="s">
        <v>166</v>
      </c>
      <c r="N7084" s="22" t="str">
        <f t="shared" si="621"/>
        <v>GAL</v>
      </c>
      <c r="O7084" s="19">
        <v>500</v>
      </c>
    </row>
    <row r="7085" spans="2:15" x14ac:dyDescent="0.25">
      <c r="B7085" s="16" t="s">
        <v>154</v>
      </c>
      <c r="C7085" s="17" t="s">
        <v>155</v>
      </c>
      <c r="D7085" s="17" t="s">
        <v>161</v>
      </c>
      <c r="E7085" s="17" t="s">
        <v>162</v>
      </c>
      <c r="F7085" s="18">
        <f>DATE(2025,2,21)</f>
        <v>45709</v>
      </c>
      <c r="G7085" s="22">
        <f t="shared" si="622"/>
        <v>2</v>
      </c>
      <c r="H7085" s="22">
        <f t="shared" si="623"/>
        <v>2025</v>
      </c>
      <c r="I7085" s="17" t="s">
        <v>4</v>
      </c>
      <c r="J7085" s="17" t="s">
        <v>7682</v>
      </c>
      <c r="K7085" s="17" t="s">
        <v>1188</v>
      </c>
      <c r="L7085" s="17" t="s">
        <v>541</v>
      </c>
      <c r="M7085" s="17" t="s">
        <v>27</v>
      </c>
      <c r="N7085" s="22" t="str">
        <f t="shared" si="621"/>
        <v>GAL</v>
      </c>
      <c r="O7085" s="19">
        <v>500</v>
      </c>
    </row>
    <row r="7086" spans="2:15" x14ac:dyDescent="0.25">
      <c r="B7086" s="16" t="s">
        <v>154</v>
      </c>
      <c r="C7086" s="17" t="s">
        <v>155</v>
      </c>
      <c r="D7086" s="17" t="s">
        <v>1838</v>
      </c>
      <c r="E7086" s="17" t="s">
        <v>1839</v>
      </c>
      <c r="F7086" s="18">
        <f>DATE(2025,2,20)</f>
        <v>45708</v>
      </c>
      <c r="G7086" s="22">
        <f t="shared" si="622"/>
        <v>2</v>
      </c>
      <c r="H7086" s="22">
        <f t="shared" si="623"/>
        <v>2025</v>
      </c>
      <c r="I7086" s="17" t="s">
        <v>4</v>
      </c>
      <c r="J7086" s="17" t="s">
        <v>7683</v>
      </c>
      <c r="K7086" s="17" t="s">
        <v>158</v>
      </c>
      <c r="L7086" s="17" t="s">
        <v>159</v>
      </c>
      <c r="M7086" s="17" t="s">
        <v>160</v>
      </c>
      <c r="N7086" s="22" t="str">
        <f t="shared" si="621"/>
        <v>GAL</v>
      </c>
      <c r="O7086" s="19">
        <v>720</v>
      </c>
    </row>
    <row r="7087" spans="2:15" x14ac:dyDescent="0.25">
      <c r="B7087" s="16" t="s">
        <v>645</v>
      </c>
      <c r="C7087" s="17" t="s">
        <v>155</v>
      </c>
      <c r="D7087" s="17" t="s">
        <v>646</v>
      </c>
      <c r="E7087" s="17" t="s">
        <v>647</v>
      </c>
      <c r="F7087" s="18">
        <f>DATE(2025,2,21)</f>
        <v>45709</v>
      </c>
      <c r="G7087" s="22">
        <f t="shared" si="622"/>
        <v>2</v>
      </c>
      <c r="H7087" s="22">
        <f t="shared" si="623"/>
        <v>2025</v>
      </c>
      <c r="I7087" s="17" t="s">
        <v>4</v>
      </c>
      <c r="J7087" s="17" t="s">
        <v>7684</v>
      </c>
      <c r="K7087" s="17" t="s">
        <v>25</v>
      </c>
      <c r="L7087" s="17" t="s">
        <v>541</v>
      </c>
      <c r="M7087" s="17" t="s">
        <v>27</v>
      </c>
      <c r="N7087" s="22" t="str">
        <f t="shared" si="621"/>
        <v>GAL</v>
      </c>
      <c r="O7087" s="19">
        <v>540</v>
      </c>
    </row>
    <row r="7088" spans="2:15" x14ac:dyDescent="0.25">
      <c r="B7088" s="16" t="s">
        <v>154</v>
      </c>
      <c r="C7088" s="17" t="s">
        <v>155</v>
      </c>
      <c r="D7088" s="17" t="s">
        <v>107</v>
      </c>
      <c r="E7088" s="17" t="s">
        <v>108</v>
      </c>
      <c r="F7088" s="18">
        <f t="shared" ref="F7088:F7096" si="624">DATE(2025,2,24)</f>
        <v>45712</v>
      </c>
      <c r="G7088" s="22">
        <f t="shared" si="622"/>
        <v>2</v>
      </c>
      <c r="H7088" s="22">
        <f t="shared" si="623"/>
        <v>2025</v>
      </c>
      <c r="I7088" s="17" t="s">
        <v>4</v>
      </c>
      <c r="J7088" s="17" t="s">
        <v>7685</v>
      </c>
      <c r="K7088" s="17" t="s">
        <v>192</v>
      </c>
      <c r="L7088" s="17" t="s">
        <v>193</v>
      </c>
      <c r="M7088" s="17" t="s">
        <v>160</v>
      </c>
      <c r="N7088" s="22" t="str">
        <f t="shared" si="621"/>
        <v>GAL</v>
      </c>
      <c r="O7088" s="19">
        <v>500</v>
      </c>
    </row>
    <row r="7089" spans="2:15" x14ac:dyDescent="0.25">
      <c r="B7089" s="16" t="s">
        <v>154</v>
      </c>
      <c r="C7089" s="17" t="s">
        <v>155</v>
      </c>
      <c r="D7089" s="17" t="s">
        <v>107</v>
      </c>
      <c r="E7089" s="17" t="s">
        <v>108</v>
      </c>
      <c r="F7089" s="18">
        <f t="shared" si="624"/>
        <v>45712</v>
      </c>
      <c r="G7089" s="22">
        <f t="shared" si="622"/>
        <v>2</v>
      </c>
      <c r="H7089" s="22">
        <f t="shared" si="623"/>
        <v>2025</v>
      </c>
      <c r="I7089" s="17" t="s">
        <v>4</v>
      </c>
      <c r="J7089" s="17" t="s">
        <v>7685</v>
      </c>
      <c r="K7089" s="17" t="s">
        <v>158</v>
      </c>
      <c r="L7089" s="17" t="s">
        <v>159</v>
      </c>
      <c r="M7089" s="17" t="s">
        <v>160</v>
      </c>
      <c r="N7089" s="22" t="str">
        <f t="shared" si="621"/>
        <v>GAL</v>
      </c>
      <c r="O7089" s="19">
        <v>180</v>
      </c>
    </row>
    <row r="7090" spans="2:15" x14ac:dyDescent="0.25">
      <c r="B7090" s="16" t="s">
        <v>154</v>
      </c>
      <c r="C7090" s="17" t="s">
        <v>155</v>
      </c>
      <c r="D7090" s="17" t="s">
        <v>107</v>
      </c>
      <c r="E7090" s="17" t="s">
        <v>108</v>
      </c>
      <c r="F7090" s="18">
        <f t="shared" si="624"/>
        <v>45712</v>
      </c>
      <c r="G7090" s="22">
        <f t="shared" si="622"/>
        <v>2</v>
      </c>
      <c r="H7090" s="22">
        <f t="shared" si="623"/>
        <v>2025</v>
      </c>
      <c r="I7090" s="17" t="s">
        <v>4</v>
      </c>
      <c r="J7090" s="17" t="s">
        <v>7685</v>
      </c>
      <c r="K7090" s="17" t="s">
        <v>189</v>
      </c>
      <c r="L7090" s="17" t="s">
        <v>190</v>
      </c>
      <c r="M7090" s="17" t="s">
        <v>191</v>
      </c>
      <c r="N7090" s="22" t="str">
        <f t="shared" si="621"/>
        <v>GAL</v>
      </c>
      <c r="O7090" s="19">
        <v>180</v>
      </c>
    </row>
    <row r="7091" spans="2:15" x14ac:dyDescent="0.25">
      <c r="B7091" s="16" t="s">
        <v>154</v>
      </c>
      <c r="C7091" s="17" t="s">
        <v>155</v>
      </c>
      <c r="D7091" s="17" t="s">
        <v>107</v>
      </c>
      <c r="E7091" s="17" t="s">
        <v>108</v>
      </c>
      <c r="F7091" s="18">
        <f t="shared" si="624"/>
        <v>45712</v>
      </c>
      <c r="G7091" s="22">
        <f t="shared" si="622"/>
        <v>2</v>
      </c>
      <c r="H7091" s="22">
        <f t="shared" si="623"/>
        <v>2025</v>
      </c>
      <c r="I7091" s="17" t="s">
        <v>4</v>
      </c>
      <c r="J7091" s="17" t="s">
        <v>7686</v>
      </c>
      <c r="K7091" s="17" t="s">
        <v>1501</v>
      </c>
      <c r="L7091" s="17" t="s">
        <v>602</v>
      </c>
      <c r="M7091" s="17" t="s">
        <v>41</v>
      </c>
      <c r="N7091" s="22" t="str">
        <f t="shared" si="621"/>
        <v>GAL</v>
      </c>
      <c r="O7091" s="19">
        <v>90</v>
      </c>
    </row>
    <row r="7092" spans="2:15" x14ac:dyDescent="0.25">
      <c r="B7092" s="16" t="s">
        <v>154</v>
      </c>
      <c r="C7092" s="17" t="s">
        <v>155</v>
      </c>
      <c r="D7092" s="17" t="s">
        <v>178</v>
      </c>
      <c r="E7092" s="17" t="s">
        <v>179</v>
      </c>
      <c r="F7092" s="18">
        <f t="shared" si="624"/>
        <v>45712</v>
      </c>
      <c r="G7092" s="22">
        <f t="shared" si="622"/>
        <v>2</v>
      </c>
      <c r="H7092" s="22">
        <f t="shared" si="623"/>
        <v>2025</v>
      </c>
      <c r="I7092" s="17" t="s">
        <v>4</v>
      </c>
      <c r="J7092" s="17" t="s">
        <v>7687</v>
      </c>
      <c r="K7092" s="17" t="s">
        <v>189</v>
      </c>
      <c r="L7092" s="17" t="s">
        <v>190</v>
      </c>
      <c r="M7092" s="17" t="s">
        <v>191</v>
      </c>
      <c r="N7092" s="22" t="str">
        <f t="shared" si="621"/>
        <v>GAL</v>
      </c>
      <c r="O7092" s="19">
        <v>180</v>
      </c>
    </row>
    <row r="7093" spans="2:15" x14ac:dyDescent="0.25">
      <c r="B7093" s="16" t="s">
        <v>154</v>
      </c>
      <c r="C7093" s="17" t="s">
        <v>155</v>
      </c>
      <c r="D7093" s="17" t="s">
        <v>623</v>
      </c>
      <c r="E7093" s="17" t="s">
        <v>624</v>
      </c>
      <c r="F7093" s="18">
        <f t="shared" si="624"/>
        <v>45712</v>
      </c>
      <c r="G7093" s="22">
        <f t="shared" si="622"/>
        <v>2</v>
      </c>
      <c r="H7093" s="22">
        <f t="shared" si="623"/>
        <v>2025</v>
      </c>
      <c r="I7093" s="17" t="s">
        <v>4</v>
      </c>
      <c r="J7093" s="17" t="s">
        <v>7688</v>
      </c>
      <c r="K7093" s="17" t="s">
        <v>7043</v>
      </c>
      <c r="L7093" s="17" t="s">
        <v>7044</v>
      </c>
      <c r="M7093" s="17" t="s">
        <v>119</v>
      </c>
      <c r="N7093" s="22" t="str">
        <f t="shared" si="621"/>
        <v>TON</v>
      </c>
      <c r="O7093" s="19">
        <v>15.022500000000001</v>
      </c>
    </row>
    <row r="7094" spans="2:15" x14ac:dyDescent="0.25">
      <c r="B7094" s="16" t="s">
        <v>645</v>
      </c>
      <c r="C7094" s="17" t="s">
        <v>155</v>
      </c>
      <c r="D7094" s="17" t="s">
        <v>646</v>
      </c>
      <c r="E7094" s="17" t="s">
        <v>647</v>
      </c>
      <c r="F7094" s="18">
        <f t="shared" si="624"/>
        <v>45712</v>
      </c>
      <c r="G7094" s="22">
        <f t="shared" si="622"/>
        <v>2</v>
      </c>
      <c r="H7094" s="22">
        <f t="shared" si="623"/>
        <v>2025</v>
      </c>
      <c r="I7094" s="17" t="s">
        <v>4</v>
      </c>
      <c r="J7094" s="17" t="s">
        <v>7689</v>
      </c>
      <c r="K7094" s="17" t="s">
        <v>189</v>
      </c>
      <c r="L7094" s="17" t="s">
        <v>190</v>
      </c>
      <c r="M7094" s="17" t="s">
        <v>191</v>
      </c>
      <c r="N7094" s="22" t="str">
        <f t="shared" si="621"/>
        <v>GAL</v>
      </c>
      <c r="O7094" s="19">
        <v>360</v>
      </c>
    </row>
    <row r="7095" spans="2:15" x14ac:dyDescent="0.25">
      <c r="B7095" s="16" t="s">
        <v>645</v>
      </c>
      <c r="C7095" s="17" t="s">
        <v>155</v>
      </c>
      <c r="D7095" s="17" t="s">
        <v>646</v>
      </c>
      <c r="E7095" s="17" t="s">
        <v>647</v>
      </c>
      <c r="F7095" s="18">
        <f t="shared" si="624"/>
        <v>45712</v>
      </c>
      <c r="G7095" s="22">
        <f t="shared" si="622"/>
        <v>2</v>
      </c>
      <c r="H7095" s="22">
        <f t="shared" si="623"/>
        <v>2025</v>
      </c>
      <c r="I7095" s="17" t="s">
        <v>4</v>
      </c>
      <c r="J7095" s="17" t="s">
        <v>7690</v>
      </c>
      <c r="K7095" s="17" t="s">
        <v>25</v>
      </c>
      <c r="L7095" s="17" t="s">
        <v>541</v>
      </c>
      <c r="M7095" s="17" t="s">
        <v>27</v>
      </c>
      <c r="N7095" s="22" t="str">
        <f t="shared" si="621"/>
        <v>GAL</v>
      </c>
      <c r="O7095" s="19">
        <v>180</v>
      </c>
    </row>
    <row r="7096" spans="2:15" x14ac:dyDescent="0.25">
      <c r="B7096" s="16" t="s">
        <v>154</v>
      </c>
      <c r="C7096" s="17" t="s">
        <v>155</v>
      </c>
      <c r="D7096" s="17" t="s">
        <v>628</v>
      </c>
      <c r="E7096" s="17" t="s">
        <v>629</v>
      </c>
      <c r="F7096" s="18">
        <f t="shared" si="624"/>
        <v>45712</v>
      </c>
      <c r="G7096" s="22">
        <f t="shared" si="622"/>
        <v>2</v>
      </c>
      <c r="H7096" s="22">
        <f t="shared" si="623"/>
        <v>2025</v>
      </c>
      <c r="I7096" s="17" t="s">
        <v>4</v>
      </c>
      <c r="J7096" s="17" t="s">
        <v>7691</v>
      </c>
      <c r="K7096" s="17" t="s">
        <v>631</v>
      </c>
      <c r="L7096" s="17" t="s">
        <v>632</v>
      </c>
      <c r="M7096" s="17" t="s">
        <v>633</v>
      </c>
      <c r="N7096" s="22" t="str">
        <f t="shared" si="621"/>
        <v>GAL</v>
      </c>
      <c r="O7096" s="19">
        <v>2000</v>
      </c>
    </row>
    <row r="7097" spans="2:15" x14ac:dyDescent="0.25">
      <c r="B7097" s="16" t="s">
        <v>154</v>
      </c>
      <c r="C7097" s="17" t="s">
        <v>155</v>
      </c>
      <c r="D7097" s="17" t="s">
        <v>1838</v>
      </c>
      <c r="E7097" s="17" t="s">
        <v>1839</v>
      </c>
      <c r="F7097" s="18">
        <f>DATE(2025,2,27)</f>
        <v>45715</v>
      </c>
      <c r="G7097" s="22">
        <f t="shared" si="622"/>
        <v>2</v>
      </c>
      <c r="H7097" s="22">
        <f t="shared" si="623"/>
        <v>2025</v>
      </c>
      <c r="I7097" s="17" t="s">
        <v>4</v>
      </c>
      <c r="J7097" s="17" t="s">
        <v>7692</v>
      </c>
      <c r="K7097" s="17" t="s">
        <v>158</v>
      </c>
      <c r="L7097" s="17" t="s">
        <v>159</v>
      </c>
      <c r="M7097" s="17" t="s">
        <v>160</v>
      </c>
      <c r="N7097" s="22" t="str">
        <f t="shared" si="621"/>
        <v>GAL</v>
      </c>
      <c r="O7097" s="19">
        <v>1080</v>
      </c>
    </row>
    <row r="7098" spans="2:15" x14ac:dyDescent="0.25">
      <c r="B7098" s="16" t="s">
        <v>154</v>
      </c>
      <c r="C7098" s="17" t="s">
        <v>155</v>
      </c>
      <c r="D7098" s="17" t="s">
        <v>167</v>
      </c>
      <c r="E7098" s="17" t="s">
        <v>168</v>
      </c>
      <c r="F7098" s="18">
        <f>DATE(2025,2,27)</f>
        <v>45715</v>
      </c>
      <c r="G7098" s="22">
        <f t="shared" si="622"/>
        <v>2</v>
      </c>
      <c r="H7098" s="22">
        <f t="shared" si="623"/>
        <v>2025</v>
      </c>
      <c r="I7098" s="17" t="s">
        <v>4</v>
      </c>
      <c r="J7098" s="17" t="s">
        <v>7693</v>
      </c>
      <c r="K7098" s="17" t="s">
        <v>1853</v>
      </c>
      <c r="L7098" s="17" t="s">
        <v>1854</v>
      </c>
      <c r="M7098" s="17" t="s">
        <v>1816</v>
      </c>
      <c r="N7098" s="22" t="str">
        <f t="shared" si="621"/>
        <v>GAL</v>
      </c>
      <c r="O7098" s="19">
        <v>180</v>
      </c>
    </row>
    <row r="7099" spans="2:15" x14ac:dyDescent="0.25">
      <c r="B7099" s="16" t="s">
        <v>154</v>
      </c>
      <c r="C7099" s="17" t="s">
        <v>155</v>
      </c>
      <c r="D7099" s="17" t="s">
        <v>178</v>
      </c>
      <c r="E7099" s="17" t="s">
        <v>179</v>
      </c>
      <c r="F7099" s="18">
        <f>DATE(2025,2,27)</f>
        <v>45715</v>
      </c>
      <c r="G7099" s="22">
        <f t="shared" si="622"/>
        <v>2</v>
      </c>
      <c r="H7099" s="22">
        <f t="shared" si="623"/>
        <v>2025</v>
      </c>
      <c r="I7099" s="17" t="s">
        <v>4</v>
      </c>
      <c r="J7099" s="17" t="s">
        <v>7694</v>
      </c>
      <c r="K7099" s="17" t="s">
        <v>25</v>
      </c>
      <c r="L7099" s="17" t="s">
        <v>541</v>
      </c>
      <c r="M7099" s="17" t="s">
        <v>27</v>
      </c>
      <c r="N7099" s="22" t="str">
        <f t="shared" si="621"/>
        <v>GAL</v>
      </c>
      <c r="O7099" s="19">
        <v>180</v>
      </c>
    </row>
    <row r="7100" spans="2:15" x14ac:dyDescent="0.25">
      <c r="B7100" s="16" t="s">
        <v>645</v>
      </c>
      <c r="C7100" s="17" t="s">
        <v>155</v>
      </c>
      <c r="D7100" s="17" t="s">
        <v>646</v>
      </c>
      <c r="E7100" s="17" t="s">
        <v>647</v>
      </c>
      <c r="F7100" s="18">
        <f>DATE(2025,2,28)</f>
        <v>45716</v>
      </c>
      <c r="G7100" s="22">
        <f t="shared" si="622"/>
        <v>2</v>
      </c>
      <c r="H7100" s="22">
        <f t="shared" si="623"/>
        <v>2025</v>
      </c>
      <c r="I7100" s="17" t="s">
        <v>4</v>
      </c>
      <c r="J7100" s="17" t="s">
        <v>7695</v>
      </c>
      <c r="K7100" s="17" t="s">
        <v>25</v>
      </c>
      <c r="L7100" s="17" t="s">
        <v>541</v>
      </c>
      <c r="M7100" s="17" t="s">
        <v>27</v>
      </c>
      <c r="N7100" s="22" t="str">
        <f t="shared" si="621"/>
        <v>GAL</v>
      </c>
      <c r="O7100" s="19">
        <v>180</v>
      </c>
    </row>
    <row r="7101" spans="2:15" x14ac:dyDescent="0.25">
      <c r="B7101" s="16" t="s">
        <v>154</v>
      </c>
      <c r="C7101" s="17" t="s">
        <v>155</v>
      </c>
      <c r="D7101" s="17" t="s">
        <v>161</v>
      </c>
      <c r="E7101" s="17" t="s">
        <v>162</v>
      </c>
      <c r="F7101" s="18">
        <f>DATE(2025,2,28)</f>
        <v>45716</v>
      </c>
      <c r="G7101" s="22">
        <f t="shared" si="622"/>
        <v>2</v>
      </c>
      <c r="H7101" s="22">
        <f t="shared" si="623"/>
        <v>2025</v>
      </c>
      <c r="I7101" s="17" t="s">
        <v>4</v>
      </c>
      <c r="J7101" s="17" t="s">
        <v>7696</v>
      </c>
      <c r="K7101" s="17" t="s">
        <v>164</v>
      </c>
      <c r="L7101" s="17" t="s">
        <v>165</v>
      </c>
      <c r="M7101" s="17" t="s">
        <v>166</v>
      </c>
      <c r="N7101" s="22" t="str">
        <f t="shared" si="621"/>
        <v>GAL</v>
      </c>
      <c r="O7101" s="19">
        <v>180</v>
      </c>
    </row>
    <row r="7102" spans="2:15" x14ac:dyDescent="0.25">
      <c r="B7102" s="16" t="s">
        <v>1520</v>
      </c>
      <c r="C7102" s="17" t="s">
        <v>196</v>
      </c>
      <c r="D7102" s="17" t="s">
        <v>468</v>
      </c>
      <c r="E7102" s="17" t="s">
        <v>141</v>
      </c>
      <c r="F7102" s="18">
        <f>DATE(2025,2,6)</f>
        <v>45694</v>
      </c>
      <c r="G7102" s="22">
        <f t="shared" si="622"/>
        <v>2</v>
      </c>
      <c r="H7102" s="22">
        <f t="shared" si="623"/>
        <v>2025</v>
      </c>
      <c r="I7102" s="17" t="s">
        <v>4</v>
      </c>
      <c r="J7102" s="17" t="s">
        <v>7697</v>
      </c>
      <c r="K7102" s="17" t="s">
        <v>268</v>
      </c>
      <c r="L7102" s="17" t="s">
        <v>269</v>
      </c>
      <c r="M7102" s="17" t="s">
        <v>119</v>
      </c>
      <c r="N7102" s="22" t="str">
        <f t="shared" ref="N7102:N7165" si="625">+LEFT(M7102,3)</f>
        <v>TON</v>
      </c>
      <c r="O7102" s="19">
        <v>0.15</v>
      </c>
    </row>
    <row r="7103" spans="2:15" x14ac:dyDescent="0.25">
      <c r="B7103" s="16" t="s">
        <v>1520</v>
      </c>
      <c r="C7103" s="17" t="s">
        <v>196</v>
      </c>
      <c r="D7103" s="17" t="s">
        <v>310</v>
      </c>
      <c r="E7103" s="17" t="s">
        <v>355</v>
      </c>
      <c r="F7103" s="18">
        <f t="shared" ref="F7103:F7108" si="626">DATE(2025,2,3)</f>
        <v>45691</v>
      </c>
      <c r="G7103" s="22">
        <f t="shared" si="622"/>
        <v>2</v>
      </c>
      <c r="H7103" s="22">
        <f t="shared" si="623"/>
        <v>2025</v>
      </c>
      <c r="I7103" s="17" t="s">
        <v>4</v>
      </c>
      <c r="J7103" s="17" t="s">
        <v>7698</v>
      </c>
      <c r="K7103" s="17" t="s">
        <v>428</v>
      </c>
      <c r="L7103" s="17" t="s">
        <v>429</v>
      </c>
      <c r="M7103" s="17" t="s">
        <v>119</v>
      </c>
      <c r="N7103" s="22" t="str">
        <f t="shared" si="625"/>
        <v>TON</v>
      </c>
      <c r="O7103" s="19">
        <v>2.0074999999999998</v>
      </c>
    </row>
    <row r="7104" spans="2:15" x14ac:dyDescent="0.25">
      <c r="B7104" s="16" t="s">
        <v>1520</v>
      </c>
      <c r="C7104" s="17" t="s">
        <v>196</v>
      </c>
      <c r="D7104" s="17" t="s">
        <v>241</v>
      </c>
      <c r="E7104" s="17" t="s">
        <v>242</v>
      </c>
      <c r="F7104" s="18">
        <f t="shared" si="626"/>
        <v>45691</v>
      </c>
      <c r="G7104" s="22">
        <f t="shared" si="622"/>
        <v>2</v>
      </c>
      <c r="H7104" s="22">
        <f t="shared" si="623"/>
        <v>2025</v>
      </c>
      <c r="I7104" s="17" t="s">
        <v>4</v>
      </c>
      <c r="J7104" s="17" t="s">
        <v>7699</v>
      </c>
      <c r="K7104" s="17" t="s">
        <v>7700</v>
      </c>
      <c r="L7104" s="17" t="s">
        <v>7701</v>
      </c>
      <c r="M7104" s="17" t="s">
        <v>119</v>
      </c>
      <c r="N7104" s="22" t="str">
        <f t="shared" si="625"/>
        <v>TON</v>
      </c>
      <c r="O7104" s="19">
        <v>0.15</v>
      </c>
    </row>
    <row r="7105" spans="2:15" x14ac:dyDescent="0.25">
      <c r="B7105" s="16" t="s">
        <v>1520</v>
      </c>
      <c r="C7105" s="17" t="s">
        <v>196</v>
      </c>
      <c r="D7105" s="17" t="s">
        <v>669</v>
      </c>
      <c r="E7105" s="17" t="s">
        <v>670</v>
      </c>
      <c r="F7105" s="18">
        <f t="shared" si="626"/>
        <v>45691</v>
      </c>
      <c r="G7105" s="22">
        <f t="shared" si="622"/>
        <v>2</v>
      </c>
      <c r="H7105" s="22">
        <f t="shared" si="623"/>
        <v>2025</v>
      </c>
      <c r="I7105" s="17" t="s">
        <v>4</v>
      </c>
      <c r="J7105" s="17" t="s">
        <v>7702</v>
      </c>
      <c r="K7105" s="17" t="s">
        <v>384</v>
      </c>
      <c r="L7105" s="17" t="s">
        <v>385</v>
      </c>
      <c r="M7105" s="17" t="s">
        <v>119</v>
      </c>
      <c r="N7105" s="22" t="str">
        <f t="shared" si="625"/>
        <v>TON</v>
      </c>
      <c r="O7105" s="19">
        <v>7.0049999999999999</v>
      </c>
    </row>
    <row r="7106" spans="2:15" x14ac:dyDescent="0.25">
      <c r="B7106" s="16" t="s">
        <v>1520</v>
      </c>
      <c r="C7106" s="17" t="s">
        <v>196</v>
      </c>
      <c r="D7106" s="17" t="s">
        <v>672</v>
      </c>
      <c r="E7106" s="17" t="s">
        <v>699</v>
      </c>
      <c r="F7106" s="18">
        <f t="shared" si="626"/>
        <v>45691</v>
      </c>
      <c r="G7106" s="22">
        <f t="shared" si="622"/>
        <v>2</v>
      </c>
      <c r="H7106" s="22">
        <f t="shared" si="623"/>
        <v>2025</v>
      </c>
      <c r="I7106" s="17" t="s">
        <v>4</v>
      </c>
      <c r="J7106" s="17" t="s">
        <v>7703</v>
      </c>
      <c r="K7106" s="17" t="s">
        <v>251</v>
      </c>
      <c r="L7106" s="17" t="s">
        <v>252</v>
      </c>
      <c r="M7106" s="17" t="s">
        <v>119</v>
      </c>
      <c r="N7106" s="22" t="str">
        <f t="shared" si="625"/>
        <v>TON</v>
      </c>
      <c r="O7106" s="19">
        <v>10.005000000000001</v>
      </c>
    </row>
    <row r="7107" spans="2:15" x14ac:dyDescent="0.25">
      <c r="B7107" s="16" t="s">
        <v>1520</v>
      </c>
      <c r="C7107" s="17" t="s">
        <v>196</v>
      </c>
      <c r="D7107" s="17" t="s">
        <v>4034</v>
      </c>
      <c r="E7107" s="17" t="s">
        <v>759</v>
      </c>
      <c r="F7107" s="18">
        <f t="shared" si="626"/>
        <v>45691</v>
      </c>
      <c r="G7107" s="22">
        <f t="shared" si="622"/>
        <v>2</v>
      </c>
      <c r="H7107" s="22">
        <f t="shared" si="623"/>
        <v>2025</v>
      </c>
      <c r="I7107" s="17" t="s">
        <v>4</v>
      </c>
      <c r="J7107" s="17" t="s">
        <v>7704</v>
      </c>
      <c r="K7107" s="17" t="s">
        <v>117</v>
      </c>
      <c r="L7107" s="17" t="s">
        <v>118</v>
      </c>
      <c r="M7107" s="17" t="s">
        <v>119</v>
      </c>
      <c r="N7107" s="22" t="str">
        <f t="shared" si="625"/>
        <v>TON</v>
      </c>
      <c r="O7107" s="19">
        <v>5.0049999999999999</v>
      </c>
    </row>
    <row r="7108" spans="2:15" x14ac:dyDescent="0.25">
      <c r="B7108" s="16" t="s">
        <v>1520</v>
      </c>
      <c r="C7108" s="17" t="s">
        <v>196</v>
      </c>
      <c r="D7108" s="17" t="s">
        <v>387</v>
      </c>
      <c r="E7108" s="17" t="s">
        <v>797</v>
      </c>
      <c r="F7108" s="18">
        <f t="shared" si="626"/>
        <v>45691</v>
      </c>
      <c r="G7108" s="22">
        <f t="shared" si="622"/>
        <v>2</v>
      </c>
      <c r="H7108" s="22">
        <f t="shared" si="623"/>
        <v>2025</v>
      </c>
      <c r="I7108" s="17" t="s">
        <v>4</v>
      </c>
      <c r="J7108" s="17" t="s">
        <v>7705</v>
      </c>
      <c r="K7108" s="17" t="s">
        <v>7086</v>
      </c>
      <c r="L7108" s="17" t="s">
        <v>7087</v>
      </c>
      <c r="M7108" s="17" t="s">
        <v>119</v>
      </c>
      <c r="N7108" s="22" t="str">
        <f t="shared" si="625"/>
        <v>TON</v>
      </c>
      <c r="O7108" s="19">
        <v>10.02</v>
      </c>
    </row>
    <row r="7109" spans="2:15" x14ac:dyDescent="0.25">
      <c r="B7109" s="16" t="s">
        <v>1520</v>
      </c>
      <c r="C7109" s="17" t="s">
        <v>196</v>
      </c>
      <c r="D7109" s="17" t="s">
        <v>418</v>
      </c>
      <c r="E7109" s="17" t="s">
        <v>419</v>
      </c>
      <c r="F7109" s="18">
        <f t="shared" ref="F7109:F7117" si="627">DATE(2025,2,4)</f>
        <v>45692</v>
      </c>
      <c r="G7109" s="22">
        <f t="shared" si="622"/>
        <v>2</v>
      </c>
      <c r="H7109" s="22">
        <f t="shared" si="623"/>
        <v>2025</v>
      </c>
      <c r="I7109" s="17" t="s">
        <v>4</v>
      </c>
      <c r="J7109" s="17" t="s">
        <v>7706</v>
      </c>
      <c r="K7109" s="17" t="s">
        <v>205</v>
      </c>
      <c r="L7109" s="17" t="s">
        <v>206</v>
      </c>
      <c r="M7109" s="17" t="s">
        <v>119</v>
      </c>
      <c r="N7109" s="22" t="str">
        <f t="shared" si="625"/>
        <v>TON</v>
      </c>
      <c r="O7109" s="19">
        <v>10.01</v>
      </c>
    </row>
    <row r="7110" spans="2:15" x14ac:dyDescent="0.25">
      <c r="B7110" s="16" t="s">
        <v>1520</v>
      </c>
      <c r="C7110" s="17" t="s">
        <v>196</v>
      </c>
      <c r="D7110" s="17" t="s">
        <v>331</v>
      </c>
      <c r="E7110" s="17" t="s">
        <v>432</v>
      </c>
      <c r="F7110" s="18">
        <f t="shared" si="627"/>
        <v>45692</v>
      </c>
      <c r="G7110" s="22">
        <f t="shared" si="622"/>
        <v>2</v>
      </c>
      <c r="H7110" s="22">
        <f t="shared" si="623"/>
        <v>2025</v>
      </c>
      <c r="I7110" s="17" t="s">
        <v>4</v>
      </c>
      <c r="J7110" s="17" t="s">
        <v>7707</v>
      </c>
      <c r="K7110" s="17" t="s">
        <v>7415</v>
      </c>
      <c r="L7110" s="17" t="s">
        <v>7416</v>
      </c>
      <c r="M7110" s="17" t="s">
        <v>160</v>
      </c>
      <c r="N7110" s="22" t="str">
        <f t="shared" si="625"/>
        <v>GAL</v>
      </c>
      <c r="O7110" s="19">
        <v>30</v>
      </c>
    </row>
    <row r="7111" spans="2:15" x14ac:dyDescent="0.25">
      <c r="B7111" s="16" t="s">
        <v>1520</v>
      </c>
      <c r="C7111" s="17" t="s">
        <v>196</v>
      </c>
      <c r="D7111" s="17" t="s">
        <v>418</v>
      </c>
      <c r="E7111" s="17" t="s">
        <v>419</v>
      </c>
      <c r="F7111" s="18">
        <f t="shared" si="627"/>
        <v>45692</v>
      </c>
      <c r="G7111" s="22">
        <f t="shared" si="622"/>
        <v>2</v>
      </c>
      <c r="H7111" s="22">
        <f t="shared" si="623"/>
        <v>2025</v>
      </c>
      <c r="I7111" s="17" t="s">
        <v>4</v>
      </c>
      <c r="J7111" s="17" t="s">
        <v>7708</v>
      </c>
      <c r="K7111" s="17" t="s">
        <v>329</v>
      </c>
      <c r="L7111" s="17" t="s">
        <v>330</v>
      </c>
      <c r="M7111" s="17" t="s">
        <v>119</v>
      </c>
      <c r="N7111" s="22" t="str">
        <f t="shared" si="625"/>
        <v>TON</v>
      </c>
      <c r="O7111" s="19">
        <v>9.2650000000000006</v>
      </c>
    </row>
    <row r="7112" spans="2:15" x14ac:dyDescent="0.25">
      <c r="B7112" s="16" t="s">
        <v>1520</v>
      </c>
      <c r="C7112" s="17" t="s">
        <v>196</v>
      </c>
      <c r="D7112" s="17" t="s">
        <v>6651</v>
      </c>
      <c r="E7112" s="17" t="s">
        <v>6652</v>
      </c>
      <c r="F7112" s="18">
        <f t="shared" si="627"/>
        <v>45692</v>
      </c>
      <c r="G7112" s="22">
        <f t="shared" si="622"/>
        <v>2</v>
      </c>
      <c r="H7112" s="22">
        <f t="shared" si="623"/>
        <v>2025</v>
      </c>
      <c r="I7112" s="17" t="s">
        <v>4</v>
      </c>
      <c r="J7112" s="17" t="s">
        <v>7709</v>
      </c>
      <c r="K7112" s="17" t="s">
        <v>329</v>
      </c>
      <c r="L7112" s="17" t="s">
        <v>330</v>
      </c>
      <c r="M7112" s="17" t="s">
        <v>119</v>
      </c>
      <c r="N7112" s="22" t="str">
        <f t="shared" si="625"/>
        <v>TON</v>
      </c>
      <c r="O7112" s="19">
        <v>3.2570000000000001</v>
      </c>
    </row>
    <row r="7113" spans="2:15" x14ac:dyDescent="0.25">
      <c r="B7113" s="16" t="s">
        <v>1520</v>
      </c>
      <c r="C7113" s="17" t="s">
        <v>196</v>
      </c>
      <c r="D7113" s="17" t="s">
        <v>3761</v>
      </c>
      <c r="E7113" s="17" t="s">
        <v>3762</v>
      </c>
      <c r="F7113" s="18">
        <f t="shared" si="627"/>
        <v>45692</v>
      </c>
      <c r="G7113" s="22">
        <f t="shared" si="622"/>
        <v>2</v>
      </c>
      <c r="H7113" s="22">
        <f t="shared" si="623"/>
        <v>2025</v>
      </c>
      <c r="I7113" s="17" t="s">
        <v>4</v>
      </c>
      <c r="J7113" s="17" t="s">
        <v>7710</v>
      </c>
      <c r="K7113" s="17" t="s">
        <v>329</v>
      </c>
      <c r="L7113" s="17" t="s">
        <v>330</v>
      </c>
      <c r="M7113" s="17" t="s">
        <v>119</v>
      </c>
      <c r="N7113" s="22" t="str">
        <f t="shared" si="625"/>
        <v>TON</v>
      </c>
      <c r="O7113" s="19">
        <v>0.5</v>
      </c>
    </row>
    <row r="7114" spans="2:15" x14ac:dyDescent="0.25">
      <c r="B7114" s="16" t="s">
        <v>1520</v>
      </c>
      <c r="C7114" s="17" t="s">
        <v>196</v>
      </c>
      <c r="D7114" s="17" t="s">
        <v>299</v>
      </c>
      <c r="E7114" s="17" t="s">
        <v>2410</v>
      </c>
      <c r="F7114" s="18">
        <f t="shared" si="627"/>
        <v>45692</v>
      </c>
      <c r="G7114" s="22">
        <f t="shared" si="622"/>
        <v>2</v>
      </c>
      <c r="H7114" s="22">
        <f t="shared" si="623"/>
        <v>2025</v>
      </c>
      <c r="I7114" s="17" t="s">
        <v>4</v>
      </c>
      <c r="J7114" s="17" t="s">
        <v>7711</v>
      </c>
      <c r="K7114" s="17" t="s">
        <v>422</v>
      </c>
      <c r="L7114" s="17" t="s">
        <v>423</v>
      </c>
      <c r="M7114" s="17" t="s">
        <v>119</v>
      </c>
      <c r="N7114" s="22" t="str">
        <f t="shared" si="625"/>
        <v>TON</v>
      </c>
      <c r="O7114" s="19">
        <v>12.5025</v>
      </c>
    </row>
    <row r="7115" spans="2:15" x14ac:dyDescent="0.25">
      <c r="B7115" s="16" t="s">
        <v>1520</v>
      </c>
      <c r="C7115" s="17" t="s">
        <v>196</v>
      </c>
      <c r="D7115" s="17" t="s">
        <v>317</v>
      </c>
      <c r="E7115" s="17" t="s">
        <v>677</v>
      </c>
      <c r="F7115" s="18">
        <f t="shared" si="627"/>
        <v>45692</v>
      </c>
      <c r="G7115" s="22">
        <f t="shared" si="622"/>
        <v>2</v>
      </c>
      <c r="H7115" s="22">
        <f t="shared" si="623"/>
        <v>2025</v>
      </c>
      <c r="I7115" s="17" t="s">
        <v>4</v>
      </c>
      <c r="J7115" s="17" t="s">
        <v>7712</v>
      </c>
      <c r="K7115" s="17" t="s">
        <v>422</v>
      </c>
      <c r="L7115" s="17" t="s">
        <v>423</v>
      </c>
      <c r="M7115" s="17" t="s">
        <v>119</v>
      </c>
      <c r="N7115" s="22" t="str">
        <f t="shared" si="625"/>
        <v>TON</v>
      </c>
      <c r="O7115" s="19">
        <v>14.992000000000001</v>
      </c>
    </row>
    <row r="7116" spans="2:15" x14ac:dyDescent="0.25">
      <c r="B7116" s="16" t="s">
        <v>1520</v>
      </c>
      <c r="C7116" s="17" t="s">
        <v>196</v>
      </c>
      <c r="D7116" s="17" t="s">
        <v>299</v>
      </c>
      <c r="E7116" s="17" t="s">
        <v>4092</v>
      </c>
      <c r="F7116" s="18">
        <f t="shared" si="627"/>
        <v>45692</v>
      </c>
      <c r="G7116" s="22">
        <f t="shared" si="622"/>
        <v>2</v>
      </c>
      <c r="H7116" s="22">
        <f t="shared" si="623"/>
        <v>2025</v>
      </c>
      <c r="I7116" s="17" t="s">
        <v>4</v>
      </c>
      <c r="J7116" s="17" t="s">
        <v>7713</v>
      </c>
      <c r="K7116" s="17" t="s">
        <v>422</v>
      </c>
      <c r="L7116" s="17" t="s">
        <v>423</v>
      </c>
      <c r="M7116" s="17" t="s">
        <v>119</v>
      </c>
      <c r="N7116" s="22" t="str">
        <f t="shared" si="625"/>
        <v>TON</v>
      </c>
      <c r="O7116" s="19">
        <v>9</v>
      </c>
    </row>
    <row r="7117" spans="2:15" x14ac:dyDescent="0.25">
      <c r="B7117" s="16" t="s">
        <v>1520</v>
      </c>
      <c r="C7117" s="17" t="s">
        <v>196</v>
      </c>
      <c r="D7117" s="17" t="s">
        <v>317</v>
      </c>
      <c r="E7117" s="17" t="s">
        <v>319</v>
      </c>
      <c r="F7117" s="18">
        <f t="shared" si="627"/>
        <v>45692</v>
      </c>
      <c r="G7117" s="22">
        <f t="shared" si="622"/>
        <v>2</v>
      </c>
      <c r="H7117" s="22">
        <f t="shared" si="623"/>
        <v>2025</v>
      </c>
      <c r="I7117" s="17" t="s">
        <v>4</v>
      </c>
      <c r="J7117" s="17" t="s">
        <v>7714</v>
      </c>
      <c r="K7117" s="17" t="s">
        <v>422</v>
      </c>
      <c r="L7117" s="17" t="s">
        <v>423</v>
      </c>
      <c r="M7117" s="17" t="s">
        <v>119</v>
      </c>
      <c r="N7117" s="22" t="str">
        <f t="shared" si="625"/>
        <v>TON</v>
      </c>
      <c r="O7117" s="19">
        <v>5.0170000000000003</v>
      </c>
    </row>
    <row r="7118" spans="2:15" x14ac:dyDescent="0.25">
      <c r="B7118" s="16" t="s">
        <v>1520</v>
      </c>
      <c r="C7118" s="17" t="s">
        <v>196</v>
      </c>
      <c r="D7118" s="17" t="s">
        <v>449</v>
      </c>
      <c r="E7118" s="17" t="s">
        <v>450</v>
      </c>
      <c r="F7118" s="18">
        <f>DATE(2025,2,5)</f>
        <v>45693</v>
      </c>
      <c r="G7118" s="22">
        <f t="shared" si="622"/>
        <v>2</v>
      </c>
      <c r="H7118" s="22">
        <f t="shared" si="623"/>
        <v>2025</v>
      </c>
      <c r="I7118" s="17" t="s">
        <v>4</v>
      </c>
      <c r="J7118" s="17" t="s">
        <v>7715</v>
      </c>
      <c r="K7118" s="17" t="s">
        <v>122</v>
      </c>
      <c r="L7118" s="17" t="s">
        <v>123</v>
      </c>
      <c r="M7118" s="17" t="s">
        <v>119</v>
      </c>
      <c r="N7118" s="22" t="str">
        <f t="shared" si="625"/>
        <v>TON</v>
      </c>
      <c r="O7118" s="19">
        <v>7.0449999999999999</v>
      </c>
    </row>
    <row r="7119" spans="2:15" x14ac:dyDescent="0.25">
      <c r="B7119" s="16" t="s">
        <v>1520</v>
      </c>
      <c r="C7119" s="17" t="s">
        <v>196</v>
      </c>
      <c r="D7119" s="17" t="s">
        <v>197</v>
      </c>
      <c r="E7119" s="17" t="s">
        <v>198</v>
      </c>
      <c r="F7119" s="18">
        <f>DATE(2025,2,5)</f>
        <v>45693</v>
      </c>
      <c r="G7119" s="22">
        <f t="shared" si="622"/>
        <v>2</v>
      </c>
      <c r="H7119" s="22">
        <f t="shared" si="623"/>
        <v>2025</v>
      </c>
      <c r="I7119" s="17" t="s">
        <v>4</v>
      </c>
      <c r="J7119" s="17" t="s">
        <v>7716</v>
      </c>
      <c r="K7119" s="17" t="s">
        <v>307</v>
      </c>
      <c r="L7119" s="17" t="s">
        <v>308</v>
      </c>
      <c r="M7119" s="17" t="s">
        <v>119</v>
      </c>
      <c r="N7119" s="22" t="str">
        <f t="shared" si="625"/>
        <v>TON</v>
      </c>
      <c r="O7119" s="19">
        <v>4</v>
      </c>
    </row>
    <row r="7120" spans="2:15" x14ac:dyDescent="0.25">
      <c r="B7120" s="16" t="s">
        <v>1520</v>
      </c>
      <c r="C7120" s="17" t="s">
        <v>196</v>
      </c>
      <c r="D7120" s="17" t="s">
        <v>973</v>
      </c>
      <c r="E7120" s="17" t="s">
        <v>974</v>
      </c>
      <c r="F7120" s="18">
        <f>DATE(2025,2,5)</f>
        <v>45693</v>
      </c>
      <c r="G7120" s="22">
        <f t="shared" si="622"/>
        <v>2</v>
      </c>
      <c r="H7120" s="22">
        <f t="shared" si="623"/>
        <v>2025</v>
      </c>
      <c r="I7120" s="17" t="s">
        <v>4</v>
      </c>
      <c r="J7120" s="17" t="s">
        <v>7717</v>
      </c>
      <c r="K7120" s="17" t="s">
        <v>122</v>
      </c>
      <c r="L7120" s="17" t="s">
        <v>123</v>
      </c>
      <c r="M7120" s="17" t="s">
        <v>119</v>
      </c>
      <c r="N7120" s="22" t="str">
        <f t="shared" si="625"/>
        <v>TON</v>
      </c>
      <c r="O7120" s="19">
        <v>0.45750000000000002</v>
      </c>
    </row>
    <row r="7121" spans="2:15" x14ac:dyDescent="0.25">
      <c r="B7121" s="16" t="s">
        <v>1520</v>
      </c>
      <c r="C7121" s="17" t="s">
        <v>196</v>
      </c>
      <c r="D7121" s="17" t="s">
        <v>321</v>
      </c>
      <c r="E7121" s="17" t="s">
        <v>697</v>
      </c>
      <c r="F7121" s="18">
        <f>DATE(2025,2,4)</f>
        <v>45692</v>
      </c>
      <c r="G7121" s="22">
        <f t="shared" si="622"/>
        <v>2</v>
      </c>
      <c r="H7121" s="22">
        <f t="shared" si="623"/>
        <v>2025</v>
      </c>
      <c r="I7121" s="17" t="s">
        <v>4</v>
      </c>
      <c r="J7121" s="17" t="s">
        <v>7718</v>
      </c>
      <c r="K7121" s="17" t="s">
        <v>394</v>
      </c>
      <c r="L7121" s="17" t="s">
        <v>395</v>
      </c>
      <c r="M7121" s="17" t="s">
        <v>119</v>
      </c>
      <c r="N7121" s="22" t="str">
        <f t="shared" si="625"/>
        <v>TON</v>
      </c>
      <c r="O7121" s="19">
        <v>10.022500000000001</v>
      </c>
    </row>
    <row r="7122" spans="2:15" x14ac:dyDescent="0.25">
      <c r="B7122" s="16" t="s">
        <v>1520</v>
      </c>
      <c r="C7122" s="17" t="s">
        <v>196</v>
      </c>
      <c r="D7122" s="17" t="s">
        <v>3761</v>
      </c>
      <c r="E7122" s="17" t="s">
        <v>3762</v>
      </c>
      <c r="F7122" s="18">
        <f t="shared" ref="F7122:F7130" si="628">DATE(2025,2,5)</f>
        <v>45693</v>
      </c>
      <c r="G7122" s="22">
        <f t="shared" ref="G7122:G7185" si="629">+MONTH(F7122)</f>
        <v>2</v>
      </c>
      <c r="H7122" s="22">
        <f t="shared" ref="H7122:H7185" si="630">+YEAR(F7122)</f>
        <v>2025</v>
      </c>
      <c r="I7122" s="17" t="s">
        <v>4</v>
      </c>
      <c r="J7122" s="17" t="s">
        <v>7719</v>
      </c>
      <c r="K7122" s="17" t="s">
        <v>329</v>
      </c>
      <c r="L7122" s="17" t="s">
        <v>330</v>
      </c>
      <c r="M7122" s="17" t="s">
        <v>119</v>
      </c>
      <c r="N7122" s="22" t="str">
        <f t="shared" si="625"/>
        <v>TON</v>
      </c>
      <c r="O7122" s="19">
        <v>15</v>
      </c>
    </row>
    <row r="7123" spans="2:15" x14ac:dyDescent="0.25">
      <c r="B7123" s="16" t="s">
        <v>1520</v>
      </c>
      <c r="C7123" s="17" t="s">
        <v>196</v>
      </c>
      <c r="D7123" s="17" t="s">
        <v>215</v>
      </c>
      <c r="E7123" s="17" t="s">
        <v>4113</v>
      </c>
      <c r="F7123" s="18">
        <f t="shared" si="628"/>
        <v>45693</v>
      </c>
      <c r="G7123" s="22">
        <f t="shared" si="629"/>
        <v>2</v>
      </c>
      <c r="H7123" s="22">
        <f t="shared" si="630"/>
        <v>2025</v>
      </c>
      <c r="I7123" s="17" t="s">
        <v>4</v>
      </c>
      <c r="J7123" s="17" t="s">
        <v>7720</v>
      </c>
      <c r="K7123" s="17" t="s">
        <v>499</v>
      </c>
      <c r="L7123" s="17" t="s">
        <v>500</v>
      </c>
      <c r="M7123" s="17" t="s">
        <v>119</v>
      </c>
      <c r="N7123" s="22" t="str">
        <f t="shared" si="625"/>
        <v>TON</v>
      </c>
      <c r="O7123" s="19">
        <v>15.03</v>
      </c>
    </row>
    <row r="7124" spans="2:15" x14ac:dyDescent="0.25">
      <c r="B7124" s="16" t="s">
        <v>1520</v>
      </c>
      <c r="C7124" s="17" t="s">
        <v>196</v>
      </c>
      <c r="D7124" s="17" t="s">
        <v>3761</v>
      </c>
      <c r="E7124" s="17" t="s">
        <v>3762</v>
      </c>
      <c r="F7124" s="18">
        <f t="shared" si="628"/>
        <v>45693</v>
      </c>
      <c r="G7124" s="22">
        <f t="shared" si="629"/>
        <v>2</v>
      </c>
      <c r="H7124" s="22">
        <f t="shared" si="630"/>
        <v>2025</v>
      </c>
      <c r="I7124" s="17" t="s">
        <v>4</v>
      </c>
      <c r="J7124" s="17" t="s">
        <v>7721</v>
      </c>
      <c r="K7124" s="17" t="s">
        <v>823</v>
      </c>
      <c r="L7124" s="17" t="s">
        <v>776</v>
      </c>
      <c r="M7124" s="17" t="s">
        <v>82</v>
      </c>
      <c r="N7124" s="22" t="str">
        <f t="shared" si="625"/>
        <v>GAL</v>
      </c>
      <c r="O7124" s="19">
        <v>250</v>
      </c>
    </row>
    <row r="7125" spans="2:15" x14ac:dyDescent="0.25">
      <c r="B7125" s="16" t="s">
        <v>1520</v>
      </c>
      <c r="C7125" s="17" t="s">
        <v>196</v>
      </c>
      <c r="D7125" s="17" t="s">
        <v>114</v>
      </c>
      <c r="E7125" s="17" t="s">
        <v>5054</v>
      </c>
      <c r="F7125" s="18">
        <f t="shared" si="628"/>
        <v>45693</v>
      </c>
      <c r="G7125" s="22">
        <f t="shared" si="629"/>
        <v>2</v>
      </c>
      <c r="H7125" s="22">
        <f t="shared" si="630"/>
        <v>2025</v>
      </c>
      <c r="I7125" s="17" t="s">
        <v>4</v>
      </c>
      <c r="J7125" s="17" t="s">
        <v>7722</v>
      </c>
      <c r="K7125" s="17" t="s">
        <v>422</v>
      </c>
      <c r="L7125" s="17" t="s">
        <v>423</v>
      </c>
      <c r="M7125" s="17" t="s">
        <v>119</v>
      </c>
      <c r="N7125" s="22" t="str">
        <f t="shared" si="625"/>
        <v>TON</v>
      </c>
      <c r="O7125" s="19">
        <v>15.005000000000001</v>
      </c>
    </row>
    <row r="7126" spans="2:15" x14ac:dyDescent="0.25">
      <c r="B7126" s="16" t="s">
        <v>1520</v>
      </c>
      <c r="C7126" s="17" t="s">
        <v>196</v>
      </c>
      <c r="D7126" s="17" t="s">
        <v>458</v>
      </c>
      <c r="E7126" s="17" t="s">
        <v>2278</v>
      </c>
      <c r="F7126" s="18">
        <f t="shared" si="628"/>
        <v>45693</v>
      </c>
      <c r="G7126" s="22">
        <f t="shared" si="629"/>
        <v>2</v>
      </c>
      <c r="H7126" s="22">
        <f t="shared" si="630"/>
        <v>2025</v>
      </c>
      <c r="I7126" s="17" t="s">
        <v>4</v>
      </c>
      <c r="J7126" s="17" t="s">
        <v>7723</v>
      </c>
      <c r="K7126" s="17" t="s">
        <v>251</v>
      </c>
      <c r="L7126" s="17" t="s">
        <v>252</v>
      </c>
      <c r="M7126" s="17" t="s">
        <v>119</v>
      </c>
      <c r="N7126" s="22" t="str">
        <f t="shared" si="625"/>
        <v>TON</v>
      </c>
      <c r="O7126" s="19">
        <v>3.75</v>
      </c>
    </row>
    <row r="7127" spans="2:15" x14ac:dyDescent="0.25">
      <c r="B7127" s="16" t="s">
        <v>1520</v>
      </c>
      <c r="C7127" s="17" t="s">
        <v>196</v>
      </c>
      <c r="D7127" s="17" t="s">
        <v>4034</v>
      </c>
      <c r="E7127" s="17" t="s">
        <v>759</v>
      </c>
      <c r="F7127" s="18">
        <f t="shared" si="628"/>
        <v>45693</v>
      </c>
      <c r="G7127" s="22">
        <f t="shared" si="629"/>
        <v>2</v>
      </c>
      <c r="H7127" s="22">
        <f t="shared" si="630"/>
        <v>2025</v>
      </c>
      <c r="I7127" s="17" t="s">
        <v>4</v>
      </c>
      <c r="J7127" s="17" t="s">
        <v>7724</v>
      </c>
      <c r="K7127" s="17" t="s">
        <v>117</v>
      </c>
      <c r="L7127" s="17" t="s">
        <v>118</v>
      </c>
      <c r="M7127" s="17" t="s">
        <v>119</v>
      </c>
      <c r="N7127" s="22" t="str">
        <f t="shared" si="625"/>
        <v>TON</v>
      </c>
      <c r="O7127" s="19">
        <v>5</v>
      </c>
    </row>
    <row r="7128" spans="2:15" x14ac:dyDescent="0.25">
      <c r="B7128" s="16" t="s">
        <v>1520</v>
      </c>
      <c r="C7128" s="17" t="s">
        <v>196</v>
      </c>
      <c r="D7128" s="17" t="s">
        <v>458</v>
      </c>
      <c r="E7128" s="17" t="s">
        <v>699</v>
      </c>
      <c r="F7128" s="18">
        <f t="shared" si="628"/>
        <v>45693</v>
      </c>
      <c r="G7128" s="22">
        <f t="shared" si="629"/>
        <v>2</v>
      </c>
      <c r="H7128" s="22">
        <f t="shared" si="630"/>
        <v>2025</v>
      </c>
      <c r="I7128" s="17" t="s">
        <v>4</v>
      </c>
      <c r="J7128" s="17" t="s">
        <v>7725</v>
      </c>
      <c r="K7128" s="17" t="s">
        <v>251</v>
      </c>
      <c r="L7128" s="17" t="s">
        <v>252</v>
      </c>
      <c r="M7128" s="17" t="s">
        <v>119</v>
      </c>
      <c r="N7128" s="22" t="str">
        <f t="shared" si="625"/>
        <v>TON</v>
      </c>
      <c r="O7128" s="19">
        <v>5.01</v>
      </c>
    </row>
    <row r="7129" spans="2:15" x14ac:dyDescent="0.25">
      <c r="B7129" s="16" t="s">
        <v>1520</v>
      </c>
      <c r="C7129" s="17" t="s">
        <v>196</v>
      </c>
      <c r="D7129" s="17" t="s">
        <v>1343</v>
      </c>
      <c r="E7129" s="17" t="s">
        <v>1274</v>
      </c>
      <c r="F7129" s="18">
        <f t="shared" si="628"/>
        <v>45693</v>
      </c>
      <c r="G7129" s="22">
        <f t="shared" si="629"/>
        <v>2</v>
      </c>
      <c r="H7129" s="22">
        <f t="shared" si="630"/>
        <v>2025</v>
      </c>
      <c r="I7129" s="17" t="s">
        <v>4</v>
      </c>
      <c r="J7129" s="17" t="s">
        <v>7726</v>
      </c>
      <c r="K7129" s="17" t="s">
        <v>2039</v>
      </c>
      <c r="L7129" s="17" t="s">
        <v>2040</v>
      </c>
      <c r="M7129" s="17" t="s">
        <v>119</v>
      </c>
      <c r="N7129" s="22" t="str">
        <f t="shared" si="625"/>
        <v>TON</v>
      </c>
      <c r="O7129" s="19">
        <v>5</v>
      </c>
    </row>
    <row r="7130" spans="2:15" x14ac:dyDescent="0.25">
      <c r="B7130" s="16" t="s">
        <v>1520</v>
      </c>
      <c r="C7130" s="17" t="s">
        <v>196</v>
      </c>
      <c r="D7130" s="17" t="s">
        <v>1343</v>
      </c>
      <c r="E7130" s="17" t="s">
        <v>3729</v>
      </c>
      <c r="F7130" s="18">
        <f t="shared" si="628"/>
        <v>45693</v>
      </c>
      <c r="G7130" s="22">
        <f t="shared" si="629"/>
        <v>2</v>
      </c>
      <c r="H7130" s="22">
        <f t="shared" si="630"/>
        <v>2025</v>
      </c>
      <c r="I7130" s="17" t="s">
        <v>4</v>
      </c>
      <c r="J7130" s="17" t="s">
        <v>7727</v>
      </c>
      <c r="K7130" s="17" t="s">
        <v>2039</v>
      </c>
      <c r="L7130" s="17" t="s">
        <v>2040</v>
      </c>
      <c r="M7130" s="17" t="s">
        <v>119</v>
      </c>
      <c r="N7130" s="22" t="str">
        <f t="shared" si="625"/>
        <v>TON</v>
      </c>
      <c r="O7130" s="19">
        <v>15.02</v>
      </c>
    </row>
    <row r="7131" spans="2:15" x14ac:dyDescent="0.25">
      <c r="B7131" s="16" t="s">
        <v>1520</v>
      </c>
      <c r="C7131" s="17" t="s">
        <v>196</v>
      </c>
      <c r="D7131" s="17" t="s">
        <v>4013</v>
      </c>
      <c r="E7131" s="17" t="s">
        <v>2868</v>
      </c>
      <c r="F7131" s="18">
        <f t="shared" ref="F7131:F7145" si="631">DATE(2025,2,6)</f>
        <v>45694</v>
      </c>
      <c r="G7131" s="22">
        <f t="shared" si="629"/>
        <v>2</v>
      </c>
      <c r="H7131" s="22">
        <f t="shared" si="630"/>
        <v>2025</v>
      </c>
      <c r="I7131" s="17" t="s">
        <v>4</v>
      </c>
      <c r="J7131" s="17" t="s">
        <v>7728</v>
      </c>
      <c r="K7131" s="17" t="s">
        <v>329</v>
      </c>
      <c r="L7131" s="17" t="s">
        <v>330</v>
      </c>
      <c r="M7131" s="17" t="s">
        <v>119</v>
      </c>
      <c r="N7131" s="22" t="str">
        <f t="shared" si="625"/>
        <v>TON</v>
      </c>
      <c r="O7131" s="19">
        <v>1</v>
      </c>
    </row>
    <row r="7132" spans="2:15" x14ac:dyDescent="0.25">
      <c r="B7132" s="16" t="s">
        <v>1520</v>
      </c>
      <c r="C7132" s="17" t="s">
        <v>196</v>
      </c>
      <c r="D7132" s="17" t="s">
        <v>800</v>
      </c>
      <c r="E7132" s="17" t="s">
        <v>907</v>
      </c>
      <c r="F7132" s="18">
        <f t="shared" si="631"/>
        <v>45694</v>
      </c>
      <c r="G7132" s="22">
        <f t="shared" si="629"/>
        <v>2</v>
      </c>
      <c r="H7132" s="22">
        <f t="shared" si="630"/>
        <v>2025</v>
      </c>
      <c r="I7132" s="17" t="s">
        <v>4</v>
      </c>
      <c r="J7132" s="17" t="s">
        <v>7729</v>
      </c>
      <c r="K7132" s="17" t="s">
        <v>122</v>
      </c>
      <c r="L7132" s="17" t="s">
        <v>123</v>
      </c>
      <c r="M7132" s="17" t="s">
        <v>119</v>
      </c>
      <c r="N7132" s="22" t="str">
        <f t="shared" si="625"/>
        <v>TON</v>
      </c>
      <c r="O7132" s="19">
        <v>3.375</v>
      </c>
    </row>
    <row r="7133" spans="2:15" x14ac:dyDescent="0.25">
      <c r="B7133" s="16" t="s">
        <v>1520</v>
      </c>
      <c r="C7133" s="17" t="s">
        <v>196</v>
      </c>
      <c r="D7133" s="17" t="s">
        <v>374</v>
      </c>
      <c r="E7133" s="17" t="s">
        <v>5309</v>
      </c>
      <c r="F7133" s="18">
        <f t="shared" si="631"/>
        <v>45694</v>
      </c>
      <c r="G7133" s="22">
        <f t="shared" si="629"/>
        <v>2</v>
      </c>
      <c r="H7133" s="22">
        <f t="shared" si="630"/>
        <v>2025</v>
      </c>
      <c r="I7133" s="17" t="s">
        <v>4</v>
      </c>
      <c r="J7133" s="17" t="s">
        <v>7730</v>
      </c>
      <c r="K7133" s="17" t="s">
        <v>329</v>
      </c>
      <c r="L7133" s="17" t="s">
        <v>330</v>
      </c>
      <c r="M7133" s="17" t="s">
        <v>119</v>
      </c>
      <c r="N7133" s="22" t="str">
        <f t="shared" si="625"/>
        <v>TON</v>
      </c>
      <c r="O7133" s="19">
        <v>15.0275</v>
      </c>
    </row>
    <row r="7134" spans="2:15" x14ac:dyDescent="0.25">
      <c r="B7134" s="16" t="s">
        <v>1520</v>
      </c>
      <c r="C7134" s="17" t="s">
        <v>196</v>
      </c>
      <c r="D7134" s="17" t="s">
        <v>276</v>
      </c>
      <c r="E7134" s="17" t="s">
        <v>692</v>
      </c>
      <c r="F7134" s="18">
        <f t="shared" si="631"/>
        <v>45694</v>
      </c>
      <c r="G7134" s="22">
        <f t="shared" si="629"/>
        <v>2</v>
      </c>
      <c r="H7134" s="22">
        <f t="shared" si="630"/>
        <v>2025</v>
      </c>
      <c r="I7134" s="17" t="s">
        <v>4</v>
      </c>
      <c r="J7134" s="17" t="s">
        <v>7731</v>
      </c>
      <c r="K7134" s="17" t="s">
        <v>329</v>
      </c>
      <c r="L7134" s="17" t="s">
        <v>330</v>
      </c>
      <c r="M7134" s="17" t="s">
        <v>119</v>
      </c>
      <c r="N7134" s="22" t="str">
        <f t="shared" si="625"/>
        <v>TON</v>
      </c>
      <c r="O7134" s="19">
        <v>10.0075</v>
      </c>
    </row>
    <row r="7135" spans="2:15" x14ac:dyDescent="0.25">
      <c r="B7135" s="16" t="s">
        <v>1520</v>
      </c>
      <c r="C7135" s="17" t="s">
        <v>196</v>
      </c>
      <c r="D7135" s="17" t="s">
        <v>227</v>
      </c>
      <c r="E7135" s="17" t="s">
        <v>357</v>
      </c>
      <c r="F7135" s="18">
        <f t="shared" si="631"/>
        <v>45694</v>
      </c>
      <c r="G7135" s="22">
        <f t="shared" si="629"/>
        <v>2</v>
      </c>
      <c r="H7135" s="22">
        <f t="shared" si="630"/>
        <v>2025</v>
      </c>
      <c r="I7135" s="17" t="s">
        <v>4</v>
      </c>
      <c r="J7135" s="17" t="s">
        <v>7732</v>
      </c>
      <c r="K7135" s="17" t="s">
        <v>122</v>
      </c>
      <c r="L7135" s="17" t="s">
        <v>123</v>
      </c>
      <c r="M7135" s="17" t="s">
        <v>119</v>
      </c>
      <c r="N7135" s="22" t="str">
        <f t="shared" si="625"/>
        <v>TON</v>
      </c>
      <c r="O7135" s="19">
        <v>8.5</v>
      </c>
    </row>
    <row r="7136" spans="2:15" x14ac:dyDescent="0.25">
      <c r="B7136" s="16" t="s">
        <v>1520</v>
      </c>
      <c r="C7136" s="17" t="s">
        <v>196</v>
      </c>
      <c r="D7136" s="17" t="s">
        <v>452</v>
      </c>
      <c r="E7136" s="17" t="s">
        <v>115</v>
      </c>
      <c r="F7136" s="18">
        <f t="shared" si="631"/>
        <v>45694</v>
      </c>
      <c r="G7136" s="22">
        <f t="shared" si="629"/>
        <v>2</v>
      </c>
      <c r="H7136" s="22">
        <f t="shared" si="630"/>
        <v>2025</v>
      </c>
      <c r="I7136" s="17" t="s">
        <v>4</v>
      </c>
      <c r="J7136" s="17" t="s">
        <v>7733</v>
      </c>
      <c r="K7136" s="17" t="s">
        <v>447</v>
      </c>
      <c r="L7136" s="17" t="s">
        <v>448</v>
      </c>
      <c r="M7136" s="17" t="s">
        <v>119</v>
      </c>
      <c r="N7136" s="22" t="str">
        <f t="shared" si="625"/>
        <v>TON</v>
      </c>
      <c r="O7136" s="19">
        <v>2.5</v>
      </c>
    </row>
    <row r="7137" spans="2:15" x14ac:dyDescent="0.25">
      <c r="B7137" s="16" t="s">
        <v>1520</v>
      </c>
      <c r="C7137" s="17" t="s">
        <v>196</v>
      </c>
      <c r="D7137" s="17" t="s">
        <v>669</v>
      </c>
      <c r="E7137" s="17" t="s">
        <v>861</v>
      </c>
      <c r="F7137" s="18">
        <f t="shared" si="631"/>
        <v>45694</v>
      </c>
      <c r="G7137" s="22">
        <f t="shared" si="629"/>
        <v>2</v>
      </c>
      <c r="H7137" s="22">
        <f t="shared" si="630"/>
        <v>2025</v>
      </c>
      <c r="I7137" s="17" t="s">
        <v>4</v>
      </c>
      <c r="J7137" s="17" t="s">
        <v>7734</v>
      </c>
      <c r="K7137" s="17" t="s">
        <v>384</v>
      </c>
      <c r="L7137" s="17" t="s">
        <v>385</v>
      </c>
      <c r="M7137" s="17" t="s">
        <v>119</v>
      </c>
      <c r="N7137" s="22" t="str">
        <f t="shared" si="625"/>
        <v>TON</v>
      </c>
      <c r="O7137" s="19">
        <v>1.7524999999999999</v>
      </c>
    </row>
    <row r="7138" spans="2:15" x14ac:dyDescent="0.25">
      <c r="B7138" s="16" t="s">
        <v>1520</v>
      </c>
      <c r="C7138" s="17" t="s">
        <v>196</v>
      </c>
      <c r="D7138" s="17" t="s">
        <v>283</v>
      </c>
      <c r="E7138" s="17" t="s">
        <v>699</v>
      </c>
      <c r="F7138" s="18">
        <f t="shared" si="631"/>
        <v>45694</v>
      </c>
      <c r="G7138" s="22">
        <f t="shared" si="629"/>
        <v>2</v>
      </c>
      <c r="H7138" s="22">
        <f t="shared" si="630"/>
        <v>2025</v>
      </c>
      <c r="I7138" s="17" t="s">
        <v>4</v>
      </c>
      <c r="J7138" s="17" t="s">
        <v>7735</v>
      </c>
      <c r="K7138" s="17" t="s">
        <v>307</v>
      </c>
      <c r="L7138" s="17" t="s">
        <v>308</v>
      </c>
      <c r="M7138" s="17" t="s">
        <v>119</v>
      </c>
      <c r="N7138" s="22" t="str">
        <f t="shared" si="625"/>
        <v>TON</v>
      </c>
      <c r="O7138" s="19">
        <v>1</v>
      </c>
    </row>
    <row r="7139" spans="2:15" x14ac:dyDescent="0.25">
      <c r="B7139" s="16" t="s">
        <v>1520</v>
      </c>
      <c r="C7139" s="17" t="s">
        <v>196</v>
      </c>
      <c r="D7139" s="17" t="s">
        <v>440</v>
      </c>
      <c r="E7139" s="17" t="s">
        <v>1369</v>
      </c>
      <c r="F7139" s="18">
        <f t="shared" si="631"/>
        <v>45694</v>
      </c>
      <c r="G7139" s="22">
        <f t="shared" si="629"/>
        <v>2</v>
      </c>
      <c r="H7139" s="22">
        <f t="shared" si="630"/>
        <v>2025</v>
      </c>
      <c r="I7139" s="17" t="s">
        <v>4</v>
      </c>
      <c r="J7139" s="17" t="s">
        <v>7736</v>
      </c>
      <c r="K7139" s="17" t="s">
        <v>7086</v>
      </c>
      <c r="L7139" s="17" t="s">
        <v>7087</v>
      </c>
      <c r="M7139" s="17" t="s">
        <v>119</v>
      </c>
      <c r="N7139" s="22" t="str">
        <f t="shared" si="625"/>
        <v>TON</v>
      </c>
      <c r="O7139" s="19">
        <v>5.0075000000000003</v>
      </c>
    </row>
    <row r="7140" spans="2:15" x14ac:dyDescent="0.25">
      <c r="B7140" s="16" t="s">
        <v>1520</v>
      </c>
      <c r="C7140" s="17" t="s">
        <v>196</v>
      </c>
      <c r="D7140" s="17" t="s">
        <v>440</v>
      </c>
      <c r="E7140" s="17" t="s">
        <v>441</v>
      </c>
      <c r="F7140" s="18">
        <f t="shared" si="631"/>
        <v>45694</v>
      </c>
      <c r="G7140" s="22">
        <f t="shared" si="629"/>
        <v>2</v>
      </c>
      <c r="H7140" s="22">
        <f t="shared" si="630"/>
        <v>2025</v>
      </c>
      <c r="I7140" s="17" t="s">
        <v>4</v>
      </c>
      <c r="J7140" s="17" t="s">
        <v>7737</v>
      </c>
      <c r="K7140" s="17" t="s">
        <v>7086</v>
      </c>
      <c r="L7140" s="17" t="s">
        <v>7087</v>
      </c>
      <c r="M7140" s="17" t="s">
        <v>119</v>
      </c>
      <c r="N7140" s="22" t="str">
        <f t="shared" si="625"/>
        <v>TON</v>
      </c>
      <c r="O7140" s="19">
        <v>5.0025000000000004</v>
      </c>
    </row>
    <row r="7141" spans="2:15" x14ac:dyDescent="0.25">
      <c r="B7141" s="16" t="s">
        <v>1520</v>
      </c>
      <c r="C7141" s="17" t="s">
        <v>196</v>
      </c>
      <c r="D7141" s="17" t="s">
        <v>321</v>
      </c>
      <c r="E7141" s="17" t="s">
        <v>392</v>
      </c>
      <c r="F7141" s="18">
        <f t="shared" si="631"/>
        <v>45694</v>
      </c>
      <c r="G7141" s="22">
        <f t="shared" si="629"/>
        <v>2</v>
      </c>
      <c r="H7141" s="22">
        <f t="shared" si="630"/>
        <v>2025</v>
      </c>
      <c r="I7141" s="17" t="s">
        <v>4</v>
      </c>
      <c r="J7141" s="17" t="s">
        <v>7738</v>
      </c>
      <c r="K7141" s="17" t="s">
        <v>447</v>
      </c>
      <c r="L7141" s="17" t="s">
        <v>448</v>
      </c>
      <c r="M7141" s="17" t="s">
        <v>119</v>
      </c>
      <c r="N7141" s="22" t="str">
        <f t="shared" si="625"/>
        <v>TON</v>
      </c>
      <c r="O7141" s="19">
        <v>1.26</v>
      </c>
    </row>
    <row r="7142" spans="2:15" x14ac:dyDescent="0.25">
      <c r="B7142" s="16" t="s">
        <v>1520</v>
      </c>
      <c r="C7142" s="17" t="s">
        <v>196</v>
      </c>
      <c r="D7142" s="17" t="s">
        <v>289</v>
      </c>
      <c r="E7142" s="17" t="s">
        <v>290</v>
      </c>
      <c r="F7142" s="18">
        <f t="shared" si="631"/>
        <v>45694</v>
      </c>
      <c r="G7142" s="22">
        <f t="shared" si="629"/>
        <v>2</v>
      </c>
      <c r="H7142" s="22">
        <f t="shared" si="630"/>
        <v>2025</v>
      </c>
      <c r="I7142" s="17" t="s">
        <v>4</v>
      </c>
      <c r="J7142" s="17" t="s">
        <v>7739</v>
      </c>
      <c r="K7142" s="17" t="s">
        <v>865</v>
      </c>
      <c r="L7142" s="17" t="s">
        <v>866</v>
      </c>
      <c r="M7142" s="17" t="s">
        <v>119</v>
      </c>
      <c r="N7142" s="22" t="str">
        <f t="shared" si="625"/>
        <v>TON</v>
      </c>
      <c r="O7142" s="19">
        <v>1</v>
      </c>
    </row>
    <row r="7143" spans="2:15" x14ac:dyDescent="0.25">
      <c r="B7143" s="16" t="s">
        <v>1520</v>
      </c>
      <c r="C7143" s="17" t="s">
        <v>196</v>
      </c>
      <c r="D7143" s="17" t="s">
        <v>303</v>
      </c>
      <c r="E7143" s="17" t="s">
        <v>1998</v>
      </c>
      <c r="F7143" s="18">
        <f t="shared" si="631"/>
        <v>45694</v>
      </c>
      <c r="G7143" s="22">
        <f t="shared" si="629"/>
        <v>2</v>
      </c>
      <c r="H7143" s="22">
        <f t="shared" si="630"/>
        <v>2025</v>
      </c>
      <c r="I7143" s="17" t="s">
        <v>4</v>
      </c>
      <c r="J7143" s="17" t="s">
        <v>7740</v>
      </c>
      <c r="K7143" s="17" t="s">
        <v>3726</v>
      </c>
      <c r="L7143" s="17" t="s">
        <v>3727</v>
      </c>
      <c r="M7143" s="17" t="s">
        <v>145</v>
      </c>
      <c r="N7143" s="22" t="str">
        <f t="shared" si="625"/>
        <v>GAL</v>
      </c>
      <c r="O7143" s="19">
        <v>1.875</v>
      </c>
    </row>
    <row r="7144" spans="2:15" x14ac:dyDescent="0.25">
      <c r="B7144" s="16" t="s">
        <v>1520</v>
      </c>
      <c r="C7144" s="17" t="s">
        <v>196</v>
      </c>
      <c r="D7144" s="17" t="s">
        <v>303</v>
      </c>
      <c r="E7144" s="17" t="s">
        <v>1998</v>
      </c>
      <c r="F7144" s="18">
        <f t="shared" si="631"/>
        <v>45694</v>
      </c>
      <c r="G7144" s="22">
        <f t="shared" si="629"/>
        <v>2</v>
      </c>
      <c r="H7144" s="22">
        <f t="shared" si="630"/>
        <v>2025</v>
      </c>
      <c r="I7144" s="17" t="s">
        <v>4</v>
      </c>
      <c r="J7144" s="17" t="s">
        <v>7740</v>
      </c>
      <c r="K7144" s="17" t="s">
        <v>7549</v>
      </c>
      <c r="L7144" s="17" t="s">
        <v>7550</v>
      </c>
      <c r="M7144" s="17" t="s">
        <v>119</v>
      </c>
      <c r="N7144" s="22" t="str">
        <f t="shared" si="625"/>
        <v>TON</v>
      </c>
      <c r="O7144" s="19">
        <v>5.0149999999999997</v>
      </c>
    </row>
    <row r="7145" spans="2:15" x14ac:dyDescent="0.25">
      <c r="B7145" s="16" t="s">
        <v>1520</v>
      </c>
      <c r="C7145" s="17" t="s">
        <v>196</v>
      </c>
      <c r="D7145" s="17" t="s">
        <v>331</v>
      </c>
      <c r="E7145" s="17" t="s">
        <v>432</v>
      </c>
      <c r="F7145" s="18">
        <f t="shared" si="631"/>
        <v>45694</v>
      </c>
      <c r="G7145" s="22">
        <f t="shared" si="629"/>
        <v>2</v>
      </c>
      <c r="H7145" s="22">
        <f t="shared" si="630"/>
        <v>2025</v>
      </c>
      <c r="I7145" s="17" t="s">
        <v>4</v>
      </c>
      <c r="J7145" s="17" t="s">
        <v>7741</v>
      </c>
      <c r="K7145" s="17" t="s">
        <v>329</v>
      </c>
      <c r="L7145" s="17" t="s">
        <v>330</v>
      </c>
      <c r="M7145" s="17" t="s">
        <v>119</v>
      </c>
      <c r="N7145" s="22" t="str">
        <f t="shared" si="625"/>
        <v>TON</v>
      </c>
      <c r="O7145" s="19">
        <v>15.0275</v>
      </c>
    </row>
    <row r="7146" spans="2:15" x14ac:dyDescent="0.25">
      <c r="B7146" s="16" t="s">
        <v>1520</v>
      </c>
      <c r="C7146" s="17" t="s">
        <v>196</v>
      </c>
      <c r="D7146" s="17" t="s">
        <v>387</v>
      </c>
      <c r="E7146" s="17" t="s">
        <v>797</v>
      </c>
      <c r="F7146" s="18">
        <f>DATE(2025,2,7)</f>
        <v>45695</v>
      </c>
      <c r="G7146" s="22">
        <f t="shared" si="629"/>
        <v>2</v>
      </c>
      <c r="H7146" s="22">
        <f t="shared" si="630"/>
        <v>2025</v>
      </c>
      <c r="I7146" s="17" t="s">
        <v>4</v>
      </c>
      <c r="J7146" s="17" t="s">
        <v>7742</v>
      </c>
      <c r="K7146" s="17" t="s">
        <v>25</v>
      </c>
      <c r="L7146" s="17" t="s">
        <v>541</v>
      </c>
      <c r="M7146" s="17" t="s">
        <v>27</v>
      </c>
      <c r="N7146" s="22" t="str">
        <f t="shared" si="625"/>
        <v>GAL</v>
      </c>
      <c r="O7146" s="19">
        <v>30</v>
      </c>
    </row>
    <row r="7147" spans="2:15" x14ac:dyDescent="0.25">
      <c r="B7147" s="16" t="s">
        <v>1520</v>
      </c>
      <c r="C7147" s="17" t="s">
        <v>196</v>
      </c>
      <c r="D7147" s="17" t="s">
        <v>280</v>
      </c>
      <c r="E7147" s="17" t="s">
        <v>371</v>
      </c>
      <c r="F7147" s="18">
        <f>DATE(2025,2,6)</f>
        <v>45694</v>
      </c>
      <c r="G7147" s="22">
        <f t="shared" si="629"/>
        <v>2</v>
      </c>
      <c r="H7147" s="22">
        <f t="shared" si="630"/>
        <v>2025</v>
      </c>
      <c r="I7147" s="17" t="s">
        <v>4</v>
      </c>
      <c r="J7147" s="17" t="s">
        <v>7743</v>
      </c>
      <c r="K7147" s="17" t="s">
        <v>422</v>
      </c>
      <c r="L7147" s="17" t="s">
        <v>423</v>
      </c>
      <c r="M7147" s="17" t="s">
        <v>119</v>
      </c>
      <c r="N7147" s="22" t="str">
        <f t="shared" si="625"/>
        <v>TON</v>
      </c>
      <c r="O7147" s="19">
        <v>14.052</v>
      </c>
    </row>
    <row r="7148" spans="2:15" x14ac:dyDescent="0.25">
      <c r="B7148" s="16" t="s">
        <v>1520</v>
      </c>
      <c r="C7148" s="17" t="s">
        <v>196</v>
      </c>
      <c r="D7148" s="17" t="s">
        <v>114</v>
      </c>
      <c r="E7148" s="17" t="s">
        <v>402</v>
      </c>
      <c r="F7148" s="18">
        <f>DATE(2025,2,7)</f>
        <v>45695</v>
      </c>
      <c r="G7148" s="22">
        <f t="shared" si="629"/>
        <v>2</v>
      </c>
      <c r="H7148" s="22">
        <f t="shared" si="630"/>
        <v>2025</v>
      </c>
      <c r="I7148" s="17" t="s">
        <v>4</v>
      </c>
      <c r="J7148" s="17" t="s">
        <v>7744</v>
      </c>
      <c r="K7148" s="17" t="s">
        <v>422</v>
      </c>
      <c r="L7148" s="17" t="s">
        <v>423</v>
      </c>
      <c r="M7148" s="17" t="s">
        <v>119</v>
      </c>
      <c r="N7148" s="22" t="str">
        <f t="shared" si="625"/>
        <v>TON</v>
      </c>
      <c r="O7148" s="19">
        <v>4.5049999999999999</v>
      </c>
    </row>
    <row r="7149" spans="2:15" x14ac:dyDescent="0.25">
      <c r="B7149" s="16" t="s">
        <v>1520</v>
      </c>
      <c r="C7149" s="17" t="s">
        <v>196</v>
      </c>
      <c r="D7149" s="17" t="s">
        <v>452</v>
      </c>
      <c r="E7149" s="17" t="s">
        <v>7092</v>
      </c>
      <c r="F7149" s="18">
        <f>DATE(2025,2,7)</f>
        <v>45695</v>
      </c>
      <c r="G7149" s="22">
        <f t="shared" si="629"/>
        <v>2</v>
      </c>
      <c r="H7149" s="22">
        <f t="shared" si="630"/>
        <v>2025</v>
      </c>
      <c r="I7149" s="17" t="s">
        <v>4</v>
      </c>
      <c r="J7149" s="17" t="s">
        <v>7745</v>
      </c>
      <c r="K7149" s="17" t="s">
        <v>447</v>
      </c>
      <c r="L7149" s="17" t="s">
        <v>448</v>
      </c>
      <c r="M7149" s="17" t="s">
        <v>119</v>
      </c>
      <c r="N7149" s="22" t="str">
        <f t="shared" si="625"/>
        <v>TON</v>
      </c>
      <c r="O7149" s="19">
        <v>9.5374999999999996</v>
      </c>
    </row>
    <row r="7150" spans="2:15" x14ac:dyDescent="0.25">
      <c r="B7150" s="16" t="s">
        <v>1520</v>
      </c>
      <c r="C7150" s="17" t="s">
        <v>196</v>
      </c>
      <c r="D7150" s="17" t="s">
        <v>207</v>
      </c>
      <c r="E7150" s="17" t="s">
        <v>208</v>
      </c>
      <c r="F7150" s="18">
        <f t="shared" ref="F7150:F7162" si="632">DATE(2025,2,10)</f>
        <v>45698</v>
      </c>
      <c r="G7150" s="22">
        <f t="shared" si="629"/>
        <v>2</v>
      </c>
      <c r="H7150" s="22">
        <f t="shared" si="630"/>
        <v>2025</v>
      </c>
      <c r="I7150" s="17" t="s">
        <v>4</v>
      </c>
      <c r="J7150" s="17" t="s">
        <v>7746</v>
      </c>
      <c r="K7150" s="17" t="s">
        <v>205</v>
      </c>
      <c r="L7150" s="17" t="s">
        <v>206</v>
      </c>
      <c r="M7150" s="17" t="s">
        <v>119</v>
      </c>
      <c r="N7150" s="22" t="str">
        <f t="shared" si="625"/>
        <v>TON</v>
      </c>
      <c r="O7150" s="19">
        <v>3.75</v>
      </c>
    </row>
    <row r="7151" spans="2:15" x14ac:dyDescent="0.25">
      <c r="B7151" s="16" t="s">
        <v>1520</v>
      </c>
      <c r="C7151" s="17" t="s">
        <v>196</v>
      </c>
      <c r="D7151" s="17" t="s">
        <v>207</v>
      </c>
      <c r="E7151" s="17" t="s">
        <v>208</v>
      </c>
      <c r="F7151" s="18">
        <f t="shared" si="632"/>
        <v>45698</v>
      </c>
      <c r="G7151" s="22">
        <f t="shared" si="629"/>
        <v>2</v>
      </c>
      <c r="H7151" s="22">
        <f t="shared" si="630"/>
        <v>2025</v>
      </c>
      <c r="I7151" s="17" t="s">
        <v>4</v>
      </c>
      <c r="J7151" s="17" t="s">
        <v>7747</v>
      </c>
      <c r="K7151" s="17" t="s">
        <v>236</v>
      </c>
      <c r="L7151" s="17" t="s">
        <v>237</v>
      </c>
      <c r="M7151" s="17" t="s">
        <v>119</v>
      </c>
      <c r="N7151" s="22" t="str">
        <f t="shared" si="625"/>
        <v>TON</v>
      </c>
      <c r="O7151" s="19">
        <v>3.7650000000000001</v>
      </c>
    </row>
    <row r="7152" spans="2:15" x14ac:dyDescent="0.25">
      <c r="B7152" s="16" t="s">
        <v>1520</v>
      </c>
      <c r="C7152" s="17" t="s">
        <v>196</v>
      </c>
      <c r="D7152" s="17" t="s">
        <v>387</v>
      </c>
      <c r="E7152" s="17" t="s">
        <v>797</v>
      </c>
      <c r="F7152" s="18">
        <f t="shared" si="632"/>
        <v>45698</v>
      </c>
      <c r="G7152" s="22">
        <f t="shared" si="629"/>
        <v>2</v>
      </c>
      <c r="H7152" s="22">
        <f t="shared" si="630"/>
        <v>2025</v>
      </c>
      <c r="I7152" s="17" t="s">
        <v>4</v>
      </c>
      <c r="J7152" s="17" t="s">
        <v>7748</v>
      </c>
      <c r="K7152" s="17" t="s">
        <v>7086</v>
      </c>
      <c r="L7152" s="17" t="s">
        <v>7087</v>
      </c>
      <c r="M7152" s="17" t="s">
        <v>119</v>
      </c>
      <c r="N7152" s="22" t="str">
        <f t="shared" si="625"/>
        <v>TON</v>
      </c>
      <c r="O7152" s="19">
        <v>15.03</v>
      </c>
    </row>
    <row r="7153" spans="2:15" x14ac:dyDescent="0.25">
      <c r="B7153" s="16" t="s">
        <v>1520</v>
      </c>
      <c r="C7153" s="17" t="s">
        <v>196</v>
      </c>
      <c r="D7153" s="17" t="s">
        <v>440</v>
      </c>
      <c r="E7153" s="17" t="s">
        <v>1274</v>
      </c>
      <c r="F7153" s="18">
        <f t="shared" si="632"/>
        <v>45698</v>
      </c>
      <c r="G7153" s="22">
        <f t="shared" si="629"/>
        <v>2</v>
      </c>
      <c r="H7153" s="22">
        <f t="shared" si="630"/>
        <v>2025</v>
      </c>
      <c r="I7153" s="17" t="s">
        <v>4</v>
      </c>
      <c r="J7153" s="17" t="s">
        <v>7749</v>
      </c>
      <c r="K7153" s="17" t="s">
        <v>7086</v>
      </c>
      <c r="L7153" s="17" t="s">
        <v>7087</v>
      </c>
      <c r="M7153" s="17" t="s">
        <v>119</v>
      </c>
      <c r="N7153" s="22" t="str">
        <f t="shared" si="625"/>
        <v>TON</v>
      </c>
      <c r="O7153" s="19">
        <v>5.0049999999999999</v>
      </c>
    </row>
    <row r="7154" spans="2:15" x14ac:dyDescent="0.25">
      <c r="B7154" s="16" t="s">
        <v>1520</v>
      </c>
      <c r="C7154" s="17" t="s">
        <v>196</v>
      </c>
      <c r="D7154" s="17" t="s">
        <v>3469</v>
      </c>
      <c r="E7154" s="17" t="s">
        <v>56</v>
      </c>
      <c r="F7154" s="18">
        <f t="shared" si="632"/>
        <v>45698</v>
      </c>
      <c r="G7154" s="22">
        <f t="shared" si="629"/>
        <v>2</v>
      </c>
      <c r="H7154" s="22">
        <f t="shared" si="630"/>
        <v>2025</v>
      </c>
      <c r="I7154" s="17" t="s">
        <v>4</v>
      </c>
      <c r="J7154" s="17" t="s">
        <v>7750</v>
      </c>
      <c r="K7154" s="17" t="s">
        <v>158</v>
      </c>
      <c r="L7154" s="17" t="s">
        <v>159</v>
      </c>
      <c r="M7154" s="17" t="s">
        <v>160</v>
      </c>
      <c r="N7154" s="22" t="str">
        <f t="shared" si="625"/>
        <v>GAL</v>
      </c>
      <c r="O7154" s="19">
        <v>5</v>
      </c>
    </row>
    <row r="7155" spans="2:15" x14ac:dyDescent="0.25">
      <c r="B7155" s="16" t="s">
        <v>1520</v>
      </c>
      <c r="C7155" s="17" t="s">
        <v>196</v>
      </c>
      <c r="D7155" s="17" t="s">
        <v>458</v>
      </c>
      <c r="E7155" s="17" t="s">
        <v>459</v>
      </c>
      <c r="F7155" s="18">
        <f t="shared" si="632"/>
        <v>45698</v>
      </c>
      <c r="G7155" s="22">
        <f t="shared" si="629"/>
        <v>2</v>
      </c>
      <c r="H7155" s="22">
        <f t="shared" si="630"/>
        <v>2025</v>
      </c>
      <c r="I7155" s="17" t="s">
        <v>4</v>
      </c>
      <c r="J7155" s="17" t="s">
        <v>7751</v>
      </c>
      <c r="K7155" s="17" t="s">
        <v>251</v>
      </c>
      <c r="L7155" s="17" t="s">
        <v>252</v>
      </c>
      <c r="M7155" s="17" t="s">
        <v>119</v>
      </c>
      <c r="N7155" s="22" t="str">
        <f t="shared" si="625"/>
        <v>TON</v>
      </c>
      <c r="O7155" s="19">
        <v>2.5150000000000001</v>
      </c>
    </row>
    <row r="7156" spans="2:15" x14ac:dyDescent="0.25">
      <c r="B7156" s="16" t="s">
        <v>1520</v>
      </c>
      <c r="C7156" s="17" t="s">
        <v>196</v>
      </c>
      <c r="D7156" s="17" t="s">
        <v>1276</v>
      </c>
      <c r="E7156" s="17" t="s">
        <v>791</v>
      </c>
      <c r="F7156" s="18">
        <f t="shared" si="632"/>
        <v>45698</v>
      </c>
      <c r="G7156" s="22">
        <f t="shared" si="629"/>
        <v>2</v>
      </c>
      <c r="H7156" s="22">
        <f t="shared" si="630"/>
        <v>2025</v>
      </c>
      <c r="I7156" s="17" t="s">
        <v>4</v>
      </c>
      <c r="J7156" s="17" t="s">
        <v>7752</v>
      </c>
      <c r="K7156" s="17" t="s">
        <v>117</v>
      </c>
      <c r="L7156" s="17" t="s">
        <v>118</v>
      </c>
      <c r="M7156" s="17" t="s">
        <v>119</v>
      </c>
      <c r="N7156" s="22" t="str">
        <f t="shared" si="625"/>
        <v>TON</v>
      </c>
      <c r="O7156" s="19">
        <v>5.0199999999999996</v>
      </c>
    </row>
    <row r="7157" spans="2:15" x14ac:dyDescent="0.25">
      <c r="B7157" s="16" t="s">
        <v>1520</v>
      </c>
      <c r="C7157" s="17" t="s">
        <v>196</v>
      </c>
      <c r="D7157" s="17" t="s">
        <v>800</v>
      </c>
      <c r="E7157" s="17" t="s">
        <v>911</v>
      </c>
      <c r="F7157" s="18">
        <f t="shared" si="632"/>
        <v>45698</v>
      </c>
      <c r="G7157" s="22">
        <f t="shared" si="629"/>
        <v>2</v>
      </c>
      <c r="H7157" s="22">
        <f t="shared" si="630"/>
        <v>2025</v>
      </c>
      <c r="I7157" s="17" t="s">
        <v>4</v>
      </c>
      <c r="J7157" s="17" t="s">
        <v>7753</v>
      </c>
      <c r="K7157" s="17" t="s">
        <v>122</v>
      </c>
      <c r="L7157" s="17" t="s">
        <v>123</v>
      </c>
      <c r="M7157" s="17" t="s">
        <v>119</v>
      </c>
      <c r="N7157" s="22" t="str">
        <f t="shared" si="625"/>
        <v>TON</v>
      </c>
      <c r="O7157" s="19">
        <v>1.2475000000000001</v>
      </c>
    </row>
    <row r="7158" spans="2:15" x14ac:dyDescent="0.25">
      <c r="B7158" s="16" t="s">
        <v>1520</v>
      </c>
      <c r="C7158" s="17" t="s">
        <v>196</v>
      </c>
      <c r="D7158" s="17" t="s">
        <v>1706</v>
      </c>
      <c r="E7158" s="17" t="s">
        <v>5019</v>
      </c>
      <c r="F7158" s="18">
        <f t="shared" si="632"/>
        <v>45698</v>
      </c>
      <c r="G7158" s="22">
        <f t="shared" si="629"/>
        <v>2</v>
      </c>
      <c r="H7158" s="22">
        <f t="shared" si="630"/>
        <v>2025</v>
      </c>
      <c r="I7158" s="17" t="s">
        <v>4</v>
      </c>
      <c r="J7158" s="17" t="s">
        <v>7754</v>
      </c>
      <c r="K7158" s="17" t="s">
        <v>329</v>
      </c>
      <c r="L7158" s="17" t="s">
        <v>330</v>
      </c>
      <c r="M7158" s="17" t="s">
        <v>119</v>
      </c>
      <c r="N7158" s="22" t="str">
        <f t="shared" si="625"/>
        <v>TON</v>
      </c>
      <c r="O7158" s="19">
        <v>1.25</v>
      </c>
    </row>
    <row r="7159" spans="2:15" x14ac:dyDescent="0.25">
      <c r="B7159" s="16" t="s">
        <v>1520</v>
      </c>
      <c r="C7159" s="17" t="s">
        <v>196</v>
      </c>
      <c r="D7159" s="17" t="s">
        <v>374</v>
      </c>
      <c r="E7159" s="17" t="s">
        <v>4935</v>
      </c>
      <c r="F7159" s="18">
        <f t="shared" si="632"/>
        <v>45698</v>
      </c>
      <c r="G7159" s="22">
        <f t="shared" si="629"/>
        <v>2</v>
      </c>
      <c r="H7159" s="22">
        <f t="shared" si="630"/>
        <v>2025</v>
      </c>
      <c r="I7159" s="17" t="s">
        <v>4</v>
      </c>
      <c r="J7159" s="17" t="s">
        <v>7755</v>
      </c>
      <c r="K7159" s="17" t="s">
        <v>329</v>
      </c>
      <c r="L7159" s="17" t="s">
        <v>330</v>
      </c>
      <c r="M7159" s="17" t="s">
        <v>119</v>
      </c>
      <c r="N7159" s="22" t="str">
        <f t="shared" si="625"/>
        <v>TON</v>
      </c>
      <c r="O7159" s="19">
        <v>15.025</v>
      </c>
    </row>
    <row r="7160" spans="2:15" x14ac:dyDescent="0.25">
      <c r="B7160" s="16" t="s">
        <v>1520</v>
      </c>
      <c r="C7160" s="17" t="s">
        <v>196</v>
      </c>
      <c r="D7160" s="17" t="s">
        <v>114</v>
      </c>
      <c r="E7160" s="17" t="s">
        <v>369</v>
      </c>
      <c r="F7160" s="18">
        <f t="shared" si="632"/>
        <v>45698</v>
      </c>
      <c r="G7160" s="22">
        <f t="shared" si="629"/>
        <v>2</v>
      </c>
      <c r="H7160" s="22">
        <f t="shared" si="630"/>
        <v>2025</v>
      </c>
      <c r="I7160" s="17" t="s">
        <v>4</v>
      </c>
      <c r="J7160" s="17" t="s">
        <v>7756</v>
      </c>
      <c r="K7160" s="17" t="s">
        <v>422</v>
      </c>
      <c r="L7160" s="17" t="s">
        <v>423</v>
      </c>
      <c r="M7160" s="17" t="s">
        <v>119</v>
      </c>
      <c r="N7160" s="22" t="str">
        <f t="shared" si="625"/>
        <v>TON</v>
      </c>
      <c r="O7160" s="19">
        <v>2.0225</v>
      </c>
    </row>
    <row r="7161" spans="2:15" x14ac:dyDescent="0.25">
      <c r="B7161" s="16" t="s">
        <v>1520</v>
      </c>
      <c r="C7161" s="17" t="s">
        <v>196</v>
      </c>
      <c r="D7161" s="17" t="s">
        <v>276</v>
      </c>
      <c r="E7161" s="17" t="s">
        <v>682</v>
      </c>
      <c r="F7161" s="18">
        <f t="shared" si="632"/>
        <v>45698</v>
      </c>
      <c r="G7161" s="22">
        <f t="shared" si="629"/>
        <v>2</v>
      </c>
      <c r="H7161" s="22">
        <f t="shared" si="630"/>
        <v>2025</v>
      </c>
      <c r="I7161" s="17" t="s">
        <v>4</v>
      </c>
      <c r="J7161" s="17" t="s">
        <v>7757</v>
      </c>
      <c r="K7161" s="17" t="s">
        <v>329</v>
      </c>
      <c r="L7161" s="17" t="s">
        <v>330</v>
      </c>
      <c r="M7161" s="17" t="s">
        <v>119</v>
      </c>
      <c r="N7161" s="22" t="str">
        <f t="shared" si="625"/>
        <v>TON</v>
      </c>
      <c r="O7161" s="19">
        <v>15.02</v>
      </c>
    </row>
    <row r="7162" spans="2:15" x14ac:dyDescent="0.25">
      <c r="B7162" s="16" t="s">
        <v>1520</v>
      </c>
      <c r="C7162" s="17" t="s">
        <v>196</v>
      </c>
      <c r="D7162" s="17" t="s">
        <v>265</v>
      </c>
      <c r="E7162" s="17" t="s">
        <v>266</v>
      </c>
      <c r="F7162" s="18">
        <f t="shared" si="632"/>
        <v>45698</v>
      </c>
      <c r="G7162" s="22">
        <f t="shared" si="629"/>
        <v>2</v>
      </c>
      <c r="H7162" s="22">
        <f t="shared" si="630"/>
        <v>2025</v>
      </c>
      <c r="I7162" s="17" t="s">
        <v>4</v>
      </c>
      <c r="J7162" s="17" t="s">
        <v>7758</v>
      </c>
      <c r="K7162" s="17" t="s">
        <v>268</v>
      </c>
      <c r="L7162" s="17" t="s">
        <v>269</v>
      </c>
      <c r="M7162" s="17" t="s">
        <v>119</v>
      </c>
      <c r="N7162" s="22" t="str">
        <f t="shared" si="625"/>
        <v>TON</v>
      </c>
      <c r="O7162" s="19">
        <v>0.15</v>
      </c>
    </row>
    <row r="7163" spans="2:15" x14ac:dyDescent="0.25">
      <c r="B7163" s="16" t="s">
        <v>1520</v>
      </c>
      <c r="C7163" s="17" t="s">
        <v>196</v>
      </c>
      <c r="D7163" s="17" t="s">
        <v>215</v>
      </c>
      <c r="E7163" s="17" t="s">
        <v>4113</v>
      </c>
      <c r="F7163" s="18">
        <f t="shared" ref="F7163:F7171" si="633">DATE(2025,2,11)</f>
        <v>45699</v>
      </c>
      <c r="G7163" s="22">
        <f t="shared" si="629"/>
        <v>2</v>
      </c>
      <c r="H7163" s="22">
        <f t="shared" si="630"/>
        <v>2025</v>
      </c>
      <c r="I7163" s="17" t="s">
        <v>4</v>
      </c>
      <c r="J7163" s="17" t="s">
        <v>7759</v>
      </c>
      <c r="K7163" s="17" t="s">
        <v>823</v>
      </c>
      <c r="L7163" s="17" t="s">
        <v>776</v>
      </c>
      <c r="M7163" s="17" t="s">
        <v>82</v>
      </c>
      <c r="N7163" s="22" t="str">
        <f t="shared" si="625"/>
        <v>GAL</v>
      </c>
      <c r="O7163" s="19">
        <v>250</v>
      </c>
    </row>
    <row r="7164" spans="2:15" x14ac:dyDescent="0.25">
      <c r="B7164" s="16" t="s">
        <v>1520</v>
      </c>
      <c r="C7164" s="17" t="s">
        <v>196</v>
      </c>
      <c r="D7164" s="17" t="s">
        <v>215</v>
      </c>
      <c r="E7164" s="17" t="s">
        <v>4113</v>
      </c>
      <c r="F7164" s="18">
        <f t="shared" si="633"/>
        <v>45699</v>
      </c>
      <c r="G7164" s="22">
        <f t="shared" si="629"/>
        <v>2</v>
      </c>
      <c r="H7164" s="22">
        <f t="shared" si="630"/>
        <v>2025</v>
      </c>
      <c r="I7164" s="17" t="s">
        <v>4</v>
      </c>
      <c r="J7164" s="17" t="s">
        <v>7759</v>
      </c>
      <c r="K7164" s="17" t="s">
        <v>822</v>
      </c>
      <c r="L7164" s="17" t="s">
        <v>565</v>
      </c>
      <c r="M7164" s="17" t="s">
        <v>21</v>
      </c>
      <c r="N7164" s="22" t="str">
        <f t="shared" si="625"/>
        <v>GAL</v>
      </c>
      <c r="O7164" s="19">
        <v>250</v>
      </c>
    </row>
    <row r="7165" spans="2:15" x14ac:dyDescent="0.25">
      <c r="B7165" s="16" t="s">
        <v>1520</v>
      </c>
      <c r="C7165" s="17" t="s">
        <v>196</v>
      </c>
      <c r="D7165" s="17" t="s">
        <v>215</v>
      </c>
      <c r="E7165" s="17" t="s">
        <v>4113</v>
      </c>
      <c r="F7165" s="18">
        <f t="shared" si="633"/>
        <v>45699</v>
      </c>
      <c r="G7165" s="22">
        <f t="shared" si="629"/>
        <v>2</v>
      </c>
      <c r="H7165" s="22">
        <f t="shared" si="630"/>
        <v>2025</v>
      </c>
      <c r="I7165" s="17" t="s">
        <v>4</v>
      </c>
      <c r="J7165" s="17" t="s">
        <v>7759</v>
      </c>
      <c r="K7165" s="17" t="s">
        <v>220</v>
      </c>
      <c r="L7165" s="17" t="s">
        <v>201</v>
      </c>
      <c r="M7165" s="17" t="s">
        <v>202</v>
      </c>
      <c r="N7165" s="22" t="str">
        <f t="shared" si="625"/>
        <v>GAL</v>
      </c>
      <c r="O7165" s="19">
        <v>250</v>
      </c>
    </row>
    <row r="7166" spans="2:15" x14ac:dyDescent="0.25">
      <c r="B7166" s="16" t="s">
        <v>1520</v>
      </c>
      <c r="C7166" s="17" t="s">
        <v>196</v>
      </c>
      <c r="D7166" s="17" t="s">
        <v>210</v>
      </c>
      <c r="E7166" s="17" t="s">
        <v>3176</v>
      </c>
      <c r="F7166" s="18">
        <f t="shared" si="633"/>
        <v>45699</v>
      </c>
      <c r="G7166" s="22">
        <f t="shared" si="629"/>
        <v>2</v>
      </c>
      <c r="H7166" s="22">
        <f t="shared" si="630"/>
        <v>2025</v>
      </c>
      <c r="I7166" s="17" t="s">
        <v>4</v>
      </c>
      <c r="J7166" s="17" t="s">
        <v>7760</v>
      </c>
      <c r="K7166" s="17" t="s">
        <v>5894</v>
      </c>
      <c r="L7166" s="17" t="s">
        <v>5895</v>
      </c>
      <c r="M7166" s="17" t="s">
        <v>119</v>
      </c>
      <c r="N7166" s="22" t="str">
        <f t="shared" ref="N7166:N7229" si="634">+LEFT(M7166,3)</f>
        <v>TON</v>
      </c>
      <c r="O7166" s="19">
        <v>5</v>
      </c>
    </row>
    <row r="7167" spans="2:15" x14ac:dyDescent="0.25">
      <c r="B7167" s="16" t="s">
        <v>1520</v>
      </c>
      <c r="C7167" s="17" t="s">
        <v>196</v>
      </c>
      <c r="D7167" s="17" t="s">
        <v>210</v>
      </c>
      <c r="E7167" s="17" t="s">
        <v>962</v>
      </c>
      <c r="F7167" s="18">
        <f t="shared" si="633"/>
        <v>45699</v>
      </c>
      <c r="G7167" s="22">
        <f t="shared" si="629"/>
        <v>2</v>
      </c>
      <c r="H7167" s="22">
        <f t="shared" si="630"/>
        <v>2025</v>
      </c>
      <c r="I7167" s="17" t="s">
        <v>4</v>
      </c>
      <c r="J7167" s="17" t="s">
        <v>7761</v>
      </c>
      <c r="K7167" s="17" t="s">
        <v>1379</v>
      </c>
      <c r="L7167" s="17" t="s">
        <v>1380</v>
      </c>
      <c r="M7167" s="17" t="s">
        <v>119</v>
      </c>
      <c r="N7167" s="22" t="str">
        <f t="shared" si="634"/>
        <v>TON</v>
      </c>
      <c r="O7167" s="19">
        <v>10</v>
      </c>
    </row>
    <row r="7168" spans="2:15" x14ac:dyDescent="0.25">
      <c r="B7168" s="16" t="s">
        <v>1520</v>
      </c>
      <c r="C7168" s="17" t="s">
        <v>196</v>
      </c>
      <c r="D7168" s="17" t="s">
        <v>404</v>
      </c>
      <c r="E7168" s="17" t="s">
        <v>405</v>
      </c>
      <c r="F7168" s="18">
        <f t="shared" si="633"/>
        <v>45699</v>
      </c>
      <c r="G7168" s="22">
        <f t="shared" si="629"/>
        <v>2</v>
      </c>
      <c r="H7168" s="22">
        <f t="shared" si="630"/>
        <v>2025</v>
      </c>
      <c r="I7168" s="17" t="s">
        <v>4</v>
      </c>
      <c r="J7168" s="17" t="s">
        <v>7762</v>
      </c>
      <c r="K7168" s="17" t="s">
        <v>122</v>
      </c>
      <c r="L7168" s="17" t="s">
        <v>123</v>
      </c>
      <c r="M7168" s="17" t="s">
        <v>119</v>
      </c>
      <c r="N7168" s="22" t="str">
        <f t="shared" si="634"/>
        <v>TON</v>
      </c>
      <c r="O7168" s="19">
        <v>2.5</v>
      </c>
    </row>
    <row r="7169" spans="2:15" x14ac:dyDescent="0.25">
      <c r="B7169" s="16" t="s">
        <v>1520</v>
      </c>
      <c r="C7169" s="17" t="s">
        <v>196</v>
      </c>
      <c r="D7169" s="17" t="s">
        <v>721</v>
      </c>
      <c r="E7169" s="17" t="s">
        <v>722</v>
      </c>
      <c r="F7169" s="18">
        <f t="shared" si="633"/>
        <v>45699</v>
      </c>
      <c r="G7169" s="22">
        <f t="shared" si="629"/>
        <v>2</v>
      </c>
      <c r="H7169" s="22">
        <f t="shared" si="630"/>
        <v>2025</v>
      </c>
      <c r="I7169" s="17" t="s">
        <v>4</v>
      </c>
      <c r="J7169" s="17" t="s">
        <v>7763</v>
      </c>
      <c r="K7169" s="17" t="s">
        <v>384</v>
      </c>
      <c r="L7169" s="17" t="s">
        <v>385</v>
      </c>
      <c r="M7169" s="17" t="s">
        <v>119</v>
      </c>
      <c r="N7169" s="22" t="str">
        <f t="shared" si="634"/>
        <v>TON</v>
      </c>
      <c r="O7169" s="19">
        <v>6.25</v>
      </c>
    </row>
    <row r="7170" spans="2:15" x14ac:dyDescent="0.25">
      <c r="B7170" s="16" t="s">
        <v>1520</v>
      </c>
      <c r="C7170" s="17" t="s">
        <v>196</v>
      </c>
      <c r="D7170" s="17" t="s">
        <v>444</v>
      </c>
      <c r="E7170" s="17" t="s">
        <v>445</v>
      </c>
      <c r="F7170" s="18">
        <f t="shared" si="633"/>
        <v>45699</v>
      </c>
      <c r="G7170" s="22">
        <f t="shared" si="629"/>
        <v>2</v>
      </c>
      <c r="H7170" s="22">
        <f t="shared" si="630"/>
        <v>2025</v>
      </c>
      <c r="I7170" s="17" t="s">
        <v>4</v>
      </c>
      <c r="J7170" s="17" t="s">
        <v>7764</v>
      </c>
      <c r="K7170" s="17" t="s">
        <v>394</v>
      </c>
      <c r="L7170" s="17" t="s">
        <v>395</v>
      </c>
      <c r="M7170" s="17" t="s">
        <v>119</v>
      </c>
      <c r="N7170" s="22" t="str">
        <f t="shared" si="634"/>
        <v>TON</v>
      </c>
      <c r="O7170" s="19">
        <v>7.0250000000000004</v>
      </c>
    </row>
    <row r="7171" spans="2:15" x14ac:dyDescent="0.25">
      <c r="B7171" s="16" t="s">
        <v>1520</v>
      </c>
      <c r="C7171" s="17" t="s">
        <v>196</v>
      </c>
      <c r="D7171" s="17" t="s">
        <v>241</v>
      </c>
      <c r="E7171" s="17" t="s">
        <v>242</v>
      </c>
      <c r="F7171" s="18">
        <f t="shared" si="633"/>
        <v>45699</v>
      </c>
      <c r="G7171" s="22">
        <f t="shared" si="629"/>
        <v>2</v>
      </c>
      <c r="H7171" s="22">
        <f t="shared" si="630"/>
        <v>2025</v>
      </c>
      <c r="I7171" s="17" t="s">
        <v>4</v>
      </c>
      <c r="J7171" s="17" t="s">
        <v>7765</v>
      </c>
      <c r="K7171" s="17" t="s">
        <v>3458</v>
      </c>
      <c r="L7171" s="17" t="s">
        <v>3459</v>
      </c>
      <c r="M7171" s="17" t="s">
        <v>119</v>
      </c>
      <c r="N7171" s="22" t="str">
        <f t="shared" si="634"/>
        <v>TON</v>
      </c>
      <c r="O7171" s="19">
        <v>4.0274999999999999</v>
      </c>
    </row>
    <row r="7172" spans="2:15" x14ac:dyDescent="0.25">
      <c r="B7172" s="16" t="s">
        <v>1520</v>
      </c>
      <c r="C7172" s="17" t="s">
        <v>196</v>
      </c>
      <c r="D7172" s="17" t="s">
        <v>3761</v>
      </c>
      <c r="E7172" s="17" t="s">
        <v>7766</v>
      </c>
      <c r="F7172" s="18">
        <f t="shared" ref="F7172:F7181" si="635">DATE(2025,2,12)</f>
        <v>45700</v>
      </c>
      <c r="G7172" s="22">
        <f t="shared" si="629"/>
        <v>2</v>
      </c>
      <c r="H7172" s="22">
        <f t="shared" si="630"/>
        <v>2025</v>
      </c>
      <c r="I7172" s="17" t="s">
        <v>4</v>
      </c>
      <c r="J7172" s="17" t="s">
        <v>7767</v>
      </c>
      <c r="K7172" s="17" t="s">
        <v>823</v>
      </c>
      <c r="L7172" s="17" t="s">
        <v>776</v>
      </c>
      <c r="M7172" s="17" t="s">
        <v>82</v>
      </c>
      <c r="N7172" s="22" t="str">
        <f t="shared" si="634"/>
        <v>GAL</v>
      </c>
      <c r="O7172" s="19">
        <v>250</v>
      </c>
    </row>
    <row r="7173" spans="2:15" x14ac:dyDescent="0.25">
      <c r="B7173" s="16" t="s">
        <v>1520</v>
      </c>
      <c r="C7173" s="17" t="s">
        <v>196</v>
      </c>
      <c r="D7173" s="17" t="s">
        <v>114</v>
      </c>
      <c r="E7173" s="17" t="s">
        <v>274</v>
      </c>
      <c r="F7173" s="18">
        <f t="shared" si="635"/>
        <v>45700</v>
      </c>
      <c r="G7173" s="22">
        <f t="shared" si="629"/>
        <v>2</v>
      </c>
      <c r="H7173" s="22">
        <f t="shared" si="630"/>
        <v>2025</v>
      </c>
      <c r="I7173" s="17" t="s">
        <v>4</v>
      </c>
      <c r="J7173" s="17" t="s">
        <v>7768</v>
      </c>
      <c r="K7173" s="17" t="s">
        <v>422</v>
      </c>
      <c r="L7173" s="17" t="s">
        <v>423</v>
      </c>
      <c r="M7173" s="17" t="s">
        <v>119</v>
      </c>
      <c r="N7173" s="22" t="str">
        <f t="shared" si="634"/>
        <v>TON</v>
      </c>
      <c r="O7173" s="19">
        <v>12.5375</v>
      </c>
    </row>
    <row r="7174" spans="2:15" x14ac:dyDescent="0.25">
      <c r="B7174" s="16" t="s">
        <v>1520</v>
      </c>
      <c r="C7174" s="17" t="s">
        <v>196</v>
      </c>
      <c r="D7174" s="17" t="s">
        <v>440</v>
      </c>
      <c r="E7174" s="17" t="s">
        <v>441</v>
      </c>
      <c r="F7174" s="18">
        <f t="shared" si="635"/>
        <v>45700</v>
      </c>
      <c r="G7174" s="22">
        <f t="shared" si="629"/>
        <v>2</v>
      </c>
      <c r="H7174" s="22">
        <f t="shared" si="630"/>
        <v>2025</v>
      </c>
      <c r="I7174" s="17" t="s">
        <v>4</v>
      </c>
      <c r="J7174" s="17" t="s">
        <v>7769</v>
      </c>
      <c r="K7174" s="17" t="s">
        <v>7086</v>
      </c>
      <c r="L7174" s="17" t="s">
        <v>7087</v>
      </c>
      <c r="M7174" s="17" t="s">
        <v>119</v>
      </c>
      <c r="N7174" s="22" t="str">
        <f t="shared" si="634"/>
        <v>TON</v>
      </c>
      <c r="O7174" s="19">
        <v>4.9974999999999996</v>
      </c>
    </row>
    <row r="7175" spans="2:15" x14ac:dyDescent="0.25">
      <c r="B7175" s="16" t="s">
        <v>1520</v>
      </c>
      <c r="C7175" s="17" t="s">
        <v>196</v>
      </c>
      <c r="D7175" s="17" t="s">
        <v>440</v>
      </c>
      <c r="E7175" s="17" t="s">
        <v>1369</v>
      </c>
      <c r="F7175" s="18">
        <f t="shared" si="635"/>
        <v>45700</v>
      </c>
      <c r="G7175" s="22">
        <f t="shared" si="629"/>
        <v>2</v>
      </c>
      <c r="H7175" s="22">
        <f t="shared" si="630"/>
        <v>2025</v>
      </c>
      <c r="I7175" s="17" t="s">
        <v>4</v>
      </c>
      <c r="J7175" s="17" t="s">
        <v>7770</v>
      </c>
      <c r="K7175" s="17" t="s">
        <v>7086</v>
      </c>
      <c r="L7175" s="17" t="s">
        <v>7087</v>
      </c>
      <c r="M7175" s="17" t="s">
        <v>119</v>
      </c>
      <c r="N7175" s="22" t="str">
        <f t="shared" si="634"/>
        <v>TON</v>
      </c>
      <c r="O7175" s="19">
        <v>4.9924999999999997</v>
      </c>
    </row>
    <row r="7176" spans="2:15" x14ac:dyDescent="0.25">
      <c r="B7176" s="16" t="s">
        <v>1520</v>
      </c>
      <c r="C7176" s="17" t="s">
        <v>196</v>
      </c>
      <c r="D7176" s="17" t="s">
        <v>215</v>
      </c>
      <c r="E7176" s="17" t="s">
        <v>315</v>
      </c>
      <c r="F7176" s="18">
        <f t="shared" si="635"/>
        <v>45700</v>
      </c>
      <c r="G7176" s="22">
        <f t="shared" si="629"/>
        <v>2</v>
      </c>
      <c r="H7176" s="22">
        <f t="shared" si="630"/>
        <v>2025</v>
      </c>
      <c r="I7176" s="17" t="s">
        <v>4</v>
      </c>
      <c r="J7176" s="17" t="s">
        <v>7771</v>
      </c>
      <c r="K7176" s="17" t="s">
        <v>7772</v>
      </c>
      <c r="L7176" s="17" t="s">
        <v>7773</v>
      </c>
      <c r="M7176" s="17" t="s">
        <v>119</v>
      </c>
      <c r="N7176" s="22" t="str">
        <f t="shared" si="634"/>
        <v>TON</v>
      </c>
      <c r="O7176" s="19">
        <v>14</v>
      </c>
    </row>
    <row r="7177" spans="2:15" x14ac:dyDescent="0.25">
      <c r="B7177" s="16" t="s">
        <v>1520</v>
      </c>
      <c r="C7177" s="17" t="s">
        <v>196</v>
      </c>
      <c r="D7177" s="17" t="s">
        <v>294</v>
      </c>
      <c r="E7177" s="17" t="s">
        <v>295</v>
      </c>
      <c r="F7177" s="18">
        <f t="shared" si="635"/>
        <v>45700</v>
      </c>
      <c r="G7177" s="22">
        <f t="shared" si="629"/>
        <v>2</v>
      </c>
      <c r="H7177" s="22">
        <f t="shared" si="630"/>
        <v>2025</v>
      </c>
      <c r="I7177" s="17" t="s">
        <v>4</v>
      </c>
      <c r="J7177" s="17" t="s">
        <v>7774</v>
      </c>
      <c r="K7177" s="17" t="s">
        <v>122</v>
      </c>
      <c r="L7177" s="17" t="s">
        <v>123</v>
      </c>
      <c r="M7177" s="17" t="s">
        <v>119</v>
      </c>
      <c r="N7177" s="22" t="str">
        <f t="shared" si="634"/>
        <v>TON</v>
      </c>
      <c r="O7177" s="19">
        <v>7.5075000000000003</v>
      </c>
    </row>
    <row r="7178" spans="2:15" x14ac:dyDescent="0.25">
      <c r="B7178" s="16" t="s">
        <v>1520</v>
      </c>
      <c r="C7178" s="17" t="s">
        <v>196</v>
      </c>
      <c r="D7178" s="17" t="s">
        <v>452</v>
      </c>
      <c r="E7178" s="17" t="s">
        <v>222</v>
      </c>
      <c r="F7178" s="18">
        <f t="shared" si="635"/>
        <v>45700</v>
      </c>
      <c r="G7178" s="22">
        <f t="shared" si="629"/>
        <v>2</v>
      </c>
      <c r="H7178" s="22">
        <f t="shared" si="630"/>
        <v>2025</v>
      </c>
      <c r="I7178" s="17" t="s">
        <v>4</v>
      </c>
      <c r="J7178" s="17" t="s">
        <v>7775</v>
      </c>
      <c r="K7178" s="17" t="s">
        <v>447</v>
      </c>
      <c r="L7178" s="17" t="s">
        <v>448</v>
      </c>
      <c r="M7178" s="17" t="s">
        <v>119</v>
      </c>
      <c r="N7178" s="22" t="str">
        <f t="shared" si="634"/>
        <v>TON</v>
      </c>
      <c r="O7178" s="19">
        <v>4.0075000000000003</v>
      </c>
    </row>
    <row r="7179" spans="2:15" x14ac:dyDescent="0.25">
      <c r="B7179" s="16" t="s">
        <v>1520</v>
      </c>
      <c r="C7179" s="17" t="s">
        <v>196</v>
      </c>
      <c r="D7179" s="17" t="s">
        <v>303</v>
      </c>
      <c r="E7179" s="17" t="s">
        <v>501</v>
      </c>
      <c r="F7179" s="18">
        <f t="shared" si="635"/>
        <v>45700</v>
      </c>
      <c r="G7179" s="22">
        <f t="shared" si="629"/>
        <v>2</v>
      </c>
      <c r="H7179" s="22">
        <f t="shared" si="630"/>
        <v>2025</v>
      </c>
      <c r="I7179" s="17" t="s">
        <v>4</v>
      </c>
      <c r="J7179" s="17" t="s">
        <v>7776</v>
      </c>
      <c r="K7179" s="17" t="s">
        <v>3726</v>
      </c>
      <c r="L7179" s="17" t="s">
        <v>3727</v>
      </c>
      <c r="M7179" s="17" t="s">
        <v>145</v>
      </c>
      <c r="N7179" s="22" t="str">
        <f t="shared" si="634"/>
        <v>GAL</v>
      </c>
      <c r="O7179" s="19">
        <v>1.875</v>
      </c>
    </row>
    <row r="7180" spans="2:15" x14ac:dyDescent="0.25">
      <c r="B7180" s="16" t="s">
        <v>1520</v>
      </c>
      <c r="C7180" s="17" t="s">
        <v>196</v>
      </c>
      <c r="D7180" s="17" t="s">
        <v>303</v>
      </c>
      <c r="E7180" s="17" t="s">
        <v>501</v>
      </c>
      <c r="F7180" s="18">
        <f t="shared" si="635"/>
        <v>45700</v>
      </c>
      <c r="G7180" s="22">
        <f t="shared" si="629"/>
        <v>2</v>
      </c>
      <c r="H7180" s="22">
        <f t="shared" si="630"/>
        <v>2025</v>
      </c>
      <c r="I7180" s="17" t="s">
        <v>4</v>
      </c>
      <c r="J7180" s="17" t="s">
        <v>7776</v>
      </c>
      <c r="K7180" s="17" t="s">
        <v>7549</v>
      </c>
      <c r="L7180" s="17" t="s">
        <v>7550</v>
      </c>
      <c r="M7180" s="17" t="s">
        <v>119</v>
      </c>
      <c r="N7180" s="22" t="str">
        <f t="shared" si="634"/>
        <v>TON</v>
      </c>
      <c r="O7180" s="19">
        <v>5.0125000000000002</v>
      </c>
    </row>
    <row r="7181" spans="2:15" x14ac:dyDescent="0.25">
      <c r="B7181" s="16" t="s">
        <v>1520</v>
      </c>
      <c r="C7181" s="17" t="s">
        <v>196</v>
      </c>
      <c r="D7181" s="17" t="s">
        <v>3764</v>
      </c>
      <c r="E7181" s="17" t="s">
        <v>6925</v>
      </c>
      <c r="F7181" s="18">
        <f t="shared" si="635"/>
        <v>45700</v>
      </c>
      <c r="G7181" s="22">
        <f t="shared" si="629"/>
        <v>2</v>
      </c>
      <c r="H7181" s="22">
        <f t="shared" si="630"/>
        <v>2025</v>
      </c>
      <c r="I7181" s="17" t="s">
        <v>4</v>
      </c>
      <c r="J7181" s="17" t="s">
        <v>7777</v>
      </c>
      <c r="K7181" s="17" t="s">
        <v>447</v>
      </c>
      <c r="L7181" s="17" t="s">
        <v>448</v>
      </c>
      <c r="M7181" s="17" t="s">
        <v>119</v>
      </c>
      <c r="N7181" s="22" t="str">
        <f t="shared" si="634"/>
        <v>TON</v>
      </c>
      <c r="O7181" s="19">
        <v>1.2675000000000001</v>
      </c>
    </row>
    <row r="7182" spans="2:15" x14ac:dyDescent="0.25">
      <c r="B7182" s="16" t="s">
        <v>1520</v>
      </c>
      <c r="C7182" s="17" t="s">
        <v>196</v>
      </c>
      <c r="D7182" s="17" t="s">
        <v>1343</v>
      </c>
      <c r="E7182" s="17" t="s">
        <v>3729</v>
      </c>
      <c r="F7182" s="18">
        <f>DATE(2025,2,13)</f>
        <v>45701</v>
      </c>
      <c r="G7182" s="22">
        <f t="shared" si="629"/>
        <v>2</v>
      </c>
      <c r="H7182" s="22">
        <f t="shared" si="630"/>
        <v>2025</v>
      </c>
      <c r="I7182" s="17" t="s">
        <v>4</v>
      </c>
      <c r="J7182" s="17" t="s">
        <v>7778</v>
      </c>
      <c r="K7182" s="17" t="s">
        <v>2039</v>
      </c>
      <c r="L7182" s="17" t="s">
        <v>2040</v>
      </c>
      <c r="M7182" s="17" t="s">
        <v>119</v>
      </c>
      <c r="N7182" s="22" t="str">
        <f t="shared" si="634"/>
        <v>TON</v>
      </c>
      <c r="O7182" s="19">
        <v>15.01</v>
      </c>
    </row>
    <row r="7183" spans="2:15" x14ac:dyDescent="0.25">
      <c r="B7183" s="16" t="s">
        <v>1520</v>
      </c>
      <c r="C7183" s="17" t="s">
        <v>196</v>
      </c>
      <c r="D7183" s="17" t="s">
        <v>387</v>
      </c>
      <c r="E7183" s="17" t="s">
        <v>797</v>
      </c>
      <c r="F7183" s="18">
        <f>DATE(2025,2,13)</f>
        <v>45701</v>
      </c>
      <c r="G7183" s="22">
        <f t="shared" si="629"/>
        <v>2</v>
      </c>
      <c r="H7183" s="22">
        <f t="shared" si="630"/>
        <v>2025</v>
      </c>
      <c r="I7183" s="17" t="s">
        <v>4</v>
      </c>
      <c r="J7183" s="17" t="s">
        <v>7779</v>
      </c>
      <c r="K7183" s="17" t="s">
        <v>7086</v>
      </c>
      <c r="L7183" s="17" t="s">
        <v>7087</v>
      </c>
      <c r="M7183" s="17" t="s">
        <v>119</v>
      </c>
      <c r="N7183" s="22" t="str">
        <f t="shared" si="634"/>
        <v>TON</v>
      </c>
      <c r="O7183" s="19">
        <v>4.9974999999999996</v>
      </c>
    </row>
    <row r="7184" spans="2:15" x14ac:dyDescent="0.25">
      <c r="B7184" s="16" t="s">
        <v>1520</v>
      </c>
      <c r="C7184" s="17" t="s">
        <v>196</v>
      </c>
      <c r="D7184" s="17" t="s">
        <v>224</v>
      </c>
      <c r="E7184" s="17" t="s">
        <v>895</v>
      </c>
      <c r="F7184" s="18">
        <f>DATE(2025,2,13)</f>
        <v>45701</v>
      </c>
      <c r="G7184" s="22">
        <f t="shared" si="629"/>
        <v>2</v>
      </c>
      <c r="H7184" s="22">
        <f t="shared" si="630"/>
        <v>2025</v>
      </c>
      <c r="I7184" s="17" t="s">
        <v>4</v>
      </c>
      <c r="J7184" s="17" t="s">
        <v>7780</v>
      </c>
      <c r="K7184" s="17" t="s">
        <v>205</v>
      </c>
      <c r="L7184" s="17" t="s">
        <v>206</v>
      </c>
      <c r="M7184" s="17" t="s">
        <v>119</v>
      </c>
      <c r="N7184" s="22" t="str">
        <f t="shared" si="634"/>
        <v>TON</v>
      </c>
      <c r="O7184" s="19">
        <v>5</v>
      </c>
    </row>
    <row r="7185" spans="2:15" x14ac:dyDescent="0.25">
      <c r="B7185" s="16" t="s">
        <v>1520</v>
      </c>
      <c r="C7185" s="17" t="s">
        <v>196</v>
      </c>
      <c r="D7185" s="17" t="s">
        <v>374</v>
      </c>
      <c r="E7185" s="17" t="s">
        <v>375</v>
      </c>
      <c r="F7185" s="18">
        <f>DATE(2025,2,13)</f>
        <v>45701</v>
      </c>
      <c r="G7185" s="22">
        <f t="shared" si="629"/>
        <v>2</v>
      </c>
      <c r="H7185" s="22">
        <f t="shared" si="630"/>
        <v>2025</v>
      </c>
      <c r="I7185" s="17" t="s">
        <v>4</v>
      </c>
      <c r="J7185" s="17" t="s">
        <v>7781</v>
      </c>
      <c r="K7185" s="17" t="s">
        <v>329</v>
      </c>
      <c r="L7185" s="17" t="s">
        <v>330</v>
      </c>
      <c r="M7185" s="17" t="s">
        <v>119</v>
      </c>
      <c r="N7185" s="22" t="str">
        <f t="shared" si="634"/>
        <v>TON</v>
      </c>
      <c r="O7185" s="19">
        <v>14.984999999999999</v>
      </c>
    </row>
    <row r="7186" spans="2:15" x14ac:dyDescent="0.25">
      <c r="B7186" s="16" t="s">
        <v>1520</v>
      </c>
      <c r="C7186" s="17" t="s">
        <v>196</v>
      </c>
      <c r="D7186" s="17" t="s">
        <v>317</v>
      </c>
      <c r="E7186" s="17" t="s">
        <v>677</v>
      </c>
      <c r="F7186" s="18">
        <f>DATE(2025,2,13)</f>
        <v>45701</v>
      </c>
      <c r="G7186" s="22">
        <f t="shared" ref="G7186:G7249" si="636">+MONTH(F7186)</f>
        <v>2</v>
      </c>
      <c r="H7186" s="22">
        <f t="shared" ref="H7186:H7249" si="637">+YEAR(F7186)</f>
        <v>2025</v>
      </c>
      <c r="I7186" s="17" t="s">
        <v>4</v>
      </c>
      <c r="J7186" s="17" t="s">
        <v>7782</v>
      </c>
      <c r="K7186" s="17" t="s">
        <v>422</v>
      </c>
      <c r="L7186" s="17" t="s">
        <v>423</v>
      </c>
      <c r="M7186" s="17" t="s">
        <v>119</v>
      </c>
      <c r="N7186" s="22" t="str">
        <f t="shared" si="634"/>
        <v>TON</v>
      </c>
      <c r="O7186" s="19">
        <v>8.5</v>
      </c>
    </row>
    <row r="7187" spans="2:15" x14ac:dyDescent="0.25">
      <c r="B7187" s="16" t="s">
        <v>1520</v>
      </c>
      <c r="C7187" s="17" t="s">
        <v>196</v>
      </c>
      <c r="D7187" s="17" t="s">
        <v>458</v>
      </c>
      <c r="E7187" s="17" t="s">
        <v>2868</v>
      </c>
      <c r="F7187" s="18">
        <f t="shared" ref="F7187:F7194" si="638">DATE(2025,2,14)</f>
        <v>45702</v>
      </c>
      <c r="G7187" s="22">
        <f t="shared" si="636"/>
        <v>2</v>
      </c>
      <c r="H7187" s="22">
        <f t="shared" si="637"/>
        <v>2025</v>
      </c>
      <c r="I7187" s="17" t="s">
        <v>4</v>
      </c>
      <c r="J7187" s="17" t="s">
        <v>7783</v>
      </c>
      <c r="K7187" s="17" t="s">
        <v>823</v>
      </c>
      <c r="L7187" s="17" t="s">
        <v>776</v>
      </c>
      <c r="M7187" s="17" t="s">
        <v>82</v>
      </c>
      <c r="N7187" s="22" t="str">
        <f t="shared" si="634"/>
        <v>GAL</v>
      </c>
      <c r="O7187" s="19">
        <v>250</v>
      </c>
    </row>
    <row r="7188" spans="2:15" x14ac:dyDescent="0.25">
      <c r="B7188" s="16" t="s">
        <v>1520</v>
      </c>
      <c r="C7188" s="17" t="s">
        <v>196</v>
      </c>
      <c r="D7188" s="17" t="s">
        <v>458</v>
      </c>
      <c r="E7188" s="17" t="s">
        <v>2868</v>
      </c>
      <c r="F7188" s="18">
        <f t="shared" si="638"/>
        <v>45702</v>
      </c>
      <c r="G7188" s="22">
        <f t="shared" si="636"/>
        <v>2</v>
      </c>
      <c r="H7188" s="22">
        <f t="shared" si="637"/>
        <v>2025</v>
      </c>
      <c r="I7188" s="17" t="s">
        <v>4</v>
      </c>
      <c r="J7188" s="17" t="s">
        <v>7783</v>
      </c>
      <c r="K7188" s="17" t="s">
        <v>822</v>
      </c>
      <c r="L7188" s="17" t="s">
        <v>565</v>
      </c>
      <c r="M7188" s="17" t="s">
        <v>21</v>
      </c>
      <c r="N7188" s="22" t="str">
        <f t="shared" si="634"/>
        <v>GAL</v>
      </c>
      <c r="O7188" s="19">
        <v>250</v>
      </c>
    </row>
    <row r="7189" spans="2:15" x14ac:dyDescent="0.25">
      <c r="B7189" s="16" t="s">
        <v>1520</v>
      </c>
      <c r="C7189" s="17" t="s">
        <v>196</v>
      </c>
      <c r="D7189" s="17" t="s">
        <v>458</v>
      </c>
      <c r="E7189" s="17" t="s">
        <v>2868</v>
      </c>
      <c r="F7189" s="18">
        <f t="shared" si="638"/>
        <v>45702</v>
      </c>
      <c r="G7189" s="22">
        <f t="shared" si="636"/>
        <v>2</v>
      </c>
      <c r="H7189" s="22">
        <f t="shared" si="637"/>
        <v>2025</v>
      </c>
      <c r="I7189" s="17" t="s">
        <v>4</v>
      </c>
      <c r="J7189" s="17" t="s">
        <v>7783</v>
      </c>
      <c r="K7189" s="17" t="s">
        <v>220</v>
      </c>
      <c r="L7189" s="17" t="s">
        <v>201</v>
      </c>
      <c r="M7189" s="17" t="s">
        <v>202</v>
      </c>
      <c r="N7189" s="22" t="str">
        <f t="shared" si="634"/>
        <v>GAL</v>
      </c>
      <c r="O7189" s="19">
        <v>250</v>
      </c>
    </row>
    <row r="7190" spans="2:15" x14ac:dyDescent="0.25">
      <c r="B7190" s="16" t="s">
        <v>1520</v>
      </c>
      <c r="C7190" s="17" t="s">
        <v>196</v>
      </c>
      <c r="D7190" s="17" t="s">
        <v>280</v>
      </c>
      <c r="E7190" s="17" t="s">
        <v>254</v>
      </c>
      <c r="F7190" s="18">
        <f t="shared" si="638"/>
        <v>45702</v>
      </c>
      <c r="G7190" s="22">
        <f t="shared" si="636"/>
        <v>2</v>
      </c>
      <c r="H7190" s="22">
        <f t="shared" si="637"/>
        <v>2025</v>
      </c>
      <c r="I7190" s="17" t="s">
        <v>4</v>
      </c>
      <c r="J7190" s="17" t="s">
        <v>7784</v>
      </c>
      <c r="K7190" s="17" t="s">
        <v>422</v>
      </c>
      <c r="L7190" s="17" t="s">
        <v>423</v>
      </c>
      <c r="M7190" s="17" t="s">
        <v>119</v>
      </c>
      <c r="N7190" s="22" t="str">
        <f t="shared" si="634"/>
        <v>TON</v>
      </c>
      <c r="O7190" s="19">
        <v>15.0075</v>
      </c>
    </row>
    <row r="7191" spans="2:15" x14ac:dyDescent="0.25">
      <c r="B7191" s="16" t="s">
        <v>1520</v>
      </c>
      <c r="C7191" s="17" t="s">
        <v>196</v>
      </c>
      <c r="D7191" s="17" t="s">
        <v>679</v>
      </c>
      <c r="E7191" s="17" t="s">
        <v>359</v>
      </c>
      <c r="F7191" s="18">
        <f t="shared" si="638"/>
        <v>45702</v>
      </c>
      <c r="G7191" s="22">
        <f t="shared" si="636"/>
        <v>2</v>
      </c>
      <c r="H7191" s="22">
        <f t="shared" si="637"/>
        <v>2025</v>
      </c>
      <c r="I7191" s="17" t="s">
        <v>4</v>
      </c>
      <c r="J7191" s="17" t="s">
        <v>7785</v>
      </c>
      <c r="K7191" s="17" t="s">
        <v>329</v>
      </c>
      <c r="L7191" s="17" t="s">
        <v>330</v>
      </c>
      <c r="M7191" s="17" t="s">
        <v>119</v>
      </c>
      <c r="N7191" s="22" t="str">
        <f t="shared" si="634"/>
        <v>TON</v>
      </c>
      <c r="O7191" s="19">
        <v>2.0024999999999999</v>
      </c>
    </row>
    <row r="7192" spans="2:15" x14ac:dyDescent="0.25">
      <c r="B7192" s="16" t="s">
        <v>645</v>
      </c>
      <c r="C7192" s="17" t="s">
        <v>196</v>
      </c>
      <c r="D7192" s="17" t="s">
        <v>790</v>
      </c>
      <c r="E7192" s="17" t="s">
        <v>791</v>
      </c>
      <c r="F7192" s="18">
        <f t="shared" si="638"/>
        <v>45702</v>
      </c>
      <c r="G7192" s="22">
        <f t="shared" si="636"/>
        <v>2</v>
      </c>
      <c r="H7192" s="22">
        <f t="shared" si="637"/>
        <v>2025</v>
      </c>
      <c r="I7192" s="17" t="s">
        <v>4</v>
      </c>
      <c r="J7192" s="17" t="s">
        <v>7786</v>
      </c>
      <c r="K7192" s="17" t="s">
        <v>7787</v>
      </c>
      <c r="L7192" s="17" t="s">
        <v>7788</v>
      </c>
      <c r="M7192" s="17" t="s">
        <v>119</v>
      </c>
      <c r="N7192" s="22" t="str">
        <f t="shared" si="634"/>
        <v>TON</v>
      </c>
      <c r="O7192" s="19">
        <v>4.9874999999999998</v>
      </c>
    </row>
    <row r="7193" spans="2:15" x14ac:dyDescent="0.25">
      <c r="B7193" s="16" t="s">
        <v>1520</v>
      </c>
      <c r="C7193" s="17" t="s">
        <v>196</v>
      </c>
      <c r="D7193" s="17" t="s">
        <v>197</v>
      </c>
      <c r="E7193" s="17" t="s">
        <v>198</v>
      </c>
      <c r="F7193" s="18">
        <f t="shared" si="638"/>
        <v>45702</v>
      </c>
      <c r="G7193" s="22">
        <f t="shared" si="636"/>
        <v>2</v>
      </c>
      <c r="H7193" s="22">
        <f t="shared" si="637"/>
        <v>2025</v>
      </c>
      <c r="I7193" s="17" t="s">
        <v>4</v>
      </c>
      <c r="J7193" s="17" t="s">
        <v>7789</v>
      </c>
      <c r="K7193" s="17" t="s">
        <v>307</v>
      </c>
      <c r="L7193" s="17" t="s">
        <v>308</v>
      </c>
      <c r="M7193" s="17" t="s">
        <v>119</v>
      </c>
      <c r="N7193" s="22" t="str">
        <f t="shared" si="634"/>
        <v>TON</v>
      </c>
      <c r="O7193" s="19">
        <v>3.4975000000000001</v>
      </c>
    </row>
    <row r="7194" spans="2:15" x14ac:dyDescent="0.25">
      <c r="B7194" s="16" t="s">
        <v>1520</v>
      </c>
      <c r="C7194" s="17" t="s">
        <v>196</v>
      </c>
      <c r="D7194" s="17" t="s">
        <v>248</v>
      </c>
      <c r="E7194" s="17" t="s">
        <v>3610</v>
      </c>
      <c r="F7194" s="18">
        <f t="shared" si="638"/>
        <v>45702</v>
      </c>
      <c r="G7194" s="22">
        <f t="shared" si="636"/>
        <v>2</v>
      </c>
      <c r="H7194" s="22">
        <f t="shared" si="637"/>
        <v>2025</v>
      </c>
      <c r="I7194" s="17" t="s">
        <v>4</v>
      </c>
      <c r="J7194" s="17" t="s">
        <v>7790</v>
      </c>
      <c r="K7194" s="17" t="s">
        <v>7791</v>
      </c>
      <c r="L7194" s="17" t="s">
        <v>7792</v>
      </c>
      <c r="M7194" s="17" t="s">
        <v>119</v>
      </c>
      <c r="N7194" s="22" t="str">
        <f t="shared" si="634"/>
        <v>TON</v>
      </c>
      <c r="O7194" s="19">
        <v>15.025</v>
      </c>
    </row>
    <row r="7195" spans="2:15" x14ac:dyDescent="0.25">
      <c r="B7195" s="16" t="s">
        <v>1520</v>
      </c>
      <c r="C7195" s="17" t="s">
        <v>196</v>
      </c>
      <c r="D7195" s="17" t="s">
        <v>280</v>
      </c>
      <c r="E7195" s="17" t="s">
        <v>364</v>
      </c>
      <c r="F7195" s="18">
        <f t="shared" ref="F7195:F7204" si="639">DATE(2025,2,17)</f>
        <v>45705</v>
      </c>
      <c r="G7195" s="22">
        <f t="shared" si="636"/>
        <v>2</v>
      </c>
      <c r="H7195" s="22">
        <f t="shared" si="637"/>
        <v>2025</v>
      </c>
      <c r="I7195" s="17" t="s">
        <v>4</v>
      </c>
      <c r="J7195" s="17" t="s">
        <v>7793</v>
      </c>
      <c r="K7195" s="17" t="s">
        <v>422</v>
      </c>
      <c r="L7195" s="17" t="s">
        <v>423</v>
      </c>
      <c r="M7195" s="17" t="s">
        <v>119</v>
      </c>
      <c r="N7195" s="22" t="str">
        <f t="shared" si="634"/>
        <v>TON</v>
      </c>
      <c r="O7195" s="19">
        <v>15</v>
      </c>
    </row>
    <row r="7196" spans="2:15" x14ac:dyDescent="0.25">
      <c r="B7196" s="16" t="s">
        <v>1520</v>
      </c>
      <c r="C7196" s="17" t="s">
        <v>196</v>
      </c>
      <c r="D7196" s="17" t="s">
        <v>215</v>
      </c>
      <c r="E7196" s="17" t="s">
        <v>4113</v>
      </c>
      <c r="F7196" s="18">
        <f t="shared" si="639"/>
        <v>45705</v>
      </c>
      <c r="G7196" s="22">
        <f t="shared" si="636"/>
        <v>2</v>
      </c>
      <c r="H7196" s="22">
        <f t="shared" si="637"/>
        <v>2025</v>
      </c>
      <c r="I7196" s="17" t="s">
        <v>4</v>
      </c>
      <c r="J7196" s="17" t="s">
        <v>7794</v>
      </c>
      <c r="K7196" s="17" t="s">
        <v>7772</v>
      </c>
      <c r="L7196" s="17" t="s">
        <v>7773</v>
      </c>
      <c r="M7196" s="17" t="s">
        <v>119</v>
      </c>
      <c r="N7196" s="22" t="str">
        <f t="shared" si="634"/>
        <v>TON</v>
      </c>
      <c r="O7196" s="19">
        <v>15.0525</v>
      </c>
    </row>
    <row r="7197" spans="2:15" x14ac:dyDescent="0.25">
      <c r="B7197" s="16" t="s">
        <v>1520</v>
      </c>
      <c r="C7197" s="17" t="s">
        <v>196</v>
      </c>
      <c r="D7197" s="17" t="s">
        <v>6767</v>
      </c>
      <c r="E7197" s="17" t="s">
        <v>6912</v>
      </c>
      <c r="F7197" s="18">
        <f t="shared" si="639"/>
        <v>45705</v>
      </c>
      <c r="G7197" s="22">
        <f t="shared" si="636"/>
        <v>2</v>
      </c>
      <c r="H7197" s="22">
        <f t="shared" si="637"/>
        <v>2025</v>
      </c>
      <c r="I7197" s="17" t="s">
        <v>4</v>
      </c>
      <c r="J7197" s="17" t="s">
        <v>7795</v>
      </c>
      <c r="K7197" s="17" t="s">
        <v>205</v>
      </c>
      <c r="L7197" s="17" t="s">
        <v>206</v>
      </c>
      <c r="M7197" s="17" t="s">
        <v>119</v>
      </c>
      <c r="N7197" s="22" t="str">
        <f t="shared" si="634"/>
        <v>TON</v>
      </c>
      <c r="O7197" s="19">
        <v>1.5</v>
      </c>
    </row>
    <row r="7198" spans="2:15" x14ac:dyDescent="0.25">
      <c r="B7198" s="16" t="s">
        <v>1520</v>
      </c>
      <c r="C7198" s="17" t="s">
        <v>196</v>
      </c>
      <c r="D7198" s="17" t="s">
        <v>452</v>
      </c>
      <c r="E7198" s="17" t="s">
        <v>7109</v>
      </c>
      <c r="F7198" s="18">
        <f t="shared" si="639"/>
        <v>45705</v>
      </c>
      <c r="G7198" s="22">
        <f t="shared" si="636"/>
        <v>2</v>
      </c>
      <c r="H7198" s="22">
        <f t="shared" si="637"/>
        <v>2025</v>
      </c>
      <c r="I7198" s="17" t="s">
        <v>4</v>
      </c>
      <c r="J7198" s="17" t="s">
        <v>7796</v>
      </c>
      <c r="K7198" s="17" t="s">
        <v>205</v>
      </c>
      <c r="L7198" s="17" t="s">
        <v>206</v>
      </c>
      <c r="M7198" s="17" t="s">
        <v>119</v>
      </c>
      <c r="N7198" s="22" t="str">
        <f t="shared" si="634"/>
        <v>TON</v>
      </c>
      <c r="O7198" s="19">
        <v>2.5</v>
      </c>
    </row>
    <row r="7199" spans="2:15" x14ac:dyDescent="0.25">
      <c r="B7199" s="16" t="s">
        <v>645</v>
      </c>
      <c r="C7199" s="17" t="s">
        <v>196</v>
      </c>
      <c r="D7199" s="17" t="s">
        <v>310</v>
      </c>
      <c r="E7199" s="17" t="s">
        <v>311</v>
      </c>
      <c r="F7199" s="18">
        <f t="shared" si="639"/>
        <v>45705</v>
      </c>
      <c r="G7199" s="22">
        <f t="shared" si="636"/>
        <v>2</v>
      </c>
      <c r="H7199" s="22">
        <f t="shared" si="637"/>
        <v>2025</v>
      </c>
      <c r="I7199" s="17" t="s">
        <v>4</v>
      </c>
      <c r="J7199" s="17" t="s">
        <v>7797</v>
      </c>
      <c r="K7199" s="17" t="s">
        <v>775</v>
      </c>
      <c r="L7199" s="17" t="s">
        <v>776</v>
      </c>
      <c r="M7199" s="17" t="s">
        <v>82</v>
      </c>
      <c r="N7199" s="22" t="str">
        <f t="shared" si="634"/>
        <v>GAL</v>
      </c>
      <c r="O7199" s="19">
        <v>30</v>
      </c>
    </row>
    <row r="7200" spans="2:15" x14ac:dyDescent="0.25">
      <c r="B7200" s="16" t="s">
        <v>645</v>
      </c>
      <c r="C7200" s="17" t="s">
        <v>196</v>
      </c>
      <c r="D7200" s="17" t="s">
        <v>310</v>
      </c>
      <c r="E7200" s="17" t="s">
        <v>311</v>
      </c>
      <c r="F7200" s="18">
        <f t="shared" si="639"/>
        <v>45705</v>
      </c>
      <c r="G7200" s="22">
        <f t="shared" si="636"/>
        <v>2</v>
      </c>
      <c r="H7200" s="22">
        <f t="shared" si="637"/>
        <v>2025</v>
      </c>
      <c r="I7200" s="17" t="s">
        <v>4</v>
      </c>
      <c r="J7200" s="17" t="s">
        <v>7797</v>
      </c>
      <c r="K7200" s="17" t="s">
        <v>69</v>
      </c>
      <c r="L7200" s="17" t="s">
        <v>565</v>
      </c>
      <c r="M7200" s="17" t="s">
        <v>21</v>
      </c>
      <c r="N7200" s="22" t="str">
        <f t="shared" si="634"/>
        <v>GAL</v>
      </c>
      <c r="O7200" s="19">
        <v>30</v>
      </c>
    </row>
    <row r="7201" spans="2:15" x14ac:dyDescent="0.25">
      <c r="B7201" s="16" t="s">
        <v>1520</v>
      </c>
      <c r="C7201" s="17" t="s">
        <v>196</v>
      </c>
      <c r="D7201" s="17" t="s">
        <v>452</v>
      </c>
      <c r="E7201" s="17" t="s">
        <v>7092</v>
      </c>
      <c r="F7201" s="18">
        <f t="shared" si="639"/>
        <v>45705</v>
      </c>
      <c r="G7201" s="22">
        <f t="shared" si="636"/>
        <v>2</v>
      </c>
      <c r="H7201" s="22">
        <f t="shared" si="637"/>
        <v>2025</v>
      </c>
      <c r="I7201" s="17" t="s">
        <v>4</v>
      </c>
      <c r="J7201" s="17" t="s">
        <v>7798</v>
      </c>
      <c r="K7201" s="17" t="s">
        <v>447</v>
      </c>
      <c r="L7201" s="17" t="s">
        <v>448</v>
      </c>
      <c r="M7201" s="17" t="s">
        <v>119</v>
      </c>
      <c r="N7201" s="22" t="str">
        <f t="shared" si="634"/>
        <v>TON</v>
      </c>
      <c r="O7201" s="19">
        <v>9.75</v>
      </c>
    </row>
    <row r="7202" spans="2:15" x14ac:dyDescent="0.25">
      <c r="B7202" s="16" t="s">
        <v>1520</v>
      </c>
      <c r="C7202" s="17" t="s">
        <v>196</v>
      </c>
      <c r="D7202" s="17" t="s">
        <v>280</v>
      </c>
      <c r="E7202" s="17" t="s">
        <v>868</v>
      </c>
      <c r="F7202" s="18">
        <f t="shared" si="639"/>
        <v>45705</v>
      </c>
      <c r="G7202" s="22">
        <f t="shared" si="636"/>
        <v>2</v>
      </c>
      <c r="H7202" s="22">
        <f t="shared" si="637"/>
        <v>2025</v>
      </c>
      <c r="I7202" s="17" t="s">
        <v>4</v>
      </c>
      <c r="J7202" s="17" t="s">
        <v>7799</v>
      </c>
      <c r="K7202" s="17" t="s">
        <v>422</v>
      </c>
      <c r="L7202" s="17" t="s">
        <v>423</v>
      </c>
      <c r="M7202" s="17" t="s">
        <v>119</v>
      </c>
      <c r="N7202" s="22" t="str">
        <f t="shared" si="634"/>
        <v>TON</v>
      </c>
      <c r="O7202" s="19">
        <v>14.01</v>
      </c>
    </row>
    <row r="7203" spans="2:15" x14ac:dyDescent="0.25">
      <c r="B7203" s="16" t="s">
        <v>1520</v>
      </c>
      <c r="C7203" s="17" t="s">
        <v>196</v>
      </c>
      <c r="D7203" s="17" t="s">
        <v>265</v>
      </c>
      <c r="E7203" s="17" t="s">
        <v>266</v>
      </c>
      <c r="F7203" s="18">
        <f t="shared" si="639"/>
        <v>45705</v>
      </c>
      <c r="G7203" s="22">
        <f t="shared" si="636"/>
        <v>2</v>
      </c>
      <c r="H7203" s="22">
        <f t="shared" si="637"/>
        <v>2025</v>
      </c>
      <c r="I7203" s="17" t="s">
        <v>4</v>
      </c>
      <c r="J7203" s="17" t="s">
        <v>7800</v>
      </c>
      <c r="K7203" s="17" t="s">
        <v>268</v>
      </c>
      <c r="L7203" s="17" t="s">
        <v>269</v>
      </c>
      <c r="M7203" s="17" t="s">
        <v>119</v>
      </c>
      <c r="N7203" s="22" t="str">
        <f t="shared" si="634"/>
        <v>TON</v>
      </c>
      <c r="O7203" s="19">
        <v>0.15</v>
      </c>
    </row>
    <row r="7204" spans="2:15" x14ac:dyDescent="0.25">
      <c r="B7204" s="16" t="s">
        <v>1520</v>
      </c>
      <c r="C7204" s="17" t="s">
        <v>196</v>
      </c>
      <c r="D7204" s="17" t="s">
        <v>299</v>
      </c>
      <c r="E7204" s="17" t="s">
        <v>300</v>
      </c>
      <c r="F7204" s="18">
        <f t="shared" si="639"/>
        <v>45705</v>
      </c>
      <c r="G7204" s="22">
        <f t="shared" si="636"/>
        <v>2</v>
      </c>
      <c r="H7204" s="22">
        <f t="shared" si="637"/>
        <v>2025</v>
      </c>
      <c r="I7204" s="17" t="s">
        <v>4</v>
      </c>
      <c r="J7204" s="17" t="s">
        <v>7801</v>
      </c>
      <c r="K7204" s="17" t="s">
        <v>422</v>
      </c>
      <c r="L7204" s="17" t="s">
        <v>423</v>
      </c>
      <c r="M7204" s="17" t="s">
        <v>119</v>
      </c>
      <c r="N7204" s="22" t="str">
        <f t="shared" si="634"/>
        <v>TON</v>
      </c>
      <c r="O7204" s="19">
        <v>12.035</v>
      </c>
    </row>
    <row r="7205" spans="2:15" x14ac:dyDescent="0.25">
      <c r="B7205" s="16" t="s">
        <v>1520</v>
      </c>
      <c r="C7205" s="17" t="s">
        <v>196</v>
      </c>
      <c r="D7205" s="17" t="s">
        <v>299</v>
      </c>
      <c r="E7205" s="17" t="s">
        <v>398</v>
      </c>
      <c r="F7205" s="18">
        <f t="shared" ref="F7205:F7216" si="640">DATE(2025,2,18)</f>
        <v>45706</v>
      </c>
      <c r="G7205" s="22">
        <f t="shared" si="636"/>
        <v>2</v>
      </c>
      <c r="H7205" s="22">
        <f t="shared" si="637"/>
        <v>2025</v>
      </c>
      <c r="I7205" s="17" t="s">
        <v>4</v>
      </c>
      <c r="J7205" s="17" t="s">
        <v>7802</v>
      </c>
      <c r="K7205" s="17" t="s">
        <v>422</v>
      </c>
      <c r="L7205" s="17" t="s">
        <v>423</v>
      </c>
      <c r="M7205" s="17" t="s">
        <v>119</v>
      </c>
      <c r="N7205" s="22" t="str">
        <f t="shared" si="634"/>
        <v>TON</v>
      </c>
      <c r="O7205" s="19">
        <v>14.037000000000001</v>
      </c>
    </row>
    <row r="7206" spans="2:15" x14ac:dyDescent="0.25">
      <c r="B7206" s="16" t="s">
        <v>1520</v>
      </c>
      <c r="C7206" s="17" t="s">
        <v>196</v>
      </c>
      <c r="D7206" s="17" t="s">
        <v>299</v>
      </c>
      <c r="E7206" s="17" t="s">
        <v>713</v>
      </c>
      <c r="F7206" s="18">
        <f t="shared" si="640"/>
        <v>45706</v>
      </c>
      <c r="G7206" s="22">
        <f t="shared" si="636"/>
        <v>2</v>
      </c>
      <c r="H7206" s="22">
        <f t="shared" si="637"/>
        <v>2025</v>
      </c>
      <c r="I7206" s="17" t="s">
        <v>4</v>
      </c>
      <c r="J7206" s="17" t="s">
        <v>7803</v>
      </c>
      <c r="K7206" s="17" t="s">
        <v>422</v>
      </c>
      <c r="L7206" s="17" t="s">
        <v>423</v>
      </c>
      <c r="M7206" s="17" t="s">
        <v>119</v>
      </c>
      <c r="N7206" s="22" t="str">
        <f t="shared" si="634"/>
        <v>TON</v>
      </c>
      <c r="O7206" s="19">
        <v>15.04</v>
      </c>
    </row>
    <row r="7207" spans="2:15" x14ac:dyDescent="0.25">
      <c r="B7207" s="16" t="s">
        <v>1520</v>
      </c>
      <c r="C7207" s="17" t="s">
        <v>196</v>
      </c>
      <c r="D7207" s="17" t="s">
        <v>1343</v>
      </c>
      <c r="E7207" s="17" t="s">
        <v>3724</v>
      </c>
      <c r="F7207" s="18">
        <f t="shared" si="640"/>
        <v>45706</v>
      </c>
      <c r="G7207" s="22">
        <f t="shared" si="636"/>
        <v>2</v>
      </c>
      <c r="H7207" s="22">
        <f t="shared" si="637"/>
        <v>2025</v>
      </c>
      <c r="I7207" s="17" t="s">
        <v>4</v>
      </c>
      <c r="J7207" s="17" t="s">
        <v>7804</v>
      </c>
      <c r="K7207" s="17" t="s">
        <v>2039</v>
      </c>
      <c r="L7207" s="17" t="s">
        <v>2040</v>
      </c>
      <c r="M7207" s="17" t="s">
        <v>119</v>
      </c>
      <c r="N7207" s="22" t="str">
        <f t="shared" si="634"/>
        <v>TON</v>
      </c>
      <c r="O7207" s="19">
        <v>15.025</v>
      </c>
    </row>
    <row r="7208" spans="2:15" x14ac:dyDescent="0.25">
      <c r="B7208" s="16" t="s">
        <v>1520</v>
      </c>
      <c r="C7208" s="17" t="s">
        <v>196</v>
      </c>
      <c r="D7208" s="17" t="s">
        <v>224</v>
      </c>
      <c r="E7208" s="17" t="s">
        <v>361</v>
      </c>
      <c r="F7208" s="18">
        <f t="shared" si="640"/>
        <v>45706</v>
      </c>
      <c r="G7208" s="22">
        <f t="shared" si="636"/>
        <v>2</v>
      </c>
      <c r="H7208" s="22">
        <f t="shared" si="637"/>
        <v>2025</v>
      </c>
      <c r="I7208" s="17" t="s">
        <v>4</v>
      </c>
      <c r="J7208" s="17" t="s">
        <v>7805</v>
      </c>
      <c r="K7208" s="17" t="s">
        <v>205</v>
      </c>
      <c r="L7208" s="17" t="s">
        <v>206</v>
      </c>
      <c r="M7208" s="17" t="s">
        <v>119</v>
      </c>
      <c r="N7208" s="22" t="str">
        <f t="shared" si="634"/>
        <v>TON</v>
      </c>
      <c r="O7208" s="19">
        <v>5.0175000000000001</v>
      </c>
    </row>
    <row r="7209" spans="2:15" x14ac:dyDescent="0.25">
      <c r="B7209" s="16" t="s">
        <v>1520</v>
      </c>
      <c r="C7209" s="17" t="s">
        <v>196</v>
      </c>
      <c r="D7209" s="17" t="s">
        <v>310</v>
      </c>
      <c r="E7209" s="17" t="s">
        <v>426</v>
      </c>
      <c r="F7209" s="18">
        <f t="shared" si="640"/>
        <v>45706</v>
      </c>
      <c r="G7209" s="22">
        <f t="shared" si="636"/>
        <v>2</v>
      </c>
      <c r="H7209" s="22">
        <f t="shared" si="637"/>
        <v>2025</v>
      </c>
      <c r="I7209" s="17" t="s">
        <v>4</v>
      </c>
      <c r="J7209" s="17" t="s">
        <v>7806</v>
      </c>
      <c r="K7209" s="17" t="s">
        <v>329</v>
      </c>
      <c r="L7209" s="17" t="s">
        <v>330</v>
      </c>
      <c r="M7209" s="17" t="s">
        <v>119</v>
      </c>
      <c r="N7209" s="22" t="str">
        <f t="shared" si="634"/>
        <v>TON</v>
      </c>
      <c r="O7209" s="19">
        <v>2.0125000000000002</v>
      </c>
    </row>
    <row r="7210" spans="2:15" x14ac:dyDescent="0.25">
      <c r="B7210" s="16" t="s">
        <v>1520</v>
      </c>
      <c r="C7210" s="17" t="s">
        <v>196</v>
      </c>
      <c r="D7210" s="17" t="s">
        <v>4013</v>
      </c>
      <c r="E7210" s="17" t="s">
        <v>5546</v>
      </c>
      <c r="F7210" s="18">
        <f t="shared" si="640"/>
        <v>45706</v>
      </c>
      <c r="G7210" s="22">
        <f t="shared" si="636"/>
        <v>2</v>
      </c>
      <c r="H7210" s="22">
        <f t="shared" si="637"/>
        <v>2025</v>
      </c>
      <c r="I7210" s="17" t="s">
        <v>4</v>
      </c>
      <c r="J7210" s="17" t="s">
        <v>7807</v>
      </c>
      <c r="K7210" s="17" t="s">
        <v>329</v>
      </c>
      <c r="L7210" s="17" t="s">
        <v>330</v>
      </c>
      <c r="M7210" s="17" t="s">
        <v>119</v>
      </c>
      <c r="N7210" s="22" t="str">
        <f t="shared" si="634"/>
        <v>TON</v>
      </c>
      <c r="O7210" s="19">
        <v>1.0149999999999999</v>
      </c>
    </row>
    <row r="7211" spans="2:15" x14ac:dyDescent="0.25">
      <c r="B7211" s="16" t="s">
        <v>1520</v>
      </c>
      <c r="C7211" s="17" t="s">
        <v>196</v>
      </c>
      <c r="D7211" s="17" t="s">
        <v>262</v>
      </c>
      <c r="E7211" s="17" t="s">
        <v>1170</v>
      </c>
      <c r="F7211" s="18">
        <f t="shared" si="640"/>
        <v>45706</v>
      </c>
      <c r="G7211" s="22">
        <f t="shared" si="636"/>
        <v>2</v>
      </c>
      <c r="H7211" s="22">
        <f t="shared" si="637"/>
        <v>2025</v>
      </c>
      <c r="I7211" s="17" t="s">
        <v>4</v>
      </c>
      <c r="J7211" s="17" t="s">
        <v>7808</v>
      </c>
      <c r="K7211" s="17" t="s">
        <v>329</v>
      </c>
      <c r="L7211" s="17" t="s">
        <v>330</v>
      </c>
      <c r="M7211" s="17" t="s">
        <v>119</v>
      </c>
      <c r="N7211" s="22" t="str">
        <f t="shared" si="634"/>
        <v>TON</v>
      </c>
      <c r="O7211" s="19">
        <v>7.0125000000000002</v>
      </c>
    </row>
    <row r="7212" spans="2:15" x14ac:dyDescent="0.25">
      <c r="B7212" s="16" t="s">
        <v>1520</v>
      </c>
      <c r="C7212" s="17" t="s">
        <v>196</v>
      </c>
      <c r="D7212" s="17" t="s">
        <v>303</v>
      </c>
      <c r="E7212" s="17" t="s">
        <v>3744</v>
      </c>
      <c r="F7212" s="18">
        <f t="shared" si="640"/>
        <v>45706</v>
      </c>
      <c r="G7212" s="22">
        <f t="shared" si="636"/>
        <v>2</v>
      </c>
      <c r="H7212" s="22">
        <f t="shared" si="637"/>
        <v>2025</v>
      </c>
      <c r="I7212" s="17" t="s">
        <v>4</v>
      </c>
      <c r="J7212" s="17" t="s">
        <v>7809</v>
      </c>
      <c r="K7212" s="17" t="s">
        <v>3726</v>
      </c>
      <c r="L7212" s="17" t="s">
        <v>3727</v>
      </c>
      <c r="M7212" s="17" t="s">
        <v>145</v>
      </c>
      <c r="N7212" s="22" t="str">
        <f t="shared" si="634"/>
        <v>GAL</v>
      </c>
      <c r="O7212" s="19">
        <v>1.875</v>
      </c>
    </row>
    <row r="7213" spans="2:15" x14ac:dyDescent="0.25">
      <c r="B7213" s="16" t="s">
        <v>1520</v>
      </c>
      <c r="C7213" s="17" t="s">
        <v>196</v>
      </c>
      <c r="D7213" s="17" t="s">
        <v>303</v>
      </c>
      <c r="E7213" s="17" t="s">
        <v>3744</v>
      </c>
      <c r="F7213" s="18">
        <f t="shared" si="640"/>
        <v>45706</v>
      </c>
      <c r="G7213" s="22">
        <f t="shared" si="636"/>
        <v>2</v>
      </c>
      <c r="H7213" s="22">
        <f t="shared" si="637"/>
        <v>2025</v>
      </c>
      <c r="I7213" s="17" t="s">
        <v>4</v>
      </c>
      <c r="J7213" s="17" t="s">
        <v>7809</v>
      </c>
      <c r="K7213" s="17" t="s">
        <v>7549</v>
      </c>
      <c r="L7213" s="17" t="s">
        <v>7550</v>
      </c>
      <c r="M7213" s="17" t="s">
        <v>119</v>
      </c>
      <c r="N7213" s="22" t="str">
        <f t="shared" si="634"/>
        <v>TON</v>
      </c>
      <c r="O7213" s="19">
        <v>5.0125000000000002</v>
      </c>
    </row>
    <row r="7214" spans="2:15" x14ac:dyDescent="0.25">
      <c r="B7214" s="16" t="s">
        <v>1520</v>
      </c>
      <c r="C7214" s="17" t="s">
        <v>196</v>
      </c>
      <c r="D7214" s="17" t="s">
        <v>114</v>
      </c>
      <c r="E7214" s="17" t="s">
        <v>115</v>
      </c>
      <c r="F7214" s="18">
        <f t="shared" si="640"/>
        <v>45706</v>
      </c>
      <c r="G7214" s="22">
        <f t="shared" si="636"/>
        <v>2</v>
      </c>
      <c r="H7214" s="22">
        <f t="shared" si="637"/>
        <v>2025</v>
      </c>
      <c r="I7214" s="17" t="s">
        <v>4</v>
      </c>
      <c r="J7214" s="17" t="s">
        <v>7810</v>
      </c>
      <c r="K7214" s="17" t="s">
        <v>422</v>
      </c>
      <c r="L7214" s="17" t="s">
        <v>423</v>
      </c>
      <c r="M7214" s="17" t="s">
        <v>119</v>
      </c>
      <c r="N7214" s="22" t="str">
        <f t="shared" si="634"/>
        <v>TON</v>
      </c>
      <c r="O7214" s="19">
        <v>10.51</v>
      </c>
    </row>
    <row r="7215" spans="2:15" x14ac:dyDescent="0.25">
      <c r="B7215" s="16" t="s">
        <v>1520</v>
      </c>
      <c r="C7215" s="17" t="s">
        <v>196</v>
      </c>
      <c r="D7215" s="17" t="s">
        <v>303</v>
      </c>
      <c r="E7215" s="17" t="s">
        <v>3744</v>
      </c>
      <c r="F7215" s="18">
        <f t="shared" si="640"/>
        <v>45706</v>
      </c>
      <c r="G7215" s="22">
        <f t="shared" si="636"/>
        <v>2</v>
      </c>
      <c r="H7215" s="22">
        <f t="shared" si="637"/>
        <v>2025</v>
      </c>
      <c r="I7215" s="17" t="s">
        <v>4</v>
      </c>
      <c r="J7215" s="17" t="s">
        <v>7811</v>
      </c>
      <c r="K7215" s="17" t="s">
        <v>3726</v>
      </c>
      <c r="L7215" s="17" t="s">
        <v>3727</v>
      </c>
      <c r="M7215" s="17" t="s">
        <v>145</v>
      </c>
      <c r="N7215" s="22" t="str">
        <f t="shared" si="634"/>
        <v>GAL</v>
      </c>
      <c r="O7215" s="19">
        <v>0.9375</v>
      </c>
    </row>
    <row r="7216" spans="2:15" x14ac:dyDescent="0.25">
      <c r="B7216" s="16" t="s">
        <v>1520</v>
      </c>
      <c r="C7216" s="17" t="s">
        <v>196</v>
      </c>
      <c r="D7216" s="17" t="s">
        <v>303</v>
      </c>
      <c r="E7216" s="17" t="s">
        <v>3744</v>
      </c>
      <c r="F7216" s="18">
        <f t="shared" si="640"/>
        <v>45706</v>
      </c>
      <c r="G7216" s="22">
        <f t="shared" si="636"/>
        <v>2</v>
      </c>
      <c r="H7216" s="22">
        <f t="shared" si="637"/>
        <v>2025</v>
      </c>
      <c r="I7216" s="17" t="s">
        <v>4</v>
      </c>
      <c r="J7216" s="17" t="s">
        <v>7811</v>
      </c>
      <c r="K7216" s="17" t="s">
        <v>7549</v>
      </c>
      <c r="L7216" s="17" t="s">
        <v>7550</v>
      </c>
      <c r="M7216" s="17" t="s">
        <v>119</v>
      </c>
      <c r="N7216" s="22" t="str">
        <f t="shared" si="634"/>
        <v>TON</v>
      </c>
      <c r="O7216" s="19">
        <v>2.5274999999999999</v>
      </c>
    </row>
    <row r="7217" spans="2:15" x14ac:dyDescent="0.25">
      <c r="B7217" s="16" t="s">
        <v>1520</v>
      </c>
      <c r="C7217" s="17" t="s">
        <v>196</v>
      </c>
      <c r="D7217" s="17" t="s">
        <v>3761</v>
      </c>
      <c r="E7217" s="17" t="s">
        <v>3762</v>
      </c>
      <c r="F7217" s="18">
        <f t="shared" ref="F7217:F7222" si="641">DATE(2025,2,19)</f>
        <v>45707</v>
      </c>
      <c r="G7217" s="22">
        <f t="shared" si="636"/>
        <v>2</v>
      </c>
      <c r="H7217" s="22">
        <f t="shared" si="637"/>
        <v>2025</v>
      </c>
      <c r="I7217" s="17" t="s">
        <v>4</v>
      </c>
      <c r="J7217" s="17" t="s">
        <v>7812</v>
      </c>
      <c r="K7217" s="17" t="s">
        <v>329</v>
      </c>
      <c r="L7217" s="17" t="s">
        <v>330</v>
      </c>
      <c r="M7217" s="17" t="s">
        <v>119</v>
      </c>
      <c r="N7217" s="22" t="str">
        <f t="shared" si="634"/>
        <v>TON</v>
      </c>
      <c r="O7217" s="19">
        <v>12.5275</v>
      </c>
    </row>
    <row r="7218" spans="2:15" x14ac:dyDescent="0.25">
      <c r="B7218" s="16" t="s">
        <v>1520</v>
      </c>
      <c r="C7218" s="17" t="s">
        <v>196</v>
      </c>
      <c r="D7218" s="17" t="s">
        <v>6651</v>
      </c>
      <c r="E7218" s="17" t="s">
        <v>6652</v>
      </c>
      <c r="F7218" s="18">
        <f t="shared" si="641"/>
        <v>45707</v>
      </c>
      <c r="G7218" s="22">
        <f t="shared" si="636"/>
        <v>2</v>
      </c>
      <c r="H7218" s="22">
        <f t="shared" si="637"/>
        <v>2025</v>
      </c>
      <c r="I7218" s="17" t="s">
        <v>4</v>
      </c>
      <c r="J7218" s="17" t="s">
        <v>7813</v>
      </c>
      <c r="K7218" s="17" t="s">
        <v>329</v>
      </c>
      <c r="L7218" s="17" t="s">
        <v>330</v>
      </c>
      <c r="M7218" s="17" t="s">
        <v>119</v>
      </c>
      <c r="N7218" s="22" t="str">
        <f t="shared" si="634"/>
        <v>TON</v>
      </c>
      <c r="O7218" s="19">
        <v>2.5024999999999999</v>
      </c>
    </row>
    <row r="7219" spans="2:15" x14ac:dyDescent="0.25">
      <c r="B7219" s="16" t="s">
        <v>1520</v>
      </c>
      <c r="C7219" s="17" t="s">
        <v>196</v>
      </c>
      <c r="D7219" s="17" t="s">
        <v>114</v>
      </c>
      <c r="E7219" s="17" t="s">
        <v>336</v>
      </c>
      <c r="F7219" s="18">
        <f t="shared" si="641"/>
        <v>45707</v>
      </c>
      <c r="G7219" s="22">
        <f t="shared" si="636"/>
        <v>2</v>
      </c>
      <c r="H7219" s="22">
        <f t="shared" si="637"/>
        <v>2025</v>
      </c>
      <c r="I7219" s="17" t="s">
        <v>4</v>
      </c>
      <c r="J7219" s="17" t="s">
        <v>7814</v>
      </c>
      <c r="K7219" s="17" t="s">
        <v>422</v>
      </c>
      <c r="L7219" s="17" t="s">
        <v>423</v>
      </c>
      <c r="M7219" s="17" t="s">
        <v>119</v>
      </c>
      <c r="N7219" s="22" t="str">
        <f t="shared" si="634"/>
        <v>TON</v>
      </c>
      <c r="O7219" s="19">
        <v>9.75</v>
      </c>
    </row>
    <row r="7220" spans="2:15" x14ac:dyDescent="0.25">
      <c r="B7220" s="16" t="s">
        <v>1520</v>
      </c>
      <c r="C7220" s="17" t="s">
        <v>196</v>
      </c>
      <c r="D7220" s="17" t="s">
        <v>4034</v>
      </c>
      <c r="E7220" s="17" t="s">
        <v>759</v>
      </c>
      <c r="F7220" s="18">
        <f t="shared" si="641"/>
        <v>45707</v>
      </c>
      <c r="G7220" s="22">
        <f t="shared" si="636"/>
        <v>2</v>
      </c>
      <c r="H7220" s="22">
        <f t="shared" si="637"/>
        <v>2025</v>
      </c>
      <c r="I7220" s="17" t="s">
        <v>4</v>
      </c>
      <c r="J7220" s="17" t="s">
        <v>7815</v>
      </c>
      <c r="K7220" s="17" t="s">
        <v>117</v>
      </c>
      <c r="L7220" s="17" t="s">
        <v>118</v>
      </c>
      <c r="M7220" s="17" t="s">
        <v>119</v>
      </c>
      <c r="N7220" s="22" t="str">
        <f t="shared" si="634"/>
        <v>TON</v>
      </c>
      <c r="O7220" s="19">
        <v>5.0049999999999999</v>
      </c>
    </row>
    <row r="7221" spans="2:15" x14ac:dyDescent="0.25">
      <c r="B7221" s="16" t="s">
        <v>1520</v>
      </c>
      <c r="C7221" s="17" t="s">
        <v>196</v>
      </c>
      <c r="D7221" s="17" t="s">
        <v>276</v>
      </c>
      <c r="E7221" s="17" t="s">
        <v>692</v>
      </c>
      <c r="F7221" s="18">
        <f t="shared" si="641"/>
        <v>45707</v>
      </c>
      <c r="G7221" s="22">
        <f t="shared" si="636"/>
        <v>2</v>
      </c>
      <c r="H7221" s="22">
        <f t="shared" si="637"/>
        <v>2025</v>
      </c>
      <c r="I7221" s="17" t="s">
        <v>4</v>
      </c>
      <c r="J7221" s="17" t="s">
        <v>7816</v>
      </c>
      <c r="K7221" s="17" t="s">
        <v>329</v>
      </c>
      <c r="L7221" s="17" t="s">
        <v>330</v>
      </c>
      <c r="M7221" s="17" t="s">
        <v>119</v>
      </c>
      <c r="N7221" s="22" t="str">
        <f t="shared" si="634"/>
        <v>TON</v>
      </c>
      <c r="O7221" s="19">
        <v>10.015000000000001</v>
      </c>
    </row>
    <row r="7222" spans="2:15" x14ac:dyDescent="0.25">
      <c r="B7222" s="16" t="s">
        <v>1520</v>
      </c>
      <c r="C7222" s="17" t="s">
        <v>196</v>
      </c>
      <c r="D7222" s="17" t="s">
        <v>227</v>
      </c>
      <c r="E7222" s="17" t="s">
        <v>228</v>
      </c>
      <c r="F7222" s="18">
        <f t="shared" si="641"/>
        <v>45707</v>
      </c>
      <c r="G7222" s="22">
        <f t="shared" si="636"/>
        <v>2</v>
      </c>
      <c r="H7222" s="22">
        <f t="shared" si="637"/>
        <v>2025</v>
      </c>
      <c r="I7222" s="17" t="s">
        <v>4</v>
      </c>
      <c r="J7222" s="17" t="s">
        <v>7817</v>
      </c>
      <c r="K7222" s="17" t="s">
        <v>205</v>
      </c>
      <c r="L7222" s="17" t="s">
        <v>206</v>
      </c>
      <c r="M7222" s="17" t="s">
        <v>119</v>
      </c>
      <c r="N7222" s="22" t="str">
        <f t="shared" si="634"/>
        <v>TON</v>
      </c>
      <c r="O7222" s="19">
        <v>10.02</v>
      </c>
    </row>
    <row r="7223" spans="2:15" x14ac:dyDescent="0.25">
      <c r="B7223" s="16" t="s">
        <v>1520</v>
      </c>
      <c r="C7223" s="17" t="s">
        <v>196</v>
      </c>
      <c r="D7223" s="17" t="s">
        <v>280</v>
      </c>
      <c r="E7223" s="17" t="s">
        <v>254</v>
      </c>
      <c r="F7223" s="18">
        <f t="shared" ref="F7223:F7229" si="642">DATE(2025,2,20)</f>
        <v>45708</v>
      </c>
      <c r="G7223" s="22">
        <f t="shared" si="636"/>
        <v>2</v>
      </c>
      <c r="H7223" s="22">
        <f t="shared" si="637"/>
        <v>2025</v>
      </c>
      <c r="I7223" s="17" t="s">
        <v>4</v>
      </c>
      <c r="J7223" s="17" t="s">
        <v>7818</v>
      </c>
      <c r="K7223" s="17" t="s">
        <v>422</v>
      </c>
      <c r="L7223" s="17" t="s">
        <v>423</v>
      </c>
      <c r="M7223" s="17" t="s">
        <v>119</v>
      </c>
      <c r="N7223" s="22" t="str">
        <f t="shared" si="634"/>
        <v>TON</v>
      </c>
      <c r="O7223" s="19">
        <v>15.035</v>
      </c>
    </row>
    <row r="7224" spans="2:15" x14ac:dyDescent="0.25">
      <c r="B7224" s="16" t="s">
        <v>1520</v>
      </c>
      <c r="C7224" s="17" t="s">
        <v>196</v>
      </c>
      <c r="D7224" s="17" t="s">
        <v>458</v>
      </c>
      <c r="E7224" s="17" t="s">
        <v>2868</v>
      </c>
      <c r="F7224" s="18">
        <f t="shared" si="642"/>
        <v>45708</v>
      </c>
      <c r="G7224" s="22">
        <f t="shared" si="636"/>
        <v>2</v>
      </c>
      <c r="H7224" s="22">
        <f t="shared" si="637"/>
        <v>2025</v>
      </c>
      <c r="I7224" s="17" t="s">
        <v>4</v>
      </c>
      <c r="J7224" s="17" t="s">
        <v>7819</v>
      </c>
      <c r="K7224" s="17" t="s">
        <v>251</v>
      </c>
      <c r="L7224" s="17" t="s">
        <v>252</v>
      </c>
      <c r="M7224" s="17" t="s">
        <v>119</v>
      </c>
      <c r="N7224" s="22" t="str">
        <f t="shared" si="634"/>
        <v>TON</v>
      </c>
      <c r="O7224" s="19">
        <v>10.0275</v>
      </c>
    </row>
    <row r="7225" spans="2:15" x14ac:dyDescent="0.25">
      <c r="B7225" s="16" t="s">
        <v>1520</v>
      </c>
      <c r="C7225" s="17" t="s">
        <v>196</v>
      </c>
      <c r="D7225" s="17" t="s">
        <v>440</v>
      </c>
      <c r="E7225" s="17" t="s">
        <v>441</v>
      </c>
      <c r="F7225" s="18">
        <f t="shared" si="642"/>
        <v>45708</v>
      </c>
      <c r="G7225" s="22">
        <f t="shared" si="636"/>
        <v>2</v>
      </c>
      <c r="H7225" s="22">
        <f t="shared" si="637"/>
        <v>2025</v>
      </c>
      <c r="I7225" s="17" t="s">
        <v>4</v>
      </c>
      <c r="J7225" s="17" t="s">
        <v>7820</v>
      </c>
      <c r="K7225" s="17" t="s">
        <v>251</v>
      </c>
      <c r="L7225" s="17" t="s">
        <v>252</v>
      </c>
      <c r="M7225" s="17" t="s">
        <v>119</v>
      </c>
      <c r="N7225" s="22" t="str">
        <f t="shared" si="634"/>
        <v>TON</v>
      </c>
      <c r="O7225" s="19">
        <v>5.01</v>
      </c>
    </row>
    <row r="7226" spans="2:15" x14ac:dyDescent="0.25">
      <c r="B7226" s="16" t="s">
        <v>1520</v>
      </c>
      <c r="C7226" s="17" t="s">
        <v>196</v>
      </c>
      <c r="D7226" s="17" t="s">
        <v>248</v>
      </c>
      <c r="E7226" s="17" t="s">
        <v>3610</v>
      </c>
      <c r="F7226" s="18">
        <f t="shared" si="642"/>
        <v>45708</v>
      </c>
      <c r="G7226" s="22">
        <f t="shared" si="636"/>
        <v>2</v>
      </c>
      <c r="H7226" s="22">
        <f t="shared" si="637"/>
        <v>2025</v>
      </c>
      <c r="I7226" s="17" t="s">
        <v>4</v>
      </c>
      <c r="J7226" s="17" t="s">
        <v>7821</v>
      </c>
      <c r="K7226" s="17" t="s">
        <v>7822</v>
      </c>
      <c r="L7226" s="17" t="s">
        <v>7823</v>
      </c>
      <c r="M7226" s="17" t="s">
        <v>119</v>
      </c>
      <c r="N7226" s="22" t="str">
        <f t="shared" si="634"/>
        <v>TON</v>
      </c>
      <c r="O7226" s="19">
        <v>2.4750000000000001</v>
      </c>
    </row>
    <row r="7227" spans="2:15" x14ac:dyDescent="0.25">
      <c r="B7227" s="16" t="s">
        <v>1520</v>
      </c>
      <c r="C7227" s="17" t="s">
        <v>196</v>
      </c>
      <c r="D7227" s="17" t="s">
        <v>679</v>
      </c>
      <c r="E7227" s="17" t="s">
        <v>680</v>
      </c>
      <c r="F7227" s="18">
        <f t="shared" si="642"/>
        <v>45708</v>
      </c>
      <c r="G7227" s="22">
        <f t="shared" si="636"/>
        <v>2</v>
      </c>
      <c r="H7227" s="22">
        <f t="shared" si="637"/>
        <v>2025</v>
      </c>
      <c r="I7227" s="17" t="s">
        <v>4</v>
      </c>
      <c r="J7227" s="17" t="s">
        <v>7824</v>
      </c>
      <c r="K7227" s="17" t="s">
        <v>329</v>
      </c>
      <c r="L7227" s="17" t="s">
        <v>330</v>
      </c>
      <c r="M7227" s="17" t="s">
        <v>119</v>
      </c>
      <c r="N7227" s="22" t="str">
        <f t="shared" si="634"/>
        <v>TON</v>
      </c>
      <c r="O7227" s="19">
        <v>2.0024999999999999</v>
      </c>
    </row>
    <row r="7228" spans="2:15" x14ac:dyDescent="0.25">
      <c r="B7228" s="16" t="s">
        <v>1520</v>
      </c>
      <c r="C7228" s="17" t="s">
        <v>196</v>
      </c>
      <c r="D7228" s="17" t="s">
        <v>303</v>
      </c>
      <c r="E7228" s="17" t="s">
        <v>501</v>
      </c>
      <c r="F7228" s="18">
        <f t="shared" si="642"/>
        <v>45708</v>
      </c>
      <c r="G7228" s="22">
        <f t="shared" si="636"/>
        <v>2</v>
      </c>
      <c r="H7228" s="22">
        <f t="shared" si="637"/>
        <v>2025</v>
      </c>
      <c r="I7228" s="17" t="s">
        <v>4</v>
      </c>
      <c r="J7228" s="17" t="s">
        <v>7825</v>
      </c>
      <c r="K7228" s="17" t="s">
        <v>3726</v>
      </c>
      <c r="L7228" s="17" t="s">
        <v>3727</v>
      </c>
      <c r="M7228" s="17" t="s">
        <v>145</v>
      </c>
      <c r="N7228" s="22" t="str">
        <f t="shared" si="634"/>
        <v>GAL</v>
      </c>
      <c r="O7228" s="19">
        <v>1.875</v>
      </c>
    </row>
    <row r="7229" spans="2:15" x14ac:dyDescent="0.25">
      <c r="B7229" s="16" t="s">
        <v>1520</v>
      </c>
      <c r="C7229" s="17" t="s">
        <v>196</v>
      </c>
      <c r="D7229" s="17" t="s">
        <v>303</v>
      </c>
      <c r="E7229" s="17" t="s">
        <v>501</v>
      </c>
      <c r="F7229" s="18">
        <f t="shared" si="642"/>
        <v>45708</v>
      </c>
      <c r="G7229" s="22">
        <f t="shared" si="636"/>
        <v>2</v>
      </c>
      <c r="H7229" s="22">
        <f t="shared" si="637"/>
        <v>2025</v>
      </c>
      <c r="I7229" s="17" t="s">
        <v>4</v>
      </c>
      <c r="J7229" s="17" t="s">
        <v>7825</v>
      </c>
      <c r="K7229" s="17" t="s">
        <v>7549</v>
      </c>
      <c r="L7229" s="17" t="s">
        <v>7550</v>
      </c>
      <c r="M7229" s="17" t="s">
        <v>119</v>
      </c>
      <c r="N7229" s="22" t="str">
        <f t="shared" si="634"/>
        <v>TON</v>
      </c>
      <c r="O7229" s="19">
        <v>5.0149999999999997</v>
      </c>
    </row>
    <row r="7230" spans="2:15" x14ac:dyDescent="0.25">
      <c r="B7230" s="16" t="s">
        <v>1520</v>
      </c>
      <c r="C7230" s="17" t="s">
        <v>196</v>
      </c>
      <c r="D7230" s="17" t="s">
        <v>1276</v>
      </c>
      <c r="E7230" s="17" t="s">
        <v>791</v>
      </c>
      <c r="F7230" s="18">
        <f>DATE(2025,2,21)</f>
        <v>45709</v>
      </c>
      <c r="G7230" s="22">
        <f t="shared" si="636"/>
        <v>2</v>
      </c>
      <c r="H7230" s="22">
        <f t="shared" si="637"/>
        <v>2025</v>
      </c>
      <c r="I7230" s="17" t="s">
        <v>4</v>
      </c>
      <c r="J7230" s="17" t="s">
        <v>7826</v>
      </c>
      <c r="K7230" s="17" t="s">
        <v>117</v>
      </c>
      <c r="L7230" s="17" t="s">
        <v>118</v>
      </c>
      <c r="M7230" s="17" t="s">
        <v>119</v>
      </c>
      <c r="N7230" s="22" t="str">
        <f t="shared" ref="N7230:N7293" si="643">+LEFT(M7230,3)</f>
        <v>TON</v>
      </c>
      <c r="O7230" s="19">
        <v>5.0225</v>
      </c>
    </row>
    <row r="7231" spans="2:15" x14ac:dyDescent="0.25">
      <c r="B7231" s="16" t="s">
        <v>1520</v>
      </c>
      <c r="C7231" s="17" t="s">
        <v>196</v>
      </c>
      <c r="D7231" s="17" t="s">
        <v>4098</v>
      </c>
      <c r="E7231" s="17" t="s">
        <v>695</v>
      </c>
      <c r="F7231" s="18">
        <f>DATE(2025,2,20)</f>
        <v>45708</v>
      </c>
      <c r="G7231" s="22">
        <f t="shared" si="636"/>
        <v>2</v>
      </c>
      <c r="H7231" s="22">
        <f t="shared" si="637"/>
        <v>2025</v>
      </c>
      <c r="I7231" s="17" t="s">
        <v>4</v>
      </c>
      <c r="J7231" s="17" t="s">
        <v>7827</v>
      </c>
      <c r="K7231" s="17" t="s">
        <v>329</v>
      </c>
      <c r="L7231" s="17" t="s">
        <v>330</v>
      </c>
      <c r="M7231" s="17" t="s">
        <v>119</v>
      </c>
      <c r="N7231" s="22" t="str">
        <f t="shared" si="643"/>
        <v>TON</v>
      </c>
      <c r="O7231" s="19">
        <v>3.0125000000000002</v>
      </c>
    </row>
    <row r="7232" spans="2:15" x14ac:dyDescent="0.25">
      <c r="B7232" s="16" t="s">
        <v>1520</v>
      </c>
      <c r="C7232" s="17" t="s">
        <v>196</v>
      </c>
      <c r="D7232" s="17" t="s">
        <v>387</v>
      </c>
      <c r="E7232" s="17" t="s">
        <v>797</v>
      </c>
      <c r="F7232" s="18">
        <f t="shared" ref="F7232:F7241" si="644">DATE(2025,2,21)</f>
        <v>45709</v>
      </c>
      <c r="G7232" s="22">
        <f t="shared" si="636"/>
        <v>2</v>
      </c>
      <c r="H7232" s="22">
        <f t="shared" si="637"/>
        <v>2025</v>
      </c>
      <c r="I7232" s="17" t="s">
        <v>4</v>
      </c>
      <c r="J7232" s="17" t="s">
        <v>7828</v>
      </c>
      <c r="K7232" s="17" t="s">
        <v>251</v>
      </c>
      <c r="L7232" s="17" t="s">
        <v>252</v>
      </c>
      <c r="M7232" s="17" t="s">
        <v>119</v>
      </c>
      <c r="N7232" s="22" t="str">
        <f t="shared" si="643"/>
        <v>TON</v>
      </c>
      <c r="O7232" s="19">
        <v>12.022500000000001</v>
      </c>
    </row>
    <row r="7233" spans="2:15" x14ac:dyDescent="0.25">
      <c r="B7233" s="16" t="s">
        <v>1520</v>
      </c>
      <c r="C7233" s="17" t="s">
        <v>196</v>
      </c>
      <c r="D7233" s="17" t="s">
        <v>660</v>
      </c>
      <c r="E7233" s="17" t="s">
        <v>699</v>
      </c>
      <c r="F7233" s="18">
        <f t="shared" si="644"/>
        <v>45709</v>
      </c>
      <c r="G7233" s="22">
        <f t="shared" si="636"/>
        <v>2</v>
      </c>
      <c r="H7233" s="22">
        <f t="shared" si="637"/>
        <v>2025</v>
      </c>
      <c r="I7233" s="17" t="s">
        <v>4</v>
      </c>
      <c r="J7233" s="17" t="s">
        <v>7829</v>
      </c>
      <c r="K7233" s="17" t="s">
        <v>447</v>
      </c>
      <c r="L7233" s="17" t="s">
        <v>448</v>
      </c>
      <c r="M7233" s="17" t="s">
        <v>119</v>
      </c>
      <c r="N7233" s="22" t="str">
        <f t="shared" si="643"/>
        <v>TON</v>
      </c>
      <c r="O7233" s="19">
        <v>2.5350000000000001</v>
      </c>
    </row>
    <row r="7234" spans="2:15" x14ac:dyDescent="0.25">
      <c r="B7234" s="16" t="s">
        <v>1520</v>
      </c>
      <c r="C7234" s="17" t="s">
        <v>196</v>
      </c>
      <c r="D7234" s="17" t="s">
        <v>289</v>
      </c>
      <c r="E7234" s="17" t="s">
        <v>290</v>
      </c>
      <c r="F7234" s="18">
        <f t="shared" si="644"/>
        <v>45709</v>
      </c>
      <c r="G7234" s="22">
        <f t="shared" si="636"/>
        <v>2</v>
      </c>
      <c r="H7234" s="22">
        <f t="shared" si="637"/>
        <v>2025</v>
      </c>
      <c r="I7234" s="17" t="s">
        <v>4</v>
      </c>
      <c r="J7234" s="17" t="s">
        <v>7830</v>
      </c>
      <c r="K7234" s="17" t="s">
        <v>865</v>
      </c>
      <c r="L7234" s="17" t="s">
        <v>866</v>
      </c>
      <c r="M7234" s="17" t="s">
        <v>119</v>
      </c>
      <c r="N7234" s="22" t="str">
        <f t="shared" si="643"/>
        <v>TON</v>
      </c>
      <c r="O7234" s="19">
        <v>1</v>
      </c>
    </row>
    <row r="7235" spans="2:15" x14ac:dyDescent="0.25">
      <c r="B7235" s="16" t="s">
        <v>1520</v>
      </c>
      <c r="C7235" s="17" t="s">
        <v>196</v>
      </c>
      <c r="D7235" s="17" t="s">
        <v>374</v>
      </c>
      <c r="E7235" s="17" t="s">
        <v>4935</v>
      </c>
      <c r="F7235" s="18">
        <f t="shared" si="644"/>
        <v>45709</v>
      </c>
      <c r="G7235" s="22">
        <f t="shared" si="636"/>
        <v>2</v>
      </c>
      <c r="H7235" s="22">
        <f t="shared" si="637"/>
        <v>2025</v>
      </c>
      <c r="I7235" s="17" t="s">
        <v>4</v>
      </c>
      <c r="J7235" s="17" t="s">
        <v>7831</v>
      </c>
      <c r="K7235" s="17" t="s">
        <v>329</v>
      </c>
      <c r="L7235" s="17" t="s">
        <v>330</v>
      </c>
      <c r="M7235" s="17" t="s">
        <v>119</v>
      </c>
      <c r="N7235" s="22" t="str">
        <f t="shared" si="643"/>
        <v>TON</v>
      </c>
      <c r="O7235" s="19">
        <v>15.047499999999999</v>
      </c>
    </row>
    <row r="7236" spans="2:15" x14ac:dyDescent="0.25">
      <c r="B7236" s="16" t="s">
        <v>1520</v>
      </c>
      <c r="C7236" s="17" t="s">
        <v>196</v>
      </c>
      <c r="D7236" s="17" t="s">
        <v>672</v>
      </c>
      <c r="E7236" s="17" t="s">
        <v>1193</v>
      </c>
      <c r="F7236" s="18">
        <f t="shared" si="644"/>
        <v>45709</v>
      </c>
      <c r="G7236" s="22">
        <f t="shared" si="636"/>
        <v>2</v>
      </c>
      <c r="H7236" s="22">
        <f t="shared" si="637"/>
        <v>2025</v>
      </c>
      <c r="I7236" s="17" t="s">
        <v>4</v>
      </c>
      <c r="J7236" s="17" t="s">
        <v>7832</v>
      </c>
      <c r="K7236" s="17" t="s">
        <v>251</v>
      </c>
      <c r="L7236" s="17" t="s">
        <v>252</v>
      </c>
      <c r="M7236" s="17" t="s">
        <v>119</v>
      </c>
      <c r="N7236" s="22" t="str">
        <f t="shared" si="643"/>
        <v>TON</v>
      </c>
      <c r="O7236" s="19">
        <v>4.51</v>
      </c>
    </row>
    <row r="7237" spans="2:15" x14ac:dyDescent="0.25">
      <c r="B7237" s="16" t="s">
        <v>1520</v>
      </c>
      <c r="C7237" s="17" t="s">
        <v>196</v>
      </c>
      <c r="D7237" s="17" t="s">
        <v>317</v>
      </c>
      <c r="E7237" s="17" t="s">
        <v>829</v>
      </c>
      <c r="F7237" s="18">
        <f t="shared" si="644"/>
        <v>45709</v>
      </c>
      <c r="G7237" s="22">
        <f t="shared" si="636"/>
        <v>2</v>
      </c>
      <c r="H7237" s="22">
        <f t="shared" si="637"/>
        <v>2025</v>
      </c>
      <c r="I7237" s="17" t="s">
        <v>4</v>
      </c>
      <c r="J7237" s="17" t="s">
        <v>7833</v>
      </c>
      <c r="K7237" s="17" t="s">
        <v>422</v>
      </c>
      <c r="L7237" s="17" t="s">
        <v>423</v>
      </c>
      <c r="M7237" s="17" t="s">
        <v>119</v>
      </c>
      <c r="N7237" s="22" t="str">
        <f t="shared" si="643"/>
        <v>TON</v>
      </c>
      <c r="O7237" s="19">
        <v>10.012499999999999</v>
      </c>
    </row>
    <row r="7238" spans="2:15" x14ac:dyDescent="0.25">
      <c r="B7238" s="16" t="s">
        <v>1520</v>
      </c>
      <c r="C7238" s="17" t="s">
        <v>196</v>
      </c>
      <c r="D7238" s="17" t="s">
        <v>4930</v>
      </c>
      <c r="E7238" s="17" t="s">
        <v>102</v>
      </c>
      <c r="F7238" s="18">
        <f t="shared" si="644"/>
        <v>45709</v>
      </c>
      <c r="G7238" s="22">
        <f t="shared" si="636"/>
        <v>2</v>
      </c>
      <c r="H7238" s="22">
        <f t="shared" si="637"/>
        <v>2025</v>
      </c>
      <c r="I7238" s="17" t="s">
        <v>4</v>
      </c>
      <c r="J7238" s="17" t="s">
        <v>7834</v>
      </c>
      <c r="K7238" s="17" t="s">
        <v>251</v>
      </c>
      <c r="L7238" s="17" t="s">
        <v>252</v>
      </c>
      <c r="M7238" s="17" t="s">
        <v>119</v>
      </c>
      <c r="N7238" s="22" t="str">
        <f t="shared" si="643"/>
        <v>TON</v>
      </c>
      <c r="O7238" s="19">
        <v>2.0225</v>
      </c>
    </row>
    <row r="7239" spans="2:15" x14ac:dyDescent="0.25">
      <c r="B7239" s="16" t="s">
        <v>1520</v>
      </c>
      <c r="C7239" s="17" t="s">
        <v>196</v>
      </c>
      <c r="D7239" s="17" t="s">
        <v>303</v>
      </c>
      <c r="E7239" s="17" t="s">
        <v>942</v>
      </c>
      <c r="F7239" s="18">
        <f t="shared" si="644"/>
        <v>45709</v>
      </c>
      <c r="G7239" s="22">
        <f t="shared" si="636"/>
        <v>2</v>
      </c>
      <c r="H7239" s="22">
        <f t="shared" si="637"/>
        <v>2025</v>
      </c>
      <c r="I7239" s="17" t="s">
        <v>4</v>
      </c>
      <c r="J7239" s="17" t="s">
        <v>7835</v>
      </c>
      <c r="K7239" s="17" t="s">
        <v>3726</v>
      </c>
      <c r="L7239" s="17" t="s">
        <v>3727</v>
      </c>
      <c r="M7239" s="17" t="s">
        <v>145</v>
      </c>
      <c r="N7239" s="22" t="str">
        <f t="shared" si="643"/>
        <v>GAL</v>
      </c>
      <c r="O7239" s="19">
        <v>1.875</v>
      </c>
    </row>
    <row r="7240" spans="2:15" x14ac:dyDescent="0.25">
      <c r="B7240" s="16" t="s">
        <v>1520</v>
      </c>
      <c r="C7240" s="17" t="s">
        <v>196</v>
      </c>
      <c r="D7240" s="17" t="s">
        <v>303</v>
      </c>
      <c r="E7240" s="17" t="s">
        <v>942</v>
      </c>
      <c r="F7240" s="18">
        <f t="shared" si="644"/>
        <v>45709</v>
      </c>
      <c r="G7240" s="22">
        <f t="shared" si="636"/>
        <v>2</v>
      </c>
      <c r="H7240" s="22">
        <f t="shared" si="637"/>
        <v>2025</v>
      </c>
      <c r="I7240" s="17" t="s">
        <v>4</v>
      </c>
      <c r="J7240" s="17" t="s">
        <v>7835</v>
      </c>
      <c r="K7240" s="17" t="s">
        <v>7549</v>
      </c>
      <c r="L7240" s="17" t="s">
        <v>7550</v>
      </c>
      <c r="M7240" s="17" t="s">
        <v>119</v>
      </c>
      <c r="N7240" s="22" t="str">
        <f t="shared" si="643"/>
        <v>TON</v>
      </c>
      <c r="O7240" s="19">
        <v>5.0199999999999996</v>
      </c>
    </row>
    <row r="7241" spans="2:15" x14ac:dyDescent="0.25">
      <c r="B7241" s="16" t="s">
        <v>1520</v>
      </c>
      <c r="C7241" s="17" t="s">
        <v>196</v>
      </c>
      <c r="D7241" s="17" t="s">
        <v>114</v>
      </c>
      <c r="E7241" s="17" t="s">
        <v>3751</v>
      </c>
      <c r="F7241" s="18">
        <f t="shared" si="644"/>
        <v>45709</v>
      </c>
      <c r="G7241" s="22">
        <f t="shared" si="636"/>
        <v>2</v>
      </c>
      <c r="H7241" s="22">
        <f t="shared" si="637"/>
        <v>2025</v>
      </c>
      <c r="I7241" s="17" t="s">
        <v>4</v>
      </c>
      <c r="J7241" s="17" t="s">
        <v>7836</v>
      </c>
      <c r="K7241" s="17" t="s">
        <v>422</v>
      </c>
      <c r="L7241" s="17" t="s">
        <v>423</v>
      </c>
      <c r="M7241" s="17" t="s">
        <v>119</v>
      </c>
      <c r="N7241" s="22" t="str">
        <f t="shared" si="643"/>
        <v>TON</v>
      </c>
      <c r="O7241" s="19">
        <v>7.0250000000000004</v>
      </c>
    </row>
    <row r="7242" spans="2:15" x14ac:dyDescent="0.25">
      <c r="B7242" s="16" t="s">
        <v>1520</v>
      </c>
      <c r="C7242" s="17" t="s">
        <v>196</v>
      </c>
      <c r="D7242" s="17" t="s">
        <v>114</v>
      </c>
      <c r="E7242" s="17" t="s">
        <v>369</v>
      </c>
      <c r="F7242" s="18">
        <f>DATE(2025,2,24)</f>
        <v>45712</v>
      </c>
      <c r="G7242" s="22">
        <f t="shared" si="636"/>
        <v>2</v>
      </c>
      <c r="H7242" s="22">
        <f t="shared" si="637"/>
        <v>2025</v>
      </c>
      <c r="I7242" s="17" t="s">
        <v>4</v>
      </c>
      <c r="J7242" s="17" t="s">
        <v>7837</v>
      </c>
      <c r="K7242" s="17" t="s">
        <v>422</v>
      </c>
      <c r="L7242" s="17" t="s">
        <v>423</v>
      </c>
      <c r="M7242" s="17" t="s">
        <v>119</v>
      </c>
      <c r="N7242" s="22" t="str">
        <f t="shared" si="643"/>
        <v>TON</v>
      </c>
      <c r="O7242" s="19">
        <v>2.5024999999999999</v>
      </c>
    </row>
    <row r="7243" spans="2:15" x14ac:dyDescent="0.25">
      <c r="B7243" s="16" t="s">
        <v>1520</v>
      </c>
      <c r="C7243" s="17" t="s">
        <v>196</v>
      </c>
      <c r="D7243" s="17" t="s">
        <v>114</v>
      </c>
      <c r="E7243" s="17" t="s">
        <v>5054</v>
      </c>
      <c r="F7243" s="18">
        <f>DATE(2025,2,24)</f>
        <v>45712</v>
      </c>
      <c r="G7243" s="22">
        <f t="shared" si="636"/>
        <v>2</v>
      </c>
      <c r="H7243" s="22">
        <f t="shared" si="637"/>
        <v>2025</v>
      </c>
      <c r="I7243" s="17" t="s">
        <v>4</v>
      </c>
      <c r="J7243" s="17" t="s">
        <v>7838</v>
      </c>
      <c r="K7243" s="17" t="s">
        <v>422</v>
      </c>
      <c r="L7243" s="17" t="s">
        <v>423</v>
      </c>
      <c r="M7243" s="17" t="s">
        <v>119</v>
      </c>
      <c r="N7243" s="22" t="str">
        <f t="shared" si="643"/>
        <v>TON</v>
      </c>
      <c r="O7243" s="19">
        <v>10.0025</v>
      </c>
    </row>
    <row r="7244" spans="2:15" x14ac:dyDescent="0.25">
      <c r="B7244" s="16" t="s">
        <v>1520</v>
      </c>
      <c r="C7244" s="17" t="s">
        <v>196</v>
      </c>
      <c r="D7244" s="17" t="s">
        <v>440</v>
      </c>
      <c r="E7244" s="17" t="s">
        <v>1274</v>
      </c>
      <c r="F7244" s="18">
        <f>DATE(2025,2,24)</f>
        <v>45712</v>
      </c>
      <c r="G7244" s="22">
        <f t="shared" si="636"/>
        <v>2</v>
      </c>
      <c r="H7244" s="22">
        <f t="shared" si="637"/>
        <v>2025</v>
      </c>
      <c r="I7244" s="17" t="s">
        <v>4</v>
      </c>
      <c r="J7244" s="17" t="s">
        <v>7839</v>
      </c>
      <c r="K7244" s="17" t="s">
        <v>251</v>
      </c>
      <c r="L7244" s="17" t="s">
        <v>252</v>
      </c>
      <c r="M7244" s="17" t="s">
        <v>119</v>
      </c>
      <c r="N7244" s="22" t="str">
        <f t="shared" si="643"/>
        <v>TON</v>
      </c>
      <c r="O7244" s="19">
        <v>5.01</v>
      </c>
    </row>
    <row r="7245" spans="2:15" x14ac:dyDescent="0.25">
      <c r="B7245" s="16" t="s">
        <v>1520</v>
      </c>
      <c r="C7245" s="17" t="s">
        <v>196</v>
      </c>
      <c r="D7245" s="17" t="s">
        <v>440</v>
      </c>
      <c r="E7245" s="17" t="s">
        <v>1369</v>
      </c>
      <c r="F7245" s="18">
        <f>DATE(2025,2,24)</f>
        <v>45712</v>
      </c>
      <c r="G7245" s="22">
        <f t="shared" si="636"/>
        <v>2</v>
      </c>
      <c r="H7245" s="22">
        <f t="shared" si="637"/>
        <v>2025</v>
      </c>
      <c r="I7245" s="17" t="s">
        <v>4</v>
      </c>
      <c r="J7245" s="17" t="s">
        <v>7840</v>
      </c>
      <c r="K7245" s="17" t="s">
        <v>251</v>
      </c>
      <c r="L7245" s="17" t="s">
        <v>252</v>
      </c>
      <c r="M7245" s="17" t="s">
        <v>119</v>
      </c>
      <c r="N7245" s="22" t="str">
        <f t="shared" si="643"/>
        <v>TON</v>
      </c>
      <c r="O7245" s="19">
        <v>5.0049999999999999</v>
      </c>
    </row>
    <row r="7246" spans="2:15" x14ac:dyDescent="0.25">
      <c r="B7246" s="16" t="s">
        <v>1520</v>
      </c>
      <c r="C7246" s="17" t="s">
        <v>196</v>
      </c>
      <c r="D7246" s="17" t="s">
        <v>418</v>
      </c>
      <c r="E7246" s="17" t="s">
        <v>2027</v>
      </c>
      <c r="F7246" s="18">
        <f>DATE(2025,2,24)</f>
        <v>45712</v>
      </c>
      <c r="G7246" s="22">
        <f t="shared" si="636"/>
        <v>2</v>
      </c>
      <c r="H7246" s="22">
        <f t="shared" si="637"/>
        <v>2025</v>
      </c>
      <c r="I7246" s="17" t="s">
        <v>4</v>
      </c>
      <c r="J7246" s="17" t="s">
        <v>7841</v>
      </c>
      <c r="K7246" s="17" t="s">
        <v>422</v>
      </c>
      <c r="L7246" s="17" t="s">
        <v>423</v>
      </c>
      <c r="M7246" s="17" t="s">
        <v>119</v>
      </c>
      <c r="N7246" s="22" t="str">
        <f t="shared" si="643"/>
        <v>TON</v>
      </c>
      <c r="O7246" s="19">
        <v>10.52</v>
      </c>
    </row>
    <row r="7247" spans="2:15" x14ac:dyDescent="0.25">
      <c r="B7247" s="16" t="s">
        <v>1520</v>
      </c>
      <c r="C7247" s="17" t="s">
        <v>196</v>
      </c>
      <c r="D7247" s="17" t="s">
        <v>440</v>
      </c>
      <c r="E7247" s="17" t="s">
        <v>1274</v>
      </c>
      <c r="F7247" s="18">
        <f>DATE(2025,2,18)</f>
        <v>45706</v>
      </c>
      <c r="G7247" s="22">
        <f t="shared" si="636"/>
        <v>2</v>
      </c>
      <c r="H7247" s="22">
        <f t="shared" si="637"/>
        <v>2025</v>
      </c>
      <c r="I7247" s="17" t="s">
        <v>4</v>
      </c>
      <c r="J7247" s="17" t="s">
        <v>7842</v>
      </c>
      <c r="K7247" s="17" t="s">
        <v>329</v>
      </c>
      <c r="L7247" s="17" t="s">
        <v>330</v>
      </c>
      <c r="M7247" s="17" t="s">
        <v>119</v>
      </c>
      <c r="N7247" s="22" t="str">
        <f t="shared" si="643"/>
        <v>TON</v>
      </c>
      <c r="O7247" s="19">
        <v>2.5</v>
      </c>
    </row>
    <row r="7248" spans="2:15" x14ac:dyDescent="0.25">
      <c r="B7248" s="16" t="s">
        <v>1520</v>
      </c>
      <c r="C7248" s="17" t="s">
        <v>196</v>
      </c>
      <c r="D7248" s="17" t="s">
        <v>317</v>
      </c>
      <c r="E7248" s="17" t="s">
        <v>677</v>
      </c>
      <c r="F7248" s="18">
        <f t="shared" ref="F7248:F7257" si="645">DATE(2025,2,25)</f>
        <v>45713</v>
      </c>
      <c r="G7248" s="22">
        <f t="shared" si="636"/>
        <v>2</v>
      </c>
      <c r="H7248" s="22">
        <f t="shared" si="637"/>
        <v>2025</v>
      </c>
      <c r="I7248" s="17" t="s">
        <v>4</v>
      </c>
      <c r="J7248" s="17" t="s">
        <v>7843</v>
      </c>
      <c r="K7248" s="17" t="s">
        <v>422</v>
      </c>
      <c r="L7248" s="17" t="s">
        <v>423</v>
      </c>
      <c r="M7248" s="17" t="s">
        <v>119</v>
      </c>
      <c r="N7248" s="22" t="str">
        <f t="shared" si="643"/>
        <v>TON</v>
      </c>
      <c r="O7248" s="19">
        <v>7.49</v>
      </c>
    </row>
    <row r="7249" spans="2:15" x14ac:dyDescent="0.25">
      <c r="B7249" s="16" t="s">
        <v>1520</v>
      </c>
      <c r="C7249" s="17" t="s">
        <v>196</v>
      </c>
      <c r="D7249" s="17" t="s">
        <v>800</v>
      </c>
      <c r="E7249" s="17" t="s">
        <v>907</v>
      </c>
      <c r="F7249" s="18">
        <f t="shared" si="645"/>
        <v>45713</v>
      </c>
      <c r="G7249" s="22">
        <f t="shared" si="636"/>
        <v>2</v>
      </c>
      <c r="H7249" s="22">
        <f t="shared" si="637"/>
        <v>2025</v>
      </c>
      <c r="I7249" s="17" t="s">
        <v>4</v>
      </c>
      <c r="J7249" s="17" t="s">
        <v>7844</v>
      </c>
      <c r="K7249" s="17" t="s">
        <v>122</v>
      </c>
      <c r="L7249" s="17" t="s">
        <v>123</v>
      </c>
      <c r="M7249" s="17" t="s">
        <v>119</v>
      </c>
      <c r="N7249" s="22" t="str">
        <f t="shared" si="643"/>
        <v>TON</v>
      </c>
      <c r="O7249" s="19">
        <v>2.5225</v>
      </c>
    </row>
    <row r="7250" spans="2:15" x14ac:dyDescent="0.25">
      <c r="B7250" s="16" t="s">
        <v>1520</v>
      </c>
      <c r="C7250" s="17" t="s">
        <v>196</v>
      </c>
      <c r="D7250" s="17" t="s">
        <v>227</v>
      </c>
      <c r="E7250" s="17" t="s">
        <v>757</v>
      </c>
      <c r="F7250" s="18">
        <f t="shared" si="645"/>
        <v>45713</v>
      </c>
      <c r="G7250" s="22">
        <f t="shared" ref="G7250:G7313" si="646">+MONTH(F7250)</f>
        <v>2</v>
      </c>
      <c r="H7250" s="22">
        <f t="shared" ref="H7250:H7313" si="647">+YEAR(F7250)</f>
        <v>2025</v>
      </c>
      <c r="I7250" s="17" t="s">
        <v>4</v>
      </c>
      <c r="J7250" s="17" t="s">
        <v>7845</v>
      </c>
      <c r="K7250" s="17" t="s">
        <v>122</v>
      </c>
      <c r="L7250" s="17" t="s">
        <v>123</v>
      </c>
      <c r="M7250" s="17" t="s">
        <v>119</v>
      </c>
      <c r="N7250" s="22" t="str">
        <f t="shared" si="643"/>
        <v>TON</v>
      </c>
      <c r="O7250" s="19">
        <v>9</v>
      </c>
    </row>
    <row r="7251" spans="2:15" x14ac:dyDescent="0.25">
      <c r="B7251" s="16" t="s">
        <v>1520</v>
      </c>
      <c r="C7251" s="17" t="s">
        <v>196</v>
      </c>
      <c r="D7251" s="17" t="s">
        <v>452</v>
      </c>
      <c r="E7251" s="17" t="s">
        <v>222</v>
      </c>
      <c r="F7251" s="18">
        <f t="shared" si="645"/>
        <v>45713</v>
      </c>
      <c r="G7251" s="22">
        <f t="shared" si="646"/>
        <v>2</v>
      </c>
      <c r="H7251" s="22">
        <f t="shared" si="647"/>
        <v>2025</v>
      </c>
      <c r="I7251" s="17" t="s">
        <v>4</v>
      </c>
      <c r="J7251" s="17" t="s">
        <v>7846</v>
      </c>
      <c r="K7251" s="17" t="s">
        <v>447</v>
      </c>
      <c r="L7251" s="17" t="s">
        <v>448</v>
      </c>
      <c r="M7251" s="17" t="s">
        <v>119</v>
      </c>
      <c r="N7251" s="22" t="str">
        <f t="shared" si="643"/>
        <v>TON</v>
      </c>
      <c r="O7251" s="19">
        <v>7</v>
      </c>
    </row>
    <row r="7252" spans="2:15" x14ac:dyDescent="0.25">
      <c r="B7252" s="16" t="s">
        <v>1520</v>
      </c>
      <c r="C7252" s="17" t="s">
        <v>196</v>
      </c>
      <c r="D7252" s="17" t="s">
        <v>262</v>
      </c>
      <c r="E7252" s="17" t="s">
        <v>2702</v>
      </c>
      <c r="F7252" s="18">
        <f t="shared" si="645"/>
        <v>45713</v>
      </c>
      <c r="G7252" s="22">
        <f t="shared" si="646"/>
        <v>2</v>
      </c>
      <c r="H7252" s="22">
        <f t="shared" si="647"/>
        <v>2025</v>
      </c>
      <c r="I7252" s="17" t="s">
        <v>4</v>
      </c>
      <c r="J7252" s="17" t="s">
        <v>7847</v>
      </c>
      <c r="K7252" s="17" t="s">
        <v>329</v>
      </c>
      <c r="L7252" s="17" t="s">
        <v>330</v>
      </c>
      <c r="M7252" s="17" t="s">
        <v>119</v>
      </c>
      <c r="N7252" s="22" t="str">
        <f t="shared" si="643"/>
        <v>TON</v>
      </c>
      <c r="O7252" s="19">
        <v>2.4874999999999998</v>
      </c>
    </row>
    <row r="7253" spans="2:15" x14ac:dyDescent="0.25">
      <c r="B7253" s="16" t="s">
        <v>645</v>
      </c>
      <c r="C7253" s="17" t="s">
        <v>196</v>
      </c>
      <c r="D7253" s="17" t="s">
        <v>7848</v>
      </c>
      <c r="E7253" s="17" t="s">
        <v>102</v>
      </c>
      <c r="F7253" s="18">
        <f t="shared" si="645"/>
        <v>45713</v>
      </c>
      <c r="G7253" s="22">
        <f t="shared" si="646"/>
        <v>2</v>
      </c>
      <c r="H7253" s="22">
        <f t="shared" si="647"/>
        <v>2025</v>
      </c>
      <c r="I7253" s="17" t="s">
        <v>4</v>
      </c>
      <c r="J7253" s="17" t="s">
        <v>7849</v>
      </c>
      <c r="K7253" s="17" t="s">
        <v>3321</v>
      </c>
      <c r="L7253" s="17" t="s">
        <v>3322</v>
      </c>
      <c r="M7253" s="17" t="s">
        <v>106</v>
      </c>
      <c r="N7253" s="22" t="str">
        <f t="shared" si="643"/>
        <v>LBS</v>
      </c>
      <c r="O7253" s="19">
        <v>1250</v>
      </c>
    </row>
    <row r="7254" spans="2:15" x14ac:dyDescent="0.25">
      <c r="B7254" s="16" t="s">
        <v>1520</v>
      </c>
      <c r="C7254" s="17" t="s">
        <v>196</v>
      </c>
      <c r="D7254" s="17" t="s">
        <v>114</v>
      </c>
      <c r="E7254" s="17" t="s">
        <v>369</v>
      </c>
      <c r="F7254" s="18">
        <f t="shared" si="645"/>
        <v>45713</v>
      </c>
      <c r="G7254" s="22">
        <f t="shared" si="646"/>
        <v>2</v>
      </c>
      <c r="H7254" s="22">
        <f t="shared" si="647"/>
        <v>2025</v>
      </c>
      <c r="I7254" s="17" t="s">
        <v>4</v>
      </c>
      <c r="J7254" s="17" t="s">
        <v>7850</v>
      </c>
      <c r="K7254" s="17" t="s">
        <v>422</v>
      </c>
      <c r="L7254" s="17" t="s">
        <v>423</v>
      </c>
      <c r="M7254" s="17" t="s">
        <v>119</v>
      </c>
      <c r="N7254" s="22" t="str">
        <f t="shared" si="643"/>
        <v>TON</v>
      </c>
      <c r="O7254" s="19">
        <v>0.99250000000000005</v>
      </c>
    </row>
    <row r="7255" spans="2:15" x14ac:dyDescent="0.25">
      <c r="B7255" s="16" t="s">
        <v>1520</v>
      </c>
      <c r="C7255" s="17" t="s">
        <v>196</v>
      </c>
      <c r="D7255" s="17" t="s">
        <v>265</v>
      </c>
      <c r="E7255" s="17" t="s">
        <v>266</v>
      </c>
      <c r="F7255" s="18">
        <f t="shared" si="645"/>
        <v>45713</v>
      </c>
      <c r="G7255" s="22">
        <f t="shared" si="646"/>
        <v>2</v>
      </c>
      <c r="H7255" s="22">
        <f t="shared" si="647"/>
        <v>2025</v>
      </c>
      <c r="I7255" s="17" t="s">
        <v>4</v>
      </c>
      <c r="J7255" s="17" t="s">
        <v>7851</v>
      </c>
      <c r="K7255" s="17" t="s">
        <v>268</v>
      </c>
      <c r="L7255" s="17" t="s">
        <v>269</v>
      </c>
      <c r="M7255" s="17" t="s">
        <v>119</v>
      </c>
      <c r="N7255" s="22" t="str">
        <f t="shared" si="643"/>
        <v>TON</v>
      </c>
      <c r="O7255" s="19">
        <v>0.15</v>
      </c>
    </row>
    <row r="7256" spans="2:15" x14ac:dyDescent="0.25">
      <c r="B7256" s="16" t="s">
        <v>1520</v>
      </c>
      <c r="C7256" s="17" t="s">
        <v>196</v>
      </c>
      <c r="D7256" s="17" t="s">
        <v>4034</v>
      </c>
      <c r="E7256" s="17" t="s">
        <v>759</v>
      </c>
      <c r="F7256" s="18">
        <f t="shared" si="645"/>
        <v>45713</v>
      </c>
      <c r="G7256" s="22">
        <f t="shared" si="646"/>
        <v>2</v>
      </c>
      <c r="H7256" s="22">
        <f t="shared" si="647"/>
        <v>2025</v>
      </c>
      <c r="I7256" s="17" t="s">
        <v>4</v>
      </c>
      <c r="J7256" s="17" t="s">
        <v>7852</v>
      </c>
      <c r="K7256" s="17" t="s">
        <v>117</v>
      </c>
      <c r="L7256" s="17" t="s">
        <v>118</v>
      </c>
      <c r="M7256" s="17" t="s">
        <v>119</v>
      </c>
      <c r="N7256" s="22" t="str">
        <f t="shared" si="643"/>
        <v>TON</v>
      </c>
      <c r="O7256" s="19">
        <v>10.0175</v>
      </c>
    </row>
    <row r="7257" spans="2:15" x14ac:dyDescent="0.25">
      <c r="B7257" s="16" t="s">
        <v>1520</v>
      </c>
      <c r="C7257" s="17" t="s">
        <v>196</v>
      </c>
      <c r="D7257" s="17" t="s">
        <v>1276</v>
      </c>
      <c r="E7257" s="17" t="s">
        <v>1277</v>
      </c>
      <c r="F7257" s="18">
        <f t="shared" si="645"/>
        <v>45713</v>
      </c>
      <c r="G7257" s="22">
        <f t="shared" si="646"/>
        <v>2</v>
      </c>
      <c r="H7257" s="22">
        <f t="shared" si="647"/>
        <v>2025</v>
      </c>
      <c r="I7257" s="17" t="s">
        <v>4</v>
      </c>
      <c r="J7257" s="17" t="s">
        <v>7853</v>
      </c>
      <c r="K7257" s="17" t="s">
        <v>117</v>
      </c>
      <c r="L7257" s="17" t="s">
        <v>118</v>
      </c>
      <c r="M7257" s="17" t="s">
        <v>119</v>
      </c>
      <c r="N7257" s="22" t="str">
        <f t="shared" si="643"/>
        <v>TON</v>
      </c>
      <c r="O7257" s="19">
        <v>5.0025000000000004</v>
      </c>
    </row>
    <row r="7258" spans="2:15" x14ac:dyDescent="0.25">
      <c r="B7258" s="16" t="s">
        <v>1520</v>
      </c>
      <c r="C7258" s="17" t="s">
        <v>196</v>
      </c>
      <c r="D7258" s="17" t="s">
        <v>294</v>
      </c>
      <c r="E7258" s="17" t="s">
        <v>295</v>
      </c>
      <c r="F7258" s="18">
        <f t="shared" ref="F7258:F7263" si="648">DATE(2025,2,26)</f>
        <v>45714</v>
      </c>
      <c r="G7258" s="22">
        <f t="shared" si="646"/>
        <v>2</v>
      </c>
      <c r="H7258" s="22">
        <f t="shared" si="647"/>
        <v>2025</v>
      </c>
      <c r="I7258" s="17" t="s">
        <v>4</v>
      </c>
      <c r="J7258" s="17" t="s">
        <v>7854</v>
      </c>
      <c r="K7258" s="17" t="s">
        <v>122</v>
      </c>
      <c r="L7258" s="17" t="s">
        <v>123</v>
      </c>
      <c r="M7258" s="17" t="s">
        <v>119</v>
      </c>
      <c r="N7258" s="22" t="str">
        <f t="shared" si="643"/>
        <v>TON</v>
      </c>
      <c r="O7258" s="19">
        <v>7.5</v>
      </c>
    </row>
    <row r="7259" spans="2:15" x14ac:dyDescent="0.25">
      <c r="B7259" s="16" t="s">
        <v>1520</v>
      </c>
      <c r="C7259" s="17" t="s">
        <v>196</v>
      </c>
      <c r="D7259" s="17" t="s">
        <v>207</v>
      </c>
      <c r="E7259" s="17" t="s">
        <v>208</v>
      </c>
      <c r="F7259" s="18">
        <f t="shared" si="648"/>
        <v>45714</v>
      </c>
      <c r="G7259" s="22">
        <f t="shared" si="646"/>
        <v>2</v>
      </c>
      <c r="H7259" s="22">
        <f t="shared" si="647"/>
        <v>2025</v>
      </c>
      <c r="I7259" s="17" t="s">
        <v>4</v>
      </c>
      <c r="J7259" s="17" t="s">
        <v>7855</v>
      </c>
      <c r="K7259" s="17" t="s">
        <v>205</v>
      </c>
      <c r="L7259" s="17" t="s">
        <v>206</v>
      </c>
      <c r="M7259" s="17" t="s">
        <v>119</v>
      </c>
      <c r="N7259" s="22" t="str">
        <f t="shared" si="643"/>
        <v>TON</v>
      </c>
      <c r="O7259" s="19">
        <v>3.7650000000000001</v>
      </c>
    </row>
    <row r="7260" spans="2:15" x14ac:dyDescent="0.25">
      <c r="B7260" s="16" t="s">
        <v>1520</v>
      </c>
      <c r="C7260" s="17" t="s">
        <v>196</v>
      </c>
      <c r="D7260" s="17" t="s">
        <v>3469</v>
      </c>
      <c r="E7260" s="17" t="s">
        <v>56</v>
      </c>
      <c r="F7260" s="18">
        <f t="shared" si="648"/>
        <v>45714</v>
      </c>
      <c r="G7260" s="22">
        <f t="shared" si="646"/>
        <v>2</v>
      </c>
      <c r="H7260" s="22">
        <f t="shared" si="647"/>
        <v>2025</v>
      </c>
      <c r="I7260" s="17" t="s">
        <v>4</v>
      </c>
      <c r="J7260" s="17" t="s">
        <v>7856</v>
      </c>
      <c r="K7260" s="17" t="s">
        <v>1130</v>
      </c>
      <c r="L7260" s="17" t="s">
        <v>632</v>
      </c>
      <c r="M7260" s="17" t="s">
        <v>633</v>
      </c>
      <c r="N7260" s="22" t="str">
        <f t="shared" si="643"/>
        <v>GAL</v>
      </c>
      <c r="O7260" s="19">
        <v>15</v>
      </c>
    </row>
    <row r="7261" spans="2:15" x14ac:dyDescent="0.25">
      <c r="B7261" s="16" t="s">
        <v>1520</v>
      </c>
      <c r="C7261" s="17" t="s">
        <v>196</v>
      </c>
      <c r="D7261" s="17" t="s">
        <v>321</v>
      </c>
      <c r="E7261" s="17" t="s">
        <v>353</v>
      </c>
      <c r="F7261" s="18">
        <f t="shared" si="648"/>
        <v>45714</v>
      </c>
      <c r="G7261" s="22">
        <f t="shared" si="646"/>
        <v>2</v>
      </c>
      <c r="H7261" s="22">
        <f t="shared" si="647"/>
        <v>2025</v>
      </c>
      <c r="I7261" s="17" t="s">
        <v>4</v>
      </c>
      <c r="J7261" s="17" t="s">
        <v>7857</v>
      </c>
      <c r="K7261" s="17" t="s">
        <v>394</v>
      </c>
      <c r="L7261" s="17" t="s">
        <v>395</v>
      </c>
      <c r="M7261" s="17" t="s">
        <v>119</v>
      </c>
      <c r="N7261" s="22" t="str">
        <f t="shared" si="643"/>
        <v>TON</v>
      </c>
      <c r="O7261" s="19">
        <v>7.5175000000000001</v>
      </c>
    </row>
    <row r="7262" spans="2:15" x14ac:dyDescent="0.25">
      <c r="B7262" s="16" t="s">
        <v>1520</v>
      </c>
      <c r="C7262" s="17" t="s">
        <v>196</v>
      </c>
      <c r="D7262" s="17" t="s">
        <v>210</v>
      </c>
      <c r="E7262" s="17" t="s">
        <v>962</v>
      </c>
      <c r="F7262" s="18">
        <f t="shared" si="648"/>
        <v>45714</v>
      </c>
      <c r="G7262" s="22">
        <f t="shared" si="646"/>
        <v>2</v>
      </c>
      <c r="H7262" s="22">
        <f t="shared" si="647"/>
        <v>2025</v>
      </c>
      <c r="I7262" s="17" t="s">
        <v>4</v>
      </c>
      <c r="J7262" s="17" t="s">
        <v>7858</v>
      </c>
      <c r="K7262" s="17" t="s">
        <v>1379</v>
      </c>
      <c r="L7262" s="17" t="s">
        <v>1380</v>
      </c>
      <c r="M7262" s="17" t="s">
        <v>119</v>
      </c>
      <c r="N7262" s="22" t="str">
        <f t="shared" si="643"/>
        <v>TON</v>
      </c>
      <c r="O7262" s="19">
        <v>15.035</v>
      </c>
    </row>
    <row r="7263" spans="2:15" x14ac:dyDescent="0.25">
      <c r="B7263" s="16" t="s">
        <v>1520</v>
      </c>
      <c r="C7263" s="17" t="s">
        <v>196</v>
      </c>
      <c r="D7263" s="17" t="s">
        <v>321</v>
      </c>
      <c r="E7263" s="17" t="s">
        <v>697</v>
      </c>
      <c r="F7263" s="18">
        <f t="shared" si="648"/>
        <v>45714</v>
      </c>
      <c r="G7263" s="22">
        <f t="shared" si="646"/>
        <v>2</v>
      </c>
      <c r="H7263" s="22">
        <f t="shared" si="647"/>
        <v>2025</v>
      </c>
      <c r="I7263" s="17" t="s">
        <v>4</v>
      </c>
      <c r="J7263" s="17" t="s">
        <v>7859</v>
      </c>
      <c r="K7263" s="17" t="s">
        <v>394</v>
      </c>
      <c r="L7263" s="17" t="s">
        <v>395</v>
      </c>
      <c r="M7263" s="17" t="s">
        <v>119</v>
      </c>
      <c r="N7263" s="22" t="str">
        <f t="shared" si="643"/>
        <v>TON</v>
      </c>
      <c r="O7263" s="19">
        <v>10.0075</v>
      </c>
    </row>
    <row r="7264" spans="2:15" x14ac:dyDescent="0.25">
      <c r="B7264" s="16" t="s">
        <v>1520</v>
      </c>
      <c r="C7264" s="17" t="s">
        <v>196</v>
      </c>
      <c r="D7264" s="17" t="s">
        <v>6651</v>
      </c>
      <c r="E7264" s="17" t="s">
        <v>6652</v>
      </c>
      <c r="F7264" s="18">
        <f>DATE(2025,2,27)</f>
        <v>45715</v>
      </c>
      <c r="G7264" s="22">
        <f t="shared" si="646"/>
        <v>2</v>
      </c>
      <c r="H7264" s="22">
        <f t="shared" si="647"/>
        <v>2025</v>
      </c>
      <c r="I7264" s="17" t="s">
        <v>4</v>
      </c>
      <c r="J7264" s="17" t="s">
        <v>7860</v>
      </c>
      <c r="K7264" s="17" t="s">
        <v>329</v>
      </c>
      <c r="L7264" s="17" t="s">
        <v>330</v>
      </c>
      <c r="M7264" s="17" t="s">
        <v>119</v>
      </c>
      <c r="N7264" s="22" t="str">
        <f t="shared" si="643"/>
        <v>TON</v>
      </c>
      <c r="O7264" s="19">
        <v>2.5024999999999999</v>
      </c>
    </row>
    <row r="7265" spans="2:15" x14ac:dyDescent="0.25">
      <c r="B7265" s="16" t="s">
        <v>1520</v>
      </c>
      <c r="C7265" s="17" t="s">
        <v>196</v>
      </c>
      <c r="D7265" s="17" t="s">
        <v>3761</v>
      </c>
      <c r="E7265" s="17" t="s">
        <v>3762</v>
      </c>
      <c r="F7265" s="18">
        <f>DATE(2025,2,27)</f>
        <v>45715</v>
      </c>
      <c r="G7265" s="22">
        <f t="shared" si="646"/>
        <v>2</v>
      </c>
      <c r="H7265" s="22">
        <f t="shared" si="647"/>
        <v>2025</v>
      </c>
      <c r="I7265" s="17" t="s">
        <v>4</v>
      </c>
      <c r="J7265" s="17" t="s">
        <v>7861</v>
      </c>
      <c r="K7265" s="17" t="s">
        <v>329</v>
      </c>
      <c r="L7265" s="17" t="s">
        <v>330</v>
      </c>
      <c r="M7265" s="17" t="s">
        <v>119</v>
      </c>
      <c r="N7265" s="22" t="str">
        <f t="shared" si="643"/>
        <v>TON</v>
      </c>
      <c r="O7265" s="19">
        <v>12.515000000000001</v>
      </c>
    </row>
    <row r="7266" spans="2:15" x14ac:dyDescent="0.25">
      <c r="B7266" s="16" t="s">
        <v>1520</v>
      </c>
      <c r="C7266" s="17" t="s">
        <v>196</v>
      </c>
      <c r="D7266" s="17" t="s">
        <v>452</v>
      </c>
      <c r="E7266" s="17" t="s">
        <v>115</v>
      </c>
      <c r="F7266" s="18">
        <f>DATE(2025,2,27)</f>
        <v>45715</v>
      </c>
      <c r="G7266" s="22">
        <f t="shared" si="646"/>
        <v>2</v>
      </c>
      <c r="H7266" s="22">
        <f t="shared" si="647"/>
        <v>2025</v>
      </c>
      <c r="I7266" s="17" t="s">
        <v>4</v>
      </c>
      <c r="J7266" s="17" t="s">
        <v>7862</v>
      </c>
      <c r="K7266" s="17" t="s">
        <v>447</v>
      </c>
      <c r="L7266" s="17" t="s">
        <v>448</v>
      </c>
      <c r="M7266" s="17" t="s">
        <v>119</v>
      </c>
      <c r="N7266" s="22" t="str">
        <f t="shared" si="643"/>
        <v>TON</v>
      </c>
      <c r="O7266" s="19">
        <v>2.5074999999999998</v>
      </c>
    </row>
    <row r="7267" spans="2:15" x14ac:dyDescent="0.25">
      <c r="B7267" s="16" t="s">
        <v>1520</v>
      </c>
      <c r="C7267" s="17" t="s">
        <v>196</v>
      </c>
      <c r="D7267" s="17" t="s">
        <v>114</v>
      </c>
      <c r="E7267" s="17" t="s">
        <v>115</v>
      </c>
      <c r="F7267" s="18">
        <f>DATE(2025,2,27)</f>
        <v>45715</v>
      </c>
      <c r="G7267" s="22">
        <f t="shared" si="646"/>
        <v>2</v>
      </c>
      <c r="H7267" s="22">
        <f t="shared" si="647"/>
        <v>2025</v>
      </c>
      <c r="I7267" s="17" t="s">
        <v>4</v>
      </c>
      <c r="J7267" s="17" t="s">
        <v>7863</v>
      </c>
      <c r="K7267" s="17" t="s">
        <v>422</v>
      </c>
      <c r="L7267" s="17" t="s">
        <v>423</v>
      </c>
      <c r="M7267" s="17" t="s">
        <v>119</v>
      </c>
      <c r="N7267" s="22" t="str">
        <f t="shared" si="643"/>
        <v>TON</v>
      </c>
      <c r="O7267" s="19">
        <v>7.5225</v>
      </c>
    </row>
    <row r="7268" spans="2:15" x14ac:dyDescent="0.25">
      <c r="B7268" s="16" t="s">
        <v>1520</v>
      </c>
      <c r="C7268" s="17" t="s">
        <v>196</v>
      </c>
      <c r="D7268" s="17" t="s">
        <v>232</v>
      </c>
      <c r="E7268" s="17" t="s">
        <v>778</v>
      </c>
      <c r="F7268" s="18">
        <f t="shared" ref="F7268:F7277" si="649">DATE(2025,2,28)</f>
        <v>45716</v>
      </c>
      <c r="G7268" s="22">
        <f t="shared" si="646"/>
        <v>2</v>
      </c>
      <c r="H7268" s="22">
        <f t="shared" si="647"/>
        <v>2025</v>
      </c>
      <c r="I7268" s="17" t="s">
        <v>4</v>
      </c>
      <c r="J7268" s="17" t="s">
        <v>7864</v>
      </c>
      <c r="K7268" s="17" t="s">
        <v>823</v>
      </c>
      <c r="L7268" s="17" t="s">
        <v>776</v>
      </c>
      <c r="M7268" s="17" t="s">
        <v>82</v>
      </c>
      <c r="N7268" s="22" t="str">
        <f t="shared" si="643"/>
        <v>GAL</v>
      </c>
      <c r="O7268" s="19">
        <v>250</v>
      </c>
    </row>
    <row r="7269" spans="2:15" x14ac:dyDescent="0.25">
      <c r="B7269" s="16" t="s">
        <v>1520</v>
      </c>
      <c r="C7269" s="17" t="s">
        <v>196</v>
      </c>
      <c r="D7269" s="17" t="s">
        <v>232</v>
      </c>
      <c r="E7269" s="17" t="s">
        <v>778</v>
      </c>
      <c r="F7269" s="18">
        <f t="shared" si="649"/>
        <v>45716</v>
      </c>
      <c r="G7269" s="22">
        <f t="shared" si="646"/>
        <v>2</v>
      </c>
      <c r="H7269" s="22">
        <f t="shared" si="647"/>
        <v>2025</v>
      </c>
      <c r="I7269" s="17" t="s">
        <v>4</v>
      </c>
      <c r="J7269" s="17" t="s">
        <v>7864</v>
      </c>
      <c r="K7269" s="17" t="s">
        <v>822</v>
      </c>
      <c r="L7269" s="17" t="s">
        <v>565</v>
      </c>
      <c r="M7269" s="17" t="s">
        <v>21</v>
      </c>
      <c r="N7269" s="22" t="str">
        <f t="shared" si="643"/>
        <v>GAL</v>
      </c>
      <c r="O7269" s="19">
        <v>118</v>
      </c>
    </row>
    <row r="7270" spans="2:15" x14ac:dyDescent="0.25">
      <c r="B7270" s="16" t="s">
        <v>1520</v>
      </c>
      <c r="C7270" s="17" t="s">
        <v>196</v>
      </c>
      <c r="D7270" s="17" t="s">
        <v>303</v>
      </c>
      <c r="E7270" s="17" t="s">
        <v>981</v>
      </c>
      <c r="F7270" s="18">
        <f t="shared" si="649"/>
        <v>45716</v>
      </c>
      <c r="G7270" s="22">
        <f t="shared" si="646"/>
        <v>2</v>
      </c>
      <c r="H7270" s="22">
        <f t="shared" si="647"/>
        <v>2025</v>
      </c>
      <c r="I7270" s="17" t="s">
        <v>4</v>
      </c>
      <c r="J7270" s="17" t="s">
        <v>7865</v>
      </c>
      <c r="K7270" s="17" t="s">
        <v>3726</v>
      </c>
      <c r="L7270" s="17" t="s">
        <v>3727</v>
      </c>
      <c r="M7270" s="17" t="s">
        <v>145</v>
      </c>
      <c r="N7270" s="22" t="str">
        <f t="shared" si="643"/>
        <v>GAL</v>
      </c>
      <c r="O7270" s="19">
        <v>1.875</v>
      </c>
    </row>
    <row r="7271" spans="2:15" x14ac:dyDescent="0.25">
      <c r="B7271" s="16" t="s">
        <v>1520</v>
      </c>
      <c r="C7271" s="17" t="s">
        <v>196</v>
      </c>
      <c r="D7271" s="17" t="s">
        <v>303</v>
      </c>
      <c r="E7271" s="17" t="s">
        <v>981</v>
      </c>
      <c r="F7271" s="18">
        <f t="shared" si="649"/>
        <v>45716</v>
      </c>
      <c r="G7271" s="22">
        <f t="shared" si="646"/>
        <v>2</v>
      </c>
      <c r="H7271" s="22">
        <f t="shared" si="647"/>
        <v>2025</v>
      </c>
      <c r="I7271" s="17" t="s">
        <v>4</v>
      </c>
      <c r="J7271" s="17" t="s">
        <v>7865</v>
      </c>
      <c r="K7271" s="17" t="s">
        <v>7549</v>
      </c>
      <c r="L7271" s="17" t="s">
        <v>7550</v>
      </c>
      <c r="M7271" s="17" t="s">
        <v>119</v>
      </c>
      <c r="N7271" s="22" t="str">
        <f t="shared" si="643"/>
        <v>TON</v>
      </c>
      <c r="O7271" s="19">
        <v>5.01</v>
      </c>
    </row>
    <row r="7272" spans="2:15" x14ac:dyDescent="0.25">
      <c r="B7272" s="16" t="s">
        <v>1520</v>
      </c>
      <c r="C7272" s="17" t="s">
        <v>196</v>
      </c>
      <c r="D7272" s="17" t="s">
        <v>215</v>
      </c>
      <c r="E7272" s="17" t="s">
        <v>4113</v>
      </c>
      <c r="F7272" s="18">
        <f t="shared" si="649"/>
        <v>45716</v>
      </c>
      <c r="G7272" s="22">
        <f t="shared" si="646"/>
        <v>2</v>
      </c>
      <c r="H7272" s="22">
        <f t="shared" si="647"/>
        <v>2025</v>
      </c>
      <c r="I7272" s="17" t="s">
        <v>4</v>
      </c>
      <c r="J7272" s="17" t="s">
        <v>7866</v>
      </c>
      <c r="K7272" s="17" t="s">
        <v>329</v>
      </c>
      <c r="L7272" s="17" t="s">
        <v>330</v>
      </c>
      <c r="M7272" s="17" t="s">
        <v>119</v>
      </c>
      <c r="N7272" s="22" t="str">
        <f t="shared" si="643"/>
        <v>TON</v>
      </c>
      <c r="O7272" s="19">
        <v>10.012499999999999</v>
      </c>
    </row>
    <row r="7273" spans="2:15" x14ac:dyDescent="0.25">
      <c r="B7273" s="16" t="s">
        <v>1520</v>
      </c>
      <c r="C7273" s="17" t="s">
        <v>196</v>
      </c>
      <c r="D7273" s="17" t="s">
        <v>248</v>
      </c>
      <c r="E7273" s="17" t="s">
        <v>735</v>
      </c>
      <c r="F7273" s="18">
        <f t="shared" si="649"/>
        <v>45716</v>
      </c>
      <c r="G7273" s="22">
        <f t="shared" si="646"/>
        <v>2</v>
      </c>
      <c r="H7273" s="22">
        <f t="shared" si="647"/>
        <v>2025</v>
      </c>
      <c r="I7273" s="17" t="s">
        <v>4</v>
      </c>
      <c r="J7273" s="17" t="s">
        <v>7867</v>
      </c>
      <c r="K7273" s="17" t="s">
        <v>251</v>
      </c>
      <c r="L7273" s="17" t="s">
        <v>252</v>
      </c>
      <c r="M7273" s="17" t="s">
        <v>119</v>
      </c>
      <c r="N7273" s="22" t="str">
        <f t="shared" si="643"/>
        <v>TON</v>
      </c>
      <c r="O7273" s="19">
        <v>2.5</v>
      </c>
    </row>
    <row r="7274" spans="2:15" x14ac:dyDescent="0.25">
      <c r="B7274" s="16" t="s">
        <v>1520</v>
      </c>
      <c r="C7274" s="17" t="s">
        <v>196</v>
      </c>
      <c r="D7274" s="17" t="s">
        <v>452</v>
      </c>
      <c r="E7274" s="17" t="s">
        <v>7092</v>
      </c>
      <c r="F7274" s="18">
        <f t="shared" si="649"/>
        <v>45716</v>
      </c>
      <c r="G7274" s="22">
        <f t="shared" si="646"/>
        <v>2</v>
      </c>
      <c r="H7274" s="22">
        <f t="shared" si="647"/>
        <v>2025</v>
      </c>
      <c r="I7274" s="17" t="s">
        <v>4</v>
      </c>
      <c r="J7274" s="17" t="s">
        <v>7868</v>
      </c>
      <c r="K7274" s="17" t="s">
        <v>447</v>
      </c>
      <c r="L7274" s="17" t="s">
        <v>448</v>
      </c>
      <c r="M7274" s="17" t="s">
        <v>119</v>
      </c>
      <c r="N7274" s="22" t="str">
        <f t="shared" si="643"/>
        <v>TON</v>
      </c>
      <c r="O7274" s="19">
        <v>8.5225000000000009</v>
      </c>
    </row>
    <row r="7275" spans="2:15" x14ac:dyDescent="0.25">
      <c r="B7275" s="16" t="s">
        <v>1520</v>
      </c>
      <c r="C7275" s="17" t="s">
        <v>196</v>
      </c>
      <c r="D7275" s="17" t="s">
        <v>232</v>
      </c>
      <c r="E7275" s="17" t="s">
        <v>778</v>
      </c>
      <c r="F7275" s="18">
        <f t="shared" si="649"/>
        <v>45716</v>
      </c>
      <c r="G7275" s="22">
        <f t="shared" si="646"/>
        <v>2</v>
      </c>
      <c r="H7275" s="22">
        <f t="shared" si="647"/>
        <v>2025</v>
      </c>
      <c r="I7275" s="17" t="s">
        <v>4</v>
      </c>
      <c r="J7275" s="17" t="s">
        <v>7869</v>
      </c>
      <c r="K7275" s="17" t="s">
        <v>205</v>
      </c>
      <c r="L7275" s="17" t="s">
        <v>206</v>
      </c>
      <c r="M7275" s="17" t="s">
        <v>119</v>
      </c>
      <c r="N7275" s="22" t="str">
        <f t="shared" si="643"/>
        <v>TON</v>
      </c>
      <c r="O7275" s="19">
        <v>6</v>
      </c>
    </row>
    <row r="7276" spans="2:15" x14ac:dyDescent="0.25">
      <c r="B7276" s="16" t="s">
        <v>1520</v>
      </c>
      <c r="C7276" s="17" t="s">
        <v>196</v>
      </c>
      <c r="D7276" s="17" t="s">
        <v>672</v>
      </c>
      <c r="E7276" s="17" t="s">
        <v>699</v>
      </c>
      <c r="F7276" s="18">
        <f t="shared" si="649"/>
        <v>45716</v>
      </c>
      <c r="G7276" s="22">
        <f t="shared" si="646"/>
        <v>2</v>
      </c>
      <c r="H7276" s="22">
        <f t="shared" si="647"/>
        <v>2025</v>
      </c>
      <c r="I7276" s="17" t="s">
        <v>4</v>
      </c>
      <c r="J7276" s="17" t="s">
        <v>7870</v>
      </c>
      <c r="K7276" s="17" t="s">
        <v>251</v>
      </c>
      <c r="L7276" s="17" t="s">
        <v>252</v>
      </c>
      <c r="M7276" s="17" t="s">
        <v>119</v>
      </c>
      <c r="N7276" s="22" t="str">
        <f t="shared" si="643"/>
        <v>TON</v>
      </c>
      <c r="O7276" s="19">
        <v>4.0075000000000003</v>
      </c>
    </row>
    <row r="7277" spans="2:15" x14ac:dyDescent="0.25">
      <c r="B7277" s="16" t="s">
        <v>1520</v>
      </c>
      <c r="C7277" s="17" t="s">
        <v>196</v>
      </c>
      <c r="D7277" s="17" t="s">
        <v>374</v>
      </c>
      <c r="E7277" s="17" t="s">
        <v>424</v>
      </c>
      <c r="F7277" s="18">
        <f t="shared" si="649"/>
        <v>45716</v>
      </c>
      <c r="G7277" s="22">
        <f t="shared" si="646"/>
        <v>2</v>
      </c>
      <c r="H7277" s="22">
        <f t="shared" si="647"/>
        <v>2025</v>
      </c>
      <c r="I7277" s="22" t="s">
        <v>4</v>
      </c>
      <c r="J7277" s="17" t="s">
        <v>7871</v>
      </c>
      <c r="K7277" s="17" t="s">
        <v>329</v>
      </c>
      <c r="L7277" s="17" t="s">
        <v>330</v>
      </c>
      <c r="M7277" s="17" t="s">
        <v>119</v>
      </c>
      <c r="N7277" s="22" t="str">
        <f t="shared" si="643"/>
        <v>TON</v>
      </c>
      <c r="O7277" s="19">
        <v>15.0425</v>
      </c>
    </row>
    <row r="7278" spans="2:15" x14ac:dyDescent="0.25">
      <c r="B7278" s="16" t="s">
        <v>382</v>
      </c>
      <c r="C7278" s="17" t="s">
        <v>506</v>
      </c>
      <c r="D7278" s="17" t="s">
        <v>1006</v>
      </c>
      <c r="E7278" s="17" t="s">
        <v>1007</v>
      </c>
      <c r="F7278" s="18">
        <f>DATE(2025,2,3)</f>
        <v>45691</v>
      </c>
      <c r="G7278" s="22">
        <f t="shared" si="646"/>
        <v>2</v>
      </c>
      <c r="H7278" s="22">
        <f t="shared" si="647"/>
        <v>2025</v>
      </c>
      <c r="I7278" s="17" t="s">
        <v>4</v>
      </c>
      <c r="J7278" s="17" t="s">
        <v>7872</v>
      </c>
      <c r="K7278" s="17" t="s">
        <v>642</v>
      </c>
      <c r="L7278" s="17" t="s">
        <v>111</v>
      </c>
      <c r="M7278" s="17" t="s">
        <v>112</v>
      </c>
      <c r="N7278" s="22" t="str">
        <f t="shared" si="643"/>
        <v>GAL</v>
      </c>
      <c r="O7278" s="19">
        <v>180</v>
      </c>
    </row>
    <row r="7279" spans="2:15" x14ac:dyDescent="0.25">
      <c r="B7279" s="16" t="s">
        <v>382</v>
      </c>
      <c r="C7279" s="17" t="s">
        <v>506</v>
      </c>
      <c r="D7279" s="17" t="s">
        <v>521</v>
      </c>
      <c r="E7279" s="17" t="s">
        <v>522</v>
      </c>
      <c r="F7279" s="18">
        <f>DATE(2025,2,12)</f>
        <v>45700</v>
      </c>
      <c r="G7279" s="22">
        <f t="shared" si="646"/>
        <v>2</v>
      </c>
      <c r="H7279" s="22">
        <f t="shared" si="647"/>
        <v>2025</v>
      </c>
      <c r="I7279" s="17" t="s">
        <v>4</v>
      </c>
      <c r="J7279" s="17" t="s">
        <v>7873</v>
      </c>
      <c r="K7279" s="17" t="s">
        <v>1395</v>
      </c>
      <c r="L7279" s="17" t="s">
        <v>1396</v>
      </c>
      <c r="M7279" s="17" t="s">
        <v>1397</v>
      </c>
      <c r="N7279" s="22" t="str">
        <f t="shared" si="643"/>
        <v>GAL</v>
      </c>
      <c r="O7279" s="19">
        <v>180</v>
      </c>
    </row>
    <row r="7280" spans="2:15" x14ac:dyDescent="0.25">
      <c r="B7280" s="16" t="s">
        <v>382</v>
      </c>
      <c r="C7280" s="17" t="s">
        <v>506</v>
      </c>
      <c r="D7280" s="17" t="s">
        <v>521</v>
      </c>
      <c r="E7280" s="17" t="s">
        <v>522</v>
      </c>
      <c r="F7280" s="18">
        <f>DATE(2025,2,12)</f>
        <v>45700</v>
      </c>
      <c r="G7280" s="22">
        <f t="shared" si="646"/>
        <v>2</v>
      </c>
      <c r="H7280" s="22">
        <f t="shared" si="647"/>
        <v>2025</v>
      </c>
      <c r="I7280" s="17" t="s">
        <v>4</v>
      </c>
      <c r="J7280" s="17" t="s">
        <v>7873</v>
      </c>
      <c r="K7280" s="17" t="s">
        <v>5684</v>
      </c>
      <c r="L7280" s="17" t="s">
        <v>1267</v>
      </c>
      <c r="M7280" s="17" t="s">
        <v>191</v>
      </c>
      <c r="N7280" s="22" t="str">
        <f t="shared" si="643"/>
        <v>GAL</v>
      </c>
      <c r="O7280" s="19">
        <v>240</v>
      </c>
    </row>
    <row r="7281" spans="2:15" x14ac:dyDescent="0.25">
      <c r="B7281" s="16" t="s">
        <v>382</v>
      </c>
      <c r="C7281" s="17" t="s">
        <v>506</v>
      </c>
      <c r="D7281" s="17" t="s">
        <v>1001</v>
      </c>
      <c r="E7281" s="17" t="s">
        <v>1002</v>
      </c>
      <c r="F7281" s="18">
        <f>DATE(2025,2,17)</f>
        <v>45705</v>
      </c>
      <c r="G7281" s="22">
        <f t="shared" si="646"/>
        <v>2</v>
      </c>
      <c r="H7281" s="22">
        <f t="shared" si="647"/>
        <v>2025</v>
      </c>
      <c r="I7281" s="17" t="s">
        <v>4</v>
      </c>
      <c r="J7281" s="17" t="s">
        <v>7874</v>
      </c>
      <c r="K7281" s="17" t="s">
        <v>36</v>
      </c>
      <c r="L7281" s="17" t="s">
        <v>511</v>
      </c>
      <c r="M7281" s="17" t="s">
        <v>38</v>
      </c>
      <c r="N7281" s="22" t="str">
        <f t="shared" si="643"/>
        <v>GAL</v>
      </c>
      <c r="O7281" s="19">
        <v>50</v>
      </c>
    </row>
    <row r="7282" spans="2:15" x14ac:dyDescent="0.25">
      <c r="B7282" s="16" t="s">
        <v>382</v>
      </c>
      <c r="C7282" s="17" t="s">
        <v>506</v>
      </c>
      <c r="D7282" s="17" t="s">
        <v>995</v>
      </c>
      <c r="E7282" s="17" t="s">
        <v>4494</v>
      </c>
      <c r="F7282" s="18">
        <f>DATE(2025,2,19)</f>
        <v>45707</v>
      </c>
      <c r="G7282" s="22">
        <f t="shared" si="646"/>
        <v>2</v>
      </c>
      <c r="H7282" s="22">
        <f t="shared" si="647"/>
        <v>2025</v>
      </c>
      <c r="I7282" s="17" t="s">
        <v>4</v>
      </c>
      <c r="J7282" s="17" t="s">
        <v>7875</v>
      </c>
      <c r="K7282" s="17" t="s">
        <v>7876</v>
      </c>
      <c r="L7282" s="17" t="s">
        <v>7877</v>
      </c>
      <c r="M7282" s="17" t="s">
        <v>3251</v>
      </c>
      <c r="N7282" s="22" t="str">
        <f t="shared" si="643"/>
        <v>GAL</v>
      </c>
      <c r="O7282" s="19">
        <v>250</v>
      </c>
    </row>
    <row r="7283" spans="2:15" x14ac:dyDescent="0.25">
      <c r="B7283" s="16" t="s">
        <v>382</v>
      </c>
      <c r="C7283" s="17" t="s">
        <v>506</v>
      </c>
      <c r="D7283" s="17" t="s">
        <v>515</v>
      </c>
      <c r="E7283" s="17" t="s">
        <v>516</v>
      </c>
      <c r="F7283" s="18">
        <f>DATE(2025,2,25)</f>
        <v>45713</v>
      </c>
      <c r="G7283" s="22">
        <f t="shared" si="646"/>
        <v>2</v>
      </c>
      <c r="H7283" s="22">
        <f t="shared" si="647"/>
        <v>2025</v>
      </c>
      <c r="I7283" s="17" t="s">
        <v>4</v>
      </c>
      <c r="J7283" s="17" t="s">
        <v>7878</v>
      </c>
      <c r="K7283" s="17" t="s">
        <v>642</v>
      </c>
      <c r="L7283" s="17" t="s">
        <v>111</v>
      </c>
      <c r="M7283" s="17" t="s">
        <v>112</v>
      </c>
      <c r="N7283" s="22" t="str">
        <f t="shared" si="643"/>
        <v>GAL</v>
      </c>
      <c r="O7283" s="19">
        <v>60</v>
      </c>
    </row>
    <row r="7284" spans="2:15" x14ac:dyDescent="0.25">
      <c r="B7284" s="16" t="s">
        <v>382</v>
      </c>
      <c r="C7284" s="17" t="s">
        <v>506</v>
      </c>
      <c r="D7284" s="17" t="s">
        <v>515</v>
      </c>
      <c r="E7284" s="17" t="s">
        <v>516</v>
      </c>
      <c r="F7284" s="18">
        <f>DATE(2025,2,25)</f>
        <v>45713</v>
      </c>
      <c r="G7284" s="22">
        <f t="shared" si="646"/>
        <v>2</v>
      </c>
      <c r="H7284" s="22">
        <f t="shared" si="647"/>
        <v>2025</v>
      </c>
      <c r="I7284" s="17" t="s">
        <v>4</v>
      </c>
      <c r="J7284" s="17" t="s">
        <v>7878</v>
      </c>
      <c r="K7284" s="17" t="s">
        <v>83</v>
      </c>
      <c r="L7284" s="17" t="s">
        <v>518</v>
      </c>
      <c r="M7284" s="17" t="s">
        <v>85</v>
      </c>
      <c r="N7284" s="22" t="str">
        <f t="shared" si="643"/>
        <v>GAL</v>
      </c>
      <c r="O7284" s="19">
        <v>180</v>
      </c>
    </row>
    <row r="7285" spans="2:15" x14ac:dyDescent="0.25">
      <c r="B7285" s="16" t="s">
        <v>382</v>
      </c>
      <c r="C7285" s="17" t="s">
        <v>506</v>
      </c>
      <c r="D7285" s="17" t="s">
        <v>515</v>
      </c>
      <c r="E7285" s="17" t="s">
        <v>516</v>
      </c>
      <c r="F7285" s="18">
        <f>DATE(2025,2,25)</f>
        <v>45713</v>
      </c>
      <c r="G7285" s="22">
        <f t="shared" si="646"/>
        <v>2</v>
      </c>
      <c r="H7285" s="22">
        <f t="shared" si="647"/>
        <v>2025</v>
      </c>
      <c r="I7285" s="17" t="s">
        <v>4</v>
      </c>
      <c r="J7285" s="17" t="s">
        <v>7878</v>
      </c>
      <c r="K7285" s="17" t="s">
        <v>2447</v>
      </c>
      <c r="L7285" s="17" t="s">
        <v>547</v>
      </c>
      <c r="M7285" s="17" t="s">
        <v>160</v>
      </c>
      <c r="N7285" s="22" t="str">
        <f t="shared" si="643"/>
        <v>GAL</v>
      </c>
      <c r="O7285" s="19">
        <v>180</v>
      </c>
    </row>
    <row r="7286" spans="2:15" x14ac:dyDescent="0.25">
      <c r="B7286" s="16" t="s">
        <v>382</v>
      </c>
      <c r="C7286" s="17" t="s">
        <v>506</v>
      </c>
      <c r="D7286" s="17" t="s">
        <v>515</v>
      </c>
      <c r="E7286" s="17" t="s">
        <v>516</v>
      </c>
      <c r="F7286" s="18">
        <f>DATE(2025,2,25)</f>
        <v>45713</v>
      </c>
      <c r="G7286" s="22">
        <f t="shared" si="646"/>
        <v>2</v>
      </c>
      <c r="H7286" s="22">
        <f t="shared" si="647"/>
        <v>2025</v>
      </c>
      <c r="I7286" s="17" t="s">
        <v>4</v>
      </c>
      <c r="J7286" s="17" t="s">
        <v>7878</v>
      </c>
      <c r="K7286" s="17" t="s">
        <v>244</v>
      </c>
      <c r="L7286" s="17" t="s">
        <v>182</v>
      </c>
      <c r="M7286" s="17" t="s">
        <v>183</v>
      </c>
      <c r="N7286" s="22" t="str">
        <f t="shared" si="643"/>
        <v>GAL</v>
      </c>
      <c r="O7286" s="19">
        <v>60</v>
      </c>
    </row>
    <row r="7287" spans="2:15" x14ac:dyDescent="0.25">
      <c r="B7287" s="16" t="s">
        <v>382</v>
      </c>
      <c r="C7287" s="17" t="s">
        <v>506</v>
      </c>
      <c r="D7287" s="17" t="s">
        <v>995</v>
      </c>
      <c r="E7287" s="17" t="s">
        <v>4494</v>
      </c>
      <c r="F7287" s="18">
        <f>DATE(2025,2,28)</f>
        <v>45716</v>
      </c>
      <c r="G7287" s="22">
        <f t="shared" si="646"/>
        <v>2</v>
      </c>
      <c r="H7287" s="22">
        <f t="shared" si="647"/>
        <v>2025</v>
      </c>
      <c r="I7287" s="17" t="s">
        <v>4</v>
      </c>
      <c r="J7287" s="17" t="s">
        <v>7879</v>
      </c>
      <c r="K7287" s="17" t="s">
        <v>3188</v>
      </c>
      <c r="L7287" s="17" t="s">
        <v>999</v>
      </c>
      <c r="M7287" s="17" t="s">
        <v>1000</v>
      </c>
      <c r="N7287" s="22" t="str">
        <f t="shared" si="643"/>
        <v>GAL</v>
      </c>
      <c r="O7287" s="19">
        <v>55</v>
      </c>
    </row>
    <row r="7288" spans="2:15" x14ac:dyDescent="0.25">
      <c r="B7288" s="16" t="s">
        <v>782</v>
      </c>
      <c r="C7288" s="17" t="s">
        <v>1018</v>
      </c>
      <c r="D7288" s="17" t="s">
        <v>628</v>
      </c>
      <c r="E7288" s="17" t="s">
        <v>629</v>
      </c>
      <c r="F7288" s="18">
        <f>DATE(2025,2,14)</f>
        <v>45702</v>
      </c>
      <c r="G7288" s="22">
        <f t="shared" si="646"/>
        <v>2</v>
      </c>
      <c r="H7288" s="22">
        <f t="shared" si="647"/>
        <v>2025</v>
      </c>
      <c r="I7288" s="17" t="s">
        <v>4</v>
      </c>
      <c r="J7288" s="17" t="s">
        <v>7880</v>
      </c>
      <c r="K7288" s="17" t="s">
        <v>1119</v>
      </c>
      <c r="L7288" s="17" t="s">
        <v>1023</v>
      </c>
      <c r="M7288" s="17" t="s">
        <v>1024</v>
      </c>
      <c r="N7288" s="22" t="str">
        <f t="shared" si="643"/>
        <v>GAL</v>
      </c>
      <c r="O7288" s="19">
        <v>360</v>
      </c>
    </row>
    <row r="7289" spans="2:15" x14ac:dyDescent="0.25">
      <c r="B7289" s="16" t="s">
        <v>645</v>
      </c>
      <c r="C7289" s="17" t="s">
        <v>1025</v>
      </c>
      <c r="D7289" s="17" t="s">
        <v>2092</v>
      </c>
      <c r="E7289" s="17" t="s">
        <v>2093</v>
      </c>
      <c r="F7289" s="18">
        <f>DATE(2025,2,3)</f>
        <v>45691</v>
      </c>
      <c r="G7289" s="22">
        <f t="shared" si="646"/>
        <v>2</v>
      </c>
      <c r="H7289" s="22">
        <f t="shared" si="647"/>
        <v>2025</v>
      </c>
      <c r="I7289" s="17" t="s">
        <v>4</v>
      </c>
      <c r="J7289" s="17" t="s">
        <v>7881</v>
      </c>
      <c r="K7289" s="17" t="s">
        <v>2095</v>
      </c>
      <c r="L7289" s="17" t="s">
        <v>2096</v>
      </c>
      <c r="M7289" s="17" t="s">
        <v>119</v>
      </c>
      <c r="N7289" s="22" t="str">
        <f t="shared" si="643"/>
        <v>TON</v>
      </c>
      <c r="O7289" s="19">
        <v>15.0025</v>
      </c>
    </row>
    <row r="7290" spans="2:15" x14ac:dyDescent="0.25">
      <c r="B7290" s="16" t="s">
        <v>645</v>
      </c>
      <c r="C7290" s="17" t="s">
        <v>1025</v>
      </c>
      <c r="D7290" s="17" t="s">
        <v>1401</v>
      </c>
      <c r="E7290" s="17" t="s">
        <v>1402</v>
      </c>
      <c r="F7290" s="18">
        <f>DATE(2025,2,7)</f>
        <v>45695</v>
      </c>
      <c r="G7290" s="22">
        <f t="shared" si="646"/>
        <v>2</v>
      </c>
      <c r="H7290" s="22">
        <f t="shared" si="647"/>
        <v>2025</v>
      </c>
      <c r="I7290" s="17" t="s">
        <v>4</v>
      </c>
      <c r="J7290" s="17" t="s">
        <v>7882</v>
      </c>
      <c r="K7290" s="17" t="s">
        <v>1404</v>
      </c>
      <c r="L7290" s="17" t="s">
        <v>1405</v>
      </c>
      <c r="M7290" s="17" t="s">
        <v>1397</v>
      </c>
      <c r="N7290" s="22" t="str">
        <f t="shared" si="643"/>
        <v>GAL</v>
      </c>
      <c r="O7290" s="19">
        <v>480</v>
      </c>
    </row>
    <row r="7291" spans="2:15" x14ac:dyDescent="0.25">
      <c r="B7291" s="16" t="s">
        <v>645</v>
      </c>
      <c r="C7291" s="17" t="s">
        <v>1025</v>
      </c>
      <c r="D7291" s="17" t="s">
        <v>1401</v>
      </c>
      <c r="E7291" s="17" t="s">
        <v>1402</v>
      </c>
      <c r="F7291" s="18">
        <f>DATE(2025,2,7)</f>
        <v>45695</v>
      </c>
      <c r="G7291" s="22">
        <f t="shared" si="646"/>
        <v>2</v>
      </c>
      <c r="H7291" s="22">
        <f t="shared" si="647"/>
        <v>2025</v>
      </c>
      <c r="I7291" s="17" t="s">
        <v>4</v>
      </c>
      <c r="J7291" s="17" t="s">
        <v>7882</v>
      </c>
      <c r="K7291" s="17" t="s">
        <v>2081</v>
      </c>
      <c r="L7291" s="17" t="s">
        <v>1405</v>
      </c>
      <c r="M7291" s="17" t="s">
        <v>1397</v>
      </c>
      <c r="N7291" s="22" t="str">
        <f t="shared" si="643"/>
        <v>GAL</v>
      </c>
      <c r="O7291" s="19">
        <v>250</v>
      </c>
    </row>
    <row r="7292" spans="2:15" x14ac:dyDescent="0.25">
      <c r="B7292" s="16" t="s">
        <v>645</v>
      </c>
      <c r="C7292" s="17" t="s">
        <v>1025</v>
      </c>
      <c r="D7292" s="17" t="s">
        <v>2079</v>
      </c>
      <c r="E7292" s="17" t="s">
        <v>1402</v>
      </c>
      <c r="F7292" s="18">
        <f>DATE(2025,2,7)</f>
        <v>45695</v>
      </c>
      <c r="G7292" s="22">
        <f t="shared" si="646"/>
        <v>2</v>
      </c>
      <c r="H7292" s="22">
        <f t="shared" si="647"/>
        <v>2025</v>
      </c>
      <c r="I7292" s="17" t="s">
        <v>4</v>
      </c>
      <c r="J7292" s="17" t="s">
        <v>7883</v>
      </c>
      <c r="K7292" s="17" t="s">
        <v>158</v>
      </c>
      <c r="L7292" s="17" t="s">
        <v>159</v>
      </c>
      <c r="M7292" s="17" t="s">
        <v>160</v>
      </c>
      <c r="N7292" s="22" t="str">
        <f t="shared" si="643"/>
        <v>GAL</v>
      </c>
      <c r="O7292" s="19">
        <v>180</v>
      </c>
    </row>
    <row r="7293" spans="2:15" x14ac:dyDescent="0.25">
      <c r="B7293" s="16" t="s">
        <v>645</v>
      </c>
      <c r="C7293" s="17" t="s">
        <v>1025</v>
      </c>
      <c r="D7293" s="17" t="s">
        <v>1401</v>
      </c>
      <c r="E7293" s="17" t="s">
        <v>1402</v>
      </c>
      <c r="F7293" s="18">
        <f>DATE(2025,2,7)</f>
        <v>45695</v>
      </c>
      <c r="G7293" s="22">
        <f t="shared" si="646"/>
        <v>2</v>
      </c>
      <c r="H7293" s="22">
        <f t="shared" si="647"/>
        <v>2025</v>
      </c>
      <c r="I7293" s="17" t="s">
        <v>4</v>
      </c>
      <c r="J7293" s="17" t="s">
        <v>7884</v>
      </c>
      <c r="K7293" s="17" t="s">
        <v>2083</v>
      </c>
      <c r="L7293" s="17" t="s">
        <v>2084</v>
      </c>
      <c r="M7293" s="17" t="s">
        <v>119</v>
      </c>
      <c r="N7293" s="22" t="str">
        <f t="shared" si="643"/>
        <v>TON</v>
      </c>
      <c r="O7293" s="19">
        <v>5.0125000000000002</v>
      </c>
    </row>
    <row r="7294" spans="2:15" x14ac:dyDescent="0.25">
      <c r="B7294" s="16" t="s">
        <v>645</v>
      </c>
      <c r="C7294" s="17" t="s">
        <v>1025</v>
      </c>
      <c r="D7294" s="17" t="s">
        <v>1401</v>
      </c>
      <c r="E7294" s="17" t="s">
        <v>1402</v>
      </c>
      <c r="F7294" s="18">
        <f>DATE(2025,2,20)</f>
        <v>45708</v>
      </c>
      <c r="G7294" s="22">
        <f t="shared" si="646"/>
        <v>2</v>
      </c>
      <c r="H7294" s="22">
        <f t="shared" si="647"/>
        <v>2025</v>
      </c>
      <c r="I7294" s="17" t="s">
        <v>4</v>
      </c>
      <c r="J7294" s="17" t="s">
        <v>7885</v>
      </c>
      <c r="K7294" s="17" t="s">
        <v>2083</v>
      </c>
      <c r="L7294" s="17" t="s">
        <v>2084</v>
      </c>
      <c r="M7294" s="17" t="s">
        <v>119</v>
      </c>
      <c r="N7294" s="22" t="str">
        <f t="shared" ref="N7294:N7357" si="650">+LEFT(M7294,3)</f>
        <v>TON</v>
      </c>
      <c r="O7294" s="19">
        <v>4.9800000000000004</v>
      </c>
    </row>
    <row r="7295" spans="2:15" x14ac:dyDescent="0.25">
      <c r="B7295" s="16" t="s">
        <v>645</v>
      </c>
      <c r="C7295" s="17" t="s">
        <v>1025</v>
      </c>
      <c r="D7295" s="17" t="s">
        <v>1401</v>
      </c>
      <c r="E7295" s="17" t="s">
        <v>1402</v>
      </c>
      <c r="F7295" s="18">
        <f>DATE(2025,2,20)</f>
        <v>45708</v>
      </c>
      <c r="G7295" s="22">
        <f t="shared" si="646"/>
        <v>2</v>
      </c>
      <c r="H7295" s="22">
        <f t="shared" si="647"/>
        <v>2025</v>
      </c>
      <c r="I7295" s="17" t="s">
        <v>4</v>
      </c>
      <c r="J7295" s="17" t="s">
        <v>7886</v>
      </c>
      <c r="K7295" s="17" t="s">
        <v>1404</v>
      </c>
      <c r="L7295" s="17" t="s">
        <v>1405</v>
      </c>
      <c r="M7295" s="17" t="s">
        <v>1397</v>
      </c>
      <c r="N7295" s="22" t="str">
        <f t="shared" si="650"/>
        <v>GAL</v>
      </c>
      <c r="O7295" s="19">
        <v>480</v>
      </c>
    </row>
    <row r="7296" spans="2:15" x14ac:dyDescent="0.25">
      <c r="B7296" s="16" t="s">
        <v>645</v>
      </c>
      <c r="C7296" s="17" t="s">
        <v>1025</v>
      </c>
      <c r="D7296" s="17" t="s">
        <v>1401</v>
      </c>
      <c r="E7296" s="17" t="s">
        <v>1402</v>
      </c>
      <c r="F7296" s="18">
        <f>DATE(2025,2,26)</f>
        <v>45714</v>
      </c>
      <c r="G7296" s="22">
        <f t="shared" si="646"/>
        <v>2</v>
      </c>
      <c r="H7296" s="22">
        <f t="shared" si="647"/>
        <v>2025</v>
      </c>
      <c r="I7296" s="17" t="s">
        <v>4</v>
      </c>
      <c r="J7296" s="17" t="s">
        <v>7887</v>
      </c>
      <c r="K7296" s="17" t="s">
        <v>2083</v>
      </c>
      <c r="L7296" s="17" t="s">
        <v>2084</v>
      </c>
      <c r="M7296" s="17" t="s">
        <v>119</v>
      </c>
      <c r="N7296" s="22" t="str">
        <f t="shared" si="650"/>
        <v>TON</v>
      </c>
      <c r="O7296" s="19">
        <v>10</v>
      </c>
    </row>
    <row r="7297" spans="2:15" x14ac:dyDescent="0.25">
      <c r="B7297" s="16" t="s">
        <v>1410</v>
      </c>
      <c r="C7297" s="17" t="s">
        <v>525</v>
      </c>
      <c r="D7297" s="17" t="s">
        <v>628</v>
      </c>
      <c r="E7297" s="17" t="s">
        <v>1036</v>
      </c>
      <c r="F7297" s="18">
        <f>DATE(2025,2,3)</f>
        <v>45691</v>
      </c>
      <c r="G7297" s="22">
        <f t="shared" si="646"/>
        <v>2</v>
      </c>
      <c r="H7297" s="22">
        <f t="shared" si="647"/>
        <v>2025</v>
      </c>
      <c r="I7297" s="17" t="s">
        <v>4</v>
      </c>
      <c r="J7297" s="17" t="s">
        <v>7888</v>
      </c>
      <c r="K7297" s="17" t="s">
        <v>25</v>
      </c>
      <c r="L7297" s="17" t="s">
        <v>541</v>
      </c>
      <c r="M7297" s="17" t="s">
        <v>27</v>
      </c>
      <c r="N7297" s="22" t="str">
        <f t="shared" si="650"/>
        <v>GAL</v>
      </c>
      <c r="O7297" s="19">
        <v>360</v>
      </c>
    </row>
    <row r="7298" spans="2:15" x14ac:dyDescent="0.25">
      <c r="B7298" s="16" t="s">
        <v>1410</v>
      </c>
      <c r="C7298" s="17" t="s">
        <v>525</v>
      </c>
      <c r="D7298" s="17" t="s">
        <v>628</v>
      </c>
      <c r="E7298" s="17" t="s">
        <v>1036</v>
      </c>
      <c r="F7298" s="18">
        <f>DATE(2025,2,5)</f>
        <v>45693</v>
      </c>
      <c r="G7298" s="22">
        <f t="shared" si="646"/>
        <v>2</v>
      </c>
      <c r="H7298" s="22">
        <f t="shared" si="647"/>
        <v>2025</v>
      </c>
      <c r="I7298" s="17" t="s">
        <v>4</v>
      </c>
      <c r="J7298" s="17" t="s">
        <v>7889</v>
      </c>
      <c r="K7298" s="17" t="s">
        <v>531</v>
      </c>
      <c r="L7298" s="17" t="s">
        <v>201</v>
      </c>
      <c r="M7298" s="17" t="s">
        <v>202</v>
      </c>
      <c r="N7298" s="22" t="str">
        <f t="shared" si="650"/>
        <v>GAL</v>
      </c>
      <c r="O7298" s="19">
        <v>300</v>
      </c>
    </row>
    <row r="7299" spans="2:15" x14ac:dyDescent="0.25">
      <c r="B7299" s="16" t="s">
        <v>1410</v>
      </c>
      <c r="C7299" s="17" t="s">
        <v>525</v>
      </c>
      <c r="D7299" s="17" t="s">
        <v>628</v>
      </c>
      <c r="E7299" s="17" t="s">
        <v>1036</v>
      </c>
      <c r="F7299" s="18">
        <f>DATE(2025,2,6)</f>
        <v>45694</v>
      </c>
      <c r="G7299" s="22">
        <f t="shared" si="646"/>
        <v>2</v>
      </c>
      <c r="H7299" s="22">
        <f t="shared" si="647"/>
        <v>2025</v>
      </c>
      <c r="I7299" s="17" t="s">
        <v>4</v>
      </c>
      <c r="J7299" s="17" t="s">
        <v>7890</v>
      </c>
      <c r="K7299" s="17" t="s">
        <v>25</v>
      </c>
      <c r="L7299" s="17" t="s">
        <v>541</v>
      </c>
      <c r="M7299" s="17" t="s">
        <v>27</v>
      </c>
      <c r="N7299" s="22" t="str">
        <f t="shared" si="650"/>
        <v>GAL</v>
      </c>
      <c r="O7299" s="19">
        <v>360</v>
      </c>
    </row>
    <row r="7300" spans="2:15" x14ac:dyDescent="0.25">
      <c r="B7300" s="16" t="s">
        <v>1410</v>
      </c>
      <c r="C7300" s="17" t="s">
        <v>525</v>
      </c>
      <c r="D7300" s="17" t="s">
        <v>124</v>
      </c>
      <c r="E7300" s="17" t="s">
        <v>526</v>
      </c>
      <c r="F7300" s="18">
        <f>DATE(2025,2,7)</f>
        <v>45695</v>
      </c>
      <c r="G7300" s="22">
        <f t="shared" si="646"/>
        <v>2</v>
      </c>
      <c r="H7300" s="22">
        <f t="shared" si="647"/>
        <v>2025</v>
      </c>
      <c r="I7300" s="17" t="s">
        <v>4</v>
      </c>
      <c r="J7300" s="17" t="s">
        <v>7891</v>
      </c>
      <c r="K7300" s="17" t="s">
        <v>1031</v>
      </c>
      <c r="L7300" s="17" t="s">
        <v>1032</v>
      </c>
      <c r="M7300" s="17" t="s">
        <v>119</v>
      </c>
      <c r="N7300" s="22" t="str">
        <f t="shared" si="650"/>
        <v>TON</v>
      </c>
      <c r="O7300" s="19">
        <v>10</v>
      </c>
    </row>
    <row r="7301" spans="2:15" x14ac:dyDescent="0.25">
      <c r="B7301" s="16" t="s">
        <v>1410</v>
      </c>
      <c r="C7301" s="17" t="s">
        <v>525</v>
      </c>
      <c r="D7301" s="17" t="s">
        <v>507</v>
      </c>
      <c r="E7301" s="17" t="s">
        <v>508</v>
      </c>
      <c r="F7301" s="18">
        <f>DATE(2025,2,10)</f>
        <v>45698</v>
      </c>
      <c r="G7301" s="22">
        <f t="shared" si="646"/>
        <v>2</v>
      </c>
      <c r="H7301" s="22">
        <f t="shared" si="647"/>
        <v>2025</v>
      </c>
      <c r="I7301" s="17" t="s">
        <v>4</v>
      </c>
      <c r="J7301" s="17" t="s">
        <v>7892</v>
      </c>
      <c r="K7301" s="17" t="s">
        <v>25</v>
      </c>
      <c r="L7301" s="17" t="s">
        <v>541</v>
      </c>
      <c r="M7301" s="17" t="s">
        <v>27</v>
      </c>
      <c r="N7301" s="22" t="str">
        <f t="shared" si="650"/>
        <v>GAL</v>
      </c>
      <c r="O7301" s="19">
        <v>360</v>
      </c>
    </row>
    <row r="7302" spans="2:15" x14ac:dyDescent="0.25">
      <c r="B7302" s="16" t="s">
        <v>1410</v>
      </c>
      <c r="C7302" s="17" t="s">
        <v>525</v>
      </c>
      <c r="D7302" s="17" t="s">
        <v>124</v>
      </c>
      <c r="E7302" s="17" t="s">
        <v>526</v>
      </c>
      <c r="F7302" s="18">
        <f>DATE(2025,2,10)</f>
        <v>45698</v>
      </c>
      <c r="G7302" s="22">
        <f t="shared" si="646"/>
        <v>2</v>
      </c>
      <c r="H7302" s="22">
        <f t="shared" si="647"/>
        <v>2025</v>
      </c>
      <c r="I7302" s="17" t="s">
        <v>4</v>
      </c>
      <c r="J7302" s="17" t="s">
        <v>7893</v>
      </c>
      <c r="K7302" s="17" t="s">
        <v>1031</v>
      </c>
      <c r="L7302" s="17" t="s">
        <v>1032</v>
      </c>
      <c r="M7302" s="17" t="s">
        <v>119</v>
      </c>
      <c r="N7302" s="22" t="str">
        <f t="shared" si="650"/>
        <v>TON</v>
      </c>
      <c r="O7302" s="19">
        <v>9.98</v>
      </c>
    </row>
    <row r="7303" spans="2:15" x14ac:dyDescent="0.25">
      <c r="B7303" s="16" t="s">
        <v>1410</v>
      </c>
      <c r="C7303" s="17" t="s">
        <v>525</v>
      </c>
      <c r="D7303" s="17" t="s">
        <v>507</v>
      </c>
      <c r="E7303" s="17" t="s">
        <v>508</v>
      </c>
      <c r="F7303" s="18">
        <f>DATE(2025,2,12)</f>
        <v>45700</v>
      </c>
      <c r="G7303" s="22">
        <f t="shared" si="646"/>
        <v>2</v>
      </c>
      <c r="H7303" s="22">
        <f t="shared" si="647"/>
        <v>2025</v>
      </c>
      <c r="I7303" s="17" t="s">
        <v>4</v>
      </c>
      <c r="J7303" s="17" t="s">
        <v>7894</v>
      </c>
      <c r="K7303" s="17" t="s">
        <v>25</v>
      </c>
      <c r="L7303" s="17" t="s">
        <v>541</v>
      </c>
      <c r="M7303" s="17" t="s">
        <v>27</v>
      </c>
      <c r="N7303" s="22" t="str">
        <f t="shared" si="650"/>
        <v>GAL</v>
      </c>
      <c r="O7303" s="19">
        <v>140</v>
      </c>
    </row>
    <row r="7304" spans="2:15" x14ac:dyDescent="0.25">
      <c r="B7304" s="16" t="s">
        <v>1410</v>
      </c>
      <c r="C7304" s="17" t="s">
        <v>525</v>
      </c>
      <c r="D7304" s="17" t="s">
        <v>507</v>
      </c>
      <c r="E7304" s="17" t="s">
        <v>508</v>
      </c>
      <c r="F7304" s="18">
        <f>DATE(2025,2,18)</f>
        <v>45706</v>
      </c>
      <c r="G7304" s="22">
        <f t="shared" si="646"/>
        <v>2</v>
      </c>
      <c r="H7304" s="22">
        <f t="shared" si="647"/>
        <v>2025</v>
      </c>
      <c r="I7304" s="17" t="s">
        <v>4</v>
      </c>
      <c r="J7304" s="17" t="s">
        <v>7895</v>
      </c>
      <c r="K7304" s="17" t="s">
        <v>220</v>
      </c>
      <c r="L7304" s="17" t="s">
        <v>201</v>
      </c>
      <c r="M7304" s="17" t="s">
        <v>202</v>
      </c>
      <c r="N7304" s="22" t="str">
        <f t="shared" si="650"/>
        <v>GAL</v>
      </c>
      <c r="O7304" s="19">
        <v>1250</v>
      </c>
    </row>
    <row r="7305" spans="2:15" x14ac:dyDescent="0.25">
      <c r="B7305" s="16" t="s">
        <v>1410</v>
      </c>
      <c r="C7305" s="17" t="s">
        <v>525</v>
      </c>
      <c r="D7305" s="17" t="s">
        <v>124</v>
      </c>
      <c r="E7305" s="17" t="s">
        <v>526</v>
      </c>
      <c r="F7305" s="18">
        <f>DATE(2025,2,20)</f>
        <v>45708</v>
      </c>
      <c r="G7305" s="22">
        <f t="shared" si="646"/>
        <v>2</v>
      </c>
      <c r="H7305" s="22">
        <f t="shared" si="647"/>
        <v>2025</v>
      </c>
      <c r="I7305" s="17" t="s">
        <v>4</v>
      </c>
      <c r="J7305" s="17" t="s">
        <v>7896</v>
      </c>
      <c r="K7305" s="17" t="s">
        <v>1031</v>
      </c>
      <c r="L7305" s="17" t="s">
        <v>1032</v>
      </c>
      <c r="M7305" s="17" t="s">
        <v>119</v>
      </c>
      <c r="N7305" s="22" t="str">
        <f t="shared" si="650"/>
        <v>TON</v>
      </c>
      <c r="O7305" s="19">
        <v>11.9575</v>
      </c>
    </row>
    <row r="7306" spans="2:15" x14ac:dyDescent="0.25">
      <c r="B7306" s="16" t="s">
        <v>1410</v>
      </c>
      <c r="C7306" s="17" t="s">
        <v>525</v>
      </c>
      <c r="D7306" s="17" t="s">
        <v>124</v>
      </c>
      <c r="E7306" s="17" t="s">
        <v>526</v>
      </c>
      <c r="F7306" s="18">
        <f>DATE(2025,2,20)</f>
        <v>45708</v>
      </c>
      <c r="G7306" s="22">
        <f t="shared" si="646"/>
        <v>2</v>
      </c>
      <c r="H7306" s="22">
        <f t="shared" si="647"/>
        <v>2025</v>
      </c>
      <c r="I7306" s="17" t="s">
        <v>4</v>
      </c>
      <c r="J7306" s="17" t="s">
        <v>7897</v>
      </c>
      <c r="K7306" s="17" t="s">
        <v>2113</v>
      </c>
      <c r="L7306" s="17" t="s">
        <v>2114</v>
      </c>
      <c r="M7306" s="17" t="s">
        <v>119</v>
      </c>
      <c r="N7306" s="22" t="str">
        <f t="shared" si="650"/>
        <v>TON</v>
      </c>
      <c r="O7306" s="19">
        <v>12.0025</v>
      </c>
    </row>
    <row r="7307" spans="2:15" x14ac:dyDescent="0.25">
      <c r="B7307" s="16" t="s">
        <v>1410</v>
      </c>
      <c r="C7307" s="17" t="s">
        <v>525</v>
      </c>
      <c r="D7307" s="17" t="s">
        <v>507</v>
      </c>
      <c r="E7307" s="17" t="s">
        <v>508</v>
      </c>
      <c r="F7307" s="18">
        <f>DATE(2025,2,21)</f>
        <v>45709</v>
      </c>
      <c r="G7307" s="22">
        <f t="shared" si="646"/>
        <v>2</v>
      </c>
      <c r="H7307" s="22">
        <f t="shared" si="647"/>
        <v>2025</v>
      </c>
      <c r="I7307" s="17" t="s">
        <v>4</v>
      </c>
      <c r="J7307" s="17" t="s">
        <v>7898</v>
      </c>
      <c r="K7307" s="17" t="s">
        <v>158</v>
      </c>
      <c r="L7307" s="17" t="s">
        <v>159</v>
      </c>
      <c r="M7307" s="17" t="s">
        <v>160</v>
      </c>
      <c r="N7307" s="22" t="str">
        <f t="shared" si="650"/>
        <v>GAL</v>
      </c>
      <c r="O7307" s="19">
        <v>540</v>
      </c>
    </row>
    <row r="7308" spans="2:15" x14ac:dyDescent="0.25">
      <c r="B7308" s="16" t="s">
        <v>1410</v>
      </c>
      <c r="C7308" s="17" t="s">
        <v>525</v>
      </c>
      <c r="D7308" s="17" t="s">
        <v>124</v>
      </c>
      <c r="E7308" s="17" t="s">
        <v>526</v>
      </c>
      <c r="F7308" s="18">
        <f>DATE(2025,2,21)</f>
        <v>45709</v>
      </c>
      <c r="G7308" s="22">
        <f t="shared" si="646"/>
        <v>2</v>
      </c>
      <c r="H7308" s="22">
        <f t="shared" si="647"/>
        <v>2025</v>
      </c>
      <c r="I7308" s="17" t="s">
        <v>4</v>
      </c>
      <c r="J7308" s="17" t="s">
        <v>7899</v>
      </c>
      <c r="K7308" s="17" t="s">
        <v>1031</v>
      </c>
      <c r="L7308" s="17" t="s">
        <v>1032</v>
      </c>
      <c r="M7308" s="17" t="s">
        <v>119</v>
      </c>
      <c r="N7308" s="22" t="str">
        <f t="shared" si="650"/>
        <v>TON</v>
      </c>
      <c r="O7308" s="19">
        <v>12</v>
      </c>
    </row>
    <row r="7309" spans="2:15" x14ac:dyDescent="0.25">
      <c r="B7309" s="16" t="s">
        <v>1410</v>
      </c>
      <c r="C7309" s="17" t="s">
        <v>525</v>
      </c>
      <c r="D7309" s="17" t="s">
        <v>124</v>
      </c>
      <c r="E7309" s="17" t="s">
        <v>526</v>
      </c>
      <c r="F7309" s="18">
        <f>DATE(2025,2,24)</f>
        <v>45712</v>
      </c>
      <c r="G7309" s="22">
        <f t="shared" si="646"/>
        <v>2</v>
      </c>
      <c r="H7309" s="22">
        <f t="shared" si="647"/>
        <v>2025</v>
      </c>
      <c r="I7309" s="17" t="s">
        <v>4</v>
      </c>
      <c r="J7309" s="17" t="s">
        <v>7900</v>
      </c>
      <c r="K7309" s="17" t="s">
        <v>1031</v>
      </c>
      <c r="L7309" s="17" t="s">
        <v>1032</v>
      </c>
      <c r="M7309" s="17" t="s">
        <v>119</v>
      </c>
      <c r="N7309" s="22" t="str">
        <f t="shared" si="650"/>
        <v>TON</v>
      </c>
      <c r="O7309" s="19">
        <v>6.0125000000000002</v>
      </c>
    </row>
    <row r="7310" spans="2:15" x14ac:dyDescent="0.25">
      <c r="B7310" s="16" t="s">
        <v>1410</v>
      </c>
      <c r="C7310" s="17" t="s">
        <v>525</v>
      </c>
      <c r="D7310" s="17" t="s">
        <v>1956</v>
      </c>
      <c r="E7310" s="17" t="s">
        <v>102</v>
      </c>
      <c r="F7310" s="18">
        <f>DATE(2025,2,24)</f>
        <v>45712</v>
      </c>
      <c r="G7310" s="22">
        <f t="shared" si="646"/>
        <v>2</v>
      </c>
      <c r="H7310" s="22">
        <f t="shared" si="647"/>
        <v>2025</v>
      </c>
      <c r="I7310" s="17" t="s">
        <v>4</v>
      </c>
      <c r="J7310" s="17" t="s">
        <v>7901</v>
      </c>
      <c r="K7310" s="17" t="s">
        <v>268</v>
      </c>
      <c r="L7310" s="17" t="s">
        <v>269</v>
      </c>
      <c r="M7310" s="17" t="s">
        <v>119</v>
      </c>
      <c r="N7310" s="22" t="str">
        <f t="shared" si="650"/>
        <v>TON</v>
      </c>
      <c r="O7310" s="19">
        <v>0.15</v>
      </c>
    </row>
    <row r="7311" spans="2:15" x14ac:dyDescent="0.25">
      <c r="B7311" s="16" t="s">
        <v>645</v>
      </c>
      <c r="C7311" s="17" t="s">
        <v>533</v>
      </c>
      <c r="D7311" s="17" t="s">
        <v>557</v>
      </c>
      <c r="E7311" s="17" t="s">
        <v>1090</v>
      </c>
      <c r="F7311" s="18">
        <f>DATE(2025,2,4)</f>
        <v>45692</v>
      </c>
      <c r="G7311" s="22">
        <f t="shared" si="646"/>
        <v>2</v>
      </c>
      <c r="H7311" s="22">
        <f t="shared" si="647"/>
        <v>2025</v>
      </c>
      <c r="I7311" s="17" t="s">
        <v>4</v>
      </c>
      <c r="J7311" s="17" t="s">
        <v>7902</v>
      </c>
      <c r="K7311" s="17" t="s">
        <v>569</v>
      </c>
      <c r="L7311" s="17" t="s">
        <v>570</v>
      </c>
      <c r="M7311" s="17" t="s">
        <v>106</v>
      </c>
      <c r="N7311" s="22" t="str">
        <f t="shared" si="650"/>
        <v>LBS</v>
      </c>
      <c r="O7311" s="19">
        <v>2000</v>
      </c>
    </row>
    <row r="7312" spans="2:15" x14ac:dyDescent="0.25">
      <c r="B7312" s="16" t="s">
        <v>1050</v>
      </c>
      <c r="C7312" s="17" t="s">
        <v>533</v>
      </c>
      <c r="D7312" s="17" t="s">
        <v>557</v>
      </c>
      <c r="E7312" s="17" t="s">
        <v>1059</v>
      </c>
      <c r="F7312" s="18">
        <f>DATE(2025,2,5)</f>
        <v>45693</v>
      </c>
      <c r="G7312" s="22">
        <f t="shared" si="646"/>
        <v>2</v>
      </c>
      <c r="H7312" s="22">
        <f t="shared" si="647"/>
        <v>2025</v>
      </c>
      <c r="I7312" s="17" t="s">
        <v>4</v>
      </c>
      <c r="J7312" s="17" t="s">
        <v>7903</v>
      </c>
      <c r="K7312" s="17" t="s">
        <v>1424</v>
      </c>
      <c r="L7312" s="17" t="s">
        <v>1057</v>
      </c>
      <c r="M7312" s="17" t="s">
        <v>1058</v>
      </c>
      <c r="N7312" s="22" t="str">
        <f t="shared" si="650"/>
        <v>GAL</v>
      </c>
      <c r="O7312" s="19">
        <v>3600</v>
      </c>
    </row>
    <row r="7313" spans="2:15" x14ac:dyDescent="0.25">
      <c r="B7313" s="16" t="s">
        <v>645</v>
      </c>
      <c r="C7313" s="17" t="s">
        <v>533</v>
      </c>
      <c r="D7313" s="17" t="s">
        <v>557</v>
      </c>
      <c r="E7313" s="17" t="s">
        <v>4801</v>
      </c>
      <c r="F7313" s="18">
        <f>DATE(2025,2,6)</f>
        <v>45694</v>
      </c>
      <c r="G7313" s="22">
        <f t="shared" si="646"/>
        <v>2</v>
      </c>
      <c r="H7313" s="22">
        <f t="shared" si="647"/>
        <v>2025</v>
      </c>
      <c r="I7313" s="17" t="s">
        <v>4</v>
      </c>
      <c r="J7313" s="17" t="s">
        <v>7904</v>
      </c>
      <c r="K7313" s="17" t="s">
        <v>1056</v>
      </c>
      <c r="L7313" s="17" t="s">
        <v>1057</v>
      </c>
      <c r="M7313" s="17" t="s">
        <v>1058</v>
      </c>
      <c r="N7313" s="22" t="str">
        <f t="shared" si="650"/>
        <v>GAL</v>
      </c>
      <c r="O7313" s="19">
        <v>3710</v>
      </c>
    </row>
    <row r="7314" spans="2:15" x14ac:dyDescent="0.25">
      <c r="B7314" s="16" t="s">
        <v>1050</v>
      </c>
      <c r="C7314" s="17" t="s">
        <v>533</v>
      </c>
      <c r="D7314" s="17" t="s">
        <v>557</v>
      </c>
      <c r="E7314" s="17" t="s">
        <v>1419</v>
      </c>
      <c r="F7314" s="18">
        <f>DATE(2025,2,7)</f>
        <v>45695</v>
      </c>
      <c r="G7314" s="22">
        <f t="shared" ref="G7314:G7377" si="651">+MONTH(F7314)</f>
        <v>2</v>
      </c>
      <c r="H7314" s="22">
        <f t="shared" ref="H7314:H7377" si="652">+YEAR(F7314)</f>
        <v>2025</v>
      </c>
      <c r="I7314" s="17" t="s">
        <v>4</v>
      </c>
      <c r="J7314" s="17" t="s">
        <v>7905</v>
      </c>
      <c r="K7314" s="17" t="s">
        <v>1424</v>
      </c>
      <c r="L7314" s="17" t="s">
        <v>1057</v>
      </c>
      <c r="M7314" s="17" t="s">
        <v>1058</v>
      </c>
      <c r="N7314" s="22" t="str">
        <f t="shared" si="650"/>
        <v>GAL</v>
      </c>
      <c r="O7314" s="19">
        <v>3600</v>
      </c>
    </row>
    <row r="7315" spans="2:15" x14ac:dyDescent="0.25">
      <c r="B7315" s="16" t="s">
        <v>645</v>
      </c>
      <c r="C7315" s="17" t="s">
        <v>533</v>
      </c>
      <c r="D7315" s="17" t="s">
        <v>557</v>
      </c>
      <c r="E7315" s="17" t="s">
        <v>2160</v>
      </c>
      <c r="F7315" s="18">
        <f>DATE(2025,2,11)</f>
        <v>45699</v>
      </c>
      <c r="G7315" s="22">
        <f t="shared" si="651"/>
        <v>2</v>
      </c>
      <c r="H7315" s="22">
        <f t="shared" si="652"/>
        <v>2025</v>
      </c>
      <c r="I7315" s="17" t="s">
        <v>4</v>
      </c>
      <c r="J7315" s="17" t="s">
        <v>7906</v>
      </c>
      <c r="K7315" s="17" t="s">
        <v>2516</v>
      </c>
      <c r="L7315" s="17" t="s">
        <v>2163</v>
      </c>
      <c r="M7315" s="17" t="s">
        <v>106</v>
      </c>
      <c r="N7315" s="22" t="str">
        <f t="shared" si="650"/>
        <v>LBS</v>
      </c>
      <c r="O7315" s="19">
        <v>27803</v>
      </c>
    </row>
    <row r="7316" spans="2:15" x14ac:dyDescent="0.25">
      <c r="B7316" s="16" t="s">
        <v>645</v>
      </c>
      <c r="C7316" s="17" t="s">
        <v>533</v>
      </c>
      <c r="D7316" s="17" t="s">
        <v>557</v>
      </c>
      <c r="E7316" s="17" t="s">
        <v>2160</v>
      </c>
      <c r="F7316" s="18">
        <f>DATE(2025,2,11)</f>
        <v>45699</v>
      </c>
      <c r="G7316" s="22">
        <f t="shared" si="651"/>
        <v>2</v>
      </c>
      <c r="H7316" s="22">
        <f t="shared" si="652"/>
        <v>2025</v>
      </c>
      <c r="I7316" s="17" t="s">
        <v>4</v>
      </c>
      <c r="J7316" s="17" t="s">
        <v>7906</v>
      </c>
      <c r="K7316" s="17" t="s">
        <v>2162</v>
      </c>
      <c r="L7316" s="17" t="s">
        <v>2163</v>
      </c>
      <c r="M7316" s="17" t="s">
        <v>106</v>
      </c>
      <c r="N7316" s="22" t="str">
        <f t="shared" si="650"/>
        <v>LBS</v>
      </c>
      <c r="O7316" s="19">
        <v>9000</v>
      </c>
    </row>
    <row r="7317" spans="2:15" x14ac:dyDescent="0.25">
      <c r="B7317" s="16" t="s">
        <v>1050</v>
      </c>
      <c r="C7317" s="17" t="s">
        <v>533</v>
      </c>
      <c r="D7317" s="17" t="s">
        <v>557</v>
      </c>
      <c r="E7317" s="17" t="s">
        <v>2826</v>
      </c>
      <c r="F7317" s="18">
        <f>DATE(2025,2,11)</f>
        <v>45699</v>
      </c>
      <c r="G7317" s="22">
        <f t="shared" si="651"/>
        <v>2</v>
      </c>
      <c r="H7317" s="22">
        <f t="shared" si="652"/>
        <v>2025</v>
      </c>
      <c r="I7317" s="17" t="s">
        <v>4</v>
      </c>
      <c r="J7317" s="17" t="s">
        <v>7907</v>
      </c>
      <c r="K7317" s="17" t="s">
        <v>817</v>
      </c>
      <c r="L7317" s="17" t="s">
        <v>818</v>
      </c>
      <c r="M7317" s="17" t="s">
        <v>556</v>
      </c>
      <c r="N7317" s="22" t="str">
        <f t="shared" si="650"/>
        <v>GAL</v>
      </c>
      <c r="O7317" s="19">
        <v>360</v>
      </c>
    </row>
    <row r="7318" spans="2:15" x14ac:dyDescent="0.25">
      <c r="B7318" s="16" t="s">
        <v>645</v>
      </c>
      <c r="C7318" s="17" t="s">
        <v>533</v>
      </c>
      <c r="D7318" s="17" t="s">
        <v>557</v>
      </c>
      <c r="E7318" s="17" t="s">
        <v>1090</v>
      </c>
      <c r="F7318" s="18">
        <f>DATE(2025,2,4)</f>
        <v>45692</v>
      </c>
      <c r="G7318" s="22">
        <f t="shared" si="651"/>
        <v>2</v>
      </c>
      <c r="H7318" s="22">
        <f t="shared" si="652"/>
        <v>2025</v>
      </c>
      <c r="I7318" s="17" t="s">
        <v>4</v>
      </c>
      <c r="J7318" s="17" t="s">
        <v>7908</v>
      </c>
      <c r="K7318" s="17" t="s">
        <v>569</v>
      </c>
      <c r="L7318" s="17" t="s">
        <v>570</v>
      </c>
      <c r="M7318" s="17" t="s">
        <v>106</v>
      </c>
      <c r="N7318" s="22" t="str">
        <f t="shared" si="650"/>
        <v>LBS</v>
      </c>
      <c r="O7318" s="19">
        <v>500</v>
      </c>
    </row>
    <row r="7319" spans="2:15" x14ac:dyDescent="0.25">
      <c r="B7319" s="16" t="s">
        <v>1050</v>
      </c>
      <c r="C7319" s="17" t="s">
        <v>533</v>
      </c>
      <c r="D7319" s="17" t="s">
        <v>557</v>
      </c>
      <c r="E7319" s="17" t="s">
        <v>2509</v>
      </c>
      <c r="F7319" s="18">
        <f>DATE(2025,2,12)</f>
        <v>45700</v>
      </c>
      <c r="G7319" s="22">
        <f t="shared" si="651"/>
        <v>2</v>
      </c>
      <c r="H7319" s="22">
        <f t="shared" si="652"/>
        <v>2025</v>
      </c>
      <c r="I7319" s="17" t="s">
        <v>4</v>
      </c>
      <c r="J7319" s="17" t="s">
        <v>7909</v>
      </c>
      <c r="K7319" s="17" t="s">
        <v>2128</v>
      </c>
      <c r="L7319" s="17" t="s">
        <v>2129</v>
      </c>
      <c r="M7319" s="17" t="s">
        <v>106</v>
      </c>
      <c r="N7319" s="22" t="str">
        <f t="shared" si="650"/>
        <v>LBS</v>
      </c>
      <c r="O7319" s="19">
        <v>5000</v>
      </c>
    </row>
    <row r="7320" spans="2:15" x14ac:dyDescent="0.25">
      <c r="B7320" s="16" t="s">
        <v>645</v>
      </c>
      <c r="C7320" s="17" t="s">
        <v>533</v>
      </c>
      <c r="D7320" s="17" t="s">
        <v>557</v>
      </c>
      <c r="E7320" s="17" t="s">
        <v>1090</v>
      </c>
      <c r="F7320" s="18">
        <f>DATE(2025,2,17)</f>
        <v>45705</v>
      </c>
      <c r="G7320" s="22">
        <f t="shared" si="651"/>
        <v>2</v>
      </c>
      <c r="H7320" s="22">
        <f t="shared" si="652"/>
        <v>2025</v>
      </c>
      <c r="I7320" s="17" t="s">
        <v>4</v>
      </c>
      <c r="J7320" s="17" t="s">
        <v>7910</v>
      </c>
      <c r="K7320" s="17" t="s">
        <v>3078</v>
      </c>
      <c r="L7320" s="17" t="s">
        <v>3079</v>
      </c>
      <c r="M7320" s="17" t="s">
        <v>13</v>
      </c>
      <c r="N7320" s="22" t="str">
        <f t="shared" si="650"/>
        <v>GAL</v>
      </c>
      <c r="O7320" s="19">
        <v>360</v>
      </c>
    </row>
    <row r="7321" spans="2:15" x14ac:dyDescent="0.25">
      <c r="B7321" s="16" t="s">
        <v>645</v>
      </c>
      <c r="C7321" s="17" t="s">
        <v>533</v>
      </c>
      <c r="D7321" s="17" t="s">
        <v>557</v>
      </c>
      <c r="E7321" s="17" t="s">
        <v>1090</v>
      </c>
      <c r="F7321" s="18">
        <f>DATE(2025,2,17)</f>
        <v>45705</v>
      </c>
      <c r="G7321" s="22">
        <f t="shared" si="651"/>
        <v>2</v>
      </c>
      <c r="H7321" s="22">
        <f t="shared" si="652"/>
        <v>2025</v>
      </c>
      <c r="I7321" s="17" t="s">
        <v>4</v>
      </c>
      <c r="J7321" s="17" t="s">
        <v>7910</v>
      </c>
      <c r="K7321" s="17" t="s">
        <v>2123</v>
      </c>
      <c r="L7321" s="17" t="s">
        <v>2124</v>
      </c>
      <c r="M7321" s="17" t="s">
        <v>106</v>
      </c>
      <c r="N7321" s="22" t="str">
        <f t="shared" si="650"/>
        <v>LBS</v>
      </c>
      <c r="O7321" s="19">
        <v>7200</v>
      </c>
    </row>
    <row r="7322" spans="2:15" x14ac:dyDescent="0.25">
      <c r="B7322" s="16" t="s">
        <v>645</v>
      </c>
      <c r="C7322" s="17" t="s">
        <v>533</v>
      </c>
      <c r="D7322" s="17" t="s">
        <v>557</v>
      </c>
      <c r="E7322" s="17" t="s">
        <v>1090</v>
      </c>
      <c r="F7322" s="18">
        <f>DATE(2025,2,17)</f>
        <v>45705</v>
      </c>
      <c r="G7322" s="22">
        <f t="shared" si="651"/>
        <v>2</v>
      </c>
      <c r="H7322" s="22">
        <f t="shared" si="652"/>
        <v>2025</v>
      </c>
      <c r="I7322" s="17" t="s">
        <v>4</v>
      </c>
      <c r="J7322" s="17" t="s">
        <v>7910</v>
      </c>
      <c r="K7322" s="17" t="s">
        <v>2127</v>
      </c>
      <c r="L7322" s="17" t="s">
        <v>2126</v>
      </c>
      <c r="M7322" s="17" t="s">
        <v>106</v>
      </c>
      <c r="N7322" s="22" t="str">
        <f t="shared" si="650"/>
        <v>LBS</v>
      </c>
      <c r="O7322" s="19">
        <v>1800</v>
      </c>
    </row>
    <row r="7323" spans="2:15" x14ac:dyDescent="0.25">
      <c r="B7323" s="16" t="s">
        <v>645</v>
      </c>
      <c r="C7323" s="17" t="s">
        <v>533</v>
      </c>
      <c r="D7323" s="17" t="s">
        <v>557</v>
      </c>
      <c r="E7323" s="17" t="s">
        <v>1090</v>
      </c>
      <c r="F7323" s="18">
        <f>DATE(2025,2,17)</f>
        <v>45705</v>
      </c>
      <c r="G7323" s="22">
        <f t="shared" si="651"/>
        <v>2</v>
      </c>
      <c r="H7323" s="22">
        <f t="shared" si="652"/>
        <v>2025</v>
      </c>
      <c r="I7323" s="17" t="s">
        <v>4</v>
      </c>
      <c r="J7323" s="17" t="s">
        <v>7910</v>
      </c>
      <c r="K7323" s="17" t="s">
        <v>2125</v>
      </c>
      <c r="L7323" s="17" t="s">
        <v>2126</v>
      </c>
      <c r="M7323" s="17" t="s">
        <v>106</v>
      </c>
      <c r="N7323" s="22" t="str">
        <f t="shared" si="650"/>
        <v>LBS</v>
      </c>
      <c r="O7323" s="19">
        <v>20000</v>
      </c>
    </row>
    <row r="7324" spans="2:15" x14ac:dyDescent="0.25">
      <c r="B7324" s="16" t="s">
        <v>645</v>
      </c>
      <c r="C7324" s="17" t="s">
        <v>533</v>
      </c>
      <c r="D7324" s="17" t="s">
        <v>557</v>
      </c>
      <c r="E7324" s="17" t="s">
        <v>1090</v>
      </c>
      <c r="F7324" s="18">
        <f>DATE(2025,2,17)</f>
        <v>45705</v>
      </c>
      <c r="G7324" s="22">
        <f t="shared" si="651"/>
        <v>2</v>
      </c>
      <c r="H7324" s="22">
        <f t="shared" si="652"/>
        <v>2025</v>
      </c>
      <c r="I7324" s="17" t="s">
        <v>4</v>
      </c>
      <c r="J7324" s="17" t="s">
        <v>7910</v>
      </c>
      <c r="K7324" s="17" t="s">
        <v>2125</v>
      </c>
      <c r="L7324" s="17" t="s">
        <v>2126</v>
      </c>
      <c r="M7324" s="17" t="s">
        <v>106</v>
      </c>
      <c r="N7324" s="22" t="str">
        <f t="shared" si="650"/>
        <v>LBS</v>
      </c>
      <c r="O7324" s="19">
        <v>2200</v>
      </c>
    </row>
    <row r="7325" spans="2:15" x14ac:dyDescent="0.25">
      <c r="B7325" s="16" t="s">
        <v>1050</v>
      </c>
      <c r="C7325" s="17" t="s">
        <v>533</v>
      </c>
      <c r="D7325" s="17" t="s">
        <v>557</v>
      </c>
      <c r="E7325" s="17" t="s">
        <v>1059</v>
      </c>
      <c r="F7325" s="18">
        <f>DATE(2025,2,19)</f>
        <v>45707</v>
      </c>
      <c r="G7325" s="22">
        <f t="shared" si="651"/>
        <v>2</v>
      </c>
      <c r="H7325" s="22">
        <f t="shared" si="652"/>
        <v>2025</v>
      </c>
      <c r="I7325" s="17" t="s">
        <v>4</v>
      </c>
      <c r="J7325" s="17" t="s">
        <v>7911</v>
      </c>
      <c r="K7325" s="17" t="s">
        <v>1424</v>
      </c>
      <c r="L7325" s="17" t="s">
        <v>1057</v>
      </c>
      <c r="M7325" s="17" t="s">
        <v>1058</v>
      </c>
      <c r="N7325" s="22" t="str">
        <f t="shared" si="650"/>
        <v>GAL</v>
      </c>
      <c r="O7325" s="19">
        <v>3600</v>
      </c>
    </row>
    <row r="7326" spans="2:15" x14ac:dyDescent="0.25">
      <c r="B7326" s="16" t="s">
        <v>1050</v>
      </c>
      <c r="C7326" s="17" t="s">
        <v>533</v>
      </c>
      <c r="D7326" s="17" t="s">
        <v>2133</v>
      </c>
      <c r="E7326" s="17" t="s">
        <v>2134</v>
      </c>
      <c r="F7326" s="18">
        <f t="shared" ref="F7326:F7332" si="653">DATE(2025,2,24)</f>
        <v>45712</v>
      </c>
      <c r="G7326" s="22">
        <f t="shared" si="651"/>
        <v>2</v>
      </c>
      <c r="H7326" s="22">
        <f t="shared" si="652"/>
        <v>2025</v>
      </c>
      <c r="I7326" s="17" t="s">
        <v>4</v>
      </c>
      <c r="J7326" s="17" t="s">
        <v>7912</v>
      </c>
      <c r="K7326" s="17" t="s">
        <v>1014</v>
      </c>
      <c r="L7326" s="17" t="s">
        <v>472</v>
      </c>
      <c r="M7326" s="17" t="s">
        <v>473</v>
      </c>
      <c r="N7326" s="22" t="str">
        <f t="shared" si="650"/>
        <v>GAL</v>
      </c>
      <c r="O7326" s="19">
        <v>90</v>
      </c>
    </row>
    <row r="7327" spans="2:15" x14ac:dyDescent="0.25">
      <c r="B7327" s="16" t="s">
        <v>1050</v>
      </c>
      <c r="C7327" s="17" t="s">
        <v>533</v>
      </c>
      <c r="D7327" s="17" t="s">
        <v>2133</v>
      </c>
      <c r="E7327" s="17" t="s">
        <v>2134</v>
      </c>
      <c r="F7327" s="18">
        <f t="shared" si="653"/>
        <v>45712</v>
      </c>
      <c r="G7327" s="22">
        <f t="shared" si="651"/>
        <v>2</v>
      </c>
      <c r="H7327" s="22">
        <f t="shared" si="652"/>
        <v>2025</v>
      </c>
      <c r="I7327" s="17" t="s">
        <v>4</v>
      </c>
      <c r="J7327" s="17" t="s">
        <v>7912</v>
      </c>
      <c r="K7327" s="17" t="s">
        <v>609</v>
      </c>
      <c r="L7327" s="17" t="s">
        <v>610</v>
      </c>
      <c r="M7327" s="17" t="s">
        <v>611</v>
      </c>
      <c r="N7327" s="22" t="str">
        <f t="shared" si="650"/>
        <v>GAL</v>
      </c>
      <c r="O7327" s="19">
        <v>720</v>
      </c>
    </row>
    <row r="7328" spans="2:15" x14ac:dyDescent="0.25">
      <c r="B7328" s="16" t="s">
        <v>1050</v>
      </c>
      <c r="C7328" s="17" t="s">
        <v>533</v>
      </c>
      <c r="D7328" s="17" t="s">
        <v>2133</v>
      </c>
      <c r="E7328" s="17" t="s">
        <v>2134</v>
      </c>
      <c r="F7328" s="18">
        <f t="shared" si="653"/>
        <v>45712</v>
      </c>
      <c r="G7328" s="22">
        <f t="shared" si="651"/>
        <v>2</v>
      </c>
      <c r="H7328" s="22">
        <f t="shared" si="652"/>
        <v>2025</v>
      </c>
      <c r="I7328" s="17" t="s">
        <v>4</v>
      </c>
      <c r="J7328" s="17" t="s">
        <v>7912</v>
      </c>
      <c r="K7328" s="17" t="s">
        <v>83</v>
      </c>
      <c r="L7328" s="17" t="s">
        <v>518</v>
      </c>
      <c r="M7328" s="17" t="s">
        <v>85</v>
      </c>
      <c r="N7328" s="22" t="str">
        <f t="shared" si="650"/>
        <v>GAL</v>
      </c>
      <c r="O7328" s="19">
        <v>1440</v>
      </c>
    </row>
    <row r="7329" spans="2:15" x14ac:dyDescent="0.25">
      <c r="B7329" s="16" t="s">
        <v>1050</v>
      </c>
      <c r="C7329" s="17" t="s">
        <v>533</v>
      </c>
      <c r="D7329" s="17" t="s">
        <v>2133</v>
      </c>
      <c r="E7329" s="17" t="s">
        <v>2134</v>
      </c>
      <c r="F7329" s="18">
        <f t="shared" si="653"/>
        <v>45712</v>
      </c>
      <c r="G7329" s="22">
        <f t="shared" si="651"/>
        <v>2</v>
      </c>
      <c r="H7329" s="22">
        <f t="shared" si="652"/>
        <v>2025</v>
      </c>
      <c r="I7329" s="17" t="s">
        <v>4</v>
      </c>
      <c r="J7329" s="17" t="s">
        <v>7912</v>
      </c>
      <c r="K7329" s="17" t="s">
        <v>33</v>
      </c>
      <c r="L7329" s="17" t="s">
        <v>2786</v>
      </c>
      <c r="M7329" s="17" t="s">
        <v>35</v>
      </c>
      <c r="N7329" s="22" t="str">
        <f t="shared" si="650"/>
        <v>GAL</v>
      </c>
      <c r="O7329" s="19">
        <v>540</v>
      </c>
    </row>
    <row r="7330" spans="2:15" x14ac:dyDescent="0.25">
      <c r="B7330" s="16" t="s">
        <v>1050</v>
      </c>
      <c r="C7330" s="17" t="s">
        <v>533</v>
      </c>
      <c r="D7330" s="17" t="s">
        <v>2133</v>
      </c>
      <c r="E7330" s="17" t="s">
        <v>2134</v>
      </c>
      <c r="F7330" s="18">
        <f t="shared" si="653"/>
        <v>45712</v>
      </c>
      <c r="G7330" s="22">
        <f t="shared" si="651"/>
        <v>2</v>
      </c>
      <c r="H7330" s="22">
        <f t="shared" si="652"/>
        <v>2025</v>
      </c>
      <c r="I7330" s="17" t="s">
        <v>4</v>
      </c>
      <c r="J7330" s="17" t="s">
        <v>7912</v>
      </c>
      <c r="K7330" s="17" t="s">
        <v>816</v>
      </c>
      <c r="L7330" s="17" t="s">
        <v>545</v>
      </c>
      <c r="M7330" s="17" t="s">
        <v>67</v>
      </c>
      <c r="N7330" s="22" t="str">
        <f t="shared" si="650"/>
        <v>GAL</v>
      </c>
      <c r="O7330" s="19">
        <v>60</v>
      </c>
    </row>
    <row r="7331" spans="2:15" x14ac:dyDescent="0.25">
      <c r="B7331" s="16" t="s">
        <v>1050</v>
      </c>
      <c r="C7331" s="17" t="s">
        <v>533</v>
      </c>
      <c r="D7331" s="17" t="s">
        <v>2133</v>
      </c>
      <c r="E7331" s="17" t="s">
        <v>2134</v>
      </c>
      <c r="F7331" s="18">
        <f t="shared" si="653"/>
        <v>45712</v>
      </c>
      <c r="G7331" s="22">
        <f t="shared" si="651"/>
        <v>2</v>
      </c>
      <c r="H7331" s="22">
        <f t="shared" si="652"/>
        <v>2025</v>
      </c>
      <c r="I7331" s="17" t="s">
        <v>4</v>
      </c>
      <c r="J7331" s="17" t="s">
        <v>7912</v>
      </c>
      <c r="K7331" s="17" t="s">
        <v>25</v>
      </c>
      <c r="L7331" s="17" t="s">
        <v>541</v>
      </c>
      <c r="M7331" s="17" t="s">
        <v>27</v>
      </c>
      <c r="N7331" s="22" t="str">
        <f t="shared" si="650"/>
        <v>GAL</v>
      </c>
      <c r="O7331" s="19">
        <v>900</v>
      </c>
    </row>
    <row r="7332" spans="2:15" x14ac:dyDescent="0.25">
      <c r="B7332" s="16" t="s">
        <v>1050</v>
      </c>
      <c r="C7332" s="17" t="s">
        <v>533</v>
      </c>
      <c r="D7332" s="17" t="s">
        <v>2133</v>
      </c>
      <c r="E7332" s="17" t="s">
        <v>2134</v>
      </c>
      <c r="F7332" s="18">
        <f t="shared" si="653"/>
        <v>45712</v>
      </c>
      <c r="G7332" s="22">
        <f t="shared" si="651"/>
        <v>2</v>
      </c>
      <c r="H7332" s="22">
        <f t="shared" si="652"/>
        <v>2025</v>
      </c>
      <c r="I7332" s="17" t="s">
        <v>4</v>
      </c>
      <c r="J7332" s="17" t="s">
        <v>7912</v>
      </c>
      <c r="K7332" s="17" t="s">
        <v>149</v>
      </c>
      <c r="L7332" s="17" t="s">
        <v>150</v>
      </c>
      <c r="M7332" s="17" t="s">
        <v>21</v>
      </c>
      <c r="N7332" s="22" t="str">
        <f t="shared" si="650"/>
        <v>GAL</v>
      </c>
      <c r="O7332" s="19">
        <v>180</v>
      </c>
    </row>
    <row r="7333" spans="2:15" x14ac:dyDescent="0.25">
      <c r="B7333" s="16" t="s">
        <v>645</v>
      </c>
      <c r="C7333" s="17" t="s">
        <v>533</v>
      </c>
      <c r="D7333" s="17" t="s">
        <v>2456</v>
      </c>
      <c r="E7333" s="17" t="s">
        <v>2829</v>
      </c>
      <c r="F7333" s="18">
        <f>DATE(2025,2,25)</f>
        <v>45713</v>
      </c>
      <c r="G7333" s="22">
        <f t="shared" si="651"/>
        <v>2</v>
      </c>
      <c r="H7333" s="22">
        <f t="shared" si="652"/>
        <v>2025</v>
      </c>
      <c r="I7333" s="17" t="s">
        <v>4</v>
      </c>
      <c r="J7333" s="17" t="s">
        <v>7913</v>
      </c>
      <c r="K7333" s="17" t="s">
        <v>642</v>
      </c>
      <c r="L7333" s="17" t="s">
        <v>111</v>
      </c>
      <c r="M7333" s="17" t="s">
        <v>112</v>
      </c>
      <c r="N7333" s="22" t="str">
        <f t="shared" si="650"/>
        <v>GAL</v>
      </c>
      <c r="O7333" s="19">
        <v>360</v>
      </c>
    </row>
    <row r="7334" spans="2:15" x14ac:dyDescent="0.25">
      <c r="B7334" s="16" t="s">
        <v>1050</v>
      </c>
      <c r="C7334" s="17" t="s">
        <v>533</v>
      </c>
      <c r="D7334" s="17" t="s">
        <v>557</v>
      </c>
      <c r="E7334" s="17" t="s">
        <v>1059</v>
      </c>
      <c r="F7334" s="18">
        <f>DATE(2025,2,26)</f>
        <v>45714</v>
      </c>
      <c r="G7334" s="22">
        <f t="shared" si="651"/>
        <v>2</v>
      </c>
      <c r="H7334" s="22">
        <f t="shared" si="652"/>
        <v>2025</v>
      </c>
      <c r="I7334" s="17" t="s">
        <v>4</v>
      </c>
      <c r="J7334" s="17" t="s">
        <v>7914</v>
      </c>
      <c r="K7334" s="17" t="s">
        <v>1424</v>
      </c>
      <c r="L7334" s="17" t="s">
        <v>1057</v>
      </c>
      <c r="M7334" s="17" t="s">
        <v>1058</v>
      </c>
      <c r="N7334" s="22" t="str">
        <f t="shared" si="650"/>
        <v>GAL</v>
      </c>
      <c r="O7334" s="19">
        <v>3600</v>
      </c>
    </row>
    <row r="7335" spans="2:15" x14ac:dyDescent="0.25">
      <c r="B7335" s="16" t="s">
        <v>645</v>
      </c>
      <c r="C7335" s="17" t="s">
        <v>533</v>
      </c>
      <c r="D7335" s="17" t="s">
        <v>557</v>
      </c>
      <c r="E7335" s="17" t="s">
        <v>5415</v>
      </c>
      <c r="F7335" s="18">
        <f>DATE(2025,2,28)</f>
        <v>45716</v>
      </c>
      <c r="G7335" s="22">
        <f t="shared" si="651"/>
        <v>2</v>
      </c>
      <c r="H7335" s="22">
        <f t="shared" si="652"/>
        <v>2025</v>
      </c>
      <c r="I7335" s="17" t="s">
        <v>4</v>
      </c>
      <c r="J7335" s="17" t="s">
        <v>7915</v>
      </c>
      <c r="K7335" s="17" t="s">
        <v>2164</v>
      </c>
      <c r="L7335" s="17" t="s">
        <v>2156</v>
      </c>
      <c r="M7335" s="17" t="s">
        <v>106</v>
      </c>
      <c r="N7335" s="22" t="str">
        <f t="shared" si="650"/>
        <v>LBS</v>
      </c>
      <c r="O7335" s="19">
        <v>5000</v>
      </c>
    </row>
    <row r="7336" spans="2:15" x14ac:dyDescent="0.25">
      <c r="B7336" s="16" t="s">
        <v>3113</v>
      </c>
      <c r="C7336" s="17" t="s">
        <v>3114</v>
      </c>
      <c r="D7336" s="17" t="s">
        <v>7593</v>
      </c>
      <c r="E7336" s="17" t="s">
        <v>7594</v>
      </c>
      <c r="F7336" s="18">
        <f>DATE(2025,2,24)</f>
        <v>45712</v>
      </c>
      <c r="G7336" s="22">
        <f t="shared" si="651"/>
        <v>2</v>
      </c>
      <c r="H7336" s="22">
        <f t="shared" si="652"/>
        <v>2025</v>
      </c>
      <c r="I7336" s="17" t="s">
        <v>4</v>
      </c>
      <c r="J7336" s="17" t="s">
        <v>7916</v>
      </c>
      <c r="K7336" s="17" t="s">
        <v>6995</v>
      </c>
      <c r="L7336" s="17" t="s">
        <v>6996</v>
      </c>
      <c r="M7336" s="17" t="s">
        <v>6997</v>
      </c>
      <c r="N7336" s="22" t="str">
        <f t="shared" si="650"/>
        <v>GAL</v>
      </c>
      <c r="O7336" s="19">
        <v>500</v>
      </c>
    </row>
    <row r="7337" spans="2:15" x14ac:dyDescent="0.25">
      <c r="B7337" s="16" t="s">
        <v>3238</v>
      </c>
      <c r="C7337" s="17" t="s">
        <v>3239</v>
      </c>
      <c r="D7337" s="17" t="s">
        <v>3240</v>
      </c>
      <c r="E7337" s="17" t="s">
        <v>102</v>
      </c>
      <c r="F7337" s="18">
        <f>DATE(2025,2,4)</f>
        <v>45692</v>
      </c>
      <c r="G7337" s="22">
        <f t="shared" si="651"/>
        <v>2</v>
      </c>
      <c r="H7337" s="22">
        <f t="shared" si="652"/>
        <v>2025</v>
      </c>
      <c r="I7337" s="17" t="s">
        <v>4</v>
      </c>
      <c r="J7337" s="17" t="s">
        <v>7917</v>
      </c>
      <c r="K7337" s="17" t="s">
        <v>6708</v>
      </c>
      <c r="L7337" s="17" t="s">
        <v>5978</v>
      </c>
      <c r="M7337" s="17" t="s">
        <v>3299</v>
      </c>
      <c r="N7337" s="22" t="str">
        <f t="shared" si="650"/>
        <v>GAL</v>
      </c>
      <c r="O7337" s="19">
        <v>10</v>
      </c>
    </row>
    <row r="7338" spans="2:15" x14ac:dyDescent="0.25">
      <c r="B7338" s="16" t="s">
        <v>3238</v>
      </c>
      <c r="C7338" s="17" t="s">
        <v>3239</v>
      </c>
      <c r="D7338" s="17" t="s">
        <v>6120</v>
      </c>
      <c r="E7338" s="17" t="s">
        <v>6712</v>
      </c>
      <c r="F7338" s="18">
        <f>DATE(2025,2,6)</f>
        <v>45694</v>
      </c>
      <c r="G7338" s="22">
        <f t="shared" si="651"/>
        <v>2</v>
      </c>
      <c r="H7338" s="22">
        <f t="shared" si="652"/>
        <v>2025</v>
      </c>
      <c r="I7338" s="17" t="s">
        <v>4</v>
      </c>
      <c r="J7338" s="17" t="s">
        <v>7918</v>
      </c>
      <c r="K7338" s="17" t="s">
        <v>6491</v>
      </c>
      <c r="L7338" s="17" t="s">
        <v>6492</v>
      </c>
      <c r="M7338" s="17" t="s">
        <v>2455</v>
      </c>
      <c r="N7338" s="22" t="str">
        <f t="shared" si="650"/>
        <v>GAL</v>
      </c>
      <c r="O7338" s="19">
        <v>90</v>
      </c>
    </row>
    <row r="7339" spans="2:15" x14ac:dyDescent="0.25">
      <c r="B7339" s="16" t="s">
        <v>3238</v>
      </c>
      <c r="C7339" s="17" t="s">
        <v>3239</v>
      </c>
      <c r="D7339" s="17" t="s">
        <v>6120</v>
      </c>
      <c r="E7339" s="17" t="s">
        <v>6712</v>
      </c>
      <c r="F7339" s="18">
        <f>DATE(2025,2,6)</f>
        <v>45694</v>
      </c>
      <c r="G7339" s="22">
        <f t="shared" si="651"/>
        <v>2</v>
      </c>
      <c r="H7339" s="22">
        <f t="shared" si="652"/>
        <v>2025</v>
      </c>
      <c r="I7339" s="17" t="s">
        <v>4</v>
      </c>
      <c r="J7339" s="17" t="s">
        <v>7918</v>
      </c>
      <c r="K7339" s="17" t="s">
        <v>6144</v>
      </c>
      <c r="L7339" s="17" t="s">
        <v>6145</v>
      </c>
      <c r="M7339" s="17" t="s">
        <v>49</v>
      </c>
      <c r="N7339" s="22" t="str">
        <f t="shared" si="650"/>
        <v>GAL</v>
      </c>
      <c r="O7339" s="19">
        <v>90</v>
      </c>
    </row>
    <row r="7340" spans="2:15" x14ac:dyDescent="0.25">
      <c r="B7340" s="16" t="s">
        <v>3238</v>
      </c>
      <c r="C7340" s="17" t="s">
        <v>3239</v>
      </c>
      <c r="D7340" s="17" t="s">
        <v>3240</v>
      </c>
      <c r="E7340" s="17" t="s">
        <v>6382</v>
      </c>
      <c r="F7340" s="18">
        <f>DATE(2025,2,6)</f>
        <v>45694</v>
      </c>
      <c r="G7340" s="22">
        <f t="shared" si="651"/>
        <v>2</v>
      </c>
      <c r="H7340" s="22">
        <f t="shared" si="652"/>
        <v>2025</v>
      </c>
      <c r="I7340" s="17" t="s">
        <v>4</v>
      </c>
      <c r="J7340" s="17" t="s">
        <v>7919</v>
      </c>
      <c r="K7340" s="17" t="s">
        <v>3925</v>
      </c>
      <c r="L7340" s="17" t="s">
        <v>4264</v>
      </c>
      <c r="M7340" s="17" t="s">
        <v>119</v>
      </c>
      <c r="N7340" s="22" t="str">
        <f t="shared" si="650"/>
        <v>TON</v>
      </c>
      <c r="O7340" s="19">
        <v>1.2475000000000001</v>
      </c>
    </row>
    <row r="7341" spans="2:15" x14ac:dyDescent="0.25">
      <c r="B7341" s="16" t="s">
        <v>3238</v>
      </c>
      <c r="C7341" s="17" t="s">
        <v>3239</v>
      </c>
      <c r="D7341" s="17" t="s">
        <v>3240</v>
      </c>
      <c r="E7341" s="17" t="s">
        <v>6382</v>
      </c>
      <c r="F7341" s="18">
        <f>DATE(2025,2,6)</f>
        <v>45694</v>
      </c>
      <c r="G7341" s="22">
        <f t="shared" si="651"/>
        <v>2</v>
      </c>
      <c r="H7341" s="22">
        <f t="shared" si="652"/>
        <v>2025</v>
      </c>
      <c r="I7341" s="17" t="s">
        <v>4</v>
      </c>
      <c r="J7341" s="17" t="s">
        <v>7920</v>
      </c>
      <c r="K7341" s="17" t="s">
        <v>3390</v>
      </c>
      <c r="L7341" s="17" t="s">
        <v>3250</v>
      </c>
      <c r="M7341" s="17" t="s">
        <v>3251</v>
      </c>
      <c r="N7341" s="22" t="str">
        <f t="shared" si="650"/>
        <v>GAL</v>
      </c>
      <c r="O7341" s="19">
        <v>250</v>
      </c>
    </row>
    <row r="7342" spans="2:15" x14ac:dyDescent="0.25">
      <c r="B7342" s="16" t="s">
        <v>3238</v>
      </c>
      <c r="C7342" s="17" t="s">
        <v>3239</v>
      </c>
      <c r="D7342" s="17" t="s">
        <v>3240</v>
      </c>
      <c r="E7342" s="17" t="s">
        <v>102</v>
      </c>
      <c r="F7342" s="18">
        <f>DATE(2025,2,10)</f>
        <v>45698</v>
      </c>
      <c r="G7342" s="22">
        <f t="shared" si="651"/>
        <v>2</v>
      </c>
      <c r="H7342" s="22">
        <f t="shared" si="652"/>
        <v>2025</v>
      </c>
      <c r="I7342" s="17" t="s">
        <v>4</v>
      </c>
      <c r="J7342" s="17" t="s">
        <v>7921</v>
      </c>
      <c r="K7342" s="17" t="s">
        <v>3917</v>
      </c>
      <c r="L7342" s="17" t="s">
        <v>3525</v>
      </c>
      <c r="M7342" s="17" t="s">
        <v>1397</v>
      </c>
      <c r="N7342" s="22" t="str">
        <f t="shared" si="650"/>
        <v>GAL</v>
      </c>
      <c r="O7342" s="19">
        <v>60</v>
      </c>
    </row>
    <row r="7343" spans="2:15" x14ac:dyDescent="0.25">
      <c r="B7343" s="16" t="s">
        <v>3238</v>
      </c>
      <c r="C7343" s="17" t="s">
        <v>3239</v>
      </c>
      <c r="D7343" s="17" t="s">
        <v>3240</v>
      </c>
      <c r="E7343" s="17" t="s">
        <v>102</v>
      </c>
      <c r="F7343" s="18">
        <f>DATE(2025,2,10)</f>
        <v>45698</v>
      </c>
      <c r="G7343" s="22">
        <f t="shared" si="651"/>
        <v>2</v>
      </c>
      <c r="H7343" s="22">
        <f t="shared" si="652"/>
        <v>2025</v>
      </c>
      <c r="I7343" s="17" t="s">
        <v>4</v>
      </c>
      <c r="J7343" s="17" t="s">
        <v>7921</v>
      </c>
      <c r="K7343" s="17" t="s">
        <v>3650</v>
      </c>
      <c r="L7343" s="17" t="s">
        <v>7922</v>
      </c>
      <c r="M7343" s="17" t="s">
        <v>3652</v>
      </c>
      <c r="N7343" s="22" t="str">
        <f t="shared" si="650"/>
        <v>GAL</v>
      </c>
      <c r="O7343" s="19">
        <v>60</v>
      </c>
    </row>
    <row r="7344" spans="2:15" x14ac:dyDescent="0.25">
      <c r="B7344" s="16" t="s">
        <v>3238</v>
      </c>
      <c r="C7344" s="17" t="s">
        <v>3239</v>
      </c>
      <c r="D7344" s="17" t="s">
        <v>3240</v>
      </c>
      <c r="E7344" s="17" t="s">
        <v>102</v>
      </c>
      <c r="F7344" s="18">
        <f>DATE(2025,2,10)</f>
        <v>45698</v>
      </c>
      <c r="G7344" s="22">
        <f t="shared" si="651"/>
        <v>2</v>
      </c>
      <c r="H7344" s="22">
        <f t="shared" si="652"/>
        <v>2025</v>
      </c>
      <c r="I7344" s="17" t="s">
        <v>4</v>
      </c>
      <c r="J7344" s="17" t="s">
        <v>7921</v>
      </c>
      <c r="K7344" s="17" t="s">
        <v>3914</v>
      </c>
      <c r="L7344" s="17" t="s">
        <v>3915</v>
      </c>
      <c r="M7344" s="17" t="s">
        <v>3916</v>
      </c>
      <c r="N7344" s="22" t="str">
        <f t="shared" si="650"/>
        <v>GAL</v>
      </c>
      <c r="O7344" s="19">
        <v>60</v>
      </c>
    </row>
    <row r="7345" spans="2:15" x14ac:dyDescent="0.25">
      <c r="B7345" s="16" t="s">
        <v>3238</v>
      </c>
      <c r="C7345" s="17" t="s">
        <v>3239</v>
      </c>
      <c r="D7345" s="17" t="s">
        <v>3240</v>
      </c>
      <c r="E7345" s="17" t="s">
        <v>7923</v>
      </c>
      <c r="F7345" s="18">
        <f>DATE(2025,2,11)</f>
        <v>45699</v>
      </c>
      <c r="G7345" s="22">
        <f t="shared" si="651"/>
        <v>2</v>
      </c>
      <c r="H7345" s="22">
        <f t="shared" si="652"/>
        <v>2025</v>
      </c>
      <c r="I7345" s="17" t="s">
        <v>4</v>
      </c>
      <c r="J7345" s="17" t="s">
        <v>7924</v>
      </c>
      <c r="K7345" s="17" t="s">
        <v>3395</v>
      </c>
      <c r="L7345" s="17" t="s">
        <v>3396</v>
      </c>
      <c r="M7345" s="17" t="s">
        <v>844</v>
      </c>
      <c r="N7345" s="22" t="str">
        <f t="shared" si="650"/>
        <v>GAL</v>
      </c>
      <c r="O7345" s="19">
        <v>275</v>
      </c>
    </row>
    <row r="7346" spans="2:15" x14ac:dyDescent="0.25">
      <c r="B7346" s="16" t="s">
        <v>3238</v>
      </c>
      <c r="C7346" s="17" t="s">
        <v>3239</v>
      </c>
      <c r="D7346" s="17" t="s">
        <v>3240</v>
      </c>
      <c r="E7346" s="17" t="s">
        <v>102</v>
      </c>
      <c r="F7346" s="18">
        <f>DATE(2025,2,12)</f>
        <v>45700</v>
      </c>
      <c r="G7346" s="22">
        <f t="shared" si="651"/>
        <v>2</v>
      </c>
      <c r="H7346" s="22">
        <f t="shared" si="652"/>
        <v>2025</v>
      </c>
      <c r="I7346" s="17" t="s">
        <v>4</v>
      </c>
      <c r="J7346" s="17" t="s">
        <v>7925</v>
      </c>
      <c r="K7346" s="17" t="s">
        <v>7926</v>
      </c>
      <c r="L7346" s="17" t="s">
        <v>7927</v>
      </c>
      <c r="M7346" s="17" t="s">
        <v>7928</v>
      </c>
      <c r="N7346" s="22" t="str">
        <f t="shared" si="650"/>
        <v>GAL</v>
      </c>
      <c r="O7346" s="19">
        <v>275</v>
      </c>
    </row>
    <row r="7347" spans="2:15" x14ac:dyDescent="0.25">
      <c r="B7347" s="16" t="s">
        <v>3238</v>
      </c>
      <c r="C7347" s="17" t="s">
        <v>3239</v>
      </c>
      <c r="D7347" s="17" t="s">
        <v>3240</v>
      </c>
      <c r="E7347" s="17" t="s">
        <v>102</v>
      </c>
      <c r="F7347" s="18">
        <f>DATE(2025,2,12)</f>
        <v>45700</v>
      </c>
      <c r="G7347" s="22">
        <f t="shared" si="651"/>
        <v>2</v>
      </c>
      <c r="H7347" s="22">
        <f t="shared" si="652"/>
        <v>2025</v>
      </c>
      <c r="I7347" s="17" t="s">
        <v>4</v>
      </c>
      <c r="J7347" s="17" t="s">
        <v>7925</v>
      </c>
      <c r="K7347" s="17" t="s">
        <v>2548</v>
      </c>
      <c r="L7347" s="17" t="s">
        <v>5951</v>
      </c>
      <c r="M7347" s="17" t="s">
        <v>24</v>
      </c>
      <c r="N7347" s="22" t="str">
        <f t="shared" si="650"/>
        <v>GAL</v>
      </c>
      <c r="O7347" s="19">
        <v>550</v>
      </c>
    </row>
    <row r="7348" spans="2:15" x14ac:dyDescent="0.25">
      <c r="B7348" s="16" t="s">
        <v>3238</v>
      </c>
      <c r="C7348" s="17" t="s">
        <v>3239</v>
      </c>
      <c r="D7348" s="17" t="s">
        <v>3240</v>
      </c>
      <c r="E7348" s="17" t="s">
        <v>7929</v>
      </c>
      <c r="F7348" s="18">
        <f>DATE(2025,2,12)</f>
        <v>45700</v>
      </c>
      <c r="G7348" s="22">
        <f t="shared" si="651"/>
        <v>2</v>
      </c>
      <c r="H7348" s="22">
        <f t="shared" si="652"/>
        <v>2025</v>
      </c>
      <c r="I7348" s="17" t="s">
        <v>4</v>
      </c>
      <c r="J7348" s="17" t="s">
        <v>7930</v>
      </c>
      <c r="K7348" s="17" t="s">
        <v>3653</v>
      </c>
      <c r="L7348" s="17" t="s">
        <v>3654</v>
      </c>
      <c r="M7348" s="17" t="s">
        <v>1071</v>
      </c>
      <c r="N7348" s="22" t="str">
        <f t="shared" si="650"/>
        <v>GAL</v>
      </c>
      <c r="O7348" s="19">
        <v>250</v>
      </c>
    </row>
    <row r="7349" spans="2:15" x14ac:dyDescent="0.25">
      <c r="B7349" s="16" t="s">
        <v>3238</v>
      </c>
      <c r="C7349" s="17" t="s">
        <v>3239</v>
      </c>
      <c r="D7349" s="17" t="s">
        <v>3240</v>
      </c>
      <c r="E7349" s="17" t="s">
        <v>102</v>
      </c>
      <c r="F7349" s="18">
        <f>DATE(2025,2,12)</f>
        <v>45700</v>
      </c>
      <c r="G7349" s="22">
        <f t="shared" si="651"/>
        <v>2</v>
      </c>
      <c r="H7349" s="22">
        <f t="shared" si="652"/>
        <v>2025</v>
      </c>
      <c r="I7349" s="17" t="s">
        <v>4</v>
      </c>
      <c r="J7349" s="17" t="s">
        <v>7931</v>
      </c>
      <c r="K7349" s="17" t="s">
        <v>4284</v>
      </c>
      <c r="L7349" s="17" t="s">
        <v>3915</v>
      </c>
      <c r="M7349" s="17" t="s">
        <v>3916</v>
      </c>
      <c r="N7349" s="22" t="str">
        <f t="shared" si="650"/>
        <v>GAL</v>
      </c>
      <c r="O7349" s="19">
        <v>110</v>
      </c>
    </row>
    <row r="7350" spans="2:15" x14ac:dyDescent="0.25">
      <c r="B7350" s="16" t="s">
        <v>3238</v>
      </c>
      <c r="C7350" s="17" t="s">
        <v>3239</v>
      </c>
      <c r="D7350" s="17" t="s">
        <v>3240</v>
      </c>
      <c r="E7350" s="17" t="s">
        <v>102</v>
      </c>
      <c r="F7350" s="18">
        <f>DATE(2025,2,13)</f>
        <v>45701</v>
      </c>
      <c r="G7350" s="22">
        <f t="shared" si="651"/>
        <v>2</v>
      </c>
      <c r="H7350" s="22">
        <f t="shared" si="652"/>
        <v>2025</v>
      </c>
      <c r="I7350" s="17" t="s">
        <v>4</v>
      </c>
      <c r="J7350" s="17" t="s">
        <v>7932</v>
      </c>
      <c r="K7350" s="17" t="s">
        <v>4284</v>
      </c>
      <c r="L7350" s="17" t="s">
        <v>3915</v>
      </c>
      <c r="M7350" s="17" t="s">
        <v>3916</v>
      </c>
      <c r="N7350" s="22" t="str">
        <f t="shared" si="650"/>
        <v>GAL</v>
      </c>
      <c r="O7350" s="19">
        <v>55</v>
      </c>
    </row>
    <row r="7351" spans="2:15" x14ac:dyDescent="0.25">
      <c r="B7351" s="16" t="s">
        <v>3238</v>
      </c>
      <c r="C7351" s="17" t="s">
        <v>3239</v>
      </c>
      <c r="D7351" s="17" t="s">
        <v>3240</v>
      </c>
      <c r="E7351" s="17" t="s">
        <v>6276</v>
      </c>
      <c r="F7351" s="18">
        <f>DATE(2025,2,13)</f>
        <v>45701</v>
      </c>
      <c r="G7351" s="22">
        <f t="shared" si="651"/>
        <v>2</v>
      </c>
      <c r="H7351" s="22">
        <f t="shared" si="652"/>
        <v>2025</v>
      </c>
      <c r="I7351" s="17" t="s">
        <v>4</v>
      </c>
      <c r="J7351" s="17" t="s">
        <v>7933</v>
      </c>
      <c r="K7351" s="17" t="s">
        <v>3395</v>
      </c>
      <c r="L7351" s="17" t="s">
        <v>3396</v>
      </c>
      <c r="M7351" s="17" t="s">
        <v>844</v>
      </c>
      <c r="N7351" s="22" t="str">
        <f t="shared" si="650"/>
        <v>GAL</v>
      </c>
      <c r="O7351" s="19">
        <v>250</v>
      </c>
    </row>
    <row r="7352" spans="2:15" x14ac:dyDescent="0.25">
      <c r="B7352" s="16" t="s">
        <v>3238</v>
      </c>
      <c r="C7352" s="17" t="s">
        <v>3239</v>
      </c>
      <c r="D7352" s="17" t="s">
        <v>3240</v>
      </c>
      <c r="E7352" s="17" t="s">
        <v>3379</v>
      </c>
      <c r="F7352" s="18">
        <f>DATE(2025,2,18)</f>
        <v>45706</v>
      </c>
      <c r="G7352" s="22">
        <f t="shared" si="651"/>
        <v>2</v>
      </c>
      <c r="H7352" s="22">
        <f t="shared" si="652"/>
        <v>2025</v>
      </c>
      <c r="I7352" s="17" t="s">
        <v>4</v>
      </c>
      <c r="J7352" s="17" t="s">
        <v>7934</v>
      </c>
      <c r="K7352" s="17" t="s">
        <v>3937</v>
      </c>
      <c r="L7352" s="17" t="s">
        <v>4275</v>
      </c>
      <c r="M7352" s="17" t="s">
        <v>3939</v>
      </c>
      <c r="N7352" s="22" t="str">
        <f t="shared" si="650"/>
        <v>GAL</v>
      </c>
      <c r="O7352" s="19">
        <v>250</v>
      </c>
    </row>
    <row r="7353" spans="2:15" x14ac:dyDescent="0.25">
      <c r="B7353" s="16" t="s">
        <v>3238</v>
      </c>
      <c r="C7353" s="17" t="s">
        <v>3239</v>
      </c>
      <c r="D7353" s="17" t="s">
        <v>3240</v>
      </c>
      <c r="E7353" s="17" t="s">
        <v>102</v>
      </c>
      <c r="F7353" s="18">
        <f>DATE(2025,2,19)</f>
        <v>45707</v>
      </c>
      <c r="G7353" s="22">
        <f t="shared" si="651"/>
        <v>2</v>
      </c>
      <c r="H7353" s="22">
        <f t="shared" si="652"/>
        <v>2025</v>
      </c>
      <c r="I7353" s="17" t="s">
        <v>4</v>
      </c>
      <c r="J7353" s="17" t="s">
        <v>7935</v>
      </c>
      <c r="K7353" s="17" t="s">
        <v>5968</v>
      </c>
      <c r="L7353" s="17" t="s">
        <v>5969</v>
      </c>
      <c r="M7353" s="17" t="s">
        <v>5970</v>
      </c>
      <c r="N7353" s="22" t="str">
        <f t="shared" si="650"/>
        <v>GAL</v>
      </c>
      <c r="O7353" s="19">
        <v>60</v>
      </c>
    </row>
    <row r="7354" spans="2:15" x14ac:dyDescent="0.25">
      <c r="B7354" s="16" t="s">
        <v>3238</v>
      </c>
      <c r="C7354" s="17" t="s">
        <v>3239</v>
      </c>
      <c r="D7354" s="17" t="s">
        <v>3240</v>
      </c>
      <c r="E7354" s="17" t="s">
        <v>102</v>
      </c>
      <c r="F7354" s="18">
        <f>DATE(2025,2,19)</f>
        <v>45707</v>
      </c>
      <c r="G7354" s="22">
        <f t="shared" si="651"/>
        <v>2</v>
      </c>
      <c r="H7354" s="22">
        <f t="shared" si="652"/>
        <v>2025</v>
      </c>
      <c r="I7354" s="17" t="s">
        <v>4</v>
      </c>
      <c r="J7354" s="17" t="s">
        <v>7935</v>
      </c>
      <c r="K7354" s="17" t="s">
        <v>5469</v>
      </c>
      <c r="L7354" s="17" t="s">
        <v>5470</v>
      </c>
      <c r="M7354" s="17" t="s">
        <v>1046</v>
      </c>
      <c r="N7354" s="22" t="str">
        <f t="shared" si="650"/>
        <v>GAL</v>
      </c>
      <c r="O7354" s="19">
        <v>60</v>
      </c>
    </row>
    <row r="7355" spans="2:15" x14ac:dyDescent="0.25">
      <c r="B7355" s="16" t="s">
        <v>3238</v>
      </c>
      <c r="C7355" s="17" t="s">
        <v>3239</v>
      </c>
      <c r="D7355" s="17" t="s">
        <v>3240</v>
      </c>
      <c r="E7355" s="17" t="s">
        <v>102</v>
      </c>
      <c r="F7355" s="18">
        <f>DATE(2025,2,19)</f>
        <v>45707</v>
      </c>
      <c r="G7355" s="22">
        <f t="shared" si="651"/>
        <v>2</v>
      </c>
      <c r="H7355" s="22">
        <f t="shared" si="652"/>
        <v>2025</v>
      </c>
      <c r="I7355" s="17" t="s">
        <v>4</v>
      </c>
      <c r="J7355" s="17" t="s">
        <v>7935</v>
      </c>
      <c r="K7355" s="17" t="s">
        <v>2530</v>
      </c>
      <c r="L7355" s="17" t="s">
        <v>3503</v>
      </c>
      <c r="M7355" s="17" t="s">
        <v>2532</v>
      </c>
      <c r="N7355" s="22" t="str">
        <f t="shared" si="650"/>
        <v>GAL</v>
      </c>
      <c r="O7355" s="19">
        <v>90</v>
      </c>
    </row>
    <row r="7356" spans="2:15" x14ac:dyDescent="0.25">
      <c r="B7356" s="16" t="s">
        <v>3238</v>
      </c>
      <c r="C7356" s="17" t="s">
        <v>3239</v>
      </c>
      <c r="D7356" s="17" t="s">
        <v>3240</v>
      </c>
      <c r="E7356" s="17" t="s">
        <v>102</v>
      </c>
      <c r="F7356" s="18">
        <f>DATE(2025,2,19)</f>
        <v>45707</v>
      </c>
      <c r="G7356" s="22">
        <f t="shared" si="651"/>
        <v>2</v>
      </c>
      <c r="H7356" s="22">
        <f t="shared" si="652"/>
        <v>2025</v>
      </c>
      <c r="I7356" s="17" t="s">
        <v>4</v>
      </c>
      <c r="J7356" s="17" t="s">
        <v>7935</v>
      </c>
      <c r="K7356" s="17" t="s">
        <v>6516</v>
      </c>
      <c r="L7356" s="17" t="s">
        <v>3396</v>
      </c>
      <c r="M7356" s="17" t="s">
        <v>844</v>
      </c>
      <c r="N7356" s="22" t="str">
        <f t="shared" si="650"/>
        <v>GAL</v>
      </c>
      <c r="O7356" s="19">
        <v>60</v>
      </c>
    </row>
    <row r="7357" spans="2:15" x14ac:dyDescent="0.25">
      <c r="B7357" s="16" t="s">
        <v>3238</v>
      </c>
      <c r="C7357" s="17" t="s">
        <v>3239</v>
      </c>
      <c r="D7357" s="17" t="s">
        <v>3240</v>
      </c>
      <c r="E7357" s="17" t="s">
        <v>102</v>
      </c>
      <c r="F7357" s="18">
        <f>DATE(2025,2,19)</f>
        <v>45707</v>
      </c>
      <c r="G7357" s="22">
        <f t="shared" si="651"/>
        <v>2</v>
      </c>
      <c r="H7357" s="22">
        <f t="shared" si="652"/>
        <v>2025</v>
      </c>
      <c r="I7357" s="17" t="s">
        <v>4</v>
      </c>
      <c r="J7357" s="17" t="s">
        <v>7935</v>
      </c>
      <c r="K7357" s="17" t="s">
        <v>19</v>
      </c>
      <c r="L7357" s="17" t="s">
        <v>6275</v>
      </c>
      <c r="M7357" s="17" t="s">
        <v>21</v>
      </c>
      <c r="N7357" s="22" t="str">
        <f t="shared" si="650"/>
        <v>GAL</v>
      </c>
      <c r="O7357" s="19">
        <v>90</v>
      </c>
    </row>
    <row r="7358" spans="2:15" x14ac:dyDescent="0.25">
      <c r="B7358" s="16" t="s">
        <v>3238</v>
      </c>
      <c r="C7358" s="17" t="s">
        <v>3239</v>
      </c>
      <c r="D7358" s="17" t="s">
        <v>3240</v>
      </c>
      <c r="E7358" s="17" t="s">
        <v>3908</v>
      </c>
      <c r="F7358" s="18">
        <f>DATE(2025,2,21)</f>
        <v>45709</v>
      </c>
      <c r="G7358" s="22">
        <f t="shared" si="651"/>
        <v>2</v>
      </c>
      <c r="H7358" s="22">
        <f t="shared" si="652"/>
        <v>2025</v>
      </c>
      <c r="I7358" s="17" t="s">
        <v>4</v>
      </c>
      <c r="J7358" s="17" t="s">
        <v>7936</v>
      </c>
      <c r="K7358" s="17" t="s">
        <v>3399</v>
      </c>
      <c r="L7358" s="17" t="s">
        <v>3400</v>
      </c>
      <c r="M7358" s="17" t="s">
        <v>3401</v>
      </c>
      <c r="N7358" s="22" t="str">
        <f t="shared" ref="N7358:N7421" si="654">+LEFT(M7358,3)</f>
        <v>GAL</v>
      </c>
      <c r="O7358" s="19">
        <v>250</v>
      </c>
    </row>
    <row r="7359" spans="2:15" x14ac:dyDescent="0.25">
      <c r="B7359" s="16" t="s">
        <v>3238</v>
      </c>
      <c r="C7359" s="17" t="s">
        <v>3239</v>
      </c>
      <c r="D7359" s="17" t="s">
        <v>3240</v>
      </c>
      <c r="E7359" s="17" t="s">
        <v>3908</v>
      </c>
      <c r="F7359" s="18">
        <f>DATE(2025,2,21)</f>
        <v>45709</v>
      </c>
      <c r="G7359" s="22">
        <f t="shared" si="651"/>
        <v>2</v>
      </c>
      <c r="H7359" s="22">
        <f t="shared" si="652"/>
        <v>2025</v>
      </c>
      <c r="I7359" s="17" t="s">
        <v>4</v>
      </c>
      <c r="J7359" s="17" t="s">
        <v>7936</v>
      </c>
      <c r="K7359" s="17" t="s">
        <v>842</v>
      </c>
      <c r="L7359" s="17" t="s">
        <v>843</v>
      </c>
      <c r="M7359" s="17" t="s">
        <v>844</v>
      </c>
      <c r="N7359" s="22" t="str">
        <f t="shared" si="654"/>
        <v>GAL</v>
      </c>
      <c r="O7359" s="19">
        <v>250</v>
      </c>
    </row>
    <row r="7360" spans="2:15" x14ac:dyDescent="0.25">
      <c r="B7360" s="16" t="s">
        <v>3238</v>
      </c>
      <c r="C7360" s="17" t="s">
        <v>3239</v>
      </c>
      <c r="D7360" s="17" t="s">
        <v>3240</v>
      </c>
      <c r="E7360" s="17" t="s">
        <v>3908</v>
      </c>
      <c r="F7360" s="18">
        <f>DATE(2025,2,21)</f>
        <v>45709</v>
      </c>
      <c r="G7360" s="22">
        <f t="shared" si="651"/>
        <v>2</v>
      </c>
      <c r="H7360" s="22">
        <f t="shared" si="652"/>
        <v>2025</v>
      </c>
      <c r="I7360" s="17" t="s">
        <v>4</v>
      </c>
      <c r="J7360" s="17" t="s">
        <v>7936</v>
      </c>
      <c r="K7360" s="17" t="s">
        <v>822</v>
      </c>
      <c r="L7360" s="17" t="s">
        <v>6275</v>
      </c>
      <c r="M7360" s="17" t="s">
        <v>21</v>
      </c>
      <c r="N7360" s="22" t="str">
        <f t="shared" si="654"/>
        <v>GAL</v>
      </c>
      <c r="O7360" s="19">
        <v>250</v>
      </c>
    </row>
    <row r="7361" spans="2:15" x14ac:dyDescent="0.25">
      <c r="B7361" s="16" t="s">
        <v>3238</v>
      </c>
      <c r="C7361" s="17" t="s">
        <v>3239</v>
      </c>
      <c r="D7361" s="17" t="s">
        <v>3240</v>
      </c>
      <c r="E7361" s="17" t="s">
        <v>6693</v>
      </c>
      <c r="F7361" s="18">
        <f>DATE(2025,2,21)</f>
        <v>45709</v>
      </c>
      <c r="G7361" s="22">
        <f t="shared" si="651"/>
        <v>2</v>
      </c>
      <c r="H7361" s="22">
        <f t="shared" si="652"/>
        <v>2025</v>
      </c>
      <c r="I7361" s="17" t="s">
        <v>4</v>
      </c>
      <c r="J7361" s="17" t="s">
        <v>7937</v>
      </c>
      <c r="K7361" s="17" t="s">
        <v>3390</v>
      </c>
      <c r="L7361" s="17" t="s">
        <v>3250</v>
      </c>
      <c r="M7361" s="17" t="s">
        <v>3251</v>
      </c>
      <c r="N7361" s="22" t="str">
        <f t="shared" si="654"/>
        <v>GAL</v>
      </c>
      <c r="O7361" s="19">
        <v>250</v>
      </c>
    </row>
    <row r="7362" spans="2:15" x14ac:dyDescent="0.25">
      <c r="B7362" s="16" t="s">
        <v>3238</v>
      </c>
      <c r="C7362" s="17" t="s">
        <v>3239</v>
      </c>
      <c r="D7362" s="17" t="s">
        <v>3240</v>
      </c>
      <c r="E7362" s="17" t="s">
        <v>3377</v>
      </c>
      <c r="F7362" s="18">
        <f t="shared" ref="F7362:F7367" si="655">DATE(2025,2,24)</f>
        <v>45712</v>
      </c>
      <c r="G7362" s="22">
        <f t="shared" si="651"/>
        <v>2</v>
      </c>
      <c r="H7362" s="22">
        <f t="shared" si="652"/>
        <v>2025</v>
      </c>
      <c r="I7362" s="17" t="s">
        <v>4</v>
      </c>
      <c r="J7362" s="17" t="s">
        <v>7938</v>
      </c>
      <c r="K7362" s="17" t="s">
        <v>3390</v>
      </c>
      <c r="L7362" s="17" t="s">
        <v>3250</v>
      </c>
      <c r="M7362" s="17" t="s">
        <v>3251</v>
      </c>
      <c r="N7362" s="22" t="str">
        <f t="shared" si="654"/>
        <v>GAL</v>
      </c>
      <c r="O7362" s="19">
        <v>250</v>
      </c>
    </row>
    <row r="7363" spans="2:15" x14ac:dyDescent="0.25">
      <c r="B7363" s="16" t="s">
        <v>3238</v>
      </c>
      <c r="C7363" s="17" t="s">
        <v>3239</v>
      </c>
      <c r="D7363" s="17" t="s">
        <v>3240</v>
      </c>
      <c r="E7363" s="17" t="s">
        <v>3377</v>
      </c>
      <c r="F7363" s="18">
        <f t="shared" si="655"/>
        <v>45712</v>
      </c>
      <c r="G7363" s="22">
        <f t="shared" si="651"/>
        <v>2</v>
      </c>
      <c r="H7363" s="22">
        <f t="shared" si="652"/>
        <v>2025</v>
      </c>
      <c r="I7363" s="17" t="s">
        <v>4</v>
      </c>
      <c r="J7363" s="17" t="s">
        <v>7938</v>
      </c>
      <c r="K7363" s="17" t="s">
        <v>3910</v>
      </c>
      <c r="L7363" s="17" t="s">
        <v>3911</v>
      </c>
      <c r="M7363" s="17" t="s">
        <v>2100</v>
      </c>
      <c r="N7363" s="22" t="str">
        <f t="shared" si="654"/>
        <v>GAL</v>
      </c>
      <c r="O7363" s="19">
        <v>250</v>
      </c>
    </row>
    <row r="7364" spans="2:15" x14ac:dyDescent="0.25">
      <c r="B7364" s="16" t="s">
        <v>3238</v>
      </c>
      <c r="C7364" s="17" t="s">
        <v>3239</v>
      </c>
      <c r="D7364" s="17" t="s">
        <v>3240</v>
      </c>
      <c r="E7364" s="17" t="s">
        <v>7939</v>
      </c>
      <c r="F7364" s="18">
        <f t="shared" si="655"/>
        <v>45712</v>
      </c>
      <c r="G7364" s="22">
        <f t="shared" si="651"/>
        <v>2</v>
      </c>
      <c r="H7364" s="22">
        <f t="shared" si="652"/>
        <v>2025</v>
      </c>
      <c r="I7364" s="17" t="s">
        <v>4</v>
      </c>
      <c r="J7364" s="17" t="s">
        <v>7940</v>
      </c>
      <c r="K7364" s="17" t="s">
        <v>3946</v>
      </c>
      <c r="L7364" s="17" t="s">
        <v>3506</v>
      </c>
      <c r="M7364" s="17" t="s">
        <v>917</v>
      </c>
      <c r="N7364" s="22" t="str">
        <f t="shared" si="654"/>
        <v>GAL</v>
      </c>
      <c r="O7364" s="19">
        <v>250</v>
      </c>
    </row>
    <row r="7365" spans="2:15" x14ac:dyDescent="0.25">
      <c r="B7365" s="16" t="s">
        <v>3238</v>
      </c>
      <c r="C7365" s="17" t="s">
        <v>3239</v>
      </c>
      <c r="D7365" s="17" t="s">
        <v>3240</v>
      </c>
      <c r="E7365" s="17" t="s">
        <v>7939</v>
      </c>
      <c r="F7365" s="18">
        <f t="shared" si="655"/>
        <v>45712</v>
      </c>
      <c r="G7365" s="22">
        <f t="shared" si="651"/>
        <v>2</v>
      </c>
      <c r="H7365" s="22">
        <f t="shared" si="652"/>
        <v>2025</v>
      </c>
      <c r="I7365" s="17" t="s">
        <v>4</v>
      </c>
      <c r="J7365" s="17" t="s">
        <v>7941</v>
      </c>
      <c r="K7365" s="17" t="s">
        <v>3925</v>
      </c>
      <c r="L7365" s="17" t="s">
        <v>4264</v>
      </c>
      <c r="M7365" s="17" t="s">
        <v>119</v>
      </c>
      <c r="N7365" s="22" t="str">
        <f t="shared" si="654"/>
        <v>TON</v>
      </c>
      <c r="O7365" s="19">
        <v>5.015E-2</v>
      </c>
    </row>
    <row r="7366" spans="2:15" x14ac:dyDescent="0.25">
      <c r="B7366" s="16" t="s">
        <v>3238</v>
      </c>
      <c r="C7366" s="17" t="s">
        <v>3239</v>
      </c>
      <c r="D7366" s="17" t="s">
        <v>3240</v>
      </c>
      <c r="E7366" s="17" t="s">
        <v>102</v>
      </c>
      <c r="F7366" s="18">
        <f t="shared" si="655"/>
        <v>45712</v>
      </c>
      <c r="G7366" s="22">
        <f t="shared" si="651"/>
        <v>2</v>
      </c>
      <c r="H7366" s="22">
        <f t="shared" si="652"/>
        <v>2025</v>
      </c>
      <c r="I7366" s="17" t="s">
        <v>4</v>
      </c>
      <c r="J7366" s="17" t="s">
        <v>7942</v>
      </c>
      <c r="K7366" s="17" t="s">
        <v>6146</v>
      </c>
      <c r="L7366" s="17" t="s">
        <v>3660</v>
      </c>
      <c r="M7366" s="17" t="s">
        <v>3652</v>
      </c>
      <c r="N7366" s="22" t="str">
        <f t="shared" si="654"/>
        <v>GAL</v>
      </c>
      <c r="O7366" s="19">
        <v>15</v>
      </c>
    </row>
    <row r="7367" spans="2:15" x14ac:dyDescent="0.25">
      <c r="B7367" s="16" t="s">
        <v>3238</v>
      </c>
      <c r="C7367" s="17" t="s">
        <v>3239</v>
      </c>
      <c r="D7367" s="17" t="s">
        <v>3240</v>
      </c>
      <c r="E7367" s="17" t="s">
        <v>3377</v>
      </c>
      <c r="F7367" s="18">
        <f t="shared" si="655"/>
        <v>45712</v>
      </c>
      <c r="G7367" s="22">
        <f t="shared" si="651"/>
        <v>2</v>
      </c>
      <c r="H7367" s="22">
        <f t="shared" si="652"/>
        <v>2025</v>
      </c>
      <c r="I7367" s="17" t="s">
        <v>4</v>
      </c>
      <c r="J7367" s="17" t="s">
        <v>7943</v>
      </c>
      <c r="K7367" s="17" t="s">
        <v>3925</v>
      </c>
      <c r="L7367" s="17" t="s">
        <v>4264</v>
      </c>
      <c r="M7367" s="17" t="s">
        <v>119</v>
      </c>
      <c r="N7367" s="22" t="str">
        <f t="shared" si="654"/>
        <v>TON</v>
      </c>
      <c r="O7367" s="19">
        <v>1.25</v>
      </c>
    </row>
    <row r="7368" spans="2:15" x14ac:dyDescent="0.25">
      <c r="B7368" s="16" t="s">
        <v>3238</v>
      </c>
      <c r="C7368" s="17" t="s">
        <v>3239</v>
      </c>
      <c r="D7368" s="17" t="s">
        <v>3240</v>
      </c>
      <c r="E7368" s="17" t="s">
        <v>102</v>
      </c>
      <c r="F7368" s="18">
        <f>DATE(2025,2,25)</f>
        <v>45713</v>
      </c>
      <c r="G7368" s="22">
        <f t="shared" si="651"/>
        <v>2</v>
      </c>
      <c r="H7368" s="22">
        <f t="shared" si="652"/>
        <v>2025</v>
      </c>
      <c r="I7368" s="17" t="s">
        <v>4</v>
      </c>
      <c r="J7368" s="17" t="s">
        <v>7944</v>
      </c>
      <c r="K7368" s="17" t="s">
        <v>69</v>
      </c>
      <c r="L7368" s="17" t="s">
        <v>565</v>
      </c>
      <c r="M7368" s="17" t="s">
        <v>21</v>
      </c>
      <c r="N7368" s="22" t="str">
        <f t="shared" si="654"/>
        <v>GAL</v>
      </c>
      <c r="O7368" s="19">
        <v>60</v>
      </c>
    </row>
    <row r="7369" spans="2:15" x14ac:dyDescent="0.25">
      <c r="B7369" s="16" t="s">
        <v>3238</v>
      </c>
      <c r="C7369" s="17" t="s">
        <v>3239</v>
      </c>
      <c r="D7369" s="17" t="s">
        <v>3240</v>
      </c>
      <c r="E7369" s="17" t="s">
        <v>3241</v>
      </c>
      <c r="F7369" s="18">
        <f>DATE(2025,2,25)</f>
        <v>45713</v>
      </c>
      <c r="G7369" s="22">
        <f t="shared" si="651"/>
        <v>2</v>
      </c>
      <c r="H7369" s="22">
        <f t="shared" si="652"/>
        <v>2025</v>
      </c>
      <c r="I7369" s="17" t="s">
        <v>4</v>
      </c>
      <c r="J7369" s="17" t="s">
        <v>7945</v>
      </c>
      <c r="K7369" s="17" t="s">
        <v>3653</v>
      </c>
      <c r="L7369" s="17" t="s">
        <v>3654</v>
      </c>
      <c r="M7369" s="17" t="s">
        <v>1071</v>
      </c>
      <c r="N7369" s="22" t="str">
        <f t="shared" si="654"/>
        <v>GAL</v>
      </c>
      <c r="O7369" s="19">
        <v>1100</v>
      </c>
    </row>
    <row r="7370" spans="2:15" x14ac:dyDescent="0.25">
      <c r="B7370" s="16" t="s">
        <v>3238</v>
      </c>
      <c r="C7370" s="17" t="s">
        <v>3239</v>
      </c>
      <c r="D7370" s="17" t="s">
        <v>3240</v>
      </c>
      <c r="E7370" s="17" t="s">
        <v>3241</v>
      </c>
      <c r="F7370" s="18">
        <f>DATE(2025,2,25)</f>
        <v>45713</v>
      </c>
      <c r="G7370" s="22">
        <f t="shared" si="651"/>
        <v>2</v>
      </c>
      <c r="H7370" s="22">
        <f t="shared" si="652"/>
        <v>2025</v>
      </c>
      <c r="I7370" s="17" t="s">
        <v>4</v>
      </c>
      <c r="J7370" s="17" t="s">
        <v>7945</v>
      </c>
      <c r="K7370" s="17" t="s">
        <v>3653</v>
      </c>
      <c r="L7370" s="17" t="s">
        <v>3654</v>
      </c>
      <c r="M7370" s="17" t="s">
        <v>1071</v>
      </c>
      <c r="N7370" s="22" t="str">
        <f t="shared" si="654"/>
        <v>GAL</v>
      </c>
      <c r="O7370" s="19">
        <v>1500</v>
      </c>
    </row>
    <row r="7371" spans="2:15" x14ac:dyDescent="0.25">
      <c r="B7371" s="16" t="s">
        <v>3238</v>
      </c>
      <c r="C7371" s="17" t="s">
        <v>3239</v>
      </c>
      <c r="D7371" s="17" t="s">
        <v>3240</v>
      </c>
      <c r="E7371" s="17" t="s">
        <v>3241</v>
      </c>
      <c r="F7371" s="18">
        <f>DATE(2025,2,25)</f>
        <v>45713</v>
      </c>
      <c r="G7371" s="22">
        <f t="shared" si="651"/>
        <v>2</v>
      </c>
      <c r="H7371" s="22">
        <f t="shared" si="652"/>
        <v>2025</v>
      </c>
      <c r="I7371" s="17" t="s">
        <v>4</v>
      </c>
      <c r="J7371" s="17" t="s">
        <v>7945</v>
      </c>
      <c r="K7371" s="17" t="s">
        <v>5469</v>
      </c>
      <c r="L7371" s="17" t="s">
        <v>5470</v>
      </c>
      <c r="M7371" s="17" t="s">
        <v>1046</v>
      </c>
      <c r="N7371" s="22" t="str">
        <f t="shared" si="654"/>
        <v>GAL</v>
      </c>
      <c r="O7371" s="19">
        <v>42.5</v>
      </c>
    </row>
    <row r="7372" spans="2:15" x14ac:dyDescent="0.25">
      <c r="B7372" s="16" t="s">
        <v>3238</v>
      </c>
      <c r="C7372" s="17" t="s">
        <v>3239</v>
      </c>
      <c r="D7372" s="17" t="s">
        <v>3240</v>
      </c>
      <c r="E7372" s="17" t="s">
        <v>1011</v>
      </c>
      <c r="F7372" s="18">
        <f>DATE(2025,2,28)</f>
        <v>45716</v>
      </c>
      <c r="G7372" s="22">
        <f t="shared" si="651"/>
        <v>2</v>
      </c>
      <c r="H7372" s="22">
        <f t="shared" si="652"/>
        <v>2025</v>
      </c>
      <c r="I7372" s="17" t="s">
        <v>4</v>
      </c>
      <c r="J7372" s="17" t="s">
        <v>7946</v>
      </c>
      <c r="K7372" s="17" t="s">
        <v>5976</v>
      </c>
      <c r="L7372" s="17" t="s">
        <v>3915</v>
      </c>
      <c r="M7372" s="17" t="s">
        <v>3916</v>
      </c>
      <c r="N7372" s="22" t="str">
        <f t="shared" si="654"/>
        <v>GAL</v>
      </c>
      <c r="O7372" s="19">
        <v>275</v>
      </c>
    </row>
    <row r="7373" spans="2:15" x14ac:dyDescent="0.25">
      <c r="B7373" s="16" t="s">
        <v>3238</v>
      </c>
      <c r="C7373" s="17" t="s">
        <v>3239</v>
      </c>
      <c r="D7373" s="17" t="s">
        <v>3240</v>
      </c>
      <c r="E7373" s="17" t="s">
        <v>102</v>
      </c>
      <c r="F7373" s="18">
        <f>DATE(2025,2,27)</f>
        <v>45715</v>
      </c>
      <c r="G7373" s="22">
        <f t="shared" si="651"/>
        <v>2</v>
      </c>
      <c r="H7373" s="22">
        <f t="shared" si="652"/>
        <v>2025</v>
      </c>
      <c r="I7373" s="17" t="s">
        <v>4</v>
      </c>
      <c r="J7373" s="17" t="s">
        <v>7947</v>
      </c>
      <c r="K7373" s="17" t="s">
        <v>6489</v>
      </c>
      <c r="L7373" s="17" t="s">
        <v>6490</v>
      </c>
      <c r="M7373" s="17" t="s">
        <v>2528</v>
      </c>
      <c r="N7373" s="22" t="str">
        <f t="shared" si="654"/>
        <v>GAL</v>
      </c>
      <c r="O7373" s="19">
        <v>5</v>
      </c>
    </row>
    <row r="7374" spans="2:15" x14ac:dyDescent="0.25">
      <c r="B7374" s="6" t="s">
        <v>0</v>
      </c>
      <c r="C7374" s="7" t="s">
        <v>1</v>
      </c>
      <c r="D7374" s="8" t="s">
        <v>2</v>
      </c>
      <c r="E7374" s="8" t="s">
        <v>4287</v>
      </c>
      <c r="F7374" s="9">
        <f t="shared" ref="F7374:F7380" si="656">DATE(2025,3,10)</f>
        <v>45726</v>
      </c>
      <c r="G7374" s="10">
        <f t="shared" si="651"/>
        <v>3</v>
      </c>
      <c r="H7374" s="10">
        <f t="shared" si="652"/>
        <v>2025</v>
      </c>
      <c r="I7374" s="8" t="s">
        <v>4</v>
      </c>
      <c r="J7374" s="7" t="s">
        <v>7948</v>
      </c>
      <c r="K7374" s="8" t="s">
        <v>28</v>
      </c>
      <c r="L7374" s="8" t="s">
        <v>29</v>
      </c>
      <c r="M7374" s="8" t="s">
        <v>30</v>
      </c>
      <c r="N7374" s="10" t="str">
        <f t="shared" si="654"/>
        <v>GAL</v>
      </c>
      <c r="O7374" s="11">
        <v>120</v>
      </c>
    </row>
    <row r="7375" spans="2:15" x14ac:dyDescent="0.25">
      <c r="B7375" s="6" t="s">
        <v>0</v>
      </c>
      <c r="C7375" s="7" t="s">
        <v>1</v>
      </c>
      <c r="D7375" s="8" t="s">
        <v>2</v>
      </c>
      <c r="E7375" s="8" t="s">
        <v>4287</v>
      </c>
      <c r="F7375" s="9">
        <f t="shared" si="656"/>
        <v>45726</v>
      </c>
      <c r="G7375" s="10">
        <f t="shared" si="651"/>
        <v>3</v>
      </c>
      <c r="H7375" s="10">
        <f t="shared" si="652"/>
        <v>2025</v>
      </c>
      <c r="I7375" s="8" t="s">
        <v>4</v>
      </c>
      <c r="J7375" s="7" t="s">
        <v>7948</v>
      </c>
      <c r="K7375" s="8" t="s">
        <v>16</v>
      </c>
      <c r="L7375" s="8" t="s">
        <v>7</v>
      </c>
      <c r="M7375" s="8" t="s">
        <v>8</v>
      </c>
      <c r="N7375" s="10" t="str">
        <f t="shared" si="654"/>
        <v>GAL</v>
      </c>
      <c r="O7375" s="11">
        <v>120</v>
      </c>
    </row>
    <row r="7376" spans="2:15" x14ac:dyDescent="0.25">
      <c r="B7376" s="6" t="s">
        <v>0</v>
      </c>
      <c r="C7376" s="7" t="s">
        <v>1</v>
      </c>
      <c r="D7376" s="8" t="s">
        <v>2</v>
      </c>
      <c r="E7376" s="8" t="s">
        <v>4287</v>
      </c>
      <c r="F7376" s="9">
        <f t="shared" si="656"/>
        <v>45726</v>
      </c>
      <c r="G7376" s="10">
        <f t="shared" si="651"/>
        <v>3</v>
      </c>
      <c r="H7376" s="10">
        <f t="shared" si="652"/>
        <v>2025</v>
      </c>
      <c r="I7376" s="8" t="s">
        <v>4</v>
      </c>
      <c r="J7376" s="7" t="s">
        <v>7948</v>
      </c>
      <c r="K7376" s="8" t="s">
        <v>19</v>
      </c>
      <c r="L7376" s="8" t="s">
        <v>6006</v>
      </c>
      <c r="M7376" s="8" t="s">
        <v>21</v>
      </c>
      <c r="N7376" s="10" t="str">
        <f t="shared" si="654"/>
        <v>GAL</v>
      </c>
      <c r="O7376" s="11">
        <v>120</v>
      </c>
    </row>
    <row r="7377" spans="2:15" x14ac:dyDescent="0.25">
      <c r="B7377" s="6" t="s">
        <v>0</v>
      </c>
      <c r="C7377" s="7" t="s">
        <v>1</v>
      </c>
      <c r="D7377" s="8" t="s">
        <v>2</v>
      </c>
      <c r="E7377" s="8" t="s">
        <v>61</v>
      </c>
      <c r="F7377" s="9">
        <f t="shared" si="656"/>
        <v>45726</v>
      </c>
      <c r="G7377" s="10">
        <f t="shared" si="651"/>
        <v>3</v>
      </c>
      <c r="H7377" s="10">
        <f t="shared" si="652"/>
        <v>2025</v>
      </c>
      <c r="I7377" s="8" t="s">
        <v>4</v>
      </c>
      <c r="J7377" s="7" t="s">
        <v>7949</v>
      </c>
      <c r="K7377" s="8" t="s">
        <v>28</v>
      </c>
      <c r="L7377" s="8" t="s">
        <v>29</v>
      </c>
      <c r="M7377" s="8" t="s">
        <v>30</v>
      </c>
      <c r="N7377" s="10" t="str">
        <f t="shared" si="654"/>
        <v>GAL</v>
      </c>
      <c r="O7377" s="11">
        <v>50</v>
      </c>
    </row>
    <row r="7378" spans="2:15" x14ac:dyDescent="0.25">
      <c r="B7378" s="6" t="s">
        <v>0</v>
      </c>
      <c r="C7378" s="7" t="s">
        <v>1</v>
      </c>
      <c r="D7378" s="8" t="s">
        <v>2</v>
      </c>
      <c r="E7378" s="8" t="s">
        <v>61</v>
      </c>
      <c r="F7378" s="9">
        <f t="shared" si="656"/>
        <v>45726</v>
      </c>
      <c r="G7378" s="10">
        <f t="shared" ref="G7378:G7441" si="657">+MONTH(F7378)</f>
        <v>3</v>
      </c>
      <c r="H7378" s="10">
        <f t="shared" ref="H7378:H7441" si="658">+YEAR(F7378)</f>
        <v>2025</v>
      </c>
      <c r="I7378" s="8" t="s">
        <v>4</v>
      </c>
      <c r="J7378" s="7" t="s">
        <v>7949</v>
      </c>
      <c r="K7378" s="8" t="s">
        <v>25</v>
      </c>
      <c r="L7378" s="8" t="s">
        <v>26</v>
      </c>
      <c r="M7378" s="8" t="s">
        <v>27</v>
      </c>
      <c r="N7378" s="10" t="str">
        <f t="shared" si="654"/>
        <v>GAL</v>
      </c>
      <c r="O7378" s="11">
        <v>100</v>
      </c>
    </row>
    <row r="7379" spans="2:15" x14ac:dyDescent="0.25">
      <c r="B7379" s="6" t="s">
        <v>0</v>
      </c>
      <c r="C7379" s="7" t="s">
        <v>1</v>
      </c>
      <c r="D7379" s="8" t="s">
        <v>2</v>
      </c>
      <c r="E7379" s="8" t="s">
        <v>61</v>
      </c>
      <c r="F7379" s="9">
        <f t="shared" si="656"/>
        <v>45726</v>
      </c>
      <c r="G7379" s="10">
        <f t="shared" si="657"/>
        <v>3</v>
      </c>
      <c r="H7379" s="10">
        <f t="shared" si="658"/>
        <v>2025</v>
      </c>
      <c r="I7379" s="8" t="s">
        <v>4</v>
      </c>
      <c r="J7379" s="7" t="s">
        <v>7949</v>
      </c>
      <c r="K7379" s="8" t="s">
        <v>16</v>
      </c>
      <c r="L7379" s="8" t="s">
        <v>7</v>
      </c>
      <c r="M7379" s="8" t="s">
        <v>8</v>
      </c>
      <c r="N7379" s="10" t="str">
        <f t="shared" si="654"/>
        <v>GAL</v>
      </c>
      <c r="O7379" s="11">
        <v>100</v>
      </c>
    </row>
    <row r="7380" spans="2:15" x14ac:dyDescent="0.25">
      <c r="B7380" s="6" t="s">
        <v>0</v>
      </c>
      <c r="C7380" s="7" t="s">
        <v>1</v>
      </c>
      <c r="D7380" s="8" t="s">
        <v>2</v>
      </c>
      <c r="E7380" s="8" t="s">
        <v>61</v>
      </c>
      <c r="F7380" s="9">
        <f t="shared" si="656"/>
        <v>45726</v>
      </c>
      <c r="G7380" s="10">
        <f t="shared" si="657"/>
        <v>3</v>
      </c>
      <c r="H7380" s="10">
        <f t="shared" si="658"/>
        <v>2025</v>
      </c>
      <c r="I7380" s="8" t="s">
        <v>4</v>
      </c>
      <c r="J7380" s="7" t="s">
        <v>7949</v>
      </c>
      <c r="K7380" s="8" t="s">
        <v>19</v>
      </c>
      <c r="L7380" s="8" t="s">
        <v>6006</v>
      </c>
      <c r="M7380" s="8" t="s">
        <v>21</v>
      </c>
      <c r="N7380" s="10" t="str">
        <f t="shared" si="654"/>
        <v>GAL</v>
      </c>
      <c r="O7380" s="11">
        <v>50</v>
      </c>
    </row>
    <row r="7381" spans="2:15" x14ac:dyDescent="0.25">
      <c r="B7381" s="6" t="s">
        <v>0</v>
      </c>
      <c r="C7381" s="7" t="s">
        <v>1</v>
      </c>
      <c r="D7381" s="8" t="s">
        <v>2</v>
      </c>
      <c r="E7381" s="8" t="s">
        <v>4287</v>
      </c>
      <c r="F7381" s="9">
        <f t="shared" ref="F7381:F7387" si="659">DATE(2025,3,20)</f>
        <v>45736</v>
      </c>
      <c r="G7381" s="10">
        <f t="shared" si="657"/>
        <v>3</v>
      </c>
      <c r="H7381" s="10">
        <f t="shared" si="658"/>
        <v>2025</v>
      </c>
      <c r="I7381" s="8" t="s">
        <v>4</v>
      </c>
      <c r="J7381" s="7" t="s">
        <v>7950</v>
      </c>
      <c r="K7381" s="8" t="s">
        <v>22</v>
      </c>
      <c r="L7381" s="8" t="s">
        <v>23</v>
      </c>
      <c r="M7381" s="8" t="s">
        <v>24</v>
      </c>
      <c r="N7381" s="10" t="str">
        <f t="shared" si="654"/>
        <v>GAL</v>
      </c>
      <c r="O7381" s="11">
        <v>60</v>
      </c>
    </row>
    <row r="7382" spans="2:15" x14ac:dyDescent="0.25">
      <c r="B7382" s="6" t="s">
        <v>0</v>
      </c>
      <c r="C7382" s="7" t="s">
        <v>1</v>
      </c>
      <c r="D7382" s="8" t="s">
        <v>2</v>
      </c>
      <c r="E7382" s="8" t="s">
        <v>4287</v>
      </c>
      <c r="F7382" s="9">
        <f t="shared" si="659"/>
        <v>45736</v>
      </c>
      <c r="G7382" s="10">
        <f t="shared" si="657"/>
        <v>3</v>
      </c>
      <c r="H7382" s="10">
        <f t="shared" si="658"/>
        <v>2025</v>
      </c>
      <c r="I7382" s="8" t="s">
        <v>4</v>
      </c>
      <c r="J7382" s="7" t="s">
        <v>7950</v>
      </c>
      <c r="K7382" s="8" t="s">
        <v>28</v>
      </c>
      <c r="L7382" s="8" t="s">
        <v>29</v>
      </c>
      <c r="M7382" s="8" t="s">
        <v>30</v>
      </c>
      <c r="N7382" s="10" t="str">
        <f t="shared" si="654"/>
        <v>GAL</v>
      </c>
      <c r="O7382" s="11">
        <v>120</v>
      </c>
    </row>
    <row r="7383" spans="2:15" x14ac:dyDescent="0.25">
      <c r="B7383" s="6" t="s">
        <v>0</v>
      </c>
      <c r="C7383" s="7" t="s">
        <v>1</v>
      </c>
      <c r="D7383" s="8" t="s">
        <v>2</v>
      </c>
      <c r="E7383" s="8" t="s">
        <v>4287</v>
      </c>
      <c r="F7383" s="9">
        <f t="shared" si="659"/>
        <v>45736</v>
      </c>
      <c r="G7383" s="10">
        <f t="shared" si="657"/>
        <v>3</v>
      </c>
      <c r="H7383" s="10">
        <f t="shared" si="658"/>
        <v>2025</v>
      </c>
      <c r="I7383" s="8" t="s">
        <v>4</v>
      </c>
      <c r="J7383" s="7" t="s">
        <v>7950</v>
      </c>
      <c r="K7383" s="8" t="s">
        <v>83</v>
      </c>
      <c r="L7383" s="8" t="s">
        <v>84</v>
      </c>
      <c r="M7383" s="8" t="s">
        <v>85</v>
      </c>
      <c r="N7383" s="10" t="str">
        <f t="shared" si="654"/>
        <v>GAL</v>
      </c>
      <c r="O7383" s="11">
        <v>120</v>
      </c>
    </row>
    <row r="7384" spans="2:15" x14ac:dyDescent="0.25">
      <c r="B7384" s="6" t="s">
        <v>0</v>
      </c>
      <c r="C7384" s="7" t="s">
        <v>1</v>
      </c>
      <c r="D7384" s="8" t="s">
        <v>2</v>
      </c>
      <c r="E7384" s="8" t="s">
        <v>4287</v>
      </c>
      <c r="F7384" s="9">
        <f t="shared" si="659"/>
        <v>45736</v>
      </c>
      <c r="G7384" s="10">
        <f t="shared" si="657"/>
        <v>3</v>
      </c>
      <c r="H7384" s="10">
        <f t="shared" si="658"/>
        <v>2025</v>
      </c>
      <c r="I7384" s="8" t="s">
        <v>4</v>
      </c>
      <c r="J7384" s="7" t="s">
        <v>7950</v>
      </c>
      <c r="K7384" s="8" t="s">
        <v>574</v>
      </c>
      <c r="L7384" s="8" t="s">
        <v>66</v>
      </c>
      <c r="M7384" s="8" t="s">
        <v>67</v>
      </c>
      <c r="N7384" s="10" t="str">
        <f t="shared" si="654"/>
        <v>GAL</v>
      </c>
      <c r="O7384" s="11">
        <v>120</v>
      </c>
    </row>
    <row r="7385" spans="2:15" x14ac:dyDescent="0.25">
      <c r="B7385" s="6" t="s">
        <v>0</v>
      </c>
      <c r="C7385" s="7" t="s">
        <v>1</v>
      </c>
      <c r="D7385" s="8" t="s">
        <v>2</v>
      </c>
      <c r="E7385" s="8" t="s">
        <v>4287</v>
      </c>
      <c r="F7385" s="9">
        <f t="shared" si="659"/>
        <v>45736</v>
      </c>
      <c r="G7385" s="10">
        <f t="shared" si="657"/>
        <v>3</v>
      </c>
      <c r="H7385" s="10">
        <f t="shared" si="658"/>
        <v>2025</v>
      </c>
      <c r="I7385" s="8" t="s">
        <v>4</v>
      </c>
      <c r="J7385" s="7" t="s">
        <v>7950</v>
      </c>
      <c r="K7385" s="8" t="s">
        <v>25</v>
      </c>
      <c r="L7385" s="8" t="s">
        <v>26</v>
      </c>
      <c r="M7385" s="8" t="s">
        <v>27</v>
      </c>
      <c r="N7385" s="10" t="str">
        <f t="shared" si="654"/>
        <v>GAL</v>
      </c>
      <c r="O7385" s="11">
        <v>120</v>
      </c>
    </row>
    <row r="7386" spans="2:15" x14ac:dyDescent="0.25">
      <c r="B7386" s="6" t="s">
        <v>0</v>
      </c>
      <c r="C7386" s="7" t="s">
        <v>1</v>
      </c>
      <c r="D7386" s="8" t="s">
        <v>2</v>
      </c>
      <c r="E7386" s="8" t="s">
        <v>4287</v>
      </c>
      <c r="F7386" s="9">
        <f t="shared" si="659"/>
        <v>45736</v>
      </c>
      <c r="G7386" s="10">
        <f t="shared" si="657"/>
        <v>3</v>
      </c>
      <c r="H7386" s="10">
        <f t="shared" si="658"/>
        <v>2025</v>
      </c>
      <c r="I7386" s="8" t="s">
        <v>4</v>
      </c>
      <c r="J7386" s="7" t="s">
        <v>7950</v>
      </c>
      <c r="K7386" s="8" t="s">
        <v>36</v>
      </c>
      <c r="L7386" s="8" t="s">
        <v>37</v>
      </c>
      <c r="M7386" s="8" t="s">
        <v>38</v>
      </c>
      <c r="N7386" s="10" t="str">
        <f t="shared" si="654"/>
        <v>GAL</v>
      </c>
      <c r="O7386" s="11">
        <v>60</v>
      </c>
    </row>
    <row r="7387" spans="2:15" x14ac:dyDescent="0.25">
      <c r="B7387" s="6" t="s">
        <v>0</v>
      </c>
      <c r="C7387" s="7" t="s">
        <v>1</v>
      </c>
      <c r="D7387" s="8" t="s">
        <v>2</v>
      </c>
      <c r="E7387" s="8" t="s">
        <v>4287</v>
      </c>
      <c r="F7387" s="9">
        <f t="shared" si="659"/>
        <v>45736</v>
      </c>
      <c r="G7387" s="10">
        <f t="shared" si="657"/>
        <v>3</v>
      </c>
      <c r="H7387" s="10">
        <f t="shared" si="658"/>
        <v>2025</v>
      </c>
      <c r="I7387" s="8" t="s">
        <v>4</v>
      </c>
      <c r="J7387" s="7" t="s">
        <v>7950</v>
      </c>
      <c r="K7387" s="8" t="s">
        <v>16</v>
      </c>
      <c r="L7387" s="8" t="s">
        <v>7</v>
      </c>
      <c r="M7387" s="8" t="s">
        <v>8</v>
      </c>
      <c r="N7387" s="10" t="str">
        <f t="shared" si="654"/>
        <v>GAL</v>
      </c>
      <c r="O7387" s="11">
        <v>120</v>
      </c>
    </row>
    <row r="7388" spans="2:15" x14ac:dyDescent="0.25">
      <c r="B7388" s="6" t="s">
        <v>88</v>
      </c>
      <c r="C7388" s="7" t="s">
        <v>89</v>
      </c>
      <c r="D7388" s="8" t="s">
        <v>6197</v>
      </c>
      <c r="E7388" s="8" t="s">
        <v>7951</v>
      </c>
      <c r="F7388" s="9">
        <f>DATE(2025,3,6)</f>
        <v>45722</v>
      </c>
      <c r="G7388" s="10">
        <f t="shared" si="657"/>
        <v>3</v>
      </c>
      <c r="H7388" s="10">
        <f t="shared" si="658"/>
        <v>2025</v>
      </c>
      <c r="I7388" s="8" t="s">
        <v>4</v>
      </c>
      <c r="J7388" s="7" t="s">
        <v>7952</v>
      </c>
      <c r="K7388" s="8" t="s">
        <v>6201</v>
      </c>
      <c r="L7388" s="8" t="s">
        <v>6202</v>
      </c>
      <c r="M7388" s="8" t="s">
        <v>1397</v>
      </c>
      <c r="N7388" s="10" t="str">
        <f t="shared" si="654"/>
        <v>GAL</v>
      </c>
      <c r="O7388" s="11">
        <v>440</v>
      </c>
    </row>
    <row r="7389" spans="2:15" x14ac:dyDescent="0.25">
      <c r="B7389" s="6" t="s">
        <v>88</v>
      </c>
      <c r="C7389" s="7" t="s">
        <v>89</v>
      </c>
      <c r="D7389" s="8" t="s">
        <v>3265</v>
      </c>
      <c r="E7389" s="8" t="s">
        <v>3266</v>
      </c>
      <c r="F7389" s="9">
        <f>DATE(2025,3,13)</f>
        <v>45729</v>
      </c>
      <c r="G7389" s="10">
        <f t="shared" si="657"/>
        <v>3</v>
      </c>
      <c r="H7389" s="10">
        <f t="shared" si="658"/>
        <v>2025</v>
      </c>
      <c r="I7389" s="8" t="s">
        <v>4</v>
      </c>
      <c r="J7389" s="7" t="s">
        <v>7953</v>
      </c>
      <c r="K7389" s="8" t="s">
        <v>7954</v>
      </c>
      <c r="L7389" s="8" t="s">
        <v>7955</v>
      </c>
      <c r="M7389" s="8" t="s">
        <v>7642</v>
      </c>
      <c r="N7389" s="10" t="str">
        <f t="shared" si="654"/>
        <v>GAL</v>
      </c>
      <c r="O7389" s="11">
        <v>75</v>
      </c>
    </row>
    <row r="7390" spans="2:15" x14ac:dyDescent="0.25">
      <c r="B7390" s="6" t="s">
        <v>88</v>
      </c>
      <c r="C7390" s="7" t="s">
        <v>89</v>
      </c>
      <c r="D7390" s="8" t="s">
        <v>3265</v>
      </c>
      <c r="E7390" s="8" t="s">
        <v>3266</v>
      </c>
      <c r="F7390" s="9">
        <f>DATE(2025,3,13)</f>
        <v>45729</v>
      </c>
      <c r="G7390" s="10">
        <f t="shared" si="657"/>
        <v>3</v>
      </c>
      <c r="H7390" s="10">
        <f t="shared" si="658"/>
        <v>2025</v>
      </c>
      <c r="I7390" s="8" t="s">
        <v>4</v>
      </c>
      <c r="J7390" s="7" t="s">
        <v>7953</v>
      </c>
      <c r="K7390" s="8" t="s">
        <v>3268</v>
      </c>
      <c r="L7390" s="8" t="s">
        <v>3269</v>
      </c>
      <c r="M7390" s="8" t="s">
        <v>2576</v>
      </c>
      <c r="N7390" s="10" t="str">
        <f t="shared" si="654"/>
        <v>GAL</v>
      </c>
      <c r="O7390" s="11">
        <v>75</v>
      </c>
    </row>
    <row r="7391" spans="2:15" x14ac:dyDescent="0.25">
      <c r="B7391" s="6" t="s">
        <v>88</v>
      </c>
      <c r="C7391" s="7" t="s">
        <v>89</v>
      </c>
      <c r="D7391" s="8" t="s">
        <v>90</v>
      </c>
      <c r="E7391" s="8" t="s">
        <v>91</v>
      </c>
      <c r="F7391" s="9">
        <f>DATE(2025,3,13)</f>
        <v>45729</v>
      </c>
      <c r="G7391" s="10">
        <f t="shared" si="657"/>
        <v>3</v>
      </c>
      <c r="H7391" s="10">
        <f t="shared" si="658"/>
        <v>2025</v>
      </c>
      <c r="I7391" s="8" t="s">
        <v>4</v>
      </c>
      <c r="J7391" s="7" t="s">
        <v>7956</v>
      </c>
      <c r="K7391" s="8" t="s">
        <v>2519</v>
      </c>
      <c r="L7391" s="8" t="s">
        <v>550</v>
      </c>
      <c r="M7391" s="8" t="s">
        <v>52</v>
      </c>
      <c r="N7391" s="10" t="str">
        <f t="shared" si="654"/>
        <v>GAL</v>
      </c>
      <c r="O7391" s="11">
        <v>250</v>
      </c>
    </row>
    <row r="7392" spans="2:15" x14ac:dyDescent="0.25">
      <c r="B7392" s="6" t="s">
        <v>88</v>
      </c>
      <c r="C7392" s="7" t="s">
        <v>89</v>
      </c>
      <c r="D7392" s="8" t="s">
        <v>2195</v>
      </c>
      <c r="E7392" s="8" t="s">
        <v>2196</v>
      </c>
      <c r="F7392" s="9">
        <f>DATE(2025,3,14)</f>
        <v>45730</v>
      </c>
      <c r="G7392" s="10">
        <f t="shared" si="657"/>
        <v>3</v>
      </c>
      <c r="H7392" s="10">
        <f t="shared" si="658"/>
        <v>2025</v>
      </c>
      <c r="I7392" s="8" t="s">
        <v>4</v>
      </c>
      <c r="J7392" s="7" t="s">
        <v>7957</v>
      </c>
      <c r="K7392" s="8" t="s">
        <v>1028</v>
      </c>
      <c r="L7392" s="8" t="s">
        <v>1029</v>
      </c>
      <c r="M7392" s="8" t="s">
        <v>106</v>
      </c>
      <c r="N7392" s="10" t="str">
        <f t="shared" si="654"/>
        <v>LBS</v>
      </c>
      <c r="O7392" s="11">
        <v>43080</v>
      </c>
    </row>
    <row r="7393" spans="2:15" x14ac:dyDescent="0.25">
      <c r="B7393" s="6" t="s">
        <v>88</v>
      </c>
      <c r="C7393" s="7" t="s">
        <v>89</v>
      </c>
      <c r="D7393" s="8" t="s">
        <v>562</v>
      </c>
      <c r="E7393" s="8" t="s">
        <v>7958</v>
      </c>
      <c r="F7393" s="9">
        <f>DATE(2025,3,14)</f>
        <v>45730</v>
      </c>
      <c r="G7393" s="10">
        <f t="shared" si="657"/>
        <v>3</v>
      </c>
      <c r="H7393" s="10">
        <f t="shared" si="658"/>
        <v>2025</v>
      </c>
      <c r="I7393" s="8" t="s">
        <v>4</v>
      </c>
      <c r="J7393" s="7" t="s">
        <v>7959</v>
      </c>
      <c r="K7393" s="8" t="s">
        <v>1786</v>
      </c>
      <c r="L7393" s="8" t="s">
        <v>518</v>
      </c>
      <c r="M7393" s="8" t="s">
        <v>85</v>
      </c>
      <c r="N7393" s="10" t="str">
        <f t="shared" si="654"/>
        <v>GAL</v>
      </c>
      <c r="O7393" s="11">
        <v>220</v>
      </c>
    </row>
    <row r="7394" spans="2:15" x14ac:dyDescent="0.25">
      <c r="B7394" s="6" t="s">
        <v>88</v>
      </c>
      <c r="C7394" s="7" t="s">
        <v>89</v>
      </c>
      <c r="D7394" s="8" t="s">
        <v>562</v>
      </c>
      <c r="E7394" s="8" t="s">
        <v>7958</v>
      </c>
      <c r="F7394" s="9">
        <f>DATE(2025,3,14)</f>
        <v>45730</v>
      </c>
      <c r="G7394" s="10">
        <f t="shared" si="657"/>
        <v>3</v>
      </c>
      <c r="H7394" s="10">
        <f t="shared" si="658"/>
        <v>2025</v>
      </c>
      <c r="I7394" s="8" t="s">
        <v>4</v>
      </c>
      <c r="J7394" s="7" t="s">
        <v>7959</v>
      </c>
      <c r="K7394" s="8" t="s">
        <v>83</v>
      </c>
      <c r="L7394" s="8" t="s">
        <v>518</v>
      </c>
      <c r="M7394" s="8" t="s">
        <v>85</v>
      </c>
      <c r="N7394" s="10" t="str">
        <f t="shared" si="654"/>
        <v>GAL</v>
      </c>
      <c r="O7394" s="11">
        <v>360</v>
      </c>
    </row>
    <row r="7395" spans="2:15" x14ac:dyDescent="0.25">
      <c r="B7395" s="6" t="s">
        <v>88</v>
      </c>
      <c r="C7395" s="7" t="s">
        <v>89</v>
      </c>
      <c r="D7395" s="8" t="s">
        <v>515</v>
      </c>
      <c r="E7395" s="8" t="s">
        <v>516</v>
      </c>
      <c r="F7395" s="9">
        <f>DATE(2025,3,14)</f>
        <v>45730</v>
      </c>
      <c r="G7395" s="10">
        <f t="shared" si="657"/>
        <v>3</v>
      </c>
      <c r="H7395" s="10">
        <f t="shared" si="658"/>
        <v>2025</v>
      </c>
      <c r="I7395" s="8" t="s">
        <v>4</v>
      </c>
      <c r="J7395" s="7" t="s">
        <v>7960</v>
      </c>
      <c r="K7395" s="8" t="s">
        <v>110</v>
      </c>
      <c r="L7395" s="8" t="s">
        <v>111</v>
      </c>
      <c r="M7395" s="8" t="s">
        <v>112</v>
      </c>
      <c r="N7395" s="10" t="str">
        <f t="shared" si="654"/>
        <v>GAL</v>
      </c>
      <c r="O7395" s="11">
        <v>548</v>
      </c>
    </row>
    <row r="7396" spans="2:15" x14ac:dyDescent="0.25">
      <c r="B7396" s="6" t="s">
        <v>88</v>
      </c>
      <c r="C7396" s="7" t="s">
        <v>89</v>
      </c>
      <c r="D7396" s="8" t="s">
        <v>1444</v>
      </c>
      <c r="E7396" s="8" t="s">
        <v>102</v>
      </c>
      <c r="F7396" s="9">
        <f>DATE(2025,3,14)</f>
        <v>45730</v>
      </c>
      <c r="G7396" s="10">
        <f t="shared" si="657"/>
        <v>3</v>
      </c>
      <c r="H7396" s="10">
        <f t="shared" si="658"/>
        <v>2025</v>
      </c>
      <c r="I7396" s="8" t="s">
        <v>4</v>
      </c>
      <c r="J7396" s="7" t="s">
        <v>7961</v>
      </c>
      <c r="K7396" s="8" t="s">
        <v>1446</v>
      </c>
      <c r="L7396" s="8" t="s">
        <v>2581</v>
      </c>
      <c r="M7396" s="8" t="s">
        <v>1448</v>
      </c>
      <c r="N7396" s="10" t="str">
        <f t="shared" si="654"/>
        <v>GAL</v>
      </c>
      <c r="O7396" s="11">
        <v>360</v>
      </c>
    </row>
    <row r="7397" spans="2:15" x14ac:dyDescent="0.25">
      <c r="B7397" s="6" t="s">
        <v>88</v>
      </c>
      <c r="C7397" s="7" t="s">
        <v>89</v>
      </c>
      <c r="D7397" s="8" t="s">
        <v>557</v>
      </c>
      <c r="E7397" s="8" t="s">
        <v>1054</v>
      </c>
      <c r="F7397" s="9">
        <f>DATE(2025,3,18)</f>
        <v>45734</v>
      </c>
      <c r="G7397" s="10">
        <f t="shared" si="657"/>
        <v>3</v>
      </c>
      <c r="H7397" s="10">
        <f t="shared" si="658"/>
        <v>2025</v>
      </c>
      <c r="I7397" s="8" t="s">
        <v>4</v>
      </c>
      <c r="J7397" s="7" t="s">
        <v>7962</v>
      </c>
      <c r="K7397" s="8" t="s">
        <v>1424</v>
      </c>
      <c r="L7397" s="8" t="s">
        <v>1057</v>
      </c>
      <c r="M7397" s="8" t="s">
        <v>1058</v>
      </c>
      <c r="N7397" s="10" t="str">
        <f t="shared" si="654"/>
        <v>GAL</v>
      </c>
      <c r="O7397" s="11">
        <v>3600</v>
      </c>
    </row>
    <row r="7398" spans="2:15" x14ac:dyDescent="0.25">
      <c r="B7398" s="6" t="s">
        <v>88</v>
      </c>
      <c r="C7398" s="7" t="s">
        <v>89</v>
      </c>
      <c r="D7398" s="8" t="s">
        <v>1444</v>
      </c>
      <c r="E7398" s="8" t="s">
        <v>2864</v>
      </c>
      <c r="F7398" s="9">
        <f>DATE(2025,3,21)</f>
        <v>45737</v>
      </c>
      <c r="G7398" s="10">
        <f t="shared" si="657"/>
        <v>3</v>
      </c>
      <c r="H7398" s="10">
        <f t="shared" si="658"/>
        <v>2025</v>
      </c>
      <c r="I7398" s="8" t="s">
        <v>4</v>
      </c>
      <c r="J7398" s="7" t="s">
        <v>7963</v>
      </c>
      <c r="K7398" s="8" t="s">
        <v>1446</v>
      </c>
      <c r="L7398" s="8" t="s">
        <v>2581</v>
      </c>
      <c r="M7398" s="8" t="s">
        <v>1448</v>
      </c>
      <c r="N7398" s="10" t="str">
        <f t="shared" si="654"/>
        <v>GAL</v>
      </c>
      <c r="O7398" s="11">
        <v>360</v>
      </c>
    </row>
    <row r="7399" spans="2:15" x14ac:dyDescent="0.25">
      <c r="B7399" s="6" t="s">
        <v>88</v>
      </c>
      <c r="C7399" s="7" t="s">
        <v>89</v>
      </c>
      <c r="D7399" s="8" t="s">
        <v>6019</v>
      </c>
      <c r="E7399" s="8" t="s">
        <v>6020</v>
      </c>
      <c r="F7399" s="9">
        <f>DATE(2025,3,21)</f>
        <v>45737</v>
      </c>
      <c r="G7399" s="10">
        <f t="shared" si="657"/>
        <v>3</v>
      </c>
      <c r="H7399" s="10">
        <f t="shared" si="658"/>
        <v>2025</v>
      </c>
      <c r="I7399" s="8" t="s">
        <v>4</v>
      </c>
      <c r="J7399" s="7" t="s">
        <v>7964</v>
      </c>
      <c r="K7399" s="8" t="s">
        <v>7630</v>
      </c>
      <c r="L7399" s="8" t="s">
        <v>7631</v>
      </c>
      <c r="M7399" s="8" t="s">
        <v>4204</v>
      </c>
      <c r="N7399" s="10" t="str">
        <f t="shared" si="654"/>
        <v>GAL</v>
      </c>
      <c r="O7399" s="11">
        <v>7143</v>
      </c>
    </row>
    <row r="7400" spans="2:15" x14ac:dyDescent="0.25">
      <c r="B7400" s="6" t="s">
        <v>88</v>
      </c>
      <c r="C7400" s="7" t="s">
        <v>89</v>
      </c>
      <c r="D7400" s="8" t="s">
        <v>1111</v>
      </c>
      <c r="E7400" s="8" t="s">
        <v>1112</v>
      </c>
      <c r="F7400" s="9">
        <f>DATE(2025,3,21)</f>
        <v>45737</v>
      </c>
      <c r="G7400" s="10">
        <f t="shared" si="657"/>
        <v>3</v>
      </c>
      <c r="H7400" s="10">
        <f t="shared" si="658"/>
        <v>2025</v>
      </c>
      <c r="I7400" s="8" t="s">
        <v>4</v>
      </c>
      <c r="J7400" s="7" t="s">
        <v>7965</v>
      </c>
      <c r="K7400" s="8" t="s">
        <v>2629</v>
      </c>
      <c r="L7400" s="8" t="s">
        <v>2630</v>
      </c>
      <c r="M7400" s="8" t="s">
        <v>2631</v>
      </c>
      <c r="N7400" s="10" t="str">
        <f t="shared" si="654"/>
        <v>GAL</v>
      </c>
      <c r="O7400" s="11">
        <v>70</v>
      </c>
    </row>
    <row r="7401" spans="2:15" x14ac:dyDescent="0.25">
      <c r="B7401" s="6" t="s">
        <v>88</v>
      </c>
      <c r="C7401" s="7" t="s">
        <v>89</v>
      </c>
      <c r="D7401" s="8" t="s">
        <v>7024</v>
      </c>
      <c r="E7401" s="8" t="s">
        <v>7346</v>
      </c>
      <c r="F7401" s="9">
        <f>DATE(2025,3,24)</f>
        <v>45740</v>
      </c>
      <c r="G7401" s="10">
        <f t="shared" si="657"/>
        <v>3</v>
      </c>
      <c r="H7401" s="10">
        <f t="shared" si="658"/>
        <v>2025</v>
      </c>
      <c r="I7401" s="8" t="s">
        <v>4</v>
      </c>
      <c r="J7401" s="7" t="s">
        <v>7966</v>
      </c>
      <c r="K7401" s="8" t="s">
        <v>7027</v>
      </c>
      <c r="L7401" s="8" t="s">
        <v>7028</v>
      </c>
      <c r="M7401" s="8" t="s">
        <v>106</v>
      </c>
      <c r="N7401" s="10" t="str">
        <f t="shared" si="654"/>
        <v>LBS</v>
      </c>
      <c r="O7401" s="11">
        <v>43960</v>
      </c>
    </row>
    <row r="7402" spans="2:15" x14ac:dyDescent="0.25">
      <c r="B7402" s="6" t="s">
        <v>88</v>
      </c>
      <c r="C7402" s="7" t="s">
        <v>89</v>
      </c>
      <c r="D7402" s="8" t="s">
        <v>7652</v>
      </c>
      <c r="E7402" s="8" t="s">
        <v>7653</v>
      </c>
      <c r="F7402" s="9">
        <f>DATE(2025,3,20)</f>
        <v>45736</v>
      </c>
      <c r="G7402" s="10">
        <f t="shared" si="657"/>
        <v>3</v>
      </c>
      <c r="H7402" s="10">
        <f t="shared" si="658"/>
        <v>2025</v>
      </c>
      <c r="I7402" s="8" t="s">
        <v>4</v>
      </c>
      <c r="J7402" s="7" t="s">
        <v>7967</v>
      </c>
      <c r="K7402" s="8" t="s">
        <v>7968</v>
      </c>
      <c r="L7402" s="8" t="s">
        <v>7969</v>
      </c>
      <c r="M7402" s="8" t="s">
        <v>145</v>
      </c>
      <c r="N7402" s="10" t="str">
        <f t="shared" si="654"/>
        <v>GAL</v>
      </c>
      <c r="O7402" s="11">
        <v>1000</v>
      </c>
    </row>
    <row r="7403" spans="2:15" x14ac:dyDescent="0.25">
      <c r="B7403" s="6" t="s">
        <v>88</v>
      </c>
      <c r="C7403" s="7" t="s">
        <v>89</v>
      </c>
      <c r="D7403" s="8" t="s">
        <v>1103</v>
      </c>
      <c r="E7403" s="8" t="s">
        <v>1104</v>
      </c>
      <c r="F7403" s="9">
        <f>DATE(2025,3,28)</f>
        <v>45744</v>
      </c>
      <c r="G7403" s="10">
        <f t="shared" si="657"/>
        <v>3</v>
      </c>
      <c r="H7403" s="10">
        <f t="shared" si="658"/>
        <v>2025</v>
      </c>
      <c r="I7403" s="8" t="s">
        <v>4</v>
      </c>
      <c r="J7403" s="7" t="s">
        <v>7970</v>
      </c>
      <c r="K7403" s="8" t="s">
        <v>126</v>
      </c>
      <c r="L7403" s="8" t="s">
        <v>127</v>
      </c>
      <c r="M7403" s="8" t="s">
        <v>106</v>
      </c>
      <c r="N7403" s="10" t="str">
        <f t="shared" si="654"/>
        <v>LBS</v>
      </c>
      <c r="O7403" s="11">
        <v>13150</v>
      </c>
    </row>
    <row r="7404" spans="2:15" x14ac:dyDescent="0.25">
      <c r="B7404" s="6" t="s">
        <v>88</v>
      </c>
      <c r="C7404" s="7" t="s">
        <v>89</v>
      </c>
      <c r="D7404" s="8" t="s">
        <v>7638</v>
      </c>
      <c r="E7404" s="8" t="s">
        <v>102</v>
      </c>
      <c r="F7404" s="9">
        <f>DATE(2025,3,31)</f>
        <v>45747</v>
      </c>
      <c r="G7404" s="10">
        <f t="shared" si="657"/>
        <v>3</v>
      </c>
      <c r="H7404" s="10">
        <f t="shared" si="658"/>
        <v>2025</v>
      </c>
      <c r="I7404" s="8" t="s">
        <v>4</v>
      </c>
      <c r="J7404" s="7" t="s">
        <v>7971</v>
      </c>
      <c r="K7404" s="8" t="s">
        <v>2548</v>
      </c>
      <c r="L7404" s="8" t="s">
        <v>5951</v>
      </c>
      <c r="M7404" s="8" t="s">
        <v>24</v>
      </c>
      <c r="N7404" s="10" t="str">
        <f t="shared" si="654"/>
        <v>GAL</v>
      </c>
      <c r="O7404" s="11">
        <v>1375</v>
      </c>
    </row>
    <row r="7405" spans="2:15" x14ac:dyDescent="0.25">
      <c r="B7405" s="6" t="s">
        <v>88</v>
      </c>
      <c r="C7405" s="7" t="s">
        <v>89</v>
      </c>
      <c r="D7405" s="8" t="s">
        <v>7638</v>
      </c>
      <c r="E7405" s="8" t="s">
        <v>102</v>
      </c>
      <c r="F7405" s="9">
        <f>DATE(2025,3,31)</f>
        <v>45747</v>
      </c>
      <c r="G7405" s="10">
        <f t="shared" si="657"/>
        <v>3</v>
      </c>
      <c r="H7405" s="10">
        <f t="shared" si="658"/>
        <v>2025</v>
      </c>
      <c r="I7405" s="8" t="s">
        <v>4</v>
      </c>
      <c r="J7405" s="7" t="s">
        <v>7971</v>
      </c>
      <c r="K7405" s="8" t="s">
        <v>7643</v>
      </c>
      <c r="L7405" s="8" t="s">
        <v>7644</v>
      </c>
      <c r="M7405" s="8" t="s">
        <v>3649</v>
      </c>
      <c r="N7405" s="10" t="str">
        <f t="shared" si="654"/>
        <v>GAL</v>
      </c>
      <c r="O7405" s="11">
        <v>1375</v>
      </c>
    </row>
    <row r="7406" spans="2:15" x14ac:dyDescent="0.25">
      <c r="B7406" s="6" t="s">
        <v>88</v>
      </c>
      <c r="C7406" s="7" t="s">
        <v>89</v>
      </c>
      <c r="D7406" s="8" t="s">
        <v>7024</v>
      </c>
      <c r="E7406" s="8" t="s">
        <v>7346</v>
      </c>
      <c r="F7406" s="9">
        <f>DATE(2025,3,31)</f>
        <v>45747</v>
      </c>
      <c r="G7406" s="10">
        <f t="shared" si="657"/>
        <v>3</v>
      </c>
      <c r="H7406" s="10">
        <f t="shared" si="658"/>
        <v>2025</v>
      </c>
      <c r="I7406" s="8" t="s">
        <v>4</v>
      </c>
      <c r="J7406" s="7" t="s">
        <v>7972</v>
      </c>
      <c r="K7406" s="8" t="s">
        <v>7027</v>
      </c>
      <c r="L7406" s="8" t="s">
        <v>7028</v>
      </c>
      <c r="M7406" s="8" t="s">
        <v>106</v>
      </c>
      <c r="N7406" s="10" t="str">
        <f t="shared" si="654"/>
        <v>LBS</v>
      </c>
      <c r="O7406" s="11">
        <v>44940</v>
      </c>
    </row>
    <row r="7407" spans="2:15" x14ac:dyDescent="0.25">
      <c r="B7407" s="6" t="s">
        <v>88</v>
      </c>
      <c r="C7407" s="7" t="s">
        <v>89</v>
      </c>
      <c r="D7407" s="8" t="s">
        <v>1103</v>
      </c>
      <c r="E7407" s="8" t="s">
        <v>1104</v>
      </c>
      <c r="F7407" s="9">
        <f>DATE(2025,3,31)</f>
        <v>45747</v>
      </c>
      <c r="G7407" s="10">
        <f t="shared" si="657"/>
        <v>3</v>
      </c>
      <c r="H7407" s="10">
        <f t="shared" si="658"/>
        <v>2025</v>
      </c>
      <c r="I7407" s="8" t="s">
        <v>4</v>
      </c>
      <c r="J7407" s="7" t="s">
        <v>7973</v>
      </c>
      <c r="K7407" s="8" t="s">
        <v>126</v>
      </c>
      <c r="L7407" s="8" t="s">
        <v>127</v>
      </c>
      <c r="M7407" s="8" t="s">
        <v>106</v>
      </c>
      <c r="N7407" s="10" t="str">
        <f t="shared" si="654"/>
        <v>LBS</v>
      </c>
      <c r="O7407" s="11">
        <v>6575</v>
      </c>
    </row>
    <row r="7408" spans="2:15" x14ac:dyDescent="0.25">
      <c r="B7408" s="6" t="s">
        <v>154</v>
      </c>
      <c r="C7408" s="7" t="s">
        <v>155</v>
      </c>
      <c r="D7408" s="8" t="s">
        <v>167</v>
      </c>
      <c r="E7408" s="8" t="s">
        <v>168</v>
      </c>
      <c r="F7408" s="9">
        <f t="shared" ref="F7408:F7416" si="660">DATE(2025,3,4)</f>
        <v>45720</v>
      </c>
      <c r="G7408" s="10">
        <f t="shared" si="657"/>
        <v>3</v>
      </c>
      <c r="H7408" s="10">
        <f t="shared" si="658"/>
        <v>2025</v>
      </c>
      <c r="I7408" s="8" t="s">
        <v>4</v>
      </c>
      <c r="J7408" s="7" t="s">
        <v>7974</v>
      </c>
      <c r="K7408" s="8" t="s">
        <v>158</v>
      </c>
      <c r="L7408" s="8" t="s">
        <v>159</v>
      </c>
      <c r="M7408" s="8" t="s">
        <v>160</v>
      </c>
      <c r="N7408" s="10" t="str">
        <f t="shared" si="654"/>
        <v>GAL</v>
      </c>
      <c r="O7408" s="11">
        <v>180</v>
      </c>
    </row>
    <row r="7409" spans="2:15" x14ac:dyDescent="0.25">
      <c r="B7409" s="6" t="s">
        <v>154</v>
      </c>
      <c r="C7409" s="7" t="s">
        <v>155</v>
      </c>
      <c r="D7409" s="8" t="s">
        <v>3198</v>
      </c>
      <c r="E7409" s="8" t="s">
        <v>174</v>
      </c>
      <c r="F7409" s="9">
        <f t="shared" si="660"/>
        <v>45720</v>
      </c>
      <c r="G7409" s="10">
        <f t="shared" si="657"/>
        <v>3</v>
      </c>
      <c r="H7409" s="10">
        <f t="shared" si="658"/>
        <v>2025</v>
      </c>
      <c r="I7409" s="8" t="s">
        <v>4</v>
      </c>
      <c r="J7409" s="7" t="s">
        <v>7975</v>
      </c>
      <c r="K7409" s="8" t="s">
        <v>158</v>
      </c>
      <c r="L7409" s="8" t="s">
        <v>159</v>
      </c>
      <c r="M7409" s="8" t="s">
        <v>160</v>
      </c>
      <c r="N7409" s="10" t="str">
        <f t="shared" si="654"/>
        <v>GAL</v>
      </c>
      <c r="O7409" s="11">
        <v>180</v>
      </c>
    </row>
    <row r="7410" spans="2:15" x14ac:dyDescent="0.25">
      <c r="B7410" s="6" t="s">
        <v>154</v>
      </c>
      <c r="C7410" s="7" t="s">
        <v>155</v>
      </c>
      <c r="D7410" s="8" t="s">
        <v>1103</v>
      </c>
      <c r="E7410" s="8" t="s">
        <v>1104</v>
      </c>
      <c r="F7410" s="9">
        <f t="shared" si="660"/>
        <v>45720</v>
      </c>
      <c r="G7410" s="10">
        <f t="shared" si="657"/>
        <v>3</v>
      </c>
      <c r="H7410" s="10">
        <f t="shared" si="658"/>
        <v>2025</v>
      </c>
      <c r="I7410" s="8" t="s">
        <v>4</v>
      </c>
      <c r="J7410" s="7" t="s">
        <v>7976</v>
      </c>
      <c r="K7410" s="8" t="s">
        <v>7977</v>
      </c>
      <c r="L7410" s="8" t="s">
        <v>7978</v>
      </c>
      <c r="M7410" s="8" t="s">
        <v>7979</v>
      </c>
      <c r="N7410" s="10" t="str">
        <f t="shared" si="654"/>
        <v>GAL</v>
      </c>
      <c r="O7410" s="11">
        <v>500</v>
      </c>
    </row>
    <row r="7411" spans="2:15" x14ac:dyDescent="0.25">
      <c r="B7411" s="6" t="s">
        <v>154</v>
      </c>
      <c r="C7411" s="7" t="s">
        <v>155</v>
      </c>
      <c r="D7411" s="8" t="s">
        <v>178</v>
      </c>
      <c r="E7411" s="8" t="s">
        <v>179</v>
      </c>
      <c r="F7411" s="9">
        <f t="shared" si="660"/>
        <v>45720</v>
      </c>
      <c r="G7411" s="10">
        <f t="shared" si="657"/>
        <v>3</v>
      </c>
      <c r="H7411" s="10">
        <f t="shared" si="658"/>
        <v>2025</v>
      </c>
      <c r="I7411" s="8" t="s">
        <v>4</v>
      </c>
      <c r="J7411" s="7" t="s">
        <v>7980</v>
      </c>
      <c r="K7411" s="8" t="s">
        <v>158</v>
      </c>
      <c r="L7411" s="8" t="s">
        <v>159</v>
      </c>
      <c r="M7411" s="8" t="s">
        <v>160</v>
      </c>
      <c r="N7411" s="10" t="str">
        <f t="shared" si="654"/>
        <v>GAL</v>
      </c>
      <c r="O7411" s="11">
        <v>180</v>
      </c>
    </row>
    <row r="7412" spans="2:15" x14ac:dyDescent="0.25">
      <c r="B7412" s="6" t="s">
        <v>154</v>
      </c>
      <c r="C7412" s="7" t="s">
        <v>155</v>
      </c>
      <c r="D7412" s="8" t="s">
        <v>178</v>
      </c>
      <c r="E7412" s="8" t="s">
        <v>179</v>
      </c>
      <c r="F7412" s="9">
        <f t="shared" si="660"/>
        <v>45720</v>
      </c>
      <c r="G7412" s="10">
        <f t="shared" si="657"/>
        <v>3</v>
      </c>
      <c r="H7412" s="10">
        <f t="shared" si="658"/>
        <v>2025</v>
      </c>
      <c r="I7412" s="8" t="s">
        <v>4</v>
      </c>
      <c r="J7412" s="7" t="s">
        <v>7980</v>
      </c>
      <c r="K7412" s="8" t="s">
        <v>25</v>
      </c>
      <c r="L7412" s="8" t="s">
        <v>541</v>
      </c>
      <c r="M7412" s="8" t="s">
        <v>27</v>
      </c>
      <c r="N7412" s="10" t="str">
        <f t="shared" si="654"/>
        <v>GAL</v>
      </c>
      <c r="O7412" s="11">
        <v>180</v>
      </c>
    </row>
    <row r="7413" spans="2:15" x14ac:dyDescent="0.25">
      <c r="B7413" s="6" t="s">
        <v>154</v>
      </c>
      <c r="C7413" s="7" t="s">
        <v>155</v>
      </c>
      <c r="D7413" s="8" t="s">
        <v>507</v>
      </c>
      <c r="E7413" s="8" t="s">
        <v>508</v>
      </c>
      <c r="F7413" s="9">
        <f t="shared" si="660"/>
        <v>45720</v>
      </c>
      <c r="G7413" s="10">
        <f t="shared" si="657"/>
        <v>3</v>
      </c>
      <c r="H7413" s="10">
        <f t="shared" si="658"/>
        <v>2025</v>
      </c>
      <c r="I7413" s="8" t="s">
        <v>4</v>
      </c>
      <c r="J7413" s="7" t="s">
        <v>7981</v>
      </c>
      <c r="K7413" s="8" t="s">
        <v>4226</v>
      </c>
      <c r="L7413" s="8" t="s">
        <v>4227</v>
      </c>
      <c r="M7413" s="8" t="s">
        <v>24</v>
      </c>
      <c r="N7413" s="10" t="str">
        <f t="shared" si="654"/>
        <v>GAL</v>
      </c>
      <c r="O7413" s="11">
        <v>180</v>
      </c>
    </row>
    <row r="7414" spans="2:15" x14ac:dyDescent="0.25">
      <c r="B7414" s="6" t="s">
        <v>154</v>
      </c>
      <c r="C7414" s="7" t="s">
        <v>155</v>
      </c>
      <c r="D7414" s="8" t="s">
        <v>507</v>
      </c>
      <c r="E7414" s="8" t="s">
        <v>508</v>
      </c>
      <c r="F7414" s="9">
        <f t="shared" si="660"/>
        <v>45720</v>
      </c>
      <c r="G7414" s="10">
        <f t="shared" si="657"/>
        <v>3</v>
      </c>
      <c r="H7414" s="10">
        <f t="shared" si="658"/>
        <v>2025</v>
      </c>
      <c r="I7414" s="8" t="s">
        <v>4</v>
      </c>
      <c r="J7414" s="7" t="s">
        <v>7981</v>
      </c>
      <c r="K7414" s="8" t="s">
        <v>185</v>
      </c>
      <c r="L7414" s="8" t="s">
        <v>165</v>
      </c>
      <c r="M7414" s="8" t="s">
        <v>166</v>
      </c>
      <c r="N7414" s="10" t="str">
        <f t="shared" si="654"/>
        <v>GAL</v>
      </c>
      <c r="O7414" s="11">
        <v>750</v>
      </c>
    </row>
    <row r="7415" spans="2:15" x14ac:dyDescent="0.25">
      <c r="B7415" s="6" t="s">
        <v>154</v>
      </c>
      <c r="C7415" s="7" t="s">
        <v>155</v>
      </c>
      <c r="D7415" s="8" t="s">
        <v>623</v>
      </c>
      <c r="E7415" s="8" t="s">
        <v>624</v>
      </c>
      <c r="F7415" s="9">
        <f t="shared" si="660"/>
        <v>45720</v>
      </c>
      <c r="G7415" s="10">
        <f t="shared" si="657"/>
        <v>3</v>
      </c>
      <c r="H7415" s="10">
        <f t="shared" si="658"/>
        <v>2025</v>
      </c>
      <c r="I7415" s="8" t="s">
        <v>4</v>
      </c>
      <c r="J7415" s="7" t="s">
        <v>7982</v>
      </c>
      <c r="K7415" s="8" t="s">
        <v>7043</v>
      </c>
      <c r="L7415" s="8" t="s">
        <v>7044</v>
      </c>
      <c r="M7415" s="8" t="s">
        <v>119</v>
      </c>
      <c r="N7415" s="10" t="str">
        <f t="shared" si="654"/>
        <v>TON</v>
      </c>
      <c r="O7415" s="11">
        <v>15.0275</v>
      </c>
    </row>
    <row r="7416" spans="2:15" x14ac:dyDescent="0.25">
      <c r="B7416" s="6" t="s">
        <v>154</v>
      </c>
      <c r="C7416" s="7" t="s">
        <v>155</v>
      </c>
      <c r="D7416" s="8" t="s">
        <v>628</v>
      </c>
      <c r="E7416" s="8" t="s">
        <v>629</v>
      </c>
      <c r="F7416" s="9">
        <f t="shared" si="660"/>
        <v>45720</v>
      </c>
      <c r="G7416" s="10">
        <f t="shared" si="657"/>
        <v>3</v>
      </c>
      <c r="H7416" s="10">
        <f t="shared" si="658"/>
        <v>2025</v>
      </c>
      <c r="I7416" s="8" t="s">
        <v>4</v>
      </c>
      <c r="J7416" s="7" t="s">
        <v>7983</v>
      </c>
      <c r="K7416" s="8" t="s">
        <v>1119</v>
      </c>
      <c r="L7416" s="8" t="s">
        <v>1023</v>
      </c>
      <c r="M7416" s="8" t="s">
        <v>1024</v>
      </c>
      <c r="N7416" s="10" t="str">
        <f t="shared" si="654"/>
        <v>GAL</v>
      </c>
      <c r="O7416" s="11">
        <v>720</v>
      </c>
    </row>
    <row r="7417" spans="2:15" x14ac:dyDescent="0.25">
      <c r="B7417" s="6" t="s">
        <v>154</v>
      </c>
      <c r="C7417" s="7" t="s">
        <v>155</v>
      </c>
      <c r="D7417" s="8" t="s">
        <v>161</v>
      </c>
      <c r="E7417" s="8" t="s">
        <v>162</v>
      </c>
      <c r="F7417" s="9">
        <f t="shared" ref="F7417:F7422" si="661">DATE(2025,3,5)</f>
        <v>45721</v>
      </c>
      <c r="G7417" s="10">
        <f t="shared" si="657"/>
        <v>3</v>
      </c>
      <c r="H7417" s="10">
        <f t="shared" si="658"/>
        <v>2025</v>
      </c>
      <c r="I7417" s="8" t="s">
        <v>4</v>
      </c>
      <c r="J7417" s="7" t="s">
        <v>7984</v>
      </c>
      <c r="K7417" s="8" t="s">
        <v>158</v>
      </c>
      <c r="L7417" s="8" t="s">
        <v>159</v>
      </c>
      <c r="M7417" s="8" t="s">
        <v>160</v>
      </c>
      <c r="N7417" s="10" t="str">
        <f t="shared" si="654"/>
        <v>GAL</v>
      </c>
      <c r="O7417" s="11">
        <v>180</v>
      </c>
    </row>
    <row r="7418" spans="2:15" x14ac:dyDescent="0.25">
      <c r="B7418" s="6" t="s">
        <v>154</v>
      </c>
      <c r="C7418" s="7" t="s">
        <v>155</v>
      </c>
      <c r="D7418" s="8" t="s">
        <v>161</v>
      </c>
      <c r="E7418" s="8" t="s">
        <v>162</v>
      </c>
      <c r="F7418" s="9">
        <f t="shared" si="661"/>
        <v>45721</v>
      </c>
      <c r="G7418" s="10">
        <f t="shared" si="657"/>
        <v>3</v>
      </c>
      <c r="H7418" s="10">
        <f t="shared" si="658"/>
        <v>2025</v>
      </c>
      <c r="I7418" s="8" t="s">
        <v>4</v>
      </c>
      <c r="J7418" s="7" t="s">
        <v>7984</v>
      </c>
      <c r="K7418" s="8" t="s">
        <v>25</v>
      </c>
      <c r="L7418" s="8" t="s">
        <v>541</v>
      </c>
      <c r="M7418" s="8" t="s">
        <v>27</v>
      </c>
      <c r="N7418" s="10" t="str">
        <f t="shared" si="654"/>
        <v>GAL</v>
      </c>
      <c r="O7418" s="11">
        <v>540</v>
      </c>
    </row>
    <row r="7419" spans="2:15" x14ac:dyDescent="0.25">
      <c r="B7419" s="6" t="s">
        <v>154</v>
      </c>
      <c r="C7419" s="7" t="s">
        <v>155</v>
      </c>
      <c r="D7419" s="8" t="s">
        <v>1111</v>
      </c>
      <c r="E7419" s="8" t="s">
        <v>1112</v>
      </c>
      <c r="F7419" s="9">
        <f t="shared" si="661"/>
        <v>45721</v>
      </c>
      <c r="G7419" s="10">
        <f t="shared" si="657"/>
        <v>3</v>
      </c>
      <c r="H7419" s="10">
        <f t="shared" si="658"/>
        <v>2025</v>
      </c>
      <c r="I7419" s="8" t="s">
        <v>4</v>
      </c>
      <c r="J7419" s="7" t="s">
        <v>7985</v>
      </c>
      <c r="K7419" s="8" t="s">
        <v>1496</v>
      </c>
      <c r="L7419" s="8" t="s">
        <v>159</v>
      </c>
      <c r="M7419" s="8" t="s">
        <v>160</v>
      </c>
      <c r="N7419" s="10" t="str">
        <f t="shared" si="654"/>
        <v>GAL</v>
      </c>
      <c r="O7419" s="11">
        <v>750</v>
      </c>
    </row>
    <row r="7420" spans="2:15" x14ac:dyDescent="0.25">
      <c r="B7420" s="6" t="s">
        <v>154</v>
      </c>
      <c r="C7420" s="7" t="s">
        <v>155</v>
      </c>
      <c r="D7420" s="8" t="s">
        <v>1111</v>
      </c>
      <c r="E7420" s="8" t="s">
        <v>1112</v>
      </c>
      <c r="F7420" s="9">
        <f t="shared" si="661"/>
        <v>45721</v>
      </c>
      <c r="G7420" s="10">
        <f t="shared" si="657"/>
        <v>3</v>
      </c>
      <c r="H7420" s="10">
        <f t="shared" si="658"/>
        <v>2025</v>
      </c>
      <c r="I7420" s="8" t="s">
        <v>4</v>
      </c>
      <c r="J7420" s="7" t="s">
        <v>7986</v>
      </c>
      <c r="K7420" s="8" t="s">
        <v>158</v>
      </c>
      <c r="L7420" s="8" t="s">
        <v>159</v>
      </c>
      <c r="M7420" s="8" t="s">
        <v>160</v>
      </c>
      <c r="N7420" s="10" t="str">
        <f t="shared" si="654"/>
        <v>GAL</v>
      </c>
      <c r="O7420" s="11">
        <v>180</v>
      </c>
    </row>
    <row r="7421" spans="2:15" x14ac:dyDescent="0.25">
      <c r="B7421" s="6" t="s">
        <v>154</v>
      </c>
      <c r="C7421" s="7" t="s">
        <v>155</v>
      </c>
      <c r="D7421" s="8" t="s">
        <v>507</v>
      </c>
      <c r="E7421" s="8" t="s">
        <v>508</v>
      </c>
      <c r="F7421" s="9">
        <f t="shared" si="661"/>
        <v>45721</v>
      </c>
      <c r="G7421" s="10">
        <f t="shared" si="657"/>
        <v>3</v>
      </c>
      <c r="H7421" s="10">
        <f t="shared" si="658"/>
        <v>2025</v>
      </c>
      <c r="I7421" s="8" t="s">
        <v>4</v>
      </c>
      <c r="J7421" s="7" t="s">
        <v>7987</v>
      </c>
      <c r="K7421" s="8" t="s">
        <v>609</v>
      </c>
      <c r="L7421" s="8" t="s">
        <v>610</v>
      </c>
      <c r="M7421" s="8" t="s">
        <v>611</v>
      </c>
      <c r="N7421" s="10" t="str">
        <f t="shared" si="654"/>
        <v>GAL</v>
      </c>
      <c r="O7421" s="11">
        <v>180</v>
      </c>
    </row>
    <row r="7422" spans="2:15" x14ac:dyDescent="0.25">
      <c r="B7422" s="6" t="s">
        <v>154</v>
      </c>
      <c r="C7422" s="7" t="s">
        <v>155</v>
      </c>
      <c r="D7422" s="8" t="s">
        <v>628</v>
      </c>
      <c r="E7422" s="8" t="s">
        <v>2179</v>
      </c>
      <c r="F7422" s="9">
        <f t="shared" si="661"/>
        <v>45721</v>
      </c>
      <c r="G7422" s="10">
        <f t="shared" si="657"/>
        <v>3</v>
      </c>
      <c r="H7422" s="10">
        <f t="shared" si="658"/>
        <v>2025</v>
      </c>
      <c r="I7422" s="8" t="s">
        <v>4</v>
      </c>
      <c r="J7422" s="7" t="s">
        <v>7988</v>
      </c>
      <c r="K7422" s="8" t="s">
        <v>2181</v>
      </c>
      <c r="L7422" s="8" t="s">
        <v>2182</v>
      </c>
      <c r="M7422" s="8" t="s">
        <v>119</v>
      </c>
      <c r="N7422" s="10" t="str">
        <f t="shared" ref="N7422:N7485" si="662">+LEFT(M7422,3)</f>
        <v>TON</v>
      </c>
      <c r="O7422" s="11">
        <v>5.0075000000000003</v>
      </c>
    </row>
    <row r="7423" spans="2:15" x14ac:dyDescent="0.25">
      <c r="B7423" s="6" t="s">
        <v>154</v>
      </c>
      <c r="C7423" s="7" t="s">
        <v>155</v>
      </c>
      <c r="D7423" s="8" t="s">
        <v>167</v>
      </c>
      <c r="E7423" s="8" t="s">
        <v>168</v>
      </c>
      <c r="F7423" s="9">
        <f>DATE(2025,3,6)</f>
        <v>45722</v>
      </c>
      <c r="G7423" s="10">
        <f t="shared" si="657"/>
        <v>3</v>
      </c>
      <c r="H7423" s="10">
        <f t="shared" si="658"/>
        <v>2025</v>
      </c>
      <c r="I7423" s="8" t="s">
        <v>4</v>
      </c>
      <c r="J7423" s="7" t="s">
        <v>7989</v>
      </c>
      <c r="K7423" s="8" t="s">
        <v>3436</v>
      </c>
      <c r="L7423" s="8" t="s">
        <v>3437</v>
      </c>
      <c r="M7423" s="8" t="s">
        <v>67</v>
      </c>
      <c r="N7423" s="10" t="str">
        <f t="shared" si="662"/>
        <v>GAL</v>
      </c>
      <c r="O7423" s="11">
        <v>500</v>
      </c>
    </row>
    <row r="7424" spans="2:15" x14ac:dyDescent="0.25">
      <c r="B7424" s="6" t="s">
        <v>154</v>
      </c>
      <c r="C7424" s="7" t="s">
        <v>155</v>
      </c>
      <c r="D7424" s="8" t="s">
        <v>167</v>
      </c>
      <c r="E7424" s="8" t="s">
        <v>168</v>
      </c>
      <c r="F7424" s="9">
        <f>DATE(2025,3,6)</f>
        <v>45722</v>
      </c>
      <c r="G7424" s="10">
        <f t="shared" si="657"/>
        <v>3</v>
      </c>
      <c r="H7424" s="10">
        <f t="shared" si="658"/>
        <v>2025</v>
      </c>
      <c r="I7424" s="8" t="s">
        <v>4</v>
      </c>
      <c r="J7424" s="7" t="s">
        <v>7990</v>
      </c>
      <c r="K7424" s="8" t="s">
        <v>158</v>
      </c>
      <c r="L7424" s="8" t="s">
        <v>159</v>
      </c>
      <c r="M7424" s="8" t="s">
        <v>160</v>
      </c>
      <c r="N7424" s="10" t="str">
        <f t="shared" si="662"/>
        <v>GAL</v>
      </c>
      <c r="O7424" s="11">
        <v>360</v>
      </c>
    </row>
    <row r="7425" spans="2:15" x14ac:dyDescent="0.25">
      <c r="B7425" s="6" t="s">
        <v>154</v>
      </c>
      <c r="C7425" s="7" t="s">
        <v>155</v>
      </c>
      <c r="D7425" s="8" t="s">
        <v>107</v>
      </c>
      <c r="E7425" s="8" t="s">
        <v>108</v>
      </c>
      <c r="F7425" s="9">
        <f>DATE(2025,3,6)</f>
        <v>45722</v>
      </c>
      <c r="G7425" s="10">
        <f t="shared" si="657"/>
        <v>3</v>
      </c>
      <c r="H7425" s="10">
        <f t="shared" si="658"/>
        <v>2025</v>
      </c>
      <c r="I7425" s="8" t="s">
        <v>4</v>
      </c>
      <c r="J7425" s="7" t="s">
        <v>7991</v>
      </c>
      <c r="K7425" s="8" t="s">
        <v>1501</v>
      </c>
      <c r="L7425" s="8" t="s">
        <v>602</v>
      </c>
      <c r="M7425" s="8" t="s">
        <v>41</v>
      </c>
      <c r="N7425" s="10" t="str">
        <f t="shared" si="662"/>
        <v>GAL</v>
      </c>
      <c r="O7425" s="11">
        <v>180</v>
      </c>
    </row>
    <row r="7426" spans="2:15" x14ac:dyDescent="0.25">
      <c r="B7426" s="6" t="s">
        <v>154</v>
      </c>
      <c r="C7426" s="7" t="s">
        <v>155</v>
      </c>
      <c r="D7426" s="8" t="s">
        <v>628</v>
      </c>
      <c r="E7426" s="8" t="s">
        <v>629</v>
      </c>
      <c r="F7426" s="9">
        <f>DATE(2025,3,6)</f>
        <v>45722</v>
      </c>
      <c r="G7426" s="10">
        <f t="shared" si="657"/>
        <v>3</v>
      </c>
      <c r="H7426" s="10">
        <f t="shared" si="658"/>
        <v>2025</v>
      </c>
      <c r="I7426" s="8" t="s">
        <v>4</v>
      </c>
      <c r="J7426" s="7" t="s">
        <v>7992</v>
      </c>
      <c r="K7426" s="8" t="s">
        <v>171</v>
      </c>
      <c r="L7426" s="8" t="s">
        <v>172</v>
      </c>
      <c r="M7426" s="8" t="s">
        <v>27</v>
      </c>
      <c r="N7426" s="10" t="str">
        <f t="shared" si="662"/>
        <v>GAL</v>
      </c>
      <c r="O7426" s="11">
        <v>120</v>
      </c>
    </row>
    <row r="7427" spans="2:15" x14ac:dyDescent="0.25">
      <c r="B7427" s="6" t="s">
        <v>154</v>
      </c>
      <c r="C7427" s="7" t="s">
        <v>155</v>
      </c>
      <c r="D7427" s="8" t="s">
        <v>107</v>
      </c>
      <c r="E7427" s="8" t="s">
        <v>108</v>
      </c>
      <c r="F7427" s="9">
        <f>DATE(2025,3,7)</f>
        <v>45723</v>
      </c>
      <c r="G7427" s="10">
        <f t="shared" si="657"/>
        <v>3</v>
      </c>
      <c r="H7427" s="10">
        <f t="shared" si="658"/>
        <v>2025</v>
      </c>
      <c r="I7427" s="8" t="s">
        <v>4</v>
      </c>
      <c r="J7427" s="7" t="s">
        <v>7993</v>
      </c>
      <c r="K7427" s="8" t="s">
        <v>2120</v>
      </c>
      <c r="L7427" s="8" t="s">
        <v>2121</v>
      </c>
      <c r="M7427" s="8" t="s">
        <v>85</v>
      </c>
      <c r="N7427" s="10" t="str">
        <f t="shared" si="662"/>
        <v>GAL</v>
      </c>
      <c r="O7427" s="11">
        <v>5</v>
      </c>
    </row>
    <row r="7428" spans="2:15" x14ac:dyDescent="0.25">
      <c r="B7428" s="6" t="s">
        <v>154</v>
      </c>
      <c r="C7428" s="7" t="s">
        <v>155</v>
      </c>
      <c r="D7428" s="8" t="s">
        <v>623</v>
      </c>
      <c r="E7428" s="8" t="s">
        <v>624</v>
      </c>
      <c r="F7428" s="9">
        <f>DATE(2025,3,7)</f>
        <v>45723</v>
      </c>
      <c r="G7428" s="10">
        <f t="shared" si="657"/>
        <v>3</v>
      </c>
      <c r="H7428" s="10">
        <f t="shared" si="658"/>
        <v>2025</v>
      </c>
      <c r="I7428" s="8" t="s">
        <v>4</v>
      </c>
      <c r="J7428" s="7" t="s">
        <v>7994</v>
      </c>
      <c r="K7428" s="8" t="s">
        <v>7043</v>
      </c>
      <c r="L7428" s="8" t="s">
        <v>7044</v>
      </c>
      <c r="M7428" s="8" t="s">
        <v>119</v>
      </c>
      <c r="N7428" s="10" t="str">
        <f t="shared" si="662"/>
        <v>TON</v>
      </c>
      <c r="O7428" s="11">
        <v>15.015000000000001</v>
      </c>
    </row>
    <row r="7429" spans="2:15" x14ac:dyDescent="0.25">
      <c r="B7429" s="6" t="s">
        <v>645</v>
      </c>
      <c r="C7429" s="7" t="s">
        <v>155</v>
      </c>
      <c r="D7429" s="8" t="s">
        <v>646</v>
      </c>
      <c r="E7429" s="8" t="s">
        <v>647</v>
      </c>
      <c r="F7429" s="9">
        <f>DATE(2025,3,11)</f>
        <v>45727</v>
      </c>
      <c r="G7429" s="10">
        <f t="shared" si="657"/>
        <v>3</v>
      </c>
      <c r="H7429" s="10">
        <f t="shared" si="658"/>
        <v>2025</v>
      </c>
      <c r="I7429" s="8" t="s">
        <v>4</v>
      </c>
      <c r="J7429" s="7" t="s">
        <v>7995</v>
      </c>
      <c r="K7429" s="8" t="s">
        <v>25</v>
      </c>
      <c r="L7429" s="8" t="s">
        <v>541</v>
      </c>
      <c r="M7429" s="8" t="s">
        <v>27</v>
      </c>
      <c r="N7429" s="10" t="str">
        <f t="shared" si="662"/>
        <v>GAL</v>
      </c>
      <c r="O7429" s="11">
        <v>180</v>
      </c>
    </row>
    <row r="7430" spans="2:15" x14ac:dyDescent="0.25">
      <c r="B7430" s="6" t="s">
        <v>154</v>
      </c>
      <c r="C7430" s="7" t="s">
        <v>155</v>
      </c>
      <c r="D7430" s="8" t="s">
        <v>1111</v>
      </c>
      <c r="E7430" s="8" t="s">
        <v>1112</v>
      </c>
      <c r="F7430" s="9">
        <f>DATE(2025,3,10)</f>
        <v>45726</v>
      </c>
      <c r="G7430" s="10">
        <f t="shared" si="657"/>
        <v>3</v>
      </c>
      <c r="H7430" s="10">
        <f t="shared" si="658"/>
        <v>2025</v>
      </c>
      <c r="I7430" s="8" t="s">
        <v>4</v>
      </c>
      <c r="J7430" s="7" t="s">
        <v>7996</v>
      </c>
      <c r="K7430" s="8" t="s">
        <v>1496</v>
      </c>
      <c r="L7430" s="8" t="s">
        <v>159</v>
      </c>
      <c r="M7430" s="8" t="s">
        <v>160</v>
      </c>
      <c r="N7430" s="10" t="str">
        <f t="shared" si="662"/>
        <v>GAL</v>
      </c>
      <c r="O7430" s="11">
        <v>500</v>
      </c>
    </row>
    <row r="7431" spans="2:15" x14ac:dyDescent="0.25">
      <c r="B7431" s="6" t="s">
        <v>154</v>
      </c>
      <c r="C7431" s="7" t="s">
        <v>155</v>
      </c>
      <c r="D7431" s="8" t="s">
        <v>628</v>
      </c>
      <c r="E7431" s="8" t="s">
        <v>629</v>
      </c>
      <c r="F7431" s="9">
        <f>DATE(2025,3,10)</f>
        <v>45726</v>
      </c>
      <c r="G7431" s="10">
        <f t="shared" si="657"/>
        <v>3</v>
      </c>
      <c r="H7431" s="10">
        <f t="shared" si="658"/>
        <v>2025</v>
      </c>
      <c r="I7431" s="8" t="s">
        <v>4</v>
      </c>
      <c r="J7431" s="7" t="s">
        <v>7997</v>
      </c>
      <c r="K7431" s="8" t="s">
        <v>1496</v>
      </c>
      <c r="L7431" s="8" t="s">
        <v>159</v>
      </c>
      <c r="M7431" s="8" t="s">
        <v>160</v>
      </c>
      <c r="N7431" s="10" t="str">
        <f t="shared" si="662"/>
        <v>GAL</v>
      </c>
      <c r="O7431" s="11">
        <v>250</v>
      </c>
    </row>
    <row r="7432" spans="2:15" x14ac:dyDescent="0.25">
      <c r="B7432" s="6" t="s">
        <v>154</v>
      </c>
      <c r="C7432" s="7" t="s">
        <v>155</v>
      </c>
      <c r="D7432" s="8" t="s">
        <v>628</v>
      </c>
      <c r="E7432" s="8" t="s">
        <v>629</v>
      </c>
      <c r="F7432" s="9">
        <f>DATE(2025,3,10)</f>
        <v>45726</v>
      </c>
      <c r="G7432" s="10">
        <f t="shared" si="657"/>
        <v>3</v>
      </c>
      <c r="H7432" s="10">
        <f t="shared" si="658"/>
        <v>2025</v>
      </c>
      <c r="I7432" s="8" t="s">
        <v>4</v>
      </c>
      <c r="J7432" s="7" t="s">
        <v>7998</v>
      </c>
      <c r="K7432" s="8" t="s">
        <v>6035</v>
      </c>
      <c r="L7432" s="8" t="s">
        <v>165</v>
      </c>
      <c r="M7432" s="8" t="s">
        <v>166</v>
      </c>
      <c r="N7432" s="10" t="str">
        <f t="shared" si="662"/>
        <v>GAL</v>
      </c>
      <c r="O7432" s="11">
        <v>315</v>
      </c>
    </row>
    <row r="7433" spans="2:15" x14ac:dyDescent="0.25">
      <c r="B7433" s="6" t="s">
        <v>645</v>
      </c>
      <c r="C7433" s="7" t="s">
        <v>155</v>
      </c>
      <c r="D7433" s="8" t="s">
        <v>646</v>
      </c>
      <c r="E7433" s="8" t="s">
        <v>647</v>
      </c>
      <c r="F7433" s="9">
        <f>DATE(2025,3,11)</f>
        <v>45727</v>
      </c>
      <c r="G7433" s="10">
        <f t="shared" si="657"/>
        <v>3</v>
      </c>
      <c r="H7433" s="10">
        <f t="shared" si="658"/>
        <v>2025</v>
      </c>
      <c r="I7433" s="8" t="s">
        <v>4</v>
      </c>
      <c r="J7433" s="7" t="s">
        <v>7999</v>
      </c>
      <c r="K7433" s="8" t="s">
        <v>25</v>
      </c>
      <c r="L7433" s="8" t="s">
        <v>541</v>
      </c>
      <c r="M7433" s="8" t="s">
        <v>27</v>
      </c>
      <c r="N7433" s="10" t="str">
        <f t="shared" si="662"/>
        <v>GAL</v>
      </c>
      <c r="O7433" s="11">
        <v>180</v>
      </c>
    </row>
    <row r="7434" spans="2:15" x14ac:dyDescent="0.25">
      <c r="B7434" s="6" t="s">
        <v>154</v>
      </c>
      <c r="C7434" s="7" t="s">
        <v>155</v>
      </c>
      <c r="D7434" s="8" t="s">
        <v>623</v>
      </c>
      <c r="E7434" s="8" t="s">
        <v>624</v>
      </c>
      <c r="F7434" s="9">
        <f>DATE(2025,3,12)</f>
        <v>45728</v>
      </c>
      <c r="G7434" s="10">
        <f t="shared" si="657"/>
        <v>3</v>
      </c>
      <c r="H7434" s="10">
        <f t="shared" si="658"/>
        <v>2025</v>
      </c>
      <c r="I7434" s="8" t="s">
        <v>4</v>
      </c>
      <c r="J7434" s="7" t="s">
        <v>8000</v>
      </c>
      <c r="K7434" s="8" t="s">
        <v>7043</v>
      </c>
      <c r="L7434" s="8" t="s">
        <v>7044</v>
      </c>
      <c r="M7434" s="8" t="s">
        <v>119</v>
      </c>
      <c r="N7434" s="10" t="str">
        <f t="shared" si="662"/>
        <v>TON</v>
      </c>
      <c r="O7434" s="11">
        <v>15.0175</v>
      </c>
    </row>
    <row r="7435" spans="2:15" x14ac:dyDescent="0.25">
      <c r="B7435" s="6" t="s">
        <v>154</v>
      </c>
      <c r="C7435" s="7" t="s">
        <v>155</v>
      </c>
      <c r="D7435" s="8" t="s">
        <v>167</v>
      </c>
      <c r="E7435" s="8" t="s">
        <v>168</v>
      </c>
      <c r="F7435" s="9">
        <f>DATE(2025,3,13)</f>
        <v>45729</v>
      </c>
      <c r="G7435" s="10">
        <f t="shared" si="657"/>
        <v>3</v>
      </c>
      <c r="H7435" s="10">
        <f t="shared" si="658"/>
        <v>2025</v>
      </c>
      <c r="I7435" s="8" t="s">
        <v>4</v>
      </c>
      <c r="J7435" s="7" t="s">
        <v>8001</v>
      </c>
      <c r="K7435" s="8" t="s">
        <v>1814</v>
      </c>
      <c r="L7435" s="8" t="s">
        <v>1815</v>
      </c>
      <c r="M7435" s="8" t="s">
        <v>1816</v>
      </c>
      <c r="N7435" s="10" t="str">
        <f t="shared" si="662"/>
        <v>GAL</v>
      </c>
      <c r="O7435" s="11">
        <v>180</v>
      </c>
    </row>
    <row r="7436" spans="2:15" x14ac:dyDescent="0.25">
      <c r="B7436" s="6" t="s">
        <v>154</v>
      </c>
      <c r="C7436" s="7" t="s">
        <v>155</v>
      </c>
      <c r="D7436" s="8" t="s">
        <v>167</v>
      </c>
      <c r="E7436" s="8" t="s">
        <v>168</v>
      </c>
      <c r="F7436" s="9">
        <f>DATE(2025,3,13)</f>
        <v>45729</v>
      </c>
      <c r="G7436" s="10">
        <f t="shared" si="657"/>
        <v>3</v>
      </c>
      <c r="H7436" s="10">
        <f t="shared" si="658"/>
        <v>2025</v>
      </c>
      <c r="I7436" s="8" t="s">
        <v>4</v>
      </c>
      <c r="J7436" s="7" t="s">
        <v>8002</v>
      </c>
      <c r="K7436" s="8" t="s">
        <v>1853</v>
      </c>
      <c r="L7436" s="8" t="s">
        <v>1854</v>
      </c>
      <c r="M7436" s="8" t="s">
        <v>1816</v>
      </c>
      <c r="N7436" s="10" t="str">
        <f t="shared" si="662"/>
        <v>GAL</v>
      </c>
      <c r="O7436" s="11">
        <v>360</v>
      </c>
    </row>
    <row r="7437" spans="2:15" x14ac:dyDescent="0.25">
      <c r="B7437" s="6" t="s">
        <v>154</v>
      </c>
      <c r="C7437" s="7" t="s">
        <v>155</v>
      </c>
      <c r="D7437" s="8" t="s">
        <v>167</v>
      </c>
      <c r="E7437" s="8" t="s">
        <v>168</v>
      </c>
      <c r="F7437" s="9">
        <f>DATE(2025,3,13)</f>
        <v>45729</v>
      </c>
      <c r="G7437" s="10">
        <f t="shared" si="657"/>
        <v>3</v>
      </c>
      <c r="H7437" s="10">
        <f t="shared" si="658"/>
        <v>2025</v>
      </c>
      <c r="I7437" s="8" t="s">
        <v>4</v>
      </c>
      <c r="J7437" s="7" t="s">
        <v>8003</v>
      </c>
      <c r="K7437" s="8" t="s">
        <v>158</v>
      </c>
      <c r="L7437" s="8" t="s">
        <v>159</v>
      </c>
      <c r="M7437" s="8" t="s">
        <v>160</v>
      </c>
      <c r="N7437" s="10" t="str">
        <f t="shared" si="662"/>
        <v>GAL</v>
      </c>
      <c r="O7437" s="11">
        <v>360</v>
      </c>
    </row>
    <row r="7438" spans="2:15" x14ac:dyDescent="0.25">
      <c r="B7438" s="6" t="s">
        <v>154</v>
      </c>
      <c r="C7438" s="7" t="s">
        <v>155</v>
      </c>
      <c r="D7438" s="8" t="s">
        <v>1111</v>
      </c>
      <c r="E7438" s="8" t="s">
        <v>1112</v>
      </c>
      <c r="F7438" s="9">
        <f>DATE(2025,3,17)</f>
        <v>45733</v>
      </c>
      <c r="G7438" s="10">
        <f t="shared" si="657"/>
        <v>3</v>
      </c>
      <c r="H7438" s="10">
        <f t="shared" si="658"/>
        <v>2025</v>
      </c>
      <c r="I7438" s="8" t="s">
        <v>4</v>
      </c>
      <c r="J7438" s="7" t="s">
        <v>8004</v>
      </c>
      <c r="K7438" s="8" t="s">
        <v>158</v>
      </c>
      <c r="L7438" s="8" t="s">
        <v>159</v>
      </c>
      <c r="M7438" s="8" t="s">
        <v>160</v>
      </c>
      <c r="N7438" s="10" t="str">
        <f t="shared" si="662"/>
        <v>GAL</v>
      </c>
      <c r="O7438" s="11">
        <v>180</v>
      </c>
    </row>
    <row r="7439" spans="2:15" x14ac:dyDescent="0.25">
      <c r="B7439" s="6" t="s">
        <v>154</v>
      </c>
      <c r="C7439" s="7" t="s">
        <v>155</v>
      </c>
      <c r="D7439" s="8" t="s">
        <v>1111</v>
      </c>
      <c r="E7439" s="8" t="s">
        <v>1112</v>
      </c>
      <c r="F7439" s="9">
        <f>DATE(2025,3,17)</f>
        <v>45733</v>
      </c>
      <c r="G7439" s="10">
        <f t="shared" si="657"/>
        <v>3</v>
      </c>
      <c r="H7439" s="10">
        <f t="shared" si="658"/>
        <v>2025</v>
      </c>
      <c r="I7439" s="8" t="s">
        <v>4</v>
      </c>
      <c r="J7439" s="7" t="s">
        <v>8004</v>
      </c>
      <c r="K7439" s="8" t="s">
        <v>1869</v>
      </c>
      <c r="L7439" s="8" t="s">
        <v>172</v>
      </c>
      <c r="M7439" s="8" t="s">
        <v>27</v>
      </c>
      <c r="N7439" s="10" t="str">
        <f t="shared" si="662"/>
        <v>GAL</v>
      </c>
      <c r="O7439" s="11">
        <v>1000</v>
      </c>
    </row>
    <row r="7440" spans="2:15" x14ac:dyDescent="0.25">
      <c r="B7440" s="6" t="s">
        <v>154</v>
      </c>
      <c r="C7440" s="7" t="s">
        <v>155</v>
      </c>
      <c r="D7440" s="8" t="s">
        <v>623</v>
      </c>
      <c r="E7440" s="8" t="s">
        <v>624</v>
      </c>
      <c r="F7440" s="9">
        <f>DATE(2025,3,14)</f>
        <v>45730</v>
      </c>
      <c r="G7440" s="10">
        <f t="shared" si="657"/>
        <v>3</v>
      </c>
      <c r="H7440" s="10">
        <f t="shared" si="658"/>
        <v>2025</v>
      </c>
      <c r="I7440" s="8" t="s">
        <v>4</v>
      </c>
      <c r="J7440" s="7" t="s">
        <v>8005</v>
      </c>
      <c r="K7440" s="8" t="s">
        <v>7043</v>
      </c>
      <c r="L7440" s="8" t="s">
        <v>7044</v>
      </c>
      <c r="M7440" s="8" t="s">
        <v>119</v>
      </c>
      <c r="N7440" s="10" t="str">
        <f t="shared" si="662"/>
        <v>TON</v>
      </c>
      <c r="O7440" s="11">
        <v>15.012499999999999</v>
      </c>
    </row>
    <row r="7441" spans="2:15" x14ac:dyDescent="0.25">
      <c r="B7441" s="6" t="s">
        <v>154</v>
      </c>
      <c r="C7441" s="7" t="s">
        <v>155</v>
      </c>
      <c r="D7441" s="8" t="s">
        <v>3198</v>
      </c>
      <c r="E7441" s="8" t="s">
        <v>174</v>
      </c>
      <c r="F7441" s="9">
        <f>DATE(2025,3,19)</f>
        <v>45735</v>
      </c>
      <c r="G7441" s="10">
        <f t="shared" si="657"/>
        <v>3</v>
      </c>
      <c r="H7441" s="10">
        <f t="shared" si="658"/>
        <v>2025</v>
      </c>
      <c r="I7441" s="8" t="s">
        <v>4</v>
      </c>
      <c r="J7441" s="7" t="s">
        <v>8006</v>
      </c>
      <c r="K7441" s="8" t="s">
        <v>158</v>
      </c>
      <c r="L7441" s="8" t="s">
        <v>159</v>
      </c>
      <c r="M7441" s="8" t="s">
        <v>160</v>
      </c>
      <c r="N7441" s="10" t="str">
        <f t="shared" si="662"/>
        <v>GAL</v>
      </c>
      <c r="O7441" s="11">
        <v>180</v>
      </c>
    </row>
    <row r="7442" spans="2:15" x14ac:dyDescent="0.25">
      <c r="B7442" s="6" t="s">
        <v>154</v>
      </c>
      <c r="C7442" s="7" t="s">
        <v>155</v>
      </c>
      <c r="D7442" s="8" t="s">
        <v>1111</v>
      </c>
      <c r="E7442" s="8" t="s">
        <v>1112</v>
      </c>
      <c r="F7442" s="9">
        <f t="shared" ref="F7442:F7448" si="663">DATE(2025,3,20)</f>
        <v>45736</v>
      </c>
      <c r="G7442" s="10">
        <f t="shared" ref="G7442:G7505" si="664">+MONTH(F7442)</f>
        <v>3</v>
      </c>
      <c r="H7442" s="10">
        <f t="shared" ref="H7442:H7505" si="665">+YEAR(F7442)</f>
        <v>2025</v>
      </c>
      <c r="I7442" s="8" t="s">
        <v>4</v>
      </c>
      <c r="J7442" s="7" t="s">
        <v>8007</v>
      </c>
      <c r="K7442" s="8" t="s">
        <v>171</v>
      </c>
      <c r="L7442" s="8" t="s">
        <v>172</v>
      </c>
      <c r="M7442" s="8" t="s">
        <v>27</v>
      </c>
      <c r="N7442" s="10" t="str">
        <f t="shared" si="662"/>
        <v>GAL</v>
      </c>
      <c r="O7442" s="11">
        <v>180</v>
      </c>
    </row>
    <row r="7443" spans="2:15" x14ac:dyDescent="0.25">
      <c r="B7443" s="6" t="s">
        <v>154</v>
      </c>
      <c r="C7443" s="7" t="s">
        <v>155</v>
      </c>
      <c r="D7443" s="8" t="s">
        <v>107</v>
      </c>
      <c r="E7443" s="8" t="s">
        <v>108</v>
      </c>
      <c r="F7443" s="9">
        <f t="shared" si="663"/>
        <v>45736</v>
      </c>
      <c r="G7443" s="10">
        <f t="shared" si="664"/>
        <v>3</v>
      </c>
      <c r="H7443" s="10">
        <f t="shared" si="665"/>
        <v>2025</v>
      </c>
      <c r="I7443" s="8" t="s">
        <v>4</v>
      </c>
      <c r="J7443" s="7" t="s">
        <v>8008</v>
      </c>
      <c r="K7443" s="8" t="s">
        <v>158</v>
      </c>
      <c r="L7443" s="8" t="s">
        <v>159</v>
      </c>
      <c r="M7443" s="8" t="s">
        <v>160</v>
      </c>
      <c r="N7443" s="10" t="str">
        <f t="shared" si="662"/>
        <v>GAL</v>
      </c>
      <c r="O7443" s="11">
        <v>180</v>
      </c>
    </row>
    <row r="7444" spans="2:15" x14ac:dyDescent="0.25">
      <c r="B7444" s="6" t="s">
        <v>154</v>
      </c>
      <c r="C7444" s="7" t="s">
        <v>155</v>
      </c>
      <c r="D7444" s="8" t="s">
        <v>161</v>
      </c>
      <c r="E7444" s="8" t="s">
        <v>162</v>
      </c>
      <c r="F7444" s="9">
        <f t="shared" si="663"/>
        <v>45736</v>
      </c>
      <c r="G7444" s="10">
        <f t="shared" si="664"/>
        <v>3</v>
      </c>
      <c r="H7444" s="10">
        <f t="shared" si="665"/>
        <v>2025</v>
      </c>
      <c r="I7444" s="8" t="s">
        <v>4</v>
      </c>
      <c r="J7444" s="7" t="s">
        <v>8009</v>
      </c>
      <c r="K7444" s="8" t="s">
        <v>185</v>
      </c>
      <c r="L7444" s="8" t="s">
        <v>165</v>
      </c>
      <c r="M7444" s="8" t="s">
        <v>166</v>
      </c>
      <c r="N7444" s="10" t="str">
        <f t="shared" si="662"/>
        <v>GAL</v>
      </c>
      <c r="O7444" s="11">
        <v>250</v>
      </c>
    </row>
    <row r="7445" spans="2:15" x14ac:dyDescent="0.25">
      <c r="B7445" s="6" t="s">
        <v>154</v>
      </c>
      <c r="C7445" s="7" t="s">
        <v>155</v>
      </c>
      <c r="D7445" s="8" t="s">
        <v>507</v>
      </c>
      <c r="E7445" s="8" t="s">
        <v>508</v>
      </c>
      <c r="F7445" s="9">
        <f t="shared" si="663"/>
        <v>45736</v>
      </c>
      <c r="G7445" s="10">
        <f t="shared" si="664"/>
        <v>3</v>
      </c>
      <c r="H7445" s="10">
        <f t="shared" si="665"/>
        <v>2025</v>
      </c>
      <c r="I7445" s="8" t="s">
        <v>4</v>
      </c>
      <c r="J7445" s="7" t="s">
        <v>8010</v>
      </c>
      <c r="K7445" s="8" t="s">
        <v>4226</v>
      </c>
      <c r="L7445" s="8" t="s">
        <v>4227</v>
      </c>
      <c r="M7445" s="8" t="s">
        <v>24</v>
      </c>
      <c r="N7445" s="10" t="str">
        <f t="shared" si="662"/>
        <v>GAL</v>
      </c>
      <c r="O7445" s="11">
        <v>180</v>
      </c>
    </row>
    <row r="7446" spans="2:15" x14ac:dyDescent="0.25">
      <c r="B7446" s="6" t="s">
        <v>154</v>
      </c>
      <c r="C7446" s="7" t="s">
        <v>155</v>
      </c>
      <c r="D7446" s="8" t="s">
        <v>507</v>
      </c>
      <c r="E7446" s="8" t="s">
        <v>508</v>
      </c>
      <c r="F7446" s="9">
        <f t="shared" si="663"/>
        <v>45736</v>
      </c>
      <c r="G7446" s="10">
        <f t="shared" si="664"/>
        <v>3</v>
      </c>
      <c r="H7446" s="10">
        <f t="shared" si="665"/>
        <v>2025</v>
      </c>
      <c r="I7446" s="8" t="s">
        <v>4</v>
      </c>
      <c r="J7446" s="7" t="s">
        <v>8010</v>
      </c>
      <c r="K7446" s="8" t="s">
        <v>164</v>
      </c>
      <c r="L7446" s="8" t="s">
        <v>165</v>
      </c>
      <c r="M7446" s="8" t="s">
        <v>166</v>
      </c>
      <c r="N7446" s="10" t="str">
        <f t="shared" si="662"/>
        <v>GAL</v>
      </c>
      <c r="O7446" s="11">
        <v>180</v>
      </c>
    </row>
    <row r="7447" spans="2:15" x14ac:dyDescent="0.25">
      <c r="B7447" s="6" t="s">
        <v>154</v>
      </c>
      <c r="C7447" s="7" t="s">
        <v>155</v>
      </c>
      <c r="D7447" s="8" t="s">
        <v>507</v>
      </c>
      <c r="E7447" s="8" t="s">
        <v>508</v>
      </c>
      <c r="F7447" s="9">
        <f t="shared" si="663"/>
        <v>45736</v>
      </c>
      <c r="G7447" s="10">
        <f t="shared" si="664"/>
        <v>3</v>
      </c>
      <c r="H7447" s="10">
        <f t="shared" si="665"/>
        <v>2025</v>
      </c>
      <c r="I7447" s="8" t="s">
        <v>4</v>
      </c>
      <c r="J7447" s="7" t="s">
        <v>8011</v>
      </c>
      <c r="K7447" s="8" t="s">
        <v>329</v>
      </c>
      <c r="L7447" s="8" t="s">
        <v>330</v>
      </c>
      <c r="M7447" s="8" t="s">
        <v>119</v>
      </c>
      <c r="N7447" s="10" t="str">
        <f t="shared" si="662"/>
        <v>TON</v>
      </c>
      <c r="O7447" s="11">
        <v>1.2749999999999999</v>
      </c>
    </row>
    <row r="7448" spans="2:15" x14ac:dyDescent="0.25">
      <c r="B7448" s="6" t="s">
        <v>154</v>
      </c>
      <c r="C7448" s="7" t="s">
        <v>155</v>
      </c>
      <c r="D7448" s="8" t="s">
        <v>507</v>
      </c>
      <c r="E7448" s="8" t="s">
        <v>508</v>
      </c>
      <c r="F7448" s="9">
        <f t="shared" si="663"/>
        <v>45736</v>
      </c>
      <c r="G7448" s="10">
        <f t="shared" si="664"/>
        <v>3</v>
      </c>
      <c r="H7448" s="10">
        <f t="shared" si="665"/>
        <v>2025</v>
      </c>
      <c r="I7448" s="8" t="s">
        <v>4</v>
      </c>
      <c r="J7448" s="7" t="s">
        <v>8012</v>
      </c>
      <c r="K7448" s="8" t="s">
        <v>513</v>
      </c>
      <c r="L7448" s="8" t="s">
        <v>514</v>
      </c>
      <c r="M7448" s="8" t="s">
        <v>119</v>
      </c>
      <c r="N7448" s="10" t="str">
        <f t="shared" si="662"/>
        <v>TON</v>
      </c>
      <c r="O7448" s="11">
        <v>2.5099999999999998</v>
      </c>
    </row>
    <row r="7449" spans="2:15" x14ac:dyDescent="0.25">
      <c r="B7449" s="6" t="s">
        <v>154</v>
      </c>
      <c r="C7449" s="7" t="s">
        <v>155</v>
      </c>
      <c r="D7449" s="8" t="s">
        <v>628</v>
      </c>
      <c r="E7449" s="8" t="s">
        <v>629</v>
      </c>
      <c r="F7449" s="9">
        <f>DATE(2025,3,21)</f>
        <v>45737</v>
      </c>
      <c r="G7449" s="10">
        <f t="shared" si="664"/>
        <v>3</v>
      </c>
      <c r="H7449" s="10">
        <f t="shared" si="665"/>
        <v>2025</v>
      </c>
      <c r="I7449" s="8" t="s">
        <v>4</v>
      </c>
      <c r="J7449" s="7" t="s">
        <v>8013</v>
      </c>
      <c r="K7449" s="8" t="s">
        <v>1869</v>
      </c>
      <c r="L7449" s="8" t="s">
        <v>172</v>
      </c>
      <c r="M7449" s="8" t="s">
        <v>27</v>
      </c>
      <c r="N7449" s="10" t="str">
        <f t="shared" si="662"/>
        <v>GAL</v>
      </c>
      <c r="O7449" s="11">
        <v>250</v>
      </c>
    </row>
    <row r="7450" spans="2:15" x14ac:dyDescent="0.25">
      <c r="B7450" s="6" t="s">
        <v>154</v>
      </c>
      <c r="C7450" s="7" t="s">
        <v>155</v>
      </c>
      <c r="D7450" s="8" t="s">
        <v>628</v>
      </c>
      <c r="E7450" s="8" t="s">
        <v>629</v>
      </c>
      <c r="F7450" s="9">
        <f>DATE(2025,3,21)</f>
        <v>45737</v>
      </c>
      <c r="G7450" s="10">
        <f t="shared" si="664"/>
        <v>3</v>
      </c>
      <c r="H7450" s="10">
        <f t="shared" si="665"/>
        <v>2025</v>
      </c>
      <c r="I7450" s="8" t="s">
        <v>4</v>
      </c>
      <c r="J7450" s="7" t="s">
        <v>8014</v>
      </c>
      <c r="K7450" s="8" t="s">
        <v>171</v>
      </c>
      <c r="L7450" s="8" t="s">
        <v>172</v>
      </c>
      <c r="M7450" s="8" t="s">
        <v>27</v>
      </c>
      <c r="N7450" s="10" t="str">
        <f t="shared" si="662"/>
        <v>GAL</v>
      </c>
      <c r="O7450" s="11">
        <v>180</v>
      </c>
    </row>
    <row r="7451" spans="2:15" x14ac:dyDescent="0.25">
      <c r="B7451" s="6" t="s">
        <v>154</v>
      </c>
      <c r="C7451" s="7" t="s">
        <v>155</v>
      </c>
      <c r="D7451" s="8" t="s">
        <v>107</v>
      </c>
      <c r="E7451" s="8" t="s">
        <v>108</v>
      </c>
      <c r="F7451" s="9">
        <f>DATE(2025,3,24)</f>
        <v>45740</v>
      </c>
      <c r="G7451" s="10">
        <f t="shared" si="664"/>
        <v>3</v>
      </c>
      <c r="H7451" s="10">
        <f t="shared" si="665"/>
        <v>2025</v>
      </c>
      <c r="I7451" s="8" t="s">
        <v>4</v>
      </c>
      <c r="J7451" s="7" t="s">
        <v>8015</v>
      </c>
      <c r="K7451" s="8" t="s">
        <v>2120</v>
      </c>
      <c r="L7451" s="8" t="s">
        <v>2121</v>
      </c>
      <c r="M7451" s="8" t="s">
        <v>85</v>
      </c>
      <c r="N7451" s="10" t="str">
        <f t="shared" si="662"/>
        <v>GAL</v>
      </c>
      <c r="O7451" s="11">
        <v>10</v>
      </c>
    </row>
    <row r="7452" spans="2:15" x14ac:dyDescent="0.25">
      <c r="B7452" s="6" t="s">
        <v>154</v>
      </c>
      <c r="C7452" s="7" t="s">
        <v>155</v>
      </c>
      <c r="D7452" s="8" t="s">
        <v>167</v>
      </c>
      <c r="E7452" s="8" t="s">
        <v>168</v>
      </c>
      <c r="F7452" s="9">
        <f>DATE(2025,3,24)</f>
        <v>45740</v>
      </c>
      <c r="G7452" s="10">
        <f t="shared" si="664"/>
        <v>3</v>
      </c>
      <c r="H7452" s="10">
        <f t="shared" si="665"/>
        <v>2025</v>
      </c>
      <c r="I7452" s="8" t="s">
        <v>4</v>
      </c>
      <c r="J7452" s="7" t="s">
        <v>8016</v>
      </c>
      <c r="K7452" s="8" t="s">
        <v>158</v>
      </c>
      <c r="L7452" s="8" t="s">
        <v>159</v>
      </c>
      <c r="M7452" s="8" t="s">
        <v>160</v>
      </c>
      <c r="N7452" s="10" t="str">
        <f t="shared" si="662"/>
        <v>GAL</v>
      </c>
      <c r="O7452" s="11">
        <v>360</v>
      </c>
    </row>
    <row r="7453" spans="2:15" x14ac:dyDescent="0.25">
      <c r="B7453" s="6" t="s">
        <v>154</v>
      </c>
      <c r="C7453" s="7" t="s">
        <v>155</v>
      </c>
      <c r="D7453" s="8" t="s">
        <v>178</v>
      </c>
      <c r="E7453" s="8" t="s">
        <v>179</v>
      </c>
      <c r="F7453" s="9">
        <f>DATE(2025,3,25)</f>
        <v>45741</v>
      </c>
      <c r="G7453" s="10">
        <f t="shared" si="664"/>
        <v>3</v>
      </c>
      <c r="H7453" s="10">
        <f t="shared" si="665"/>
        <v>2025</v>
      </c>
      <c r="I7453" s="8" t="s">
        <v>4</v>
      </c>
      <c r="J7453" s="7" t="s">
        <v>8017</v>
      </c>
      <c r="K7453" s="8" t="s">
        <v>158</v>
      </c>
      <c r="L7453" s="8" t="s">
        <v>159</v>
      </c>
      <c r="M7453" s="8" t="s">
        <v>160</v>
      </c>
      <c r="N7453" s="10" t="str">
        <f t="shared" si="662"/>
        <v>GAL</v>
      </c>
      <c r="O7453" s="11">
        <v>180</v>
      </c>
    </row>
    <row r="7454" spans="2:15" x14ac:dyDescent="0.25">
      <c r="B7454" s="6" t="s">
        <v>154</v>
      </c>
      <c r="C7454" s="7" t="s">
        <v>155</v>
      </c>
      <c r="D7454" s="8" t="s">
        <v>1838</v>
      </c>
      <c r="E7454" s="8" t="s">
        <v>1839</v>
      </c>
      <c r="F7454" s="9">
        <f>DATE(2025,3,26)</f>
        <v>45742</v>
      </c>
      <c r="G7454" s="10">
        <f t="shared" si="664"/>
        <v>3</v>
      </c>
      <c r="H7454" s="10">
        <f t="shared" si="665"/>
        <v>2025</v>
      </c>
      <c r="I7454" s="8" t="s">
        <v>4</v>
      </c>
      <c r="J7454" s="7" t="s">
        <v>8018</v>
      </c>
      <c r="K7454" s="8" t="s">
        <v>609</v>
      </c>
      <c r="L7454" s="8" t="s">
        <v>610</v>
      </c>
      <c r="M7454" s="8" t="s">
        <v>611</v>
      </c>
      <c r="N7454" s="10" t="str">
        <f t="shared" si="662"/>
        <v>GAL</v>
      </c>
      <c r="O7454" s="11">
        <v>70</v>
      </c>
    </row>
    <row r="7455" spans="2:15" x14ac:dyDescent="0.25">
      <c r="B7455" s="6" t="s">
        <v>154</v>
      </c>
      <c r="C7455" s="7" t="s">
        <v>155</v>
      </c>
      <c r="D7455" s="8" t="s">
        <v>1838</v>
      </c>
      <c r="E7455" s="8" t="s">
        <v>1839</v>
      </c>
      <c r="F7455" s="9">
        <f>DATE(2025,3,26)</f>
        <v>45742</v>
      </c>
      <c r="G7455" s="10">
        <f t="shared" si="664"/>
        <v>3</v>
      </c>
      <c r="H7455" s="10">
        <f t="shared" si="665"/>
        <v>2025</v>
      </c>
      <c r="I7455" s="8" t="s">
        <v>4</v>
      </c>
      <c r="J7455" s="7" t="s">
        <v>8018</v>
      </c>
      <c r="K7455" s="8" t="s">
        <v>171</v>
      </c>
      <c r="L7455" s="8" t="s">
        <v>172</v>
      </c>
      <c r="M7455" s="8" t="s">
        <v>27</v>
      </c>
      <c r="N7455" s="10" t="str">
        <f t="shared" si="662"/>
        <v>GAL</v>
      </c>
      <c r="O7455" s="11">
        <v>900</v>
      </c>
    </row>
    <row r="7456" spans="2:15" x14ac:dyDescent="0.25">
      <c r="B7456" s="6" t="s">
        <v>154</v>
      </c>
      <c r="C7456" s="7" t="s">
        <v>155</v>
      </c>
      <c r="D7456" s="8" t="s">
        <v>1838</v>
      </c>
      <c r="E7456" s="8" t="s">
        <v>1839</v>
      </c>
      <c r="F7456" s="9">
        <f>DATE(2025,3,26)</f>
        <v>45742</v>
      </c>
      <c r="G7456" s="10">
        <f t="shared" si="664"/>
        <v>3</v>
      </c>
      <c r="H7456" s="10">
        <f t="shared" si="665"/>
        <v>2025</v>
      </c>
      <c r="I7456" s="8" t="s">
        <v>4</v>
      </c>
      <c r="J7456" s="7" t="s">
        <v>8019</v>
      </c>
      <c r="K7456" s="8" t="s">
        <v>171</v>
      </c>
      <c r="L7456" s="8" t="s">
        <v>172</v>
      </c>
      <c r="M7456" s="8" t="s">
        <v>27</v>
      </c>
      <c r="N7456" s="10" t="str">
        <f t="shared" si="662"/>
        <v>GAL</v>
      </c>
      <c r="O7456" s="11">
        <v>720</v>
      </c>
    </row>
    <row r="7457" spans="2:15" x14ac:dyDescent="0.25">
      <c r="B7457" s="6" t="s">
        <v>154</v>
      </c>
      <c r="C7457" s="7" t="s">
        <v>155</v>
      </c>
      <c r="D7457" s="8" t="s">
        <v>6120</v>
      </c>
      <c r="E7457" s="8" t="s">
        <v>6170</v>
      </c>
      <c r="F7457" s="9">
        <f>DATE(2025,3,26)</f>
        <v>45742</v>
      </c>
      <c r="G7457" s="10">
        <f t="shared" si="664"/>
        <v>3</v>
      </c>
      <c r="H7457" s="10">
        <f t="shared" si="665"/>
        <v>2025</v>
      </c>
      <c r="I7457" s="8" t="s">
        <v>4</v>
      </c>
      <c r="J7457" s="7" t="s">
        <v>8020</v>
      </c>
      <c r="K7457" s="8" t="s">
        <v>6512</v>
      </c>
      <c r="L7457" s="8" t="s">
        <v>8021</v>
      </c>
      <c r="M7457" s="8" t="s">
        <v>1024</v>
      </c>
      <c r="N7457" s="10" t="str">
        <f t="shared" si="662"/>
        <v>GAL</v>
      </c>
      <c r="O7457" s="11">
        <v>85</v>
      </c>
    </row>
    <row r="7458" spans="2:15" x14ac:dyDescent="0.25">
      <c r="B7458" s="6" t="s">
        <v>154</v>
      </c>
      <c r="C7458" s="7" t="s">
        <v>155</v>
      </c>
      <c r="D7458" s="8" t="s">
        <v>1838</v>
      </c>
      <c r="E7458" s="8" t="s">
        <v>1839</v>
      </c>
      <c r="F7458" s="9">
        <f>DATE(2025,3,27)</f>
        <v>45743</v>
      </c>
      <c r="G7458" s="10">
        <f t="shared" si="664"/>
        <v>3</v>
      </c>
      <c r="H7458" s="10">
        <f t="shared" si="665"/>
        <v>2025</v>
      </c>
      <c r="I7458" s="8" t="s">
        <v>4</v>
      </c>
      <c r="J7458" s="7" t="s">
        <v>8022</v>
      </c>
      <c r="K7458" s="8" t="s">
        <v>171</v>
      </c>
      <c r="L7458" s="8" t="s">
        <v>172</v>
      </c>
      <c r="M7458" s="8" t="s">
        <v>27</v>
      </c>
      <c r="N7458" s="10" t="str">
        <f t="shared" si="662"/>
        <v>GAL</v>
      </c>
      <c r="O7458" s="11">
        <v>1080</v>
      </c>
    </row>
    <row r="7459" spans="2:15" x14ac:dyDescent="0.25">
      <c r="B7459" s="6" t="s">
        <v>154</v>
      </c>
      <c r="C7459" s="7" t="s">
        <v>155</v>
      </c>
      <c r="D7459" s="8" t="s">
        <v>1838</v>
      </c>
      <c r="E7459" s="8" t="s">
        <v>1839</v>
      </c>
      <c r="F7459" s="9">
        <f t="shared" ref="F7459:F7467" si="666">DATE(2025,3,28)</f>
        <v>45744</v>
      </c>
      <c r="G7459" s="10">
        <f t="shared" si="664"/>
        <v>3</v>
      </c>
      <c r="H7459" s="10">
        <f t="shared" si="665"/>
        <v>2025</v>
      </c>
      <c r="I7459" s="8" t="s">
        <v>4</v>
      </c>
      <c r="J7459" s="7" t="s">
        <v>8023</v>
      </c>
      <c r="K7459" s="8" t="s">
        <v>609</v>
      </c>
      <c r="L7459" s="8" t="s">
        <v>610</v>
      </c>
      <c r="M7459" s="8" t="s">
        <v>611</v>
      </c>
      <c r="N7459" s="10" t="str">
        <f t="shared" si="662"/>
        <v>GAL</v>
      </c>
      <c r="O7459" s="11">
        <v>110</v>
      </c>
    </row>
    <row r="7460" spans="2:15" x14ac:dyDescent="0.25">
      <c r="B7460" s="6" t="s">
        <v>154</v>
      </c>
      <c r="C7460" s="7" t="s">
        <v>155</v>
      </c>
      <c r="D7460" s="8" t="s">
        <v>1838</v>
      </c>
      <c r="E7460" s="8" t="s">
        <v>1839</v>
      </c>
      <c r="F7460" s="9">
        <f t="shared" si="666"/>
        <v>45744</v>
      </c>
      <c r="G7460" s="10">
        <f t="shared" si="664"/>
        <v>3</v>
      </c>
      <c r="H7460" s="10">
        <f t="shared" si="665"/>
        <v>2025</v>
      </c>
      <c r="I7460" s="8" t="s">
        <v>4</v>
      </c>
      <c r="J7460" s="7" t="s">
        <v>8023</v>
      </c>
      <c r="K7460" s="8" t="s">
        <v>171</v>
      </c>
      <c r="L7460" s="8" t="s">
        <v>172</v>
      </c>
      <c r="M7460" s="8" t="s">
        <v>27</v>
      </c>
      <c r="N7460" s="10" t="str">
        <f t="shared" si="662"/>
        <v>GAL</v>
      </c>
      <c r="O7460" s="11">
        <v>1080</v>
      </c>
    </row>
    <row r="7461" spans="2:15" x14ac:dyDescent="0.25">
      <c r="B7461" s="6" t="s">
        <v>154</v>
      </c>
      <c r="C7461" s="7" t="s">
        <v>155</v>
      </c>
      <c r="D7461" s="8" t="s">
        <v>3198</v>
      </c>
      <c r="E7461" s="8" t="s">
        <v>174</v>
      </c>
      <c r="F7461" s="9">
        <f t="shared" si="666"/>
        <v>45744</v>
      </c>
      <c r="G7461" s="10">
        <f t="shared" si="664"/>
        <v>3</v>
      </c>
      <c r="H7461" s="10">
        <f t="shared" si="665"/>
        <v>2025</v>
      </c>
      <c r="I7461" s="8" t="s">
        <v>4</v>
      </c>
      <c r="J7461" s="7" t="s">
        <v>8024</v>
      </c>
      <c r="K7461" s="8" t="s">
        <v>158</v>
      </c>
      <c r="L7461" s="8" t="s">
        <v>159</v>
      </c>
      <c r="M7461" s="8" t="s">
        <v>160</v>
      </c>
      <c r="N7461" s="10" t="str">
        <f t="shared" si="662"/>
        <v>GAL</v>
      </c>
      <c r="O7461" s="11">
        <v>360</v>
      </c>
    </row>
    <row r="7462" spans="2:15" x14ac:dyDescent="0.25">
      <c r="B7462" s="6" t="s">
        <v>154</v>
      </c>
      <c r="C7462" s="7" t="s">
        <v>155</v>
      </c>
      <c r="D7462" s="8" t="s">
        <v>178</v>
      </c>
      <c r="E7462" s="8" t="s">
        <v>179</v>
      </c>
      <c r="F7462" s="9">
        <f t="shared" si="666"/>
        <v>45744</v>
      </c>
      <c r="G7462" s="10">
        <f t="shared" si="664"/>
        <v>3</v>
      </c>
      <c r="H7462" s="10">
        <f t="shared" si="665"/>
        <v>2025</v>
      </c>
      <c r="I7462" s="8" t="s">
        <v>4</v>
      </c>
      <c r="J7462" s="7" t="s">
        <v>8025</v>
      </c>
      <c r="K7462" s="8" t="s">
        <v>158</v>
      </c>
      <c r="L7462" s="8" t="s">
        <v>159</v>
      </c>
      <c r="M7462" s="8" t="s">
        <v>160</v>
      </c>
      <c r="N7462" s="10" t="str">
        <f t="shared" si="662"/>
        <v>GAL</v>
      </c>
      <c r="O7462" s="11">
        <v>180</v>
      </c>
    </row>
    <row r="7463" spans="2:15" x14ac:dyDescent="0.25">
      <c r="B7463" s="6" t="s">
        <v>154</v>
      </c>
      <c r="C7463" s="7" t="s">
        <v>155</v>
      </c>
      <c r="D7463" s="8" t="s">
        <v>167</v>
      </c>
      <c r="E7463" s="8" t="s">
        <v>168</v>
      </c>
      <c r="F7463" s="9">
        <f t="shared" si="666"/>
        <v>45744</v>
      </c>
      <c r="G7463" s="10">
        <f t="shared" si="664"/>
        <v>3</v>
      </c>
      <c r="H7463" s="10">
        <f t="shared" si="665"/>
        <v>2025</v>
      </c>
      <c r="I7463" s="8" t="s">
        <v>4</v>
      </c>
      <c r="J7463" s="7" t="s">
        <v>8026</v>
      </c>
      <c r="K7463" s="8" t="s">
        <v>158</v>
      </c>
      <c r="L7463" s="8" t="s">
        <v>159</v>
      </c>
      <c r="M7463" s="8" t="s">
        <v>160</v>
      </c>
      <c r="N7463" s="10" t="str">
        <f t="shared" si="662"/>
        <v>GAL</v>
      </c>
      <c r="O7463" s="11">
        <v>180</v>
      </c>
    </row>
    <row r="7464" spans="2:15" x14ac:dyDescent="0.25">
      <c r="B7464" s="6" t="s">
        <v>154</v>
      </c>
      <c r="C7464" s="7" t="s">
        <v>155</v>
      </c>
      <c r="D7464" s="8" t="s">
        <v>107</v>
      </c>
      <c r="E7464" s="8" t="s">
        <v>108</v>
      </c>
      <c r="F7464" s="9">
        <f t="shared" si="666"/>
        <v>45744</v>
      </c>
      <c r="G7464" s="10">
        <f t="shared" si="664"/>
        <v>3</v>
      </c>
      <c r="H7464" s="10">
        <f t="shared" si="665"/>
        <v>2025</v>
      </c>
      <c r="I7464" s="8" t="s">
        <v>4</v>
      </c>
      <c r="J7464" s="7" t="s">
        <v>8027</v>
      </c>
      <c r="K7464" s="8" t="s">
        <v>158</v>
      </c>
      <c r="L7464" s="8" t="s">
        <v>159</v>
      </c>
      <c r="M7464" s="8" t="s">
        <v>160</v>
      </c>
      <c r="N7464" s="10" t="str">
        <f t="shared" si="662"/>
        <v>GAL</v>
      </c>
      <c r="O7464" s="11">
        <v>180</v>
      </c>
    </row>
    <row r="7465" spans="2:15" x14ac:dyDescent="0.25">
      <c r="B7465" s="6" t="s">
        <v>154</v>
      </c>
      <c r="C7465" s="7" t="s">
        <v>155</v>
      </c>
      <c r="D7465" s="8" t="s">
        <v>107</v>
      </c>
      <c r="E7465" s="8" t="s">
        <v>108</v>
      </c>
      <c r="F7465" s="9">
        <f t="shared" si="666"/>
        <v>45744</v>
      </c>
      <c r="G7465" s="10">
        <f t="shared" si="664"/>
        <v>3</v>
      </c>
      <c r="H7465" s="10">
        <f t="shared" si="665"/>
        <v>2025</v>
      </c>
      <c r="I7465" s="8" t="s">
        <v>4</v>
      </c>
      <c r="J7465" s="7" t="s">
        <v>8027</v>
      </c>
      <c r="K7465" s="8" t="s">
        <v>189</v>
      </c>
      <c r="L7465" s="8" t="s">
        <v>190</v>
      </c>
      <c r="M7465" s="8" t="s">
        <v>191</v>
      </c>
      <c r="N7465" s="10" t="str">
        <f t="shared" si="662"/>
        <v>GAL</v>
      </c>
      <c r="O7465" s="11">
        <v>180</v>
      </c>
    </row>
    <row r="7466" spans="2:15" x14ac:dyDescent="0.25">
      <c r="B7466" s="6" t="s">
        <v>154</v>
      </c>
      <c r="C7466" s="7" t="s">
        <v>155</v>
      </c>
      <c r="D7466" s="8" t="s">
        <v>628</v>
      </c>
      <c r="E7466" s="8" t="s">
        <v>629</v>
      </c>
      <c r="F7466" s="9">
        <f t="shared" si="666"/>
        <v>45744</v>
      </c>
      <c r="G7466" s="10">
        <f t="shared" si="664"/>
        <v>3</v>
      </c>
      <c r="H7466" s="10">
        <f t="shared" si="665"/>
        <v>2025</v>
      </c>
      <c r="I7466" s="8" t="s">
        <v>4</v>
      </c>
      <c r="J7466" s="7" t="s">
        <v>8028</v>
      </c>
      <c r="K7466" s="8" t="s">
        <v>631</v>
      </c>
      <c r="L7466" s="8" t="s">
        <v>632</v>
      </c>
      <c r="M7466" s="8" t="s">
        <v>633</v>
      </c>
      <c r="N7466" s="10" t="str">
        <f t="shared" si="662"/>
        <v>GAL</v>
      </c>
      <c r="O7466" s="11">
        <v>3000</v>
      </c>
    </row>
    <row r="7467" spans="2:15" x14ac:dyDescent="0.25">
      <c r="B7467" s="6" t="s">
        <v>154</v>
      </c>
      <c r="C7467" s="7" t="s">
        <v>155</v>
      </c>
      <c r="D7467" s="8" t="s">
        <v>167</v>
      </c>
      <c r="E7467" s="8" t="s">
        <v>168</v>
      </c>
      <c r="F7467" s="9">
        <f t="shared" si="666"/>
        <v>45744</v>
      </c>
      <c r="G7467" s="10">
        <f t="shared" si="664"/>
        <v>3</v>
      </c>
      <c r="H7467" s="10">
        <f t="shared" si="665"/>
        <v>2025</v>
      </c>
      <c r="I7467" s="8" t="s">
        <v>4</v>
      </c>
      <c r="J7467" s="7" t="s">
        <v>8029</v>
      </c>
      <c r="K7467" s="8" t="s">
        <v>158</v>
      </c>
      <c r="L7467" s="8" t="s">
        <v>159</v>
      </c>
      <c r="M7467" s="8" t="s">
        <v>160</v>
      </c>
      <c r="N7467" s="10" t="str">
        <f t="shared" si="662"/>
        <v>GAL</v>
      </c>
      <c r="O7467" s="11">
        <v>180</v>
      </c>
    </row>
    <row r="7468" spans="2:15" x14ac:dyDescent="0.25">
      <c r="B7468" s="6" t="s">
        <v>154</v>
      </c>
      <c r="C7468" s="7" t="s">
        <v>155</v>
      </c>
      <c r="D7468" s="8" t="s">
        <v>591</v>
      </c>
      <c r="E7468" s="8" t="s">
        <v>592</v>
      </c>
      <c r="F7468" s="9">
        <f>DATE(2025,3,31)</f>
        <v>45747</v>
      </c>
      <c r="G7468" s="10">
        <f t="shared" si="664"/>
        <v>3</v>
      </c>
      <c r="H7468" s="10">
        <f t="shared" si="665"/>
        <v>2025</v>
      </c>
      <c r="I7468" s="8" t="s">
        <v>4</v>
      </c>
      <c r="J7468" s="7" t="s">
        <v>8030</v>
      </c>
      <c r="K7468" s="8" t="s">
        <v>1098</v>
      </c>
      <c r="L7468" s="8" t="s">
        <v>632</v>
      </c>
      <c r="M7468" s="8" t="s">
        <v>633</v>
      </c>
      <c r="N7468" s="10" t="str">
        <f t="shared" si="662"/>
        <v>GAL</v>
      </c>
      <c r="O7468" s="11">
        <v>1905</v>
      </c>
    </row>
    <row r="7469" spans="2:15" x14ac:dyDescent="0.25">
      <c r="B7469" s="6" t="s">
        <v>154</v>
      </c>
      <c r="C7469" s="7" t="s">
        <v>155</v>
      </c>
      <c r="D7469" s="8" t="s">
        <v>107</v>
      </c>
      <c r="E7469" s="8" t="s">
        <v>108</v>
      </c>
      <c r="F7469" s="9">
        <f>DATE(2025,3,31)</f>
        <v>45747</v>
      </c>
      <c r="G7469" s="10">
        <f t="shared" si="664"/>
        <v>3</v>
      </c>
      <c r="H7469" s="10">
        <f t="shared" si="665"/>
        <v>2025</v>
      </c>
      <c r="I7469" s="8" t="s">
        <v>4</v>
      </c>
      <c r="J7469" s="7" t="s">
        <v>8031</v>
      </c>
      <c r="K7469" s="8" t="s">
        <v>1501</v>
      </c>
      <c r="L7469" s="8" t="s">
        <v>602</v>
      </c>
      <c r="M7469" s="8" t="s">
        <v>41</v>
      </c>
      <c r="N7469" s="10" t="str">
        <f t="shared" si="662"/>
        <v>GAL</v>
      </c>
      <c r="O7469" s="11">
        <v>90</v>
      </c>
    </row>
    <row r="7470" spans="2:15" x14ac:dyDescent="0.25">
      <c r="B7470" s="6" t="s">
        <v>154</v>
      </c>
      <c r="C7470" s="7" t="s">
        <v>155</v>
      </c>
      <c r="D7470" s="8" t="s">
        <v>628</v>
      </c>
      <c r="E7470" s="8" t="s">
        <v>629</v>
      </c>
      <c r="F7470" s="9">
        <f>DATE(2025,3,31)</f>
        <v>45747</v>
      </c>
      <c r="G7470" s="10">
        <f t="shared" si="664"/>
        <v>3</v>
      </c>
      <c r="H7470" s="10">
        <f t="shared" si="665"/>
        <v>2025</v>
      </c>
      <c r="I7470" s="8" t="s">
        <v>4</v>
      </c>
      <c r="J7470" s="7" t="s">
        <v>8032</v>
      </c>
      <c r="K7470" s="8" t="s">
        <v>171</v>
      </c>
      <c r="L7470" s="8" t="s">
        <v>172</v>
      </c>
      <c r="M7470" s="8" t="s">
        <v>27</v>
      </c>
      <c r="N7470" s="10" t="str">
        <f t="shared" si="662"/>
        <v>GAL</v>
      </c>
      <c r="O7470" s="11">
        <v>180</v>
      </c>
    </row>
    <row r="7471" spans="2:15" x14ac:dyDescent="0.25">
      <c r="B7471" s="6" t="s">
        <v>1520</v>
      </c>
      <c r="C7471" s="7" t="s">
        <v>196</v>
      </c>
      <c r="D7471" s="8" t="s">
        <v>374</v>
      </c>
      <c r="E7471" s="8" t="s">
        <v>4935</v>
      </c>
      <c r="F7471" s="9">
        <f t="shared" ref="F7471:F7476" si="667">DATE(2025,3,3)</f>
        <v>45719</v>
      </c>
      <c r="G7471" s="10">
        <f t="shared" si="664"/>
        <v>3</v>
      </c>
      <c r="H7471" s="10">
        <f t="shared" si="665"/>
        <v>2025</v>
      </c>
      <c r="I7471" s="8" t="s">
        <v>4</v>
      </c>
      <c r="J7471" s="7" t="s">
        <v>8033</v>
      </c>
      <c r="K7471" s="8" t="s">
        <v>329</v>
      </c>
      <c r="L7471" s="8" t="s">
        <v>330</v>
      </c>
      <c r="M7471" s="8" t="s">
        <v>119</v>
      </c>
      <c r="N7471" s="10" t="str">
        <f t="shared" si="662"/>
        <v>TON</v>
      </c>
      <c r="O7471" s="11">
        <v>15.012499999999999</v>
      </c>
    </row>
    <row r="7472" spans="2:15" x14ac:dyDescent="0.25">
      <c r="B7472" s="6" t="s">
        <v>1520</v>
      </c>
      <c r="C7472" s="7" t="s">
        <v>196</v>
      </c>
      <c r="D7472" s="8" t="s">
        <v>210</v>
      </c>
      <c r="E7472" s="8" t="s">
        <v>827</v>
      </c>
      <c r="F7472" s="9">
        <f t="shared" si="667"/>
        <v>45719</v>
      </c>
      <c r="G7472" s="10">
        <f t="shared" si="664"/>
        <v>3</v>
      </c>
      <c r="H7472" s="10">
        <f t="shared" si="665"/>
        <v>2025</v>
      </c>
      <c r="I7472" s="8" t="s">
        <v>4</v>
      </c>
      <c r="J7472" s="7" t="s">
        <v>8034</v>
      </c>
      <c r="K7472" s="8" t="s">
        <v>5894</v>
      </c>
      <c r="L7472" s="8" t="s">
        <v>5895</v>
      </c>
      <c r="M7472" s="8" t="s">
        <v>119</v>
      </c>
      <c r="N7472" s="10" t="str">
        <f t="shared" si="662"/>
        <v>TON</v>
      </c>
      <c r="O7472" s="11">
        <v>15.032500000000001</v>
      </c>
    </row>
    <row r="7473" spans="2:15" x14ac:dyDescent="0.25">
      <c r="B7473" s="6" t="s">
        <v>1520</v>
      </c>
      <c r="C7473" s="7" t="s">
        <v>196</v>
      </c>
      <c r="D7473" s="8" t="s">
        <v>317</v>
      </c>
      <c r="E7473" s="8" t="s">
        <v>677</v>
      </c>
      <c r="F7473" s="9">
        <f t="shared" si="667"/>
        <v>45719</v>
      </c>
      <c r="G7473" s="10">
        <f t="shared" si="664"/>
        <v>3</v>
      </c>
      <c r="H7473" s="10">
        <f t="shared" si="665"/>
        <v>2025</v>
      </c>
      <c r="I7473" s="8" t="s">
        <v>4</v>
      </c>
      <c r="J7473" s="7" t="s">
        <v>8035</v>
      </c>
      <c r="K7473" s="8" t="s">
        <v>422</v>
      </c>
      <c r="L7473" s="8" t="s">
        <v>423</v>
      </c>
      <c r="M7473" s="8" t="s">
        <v>119</v>
      </c>
      <c r="N7473" s="10" t="str">
        <f t="shared" si="662"/>
        <v>TON</v>
      </c>
      <c r="O7473" s="11">
        <v>11.032500000000001</v>
      </c>
    </row>
    <row r="7474" spans="2:15" x14ac:dyDescent="0.25">
      <c r="B7474" s="6" t="s">
        <v>645</v>
      </c>
      <c r="C7474" s="7" t="s">
        <v>196</v>
      </c>
      <c r="D7474" s="8" t="s">
        <v>790</v>
      </c>
      <c r="E7474" s="8" t="s">
        <v>791</v>
      </c>
      <c r="F7474" s="9">
        <f t="shared" si="667"/>
        <v>45719</v>
      </c>
      <c r="G7474" s="10">
        <f t="shared" si="664"/>
        <v>3</v>
      </c>
      <c r="H7474" s="10">
        <f t="shared" si="665"/>
        <v>2025</v>
      </c>
      <c r="I7474" s="8" t="s">
        <v>4</v>
      </c>
      <c r="J7474" s="7" t="s">
        <v>8036</v>
      </c>
      <c r="K7474" s="8" t="s">
        <v>7787</v>
      </c>
      <c r="L7474" s="8" t="s">
        <v>7788</v>
      </c>
      <c r="M7474" s="8" t="s">
        <v>119</v>
      </c>
      <c r="N7474" s="10" t="str">
        <f t="shared" si="662"/>
        <v>TON</v>
      </c>
      <c r="O7474" s="11">
        <v>3.5175000000000001</v>
      </c>
    </row>
    <row r="7475" spans="2:15" x14ac:dyDescent="0.25">
      <c r="B7475" s="6" t="s">
        <v>1520</v>
      </c>
      <c r="C7475" s="7" t="s">
        <v>196</v>
      </c>
      <c r="D7475" s="8" t="s">
        <v>374</v>
      </c>
      <c r="E7475" s="8" t="s">
        <v>455</v>
      </c>
      <c r="F7475" s="9">
        <f t="shared" si="667"/>
        <v>45719</v>
      </c>
      <c r="G7475" s="10">
        <f t="shared" si="664"/>
        <v>3</v>
      </c>
      <c r="H7475" s="10">
        <f t="shared" si="665"/>
        <v>2025</v>
      </c>
      <c r="I7475" s="8" t="s">
        <v>4</v>
      </c>
      <c r="J7475" s="7" t="s">
        <v>8037</v>
      </c>
      <c r="K7475" s="8" t="s">
        <v>329</v>
      </c>
      <c r="L7475" s="8" t="s">
        <v>330</v>
      </c>
      <c r="M7475" s="8" t="s">
        <v>119</v>
      </c>
      <c r="N7475" s="10" t="str">
        <f t="shared" si="662"/>
        <v>TON</v>
      </c>
      <c r="O7475" s="11">
        <v>15.022500000000001</v>
      </c>
    </row>
    <row r="7476" spans="2:15" x14ac:dyDescent="0.25">
      <c r="B7476" s="6" t="s">
        <v>1520</v>
      </c>
      <c r="C7476" s="7" t="s">
        <v>196</v>
      </c>
      <c r="D7476" s="8" t="s">
        <v>387</v>
      </c>
      <c r="E7476" s="8" t="s">
        <v>797</v>
      </c>
      <c r="F7476" s="9">
        <f t="shared" si="667"/>
        <v>45719</v>
      </c>
      <c r="G7476" s="10">
        <f t="shared" si="664"/>
        <v>3</v>
      </c>
      <c r="H7476" s="10">
        <f t="shared" si="665"/>
        <v>2025</v>
      </c>
      <c r="I7476" s="8" t="s">
        <v>4</v>
      </c>
      <c r="J7476" s="7" t="s">
        <v>8038</v>
      </c>
      <c r="K7476" s="8" t="s">
        <v>251</v>
      </c>
      <c r="L7476" s="8" t="s">
        <v>252</v>
      </c>
      <c r="M7476" s="8" t="s">
        <v>119</v>
      </c>
      <c r="N7476" s="10" t="str">
        <f t="shared" si="662"/>
        <v>TON</v>
      </c>
      <c r="O7476" s="11">
        <v>10.012499999999999</v>
      </c>
    </row>
    <row r="7477" spans="2:15" x14ac:dyDescent="0.25">
      <c r="B7477" s="6" t="s">
        <v>1520</v>
      </c>
      <c r="C7477" s="7" t="s">
        <v>196</v>
      </c>
      <c r="D7477" s="8" t="s">
        <v>6651</v>
      </c>
      <c r="E7477" s="8" t="s">
        <v>7766</v>
      </c>
      <c r="F7477" s="9">
        <f t="shared" ref="F7477:F7485" si="668">DATE(2025,3,4)</f>
        <v>45720</v>
      </c>
      <c r="G7477" s="10">
        <f t="shared" si="664"/>
        <v>3</v>
      </c>
      <c r="H7477" s="10">
        <f t="shared" si="665"/>
        <v>2025</v>
      </c>
      <c r="I7477" s="8" t="s">
        <v>4</v>
      </c>
      <c r="J7477" s="7" t="s">
        <v>8039</v>
      </c>
      <c r="K7477" s="8" t="s">
        <v>823</v>
      </c>
      <c r="L7477" s="8" t="s">
        <v>776</v>
      </c>
      <c r="M7477" s="8" t="s">
        <v>82</v>
      </c>
      <c r="N7477" s="10" t="str">
        <f t="shared" si="662"/>
        <v>GAL</v>
      </c>
      <c r="O7477" s="11">
        <v>250</v>
      </c>
    </row>
    <row r="7478" spans="2:15" x14ac:dyDescent="0.25">
      <c r="B7478" s="6" t="s">
        <v>1520</v>
      </c>
      <c r="C7478" s="7" t="s">
        <v>196</v>
      </c>
      <c r="D7478" s="8" t="s">
        <v>280</v>
      </c>
      <c r="E7478" s="8" t="s">
        <v>462</v>
      </c>
      <c r="F7478" s="9">
        <f t="shared" si="668"/>
        <v>45720</v>
      </c>
      <c r="G7478" s="10">
        <f t="shared" si="664"/>
        <v>3</v>
      </c>
      <c r="H7478" s="10">
        <f t="shared" si="665"/>
        <v>2025</v>
      </c>
      <c r="I7478" s="8" t="s">
        <v>4</v>
      </c>
      <c r="J7478" s="7" t="s">
        <v>8040</v>
      </c>
      <c r="K7478" s="8" t="s">
        <v>422</v>
      </c>
      <c r="L7478" s="8" t="s">
        <v>423</v>
      </c>
      <c r="M7478" s="8" t="s">
        <v>119</v>
      </c>
      <c r="N7478" s="10" t="str">
        <f t="shared" si="662"/>
        <v>TON</v>
      </c>
      <c r="O7478" s="11">
        <v>15.032</v>
      </c>
    </row>
    <row r="7479" spans="2:15" x14ac:dyDescent="0.25">
      <c r="B7479" s="6" t="s">
        <v>1520</v>
      </c>
      <c r="C7479" s="7" t="s">
        <v>196</v>
      </c>
      <c r="D7479" s="8" t="s">
        <v>232</v>
      </c>
      <c r="E7479" s="8" t="s">
        <v>233</v>
      </c>
      <c r="F7479" s="9">
        <f t="shared" si="668"/>
        <v>45720</v>
      </c>
      <c r="G7479" s="10">
        <f t="shared" si="664"/>
        <v>3</v>
      </c>
      <c r="H7479" s="10">
        <f t="shared" si="665"/>
        <v>2025</v>
      </c>
      <c r="I7479" s="8" t="s">
        <v>4</v>
      </c>
      <c r="J7479" s="7" t="s">
        <v>8041</v>
      </c>
      <c r="K7479" s="8" t="s">
        <v>205</v>
      </c>
      <c r="L7479" s="8" t="s">
        <v>206</v>
      </c>
      <c r="M7479" s="8" t="s">
        <v>119</v>
      </c>
      <c r="N7479" s="10" t="str">
        <f t="shared" si="662"/>
        <v>TON</v>
      </c>
      <c r="O7479" s="11">
        <v>5</v>
      </c>
    </row>
    <row r="7480" spans="2:15" x14ac:dyDescent="0.25">
      <c r="B7480" s="6" t="s">
        <v>1520</v>
      </c>
      <c r="C7480" s="7" t="s">
        <v>196</v>
      </c>
      <c r="D7480" s="8" t="s">
        <v>721</v>
      </c>
      <c r="E7480" s="8" t="s">
        <v>971</v>
      </c>
      <c r="F7480" s="9">
        <f t="shared" si="668"/>
        <v>45720</v>
      </c>
      <c r="G7480" s="10">
        <f t="shared" si="664"/>
        <v>3</v>
      </c>
      <c r="H7480" s="10">
        <f t="shared" si="665"/>
        <v>2025</v>
      </c>
      <c r="I7480" s="8" t="s">
        <v>4</v>
      </c>
      <c r="J7480" s="7" t="s">
        <v>8042</v>
      </c>
      <c r="K7480" s="8" t="s">
        <v>384</v>
      </c>
      <c r="L7480" s="8" t="s">
        <v>385</v>
      </c>
      <c r="M7480" s="8" t="s">
        <v>119</v>
      </c>
      <c r="N7480" s="10" t="str">
        <f t="shared" si="662"/>
        <v>TON</v>
      </c>
      <c r="O7480" s="11">
        <v>1</v>
      </c>
    </row>
    <row r="7481" spans="2:15" x14ac:dyDescent="0.25">
      <c r="B7481" s="6" t="s">
        <v>1520</v>
      </c>
      <c r="C7481" s="7" t="s">
        <v>196</v>
      </c>
      <c r="D7481" s="8" t="s">
        <v>669</v>
      </c>
      <c r="E7481" s="8" t="s">
        <v>56</v>
      </c>
      <c r="F7481" s="9">
        <f t="shared" si="668"/>
        <v>45720</v>
      </c>
      <c r="G7481" s="10">
        <f t="shared" si="664"/>
        <v>3</v>
      </c>
      <c r="H7481" s="10">
        <f t="shared" si="665"/>
        <v>2025</v>
      </c>
      <c r="I7481" s="8" t="s">
        <v>4</v>
      </c>
      <c r="J7481" s="7" t="s">
        <v>8043</v>
      </c>
      <c r="K7481" s="8" t="s">
        <v>384</v>
      </c>
      <c r="L7481" s="8" t="s">
        <v>385</v>
      </c>
      <c r="M7481" s="8" t="s">
        <v>119</v>
      </c>
      <c r="N7481" s="10" t="str">
        <f t="shared" si="662"/>
        <v>TON</v>
      </c>
      <c r="O7481" s="11">
        <v>2</v>
      </c>
    </row>
    <row r="7482" spans="2:15" x14ac:dyDescent="0.25">
      <c r="B7482" s="6" t="s">
        <v>1520</v>
      </c>
      <c r="C7482" s="7" t="s">
        <v>196</v>
      </c>
      <c r="D7482" s="8" t="s">
        <v>197</v>
      </c>
      <c r="E7482" s="8" t="s">
        <v>198</v>
      </c>
      <c r="F7482" s="9">
        <f t="shared" si="668"/>
        <v>45720</v>
      </c>
      <c r="G7482" s="10">
        <f t="shared" si="664"/>
        <v>3</v>
      </c>
      <c r="H7482" s="10">
        <f t="shared" si="665"/>
        <v>2025</v>
      </c>
      <c r="I7482" s="8" t="s">
        <v>4</v>
      </c>
      <c r="J7482" s="7" t="s">
        <v>8044</v>
      </c>
      <c r="K7482" s="8" t="s">
        <v>307</v>
      </c>
      <c r="L7482" s="8" t="s">
        <v>308</v>
      </c>
      <c r="M7482" s="8" t="s">
        <v>119</v>
      </c>
      <c r="N7482" s="10" t="str">
        <f t="shared" si="662"/>
        <v>TON</v>
      </c>
      <c r="O7482" s="11">
        <v>3.5</v>
      </c>
    </row>
    <row r="7483" spans="2:15" x14ac:dyDescent="0.25">
      <c r="B7483" s="6" t="s">
        <v>1520</v>
      </c>
      <c r="C7483" s="7" t="s">
        <v>196</v>
      </c>
      <c r="D7483" s="8" t="s">
        <v>440</v>
      </c>
      <c r="E7483" s="8" t="s">
        <v>441</v>
      </c>
      <c r="F7483" s="9">
        <f t="shared" si="668"/>
        <v>45720</v>
      </c>
      <c r="G7483" s="10">
        <f t="shared" si="664"/>
        <v>3</v>
      </c>
      <c r="H7483" s="10">
        <f t="shared" si="665"/>
        <v>2025</v>
      </c>
      <c r="I7483" s="8" t="s">
        <v>4</v>
      </c>
      <c r="J7483" s="7" t="s">
        <v>8045</v>
      </c>
      <c r="K7483" s="8" t="s">
        <v>251</v>
      </c>
      <c r="L7483" s="8" t="s">
        <v>252</v>
      </c>
      <c r="M7483" s="8" t="s">
        <v>119</v>
      </c>
      <c r="N7483" s="10" t="str">
        <f t="shared" si="662"/>
        <v>TON</v>
      </c>
      <c r="O7483" s="11">
        <v>7.5</v>
      </c>
    </row>
    <row r="7484" spans="2:15" x14ac:dyDescent="0.25">
      <c r="B7484" s="6" t="s">
        <v>1520</v>
      </c>
      <c r="C7484" s="7" t="s">
        <v>196</v>
      </c>
      <c r="D7484" s="8" t="s">
        <v>837</v>
      </c>
      <c r="E7484" s="8" t="s">
        <v>7452</v>
      </c>
      <c r="F7484" s="9">
        <f t="shared" si="668"/>
        <v>45720</v>
      </c>
      <c r="G7484" s="10">
        <f t="shared" si="664"/>
        <v>3</v>
      </c>
      <c r="H7484" s="10">
        <f t="shared" si="665"/>
        <v>2025</v>
      </c>
      <c r="I7484" s="8" t="s">
        <v>4</v>
      </c>
      <c r="J7484" s="7" t="s">
        <v>8046</v>
      </c>
      <c r="K7484" s="8" t="s">
        <v>268</v>
      </c>
      <c r="L7484" s="8" t="s">
        <v>269</v>
      </c>
      <c r="M7484" s="8" t="s">
        <v>119</v>
      </c>
      <c r="N7484" s="10" t="str">
        <f t="shared" si="662"/>
        <v>TON</v>
      </c>
      <c r="O7484" s="11">
        <v>1</v>
      </c>
    </row>
    <row r="7485" spans="2:15" x14ac:dyDescent="0.25">
      <c r="B7485" s="6" t="s">
        <v>1520</v>
      </c>
      <c r="C7485" s="7" t="s">
        <v>196</v>
      </c>
      <c r="D7485" s="8" t="s">
        <v>721</v>
      </c>
      <c r="E7485" s="8" t="s">
        <v>971</v>
      </c>
      <c r="F7485" s="9">
        <f t="shared" si="668"/>
        <v>45720</v>
      </c>
      <c r="G7485" s="10">
        <f t="shared" si="664"/>
        <v>3</v>
      </c>
      <c r="H7485" s="10">
        <f t="shared" si="665"/>
        <v>2025</v>
      </c>
      <c r="I7485" s="8" t="s">
        <v>4</v>
      </c>
      <c r="J7485" s="7" t="s">
        <v>8047</v>
      </c>
      <c r="K7485" s="8" t="s">
        <v>384</v>
      </c>
      <c r="L7485" s="8" t="s">
        <v>385</v>
      </c>
      <c r="M7485" s="8" t="s">
        <v>119</v>
      </c>
      <c r="N7485" s="10" t="str">
        <f t="shared" si="662"/>
        <v>TON</v>
      </c>
      <c r="O7485" s="11">
        <v>1.5</v>
      </c>
    </row>
    <row r="7486" spans="2:15" x14ac:dyDescent="0.25">
      <c r="B7486" s="6" t="s">
        <v>1520</v>
      </c>
      <c r="C7486" s="7" t="s">
        <v>196</v>
      </c>
      <c r="D7486" s="8" t="s">
        <v>265</v>
      </c>
      <c r="E7486" s="8" t="s">
        <v>266</v>
      </c>
      <c r="F7486" s="9">
        <f t="shared" ref="F7486:F7494" si="669">DATE(2025,3,5)</f>
        <v>45721</v>
      </c>
      <c r="G7486" s="10">
        <f t="shared" si="664"/>
        <v>3</v>
      </c>
      <c r="H7486" s="10">
        <f t="shared" si="665"/>
        <v>2025</v>
      </c>
      <c r="I7486" s="8" t="s">
        <v>4</v>
      </c>
      <c r="J7486" s="7" t="s">
        <v>8048</v>
      </c>
      <c r="K7486" s="8" t="s">
        <v>268</v>
      </c>
      <c r="L7486" s="8" t="s">
        <v>269</v>
      </c>
      <c r="M7486" s="8" t="s">
        <v>119</v>
      </c>
      <c r="N7486" s="10" t="str">
        <f t="shared" ref="N7486:N7549" si="670">+LEFT(M7486,3)</f>
        <v>TON</v>
      </c>
      <c r="O7486" s="11">
        <v>0.15</v>
      </c>
    </row>
    <row r="7487" spans="2:15" x14ac:dyDescent="0.25">
      <c r="B7487" s="6" t="s">
        <v>1520</v>
      </c>
      <c r="C7487" s="7" t="s">
        <v>196</v>
      </c>
      <c r="D7487" s="8" t="s">
        <v>276</v>
      </c>
      <c r="E7487" s="8" t="s">
        <v>682</v>
      </c>
      <c r="F7487" s="9">
        <f t="shared" si="669"/>
        <v>45721</v>
      </c>
      <c r="G7487" s="10">
        <f t="shared" si="664"/>
        <v>3</v>
      </c>
      <c r="H7487" s="10">
        <f t="shared" si="665"/>
        <v>2025</v>
      </c>
      <c r="I7487" s="8" t="s">
        <v>4</v>
      </c>
      <c r="J7487" s="7" t="s">
        <v>8049</v>
      </c>
      <c r="K7487" s="8" t="s">
        <v>329</v>
      </c>
      <c r="L7487" s="8" t="s">
        <v>330</v>
      </c>
      <c r="M7487" s="8" t="s">
        <v>119</v>
      </c>
      <c r="N7487" s="10" t="str">
        <f t="shared" si="670"/>
        <v>TON</v>
      </c>
      <c r="O7487" s="11">
        <v>15.0075</v>
      </c>
    </row>
    <row r="7488" spans="2:15" x14ac:dyDescent="0.25">
      <c r="B7488" s="6" t="s">
        <v>1520</v>
      </c>
      <c r="C7488" s="7" t="s">
        <v>196</v>
      </c>
      <c r="D7488" s="8" t="s">
        <v>299</v>
      </c>
      <c r="E7488" s="8" t="s">
        <v>2410</v>
      </c>
      <c r="F7488" s="9">
        <f t="shared" si="669"/>
        <v>45721</v>
      </c>
      <c r="G7488" s="10">
        <f t="shared" si="664"/>
        <v>3</v>
      </c>
      <c r="H7488" s="10">
        <f t="shared" si="665"/>
        <v>2025</v>
      </c>
      <c r="I7488" s="8" t="s">
        <v>4</v>
      </c>
      <c r="J7488" s="7" t="s">
        <v>8050</v>
      </c>
      <c r="K7488" s="8" t="s">
        <v>422</v>
      </c>
      <c r="L7488" s="8" t="s">
        <v>423</v>
      </c>
      <c r="M7488" s="8" t="s">
        <v>119</v>
      </c>
      <c r="N7488" s="10" t="str">
        <f t="shared" si="670"/>
        <v>TON</v>
      </c>
      <c r="O7488" s="11">
        <v>15.0025</v>
      </c>
    </row>
    <row r="7489" spans="2:15" x14ac:dyDescent="0.25">
      <c r="B7489" s="6" t="s">
        <v>1520</v>
      </c>
      <c r="C7489" s="7" t="s">
        <v>196</v>
      </c>
      <c r="D7489" s="8" t="s">
        <v>331</v>
      </c>
      <c r="E7489" s="8" t="s">
        <v>432</v>
      </c>
      <c r="F7489" s="9">
        <f t="shared" si="669"/>
        <v>45721</v>
      </c>
      <c r="G7489" s="10">
        <f t="shared" si="664"/>
        <v>3</v>
      </c>
      <c r="H7489" s="10">
        <f t="shared" si="665"/>
        <v>2025</v>
      </c>
      <c r="I7489" s="8" t="s">
        <v>4</v>
      </c>
      <c r="J7489" s="7" t="s">
        <v>8051</v>
      </c>
      <c r="K7489" s="8" t="s">
        <v>329</v>
      </c>
      <c r="L7489" s="8" t="s">
        <v>330</v>
      </c>
      <c r="M7489" s="8" t="s">
        <v>119</v>
      </c>
      <c r="N7489" s="10" t="str">
        <f t="shared" si="670"/>
        <v>TON</v>
      </c>
      <c r="O7489" s="11">
        <v>15.012</v>
      </c>
    </row>
    <row r="7490" spans="2:15" x14ac:dyDescent="0.25">
      <c r="B7490" s="6" t="s">
        <v>1520</v>
      </c>
      <c r="C7490" s="7" t="s">
        <v>196</v>
      </c>
      <c r="D7490" s="8" t="s">
        <v>458</v>
      </c>
      <c r="E7490" s="8" t="s">
        <v>2278</v>
      </c>
      <c r="F7490" s="9">
        <f t="shared" si="669"/>
        <v>45721</v>
      </c>
      <c r="G7490" s="10">
        <f t="shared" si="664"/>
        <v>3</v>
      </c>
      <c r="H7490" s="10">
        <f t="shared" si="665"/>
        <v>2025</v>
      </c>
      <c r="I7490" s="8" t="s">
        <v>4</v>
      </c>
      <c r="J7490" s="7" t="s">
        <v>8052</v>
      </c>
      <c r="K7490" s="8" t="s">
        <v>251</v>
      </c>
      <c r="L7490" s="8" t="s">
        <v>252</v>
      </c>
      <c r="M7490" s="8" t="s">
        <v>119</v>
      </c>
      <c r="N7490" s="10" t="str">
        <f t="shared" si="670"/>
        <v>TON</v>
      </c>
      <c r="O7490" s="11">
        <v>5</v>
      </c>
    </row>
    <row r="7491" spans="2:15" x14ac:dyDescent="0.25">
      <c r="B7491" s="6" t="s">
        <v>1520</v>
      </c>
      <c r="C7491" s="7" t="s">
        <v>196</v>
      </c>
      <c r="D7491" s="8" t="s">
        <v>215</v>
      </c>
      <c r="E7491" s="8" t="s">
        <v>4113</v>
      </c>
      <c r="F7491" s="9">
        <f t="shared" si="669"/>
        <v>45721</v>
      </c>
      <c r="G7491" s="10">
        <f t="shared" si="664"/>
        <v>3</v>
      </c>
      <c r="H7491" s="10">
        <f t="shared" si="665"/>
        <v>2025</v>
      </c>
      <c r="I7491" s="8" t="s">
        <v>4</v>
      </c>
      <c r="J7491" s="7" t="s">
        <v>8053</v>
      </c>
      <c r="K7491" s="8" t="s">
        <v>205</v>
      </c>
      <c r="L7491" s="8" t="s">
        <v>206</v>
      </c>
      <c r="M7491" s="8" t="s">
        <v>119</v>
      </c>
      <c r="N7491" s="10" t="str">
        <f t="shared" si="670"/>
        <v>TON</v>
      </c>
      <c r="O7491" s="11">
        <v>4.0049999999999999</v>
      </c>
    </row>
    <row r="7492" spans="2:15" x14ac:dyDescent="0.25">
      <c r="B7492" s="6" t="s">
        <v>1520</v>
      </c>
      <c r="C7492" s="7" t="s">
        <v>196</v>
      </c>
      <c r="D7492" s="8" t="s">
        <v>4034</v>
      </c>
      <c r="E7492" s="8" t="s">
        <v>759</v>
      </c>
      <c r="F7492" s="9">
        <f t="shared" si="669"/>
        <v>45721</v>
      </c>
      <c r="G7492" s="10">
        <f t="shared" si="664"/>
        <v>3</v>
      </c>
      <c r="H7492" s="10">
        <f t="shared" si="665"/>
        <v>2025</v>
      </c>
      <c r="I7492" s="8" t="s">
        <v>4</v>
      </c>
      <c r="J7492" s="7" t="s">
        <v>8054</v>
      </c>
      <c r="K7492" s="8" t="s">
        <v>117</v>
      </c>
      <c r="L7492" s="8" t="s">
        <v>118</v>
      </c>
      <c r="M7492" s="8" t="s">
        <v>119</v>
      </c>
      <c r="N7492" s="10" t="str">
        <f t="shared" si="670"/>
        <v>TON</v>
      </c>
      <c r="O7492" s="11">
        <v>4.9924999999999997</v>
      </c>
    </row>
    <row r="7493" spans="2:15" x14ac:dyDescent="0.25">
      <c r="B7493" s="6" t="s">
        <v>1520</v>
      </c>
      <c r="C7493" s="7" t="s">
        <v>196</v>
      </c>
      <c r="D7493" s="8" t="s">
        <v>1276</v>
      </c>
      <c r="E7493" s="8" t="s">
        <v>791</v>
      </c>
      <c r="F7493" s="9">
        <f t="shared" si="669"/>
        <v>45721</v>
      </c>
      <c r="G7493" s="10">
        <f t="shared" si="664"/>
        <v>3</v>
      </c>
      <c r="H7493" s="10">
        <f t="shared" si="665"/>
        <v>2025</v>
      </c>
      <c r="I7493" s="8" t="s">
        <v>4</v>
      </c>
      <c r="J7493" s="7" t="s">
        <v>8055</v>
      </c>
      <c r="K7493" s="8" t="s">
        <v>117</v>
      </c>
      <c r="L7493" s="8" t="s">
        <v>118</v>
      </c>
      <c r="M7493" s="8" t="s">
        <v>119</v>
      </c>
      <c r="N7493" s="10" t="str">
        <f t="shared" si="670"/>
        <v>TON</v>
      </c>
      <c r="O7493" s="11">
        <v>5.0149999999999997</v>
      </c>
    </row>
    <row r="7494" spans="2:15" x14ac:dyDescent="0.25">
      <c r="B7494" s="6" t="s">
        <v>1520</v>
      </c>
      <c r="C7494" s="7" t="s">
        <v>196</v>
      </c>
      <c r="D7494" s="8" t="s">
        <v>215</v>
      </c>
      <c r="E7494" s="8" t="s">
        <v>4113</v>
      </c>
      <c r="F7494" s="9">
        <f t="shared" si="669"/>
        <v>45721</v>
      </c>
      <c r="G7494" s="10">
        <f t="shared" si="664"/>
        <v>3</v>
      </c>
      <c r="H7494" s="10">
        <f t="shared" si="665"/>
        <v>2025</v>
      </c>
      <c r="I7494" s="8" t="s">
        <v>4</v>
      </c>
      <c r="J7494" s="7" t="s">
        <v>8056</v>
      </c>
      <c r="K7494" s="8" t="s">
        <v>7772</v>
      </c>
      <c r="L7494" s="8" t="s">
        <v>7773</v>
      </c>
      <c r="M7494" s="8" t="s">
        <v>119</v>
      </c>
      <c r="N7494" s="10" t="str">
        <f t="shared" si="670"/>
        <v>TON</v>
      </c>
      <c r="O7494" s="11">
        <v>5.0049999999999999</v>
      </c>
    </row>
    <row r="7495" spans="2:15" x14ac:dyDescent="0.25">
      <c r="B7495" s="6" t="s">
        <v>1520</v>
      </c>
      <c r="C7495" s="7" t="s">
        <v>196</v>
      </c>
      <c r="D7495" s="8" t="s">
        <v>299</v>
      </c>
      <c r="E7495" s="8" t="s">
        <v>300</v>
      </c>
      <c r="F7495" s="9">
        <f>DATE(2025,3,6)</f>
        <v>45722</v>
      </c>
      <c r="G7495" s="10">
        <f t="shared" si="664"/>
        <v>3</v>
      </c>
      <c r="H7495" s="10">
        <f t="shared" si="665"/>
        <v>2025</v>
      </c>
      <c r="I7495" s="8" t="s">
        <v>4</v>
      </c>
      <c r="J7495" s="7" t="s">
        <v>8057</v>
      </c>
      <c r="K7495" s="8" t="s">
        <v>422</v>
      </c>
      <c r="L7495" s="8" t="s">
        <v>423</v>
      </c>
      <c r="M7495" s="8" t="s">
        <v>119</v>
      </c>
      <c r="N7495" s="10" t="str">
        <f t="shared" si="670"/>
        <v>TON</v>
      </c>
      <c r="O7495" s="11">
        <v>12.065</v>
      </c>
    </row>
    <row r="7496" spans="2:15" x14ac:dyDescent="0.25">
      <c r="B7496" s="6" t="s">
        <v>1520</v>
      </c>
      <c r="C7496" s="7" t="s">
        <v>196</v>
      </c>
      <c r="D7496" s="8" t="s">
        <v>440</v>
      </c>
      <c r="E7496" s="8" t="s">
        <v>1369</v>
      </c>
      <c r="F7496" s="9">
        <f>DATE(2025,3,6)</f>
        <v>45722</v>
      </c>
      <c r="G7496" s="10">
        <f t="shared" si="664"/>
        <v>3</v>
      </c>
      <c r="H7496" s="10">
        <f t="shared" si="665"/>
        <v>2025</v>
      </c>
      <c r="I7496" s="8" t="s">
        <v>4</v>
      </c>
      <c r="J7496" s="7" t="s">
        <v>8058</v>
      </c>
      <c r="K7496" s="8" t="s">
        <v>251</v>
      </c>
      <c r="L7496" s="8" t="s">
        <v>252</v>
      </c>
      <c r="M7496" s="8" t="s">
        <v>119</v>
      </c>
      <c r="N7496" s="10" t="str">
        <f t="shared" si="670"/>
        <v>TON</v>
      </c>
      <c r="O7496" s="11">
        <v>5</v>
      </c>
    </row>
    <row r="7497" spans="2:15" x14ac:dyDescent="0.25">
      <c r="B7497" s="6" t="s">
        <v>1520</v>
      </c>
      <c r="C7497" s="7" t="s">
        <v>196</v>
      </c>
      <c r="D7497" s="8" t="s">
        <v>1343</v>
      </c>
      <c r="E7497" s="8" t="s">
        <v>3729</v>
      </c>
      <c r="F7497" s="9">
        <f>DATE(2025,3,6)</f>
        <v>45722</v>
      </c>
      <c r="G7497" s="10">
        <f t="shared" si="664"/>
        <v>3</v>
      </c>
      <c r="H7497" s="10">
        <f t="shared" si="665"/>
        <v>2025</v>
      </c>
      <c r="I7497" s="8" t="s">
        <v>4</v>
      </c>
      <c r="J7497" s="7" t="s">
        <v>8059</v>
      </c>
      <c r="K7497" s="8" t="s">
        <v>251</v>
      </c>
      <c r="L7497" s="8" t="s">
        <v>252</v>
      </c>
      <c r="M7497" s="8" t="s">
        <v>119</v>
      </c>
      <c r="N7497" s="10" t="str">
        <f t="shared" si="670"/>
        <v>TON</v>
      </c>
      <c r="O7497" s="11">
        <v>15.015000000000001</v>
      </c>
    </row>
    <row r="7498" spans="2:15" x14ac:dyDescent="0.25">
      <c r="B7498" s="6" t="s">
        <v>1520</v>
      </c>
      <c r="C7498" s="7" t="s">
        <v>196</v>
      </c>
      <c r="D7498" s="8" t="s">
        <v>1343</v>
      </c>
      <c r="E7498" s="8" t="s">
        <v>4151</v>
      </c>
      <c r="F7498" s="9">
        <f>DATE(2025,3,6)</f>
        <v>45722</v>
      </c>
      <c r="G7498" s="10">
        <f t="shared" si="664"/>
        <v>3</v>
      </c>
      <c r="H7498" s="10">
        <f t="shared" si="665"/>
        <v>2025</v>
      </c>
      <c r="I7498" s="8" t="s">
        <v>4</v>
      </c>
      <c r="J7498" s="7" t="s">
        <v>8060</v>
      </c>
      <c r="K7498" s="8" t="s">
        <v>251</v>
      </c>
      <c r="L7498" s="8" t="s">
        <v>252</v>
      </c>
      <c r="M7498" s="8" t="s">
        <v>119</v>
      </c>
      <c r="N7498" s="10" t="str">
        <f t="shared" si="670"/>
        <v>TON</v>
      </c>
      <c r="O7498" s="11">
        <v>15.007</v>
      </c>
    </row>
    <row r="7499" spans="2:15" x14ac:dyDescent="0.25">
      <c r="B7499" s="6" t="s">
        <v>1520</v>
      </c>
      <c r="C7499" s="7" t="s">
        <v>196</v>
      </c>
      <c r="D7499" s="8" t="s">
        <v>310</v>
      </c>
      <c r="E7499" s="8" t="s">
        <v>426</v>
      </c>
      <c r="F7499" s="9">
        <f>DATE(2025,3,6)</f>
        <v>45722</v>
      </c>
      <c r="G7499" s="10">
        <f t="shared" si="664"/>
        <v>3</v>
      </c>
      <c r="H7499" s="10">
        <f t="shared" si="665"/>
        <v>2025</v>
      </c>
      <c r="I7499" s="8" t="s">
        <v>4</v>
      </c>
      <c r="J7499" s="7" t="s">
        <v>8061</v>
      </c>
      <c r="K7499" s="8" t="s">
        <v>329</v>
      </c>
      <c r="L7499" s="8" t="s">
        <v>330</v>
      </c>
      <c r="M7499" s="8" t="s">
        <v>119</v>
      </c>
      <c r="N7499" s="10" t="str">
        <f t="shared" si="670"/>
        <v>TON</v>
      </c>
      <c r="O7499" s="11">
        <v>3</v>
      </c>
    </row>
    <row r="7500" spans="2:15" x14ac:dyDescent="0.25">
      <c r="B7500" s="6" t="s">
        <v>1520</v>
      </c>
      <c r="C7500" s="7" t="s">
        <v>196</v>
      </c>
      <c r="D7500" s="8" t="s">
        <v>280</v>
      </c>
      <c r="E7500" s="8" t="s">
        <v>1308</v>
      </c>
      <c r="F7500" s="9">
        <f t="shared" ref="F7500:F7506" si="671">DATE(2025,3,7)</f>
        <v>45723</v>
      </c>
      <c r="G7500" s="10">
        <f t="shared" si="664"/>
        <v>3</v>
      </c>
      <c r="H7500" s="10">
        <f t="shared" si="665"/>
        <v>2025</v>
      </c>
      <c r="I7500" s="8" t="s">
        <v>4</v>
      </c>
      <c r="J7500" s="7" t="s">
        <v>8062</v>
      </c>
      <c r="K7500" s="8" t="s">
        <v>422</v>
      </c>
      <c r="L7500" s="8" t="s">
        <v>423</v>
      </c>
      <c r="M7500" s="8" t="s">
        <v>119</v>
      </c>
      <c r="N7500" s="10" t="str">
        <f t="shared" si="670"/>
        <v>TON</v>
      </c>
      <c r="O7500" s="11">
        <v>10</v>
      </c>
    </row>
    <row r="7501" spans="2:15" x14ac:dyDescent="0.25">
      <c r="B7501" s="6" t="s">
        <v>1520</v>
      </c>
      <c r="C7501" s="7" t="s">
        <v>196</v>
      </c>
      <c r="D7501" s="8" t="s">
        <v>280</v>
      </c>
      <c r="E7501" s="8" t="s">
        <v>364</v>
      </c>
      <c r="F7501" s="9">
        <f t="shared" si="671"/>
        <v>45723</v>
      </c>
      <c r="G7501" s="10">
        <f t="shared" si="664"/>
        <v>3</v>
      </c>
      <c r="H7501" s="10">
        <f t="shared" si="665"/>
        <v>2025</v>
      </c>
      <c r="I7501" s="8" t="s">
        <v>4</v>
      </c>
      <c r="J7501" s="7" t="s">
        <v>8063</v>
      </c>
      <c r="K7501" s="8" t="s">
        <v>422</v>
      </c>
      <c r="L7501" s="8" t="s">
        <v>423</v>
      </c>
      <c r="M7501" s="8" t="s">
        <v>119</v>
      </c>
      <c r="N7501" s="10" t="str">
        <f t="shared" si="670"/>
        <v>TON</v>
      </c>
      <c r="O7501" s="11">
        <v>15</v>
      </c>
    </row>
    <row r="7502" spans="2:15" x14ac:dyDescent="0.25">
      <c r="B7502" s="6" t="s">
        <v>1520</v>
      </c>
      <c r="C7502" s="7" t="s">
        <v>196</v>
      </c>
      <c r="D7502" s="8" t="s">
        <v>280</v>
      </c>
      <c r="E7502" s="8" t="s">
        <v>254</v>
      </c>
      <c r="F7502" s="9">
        <f t="shared" si="671"/>
        <v>45723</v>
      </c>
      <c r="G7502" s="10">
        <f t="shared" si="664"/>
        <v>3</v>
      </c>
      <c r="H7502" s="10">
        <f t="shared" si="665"/>
        <v>2025</v>
      </c>
      <c r="I7502" s="8" t="s">
        <v>4</v>
      </c>
      <c r="J7502" s="7" t="s">
        <v>8064</v>
      </c>
      <c r="K7502" s="8" t="s">
        <v>422</v>
      </c>
      <c r="L7502" s="8" t="s">
        <v>423</v>
      </c>
      <c r="M7502" s="8" t="s">
        <v>119</v>
      </c>
      <c r="N7502" s="10" t="str">
        <f t="shared" si="670"/>
        <v>TON</v>
      </c>
      <c r="O7502" s="11">
        <v>15.015000000000001</v>
      </c>
    </row>
    <row r="7503" spans="2:15" x14ac:dyDescent="0.25">
      <c r="B7503" s="6" t="s">
        <v>1520</v>
      </c>
      <c r="C7503" s="7" t="s">
        <v>196</v>
      </c>
      <c r="D7503" s="8" t="s">
        <v>3761</v>
      </c>
      <c r="E7503" s="8" t="s">
        <v>3762</v>
      </c>
      <c r="F7503" s="9">
        <f t="shared" si="671"/>
        <v>45723</v>
      </c>
      <c r="G7503" s="10">
        <f t="shared" si="664"/>
        <v>3</v>
      </c>
      <c r="H7503" s="10">
        <f t="shared" si="665"/>
        <v>2025</v>
      </c>
      <c r="I7503" s="8" t="s">
        <v>4</v>
      </c>
      <c r="J7503" s="7" t="s">
        <v>8065</v>
      </c>
      <c r="K7503" s="8" t="s">
        <v>329</v>
      </c>
      <c r="L7503" s="8" t="s">
        <v>330</v>
      </c>
      <c r="M7503" s="8" t="s">
        <v>119</v>
      </c>
      <c r="N7503" s="10" t="str">
        <f t="shared" si="670"/>
        <v>TON</v>
      </c>
      <c r="O7503" s="11">
        <v>12.5175</v>
      </c>
    </row>
    <row r="7504" spans="2:15" x14ac:dyDescent="0.25">
      <c r="B7504" s="6" t="s">
        <v>1520</v>
      </c>
      <c r="C7504" s="7" t="s">
        <v>196</v>
      </c>
      <c r="D7504" s="8" t="s">
        <v>6651</v>
      </c>
      <c r="E7504" s="8" t="s">
        <v>6652</v>
      </c>
      <c r="F7504" s="9">
        <f t="shared" si="671"/>
        <v>45723</v>
      </c>
      <c r="G7504" s="10">
        <f t="shared" si="664"/>
        <v>3</v>
      </c>
      <c r="H7504" s="10">
        <f t="shared" si="665"/>
        <v>2025</v>
      </c>
      <c r="I7504" s="8" t="s">
        <v>4</v>
      </c>
      <c r="J7504" s="7" t="s">
        <v>8066</v>
      </c>
      <c r="K7504" s="8" t="s">
        <v>329</v>
      </c>
      <c r="L7504" s="8" t="s">
        <v>330</v>
      </c>
      <c r="M7504" s="8" t="s">
        <v>119</v>
      </c>
      <c r="N7504" s="10" t="str">
        <f t="shared" si="670"/>
        <v>TON</v>
      </c>
      <c r="O7504" s="11">
        <v>2.5074999999999998</v>
      </c>
    </row>
    <row r="7505" spans="2:15" x14ac:dyDescent="0.25">
      <c r="B7505" s="6" t="s">
        <v>1520</v>
      </c>
      <c r="C7505" s="7" t="s">
        <v>196</v>
      </c>
      <c r="D7505" s="8" t="s">
        <v>248</v>
      </c>
      <c r="E7505" s="8" t="s">
        <v>3610</v>
      </c>
      <c r="F7505" s="9">
        <f t="shared" si="671"/>
        <v>45723</v>
      </c>
      <c r="G7505" s="10">
        <f t="shared" si="664"/>
        <v>3</v>
      </c>
      <c r="H7505" s="10">
        <f t="shared" si="665"/>
        <v>2025</v>
      </c>
      <c r="I7505" s="8" t="s">
        <v>4</v>
      </c>
      <c r="J7505" s="7" t="s">
        <v>8067</v>
      </c>
      <c r="K7505" s="8" t="s">
        <v>251</v>
      </c>
      <c r="L7505" s="8" t="s">
        <v>252</v>
      </c>
      <c r="M7505" s="8" t="s">
        <v>119</v>
      </c>
      <c r="N7505" s="10" t="str">
        <f t="shared" si="670"/>
        <v>TON</v>
      </c>
      <c r="O7505" s="11">
        <v>7.5149999999999997</v>
      </c>
    </row>
    <row r="7506" spans="2:15" x14ac:dyDescent="0.25">
      <c r="B7506" s="6" t="s">
        <v>1520</v>
      </c>
      <c r="C7506" s="7" t="s">
        <v>196</v>
      </c>
      <c r="D7506" s="8" t="s">
        <v>800</v>
      </c>
      <c r="E7506" s="8" t="s">
        <v>911</v>
      </c>
      <c r="F7506" s="9">
        <f t="shared" si="671"/>
        <v>45723</v>
      </c>
      <c r="G7506" s="10">
        <f t="shared" ref="G7506:G7569" si="672">+MONTH(F7506)</f>
        <v>3</v>
      </c>
      <c r="H7506" s="10">
        <f t="shared" ref="H7506:H7569" si="673">+YEAR(F7506)</f>
        <v>2025</v>
      </c>
      <c r="I7506" s="8" t="s">
        <v>4</v>
      </c>
      <c r="J7506" s="7" t="s">
        <v>8068</v>
      </c>
      <c r="K7506" s="8" t="s">
        <v>122</v>
      </c>
      <c r="L7506" s="8" t="s">
        <v>123</v>
      </c>
      <c r="M7506" s="8" t="s">
        <v>119</v>
      </c>
      <c r="N7506" s="10" t="str">
        <f t="shared" si="670"/>
        <v>TON</v>
      </c>
      <c r="O7506" s="11">
        <v>1.51</v>
      </c>
    </row>
    <row r="7507" spans="2:15" x14ac:dyDescent="0.25">
      <c r="B7507" s="6" t="s">
        <v>1520</v>
      </c>
      <c r="C7507" s="7" t="s">
        <v>196</v>
      </c>
      <c r="D7507" s="8" t="s">
        <v>276</v>
      </c>
      <c r="E7507" s="8" t="s">
        <v>692</v>
      </c>
      <c r="F7507" s="9">
        <f t="shared" ref="F7507:F7513" si="674">DATE(2025,3,10)</f>
        <v>45726</v>
      </c>
      <c r="G7507" s="10">
        <f t="shared" si="672"/>
        <v>3</v>
      </c>
      <c r="H7507" s="10">
        <f t="shared" si="673"/>
        <v>2025</v>
      </c>
      <c r="I7507" s="8" t="s">
        <v>4</v>
      </c>
      <c r="J7507" s="7" t="s">
        <v>8069</v>
      </c>
      <c r="K7507" s="8" t="s">
        <v>329</v>
      </c>
      <c r="L7507" s="8" t="s">
        <v>330</v>
      </c>
      <c r="M7507" s="8" t="s">
        <v>119</v>
      </c>
      <c r="N7507" s="10" t="str">
        <f t="shared" si="670"/>
        <v>TON</v>
      </c>
      <c r="O7507" s="11">
        <v>8.0150000000000006</v>
      </c>
    </row>
    <row r="7508" spans="2:15" x14ac:dyDescent="0.25">
      <c r="B7508" s="6" t="s">
        <v>1520</v>
      </c>
      <c r="C7508" s="7" t="s">
        <v>196</v>
      </c>
      <c r="D7508" s="8" t="s">
        <v>241</v>
      </c>
      <c r="E7508" s="8" t="s">
        <v>258</v>
      </c>
      <c r="F7508" s="9">
        <f t="shared" si="674"/>
        <v>45726</v>
      </c>
      <c r="G7508" s="10">
        <f t="shared" si="672"/>
        <v>3</v>
      </c>
      <c r="H7508" s="10">
        <f t="shared" si="673"/>
        <v>2025</v>
      </c>
      <c r="I7508" s="8" t="s">
        <v>4</v>
      </c>
      <c r="J7508" s="7" t="s">
        <v>8070</v>
      </c>
      <c r="K7508" s="8" t="s">
        <v>3458</v>
      </c>
      <c r="L7508" s="8" t="s">
        <v>3459</v>
      </c>
      <c r="M7508" s="8" t="s">
        <v>119</v>
      </c>
      <c r="N7508" s="10" t="str">
        <f t="shared" si="670"/>
        <v>TON</v>
      </c>
      <c r="O7508" s="11">
        <v>2.27</v>
      </c>
    </row>
    <row r="7509" spans="2:15" x14ac:dyDescent="0.25">
      <c r="B7509" s="6" t="s">
        <v>1520</v>
      </c>
      <c r="C7509" s="7" t="s">
        <v>196</v>
      </c>
      <c r="D7509" s="8" t="s">
        <v>317</v>
      </c>
      <c r="E7509" s="8" t="s">
        <v>319</v>
      </c>
      <c r="F7509" s="9">
        <f t="shared" si="674"/>
        <v>45726</v>
      </c>
      <c r="G7509" s="10">
        <f t="shared" si="672"/>
        <v>3</v>
      </c>
      <c r="H7509" s="10">
        <f t="shared" si="673"/>
        <v>2025</v>
      </c>
      <c r="I7509" s="8" t="s">
        <v>4</v>
      </c>
      <c r="J7509" s="7" t="s">
        <v>8071</v>
      </c>
      <c r="K7509" s="8" t="s">
        <v>422</v>
      </c>
      <c r="L7509" s="8" t="s">
        <v>423</v>
      </c>
      <c r="M7509" s="8" t="s">
        <v>119</v>
      </c>
      <c r="N7509" s="10" t="str">
        <f t="shared" si="670"/>
        <v>TON</v>
      </c>
      <c r="O7509" s="11">
        <v>7.5149999999999997</v>
      </c>
    </row>
    <row r="7510" spans="2:15" x14ac:dyDescent="0.25">
      <c r="B7510" s="6" t="s">
        <v>1520</v>
      </c>
      <c r="C7510" s="7" t="s">
        <v>196</v>
      </c>
      <c r="D7510" s="8" t="s">
        <v>215</v>
      </c>
      <c r="E7510" s="8" t="s">
        <v>4113</v>
      </c>
      <c r="F7510" s="9">
        <f t="shared" si="674"/>
        <v>45726</v>
      </c>
      <c r="G7510" s="10">
        <f t="shared" si="672"/>
        <v>3</v>
      </c>
      <c r="H7510" s="10">
        <f t="shared" si="673"/>
        <v>2025</v>
      </c>
      <c r="I7510" s="8" t="s">
        <v>4</v>
      </c>
      <c r="J7510" s="7" t="s">
        <v>8072</v>
      </c>
      <c r="K7510" s="8" t="s">
        <v>7772</v>
      </c>
      <c r="L7510" s="8" t="s">
        <v>7773</v>
      </c>
      <c r="M7510" s="8" t="s">
        <v>119</v>
      </c>
      <c r="N7510" s="10" t="str">
        <f t="shared" si="670"/>
        <v>TON</v>
      </c>
      <c r="O7510" s="11">
        <v>12.505000000000001</v>
      </c>
    </row>
    <row r="7511" spans="2:15" x14ac:dyDescent="0.25">
      <c r="B7511" s="6" t="s">
        <v>1520</v>
      </c>
      <c r="C7511" s="7" t="s">
        <v>196</v>
      </c>
      <c r="D7511" s="8" t="s">
        <v>444</v>
      </c>
      <c r="E7511" s="8" t="s">
        <v>686</v>
      </c>
      <c r="F7511" s="9">
        <f t="shared" si="674"/>
        <v>45726</v>
      </c>
      <c r="G7511" s="10">
        <f t="shared" si="672"/>
        <v>3</v>
      </c>
      <c r="H7511" s="10">
        <f t="shared" si="673"/>
        <v>2025</v>
      </c>
      <c r="I7511" s="8" t="s">
        <v>4</v>
      </c>
      <c r="J7511" s="7" t="s">
        <v>8073</v>
      </c>
      <c r="K7511" s="8" t="s">
        <v>394</v>
      </c>
      <c r="L7511" s="8" t="s">
        <v>395</v>
      </c>
      <c r="M7511" s="8" t="s">
        <v>119</v>
      </c>
      <c r="N7511" s="10" t="str">
        <f t="shared" si="670"/>
        <v>TON</v>
      </c>
      <c r="O7511" s="11">
        <v>2</v>
      </c>
    </row>
    <row r="7512" spans="2:15" x14ac:dyDescent="0.25">
      <c r="B7512" s="6" t="s">
        <v>1520</v>
      </c>
      <c r="C7512" s="7" t="s">
        <v>196</v>
      </c>
      <c r="D7512" s="8" t="s">
        <v>387</v>
      </c>
      <c r="E7512" s="8" t="s">
        <v>797</v>
      </c>
      <c r="F7512" s="9">
        <f t="shared" si="674"/>
        <v>45726</v>
      </c>
      <c r="G7512" s="10">
        <f t="shared" si="672"/>
        <v>3</v>
      </c>
      <c r="H7512" s="10">
        <f t="shared" si="673"/>
        <v>2025</v>
      </c>
      <c r="I7512" s="8" t="s">
        <v>4</v>
      </c>
      <c r="J7512" s="7" t="s">
        <v>8074</v>
      </c>
      <c r="K7512" s="8" t="s">
        <v>251</v>
      </c>
      <c r="L7512" s="8" t="s">
        <v>252</v>
      </c>
      <c r="M7512" s="8" t="s">
        <v>119</v>
      </c>
      <c r="N7512" s="10" t="str">
        <f t="shared" si="670"/>
        <v>TON</v>
      </c>
      <c r="O7512" s="11">
        <v>10.012499999999999</v>
      </c>
    </row>
    <row r="7513" spans="2:15" x14ac:dyDescent="0.25">
      <c r="B7513" s="6" t="s">
        <v>1520</v>
      </c>
      <c r="C7513" s="7" t="s">
        <v>196</v>
      </c>
      <c r="D7513" s="8" t="s">
        <v>114</v>
      </c>
      <c r="E7513" s="8" t="s">
        <v>927</v>
      </c>
      <c r="F7513" s="9">
        <f t="shared" si="674"/>
        <v>45726</v>
      </c>
      <c r="G7513" s="10">
        <f t="shared" si="672"/>
        <v>3</v>
      </c>
      <c r="H7513" s="10">
        <f t="shared" si="673"/>
        <v>2025</v>
      </c>
      <c r="I7513" s="8" t="s">
        <v>4</v>
      </c>
      <c r="J7513" s="7" t="s">
        <v>8075</v>
      </c>
      <c r="K7513" s="8" t="s">
        <v>422</v>
      </c>
      <c r="L7513" s="8" t="s">
        <v>423</v>
      </c>
      <c r="M7513" s="8" t="s">
        <v>119</v>
      </c>
      <c r="N7513" s="10" t="str">
        <f t="shared" si="670"/>
        <v>TON</v>
      </c>
      <c r="O7513" s="11">
        <v>8.7624999999999993</v>
      </c>
    </row>
    <row r="7514" spans="2:15" x14ac:dyDescent="0.25">
      <c r="B7514" s="6" t="s">
        <v>1520</v>
      </c>
      <c r="C7514" s="7" t="s">
        <v>196</v>
      </c>
      <c r="D7514" s="8" t="s">
        <v>800</v>
      </c>
      <c r="E7514" s="8" t="s">
        <v>8076</v>
      </c>
      <c r="F7514" s="9">
        <f t="shared" ref="F7514:F7519" si="675">DATE(2025,3,11)</f>
        <v>45727</v>
      </c>
      <c r="G7514" s="10">
        <f t="shared" si="672"/>
        <v>3</v>
      </c>
      <c r="H7514" s="10">
        <f t="shared" si="673"/>
        <v>2025</v>
      </c>
      <c r="I7514" s="8" t="s">
        <v>4</v>
      </c>
      <c r="J7514" s="7" t="s">
        <v>8077</v>
      </c>
      <c r="K7514" s="8" t="s">
        <v>205</v>
      </c>
      <c r="L7514" s="8" t="s">
        <v>206</v>
      </c>
      <c r="M7514" s="8" t="s">
        <v>119</v>
      </c>
      <c r="N7514" s="10" t="str">
        <f t="shared" si="670"/>
        <v>TON</v>
      </c>
      <c r="O7514" s="11">
        <v>2.0249999999999999</v>
      </c>
    </row>
    <row r="7515" spans="2:15" x14ac:dyDescent="0.25">
      <c r="B7515" s="6" t="s">
        <v>1520</v>
      </c>
      <c r="C7515" s="7" t="s">
        <v>196</v>
      </c>
      <c r="D7515" s="8" t="s">
        <v>114</v>
      </c>
      <c r="E7515" s="8" t="s">
        <v>369</v>
      </c>
      <c r="F7515" s="9">
        <f t="shared" si="675"/>
        <v>45727</v>
      </c>
      <c r="G7515" s="10">
        <f t="shared" si="672"/>
        <v>3</v>
      </c>
      <c r="H7515" s="10">
        <f t="shared" si="673"/>
        <v>2025</v>
      </c>
      <c r="I7515" s="8" t="s">
        <v>4</v>
      </c>
      <c r="J7515" s="7" t="s">
        <v>8078</v>
      </c>
      <c r="K7515" s="8" t="s">
        <v>422</v>
      </c>
      <c r="L7515" s="8" t="s">
        <v>423</v>
      </c>
      <c r="M7515" s="8" t="s">
        <v>119</v>
      </c>
      <c r="N7515" s="10" t="str">
        <f t="shared" si="670"/>
        <v>TON</v>
      </c>
      <c r="O7515" s="11">
        <v>2.0375000000000001</v>
      </c>
    </row>
    <row r="7516" spans="2:15" x14ac:dyDescent="0.25">
      <c r="B7516" s="6" t="s">
        <v>1520</v>
      </c>
      <c r="C7516" s="7" t="s">
        <v>196</v>
      </c>
      <c r="D7516" s="8" t="s">
        <v>280</v>
      </c>
      <c r="E7516" s="8" t="s">
        <v>254</v>
      </c>
      <c r="F7516" s="9">
        <f t="shared" si="675"/>
        <v>45727</v>
      </c>
      <c r="G7516" s="10">
        <f t="shared" si="672"/>
        <v>3</v>
      </c>
      <c r="H7516" s="10">
        <f t="shared" si="673"/>
        <v>2025</v>
      </c>
      <c r="I7516" s="8" t="s">
        <v>4</v>
      </c>
      <c r="J7516" s="7" t="s">
        <v>8079</v>
      </c>
      <c r="K7516" s="8" t="s">
        <v>422</v>
      </c>
      <c r="L7516" s="8" t="s">
        <v>423</v>
      </c>
      <c r="M7516" s="8" t="s">
        <v>119</v>
      </c>
      <c r="N7516" s="10" t="str">
        <f t="shared" si="670"/>
        <v>TON</v>
      </c>
      <c r="O7516" s="11">
        <v>12.545</v>
      </c>
    </row>
    <row r="7517" spans="2:15" x14ac:dyDescent="0.25">
      <c r="B7517" s="6" t="s">
        <v>1520</v>
      </c>
      <c r="C7517" s="7" t="s">
        <v>196</v>
      </c>
      <c r="D7517" s="8" t="s">
        <v>303</v>
      </c>
      <c r="E7517" s="8" t="s">
        <v>1998</v>
      </c>
      <c r="F7517" s="9">
        <f t="shared" si="675"/>
        <v>45727</v>
      </c>
      <c r="G7517" s="10">
        <f t="shared" si="672"/>
        <v>3</v>
      </c>
      <c r="H7517" s="10">
        <f t="shared" si="673"/>
        <v>2025</v>
      </c>
      <c r="I7517" s="8" t="s">
        <v>4</v>
      </c>
      <c r="J7517" s="7" t="s">
        <v>8080</v>
      </c>
      <c r="K7517" s="8" t="s">
        <v>3726</v>
      </c>
      <c r="L7517" s="8" t="s">
        <v>3727</v>
      </c>
      <c r="M7517" s="8" t="s">
        <v>145</v>
      </c>
      <c r="N7517" s="10" t="str">
        <f t="shared" si="670"/>
        <v>GAL</v>
      </c>
      <c r="O7517" s="11">
        <v>0.9375</v>
      </c>
    </row>
    <row r="7518" spans="2:15" x14ac:dyDescent="0.25">
      <c r="B7518" s="6" t="s">
        <v>1520</v>
      </c>
      <c r="C7518" s="7" t="s">
        <v>196</v>
      </c>
      <c r="D7518" s="8" t="s">
        <v>303</v>
      </c>
      <c r="E7518" s="8" t="s">
        <v>1998</v>
      </c>
      <c r="F7518" s="9">
        <f t="shared" si="675"/>
        <v>45727</v>
      </c>
      <c r="G7518" s="10">
        <f t="shared" si="672"/>
        <v>3</v>
      </c>
      <c r="H7518" s="10">
        <f t="shared" si="673"/>
        <v>2025</v>
      </c>
      <c r="I7518" s="8" t="s">
        <v>4</v>
      </c>
      <c r="J7518" s="7" t="s">
        <v>8080</v>
      </c>
      <c r="K7518" s="8" t="s">
        <v>7549</v>
      </c>
      <c r="L7518" s="8" t="s">
        <v>7550</v>
      </c>
      <c r="M7518" s="8" t="s">
        <v>119</v>
      </c>
      <c r="N7518" s="10" t="str">
        <f t="shared" si="670"/>
        <v>TON</v>
      </c>
      <c r="O7518" s="11">
        <v>2.5125000000000002</v>
      </c>
    </row>
    <row r="7519" spans="2:15" x14ac:dyDescent="0.25">
      <c r="B7519" s="6" t="s">
        <v>1520</v>
      </c>
      <c r="C7519" s="7" t="s">
        <v>196</v>
      </c>
      <c r="D7519" s="8" t="s">
        <v>232</v>
      </c>
      <c r="E7519" s="8" t="s">
        <v>778</v>
      </c>
      <c r="F7519" s="9">
        <f t="shared" si="675"/>
        <v>45727</v>
      </c>
      <c r="G7519" s="10">
        <f t="shared" si="672"/>
        <v>3</v>
      </c>
      <c r="H7519" s="10">
        <f t="shared" si="673"/>
        <v>2025</v>
      </c>
      <c r="I7519" s="8" t="s">
        <v>4</v>
      </c>
      <c r="J7519" s="7" t="s">
        <v>8081</v>
      </c>
      <c r="K7519" s="8" t="s">
        <v>205</v>
      </c>
      <c r="L7519" s="8" t="s">
        <v>206</v>
      </c>
      <c r="M7519" s="8" t="s">
        <v>119</v>
      </c>
      <c r="N7519" s="10" t="str">
        <f t="shared" si="670"/>
        <v>TON</v>
      </c>
      <c r="O7519" s="11">
        <v>15</v>
      </c>
    </row>
    <row r="7520" spans="2:15" x14ac:dyDescent="0.25">
      <c r="B7520" s="6" t="s">
        <v>1520</v>
      </c>
      <c r="C7520" s="7" t="s">
        <v>196</v>
      </c>
      <c r="D7520" s="8" t="s">
        <v>8082</v>
      </c>
      <c r="E7520" s="8" t="s">
        <v>8083</v>
      </c>
      <c r="F7520" s="9">
        <f t="shared" ref="F7520:F7528" si="676">DATE(2025,3,12)</f>
        <v>45728</v>
      </c>
      <c r="G7520" s="10">
        <f t="shared" si="672"/>
        <v>3</v>
      </c>
      <c r="H7520" s="10">
        <f t="shared" si="673"/>
        <v>2025</v>
      </c>
      <c r="I7520" s="8" t="s">
        <v>4</v>
      </c>
      <c r="J7520" s="7" t="s">
        <v>8084</v>
      </c>
      <c r="K7520" s="8" t="s">
        <v>3531</v>
      </c>
      <c r="L7520" s="8" t="s">
        <v>932</v>
      </c>
      <c r="M7520" s="8" t="s">
        <v>41</v>
      </c>
      <c r="N7520" s="10" t="str">
        <f t="shared" si="670"/>
        <v>GAL</v>
      </c>
      <c r="O7520" s="11">
        <v>250</v>
      </c>
    </row>
    <row r="7521" spans="2:15" x14ac:dyDescent="0.25">
      <c r="B7521" s="6" t="s">
        <v>1520</v>
      </c>
      <c r="C7521" s="7" t="s">
        <v>196</v>
      </c>
      <c r="D7521" s="8" t="s">
        <v>265</v>
      </c>
      <c r="E7521" s="8" t="s">
        <v>266</v>
      </c>
      <c r="F7521" s="9">
        <f t="shared" si="676"/>
        <v>45728</v>
      </c>
      <c r="G7521" s="10">
        <f t="shared" si="672"/>
        <v>3</v>
      </c>
      <c r="H7521" s="10">
        <f t="shared" si="673"/>
        <v>2025</v>
      </c>
      <c r="I7521" s="8" t="s">
        <v>4</v>
      </c>
      <c r="J7521" s="7" t="s">
        <v>8085</v>
      </c>
      <c r="K7521" s="8" t="s">
        <v>268</v>
      </c>
      <c r="L7521" s="8" t="s">
        <v>269</v>
      </c>
      <c r="M7521" s="8" t="s">
        <v>119</v>
      </c>
      <c r="N7521" s="10" t="str">
        <f t="shared" si="670"/>
        <v>TON</v>
      </c>
      <c r="O7521" s="11">
        <v>0.15</v>
      </c>
    </row>
    <row r="7522" spans="2:15" x14ac:dyDescent="0.25">
      <c r="B7522" s="6" t="s">
        <v>1520</v>
      </c>
      <c r="C7522" s="7" t="s">
        <v>196</v>
      </c>
      <c r="D7522" s="8" t="s">
        <v>114</v>
      </c>
      <c r="E7522" s="8" t="s">
        <v>491</v>
      </c>
      <c r="F7522" s="9">
        <f t="shared" si="676"/>
        <v>45728</v>
      </c>
      <c r="G7522" s="10">
        <f t="shared" si="672"/>
        <v>3</v>
      </c>
      <c r="H7522" s="10">
        <f t="shared" si="673"/>
        <v>2025</v>
      </c>
      <c r="I7522" s="8" t="s">
        <v>4</v>
      </c>
      <c r="J7522" s="7" t="s">
        <v>8086</v>
      </c>
      <c r="K7522" s="8" t="s">
        <v>422</v>
      </c>
      <c r="L7522" s="8" t="s">
        <v>423</v>
      </c>
      <c r="M7522" s="8" t="s">
        <v>119</v>
      </c>
      <c r="N7522" s="10" t="str">
        <f t="shared" si="670"/>
        <v>TON</v>
      </c>
      <c r="O7522" s="11">
        <v>1.02</v>
      </c>
    </row>
    <row r="7523" spans="2:15" x14ac:dyDescent="0.25">
      <c r="B7523" s="6" t="s">
        <v>1520</v>
      </c>
      <c r="C7523" s="7" t="s">
        <v>196</v>
      </c>
      <c r="D7523" s="8" t="s">
        <v>452</v>
      </c>
      <c r="E7523" s="8" t="s">
        <v>115</v>
      </c>
      <c r="F7523" s="9">
        <f t="shared" si="676"/>
        <v>45728</v>
      </c>
      <c r="G7523" s="10">
        <f t="shared" si="672"/>
        <v>3</v>
      </c>
      <c r="H7523" s="10">
        <f t="shared" si="673"/>
        <v>2025</v>
      </c>
      <c r="I7523" s="8" t="s">
        <v>4</v>
      </c>
      <c r="J7523" s="7" t="s">
        <v>8087</v>
      </c>
      <c r="K7523" s="8" t="s">
        <v>447</v>
      </c>
      <c r="L7523" s="8" t="s">
        <v>448</v>
      </c>
      <c r="M7523" s="8" t="s">
        <v>119</v>
      </c>
      <c r="N7523" s="10" t="str">
        <f t="shared" si="670"/>
        <v>TON</v>
      </c>
      <c r="O7523" s="11">
        <v>2.5249999999999999</v>
      </c>
    </row>
    <row r="7524" spans="2:15" x14ac:dyDescent="0.25">
      <c r="B7524" s="6" t="s">
        <v>1520</v>
      </c>
      <c r="C7524" s="7" t="s">
        <v>196</v>
      </c>
      <c r="D7524" s="8" t="s">
        <v>452</v>
      </c>
      <c r="E7524" s="8" t="s">
        <v>453</v>
      </c>
      <c r="F7524" s="9">
        <f t="shared" si="676"/>
        <v>45728</v>
      </c>
      <c r="G7524" s="10">
        <f t="shared" si="672"/>
        <v>3</v>
      </c>
      <c r="H7524" s="10">
        <f t="shared" si="673"/>
        <v>2025</v>
      </c>
      <c r="I7524" s="8" t="s">
        <v>4</v>
      </c>
      <c r="J7524" s="7" t="s">
        <v>8088</v>
      </c>
      <c r="K7524" s="8" t="s">
        <v>447</v>
      </c>
      <c r="L7524" s="8" t="s">
        <v>448</v>
      </c>
      <c r="M7524" s="8" t="s">
        <v>119</v>
      </c>
      <c r="N7524" s="10" t="str">
        <f t="shared" si="670"/>
        <v>TON</v>
      </c>
      <c r="O7524" s="11">
        <v>5.01</v>
      </c>
    </row>
    <row r="7525" spans="2:15" x14ac:dyDescent="0.25">
      <c r="B7525" s="6" t="s">
        <v>1520</v>
      </c>
      <c r="C7525" s="7" t="s">
        <v>196</v>
      </c>
      <c r="D7525" s="8" t="s">
        <v>4098</v>
      </c>
      <c r="E7525" s="8" t="s">
        <v>695</v>
      </c>
      <c r="F7525" s="9">
        <f t="shared" si="676"/>
        <v>45728</v>
      </c>
      <c r="G7525" s="10">
        <f t="shared" si="672"/>
        <v>3</v>
      </c>
      <c r="H7525" s="10">
        <f t="shared" si="673"/>
        <v>2025</v>
      </c>
      <c r="I7525" s="8" t="s">
        <v>4</v>
      </c>
      <c r="J7525" s="7" t="s">
        <v>8089</v>
      </c>
      <c r="K7525" s="8" t="s">
        <v>329</v>
      </c>
      <c r="L7525" s="8" t="s">
        <v>330</v>
      </c>
      <c r="M7525" s="8" t="s">
        <v>119</v>
      </c>
      <c r="N7525" s="10" t="str">
        <f t="shared" si="670"/>
        <v>TON</v>
      </c>
      <c r="O7525" s="11">
        <v>2</v>
      </c>
    </row>
    <row r="7526" spans="2:15" x14ac:dyDescent="0.25">
      <c r="B7526" s="6" t="s">
        <v>1520</v>
      </c>
      <c r="C7526" s="7" t="s">
        <v>196</v>
      </c>
      <c r="D7526" s="8" t="s">
        <v>449</v>
      </c>
      <c r="E7526" s="8" t="s">
        <v>780</v>
      </c>
      <c r="F7526" s="9">
        <f t="shared" si="676"/>
        <v>45728</v>
      </c>
      <c r="G7526" s="10">
        <f t="shared" si="672"/>
        <v>3</v>
      </c>
      <c r="H7526" s="10">
        <f t="shared" si="673"/>
        <v>2025</v>
      </c>
      <c r="I7526" s="8" t="s">
        <v>4</v>
      </c>
      <c r="J7526" s="7" t="s">
        <v>8090</v>
      </c>
      <c r="K7526" s="8" t="s">
        <v>122</v>
      </c>
      <c r="L7526" s="8" t="s">
        <v>123</v>
      </c>
      <c r="M7526" s="8" t="s">
        <v>119</v>
      </c>
      <c r="N7526" s="10" t="str">
        <f t="shared" si="670"/>
        <v>TON</v>
      </c>
      <c r="O7526" s="11">
        <v>2.4975000000000001</v>
      </c>
    </row>
    <row r="7527" spans="2:15" x14ac:dyDescent="0.25">
      <c r="B7527" s="6" t="s">
        <v>1520</v>
      </c>
      <c r="C7527" s="7" t="s">
        <v>196</v>
      </c>
      <c r="D7527" s="8" t="s">
        <v>440</v>
      </c>
      <c r="E7527" s="8" t="s">
        <v>1274</v>
      </c>
      <c r="F7527" s="9">
        <f t="shared" si="676"/>
        <v>45728</v>
      </c>
      <c r="G7527" s="10">
        <f t="shared" si="672"/>
        <v>3</v>
      </c>
      <c r="H7527" s="10">
        <f t="shared" si="673"/>
        <v>2025</v>
      </c>
      <c r="I7527" s="8" t="s">
        <v>4</v>
      </c>
      <c r="J7527" s="7" t="s">
        <v>8091</v>
      </c>
      <c r="K7527" s="8" t="s">
        <v>251</v>
      </c>
      <c r="L7527" s="8" t="s">
        <v>252</v>
      </c>
      <c r="M7527" s="8" t="s">
        <v>119</v>
      </c>
      <c r="N7527" s="10" t="str">
        <f t="shared" si="670"/>
        <v>TON</v>
      </c>
      <c r="O7527" s="11">
        <v>5.0324999999999998</v>
      </c>
    </row>
    <row r="7528" spans="2:15" x14ac:dyDescent="0.25">
      <c r="B7528" s="6" t="s">
        <v>1520</v>
      </c>
      <c r="C7528" s="7" t="s">
        <v>196</v>
      </c>
      <c r="D7528" s="8" t="s">
        <v>1375</v>
      </c>
      <c r="E7528" s="8" t="s">
        <v>91</v>
      </c>
      <c r="F7528" s="9">
        <f t="shared" si="676"/>
        <v>45728</v>
      </c>
      <c r="G7528" s="10">
        <f t="shared" si="672"/>
        <v>3</v>
      </c>
      <c r="H7528" s="10">
        <f t="shared" si="673"/>
        <v>2025</v>
      </c>
      <c r="I7528" s="8" t="s">
        <v>4</v>
      </c>
      <c r="J7528" s="7" t="s">
        <v>8092</v>
      </c>
      <c r="K7528" s="8" t="s">
        <v>8093</v>
      </c>
      <c r="L7528" s="8" t="s">
        <v>99</v>
      </c>
      <c r="M7528" s="8" t="s">
        <v>100</v>
      </c>
      <c r="N7528" s="10" t="str">
        <f t="shared" si="670"/>
        <v>GAL</v>
      </c>
      <c r="O7528" s="11">
        <v>20</v>
      </c>
    </row>
    <row r="7529" spans="2:15" x14ac:dyDescent="0.25">
      <c r="B7529" s="6" t="s">
        <v>1520</v>
      </c>
      <c r="C7529" s="7" t="s">
        <v>196</v>
      </c>
      <c r="D7529" s="8" t="s">
        <v>207</v>
      </c>
      <c r="E7529" s="8" t="s">
        <v>208</v>
      </c>
      <c r="F7529" s="9">
        <f>DATE(2025,3,13)</f>
        <v>45729</v>
      </c>
      <c r="G7529" s="10">
        <f t="shared" si="672"/>
        <v>3</v>
      </c>
      <c r="H7529" s="10">
        <f t="shared" si="673"/>
        <v>2025</v>
      </c>
      <c r="I7529" s="8" t="s">
        <v>4</v>
      </c>
      <c r="J7529" s="7" t="s">
        <v>8094</v>
      </c>
      <c r="K7529" s="8" t="s">
        <v>236</v>
      </c>
      <c r="L7529" s="8" t="s">
        <v>237</v>
      </c>
      <c r="M7529" s="8" t="s">
        <v>119</v>
      </c>
      <c r="N7529" s="10" t="str">
        <f t="shared" si="670"/>
        <v>TON</v>
      </c>
      <c r="O7529" s="11">
        <v>2.5</v>
      </c>
    </row>
    <row r="7530" spans="2:15" x14ac:dyDescent="0.25">
      <c r="B7530" s="6" t="s">
        <v>1520</v>
      </c>
      <c r="C7530" s="7" t="s">
        <v>196</v>
      </c>
      <c r="D7530" s="8" t="s">
        <v>224</v>
      </c>
      <c r="E7530" s="8" t="s">
        <v>361</v>
      </c>
      <c r="F7530" s="9">
        <f>DATE(2025,3,13)</f>
        <v>45729</v>
      </c>
      <c r="G7530" s="10">
        <f t="shared" si="672"/>
        <v>3</v>
      </c>
      <c r="H7530" s="10">
        <f t="shared" si="673"/>
        <v>2025</v>
      </c>
      <c r="I7530" s="8" t="s">
        <v>4</v>
      </c>
      <c r="J7530" s="7" t="s">
        <v>8095</v>
      </c>
      <c r="K7530" s="8" t="s">
        <v>205</v>
      </c>
      <c r="L7530" s="8" t="s">
        <v>206</v>
      </c>
      <c r="M7530" s="8" t="s">
        <v>119</v>
      </c>
      <c r="N7530" s="10" t="str">
        <f t="shared" si="670"/>
        <v>TON</v>
      </c>
      <c r="O7530" s="11">
        <v>5</v>
      </c>
    </row>
    <row r="7531" spans="2:15" x14ac:dyDescent="0.25">
      <c r="B7531" s="6" t="s">
        <v>1520</v>
      </c>
      <c r="C7531" s="7" t="s">
        <v>196</v>
      </c>
      <c r="D7531" s="8" t="s">
        <v>215</v>
      </c>
      <c r="E7531" s="8" t="s">
        <v>4113</v>
      </c>
      <c r="F7531" s="9">
        <f t="shared" ref="F7531:F7542" si="677">DATE(2025,3,14)</f>
        <v>45730</v>
      </c>
      <c r="G7531" s="10">
        <f t="shared" si="672"/>
        <v>3</v>
      </c>
      <c r="H7531" s="10">
        <f t="shared" si="673"/>
        <v>2025</v>
      </c>
      <c r="I7531" s="8" t="s">
        <v>4</v>
      </c>
      <c r="J7531" s="7" t="s">
        <v>8096</v>
      </c>
      <c r="K7531" s="8" t="s">
        <v>329</v>
      </c>
      <c r="L7531" s="8" t="s">
        <v>330</v>
      </c>
      <c r="M7531" s="8" t="s">
        <v>119</v>
      </c>
      <c r="N7531" s="10" t="str">
        <f t="shared" si="670"/>
        <v>TON</v>
      </c>
      <c r="O7531" s="11">
        <v>5.0175000000000001</v>
      </c>
    </row>
    <row r="7532" spans="2:15" x14ac:dyDescent="0.25">
      <c r="B7532" s="6" t="s">
        <v>1520</v>
      </c>
      <c r="C7532" s="7" t="s">
        <v>196</v>
      </c>
      <c r="D7532" s="8" t="s">
        <v>215</v>
      </c>
      <c r="E7532" s="8" t="s">
        <v>4113</v>
      </c>
      <c r="F7532" s="9">
        <f t="shared" si="677"/>
        <v>45730</v>
      </c>
      <c r="G7532" s="10">
        <f t="shared" si="672"/>
        <v>3</v>
      </c>
      <c r="H7532" s="10">
        <f t="shared" si="673"/>
        <v>2025</v>
      </c>
      <c r="I7532" s="8" t="s">
        <v>4</v>
      </c>
      <c r="J7532" s="7" t="s">
        <v>8097</v>
      </c>
      <c r="K7532" s="8" t="s">
        <v>205</v>
      </c>
      <c r="L7532" s="8" t="s">
        <v>206</v>
      </c>
      <c r="M7532" s="8" t="s">
        <v>119</v>
      </c>
      <c r="N7532" s="10" t="str">
        <f t="shared" si="670"/>
        <v>TON</v>
      </c>
      <c r="O7532" s="11">
        <v>3.0049999999999999</v>
      </c>
    </row>
    <row r="7533" spans="2:15" x14ac:dyDescent="0.25">
      <c r="B7533" s="6" t="s">
        <v>1520</v>
      </c>
      <c r="C7533" s="7" t="s">
        <v>196</v>
      </c>
      <c r="D7533" s="8" t="s">
        <v>418</v>
      </c>
      <c r="E7533" s="8" t="s">
        <v>419</v>
      </c>
      <c r="F7533" s="9">
        <f t="shared" si="677"/>
        <v>45730</v>
      </c>
      <c r="G7533" s="10">
        <f t="shared" si="672"/>
        <v>3</v>
      </c>
      <c r="H7533" s="10">
        <f t="shared" si="673"/>
        <v>2025</v>
      </c>
      <c r="I7533" s="8" t="s">
        <v>4</v>
      </c>
      <c r="J7533" s="7" t="s">
        <v>8098</v>
      </c>
      <c r="K7533" s="8" t="s">
        <v>329</v>
      </c>
      <c r="L7533" s="8" t="s">
        <v>330</v>
      </c>
      <c r="M7533" s="8" t="s">
        <v>119</v>
      </c>
      <c r="N7533" s="10" t="str">
        <f t="shared" si="670"/>
        <v>TON</v>
      </c>
      <c r="O7533" s="11">
        <v>6.52</v>
      </c>
    </row>
    <row r="7534" spans="2:15" x14ac:dyDescent="0.25">
      <c r="B7534" s="6" t="s">
        <v>1520</v>
      </c>
      <c r="C7534" s="7" t="s">
        <v>196</v>
      </c>
      <c r="D7534" s="8" t="s">
        <v>207</v>
      </c>
      <c r="E7534" s="8" t="s">
        <v>208</v>
      </c>
      <c r="F7534" s="9">
        <f t="shared" si="677"/>
        <v>45730</v>
      </c>
      <c r="G7534" s="10">
        <f t="shared" si="672"/>
        <v>3</v>
      </c>
      <c r="H7534" s="10">
        <f t="shared" si="673"/>
        <v>2025</v>
      </c>
      <c r="I7534" s="8" t="s">
        <v>4</v>
      </c>
      <c r="J7534" s="7" t="s">
        <v>8099</v>
      </c>
      <c r="K7534" s="8" t="s">
        <v>205</v>
      </c>
      <c r="L7534" s="8" t="s">
        <v>206</v>
      </c>
      <c r="M7534" s="8" t="s">
        <v>119</v>
      </c>
      <c r="N7534" s="10" t="str">
        <f t="shared" si="670"/>
        <v>TON</v>
      </c>
      <c r="O7534" s="11">
        <v>2.5</v>
      </c>
    </row>
    <row r="7535" spans="2:15" x14ac:dyDescent="0.25">
      <c r="B7535" s="6" t="s">
        <v>1520</v>
      </c>
      <c r="C7535" s="7" t="s">
        <v>196</v>
      </c>
      <c r="D7535" s="8" t="s">
        <v>114</v>
      </c>
      <c r="E7535" s="8" t="s">
        <v>5054</v>
      </c>
      <c r="F7535" s="9">
        <f t="shared" si="677"/>
        <v>45730</v>
      </c>
      <c r="G7535" s="10">
        <f t="shared" si="672"/>
        <v>3</v>
      </c>
      <c r="H7535" s="10">
        <f t="shared" si="673"/>
        <v>2025</v>
      </c>
      <c r="I7535" s="8" t="s">
        <v>4</v>
      </c>
      <c r="J7535" s="7" t="s">
        <v>8100</v>
      </c>
      <c r="K7535" s="8" t="s">
        <v>422</v>
      </c>
      <c r="L7535" s="8" t="s">
        <v>423</v>
      </c>
      <c r="M7535" s="8" t="s">
        <v>119</v>
      </c>
      <c r="N7535" s="10" t="str">
        <f t="shared" si="670"/>
        <v>TON</v>
      </c>
      <c r="O7535" s="11">
        <v>4</v>
      </c>
    </row>
    <row r="7536" spans="2:15" x14ac:dyDescent="0.25">
      <c r="B7536" s="6" t="s">
        <v>1520</v>
      </c>
      <c r="C7536" s="7" t="s">
        <v>196</v>
      </c>
      <c r="D7536" s="8" t="s">
        <v>418</v>
      </c>
      <c r="E7536" s="8" t="s">
        <v>419</v>
      </c>
      <c r="F7536" s="9">
        <f t="shared" si="677"/>
        <v>45730</v>
      </c>
      <c r="G7536" s="10">
        <f t="shared" si="672"/>
        <v>3</v>
      </c>
      <c r="H7536" s="10">
        <f t="shared" si="673"/>
        <v>2025</v>
      </c>
      <c r="I7536" s="8" t="s">
        <v>4</v>
      </c>
      <c r="J7536" s="7" t="s">
        <v>8101</v>
      </c>
      <c r="K7536" s="8" t="s">
        <v>205</v>
      </c>
      <c r="L7536" s="8" t="s">
        <v>206</v>
      </c>
      <c r="M7536" s="8" t="s">
        <v>119</v>
      </c>
      <c r="N7536" s="10" t="str">
        <f t="shared" si="670"/>
        <v>TON</v>
      </c>
      <c r="O7536" s="11">
        <v>4.9974999999999996</v>
      </c>
    </row>
    <row r="7537" spans="2:15" x14ac:dyDescent="0.25">
      <c r="B7537" s="6" t="s">
        <v>1520</v>
      </c>
      <c r="C7537" s="7" t="s">
        <v>196</v>
      </c>
      <c r="D7537" s="8" t="s">
        <v>348</v>
      </c>
      <c r="E7537" s="8" t="s">
        <v>349</v>
      </c>
      <c r="F7537" s="9">
        <f t="shared" si="677"/>
        <v>45730</v>
      </c>
      <c r="G7537" s="10">
        <f t="shared" si="672"/>
        <v>3</v>
      </c>
      <c r="H7537" s="10">
        <f t="shared" si="673"/>
        <v>2025</v>
      </c>
      <c r="I7537" s="8" t="s">
        <v>4</v>
      </c>
      <c r="J7537" s="7" t="s">
        <v>8102</v>
      </c>
      <c r="K7537" s="8" t="s">
        <v>817</v>
      </c>
      <c r="L7537" s="8" t="s">
        <v>818</v>
      </c>
      <c r="M7537" s="8" t="s">
        <v>556</v>
      </c>
      <c r="N7537" s="10" t="str">
        <f t="shared" si="670"/>
        <v>GAL</v>
      </c>
      <c r="O7537" s="11">
        <v>15</v>
      </c>
    </row>
    <row r="7538" spans="2:15" x14ac:dyDescent="0.25">
      <c r="B7538" s="6" t="s">
        <v>645</v>
      </c>
      <c r="C7538" s="7" t="s">
        <v>196</v>
      </c>
      <c r="D7538" s="8" t="s">
        <v>283</v>
      </c>
      <c r="E7538" s="8" t="s">
        <v>102</v>
      </c>
      <c r="F7538" s="9">
        <f t="shared" si="677"/>
        <v>45730</v>
      </c>
      <c r="G7538" s="10">
        <f t="shared" si="672"/>
        <v>3</v>
      </c>
      <c r="H7538" s="10">
        <f t="shared" si="673"/>
        <v>2025</v>
      </c>
      <c r="I7538" s="8" t="s">
        <v>4</v>
      </c>
      <c r="J7538" s="7" t="s">
        <v>8103</v>
      </c>
      <c r="K7538" s="8" t="s">
        <v>200</v>
      </c>
      <c r="L7538" s="8" t="s">
        <v>201</v>
      </c>
      <c r="M7538" s="8" t="s">
        <v>202</v>
      </c>
      <c r="N7538" s="10" t="str">
        <f t="shared" si="670"/>
        <v>GAL</v>
      </c>
      <c r="O7538" s="11">
        <v>5</v>
      </c>
    </row>
    <row r="7539" spans="2:15" x14ac:dyDescent="0.25">
      <c r="B7539" s="6" t="s">
        <v>1520</v>
      </c>
      <c r="C7539" s="7" t="s">
        <v>196</v>
      </c>
      <c r="D7539" s="8" t="s">
        <v>283</v>
      </c>
      <c r="E7539" s="8" t="s">
        <v>699</v>
      </c>
      <c r="F7539" s="9">
        <f t="shared" si="677"/>
        <v>45730</v>
      </c>
      <c r="G7539" s="10">
        <f t="shared" si="672"/>
        <v>3</v>
      </c>
      <c r="H7539" s="10">
        <f t="shared" si="673"/>
        <v>2025</v>
      </c>
      <c r="I7539" s="8" t="s">
        <v>4</v>
      </c>
      <c r="J7539" s="7" t="s">
        <v>8104</v>
      </c>
      <c r="K7539" s="8" t="s">
        <v>384</v>
      </c>
      <c r="L7539" s="8" t="s">
        <v>385</v>
      </c>
      <c r="M7539" s="8" t="s">
        <v>119</v>
      </c>
      <c r="N7539" s="10" t="str">
        <f t="shared" si="670"/>
        <v>TON</v>
      </c>
      <c r="O7539" s="11">
        <v>1</v>
      </c>
    </row>
    <row r="7540" spans="2:15" x14ac:dyDescent="0.25">
      <c r="B7540" s="6" t="s">
        <v>1520</v>
      </c>
      <c r="C7540" s="7" t="s">
        <v>196</v>
      </c>
      <c r="D7540" s="8" t="s">
        <v>270</v>
      </c>
      <c r="E7540" s="8" t="s">
        <v>875</v>
      </c>
      <c r="F7540" s="9">
        <f t="shared" si="677"/>
        <v>45730</v>
      </c>
      <c r="G7540" s="10">
        <f t="shared" si="672"/>
        <v>3</v>
      </c>
      <c r="H7540" s="10">
        <f t="shared" si="673"/>
        <v>2025</v>
      </c>
      <c r="I7540" s="8" t="s">
        <v>4</v>
      </c>
      <c r="J7540" s="7" t="s">
        <v>8105</v>
      </c>
      <c r="K7540" s="8" t="s">
        <v>329</v>
      </c>
      <c r="L7540" s="8" t="s">
        <v>330</v>
      </c>
      <c r="M7540" s="8" t="s">
        <v>119</v>
      </c>
      <c r="N7540" s="10" t="str">
        <f t="shared" si="670"/>
        <v>TON</v>
      </c>
      <c r="O7540" s="11">
        <v>1.5</v>
      </c>
    </row>
    <row r="7541" spans="2:15" x14ac:dyDescent="0.25">
      <c r="B7541" s="6" t="s">
        <v>1520</v>
      </c>
      <c r="C7541" s="7" t="s">
        <v>196</v>
      </c>
      <c r="D7541" s="8" t="s">
        <v>270</v>
      </c>
      <c r="E7541" s="8" t="s">
        <v>271</v>
      </c>
      <c r="F7541" s="9">
        <f t="shared" si="677"/>
        <v>45730</v>
      </c>
      <c r="G7541" s="10">
        <f t="shared" si="672"/>
        <v>3</v>
      </c>
      <c r="H7541" s="10">
        <f t="shared" si="673"/>
        <v>2025</v>
      </c>
      <c r="I7541" s="8" t="s">
        <v>4</v>
      </c>
      <c r="J7541" s="7" t="s">
        <v>8106</v>
      </c>
      <c r="K7541" s="8" t="s">
        <v>205</v>
      </c>
      <c r="L7541" s="8" t="s">
        <v>206</v>
      </c>
      <c r="M7541" s="8" t="s">
        <v>119</v>
      </c>
      <c r="N7541" s="10" t="str">
        <f t="shared" si="670"/>
        <v>TON</v>
      </c>
      <c r="O7541" s="11">
        <v>1.25</v>
      </c>
    </row>
    <row r="7542" spans="2:15" x14ac:dyDescent="0.25">
      <c r="B7542" s="6" t="s">
        <v>1520</v>
      </c>
      <c r="C7542" s="7" t="s">
        <v>196</v>
      </c>
      <c r="D7542" s="8" t="s">
        <v>440</v>
      </c>
      <c r="E7542" s="8" t="s">
        <v>441</v>
      </c>
      <c r="F7542" s="9">
        <f t="shared" si="677"/>
        <v>45730</v>
      </c>
      <c r="G7542" s="10">
        <f t="shared" si="672"/>
        <v>3</v>
      </c>
      <c r="H7542" s="10">
        <f t="shared" si="673"/>
        <v>2025</v>
      </c>
      <c r="I7542" s="8" t="s">
        <v>4</v>
      </c>
      <c r="J7542" s="7" t="s">
        <v>8107</v>
      </c>
      <c r="K7542" s="8" t="s">
        <v>251</v>
      </c>
      <c r="L7542" s="8" t="s">
        <v>252</v>
      </c>
      <c r="M7542" s="8" t="s">
        <v>119</v>
      </c>
      <c r="N7542" s="10" t="str">
        <f t="shared" si="670"/>
        <v>TON</v>
      </c>
      <c r="O7542" s="11">
        <v>5.0149999999999997</v>
      </c>
    </row>
    <row r="7543" spans="2:15" x14ac:dyDescent="0.25">
      <c r="B7543" s="6" t="s">
        <v>1520</v>
      </c>
      <c r="C7543" s="7" t="s">
        <v>196</v>
      </c>
      <c r="D7543" s="8" t="s">
        <v>458</v>
      </c>
      <c r="E7543" s="8" t="s">
        <v>459</v>
      </c>
      <c r="F7543" s="9">
        <f t="shared" ref="F7543:F7549" si="678">DATE(2025,3,17)</f>
        <v>45733</v>
      </c>
      <c r="G7543" s="10">
        <f t="shared" si="672"/>
        <v>3</v>
      </c>
      <c r="H7543" s="10">
        <f t="shared" si="673"/>
        <v>2025</v>
      </c>
      <c r="I7543" s="8" t="s">
        <v>4</v>
      </c>
      <c r="J7543" s="7" t="s">
        <v>8108</v>
      </c>
      <c r="K7543" s="8" t="s">
        <v>205</v>
      </c>
      <c r="L7543" s="8" t="s">
        <v>206</v>
      </c>
      <c r="M7543" s="8" t="s">
        <v>119</v>
      </c>
      <c r="N7543" s="10" t="str">
        <f t="shared" si="670"/>
        <v>TON</v>
      </c>
      <c r="O7543" s="11">
        <v>2.4950000000000001</v>
      </c>
    </row>
    <row r="7544" spans="2:15" x14ac:dyDescent="0.25">
      <c r="B7544" s="6" t="s">
        <v>1520</v>
      </c>
      <c r="C7544" s="7" t="s">
        <v>196</v>
      </c>
      <c r="D7544" s="8" t="s">
        <v>440</v>
      </c>
      <c r="E7544" s="8" t="s">
        <v>441</v>
      </c>
      <c r="F7544" s="9">
        <f t="shared" si="678"/>
        <v>45733</v>
      </c>
      <c r="G7544" s="10">
        <f t="shared" si="672"/>
        <v>3</v>
      </c>
      <c r="H7544" s="10">
        <f t="shared" si="673"/>
        <v>2025</v>
      </c>
      <c r="I7544" s="8" t="s">
        <v>4</v>
      </c>
      <c r="J7544" s="7" t="s">
        <v>8109</v>
      </c>
      <c r="K7544" s="8" t="s">
        <v>447</v>
      </c>
      <c r="L7544" s="8" t="s">
        <v>448</v>
      </c>
      <c r="M7544" s="8" t="s">
        <v>119</v>
      </c>
      <c r="N7544" s="10" t="str">
        <f t="shared" si="670"/>
        <v>TON</v>
      </c>
      <c r="O7544" s="11">
        <v>5</v>
      </c>
    </row>
    <row r="7545" spans="2:15" x14ac:dyDescent="0.25">
      <c r="B7545" s="6" t="s">
        <v>1520</v>
      </c>
      <c r="C7545" s="7" t="s">
        <v>196</v>
      </c>
      <c r="D7545" s="8" t="s">
        <v>440</v>
      </c>
      <c r="E7545" s="8" t="s">
        <v>1369</v>
      </c>
      <c r="F7545" s="9">
        <f t="shared" si="678"/>
        <v>45733</v>
      </c>
      <c r="G7545" s="10">
        <f t="shared" si="672"/>
        <v>3</v>
      </c>
      <c r="H7545" s="10">
        <f t="shared" si="673"/>
        <v>2025</v>
      </c>
      <c r="I7545" s="8" t="s">
        <v>4</v>
      </c>
      <c r="J7545" s="7" t="s">
        <v>8110</v>
      </c>
      <c r="K7545" s="8" t="s">
        <v>447</v>
      </c>
      <c r="L7545" s="8" t="s">
        <v>448</v>
      </c>
      <c r="M7545" s="8" t="s">
        <v>119</v>
      </c>
      <c r="N7545" s="10" t="str">
        <f t="shared" si="670"/>
        <v>TON</v>
      </c>
      <c r="O7545" s="11">
        <v>5</v>
      </c>
    </row>
    <row r="7546" spans="2:15" x14ac:dyDescent="0.25">
      <c r="B7546" s="6" t="s">
        <v>1520</v>
      </c>
      <c r="C7546" s="7" t="s">
        <v>196</v>
      </c>
      <c r="D7546" s="8" t="s">
        <v>114</v>
      </c>
      <c r="E7546" s="8" t="s">
        <v>491</v>
      </c>
      <c r="F7546" s="9">
        <f t="shared" si="678"/>
        <v>45733</v>
      </c>
      <c r="G7546" s="10">
        <f t="shared" si="672"/>
        <v>3</v>
      </c>
      <c r="H7546" s="10">
        <f t="shared" si="673"/>
        <v>2025</v>
      </c>
      <c r="I7546" s="8" t="s">
        <v>4</v>
      </c>
      <c r="J7546" s="7" t="s">
        <v>8111</v>
      </c>
      <c r="K7546" s="8" t="s">
        <v>2350</v>
      </c>
      <c r="L7546" s="8" t="s">
        <v>2351</v>
      </c>
      <c r="M7546" s="8" t="s">
        <v>119</v>
      </c>
      <c r="N7546" s="10" t="str">
        <f t="shared" si="670"/>
        <v>TON</v>
      </c>
      <c r="O7546" s="11">
        <v>2.5</v>
      </c>
    </row>
    <row r="7547" spans="2:15" x14ac:dyDescent="0.25">
      <c r="B7547" s="6" t="s">
        <v>1520</v>
      </c>
      <c r="C7547" s="7" t="s">
        <v>196</v>
      </c>
      <c r="D7547" s="8" t="s">
        <v>452</v>
      </c>
      <c r="E7547" s="8" t="s">
        <v>7109</v>
      </c>
      <c r="F7547" s="9">
        <f t="shared" si="678"/>
        <v>45733</v>
      </c>
      <c r="G7547" s="10">
        <f t="shared" si="672"/>
        <v>3</v>
      </c>
      <c r="H7547" s="10">
        <f t="shared" si="673"/>
        <v>2025</v>
      </c>
      <c r="I7547" s="8" t="s">
        <v>4</v>
      </c>
      <c r="J7547" s="7" t="s">
        <v>8112</v>
      </c>
      <c r="K7547" s="8" t="s">
        <v>447</v>
      </c>
      <c r="L7547" s="8" t="s">
        <v>448</v>
      </c>
      <c r="M7547" s="8" t="s">
        <v>119</v>
      </c>
      <c r="N7547" s="10" t="str">
        <f t="shared" si="670"/>
        <v>TON</v>
      </c>
      <c r="O7547" s="11">
        <v>2.5099999999999998</v>
      </c>
    </row>
    <row r="7548" spans="2:15" x14ac:dyDescent="0.25">
      <c r="B7548" s="6" t="s">
        <v>1520</v>
      </c>
      <c r="C7548" s="7" t="s">
        <v>196</v>
      </c>
      <c r="D7548" s="8" t="s">
        <v>224</v>
      </c>
      <c r="E7548" s="8" t="s">
        <v>895</v>
      </c>
      <c r="F7548" s="9">
        <f t="shared" si="678"/>
        <v>45733</v>
      </c>
      <c r="G7548" s="10">
        <f t="shared" si="672"/>
        <v>3</v>
      </c>
      <c r="H7548" s="10">
        <f t="shared" si="673"/>
        <v>2025</v>
      </c>
      <c r="I7548" s="8" t="s">
        <v>4</v>
      </c>
      <c r="J7548" s="7" t="s">
        <v>8113</v>
      </c>
      <c r="K7548" s="8" t="s">
        <v>205</v>
      </c>
      <c r="L7548" s="8" t="s">
        <v>206</v>
      </c>
      <c r="M7548" s="8" t="s">
        <v>119</v>
      </c>
      <c r="N7548" s="10" t="str">
        <f t="shared" si="670"/>
        <v>TON</v>
      </c>
      <c r="O7548" s="11">
        <v>5.03</v>
      </c>
    </row>
    <row r="7549" spans="2:15" x14ac:dyDescent="0.25">
      <c r="B7549" s="6" t="s">
        <v>1520</v>
      </c>
      <c r="C7549" s="7" t="s">
        <v>196</v>
      </c>
      <c r="D7549" s="8" t="s">
        <v>1276</v>
      </c>
      <c r="E7549" s="8" t="s">
        <v>791</v>
      </c>
      <c r="F7549" s="9">
        <f t="shared" si="678"/>
        <v>45733</v>
      </c>
      <c r="G7549" s="10">
        <f t="shared" si="672"/>
        <v>3</v>
      </c>
      <c r="H7549" s="10">
        <f t="shared" si="673"/>
        <v>2025</v>
      </c>
      <c r="I7549" s="8" t="s">
        <v>4</v>
      </c>
      <c r="J7549" s="7" t="s">
        <v>8114</v>
      </c>
      <c r="K7549" s="8" t="s">
        <v>117</v>
      </c>
      <c r="L7549" s="8" t="s">
        <v>118</v>
      </c>
      <c r="M7549" s="8" t="s">
        <v>119</v>
      </c>
      <c r="N7549" s="10" t="str">
        <f t="shared" si="670"/>
        <v>TON</v>
      </c>
      <c r="O7549" s="11">
        <v>5.0199999999999996</v>
      </c>
    </row>
    <row r="7550" spans="2:15" x14ac:dyDescent="0.25">
      <c r="B7550" s="6" t="s">
        <v>1520</v>
      </c>
      <c r="C7550" s="7" t="s">
        <v>196</v>
      </c>
      <c r="D7550" s="8" t="s">
        <v>628</v>
      </c>
      <c r="E7550" s="8" t="s">
        <v>4628</v>
      </c>
      <c r="F7550" s="9">
        <f t="shared" ref="F7550:F7557" si="679">DATE(2025,3,18)</f>
        <v>45734</v>
      </c>
      <c r="G7550" s="10">
        <f t="shared" si="672"/>
        <v>3</v>
      </c>
      <c r="H7550" s="10">
        <f t="shared" si="673"/>
        <v>2025</v>
      </c>
      <c r="I7550" s="8" t="s">
        <v>4</v>
      </c>
      <c r="J7550" s="7" t="s">
        <v>8115</v>
      </c>
      <c r="K7550" s="8" t="s">
        <v>1031</v>
      </c>
      <c r="L7550" s="8" t="s">
        <v>1032</v>
      </c>
      <c r="M7550" s="8" t="s">
        <v>119</v>
      </c>
      <c r="N7550" s="10" t="str">
        <f t="shared" ref="N7550:N7613" si="680">+LEFT(M7550,3)</f>
        <v>TON</v>
      </c>
      <c r="O7550" s="11">
        <v>1.2450000000000001</v>
      </c>
    </row>
    <row r="7551" spans="2:15" x14ac:dyDescent="0.25">
      <c r="B7551" s="6" t="s">
        <v>1520</v>
      </c>
      <c r="C7551" s="7" t="s">
        <v>196</v>
      </c>
      <c r="D7551" s="8" t="s">
        <v>387</v>
      </c>
      <c r="E7551" s="8" t="s">
        <v>797</v>
      </c>
      <c r="F7551" s="9">
        <f t="shared" si="679"/>
        <v>45734</v>
      </c>
      <c r="G7551" s="10">
        <f t="shared" si="672"/>
        <v>3</v>
      </c>
      <c r="H7551" s="10">
        <f t="shared" si="673"/>
        <v>2025</v>
      </c>
      <c r="I7551" s="8" t="s">
        <v>4</v>
      </c>
      <c r="J7551" s="7" t="s">
        <v>8116</v>
      </c>
      <c r="K7551" s="8" t="s">
        <v>447</v>
      </c>
      <c r="L7551" s="8" t="s">
        <v>448</v>
      </c>
      <c r="M7551" s="8" t="s">
        <v>119</v>
      </c>
      <c r="N7551" s="10" t="str">
        <f t="shared" si="680"/>
        <v>TON</v>
      </c>
      <c r="O7551" s="11">
        <v>10</v>
      </c>
    </row>
    <row r="7552" spans="2:15" x14ac:dyDescent="0.25">
      <c r="B7552" s="6" t="s">
        <v>1520</v>
      </c>
      <c r="C7552" s="7" t="s">
        <v>196</v>
      </c>
      <c r="D7552" s="8" t="s">
        <v>387</v>
      </c>
      <c r="E7552" s="8" t="s">
        <v>797</v>
      </c>
      <c r="F7552" s="9">
        <f t="shared" si="679"/>
        <v>45734</v>
      </c>
      <c r="G7552" s="10">
        <f t="shared" si="672"/>
        <v>3</v>
      </c>
      <c r="H7552" s="10">
        <f t="shared" si="673"/>
        <v>2025</v>
      </c>
      <c r="I7552" s="8" t="s">
        <v>4</v>
      </c>
      <c r="J7552" s="7" t="s">
        <v>8117</v>
      </c>
      <c r="K7552" s="8" t="s">
        <v>447</v>
      </c>
      <c r="L7552" s="8" t="s">
        <v>448</v>
      </c>
      <c r="M7552" s="8" t="s">
        <v>119</v>
      </c>
      <c r="N7552" s="10" t="str">
        <f t="shared" si="680"/>
        <v>TON</v>
      </c>
      <c r="O7552" s="11">
        <v>5.0170000000000003</v>
      </c>
    </row>
    <row r="7553" spans="2:15" x14ac:dyDescent="0.25">
      <c r="B7553" s="6" t="s">
        <v>1520</v>
      </c>
      <c r="C7553" s="7" t="s">
        <v>196</v>
      </c>
      <c r="D7553" s="8" t="s">
        <v>4034</v>
      </c>
      <c r="E7553" s="8" t="s">
        <v>759</v>
      </c>
      <c r="F7553" s="9">
        <f t="shared" si="679"/>
        <v>45734</v>
      </c>
      <c r="G7553" s="10">
        <f t="shared" si="672"/>
        <v>3</v>
      </c>
      <c r="H7553" s="10">
        <f t="shared" si="673"/>
        <v>2025</v>
      </c>
      <c r="I7553" s="8" t="s">
        <v>4</v>
      </c>
      <c r="J7553" s="7" t="s">
        <v>8118</v>
      </c>
      <c r="K7553" s="8" t="s">
        <v>117</v>
      </c>
      <c r="L7553" s="8" t="s">
        <v>118</v>
      </c>
      <c r="M7553" s="8" t="s">
        <v>119</v>
      </c>
      <c r="N7553" s="10" t="str">
        <f t="shared" si="680"/>
        <v>TON</v>
      </c>
      <c r="O7553" s="11">
        <v>10.015000000000001</v>
      </c>
    </row>
    <row r="7554" spans="2:15" x14ac:dyDescent="0.25">
      <c r="B7554" s="6" t="s">
        <v>1520</v>
      </c>
      <c r="C7554" s="7" t="s">
        <v>196</v>
      </c>
      <c r="D7554" s="8" t="s">
        <v>669</v>
      </c>
      <c r="E7554" s="8" t="s">
        <v>56</v>
      </c>
      <c r="F7554" s="9">
        <f t="shared" si="679"/>
        <v>45734</v>
      </c>
      <c r="G7554" s="10">
        <f t="shared" si="672"/>
        <v>3</v>
      </c>
      <c r="H7554" s="10">
        <f t="shared" si="673"/>
        <v>2025</v>
      </c>
      <c r="I7554" s="8" t="s">
        <v>4</v>
      </c>
      <c r="J7554" s="7" t="s">
        <v>8119</v>
      </c>
      <c r="K7554" s="8" t="s">
        <v>384</v>
      </c>
      <c r="L7554" s="8" t="s">
        <v>385</v>
      </c>
      <c r="M7554" s="8" t="s">
        <v>119</v>
      </c>
      <c r="N7554" s="10" t="str">
        <f t="shared" si="680"/>
        <v>TON</v>
      </c>
      <c r="O7554" s="11">
        <v>2.4849999999999999</v>
      </c>
    </row>
    <row r="7555" spans="2:15" x14ac:dyDescent="0.25">
      <c r="B7555" s="6" t="s">
        <v>1520</v>
      </c>
      <c r="C7555" s="7" t="s">
        <v>196</v>
      </c>
      <c r="D7555" s="8" t="s">
        <v>3764</v>
      </c>
      <c r="E7555" s="8" t="s">
        <v>3765</v>
      </c>
      <c r="F7555" s="9">
        <f t="shared" si="679"/>
        <v>45734</v>
      </c>
      <c r="G7555" s="10">
        <f t="shared" si="672"/>
        <v>3</v>
      </c>
      <c r="H7555" s="10">
        <f t="shared" si="673"/>
        <v>2025</v>
      </c>
      <c r="I7555" s="8" t="s">
        <v>4</v>
      </c>
      <c r="J7555" s="7" t="s">
        <v>8120</v>
      </c>
      <c r="K7555" s="8" t="s">
        <v>205</v>
      </c>
      <c r="L7555" s="8" t="s">
        <v>206</v>
      </c>
      <c r="M7555" s="8" t="s">
        <v>119</v>
      </c>
      <c r="N7555" s="10" t="str">
        <f t="shared" si="680"/>
        <v>TON</v>
      </c>
      <c r="O7555" s="11">
        <v>1.2575000000000001</v>
      </c>
    </row>
    <row r="7556" spans="2:15" x14ac:dyDescent="0.25">
      <c r="B7556" s="6" t="s">
        <v>1520</v>
      </c>
      <c r="C7556" s="7" t="s">
        <v>196</v>
      </c>
      <c r="D7556" s="8" t="s">
        <v>227</v>
      </c>
      <c r="E7556" s="8" t="s">
        <v>757</v>
      </c>
      <c r="F7556" s="9">
        <f t="shared" si="679"/>
        <v>45734</v>
      </c>
      <c r="G7556" s="10">
        <f t="shared" si="672"/>
        <v>3</v>
      </c>
      <c r="H7556" s="10">
        <f t="shared" si="673"/>
        <v>2025</v>
      </c>
      <c r="I7556" s="8" t="s">
        <v>4</v>
      </c>
      <c r="J7556" s="7" t="s">
        <v>8121</v>
      </c>
      <c r="K7556" s="8" t="s">
        <v>122</v>
      </c>
      <c r="L7556" s="8" t="s">
        <v>123</v>
      </c>
      <c r="M7556" s="8" t="s">
        <v>119</v>
      </c>
      <c r="N7556" s="10" t="str">
        <f t="shared" si="680"/>
        <v>TON</v>
      </c>
      <c r="O7556" s="11">
        <v>6.02</v>
      </c>
    </row>
    <row r="7557" spans="2:15" x14ac:dyDescent="0.25">
      <c r="B7557" s="6" t="s">
        <v>1520</v>
      </c>
      <c r="C7557" s="7" t="s">
        <v>196</v>
      </c>
      <c r="D7557" s="8" t="s">
        <v>265</v>
      </c>
      <c r="E7557" s="8" t="s">
        <v>266</v>
      </c>
      <c r="F7557" s="9">
        <f t="shared" si="679"/>
        <v>45734</v>
      </c>
      <c r="G7557" s="10">
        <f t="shared" si="672"/>
        <v>3</v>
      </c>
      <c r="H7557" s="10">
        <f t="shared" si="673"/>
        <v>2025</v>
      </c>
      <c r="I7557" s="8" t="s">
        <v>4</v>
      </c>
      <c r="J7557" s="7" t="s">
        <v>8122</v>
      </c>
      <c r="K7557" s="8" t="s">
        <v>268</v>
      </c>
      <c r="L7557" s="8" t="s">
        <v>269</v>
      </c>
      <c r="M7557" s="8" t="s">
        <v>119</v>
      </c>
      <c r="N7557" s="10" t="str">
        <f t="shared" si="680"/>
        <v>TON</v>
      </c>
      <c r="O7557" s="11">
        <v>0.15</v>
      </c>
    </row>
    <row r="7558" spans="2:15" x14ac:dyDescent="0.25">
      <c r="B7558" s="6" t="s">
        <v>1520</v>
      </c>
      <c r="C7558" s="7" t="s">
        <v>196</v>
      </c>
      <c r="D7558" s="8" t="s">
        <v>721</v>
      </c>
      <c r="E7558" s="8" t="s">
        <v>722</v>
      </c>
      <c r="F7558" s="9">
        <f t="shared" ref="F7558:F7566" si="681">DATE(2025,3,19)</f>
        <v>45735</v>
      </c>
      <c r="G7558" s="10">
        <f t="shared" si="672"/>
        <v>3</v>
      </c>
      <c r="H7558" s="10">
        <f t="shared" si="673"/>
        <v>2025</v>
      </c>
      <c r="I7558" s="8" t="s">
        <v>4</v>
      </c>
      <c r="J7558" s="7" t="s">
        <v>8123</v>
      </c>
      <c r="K7558" s="8" t="s">
        <v>158</v>
      </c>
      <c r="L7558" s="8" t="s">
        <v>159</v>
      </c>
      <c r="M7558" s="8" t="s">
        <v>160</v>
      </c>
      <c r="N7558" s="10" t="str">
        <f t="shared" si="680"/>
        <v>GAL</v>
      </c>
      <c r="O7558" s="11">
        <v>5</v>
      </c>
    </row>
    <row r="7559" spans="2:15" x14ac:dyDescent="0.25">
      <c r="B7559" s="6" t="s">
        <v>1520</v>
      </c>
      <c r="C7559" s="7" t="s">
        <v>196</v>
      </c>
      <c r="D7559" s="8" t="s">
        <v>721</v>
      </c>
      <c r="E7559" s="8" t="s">
        <v>722</v>
      </c>
      <c r="F7559" s="9">
        <f t="shared" si="681"/>
        <v>45735</v>
      </c>
      <c r="G7559" s="10">
        <f t="shared" si="672"/>
        <v>3</v>
      </c>
      <c r="H7559" s="10">
        <f t="shared" si="673"/>
        <v>2025</v>
      </c>
      <c r="I7559" s="8" t="s">
        <v>4</v>
      </c>
      <c r="J7559" s="7" t="s">
        <v>8123</v>
      </c>
      <c r="K7559" s="8" t="s">
        <v>25</v>
      </c>
      <c r="L7559" s="8" t="s">
        <v>541</v>
      </c>
      <c r="M7559" s="8" t="s">
        <v>27</v>
      </c>
      <c r="N7559" s="10" t="str">
        <f t="shared" si="680"/>
        <v>GAL</v>
      </c>
      <c r="O7559" s="11">
        <v>5</v>
      </c>
    </row>
    <row r="7560" spans="2:15" x14ac:dyDescent="0.25">
      <c r="B7560" s="6" t="s">
        <v>1520</v>
      </c>
      <c r="C7560" s="7" t="s">
        <v>196</v>
      </c>
      <c r="D7560" s="8" t="s">
        <v>374</v>
      </c>
      <c r="E7560" s="8" t="s">
        <v>710</v>
      </c>
      <c r="F7560" s="9">
        <f t="shared" si="681"/>
        <v>45735</v>
      </c>
      <c r="G7560" s="10">
        <f t="shared" si="672"/>
        <v>3</v>
      </c>
      <c r="H7560" s="10">
        <f t="shared" si="673"/>
        <v>2025</v>
      </c>
      <c r="I7560" s="8" t="s">
        <v>4</v>
      </c>
      <c r="J7560" s="7" t="s">
        <v>8124</v>
      </c>
      <c r="K7560" s="8" t="s">
        <v>329</v>
      </c>
      <c r="L7560" s="8" t="s">
        <v>330</v>
      </c>
      <c r="M7560" s="8" t="s">
        <v>119</v>
      </c>
      <c r="N7560" s="10" t="str">
        <f t="shared" si="680"/>
        <v>TON</v>
      </c>
      <c r="O7560" s="11">
        <v>15</v>
      </c>
    </row>
    <row r="7561" spans="2:15" x14ac:dyDescent="0.25">
      <c r="B7561" s="6" t="s">
        <v>1520</v>
      </c>
      <c r="C7561" s="7" t="s">
        <v>196</v>
      </c>
      <c r="D7561" s="8" t="s">
        <v>232</v>
      </c>
      <c r="E7561" s="8" t="s">
        <v>6657</v>
      </c>
      <c r="F7561" s="9">
        <f t="shared" si="681"/>
        <v>45735</v>
      </c>
      <c r="G7561" s="10">
        <f t="shared" si="672"/>
        <v>3</v>
      </c>
      <c r="H7561" s="10">
        <f t="shared" si="673"/>
        <v>2025</v>
      </c>
      <c r="I7561" s="8" t="s">
        <v>4</v>
      </c>
      <c r="J7561" s="7" t="s">
        <v>8125</v>
      </c>
      <c r="K7561" s="8" t="s">
        <v>205</v>
      </c>
      <c r="L7561" s="8" t="s">
        <v>206</v>
      </c>
      <c r="M7561" s="8" t="s">
        <v>119</v>
      </c>
      <c r="N7561" s="10" t="str">
        <f t="shared" si="680"/>
        <v>TON</v>
      </c>
      <c r="O7561" s="11">
        <v>3.75</v>
      </c>
    </row>
    <row r="7562" spans="2:15" x14ac:dyDescent="0.25">
      <c r="B7562" s="6" t="s">
        <v>1520</v>
      </c>
      <c r="C7562" s="7" t="s">
        <v>196</v>
      </c>
      <c r="D7562" s="8" t="s">
        <v>248</v>
      </c>
      <c r="E7562" s="8" t="s">
        <v>735</v>
      </c>
      <c r="F7562" s="9">
        <f t="shared" si="681"/>
        <v>45735</v>
      </c>
      <c r="G7562" s="10">
        <f t="shared" si="672"/>
        <v>3</v>
      </c>
      <c r="H7562" s="10">
        <f t="shared" si="673"/>
        <v>2025</v>
      </c>
      <c r="I7562" s="8" t="s">
        <v>4</v>
      </c>
      <c r="J7562" s="7" t="s">
        <v>8126</v>
      </c>
      <c r="K7562" s="8" t="s">
        <v>205</v>
      </c>
      <c r="L7562" s="8" t="s">
        <v>206</v>
      </c>
      <c r="M7562" s="8" t="s">
        <v>119</v>
      </c>
      <c r="N7562" s="10" t="str">
        <f t="shared" si="680"/>
        <v>TON</v>
      </c>
      <c r="O7562" s="11">
        <v>5.0199999999999996</v>
      </c>
    </row>
    <row r="7563" spans="2:15" x14ac:dyDescent="0.25">
      <c r="B7563" s="6" t="s">
        <v>1520</v>
      </c>
      <c r="C7563" s="7" t="s">
        <v>196</v>
      </c>
      <c r="D7563" s="8" t="s">
        <v>721</v>
      </c>
      <c r="E7563" s="8" t="s">
        <v>722</v>
      </c>
      <c r="F7563" s="9">
        <f t="shared" si="681"/>
        <v>45735</v>
      </c>
      <c r="G7563" s="10">
        <f t="shared" si="672"/>
        <v>3</v>
      </c>
      <c r="H7563" s="10">
        <f t="shared" si="673"/>
        <v>2025</v>
      </c>
      <c r="I7563" s="8" t="s">
        <v>4</v>
      </c>
      <c r="J7563" s="7" t="s">
        <v>8127</v>
      </c>
      <c r="K7563" s="8" t="s">
        <v>384</v>
      </c>
      <c r="L7563" s="8" t="s">
        <v>385</v>
      </c>
      <c r="M7563" s="8" t="s">
        <v>119</v>
      </c>
      <c r="N7563" s="10" t="str">
        <f t="shared" si="680"/>
        <v>TON</v>
      </c>
      <c r="O7563" s="11">
        <v>2.5</v>
      </c>
    </row>
    <row r="7564" spans="2:15" x14ac:dyDescent="0.25">
      <c r="B7564" s="6" t="s">
        <v>1520</v>
      </c>
      <c r="C7564" s="7" t="s">
        <v>196</v>
      </c>
      <c r="D7564" s="8" t="s">
        <v>449</v>
      </c>
      <c r="E7564" s="8" t="s">
        <v>450</v>
      </c>
      <c r="F7564" s="9">
        <f t="shared" si="681"/>
        <v>45735</v>
      </c>
      <c r="G7564" s="10">
        <f t="shared" si="672"/>
        <v>3</v>
      </c>
      <c r="H7564" s="10">
        <f t="shared" si="673"/>
        <v>2025</v>
      </c>
      <c r="I7564" s="8" t="s">
        <v>4</v>
      </c>
      <c r="J7564" s="7" t="s">
        <v>8128</v>
      </c>
      <c r="K7564" s="8" t="s">
        <v>205</v>
      </c>
      <c r="L7564" s="8" t="s">
        <v>206</v>
      </c>
      <c r="M7564" s="8" t="s">
        <v>119</v>
      </c>
      <c r="N7564" s="10" t="str">
        <f t="shared" si="680"/>
        <v>TON</v>
      </c>
      <c r="O7564" s="11">
        <v>4.5</v>
      </c>
    </row>
    <row r="7565" spans="2:15" x14ac:dyDescent="0.25">
      <c r="B7565" s="6" t="s">
        <v>1520</v>
      </c>
      <c r="C7565" s="7" t="s">
        <v>196</v>
      </c>
      <c r="D7565" s="8" t="s">
        <v>289</v>
      </c>
      <c r="E7565" s="8" t="s">
        <v>290</v>
      </c>
      <c r="F7565" s="9">
        <f t="shared" si="681"/>
        <v>45735</v>
      </c>
      <c r="G7565" s="10">
        <f t="shared" si="672"/>
        <v>3</v>
      </c>
      <c r="H7565" s="10">
        <f t="shared" si="673"/>
        <v>2025</v>
      </c>
      <c r="I7565" s="8" t="s">
        <v>4</v>
      </c>
      <c r="J7565" s="7" t="s">
        <v>8129</v>
      </c>
      <c r="K7565" s="8" t="s">
        <v>865</v>
      </c>
      <c r="L7565" s="8" t="s">
        <v>866</v>
      </c>
      <c r="M7565" s="8" t="s">
        <v>119</v>
      </c>
      <c r="N7565" s="10" t="str">
        <f t="shared" si="680"/>
        <v>TON</v>
      </c>
      <c r="O7565" s="11">
        <v>0.75</v>
      </c>
    </row>
    <row r="7566" spans="2:15" x14ac:dyDescent="0.25">
      <c r="B7566" s="6" t="s">
        <v>1520</v>
      </c>
      <c r="C7566" s="7" t="s">
        <v>196</v>
      </c>
      <c r="D7566" s="8" t="s">
        <v>317</v>
      </c>
      <c r="E7566" s="8" t="s">
        <v>677</v>
      </c>
      <c r="F7566" s="9">
        <f t="shared" si="681"/>
        <v>45735</v>
      </c>
      <c r="G7566" s="10">
        <f t="shared" si="672"/>
        <v>3</v>
      </c>
      <c r="H7566" s="10">
        <f t="shared" si="673"/>
        <v>2025</v>
      </c>
      <c r="I7566" s="8" t="s">
        <v>4</v>
      </c>
      <c r="J7566" s="7" t="s">
        <v>8130</v>
      </c>
      <c r="K7566" s="8" t="s">
        <v>2350</v>
      </c>
      <c r="L7566" s="8" t="s">
        <v>2351</v>
      </c>
      <c r="M7566" s="8" t="s">
        <v>119</v>
      </c>
      <c r="N7566" s="10" t="str">
        <f t="shared" si="680"/>
        <v>TON</v>
      </c>
      <c r="O7566" s="11">
        <v>2.4900000000000002</v>
      </c>
    </row>
    <row r="7567" spans="2:15" x14ac:dyDescent="0.25">
      <c r="B7567" s="6" t="s">
        <v>1520</v>
      </c>
      <c r="C7567" s="7" t="s">
        <v>196</v>
      </c>
      <c r="D7567" s="8" t="s">
        <v>348</v>
      </c>
      <c r="E7567" s="8" t="s">
        <v>8131</v>
      </c>
      <c r="F7567" s="9">
        <f t="shared" ref="F7567:F7575" si="682">DATE(2025,3,20)</f>
        <v>45736</v>
      </c>
      <c r="G7567" s="10">
        <f t="shared" si="672"/>
        <v>3</v>
      </c>
      <c r="H7567" s="10">
        <f t="shared" si="673"/>
        <v>2025</v>
      </c>
      <c r="I7567" s="8" t="s">
        <v>4</v>
      </c>
      <c r="J7567" s="7" t="s">
        <v>8132</v>
      </c>
      <c r="K7567" s="8" t="s">
        <v>1188</v>
      </c>
      <c r="L7567" s="8" t="s">
        <v>541</v>
      </c>
      <c r="M7567" s="8" t="s">
        <v>27</v>
      </c>
      <c r="N7567" s="10" t="str">
        <f t="shared" si="680"/>
        <v>GAL</v>
      </c>
      <c r="O7567" s="11">
        <v>500</v>
      </c>
    </row>
    <row r="7568" spans="2:15" x14ac:dyDescent="0.25">
      <c r="B7568" s="6" t="s">
        <v>1520</v>
      </c>
      <c r="C7568" s="7" t="s">
        <v>196</v>
      </c>
      <c r="D7568" s="8" t="s">
        <v>348</v>
      </c>
      <c r="E7568" s="8" t="s">
        <v>8131</v>
      </c>
      <c r="F7568" s="9">
        <f t="shared" si="682"/>
        <v>45736</v>
      </c>
      <c r="G7568" s="10">
        <f t="shared" si="672"/>
        <v>3</v>
      </c>
      <c r="H7568" s="10">
        <f t="shared" si="673"/>
        <v>2025</v>
      </c>
      <c r="I7568" s="8" t="s">
        <v>4</v>
      </c>
      <c r="J7568" s="7" t="s">
        <v>8132</v>
      </c>
      <c r="K7568" s="8" t="s">
        <v>540</v>
      </c>
      <c r="L7568" s="8" t="s">
        <v>541</v>
      </c>
      <c r="M7568" s="8" t="s">
        <v>27</v>
      </c>
      <c r="N7568" s="10" t="str">
        <f t="shared" si="680"/>
        <v>GAL</v>
      </c>
      <c r="O7568" s="11">
        <v>55</v>
      </c>
    </row>
    <row r="7569" spans="2:15" x14ac:dyDescent="0.25">
      <c r="B7569" s="6" t="s">
        <v>1520</v>
      </c>
      <c r="C7569" s="7" t="s">
        <v>196</v>
      </c>
      <c r="D7569" s="8" t="s">
        <v>215</v>
      </c>
      <c r="E7569" s="8" t="s">
        <v>4113</v>
      </c>
      <c r="F7569" s="9">
        <f t="shared" si="682"/>
        <v>45736</v>
      </c>
      <c r="G7569" s="10">
        <f t="shared" si="672"/>
        <v>3</v>
      </c>
      <c r="H7569" s="10">
        <f t="shared" si="673"/>
        <v>2025</v>
      </c>
      <c r="I7569" s="8" t="s">
        <v>4</v>
      </c>
      <c r="J7569" s="7" t="s">
        <v>8133</v>
      </c>
      <c r="K7569" s="8" t="s">
        <v>220</v>
      </c>
      <c r="L7569" s="8" t="s">
        <v>201</v>
      </c>
      <c r="M7569" s="8" t="s">
        <v>202</v>
      </c>
      <c r="N7569" s="10" t="str">
        <f t="shared" si="680"/>
        <v>GAL</v>
      </c>
      <c r="O7569" s="11">
        <v>250</v>
      </c>
    </row>
    <row r="7570" spans="2:15" x14ac:dyDescent="0.25">
      <c r="B7570" s="6" t="s">
        <v>645</v>
      </c>
      <c r="C7570" s="7" t="s">
        <v>196</v>
      </c>
      <c r="D7570" s="8" t="s">
        <v>884</v>
      </c>
      <c r="E7570" s="8" t="s">
        <v>141</v>
      </c>
      <c r="F7570" s="9">
        <f t="shared" si="682"/>
        <v>45736</v>
      </c>
      <c r="G7570" s="10">
        <f t="shared" ref="G7570:G7616" si="683">+MONTH(F7570)</f>
        <v>3</v>
      </c>
      <c r="H7570" s="10">
        <f t="shared" ref="H7570:H7616" si="684">+YEAR(F7570)</f>
        <v>2025</v>
      </c>
      <c r="I7570" s="8" t="s">
        <v>4</v>
      </c>
      <c r="J7570" s="7" t="s">
        <v>8134</v>
      </c>
      <c r="K7570" s="8" t="s">
        <v>531</v>
      </c>
      <c r="L7570" s="8" t="s">
        <v>201</v>
      </c>
      <c r="M7570" s="8" t="s">
        <v>202</v>
      </c>
      <c r="N7570" s="10" t="str">
        <f t="shared" si="680"/>
        <v>GAL</v>
      </c>
      <c r="O7570" s="11">
        <v>30</v>
      </c>
    </row>
    <row r="7571" spans="2:15" x14ac:dyDescent="0.25">
      <c r="B7571" s="6" t="s">
        <v>1520</v>
      </c>
      <c r="C7571" s="7" t="s">
        <v>196</v>
      </c>
      <c r="D7571" s="8" t="s">
        <v>215</v>
      </c>
      <c r="E7571" s="8" t="s">
        <v>4113</v>
      </c>
      <c r="F7571" s="9">
        <f t="shared" si="682"/>
        <v>45736</v>
      </c>
      <c r="G7571" s="10">
        <f t="shared" si="683"/>
        <v>3</v>
      </c>
      <c r="H7571" s="10">
        <f t="shared" si="684"/>
        <v>2025</v>
      </c>
      <c r="I7571" s="8" t="s">
        <v>4</v>
      </c>
      <c r="J7571" s="7" t="s">
        <v>8135</v>
      </c>
      <c r="K7571" s="8" t="s">
        <v>205</v>
      </c>
      <c r="L7571" s="8" t="s">
        <v>206</v>
      </c>
      <c r="M7571" s="8" t="s">
        <v>119</v>
      </c>
      <c r="N7571" s="10" t="str">
        <f t="shared" si="680"/>
        <v>TON</v>
      </c>
      <c r="O7571" s="11">
        <v>2.5274999999999999</v>
      </c>
    </row>
    <row r="7572" spans="2:15" x14ac:dyDescent="0.25">
      <c r="B7572" s="6" t="s">
        <v>1520</v>
      </c>
      <c r="C7572" s="7" t="s">
        <v>196</v>
      </c>
      <c r="D7572" s="8" t="s">
        <v>197</v>
      </c>
      <c r="E7572" s="8" t="s">
        <v>198</v>
      </c>
      <c r="F7572" s="9">
        <f t="shared" si="682"/>
        <v>45736</v>
      </c>
      <c r="G7572" s="10">
        <f t="shared" si="683"/>
        <v>3</v>
      </c>
      <c r="H7572" s="10">
        <f t="shared" si="684"/>
        <v>2025</v>
      </c>
      <c r="I7572" s="8" t="s">
        <v>4</v>
      </c>
      <c r="J7572" s="7" t="s">
        <v>8136</v>
      </c>
      <c r="K7572" s="8" t="s">
        <v>307</v>
      </c>
      <c r="L7572" s="8" t="s">
        <v>308</v>
      </c>
      <c r="M7572" s="8" t="s">
        <v>119</v>
      </c>
      <c r="N7572" s="10" t="str">
        <f t="shared" si="680"/>
        <v>TON</v>
      </c>
      <c r="O7572" s="11">
        <v>4.0075000000000003</v>
      </c>
    </row>
    <row r="7573" spans="2:15" x14ac:dyDescent="0.25">
      <c r="B7573" s="6" t="s">
        <v>1520</v>
      </c>
      <c r="C7573" s="7" t="s">
        <v>196</v>
      </c>
      <c r="D7573" s="8" t="s">
        <v>114</v>
      </c>
      <c r="E7573" s="8" t="s">
        <v>927</v>
      </c>
      <c r="F7573" s="9">
        <f t="shared" si="682"/>
        <v>45736</v>
      </c>
      <c r="G7573" s="10">
        <f t="shared" si="683"/>
        <v>3</v>
      </c>
      <c r="H7573" s="10">
        <f t="shared" si="684"/>
        <v>2025</v>
      </c>
      <c r="I7573" s="8" t="s">
        <v>4</v>
      </c>
      <c r="J7573" s="7" t="s">
        <v>8137</v>
      </c>
      <c r="K7573" s="8" t="s">
        <v>2350</v>
      </c>
      <c r="L7573" s="8" t="s">
        <v>2351</v>
      </c>
      <c r="M7573" s="8" t="s">
        <v>119</v>
      </c>
      <c r="N7573" s="10" t="str">
        <f t="shared" si="680"/>
        <v>TON</v>
      </c>
      <c r="O7573" s="11">
        <v>3</v>
      </c>
    </row>
    <row r="7574" spans="2:15" x14ac:dyDescent="0.25">
      <c r="B7574" s="6" t="s">
        <v>1520</v>
      </c>
      <c r="C7574" s="7" t="s">
        <v>196</v>
      </c>
      <c r="D7574" s="8" t="s">
        <v>374</v>
      </c>
      <c r="E7574" s="8" t="s">
        <v>5309</v>
      </c>
      <c r="F7574" s="9">
        <f t="shared" si="682"/>
        <v>45736</v>
      </c>
      <c r="G7574" s="10">
        <f t="shared" si="683"/>
        <v>3</v>
      </c>
      <c r="H7574" s="10">
        <f t="shared" si="684"/>
        <v>2025</v>
      </c>
      <c r="I7574" s="8" t="s">
        <v>4</v>
      </c>
      <c r="J7574" s="7" t="s">
        <v>8138</v>
      </c>
      <c r="K7574" s="8" t="s">
        <v>329</v>
      </c>
      <c r="L7574" s="8" t="s">
        <v>330</v>
      </c>
      <c r="M7574" s="8" t="s">
        <v>119</v>
      </c>
      <c r="N7574" s="10" t="str">
        <f t="shared" si="680"/>
        <v>TON</v>
      </c>
      <c r="O7574" s="11">
        <v>15.012</v>
      </c>
    </row>
    <row r="7575" spans="2:15" x14ac:dyDescent="0.25">
      <c r="B7575" s="6" t="s">
        <v>645</v>
      </c>
      <c r="C7575" s="7" t="s">
        <v>196</v>
      </c>
      <c r="D7575" s="8" t="s">
        <v>884</v>
      </c>
      <c r="E7575" s="8" t="s">
        <v>141</v>
      </c>
      <c r="F7575" s="9">
        <f t="shared" si="682"/>
        <v>45736</v>
      </c>
      <c r="G7575" s="10">
        <f t="shared" si="683"/>
        <v>3</v>
      </c>
      <c r="H7575" s="10">
        <f t="shared" si="684"/>
        <v>2025</v>
      </c>
      <c r="I7575" s="8" t="s">
        <v>4</v>
      </c>
      <c r="J7575" s="7" t="s">
        <v>8139</v>
      </c>
      <c r="K7575" s="8" t="s">
        <v>384</v>
      </c>
      <c r="L7575" s="8" t="s">
        <v>385</v>
      </c>
      <c r="M7575" s="8" t="s">
        <v>119</v>
      </c>
      <c r="N7575" s="10" t="str">
        <f t="shared" si="680"/>
        <v>TON</v>
      </c>
      <c r="O7575" s="11">
        <v>2</v>
      </c>
    </row>
    <row r="7576" spans="2:15" x14ac:dyDescent="0.25">
      <c r="B7576" s="6" t="s">
        <v>1520</v>
      </c>
      <c r="C7576" s="7" t="s">
        <v>196</v>
      </c>
      <c r="D7576" s="8" t="s">
        <v>440</v>
      </c>
      <c r="E7576" s="8" t="s">
        <v>441</v>
      </c>
      <c r="F7576" s="9">
        <f>DATE(2025,3,21)</f>
        <v>45737</v>
      </c>
      <c r="G7576" s="10">
        <f t="shared" si="683"/>
        <v>3</v>
      </c>
      <c r="H7576" s="10">
        <f t="shared" si="684"/>
        <v>2025</v>
      </c>
      <c r="I7576" s="8" t="s">
        <v>4</v>
      </c>
      <c r="J7576" s="7" t="s">
        <v>8140</v>
      </c>
      <c r="K7576" s="8" t="s">
        <v>447</v>
      </c>
      <c r="L7576" s="8" t="s">
        <v>448</v>
      </c>
      <c r="M7576" s="8" t="s">
        <v>119</v>
      </c>
      <c r="N7576" s="10" t="str">
        <f t="shared" si="680"/>
        <v>TON</v>
      </c>
      <c r="O7576" s="11">
        <v>7.5125000000000002</v>
      </c>
    </row>
    <row r="7577" spans="2:15" x14ac:dyDescent="0.25">
      <c r="B7577" s="6" t="s">
        <v>1520</v>
      </c>
      <c r="C7577" s="7" t="s">
        <v>196</v>
      </c>
      <c r="D7577" s="8" t="s">
        <v>114</v>
      </c>
      <c r="E7577" s="8" t="s">
        <v>5054</v>
      </c>
      <c r="F7577" s="9">
        <f>DATE(2025,3,21)</f>
        <v>45737</v>
      </c>
      <c r="G7577" s="10">
        <f t="shared" si="683"/>
        <v>3</v>
      </c>
      <c r="H7577" s="10">
        <f t="shared" si="684"/>
        <v>2025</v>
      </c>
      <c r="I7577" s="8" t="s">
        <v>4</v>
      </c>
      <c r="J7577" s="7" t="s">
        <v>8141</v>
      </c>
      <c r="K7577" s="8" t="s">
        <v>2350</v>
      </c>
      <c r="L7577" s="8" t="s">
        <v>2351</v>
      </c>
      <c r="M7577" s="8" t="s">
        <v>119</v>
      </c>
      <c r="N7577" s="10" t="str">
        <f t="shared" si="680"/>
        <v>TON</v>
      </c>
      <c r="O7577" s="11">
        <v>5.9924999999999997</v>
      </c>
    </row>
    <row r="7578" spans="2:15" x14ac:dyDescent="0.25">
      <c r="B7578" s="6" t="s">
        <v>1520</v>
      </c>
      <c r="C7578" s="7" t="s">
        <v>196</v>
      </c>
      <c r="D7578" s="8" t="s">
        <v>1343</v>
      </c>
      <c r="E7578" s="8" t="s">
        <v>3729</v>
      </c>
      <c r="F7578" s="9">
        <f>DATE(2025,3,21)</f>
        <v>45737</v>
      </c>
      <c r="G7578" s="10">
        <f t="shared" si="683"/>
        <v>3</v>
      </c>
      <c r="H7578" s="10">
        <f t="shared" si="684"/>
        <v>2025</v>
      </c>
      <c r="I7578" s="8" t="s">
        <v>4</v>
      </c>
      <c r="J7578" s="7" t="s">
        <v>8142</v>
      </c>
      <c r="K7578" s="8" t="s">
        <v>447</v>
      </c>
      <c r="L7578" s="8" t="s">
        <v>448</v>
      </c>
      <c r="M7578" s="8" t="s">
        <v>119</v>
      </c>
      <c r="N7578" s="10" t="str">
        <f t="shared" si="680"/>
        <v>TON</v>
      </c>
      <c r="O7578" s="11">
        <v>15.02</v>
      </c>
    </row>
    <row r="7579" spans="2:15" x14ac:dyDescent="0.25">
      <c r="B7579" s="6" t="s">
        <v>1520</v>
      </c>
      <c r="C7579" s="7" t="s">
        <v>196</v>
      </c>
      <c r="D7579" s="8" t="s">
        <v>1343</v>
      </c>
      <c r="E7579" s="8" t="s">
        <v>4151</v>
      </c>
      <c r="F7579" s="9">
        <f t="shared" ref="F7579:F7587" si="685">DATE(2025,3,24)</f>
        <v>45740</v>
      </c>
      <c r="G7579" s="10">
        <f t="shared" si="683"/>
        <v>3</v>
      </c>
      <c r="H7579" s="10">
        <f t="shared" si="684"/>
        <v>2025</v>
      </c>
      <c r="I7579" s="8" t="s">
        <v>4</v>
      </c>
      <c r="J7579" s="7" t="s">
        <v>8143</v>
      </c>
      <c r="K7579" s="8" t="s">
        <v>447</v>
      </c>
      <c r="L7579" s="8" t="s">
        <v>448</v>
      </c>
      <c r="M7579" s="8" t="s">
        <v>119</v>
      </c>
      <c r="N7579" s="10" t="str">
        <f t="shared" si="680"/>
        <v>TON</v>
      </c>
      <c r="O7579" s="11">
        <v>15.015000000000001</v>
      </c>
    </row>
    <row r="7580" spans="2:15" x14ac:dyDescent="0.25">
      <c r="B7580" s="6" t="s">
        <v>1520</v>
      </c>
      <c r="C7580" s="7" t="s">
        <v>196</v>
      </c>
      <c r="D7580" s="8" t="s">
        <v>452</v>
      </c>
      <c r="E7580" s="8" t="s">
        <v>7092</v>
      </c>
      <c r="F7580" s="9">
        <f t="shared" si="685"/>
        <v>45740</v>
      </c>
      <c r="G7580" s="10">
        <f t="shared" si="683"/>
        <v>3</v>
      </c>
      <c r="H7580" s="10">
        <f t="shared" si="684"/>
        <v>2025</v>
      </c>
      <c r="I7580" s="8" t="s">
        <v>4</v>
      </c>
      <c r="J7580" s="7" t="s">
        <v>8144</v>
      </c>
      <c r="K7580" s="8" t="s">
        <v>447</v>
      </c>
      <c r="L7580" s="8" t="s">
        <v>448</v>
      </c>
      <c r="M7580" s="8" t="s">
        <v>119</v>
      </c>
      <c r="N7580" s="10" t="str">
        <f t="shared" si="680"/>
        <v>TON</v>
      </c>
      <c r="O7580" s="11">
        <v>3.5074999999999998</v>
      </c>
    </row>
    <row r="7581" spans="2:15" x14ac:dyDescent="0.25">
      <c r="B7581" s="6" t="s">
        <v>1520</v>
      </c>
      <c r="C7581" s="7" t="s">
        <v>196</v>
      </c>
      <c r="D7581" s="8" t="s">
        <v>440</v>
      </c>
      <c r="E7581" s="8" t="s">
        <v>1274</v>
      </c>
      <c r="F7581" s="9">
        <f t="shared" si="685"/>
        <v>45740</v>
      </c>
      <c r="G7581" s="10">
        <f t="shared" si="683"/>
        <v>3</v>
      </c>
      <c r="H7581" s="10">
        <f t="shared" si="684"/>
        <v>2025</v>
      </c>
      <c r="I7581" s="8" t="s">
        <v>4</v>
      </c>
      <c r="J7581" s="7" t="s">
        <v>8145</v>
      </c>
      <c r="K7581" s="8" t="s">
        <v>447</v>
      </c>
      <c r="L7581" s="8" t="s">
        <v>448</v>
      </c>
      <c r="M7581" s="8" t="s">
        <v>119</v>
      </c>
      <c r="N7581" s="10" t="str">
        <f t="shared" si="680"/>
        <v>TON</v>
      </c>
      <c r="O7581" s="11">
        <v>5.0025000000000004</v>
      </c>
    </row>
    <row r="7582" spans="2:15" x14ac:dyDescent="0.25">
      <c r="B7582" s="6" t="s">
        <v>1520</v>
      </c>
      <c r="C7582" s="7" t="s">
        <v>196</v>
      </c>
      <c r="D7582" s="8" t="s">
        <v>215</v>
      </c>
      <c r="E7582" s="8" t="s">
        <v>313</v>
      </c>
      <c r="F7582" s="9">
        <f t="shared" si="685"/>
        <v>45740</v>
      </c>
      <c r="G7582" s="10">
        <f t="shared" si="683"/>
        <v>3</v>
      </c>
      <c r="H7582" s="10">
        <f t="shared" si="684"/>
        <v>2025</v>
      </c>
      <c r="I7582" s="8" t="s">
        <v>4</v>
      </c>
      <c r="J7582" s="7" t="s">
        <v>8146</v>
      </c>
      <c r="K7582" s="8" t="s">
        <v>205</v>
      </c>
      <c r="L7582" s="8" t="s">
        <v>206</v>
      </c>
      <c r="M7582" s="8" t="s">
        <v>119</v>
      </c>
      <c r="N7582" s="10" t="str">
        <f t="shared" si="680"/>
        <v>TON</v>
      </c>
      <c r="O7582" s="11">
        <v>3.0125000000000002</v>
      </c>
    </row>
    <row r="7583" spans="2:15" x14ac:dyDescent="0.25">
      <c r="B7583" s="6" t="s">
        <v>1520</v>
      </c>
      <c r="C7583" s="7" t="s">
        <v>196</v>
      </c>
      <c r="D7583" s="8" t="s">
        <v>285</v>
      </c>
      <c r="E7583" s="8" t="s">
        <v>297</v>
      </c>
      <c r="F7583" s="9">
        <f t="shared" si="685"/>
        <v>45740</v>
      </c>
      <c r="G7583" s="10">
        <f t="shared" si="683"/>
        <v>3</v>
      </c>
      <c r="H7583" s="10">
        <f t="shared" si="684"/>
        <v>2025</v>
      </c>
      <c r="I7583" s="8" t="s">
        <v>4</v>
      </c>
      <c r="J7583" s="7" t="s">
        <v>8147</v>
      </c>
      <c r="K7583" s="8" t="s">
        <v>205</v>
      </c>
      <c r="L7583" s="8" t="s">
        <v>206</v>
      </c>
      <c r="M7583" s="8" t="s">
        <v>119</v>
      </c>
      <c r="N7583" s="10" t="str">
        <f t="shared" si="680"/>
        <v>TON</v>
      </c>
      <c r="O7583" s="11">
        <v>15.035</v>
      </c>
    </row>
    <row r="7584" spans="2:15" x14ac:dyDescent="0.25">
      <c r="B7584" s="6" t="s">
        <v>1520</v>
      </c>
      <c r="C7584" s="7" t="s">
        <v>196</v>
      </c>
      <c r="D7584" s="8" t="s">
        <v>317</v>
      </c>
      <c r="E7584" s="8" t="s">
        <v>677</v>
      </c>
      <c r="F7584" s="9">
        <f t="shared" si="685"/>
        <v>45740</v>
      </c>
      <c r="G7584" s="10">
        <f t="shared" si="683"/>
        <v>3</v>
      </c>
      <c r="H7584" s="10">
        <f t="shared" si="684"/>
        <v>2025</v>
      </c>
      <c r="I7584" s="8" t="s">
        <v>4</v>
      </c>
      <c r="J7584" s="7" t="s">
        <v>8148</v>
      </c>
      <c r="K7584" s="8" t="s">
        <v>2350</v>
      </c>
      <c r="L7584" s="8" t="s">
        <v>2351</v>
      </c>
      <c r="M7584" s="8" t="s">
        <v>119</v>
      </c>
      <c r="N7584" s="10" t="str">
        <f t="shared" si="680"/>
        <v>TON</v>
      </c>
      <c r="O7584" s="11">
        <v>4.01</v>
      </c>
    </row>
    <row r="7585" spans="2:15" x14ac:dyDescent="0.25">
      <c r="B7585" s="6" t="s">
        <v>1520</v>
      </c>
      <c r="C7585" s="7" t="s">
        <v>196</v>
      </c>
      <c r="D7585" s="8" t="s">
        <v>317</v>
      </c>
      <c r="E7585" s="8" t="s">
        <v>677</v>
      </c>
      <c r="F7585" s="9">
        <f t="shared" si="685"/>
        <v>45740</v>
      </c>
      <c r="G7585" s="10">
        <f t="shared" si="683"/>
        <v>3</v>
      </c>
      <c r="H7585" s="10">
        <f t="shared" si="684"/>
        <v>2025</v>
      </c>
      <c r="I7585" s="8" t="s">
        <v>4</v>
      </c>
      <c r="J7585" s="7" t="s">
        <v>8149</v>
      </c>
      <c r="K7585" s="8" t="s">
        <v>2350</v>
      </c>
      <c r="L7585" s="8" t="s">
        <v>2351</v>
      </c>
      <c r="M7585" s="8" t="s">
        <v>119</v>
      </c>
      <c r="N7585" s="10" t="str">
        <f t="shared" si="680"/>
        <v>TON</v>
      </c>
      <c r="O7585" s="11">
        <v>3.4975000000000001</v>
      </c>
    </row>
    <row r="7586" spans="2:15" x14ac:dyDescent="0.25">
      <c r="B7586" s="6" t="s">
        <v>1520</v>
      </c>
      <c r="C7586" s="7" t="s">
        <v>196</v>
      </c>
      <c r="D7586" s="8" t="s">
        <v>440</v>
      </c>
      <c r="E7586" s="8" t="s">
        <v>1369</v>
      </c>
      <c r="F7586" s="9">
        <f t="shared" si="685"/>
        <v>45740</v>
      </c>
      <c r="G7586" s="10">
        <f t="shared" si="683"/>
        <v>3</v>
      </c>
      <c r="H7586" s="10">
        <f t="shared" si="684"/>
        <v>2025</v>
      </c>
      <c r="I7586" s="8" t="s">
        <v>4</v>
      </c>
      <c r="J7586" s="7" t="s">
        <v>8150</v>
      </c>
      <c r="K7586" s="8" t="s">
        <v>447</v>
      </c>
      <c r="L7586" s="8" t="s">
        <v>448</v>
      </c>
      <c r="M7586" s="8" t="s">
        <v>119</v>
      </c>
      <c r="N7586" s="10" t="str">
        <f t="shared" si="680"/>
        <v>TON</v>
      </c>
      <c r="O7586" s="11">
        <v>5.0149999999999997</v>
      </c>
    </row>
    <row r="7587" spans="2:15" x14ac:dyDescent="0.25">
      <c r="B7587" s="6" t="s">
        <v>1520</v>
      </c>
      <c r="C7587" s="7" t="s">
        <v>196</v>
      </c>
      <c r="D7587" s="8" t="s">
        <v>285</v>
      </c>
      <c r="E7587" s="8" t="s">
        <v>297</v>
      </c>
      <c r="F7587" s="9">
        <f t="shared" si="685"/>
        <v>45740</v>
      </c>
      <c r="G7587" s="10">
        <f t="shared" si="683"/>
        <v>3</v>
      </c>
      <c r="H7587" s="10">
        <f t="shared" si="684"/>
        <v>2025</v>
      </c>
      <c r="I7587" s="8" t="s">
        <v>4</v>
      </c>
      <c r="J7587" s="7" t="s">
        <v>8151</v>
      </c>
      <c r="K7587" s="8" t="s">
        <v>205</v>
      </c>
      <c r="L7587" s="8" t="s">
        <v>206</v>
      </c>
      <c r="M7587" s="8" t="s">
        <v>119</v>
      </c>
      <c r="N7587" s="10" t="str">
        <f t="shared" si="680"/>
        <v>TON</v>
      </c>
      <c r="O7587" s="11">
        <v>15.03</v>
      </c>
    </row>
    <row r="7588" spans="2:15" x14ac:dyDescent="0.25">
      <c r="B7588" s="6" t="s">
        <v>1520</v>
      </c>
      <c r="C7588" s="7" t="s">
        <v>196</v>
      </c>
      <c r="D7588" s="8" t="s">
        <v>285</v>
      </c>
      <c r="E7588" s="8" t="s">
        <v>297</v>
      </c>
      <c r="F7588" s="9">
        <f t="shared" ref="F7588:F7598" si="686">DATE(2025,3,25)</f>
        <v>45741</v>
      </c>
      <c r="G7588" s="10">
        <f t="shared" si="683"/>
        <v>3</v>
      </c>
      <c r="H7588" s="10">
        <f t="shared" si="684"/>
        <v>2025</v>
      </c>
      <c r="I7588" s="8" t="s">
        <v>4</v>
      </c>
      <c r="J7588" s="7" t="s">
        <v>8152</v>
      </c>
      <c r="K7588" s="8" t="s">
        <v>205</v>
      </c>
      <c r="L7588" s="8" t="s">
        <v>206</v>
      </c>
      <c r="M7588" s="8" t="s">
        <v>119</v>
      </c>
      <c r="N7588" s="10" t="str">
        <f t="shared" si="680"/>
        <v>TON</v>
      </c>
      <c r="O7588" s="11">
        <v>10.035</v>
      </c>
    </row>
    <row r="7589" spans="2:15" x14ac:dyDescent="0.25">
      <c r="B7589" s="6" t="s">
        <v>1520</v>
      </c>
      <c r="C7589" s="7" t="s">
        <v>196</v>
      </c>
      <c r="D7589" s="8" t="s">
        <v>207</v>
      </c>
      <c r="E7589" s="8" t="s">
        <v>208</v>
      </c>
      <c r="F7589" s="9">
        <f t="shared" si="686"/>
        <v>45741</v>
      </c>
      <c r="G7589" s="10">
        <f t="shared" si="683"/>
        <v>3</v>
      </c>
      <c r="H7589" s="10">
        <f t="shared" si="684"/>
        <v>2025</v>
      </c>
      <c r="I7589" s="8" t="s">
        <v>4</v>
      </c>
      <c r="J7589" s="7" t="s">
        <v>8153</v>
      </c>
      <c r="K7589" s="8" t="s">
        <v>205</v>
      </c>
      <c r="L7589" s="8" t="s">
        <v>206</v>
      </c>
      <c r="M7589" s="8" t="s">
        <v>119</v>
      </c>
      <c r="N7589" s="10" t="str">
        <f t="shared" si="680"/>
        <v>TON</v>
      </c>
      <c r="O7589" s="11">
        <v>5.0250000000000004</v>
      </c>
    </row>
    <row r="7590" spans="2:15" x14ac:dyDescent="0.25">
      <c r="B7590" s="6" t="s">
        <v>1520</v>
      </c>
      <c r="C7590" s="7" t="s">
        <v>196</v>
      </c>
      <c r="D7590" s="8" t="s">
        <v>1375</v>
      </c>
      <c r="E7590" s="8" t="s">
        <v>102</v>
      </c>
      <c r="F7590" s="9">
        <f t="shared" si="686"/>
        <v>45741</v>
      </c>
      <c r="G7590" s="10">
        <f t="shared" si="683"/>
        <v>3</v>
      </c>
      <c r="H7590" s="10">
        <f t="shared" si="684"/>
        <v>2025</v>
      </c>
      <c r="I7590" s="8" t="s">
        <v>4</v>
      </c>
      <c r="J7590" s="7" t="s">
        <v>8154</v>
      </c>
      <c r="K7590" s="8" t="s">
        <v>8093</v>
      </c>
      <c r="L7590" s="8" t="s">
        <v>99</v>
      </c>
      <c r="M7590" s="8" t="s">
        <v>100</v>
      </c>
      <c r="N7590" s="10" t="str">
        <f t="shared" si="680"/>
        <v>GAL</v>
      </c>
      <c r="O7590" s="11">
        <v>20</v>
      </c>
    </row>
    <row r="7591" spans="2:15" x14ac:dyDescent="0.25">
      <c r="B7591" s="6" t="s">
        <v>1520</v>
      </c>
      <c r="C7591" s="7" t="s">
        <v>196</v>
      </c>
      <c r="D7591" s="8" t="s">
        <v>4013</v>
      </c>
      <c r="E7591" s="8" t="s">
        <v>5546</v>
      </c>
      <c r="F7591" s="9">
        <f t="shared" si="686"/>
        <v>45741</v>
      </c>
      <c r="G7591" s="10">
        <f t="shared" si="683"/>
        <v>3</v>
      </c>
      <c r="H7591" s="10">
        <f t="shared" si="684"/>
        <v>2025</v>
      </c>
      <c r="I7591" s="8" t="s">
        <v>4</v>
      </c>
      <c r="J7591" s="7" t="s">
        <v>8155</v>
      </c>
      <c r="K7591" s="8" t="s">
        <v>205</v>
      </c>
      <c r="L7591" s="8" t="s">
        <v>206</v>
      </c>
      <c r="M7591" s="8" t="s">
        <v>119</v>
      </c>
      <c r="N7591" s="10" t="str">
        <f t="shared" si="680"/>
        <v>TON</v>
      </c>
      <c r="O7591" s="11">
        <v>1</v>
      </c>
    </row>
    <row r="7592" spans="2:15" x14ac:dyDescent="0.25">
      <c r="B7592" s="6" t="s">
        <v>1520</v>
      </c>
      <c r="C7592" s="7" t="s">
        <v>196</v>
      </c>
      <c r="D7592" s="8" t="s">
        <v>404</v>
      </c>
      <c r="E7592" s="8" t="s">
        <v>405</v>
      </c>
      <c r="F7592" s="9">
        <f t="shared" si="686"/>
        <v>45741</v>
      </c>
      <c r="G7592" s="10">
        <f t="shared" si="683"/>
        <v>3</v>
      </c>
      <c r="H7592" s="10">
        <f t="shared" si="684"/>
        <v>2025</v>
      </c>
      <c r="I7592" s="8" t="s">
        <v>4</v>
      </c>
      <c r="J7592" s="7" t="s">
        <v>8156</v>
      </c>
      <c r="K7592" s="8" t="s">
        <v>122</v>
      </c>
      <c r="L7592" s="8" t="s">
        <v>123</v>
      </c>
      <c r="M7592" s="8" t="s">
        <v>119</v>
      </c>
      <c r="N7592" s="10" t="str">
        <f t="shared" si="680"/>
        <v>TON</v>
      </c>
      <c r="O7592" s="11">
        <v>2.4975000000000001</v>
      </c>
    </row>
    <row r="7593" spans="2:15" x14ac:dyDescent="0.25">
      <c r="B7593" s="6" t="s">
        <v>1520</v>
      </c>
      <c r="C7593" s="7" t="s">
        <v>196</v>
      </c>
      <c r="D7593" s="8" t="s">
        <v>800</v>
      </c>
      <c r="E7593" s="8" t="s">
        <v>907</v>
      </c>
      <c r="F7593" s="9">
        <f t="shared" si="686"/>
        <v>45741</v>
      </c>
      <c r="G7593" s="10">
        <f t="shared" si="683"/>
        <v>3</v>
      </c>
      <c r="H7593" s="10">
        <f t="shared" si="684"/>
        <v>2025</v>
      </c>
      <c r="I7593" s="8" t="s">
        <v>4</v>
      </c>
      <c r="J7593" s="7" t="s">
        <v>8157</v>
      </c>
      <c r="K7593" s="8" t="s">
        <v>205</v>
      </c>
      <c r="L7593" s="8" t="s">
        <v>206</v>
      </c>
      <c r="M7593" s="8" t="s">
        <v>119</v>
      </c>
      <c r="N7593" s="10" t="str">
        <f t="shared" si="680"/>
        <v>TON</v>
      </c>
      <c r="O7593" s="11">
        <v>3.0175000000000001</v>
      </c>
    </row>
    <row r="7594" spans="2:15" x14ac:dyDescent="0.25">
      <c r="B7594" s="6" t="s">
        <v>1520</v>
      </c>
      <c r="C7594" s="7" t="s">
        <v>196</v>
      </c>
      <c r="D7594" s="8" t="s">
        <v>3767</v>
      </c>
      <c r="E7594" s="8" t="s">
        <v>4219</v>
      </c>
      <c r="F7594" s="9">
        <f t="shared" si="686"/>
        <v>45741</v>
      </c>
      <c r="G7594" s="10">
        <f t="shared" si="683"/>
        <v>3</v>
      </c>
      <c r="H7594" s="10">
        <f t="shared" si="684"/>
        <v>2025</v>
      </c>
      <c r="I7594" s="8" t="s">
        <v>4</v>
      </c>
      <c r="J7594" s="7" t="s">
        <v>8158</v>
      </c>
      <c r="K7594" s="8" t="s">
        <v>205</v>
      </c>
      <c r="L7594" s="8" t="s">
        <v>206</v>
      </c>
      <c r="M7594" s="8" t="s">
        <v>119</v>
      </c>
      <c r="N7594" s="10" t="str">
        <f t="shared" si="680"/>
        <v>TON</v>
      </c>
      <c r="O7594" s="11">
        <v>2.5274999999999999</v>
      </c>
    </row>
    <row r="7595" spans="2:15" x14ac:dyDescent="0.25">
      <c r="B7595" s="6" t="s">
        <v>1520</v>
      </c>
      <c r="C7595" s="7" t="s">
        <v>196</v>
      </c>
      <c r="D7595" s="8" t="s">
        <v>221</v>
      </c>
      <c r="E7595" s="8" t="s">
        <v>332</v>
      </c>
      <c r="F7595" s="9">
        <f t="shared" si="686"/>
        <v>45741</v>
      </c>
      <c r="G7595" s="10">
        <f t="shared" si="683"/>
        <v>3</v>
      </c>
      <c r="H7595" s="10">
        <f t="shared" si="684"/>
        <v>2025</v>
      </c>
      <c r="I7595" s="8" t="s">
        <v>4</v>
      </c>
      <c r="J7595" s="7" t="s">
        <v>8159</v>
      </c>
      <c r="K7595" s="8" t="s">
        <v>447</v>
      </c>
      <c r="L7595" s="8" t="s">
        <v>448</v>
      </c>
      <c r="M7595" s="8" t="s">
        <v>119</v>
      </c>
      <c r="N7595" s="10" t="str">
        <f t="shared" si="680"/>
        <v>TON</v>
      </c>
      <c r="O7595" s="11">
        <v>5.0250000000000004</v>
      </c>
    </row>
    <row r="7596" spans="2:15" x14ac:dyDescent="0.25">
      <c r="B7596" s="6" t="s">
        <v>1520</v>
      </c>
      <c r="C7596" s="7" t="s">
        <v>196</v>
      </c>
      <c r="D7596" s="8" t="s">
        <v>114</v>
      </c>
      <c r="E7596" s="8" t="s">
        <v>491</v>
      </c>
      <c r="F7596" s="9">
        <f t="shared" si="686"/>
        <v>45741</v>
      </c>
      <c r="G7596" s="10">
        <f t="shared" si="683"/>
        <v>3</v>
      </c>
      <c r="H7596" s="10">
        <f t="shared" si="684"/>
        <v>2025</v>
      </c>
      <c r="I7596" s="8" t="s">
        <v>4</v>
      </c>
      <c r="J7596" s="7" t="s">
        <v>8160</v>
      </c>
      <c r="K7596" s="8" t="s">
        <v>2350</v>
      </c>
      <c r="L7596" s="8" t="s">
        <v>2351</v>
      </c>
      <c r="M7596" s="8" t="s">
        <v>119</v>
      </c>
      <c r="N7596" s="10" t="str">
        <f t="shared" si="680"/>
        <v>TON</v>
      </c>
      <c r="O7596" s="11">
        <v>2.4775</v>
      </c>
    </row>
    <row r="7597" spans="2:15" x14ac:dyDescent="0.25">
      <c r="B7597" s="6" t="s">
        <v>1520</v>
      </c>
      <c r="C7597" s="7" t="s">
        <v>196</v>
      </c>
      <c r="D7597" s="8" t="s">
        <v>215</v>
      </c>
      <c r="E7597" s="8" t="s">
        <v>313</v>
      </c>
      <c r="F7597" s="9">
        <f t="shared" si="686"/>
        <v>45741</v>
      </c>
      <c r="G7597" s="10">
        <f t="shared" si="683"/>
        <v>3</v>
      </c>
      <c r="H7597" s="10">
        <f t="shared" si="684"/>
        <v>2025</v>
      </c>
      <c r="I7597" s="8" t="s">
        <v>4</v>
      </c>
      <c r="J7597" s="7" t="s">
        <v>8161</v>
      </c>
      <c r="K7597" s="8" t="s">
        <v>205</v>
      </c>
      <c r="L7597" s="8" t="s">
        <v>206</v>
      </c>
      <c r="M7597" s="8" t="s">
        <v>119</v>
      </c>
      <c r="N7597" s="10" t="str">
        <f t="shared" si="680"/>
        <v>TON</v>
      </c>
      <c r="O7597" s="11">
        <v>2.0225</v>
      </c>
    </row>
    <row r="7598" spans="2:15" x14ac:dyDescent="0.25">
      <c r="B7598" s="6" t="s">
        <v>1520</v>
      </c>
      <c r="C7598" s="7" t="s">
        <v>196</v>
      </c>
      <c r="D7598" s="8" t="s">
        <v>458</v>
      </c>
      <c r="E7598" s="8" t="s">
        <v>2868</v>
      </c>
      <c r="F7598" s="9">
        <f t="shared" si="686"/>
        <v>45741</v>
      </c>
      <c r="G7598" s="10">
        <f t="shared" si="683"/>
        <v>3</v>
      </c>
      <c r="H7598" s="10">
        <f t="shared" si="684"/>
        <v>2025</v>
      </c>
      <c r="I7598" s="8" t="s">
        <v>4</v>
      </c>
      <c r="J7598" s="7" t="s">
        <v>8162</v>
      </c>
      <c r="K7598" s="8" t="s">
        <v>251</v>
      </c>
      <c r="L7598" s="8" t="s">
        <v>252</v>
      </c>
      <c r="M7598" s="8" t="s">
        <v>119</v>
      </c>
      <c r="N7598" s="10" t="str">
        <f t="shared" si="680"/>
        <v>TON</v>
      </c>
      <c r="O7598" s="11">
        <v>5.0274999999999999</v>
      </c>
    </row>
    <row r="7599" spans="2:15" x14ac:dyDescent="0.25">
      <c r="B7599" s="6" t="s">
        <v>1520</v>
      </c>
      <c r="C7599" s="7" t="s">
        <v>196</v>
      </c>
      <c r="D7599" s="8" t="s">
        <v>1375</v>
      </c>
      <c r="E7599" s="8" t="s">
        <v>102</v>
      </c>
      <c r="F7599" s="9">
        <f>DATE(2025,3,26)</f>
        <v>45742</v>
      </c>
      <c r="G7599" s="10">
        <f t="shared" si="683"/>
        <v>3</v>
      </c>
      <c r="H7599" s="10">
        <f t="shared" si="684"/>
        <v>2025</v>
      </c>
      <c r="I7599" s="8" t="s">
        <v>4</v>
      </c>
      <c r="J7599" s="7" t="s">
        <v>8163</v>
      </c>
      <c r="K7599" s="8" t="s">
        <v>205</v>
      </c>
      <c r="L7599" s="8" t="s">
        <v>206</v>
      </c>
      <c r="M7599" s="8" t="s">
        <v>119</v>
      </c>
      <c r="N7599" s="10" t="str">
        <f t="shared" si="680"/>
        <v>TON</v>
      </c>
      <c r="O7599" s="11">
        <v>5</v>
      </c>
    </row>
    <row r="7600" spans="2:15" x14ac:dyDescent="0.25">
      <c r="B7600" s="6" t="s">
        <v>1520</v>
      </c>
      <c r="C7600" s="7" t="s">
        <v>196</v>
      </c>
      <c r="D7600" s="8" t="s">
        <v>215</v>
      </c>
      <c r="E7600" s="8" t="s">
        <v>4113</v>
      </c>
      <c r="F7600" s="9">
        <f>DATE(2025,3,26)</f>
        <v>45742</v>
      </c>
      <c r="G7600" s="10">
        <f t="shared" si="683"/>
        <v>3</v>
      </c>
      <c r="H7600" s="10">
        <f t="shared" si="684"/>
        <v>2025</v>
      </c>
      <c r="I7600" s="8" t="s">
        <v>4</v>
      </c>
      <c r="J7600" s="7" t="s">
        <v>8164</v>
      </c>
      <c r="K7600" s="8" t="s">
        <v>205</v>
      </c>
      <c r="L7600" s="8" t="s">
        <v>206</v>
      </c>
      <c r="M7600" s="8" t="s">
        <v>119</v>
      </c>
      <c r="N7600" s="10" t="str">
        <f t="shared" si="680"/>
        <v>TON</v>
      </c>
      <c r="O7600" s="11">
        <v>12.54</v>
      </c>
    </row>
    <row r="7601" spans="2:15" x14ac:dyDescent="0.25">
      <c r="B7601" s="6" t="s">
        <v>1520</v>
      </c>
      <c r="C7601" s="7" t="s">
        <v>196</v>
      </c>
      <c r="D7601" s="8" t="s">
        <v>387</v>
      </c>
      <c r="E7601" s="8" t="s">
        <v>797</v>
      </c>
      <c r="F7601" s="9">
        <f>DATE(2025,3,26)</f>
        <v>45742</v>
      </c>
      <c r="G7601" s="10">
        <f t="shared" si="683"/>
        <v>3</v>
      </c>
      <c r="H7601" s="10">
        <f t="shared" si="684"/>
        <v>2025</v>
      </c>
      <c r="I7601" s="8" t="s">
        <v>4</v>
      </c>
      <c r="J7601" s="7" t="s">
        <v>8165</v>
      </c>
      <c r="K7601" s="8" t="s">
        <v>2350</v>
      </c>
      <c r="L7601" s="8" t="s">
        <v>2351</v>
      </c>
      <c r="M7601" s="8" t="s">
        <v>119</v>
      </c>
      <c r="N7601" s="10" t="str">
        <f t="shared" si="680"/>
        <v>TON</v>
      </c>
      <c r="O7601" s="11">
        <v>10</v>
      </c>
    </row>
    <row r="7602" spans="2:15" x14ac:dyDescent="0.25">
      <c r="B7602" s="6" t="s">
        <v>1520</v>
      </c>
      <c r="C7602" s="7" t="s">
        <v>196</v>
      </c>
      <c r="D7602" s="8" t="s">
        <v>310</v>
      </c>
      <c r="E7602" s="8" t="s">
        <v>355</v>
      </c>
      <c r="F7602" s="9">
        <f>DATE(2025,3,26)</f>
        <v>45742</v>
      </c>
      <c r="G7602" s="10">
        <f t="shared" si="683"/>
        <v>3</v>
      </c>
      <c r="H7602" s="10">
        <f t="shared" si="684"/>
        <v>2025</v>
      </c>
      <c r="I7602" s="8" t="s">
        <v>4</v>
      </c>
      <c r="J7602" s="7" t="s">
        <v>8166</v>
      </c>
      <c r="K7602" s="8" t="s">
        <v>205</v>
      </c>
      <c r="L7602" s="8" t="s">
        <v>206</v>
      </c>
      <c r="M7602" s="8" t="s">
        <v>119</v>
      </c>
      <c r="N7602" s="10" t="str">
        <f t="shared" si="680"/>
        <v>TON</v>
      </c>
      <c r="O7602" s="11">
        <v>2.0049999999999999</v>
      </c>
    </row>
    <row r="7603" spans="2:15" x14ac:dyDescent="0.25">
      <c r="B7603" s="6" t="s">
        <v>1520</v>
      </c>
      <c r="C7603" s="7" t="s">
        <v>196</v>
      </c>
      <c r="D7603" s="8" t="s">
        <v>800</v>
      </c>
      <c r="E7603" s="8" t="s">
        <v>1134</v>
      </c>
      <c r="F7603" s="9">
        <f t="shared" ref="F7603:F7608" si="687">DATE(2025,3,27)</f>
        <v>45743</v>
      </c>
      <c r="G7603" s="10">
        <f t="shared" si="683"/>
        <v>3</v>
      </c>
      <c r="H7603" s="10">
        <f t="shared" si="684"/>
        <v>2025</v>
      </c>
      <c r="I7603" s="8" t="s">
        <v>4</v>
      </c>
      <c r="J7603" s="7" t="s">
        <v>8167</v>
      </c>
      <c r="K7603" s="8" t="s">
        <v>205</v>
      </c>
      <c r="L7603" s="8" t="s">
        <v>206</v>
      </c>
      <c r="M7603" s="8" t="s">
        <v>119</v>
      </c>
      <c r="N7603" s="10" t="str">
        <f t="shared" si="680"/>
        <v>TON</v>
      </c>
      <c r="O7603" s="11">
        <v>2.0175000000000001</v>
      </c>
    </row>
    <row r="7604" spans="2:15" x14ac:dyDescent="0.25">
      <c r="B7604" s="6" t="s">
        <v>1520</v>
      </c>
      <c r="C7604" s="7" t="s">
        <v>196</v>
      </c>
      <c r="D7604" s="8" t="s">
        <v>280</v>
      </c>
      <c r="E7604" s="8" t="s">
        <v>254</v>
      </c>
      <c r="F7604" s="9">
        <f t="shared" si="687"/>
        <v>45743</v>
      </c>
      <c r="G7604" s="10">
        <f t="shared" si="683"/>
        <v>3</v>
      </c>
      <c r="H7604" s="10">
        <f t="shared" si="684"/>
        <v>2025</v>
      </c>
      <c r="I7604" s="8" t="s">
        <v>4</v>
      </c>
      <c r="J7604" s="7" t="s">
        <v>8168</v>
      </c>
      <c r="K7604" s="8" t="s">
        <v>2350</v>
      </c>
      <c r="L7604" s="8" t="s">
        <v>2351</v>
      </c>
      <c r="M7604" s="8" t="s">
        <v>119</v>
      </c>
      <c r="N7604" s="10" t="str">
        <f t="shared" si="680"/>
        <v>TON</v>
      </c>
      <c r="O7604" s="11">
        <v>20.012499999999999</v>
      </c>
    </row>
    <row r="7605" spans="2:15" x14ac:dyDescent="0.25">
      <c r="B7605" s="6" t="s">
        <v>1520</v>
      </c>
      <c r="C7605" s="7" t="s">
        <v>196</v>
      </c>
      <c r="D7605" s="8" t="s">
        <v>265</v>
      </c>
      <c r="E7605" s="8" t="s">
        <v>266</v>
      </c>
      <c r="F7605" s="9">
        <f t="shared" si="687"/>
        <v>45743</v>
      </c>
      <c r="G7605" s="10">
        <f t="shared" si="683"/>
        <v>3</v>
      </c>
      <c r="H7605" s="10">
        <f t="shared" si="684"/>
        <v>2025</v>
      </c>
      <c r="I7605" s="8" t="s">
        <v>4</v>
      </c>
      <c r="J7605" s="7" t="s">
        <v>8169</v>
      </c>
      <c r="K7605" s="8" t="s">
        <v>268</v>
      </c>
      <c r="L7605" s="8" t="s">
        <v>269</v>
      </c>
      <c r="M7605" s="8" t="s">
        <v>119</v>
      </c>
      <c r="N7605" s="10" t="str">
        <f t="shared" si="680"/>
        <v>TON</v>
      </c>
      <c r="O7605" s="11">
        <v>0.3</v>
      </c>
    </row>
    <row r="7606" spans="2:15" x14ac:dyDescent="0.25">
      <c r="B7606" s="6" t="s">
        <v>1520</v>
      </c>
      <c r="C7606" s="7" t="s">
        <v>196</v>
      </c>
      <c r="D7606" s="8" t="s">
        <v>1343</v>
      </c>
      <c r="E7606" s="8" t="s">
        <v>3724</v>
      </c>
      <c r="F7606" s="9">
        <f t="shared" si="687"/>
        <v>45743</v>
      </c>
      <c r="G7606" s="10">
        <f t="shared" si="683"/>
        <v>3</v>
      </c>
      <c r="H7606" s="10">
        <f t="shared" si="684"/>
        <v>2025</v>
      </c>
      <c r="I7606" s="8" t="s">
        <v>4</v>
      </c>
      <c r="J7606" s="7" t="s">
        <v>8170</v>
      </c>
      <c r="K7606" s="8" t="s">
        <v>2350</v>
      </c>
      <c r="L7606" s="8" t="s">
        <v>2351</v>
      </c>
      <c r="M7606" s="8" t="s">
        <v>119</v>
      </c>
      <c r="N7606" s="10" t="str">
        <f t="shared" si="680"/>
        <v>TON</v>
      </c>
      <c r="O7606" s="11">
        <v>15.012499999999999</v>
      </c>
    </row>
    <row r="7607" spans="2:15" x14ac:dyDescent="0.25">
      <c r="B7607" s="6" t="s">
        <v>1520</v>
      </c>
      <c r="C7607" s="7" t="s">
        <v>196</v>
      </c>
      <c r="D7607" s="8" t="s">
        <v>440</v>
      </c>
      <c r="E7607" s="8" t="s">
        <v>441</v>
      </c>
      <c r="F7607" s="9">
        <f t="shared" si="687"/>
        <v>45743</v>
      </c>
      <c r="G7607" s="10">
        <f t="shared" si="683"/>
        <v>3</v>
      </c>
      <c r="H7607" s="10">
        <f t="shared" si="684"/>
        <v>2025</v>
      </c>
      <c r="I7607" s="8" t="s">
        <v>4</v>
      </c>
      <c r="J7607" s="7" t="s">
        <v>8171</v>
      </c>
      <c r="K7607" s="8" t="s">
        <v>2350</v>
      </c>
      <c r="L7607" s="8" t="s">
        <v>2351</v>
      </c>
      <c r="M7607" s="8" t="s">
        <v>119</v>
      </c>
      <c r="N7607" s="10" t="str">
        <f t="shared" si="680"/>
        <v>TON</v>
      </c>
      <c r="O7607" s="11">
        <v>5.0075000000000003</v>
      </c>
    </row>
    <row r="7608" spans="2:15" x14ac:dyDescent="0.25">
      <c r="B7608" s="6" t="s">
        <v>1520</v>
      </c>
      <c r="C7608" s="7" t="s">
        <v>196</v>
      </c>
      <c r="D7608" s="8" t="s">
        <v>294</v>
      </c>
      <c r="E7608" s="8" t="s">
        <v>295</v>
      </c>
      <c r="F7608" s="9">
        <f t="shared" si="687"/>
        <v>45743</v>
      </c>
      <c r="G7608" s="10">
        <f t="shared" si="683"/>
        <v>3</v>
      </c>
      <c r="H7608" s="10">
        <f t="shared" si="684"/>
        <v>2025</v>
      </c>
      <c r="I7608" s="8" t="s">
        <v>4</v>
      </c>
      <c r="J7608" s="7" t="s">
        <v>8172</v>
      </c>
      <c r="K7608" s="8" t="s">
        <v>122</v>
      </c>
      <c r="L7608" s="8" t="s">
        <v>123</v>
      </c>
      <c r="M7608" s="8" t="s">
        <v>119</v>
      </c>
      <c r="N7608" s="10" t="str">
        <f t="shared" si="680"/>
        <v>TON</v>
      </c>
      <c r="O7608" s="11">
        <v>7.4974999999999996</v>
      </c>
    </row>
    <row r="7609" spans="2:15" x14ac:dyDescent="0.25">
      <c r="B7609" s="6" t="s">
        <v>1520</v>
      </c>
      <c r="C7609" s="7" t="s">
        <v>196</v>
      </c>
      <c r="D7609" s="8" t="s">
        <v>317</v>
      </c>
      <c r="E7609" s="8" t="s">
        <v>319</v>
      </c>
      <c r="F7609" s="9">
        <f>DATE(2025,3,28)</f>
        <v>45744</v>
      </c>
      <c r="G7609" s="10">
        <f t="shared" si="683"/>
        <v>3</v>
      </c>
      <c r="H7609" s="10">
        <f t="shared" si="684"/>
        <v>2025</v>
      </c>
      <c r="I7609" s="8" t="s">
        <v>4</v>
      </c>
      <c r="J7609" s="7" t="s">
        <v>8173</v>
      </c>
      <c r="K7609" s="8" t="s">
        <v>2350</v>
      </c>
      <c r="L7609" s="8" t="s">
        <v>2351</v>
      </c>
      <c r="M7609" s="8" t="s">
        <v>119</v>
      </c>
      <c r="N7609" s="10" t="str">
        <f t="shared" si="680"/>
        <v>TON</v>
      </c>
      <c r="O7609" s="11">
        <v>6.0049999999999999</v>
      </c>
    </row>
    <row r="7610" spans="2:15" x14ac:dyDescent="0.25">
      <c r="B7610" s="6" t="s">
        <v>1520</v>
      </c>
      <c r="C7610" s="7" t="s">
        <v>196</v>
      </c>
      <c r="D7610" s="8" t="s">
        <v>387</v>
      </c>
      <c r="E7610" s="8" t="s">
        <v>797</v>
      </c>
      <c r="F7610" s="9">
        <f>DATE(2025,3,28)</f>
        <v>45744</v>
      </c>
      <c r="G7610" s="10">
        <f t="shared" si="683"/>
        <v>3</v>
      </c>
      <c r="H7610" s="10">
        <f t="shared" si="684"/>
        <v>2025</v>
      </c>
      <c r="I7610" s="8" t="s">
        <v>4</v>
      </c>
      <c r="J7610" s="7" t="s">
        <v>8174</v>
      </c>
      <c r="K7610" s="8" t="s">
        <v>2350</v>
      </c>
      <c r="L7610" s="8" t="s">
        <v>2351</v>
      </c>
      <c r="M7610" s="8" t="s">
        <v>119</v>
      </c>
      <c r="N7610" s="10" t="str">
        <f t="shared" si="680"/>
        <v>TON</v>
      </c>
      <c r="O7610" s="11">
        <v>4.99</v>
      </c>
    </row>
    <row r="7611" spans="2:15" x14ac:dyDescent="0.25">
      <c r="B7611" s="6" t="s">
        <v>1520</v>
      </c>
      <c r="C7611" s="7" t="s">
        <v>196</v>
      </c>
      <c r="D7611" s="8" t="s">
        <v>114</v>
      </c>
      <c r="E7611" s="8" t="s">
        <v>5054</v>
      </c>
      <c r="F7611" s="9">
        <f t="shared" ref="F7611:F7619" si="688">DATE(2025,3,31)</f>
        <v>45747</v>
      </c>
      <c r="G7611" s="10">
        <f t="shared" si="683"/>
        <v>3</v>
      </c>
      <c r="H7611" s="10">
        <f t="shared" si="684"/>
        <v>2025</v>
      </c>
      <c r="I7611" s="8" t="s">
        <v>4</v>
      </c>
      <c r="J7611" s="7" t="s">
        <v>8175</v>
      </c>
      <c r="K7611" s="8" t="s">
        <v>2350</v>
      </c>
      <c r="L7611" s="8" t="s">
        <v>2351</v>
      </c>
      <c r="M7611" s="8" t="s">
        <v>119</v>
      </c>
      <c r="N7611" s="10" t="str">
        <f t="shared" si="680"/>
        <v>TON</v>
      </c>
      <c r="O7611" s="11">
        <v>6.9974999999999996</v>
      </c>
    </row>
    <row r="7612" spans="2:15" x14ac:dyDescent="0.25">
      <c r="B7612" s="6" t="s">
        <v>1520</v>
      </c>
      <c r="C7612" s="7" t="s">
        <v>196</v>
      </c>
      <c r="D7612" s="8" t="s">
        <v>317</v>
      </c>
      <c r="E7612" s="8" t="s">
        <v>829</v>
      </c>
      <c r="F7612" s="9">
        <f t="shared" si="688"/>
        <v>45747</v>
      </c>
      <c r="G7612" s="10">
        <f t="shared" si="683"/>
        <v>3</v>
      </c>
      <c r="H7612" s="10">
        <f t="shared" si="684"/>
        <v>2025</v>
      </c>
      <c r="I7612" s="8" t="s">
        <v>4</v>
      </c>
      <c r="J7612" s="7" t="s">
        <v>8176</v>
      </c>
      <c r="K7612" s="8" t="s">
        <v>2350</v>
      </c>
      <c r="L7612" s="8" t="s">
        <v>2351</v>
      </c>
      <c r="M7612" s="8" t="s">
        <v>119</v>
      </c>
      <c r="N7612" s="10" t="str">
        <f t="shared" si="680"/>
        <v>TON</v>
      </c>
      <c r="O7612" s="11">
        <v>2.4925000000000002</v>
      </c>
    </row>
    <row r="7613" spans="2:15" x14ac:dyDescent="0.25">
      <c r="B7613" s="6" t="s">
        <v>1520</v>
      </c>
      <c r="C7613" s="7" t="s">
        <v>196</v>
      </c>
      <c r="D7613" s="8" t="s">
        <v>440</v>
      </c>
      <c r="E7613" s="8" t="s">
        <v>1274</v>
      </c>
      <c r="F7613" s="9">
        <f t="shared" si="688"/>
        <v>45747</v>
      </c>
      <c r="G7613" s="10">
        <f t="shared" si="683"/>
        <v>3</v>
      </c>
      <c r="H7613" s="10">
        <f t="shared" si="684"/>
        <v>2025</v>
      </c>
      <c r="I7613" s="8" t="s">
        <v>4</v>
      </c>
      <c r="J7613" s="7" t="s">
        <v>8177</v>
      </c>
      <c r="K7613" s="8" t="s">
        <v>2350</v>
      </c>
      <c r="L7613" s="8" t="s">
        <v>2351</v>
      </c>
      <c r="M7613" s="8" t="s">
        <v>119</v>
      </c>
      <c r="N7613" s="10" t="str">
        <f t="shared" si="680"/>
        <v>TON</v>
      </c>
      <c r="O7613" s="11">
        <v>4.9974999999999996</v>
      </c>
    </row>
    <row r="7614" spans="2:15" x14ac:dyDescent="0.25">
      <c r="B7614" s="6" t="s">
        <v>1520</v>
      </c>
      <c r="C7614" s="7" t="s">
        <v>196</v>
      </c>
      <c r="D7614" s="8" t="s">
        <v>440</v>
      </c>
      <c r="E7614" s="8" t="s">
        <v>1369</v>
      </c>
      <c r="F7614" s="9">
        <f t="shared" si="688"/>
        <v>45747</v>
      </c>
      <c r="G7614" s="10">
        <f t="shared" si="683"/>
        <v>3</v>
      </c>
      <c r="H7614" s="10">
        <f t="shared" si="684"/>
        <v>2025</v>
      </c>
      <c r="I7614" s="8" t="s">
        <v>4</v>
      </c>
      <c r="J7614" s="7" t="s">
        <v>8178</v>
      </c>
      <c r="K7614" s="8" t="s">
        <v>2350</v>
      </c>
      <c r="L7614" s="8" t="s">
        <v>2351</v>
      </c>
      <c r="M7614" s="8" t="s">
        <v>119</v>
      </c>
      <c r="N7614" s="10" t="str">
        <f t="shared" ref="N7614:N7620" si="689">+LEFT(M7614,3)</f>
        <v>TON</v>
      </c>
      <c r="O7614" s="11">
        <v>5</v>
      </c>
    </row>
    <row r="7615" spans="2:15" x14ac:dyDescent="0.25">
      <c r="B7615" s="6" t="s">
        <v>1520</v>
      </c>
      <c r="C7615" s="7" t="s">
        <v>196</v>
      </c>
      <c r="D7615" s="8" t="s">
        <v>1276</v>
      </c>
      <c r="E7615" s="8" t="s">
        <v>791</v>
      </c>
      <c r="F7615" s="9">
        <f t="shared" si="688"/>
        <v>45747</v>
      </c>
      <c r="G7615" s="10">
        <f t="shared" si="683"/>
        <v>3</v>
      </c>
      <c r="H7615" s="10">
        <f t="shared" si="684"/>
        <v>2025</v>
      </c>
      <c r="I7615" s="8" t="s">
        <v>4</v>
      </c>
      <c r="J7615" s="7" t="s">
        <v>8179</v>
      </c>
      <c r="K7615" s="8" t="s">
        <v>205</v>
      </c>
      <c r="L7615" s="8" t="s">
        <v>206</v>
      </c>
      <c r="M7615" s="8" t="s">
        <v>119</v>
      </c>
      <c r="N7615" s="10" t="str">
        <f t="shared" si="689"/>
        <v>TON</v>
      </c>
      <c r="O7615" s="11">
        <v>5.0125000000000002</v>
      </c>
    </row>
    <row r="7616" spans="2:15" x14ac:dyDescent="0.25">
      <c r="B7616" s="6" t="s">
        <v>1520</v>
      </c>
      <c r="C7616" s="7" t="s">
        <v>196</v>
      </c>
      <c r="D7616" s="8" t="s">
        <v>224</v>
      </c>
      <c r="E7616" s="8" t="s">
        <v>361</v>
      </c>
      <c r="F7616" s="9">
        <f t="shared" si="688"/>
        <v>45747</v>
      </c>
      <c r="G7616" s="10">
        <f t="shared" si="683"/>
        <v>3</v>
      </c>
      <c r="H7616" s="10">
        <f t="shared" si="684"/>
        <v>2025</v>
      </c>
      <c r="I7616" s="8" t="s">
        <v>4</v>
      </c>
      <c r="J7616" s="7" t="s">
        <v>8180</v>
      </c>
      <c r="K7616" s="8" t="s">
        <v>205</v>
      </c>
      <c r="L7616" s="8" t="s">
        <v>206</v>
      </c>
      <c r="M7616" s="8" t="s">
        <v>119</v>
      </c>
      <c r="N7616" s="10" t="str">
        <f t="shared" si="689"/>
        <v>TON</v>
      </c>
      <c r="O7616" s="11">
        <v>5.0175000000000001</v>
      </c>
    </row>
    <row r="7617" spans="2:15" x14ac:dyDescent="0.25">
      <c r="B7617" s="6" t="s">
        <v>1520</v>
      </c>
      <c r="C7617" s="7" t="s">
        <v>196</v>
      </c>
      <c r="D7617" s="8" t="s">
        <v>310</v>
      </c>
      <c r="E7617" s="8" t="s">
        <v>426</v>
      </c>
      <c r="F7617" s="9">
        <f t="shared" si="688"/>
        <v>45747</v>
      </c>
      <c r="G7617" s="10">
        <f>+MONTH(F7617)</f>
        <v>3</v>
      </c>
      <c r="H7617" s="10">
        <f>+YEAR(F7617)</f>
        <v>2025</v>
      </c>
      <c r="I7617" s="8" t="s">
        <v>4</v>
      </c>
      <c r="J7617" s="7" t="s">
        <v>8181</v>
      </c>
      <c r="K7617" s="8" t="s">
        <v>428</v>
      </c>
      <c r="L7617" s="8" t="s">
        <v>429</v>
      </c>
      <c r="M7617" s="8" t="s">
        <v>119</v>
      </c>
      <c r="N7617" s="10" t="str">
        <f t="shared" si="689"/>
        <v>TON</v>
      </c>
      <c r="O7617" s="11">
        <v>1.9950000000000001</v>
      </c>
    </row>
    <row r="7618" spans="2:15" x14ac:dyDescent="0.25">
      <c r="B7618" s="6" t="s">
        <v>1520</v>
      </c>
      <c r="C7618" s="7" t="s">
        <v>196</v>
      </c>
      <c r="D7618" s="8" t="s">
        <v>321</v>
      </c>
      <c r="E7618" s="8" t="s">
        <v>392</v>
      </c>
      <c r="F7618" s="9">
        <f t="shared" si="688"/>
        <v>45747</v>
      </c>
      <c r="G7618" s="10">
        <f>+MONTH(F7618)</f>
        <v>3</v>
      </c>
      <c r="H7618" s="10">
        <f>+YEAR(F7618)</f>
        <v>2025</v>
      </c>
      <c r="I7618" s="8" t="s">
        <v>4</v>
      </c>
      <c r="J7618" s="7" t="s">
        <v>8182</v>
      </c>
      <c r="K7618" s="8" t="s">
        <v>394</v>
      </c>
      <c r="L7618" s="8" t="s">
        <v>395</v>
      </c>
      <c r="M7618" s="8" t="s">
        <v>119</v>
      </c>
      <c r="N7618" s="10" t="str">
        <f t="shared" si="689"/>
        <v>TON</v>
      </c>
      <c r="O7618" s="11">
        <v>1.2549999999999999</v>
      </c>
    </row>
    <row r="7619" spans="2:15" x14ac:dyDescent="0.25">
      <c r="B7619" s="6" t="s">
        <v>1520</v>
      </c>
      <c r="C7619" s="7" t="s">
        <v>196</v>
      </c>
      <c r="D7619" s="8" t="s">
        <v>241</v>
      </c>
      <c r="E7619" s="8" t="s">
        <v>242</v>
      </c>
      <c r="F7619" s="9">
        <f t="shared" si="688"/>
        <v>45747</v>
      </c>
      <c r="G7619" s="10">
        <f>+MONTH(F7619)</f>
        <v>3</v>
      </c>
      <c r="H7619" s="10">
        <f>+YEAR(F7619)</f>
        <v>2025</v>
      </c>
      <c r="I7619" s="8" t="s">
        <v>4</v>
      </c>
      <c r="J7619" s="7" t="s">
        <v>8183</v>
      </c>
      <c r="K7619" s="8" t="s">
        <v>3458</v>
      </c>
      <c r="L7619" s="8" t="s">
        <v>3459</v>
      </c>
      <c r="M7619" s="8" t="s">
        <v>119</v>
      </c>
      <c r="N7619" s="10" t="str">
        <f t="shared" si="689"/>
        <v>TON</v>
      </c>
      <c r="O7619" s="11">
        <v>4.0149999999999997</v>
      </c>
    </row>
    <row r="7620" spans="2:15" x14ac:dyDescent="0.25">
      <c r="B7620" s="6" t="s">
        <v>382</v>
      </c>
      <c r="C7620" s="7" t="s">
        <v>506</v>
      </c>
      <c r="D7620" s="8" t="s">
        <v>1006</v>
      </c>
      <c r="E7620" s="8" t="s">
        <v>1007</v>
      </c>
      <c r="F7620" s="9">
        <f>DATE(2025,3,20)</f>
        <v>45736</v>
      </c>
      <c r="G7620" s="10">
        <f t="shared" ref="G7620:G7683" si="690">+MONTH(F7620)</f>
        <v>3</v>
      </c>
      <c r="H7620" s="10">
        <f t="shared" ref="H7620:H7683" si="691">+YEAR(F7620)</f>
        <v>2025</v>
      </c>
      <c r="I7620" s="8" t="s">
        <v>4</v>
      </c>
      <c r="J7620" s="7" t="s">
        <v>8184</v>
      </c>
      <c r="K7620" s="8" t="s">
        <v>642</v>
      </c>
      <c r="L7620" s="8" t="s">
        <v>111</v>
      </c>
      <c r="M7620" s="8" t="s">
        <v>112</v>
      </c>
      <c r="N7620" s="10" t="str">
        <f t="shared" si="689"/>
        <v>GAL</v>
      </c>
      <c r="O7620" s="11">
        <v>180</v>
      </c>
    </row>
    <row r="7621" spans="2:15" x14ac:dyDescent="0.25">
      <c r="B7621" s="6" t="s">
        <v>382</v>
      </c>
      <c r="C7621" s="7" t="s">
        <v>506</v>
      </c>
      <c r="D7621" s="8" t="s">
        <v>515</v>
      </c>
      <c r="E7621" s="8" t="s">
        <v>516</v>
      </c>
      <c r="F7621" s="9">
        <f>DATE(2025,3,21)</f>
        <v>45737</v>
      </c>
      <c r="G7621" s="10">
        <f t="shared" si="690"/>
        <v>3</v>
      </c>
      <c r="H7621" s="10">
        <f t="shared" si="691"/>
        <v>2025</v>
      </c>
      <c r="I7621" s="8" t="s">
        <v>4</v>
      </c>
      <c r="J7621" s="7" t="s">
        <v>8185</v>
      </c>
      <c r="K7621" s="8" t="s">
        <v>2120</v>
      </c>
      <c r="L7621" s="8" t="s">
        <v>2121</v>
      </c>
      <c r="M7621" s="8" t="s">
        <v>85</v>
      </c>
      <c r="N7621" s="10" t="str">
        <f t="shared" ref="N7621:N7684" si="692">+LEFT(M7621,3)</f>
        <v>GAL</v>
      </c>
      <c r="O7621" s="11">
        <v>60</v>
      </c>
    </row>
    <row r="7622" spans="2:15" x14ac:dyDescent="0.25">
      <c r="B7622" s="6" t="s">
        <v>782</v>
      </c>
      <c r="C7622" s="7" t="s">
        <v>1018</v>
      </c>
      <c r="D7622" s="8" t="s">
        <v>628</v>
      </c>
      <c r="E7622" s="8" t="s">
        <v>2451</v>
      </c>
      <c r="F7622" s="9">
        <f>DATE(2025,3,12)</f>
        <v>45728</v>
      </c>
      <c r="G7622" s="10">
        <f t="shared" si="690"/>
        <v>3</v>
      </c>
      <c r="H7622" s="10">
        <f t="shared" si="691"/>
        <v>2025</v>
      </c>
      <c r="I7622" s="8" t="s">
        <v>4</v>
      </c>
      <c r="J7622" s="7" t="s">
        <v>8186</v>
      </c>
      <c r="K7622" s="8" t="s">
        <v>2453</v>
      </c>
      <c r="L7622" s="8" t="s">
        <v>2454</v>
      </c>
      <c r="M7622" s="8" t="s">
        <v>2455</v>
      </c>
      <c r="N7622" s="10" t="str">
        <f t="shared" si="692"/>
        <v>GAL</v>
      </c>
      <c r="O7622" s="11">
        <v>720</v>
      </c>
    </row>
    <row r="7623" spans="2:15" x14ac:dyDescent="0.25">
      <c r="B7623" s="6" t="s">
        <v>782</v>
      </c>
      <c r="C7623" s="7" t="s">
        <v>1018</v>
      </c>
      <c r="D7623" s="8" t="s">
        <v>628</v>
      </c>
      <c r="E7623" s="8" t="s">
        <v>2451</v>
      </c>
      <c r="F7623" s="9">
        <f>DATE(2025,3,12)</f>
        <v>45728</v>
      </c>
      <c r="G7623" s="10">
        <f t="shared" si="690"/>
        <v>3</v>
      </c>
      <c r="H7623" s="10">
        <f t="shared" si="691"/>
        <v>2025</v>
      </c>
      <c r="I7623" s="8" t="s">
        <v>4</v>
      </c>
      <c r="J7623" s="7" t="s">
        <v>8186</v>
      </c>
      <c r="K7623" s="8" t="s">
        <v>3029</v>
      </c>
      <c r="L7623" s="8" t="s">
        <v>2454</v>
      </c>
      <c r="M7623" s="8" t="s">
        <v>2455</v>
      </c>
      <c r="N7623" s="10" t="str">
        <f t="shared" si="692"/>
        <v>GAL</v>
      </c>
      <c r="O7623" s="11">
        <v>1500</v>
      </c>
    </row>
    <row r="7624" spans="2:15" x14ac:dyDescent="0.25">
      <c r="B7624" s="6" t="s">
        <v>782</v>
      </c>
      <c r="C7624" s="7" t="s">
        <v>1018</v>
      </c>
      <c r="D7624" s="8" t="s">
        <v>2448</v>
      </c>
      <c r="E7624" s="8" t="s">
        <v>8187</v>
      </c>
      <c r="F7624" s="9">
        <f>DATE(2025,3,17)</f>
        <v>45733</v>
      </c>
      <c r="G7624" s="10">
        <f t="shared" si="690"/>
        <v>3</v>
      </c>
      <c r="H7624" s="10">
        <f t="shared" si="691"/>
        <v>2025</v>
      </c>
      <c r="I7624" s="8" t="s">
        <v>4</v>
      </c>
      <c r="J7624" s="7" t="s">
        <v>8188</v>
      </c>
      <c r="K7624" s="8" t="s">
        <v>2548</v>
      </c>
      <c r="L7624" s="8" t="s">
        <v>5951</v>
      </c>
      <c r="M7624" s="8" t="s">
        <v>24</v>
      </c>
      <c r="N7624" s="10" t="str">
        <f t="shared" si="692"/>
        <v>GAL</v>
      </c>
      <c r="O7624" s="11">
        <v>500</v>
      </c>
    </row>
    <row r="7625" spans="2:15" x14ac:dyDescent="0.25">
      <c r="B7625" s="6" t="s">
        <v>1742</v>
      </c>
      <c r="C7625" s="7" t="s">
        <v>1025</v>
      </c>
      <c r="D7625" s="8" t="s">
        <v>496</v>
      </c>
      <c r="E7625" s="8" t="s">
        <v>497</v>
      </c>
      <c r="F7625" s="9">
        <f>DATE(2025,3,3)</f>
        <v>45719</v>
      </c>
      <c r="G7625" s="10">
        <f t="shared" si="690"/>
        <v>3</v>
      </c>
      <c r="H7625" s="10">
        <f t="shared" si="691"/>
        <v>2025</v>
      </c>
      <c r="I7625" s="8" t="s">
        <v>4</v>
      </c>
      <c r="J7625" s="7" t="s">
        <v>8189</v>
      </c>
      <c r="K7625" s="8" t="s">
        <v>499</v>
      </c>
      <c r="L7625" s="8" t="s">
        <v>500</v>
      </c>
      <c r="M7625" s="8" t="s">
        <v>119</v>
      </c>
      <c r="N7625" s="10" t="str">
        <f t="shared" si="692"/>
        <v>TON</v>
      </c>
      <c r="O7625" s="11">
        <v>1.2649999999999999</v>
      </c>
    </row>
    <row r="7626" spans="2:15" x14ac:dyDescent="0.25">
      <c r="B7626" s="6" t="s">
        <v>645</v>
      </c>
      <c r="C7626" s="7" t="s">
        <v>1025</v>
      </c>
      <c r="D7626" s="8" t="s">
        <v>1401</v>
      </c>
      <c r="E7626" s="8" t="s">
        <v>1402</v>
      </c>
      <c r="F7626" s="9">
        <f>DATE(2025,3,3)</f>
        <v>45719</v>
      </c>
      <c r="G7626" s="10">
        <f t="shared" si="690"/>
        <v>3</v>
      </c>
      <c r="H7626" s="10">
        <f t="shared" si="691"/>
        <v>2025</v>
      </c>
      <c r="I7626" s="8" t="s">
        <v>4</v>
      </c>
      <c r="J7626" s="7" t="s">
        <v>8190</v>
      </c>
      <c r="K7626" s="8" t="s">
        <v>2081</v>
      </c>
      <c r="L7626" s="8" t="s">
        <v>1405</v>
      </c>
      <c r="M7626" s="8" t="s">
        <v>1397</v>
      </c>
      <c r="N7626" s="10" t="str">
        <f t="shared" si="692"/>
        <v>GAL</v>
      </c>
      <c r="O7626" s="11">
        <v>500</v>
      </c>
    </row>
    <row r="7627" spans="2:15" x14ac:dyDescent="0.25">
      <c r="B7627" s="6" t="s">
        <v>1742</v>
      </c>
      <c r="C7627" s="7" t="s">
        <v>1025</v>
      </c>
      <c r="D7627" s="8" t="s">
        <v>496</v>
      </c>
      <c r="E7627" s="8" t="s">
        <v>497</v>
      </c>
      <c r="F7627" s="9">
        <f>DATE(2025,3,3)</f>
        <v>45719</v>
      </c>
      <c r="G7627" s="10">
        <f t="shared" si="690"/>
        <v>3</v>
      </c>
      <c r="H7627" s="10">
        <f t="shared" si="691"/>
        <v>2025</v>
      </c>
      <c r="I7627" s="8" t="s">
        <v>4</v>
      </c>
      <c r="J7627" s="7" t="s">
        <v>8191</v>
      </c>
      <c r="K7627" s="8" t="s">
        <v>2484</v>
      </c>
      <c r="L7627" s="8" t="s">
        <v>99</v>
      </c>
      <c r="M7627" s="8" t="s">
        <v>100</v>
      </c>
      <c r="N7627" s="10" t="str">
        <f t="shared" si="692"/>
        <v>GAL</v>
      </c>
      <c r="O7627" s="11">
        <v>500</v>
      </c>
    </row>
    <row r="7628" spans="2:15" x14ac:dyDescent="0.25">
      <c r="B7628" s="6" t="s">
        <v>645</v>
      </c>
      <c r="C7628" s="7" t="s">
        <v>1025</v>
      </c>
      <c r="D7628" s="8" t="s">
        <v>2092</v>
      </c>
      <c r="E7628" s="8" t="s">
        <v>2093</v>
      </c>
      <c r="F7628" s="9">
        <f>DATE(2025,3,4)</f>
        <v>45720</v>
      </c>
      <c r="G7628" s="10">
        <f t="shared" si="690"/>
        <v>3</v>
      </c>
      <c r="H7628" s="10">
        <f t="shared" si="691"/>
        <v>2025</v>
      </c>
      <c r="I7628" s="8" t="s">
        <v>4</v>
      </c>
      <c r="J7628" s="7" t="s">
        <v>8192</v>
      </c>
      <c r="K7628" s="8" t="s">
        <v>2095</v>
      </c>
      <c r="L7628" s="8" t="s">
        <v>2096</v>
      </c>
      <c r="M7628" s="8" t="s">
        <v>119</v>
      </c>
      <c r="N7628" s="10" t="str">
        <f t="shared" si="692"/>
        <v>TON</v>
      </c>
      <c r="O7628" s="11">
        <v>15.0275</v>
      </c>
    </row>
    <row r="7629" spans="2:15" x14ac:dyDescent="0.25">
      <c r="B7629" s="6" t="s">
        <v>645</v>
      </c>
      <c r="C7629" s="7" t="s">
        <v>1025</v>
      </c>
      <c r="D7629" s="8" t="s">
        <v>2079</v>
      </c>
      <c r="E7629" s="8" t="s">
        <v>1402</v>
      </c>
      <c r="F7629" s="9">
        <f>DATE(2025,3,5)</f>
        <v>45721</v>
      </c>
      <c r="G7629" s="10">
        <f t="shared" si="690"/>
        <v>3</v>
      </c>
      <c r="H7629" s="10">
        <f t="shared" si="691"/>
        <v>2025</v>
      </c>
      <c r="I7629" s="8" t="s">
        <v>4</v>
      </c>
      <c r="J7629" s="7" t="s">
        <v>8193</v>
      </c>
      <c r="K7629" s="8" t="s">
        <v>2081</v>
      </c>
      <c r="L7629" s="8" t="s">
        <v>1405</v>
      </c>
      <c r="M7629" s="8" t="s">
        <v>1397</v>
      </c>
      <c r="N7629" s="10" t="str">
        <f t="shared" si="692"/>
        <v>GAL</v>
      </c>
      <c r="O7629" s="11">
        <v>1000</v>
      </c>
    </row>
    <row r="7630" spans="2:15" x14ac:dyDescent="0.25">
      <c r="B7630" s="6" t="s">
        <v>645</v>
      </c>
      <c r="C7630" s="7" t="s">
        <v>1025</v>
      </c>
      <c r="D7630" s="8" t="s">
        <v>2079</v>
      </c>
      <c r="E7630" s="8" t="s">
        <v>1402</v>
      </c>
      <c r="F7630" s="9">
        <f>DATE(2025,3,5)</f>
        <v>45721</v>
      </c>
      <c r="G7630" s="10">
        <f t="shared" si="690"/>
        <v>3</v>
      </c>
      <c r="H7630" s="10">
        <f t="shared" si="691"/>
        <v>2025</v>
      </c>
      <c r="I7630" s="8" t="s">
        <v>4</v>
      </c>
      <c r="J7630" s="7" t="s">
        <v>8193</v>
      </c>
      <c r="K7630" s="8" t="s">
        <v>1404</v>
      </c>
      <c r="L7630" s="8" t="s">
        <v>1405</v>
      </c>
      <c r="M7630" s="8" t="s">
        <v>1397</v>
      </c>
      <c r="N7630" s="10" t="str">
        <f t="shared" si="692"/>
        <v>GAL</v>
      </c>
      <c r="O7630" s="11">
        <v>360</v>
      </c>
    </row>
    <row r="7631" spans="2:15" x14ac:dyDescent="0.25">
      <c r="B7631" s="6" t="s">
        <v>645</v>
      </c>
      <c r="C7631" s="7" t="s">
        <v>1025</v>
      </c>
      <c r="D7631" s="8" t="s">
        <v>1401</v>
      </c>
      <c r="E7631" s="8" t="s">
        <v>1402</v>
      </c>
      <c r="F7631" s="9">
        <f>DATE(2025,3,5)</f>
        <v>45721</v>
      </c>
      <c r="G7631" s="10">
        <f t="shared" si="690"/>
        <v>3</v>
      </c>
      <c r="H7631" s="10">
        <f t="shared" si="691"/>
        <v>2025</v>
      </c>
      <c r="I7631" s="8" t="s">
        <v>4</v>
      </c>
      <c r="J7631" s="7" t="s">
        <v>8194</v>
      </c>
      <c r="K7631" s="8" t="s">
        <v>8195</v>
      </c>
      <c r="L7631" s="8" t="s">
        <v>4233</v>
      </c>
      <c r="M7631" s="8" t="s">
        <v>2168</v>
      </c>
      <c r="N7631" s="10" t="str">
        <f t="shared" si="692"/>
        <v>GAL</v>
      </c>
      <c r="O7631" s="11">
        <v>120</v>
      </c>
    </row>
    <row r="7632" spans="2:15" x14ac:dyDescent="0.25">
      <c r="B7632" s="6" t="s">
        <v>645</v>
      </c>
      <c r="C7632" s="7" t="s">
        <v>1025</v>
      </c>
      <c r="D7632" s="8" t="s">
        <v>1401</v>
      </c>
      <c r="E7632" s="8" t="s">
        <v>1402</v>
      </c>
      <c r="F7632" s="9">
        <f>DATE(2025,3,5)</f>
        <v>45721</v>
      </c>
      <c r="G7632" s="10">
        <f t="shared" si="690"/>
        <v>3</v>
      </c>
      <c r="H7632" s="10">
        <f t="shared" si="691"/>
        <v>2025</v>
      </c>
      <c r="I7632" s="8" t="s">
        <v>4</v>
      </c>
      <c r="J7632" s="7" t="s">
        <v>8196</v>
      </c>
      <c r="K7632" s="8" t="s">
        <v>2081</v>
      </c>
      <c r="L7632" s="8" t="s">
        <v>1405</v>
      </c>
      <c r="M7632" s="8" t="s">
        <v>1397</v>
      </c>
      <c r="N7632" s="10" t="str">
        <f t="shared" si="692"/>
        <v>GAL</v>
      </c>
      <c r="O7632" s="11">
        <v>250</v>
      </c>
    </row>
    <row r="7633" spans="2:15" x14ac:dyDescent="0.25">
      <c r="B7633" s="6" t="s">
        <v>645</v>
      </c>
      <c r="C7633" s="7" t="s">
        <v>1025</v>
      </c>
      <c r="D7633" s="8" t="s">
        <v>1401</v>
      </c>
      <c r="E7633" s="8" t="s">
        <v>1402</v>
      </c>
      <c r="F7633" s="9">
        <f>DATE(2025,3,5)</f>
        <v>45721</v>
      </c>
      <c r="G7633" s="10">
        <f t="shared" si="690"/>
        <v>3</v>
      </c>
      <c r="H7633" s="10">
        <f t="shared" si="691"/>
        <v>2025</v>
      </c>
      <c r="I7633" s="8" t="s">
        <v>4</v>
      </c>
      <c r="J7633" s="7" t="s">
        <v>8197</v>
      </c>
      <c r="K7633" s="8" t="s">
        <v>8198</v>
      </c>
      <c r="L7633" s="8" t="s">
        <v>8199</v>
      </c>
      <c r="M7633" s="8" t="s">
        <v>119</v>
      </c>
      <c r="N7633" s="10" t="str">
        <f t="shared" si="692"/>
        <v>TON</v>
      </c>
      <c r="O7633" s="11">
        <v>1.25</v>
      </c>
    </row>
    <row r="7634" spans="2:15" x14ac:dyDescent="0.25">
      <c r="B7634" s="6" t="s">
        <v>645</v>
      </c>
      <c r="C7634" s="7" t="s">
        <v>1025</v>
      </c>
      <c r="D7634" s="8" t="s">
        <v>2079</v>
      </c>
      <c r="E7634" s="8" t="s">
        <v>1402</v>
      </c>
      <c r="F7634" s="9">
        <f>DATE(2025,3,7)</f>
        <v>45723</v>
      </c>
      <c r="G7634" s="10">
        <f t="shared" si="690"/>
        <v>3</v>
      </c>
      <c r="H7634" s="10">
        <f t="shared" si="691"/>
        <v>2025</v>
      </c>
      <c r="I7634" s="8" t="s">
        <v>4</v>
      </c>
      <c r="J7634" s="7" t="s">
        <v>8200</v>
      </c>
      <c r="K7634" s="8" t="s">
        <v>192</v>
      </c>
      <c r="L7634" s="8" t="s">
        <v>193</v>
      </c>
      <c r="M7634" s="8" t="s">
        <v>160</v>
      </c>
      <c r="N7634" s="10" t="str">
        <f t="shared" si="692"/>
        <v>GAL</v>
      </c>
      <c r="O7634" s="11">
        <v>250</v>
      </c>
    </row>
    <row r="7635" spans="2:15" x14ac:dyDescent="0.25">
      <c r="B7635" s="6" t="s">
        <v>1742</v>
      </c>
      <c r="C7635" s="7" t="s">
        <v>1025</v>
      </c>
      <c r="D7635" s="8" t="s">
        <v>124</v>
      </c>
      <c r="E7635" s="8" t="s">
        <v>2475</v>
      </c>
      <c r="F7635" s="9">
        <f>DATE(2025,3,7)</f>
        <v>45723</v>
      </c>
      <c r="G7635" s="10">
        <f t="shared" si="690"/>
        <v>3</v>
      </c>
      <c r="H7635" s="10">
        <f t="shared" si="691"/>
        <v>2025</v>
      </c>
      <c r="I7635" s="8" t="s">
        <v>4</v>
      </c>
      <c r="J7635" s="7" t="s">
        <v>8201</v>
      </c>
      <c r="K7635" s="8" t="s">
        <v>158</v>
      </c>
      <c r="L7635" s="8" t="s">
        <v>159</v>
      </c>
      <c r="M7635" s="8" t="s">
        <v>160</v>
      </c>
      <c r="N7635" s="10" t="str">
        <f t="shared" si="692"/>
        <v>GAL</v>
      </c>
      <c r="O7635" s="11">
        <v>360</v>
      </c>
    </row>
    <row r="7636" spans="2:15" x14ac:dyDescent="0.25">
      <c r="B7636" s="6" t="s">
        <v>645</v>
      </c>
      <c r="C7636" s="7" t="s">
        <v>1025</v>
      </c>
      <c r="D7636" s="8" t="s">
        <v>1401</v>
      </c>
      <c r="E7636" s="8" t="s">
        <v>1402</v>
      </c>
      <c r="F7636" s="9">
        <f>DATE(2025,3,7)</f>
        <v>45723</v>
      </c>
      <c r="G7636" s="10">
        <f t="shared" si="690"/>
        <v>3</v>
      </c>
      <c r="H7636" s="10">
        <f t="shared" si="691"/>
        <v>2025</v>
      </c>
      <c r="I7636" s="8" t="s">
        <v>4</v>
      </c>
      <c r="J7636" s="7" t="s">
        <v>8202</v>
      </c>
      <c r="K7636" s="8" t="s">
        <v>2081</v>
      </c>
      <c r="L7636" s="8" t="s">
        <v>1405</v>
      </c>
      <c r="M7636" s="8" t="s">
        <v>1397</v>
      </c>
      <c r="N7636" s="10" t="str">
        <f t="shared" si="692"/>
        <v>GAL</v>
      </c>
      <c r="O7636" s="11">
        <v>250</v>
      </c>
    </row>
    <row r="7637" spans="2:15" x14ac:dyDescent="0.25">
      <c r="B7637" s="6" t="s">
        <v>645</v>
      </c>
      <c r="C7637" s="7" t="s">
        <v>1025</v>
      </c>
      <c r="D7637" s="8" t="s">
        <v>1401</v>
      </c>
      <c r="E7637" s="8" t="s">
        <v>1402</v>
      </c>
      <c r="F7637" s="9">
        <f>DATE(2025,3,7)</f>
        <v>45723</v>
      </c>
      <c r="G7637" s="10">
        <f t="shared" si="690"/>
        <v>3</v>
      </c>
      <c r="H7637" s="10">
        <f t="shared" si="691"/>
        <v>2025</v>
      </c>
      <c r="I7637" s="8" t="s">
        <v>4</v>
      </c>
      <c r="J7637" s="7" t="s">
        <v>8202</v>
      </c>
      <c r="K7637" s="8" t="s">
        <v>1404</v>
      </c>
      <c r="L7637" s="8" t="s">
        <v>1405</v>
      </c>
      <c r="M7637" s="8" t="s">
        <v>1397</v>
      </c>
      <c r="N7637" s="10" t="str">
        <f t="shared" si="692"/>
        <v>GAL</v>
      </c>
      <c r="O7637" s="11">
        <v>960</v>
      </c>
    </row>
    <row r="7638" spans="2:15" x14ac:dyDescent="0.25">
      <c r="B7638" s="6" t="s">
        <v>645</v>
      </c>
      <c r="C7638" s="7" t="s">
        <v>1025</v>
      </c>
      <c r="D7638" s="8" t="s">
        <v>2464</v>
      </c>
      <c r="E7638" s="8" t="s">
        <v>102</v>
      </c>
      <c r="F7638" s="9">
        <f>DATE(2025,3,7)</f>
        <v>45723</v>
      </c>
      <c r="G7638" s="10">
        <f t="shared" si="690"/>
        <v>3</v>
      </c>
      <c r="H7638" s="10">
        <f t="shared" si="691"/>
        <v>2025</v>
      </c>
      <c r="I7638" s="8" t="s">
        <v>4</v>
      </c>
      <c r="J7638" s="7" t="s">
        <v>8203</v>
      </c>
      <c r="K7638" s="8" t="s">
        <v>2466</v>
      </c>
      <c r="L7638" s="8" t="s">
        <v>2467</v>
      </c>
      <c r="M7638" s="8" t="s">
        <v>2468</v>
      </c>
      <c r="N7638" s="10" t="str">
        <f t="shared" si="692"/>
        <v>GAL</v>
      </c>
      <c r="O7638" s="11">
        <v>540</v>
      </c>
    </row>
    <row r="7639" spans="2:15" x14ac:dyDescent="0.25">
      <c r="B7639" s="6" t="s">
        <v>1742</v>
      </c>
      <c r="C7639" s="7" t="s">
        <v>1025</v>
      </c>
      <c r="D7639" s="8" t="s">
        <v>496</v>
      </c>
      <c r="E7639" s="8" t="s">
        <v>497</v>
      </c>
      <c r="F7639" s="9">
        <f>DATE(2025,3,13)</f>
        <v>45729</v>
      </c>
      <c r="G7639" s="10">
        <f t="shared" si="690"/>
        <v>3</v>
      </c>
      <c r="H7639" s="10">
        <f t="shared" si="691"/>
        <v>2025</v>
      </c>
      <c r="I7639" s="8" t="s">
        <v>4</v>
      </c>
      <c r="J7639" s="7" t="s">
        <v>8204</v>
      </c>
      <c r="K7639" s="8" t="s">
        <v>2481</v>
      </c>
      <c r="L7639" s="8" t="s">
        <v>2482</v>
      </c>
      <c r="M7639" s="8" t="s">
        <v>119</v>
      </c>
      <c r="N7639" s="10" t="str">
        <f t="shared" si="692"/>
        <v>TON</v>
      </c>
      <c r="O7639" s="11">
        <v>1.27</v>
      </c>
    </row>
    <row r="7640" spans="2:15" x14ac:dyDescent="0.25">
      <c r="B7640" s="6" t="s">
        <v>1742</v>
      </c>
      <c r="C7640" s="7" t="s">
        <v>1025</v>
      </c>
      <c r="D7640" s="8" t="s">
        <v>496</v>
      </c>
      <c r="E7640" s="8" t="s">
        <v>497</v>
      </c>
      <c r="F7640" s="9">
        <f>DATE(2025,3,13)</f>
        <v>45729</v>
      </c>
      <c r="G7640" s="10">
        <f t="shared" si="690"/>
        <v>3</v>
      </c>
      <c r="H7640" s="10">
        <f t="shared" si="691"/>
        <v>2025</v>
      </c>
      <c r="I7640" s="8" t="s">
        <v>4</v>
      </c>
      <c r="J7640" s="7" t="s">
        <v>8205</v>
      </c>
      <c r="K7640" s="8" t="s">
        <v>122</v>
      </c>
      <c r="L7640" s="8" t="s">
        <v>123</v>
      </c>
      <c r="M7640" s="8" t="s">
        <v>119</v>
      </c>
      <c r="N7640" s="10" t="str">
        <f t="shared" si="692"/>
        <v>TON</v>
      </c>
      <c r="O7640" s="11">
        <v>1.2649999999999999</v>
      </c>
    </row>
    <row r="7641" spans="2:15" x14ac:dyDescent="0.25">
      <c r="B7641" s="6" t="s">
        <v>1742</v>
      </c>
      <c r="C7641" s="7" t="s">
        <v>1025</v>
      </c>
      <c r="D7641" s="8" t="s">
        <v>628</v>
      </c>
      <c r="E7641" s="8" t="s">
        <v>8206</v>
      </c>
      <c r="F7641" s="9">
        <f>DATE(2025,3,13)</f>
        <v>45729</v>
      </c>
      <c r="G7641" s="10">
        <f t="shared" si="690"/>
        <v>3</v>
      </c>
      <c r="H7641" s="10">
        <f t="shared" si="691"/>
        <v>2025</v>
      </c>
      <c r="I7641" s="8" t="s">
        <v>4</v>
      </c>
      <c r="J7641" s="7" t="s">
        <v>8207</v>
      </c>
      <c r="K7641" s="8" t="s">
        <v>158</v>
      </c>
      <c r="L7641" s="8" t="s">
        <v>159</v>
      </c>
      <c r="M7641" s="8" t="s">
        <v>160</v>
      </c>
      <c r="N7641" s="10" t="str">
        <f t="shared" si="692"/>
        <v>GAL</v>
      </c>
      <c r="O7641" s="11">
        <v>180</v>
      </c>
    </row>
    <row r="7642" spans="2:15" x14ac:dyDescent="0.25">
      <c r="B7642" s="6" t="s">
        <v>645</v>
      </c>
      <c r="C7642" s="7" t="s">
        <v>1025</v>
      </c>
      <c r="D7642" s="8" t="s">
        <v>1401</v>
      </c>
      <c r="E7642" s="8" t="s">
        <v>1402</v>
      </c>
      <c r="F7642" s="9">
        <f>DATE(2025,3,18)</f>
        <v>45734</v>
      </c>
      <c r="G7642" s="10">
        <f t="shared" si="690"/>
        <v>3</v>
      </c>
      <c r="H7642" s="10">
        <f t="shared" si="691"/>
        <v>2025</v>
      </c>
      <c r="I7642" s="8" t="s">
        <v>4</v>
      </c>
      <c r="J7642" s="7" t="s">
        <v>8208</v>
      </c>
      <c r="K7642" s="8" t="s">
        <v>1404</v>
      </c>
      <c r="L7642" s="8" t="s">
        <v>1405</v>
      </c>
      <c r="M7642" s="8" t="s">
        <v>1397</v>
      </c>
      <c r="N7642" s="10" t="str">
        <f t="shared" si="692"/>
        <v>GAL</v>
      </c>
      <c r="O7642" s="11">
        <v>960</v>
      </c>
    </row>
    <row r="7643" spans="2:15" x14ac:dyDescent="0.25">
      <c r="B7643" s="6" t="s">
        <v>1742</v>
      </c>
      <c r="C7643" s="7" t="s">
        <v>1025</v>
      </c>
      <c r="D7643" s="8" t="s">
        <v>496</v>
      </c>
      <c r="E7643" s="8" t="s">
        <v>497</v>
      </c>
      <c r="F7643" s="9">
        <f>DATE(2025,3,18)</f>
        <v>45734</v>
      </c>
      <c r="G7643" s="10">
        <f t="shared" si="690"/>
        <v>3</v>
      </c>
      <c r="H7643" s="10">
        <f t="shared" si="691"/>
        <v>2025</v>
      </c>
      <c r="I7643" s="8" t="s">
        <v>4</v>
      </c>
      <c r="J7643" s="7" t="s">
        <v>8209</v>
      </c>
      <c r="K7643" s="8" t="s">
        <v>8210</v>
      </c>
      <c r="L7643" s="8" t="s">
        <v>8211</v>
      </c>
      <c r="M7643" s="8" t="s">
        <v>119</v>
      </c>
      <c r="N7643" s="10" t="str">
        <f t="shared" si="692"/>
        <v>TON</v>
      </c>
      <c r="O7643" s="11">
        <v>1.25</v>
      </c>
    </row>
    <row r="7644" spans="2:15" x14ac:dyDescent="0.25">
      <c r="B7644" s="6" t="s">
        <v>645</v>
      </c>
      <c r="C7644" s="7" t="s">
        <v>1025</v>
      </c>
      <c r="D7644" s="8" t="s">
        <v>2079</v>
      </c>
      <c r="E7644" s="8" t="s">
        <v>1402</v>
      </c>
      <c r="F7644" s="9">
        <f>DATE(2025,3,21)</f>
        <v>45737</v>
      </c>
      <c r="G7644" s="10">
        <f t="shared" si="690"/>
        <v>3</v>
      </c>
      <c r="H7644" s="10">
        <f t="shared" si="691"/>
        <v>2025</v>
      </c>
      <c r="I7644" s="8" t="s">
        <v>4</v>
      </c>
      <c r="J7644" s="7" t="s">
        <v>8212</v>
      </c>
      <c r="K7644" s="8" t="s">
        <v>2081</v>
      </c>
      <c r="L7644" s="8" t="s">
        <v>1405</v>
      </c>
      <c r="M7644" s="8" t="s">
        <v>1397</v>
      </c>
      <c r="N7644" s="10" t="str">
        <f t="shared" si="692"/>
        <v>GAL</v>
      </c>
      <c r="O7644" s="11">
        <v>750</v>
      </c>
    </row>
    <row r="7645" spans="2:15" x14ac:dyDescent="0.25">
      <c r="B7645" s="6" t="s">
        <v>1410</v>
      </c>
      <c r="C7645" s="7" t="s">
        <v>525</v>
      </c>
      <c r="D7645" s="8" t="s">
        <v>628</v>
      </c>
      <c r="E7645" s="8" t="s">
        <v>1036</v>
      </c>
      <c r="F7645" s="9">
        <f>DATE(2025,3,3)</f>
        <v>45719</v>
      </c>
      <c r="G7645" s="10">
        <f t="shared" si="690"/>
        <v>3</v>
      </c>
      <c r="H7645" s="10">
        <f t="shared" si="691"/>
        <v>2025</v>
      </c>
      <c r="I7645" s="8" t="s">
        <v>4</v>
      </c>
      <c r="J7645" s="7" t="s">
        <v>8213</v>
      </c>
      <c r="K7645" s="8" t="s">
        <v>189</v>
      </c>
      <c r="L7645" s="8" t="s">
        <v>190</v>
      </c>
      <c r="M7645" s="8" t="s">
        <v>191</v>
      </c>
      <c r="N7645" s="10" t="str">
        <f t="shared" si="692"/>
        <v>GAL</v>
      </c>
      <c r="O7645" s="11">
        <v>180</v>
      </c>
    </row>
    <row r="7646" spans="2:15" x14ac:dyDescent="0.25">
      <c r="B7646" s="6" t="s">
        <v>1410</v>
      </c>
      <c r="C7646" s="7" t="s">
        <v>525</v>
      </c>
      <c r="D7646" s="8" t="s">
        <v>628</v>
      </c>
      <c r="E7646" s="8" t="s">
        <v>1036</v>
      </c>
      <c r="F7646" s="9">
        <f>DATE(2025,3,3)</f>
        <v>45719</v>
      </c>
      <c r="G7646" s="10">
        <f t="shared" si="690"/>
        <v>3</v>
      </c>
      <c r="H7646" s="10">
        <f t="shared" si="691"/>
        <v>2025</v>
      </c>
      <c r="I7646" s="8" t="s">
        <v>4</v>
      </c>
      <c r="J7646" s="7" t="s">
        <v>8213</v>
      </c>
      <c r="K7646" s="8" t="s">
        <v>25</v>
      </c>
      <c r="L7646" s="8" t="s">
        <v>541</v>
      </c>
      <c r="M7646" s="8" t="s">
        <v>27</v>
      </c>
      <c r="N7646" s="10" t="str">
        <f t="shared" si="692"/>
        <v>GAL</v>
      </c>
      <c r="O7646" s="11">
        <v>360</v>
      </c>
    </row>
    <row r="7647" spans="2:15" x14ac:dyDescent="0.25">
      <c r="B7647" s="6" t="s">
        <v>1520</v>
      </c>
      <c r="C7647" s="7" t="s">
        <v>525</v>
      </c>
      <c r="D7647" s="8" t="s">
        <v>114</v>
      </c>
      <c r="E7647" s="8" t="s">
        <v>402</v>
      </c>
      <c r="F7647" s="9">
        <f>DATE(2025,3,5)</f>
        <v>45721</v>
      </c>
      <c r="G7647" s="10">
        <f t="shared" si="690"/>
        <v>3</v>
      </c>
      <c r="H7647" s="10">
        <f t="shared" si="691"/>
        <v>2025</v>
      </c>
      <c r="I7647" s="8" t="s">
        <v>4</v>
      </c>
      <c r="J7647" s="7" t="s">
        <v>8214</v>
      </c>
      <c r="K7647" s="8" t="s">
        <v>422</v>
      </c>
      <c r="L7647" s="8" t="s">
        <v>423</v>
      </c>
      <c r="M7647" s="8" t="s">
        <v>119</v>
      </c>
      <c r="N7647" s="10" t="str">
        <f t="shared" si="692"/>
        <v>TON</v>
      </c>
      <c r="O7647" s="11">
        <v>12.035</v>
      </c>
    </row>
    <row r="7648" spans="2:15" x14ac:dyDescent="0.25">
      <c r="B7648" s="6" t="s">
        <v>1410</v>
      </c>
      <c r="C7648" s="7" t="s">
        <v>525</v>
      </c>
      <c r="D7648" s="8" t="s">
        <v>646</v>
      </c>
      <c r="E7648" s="8" t="s">
        <v>647</v>
      </c>
      <c r="F7648" s="9">
        <f>DATE(2025,3,6)</f>
        <v>45722</v>
      </c>
      <c r="G7648" s="10">
        <f t="shared" si="690"/>
        <v>3</v>
      </c>
      <c r="H7648" s="10">
        <f t="shared" si="691"/>
        <v>2025</v>
      </c>
      <c r="I7648" s="8" t="s">
        <v>4</v>
      </c>
      <c r="J7648" s="7" t="s">
        <v>8215</v>
      </c>
      <c r="K7648" s="8" t="s">
        <v>649</v>
      </c>
      <c r="L7648" s="8" t="s">
        <v>538</v>
      </c>
      <c r="M7648" s="8" t="s">
        <v>4243</v>
      </c>
      <c r="N7648" s="10" t="str">
        <f t="shared" si="692"/>
        <v>GAL</v>
      </c>
      <c r="O7648" s="11">
        <v>750</v>
      </c>
    </row>
    <row r="7649" spans="2:15" x14ac:dyDescent="0.25">
      <c r="B7649" s="6" t="s">
        <v>1410</v>
      </c>
      <c r="C7649" s="7" t="s">
        <v>525</v>
      </c>
      <c r="D7649" s="8" t="s">
        <v>124</v>
      </c>
      <c r="E7649" s="8" t="s">
        <v>526</v>
      </c>
      <c r="F7649" s="9">
        <f>DATE(2025,3,11)</f>
        <v>45727</v>
      </c>
      <c r="G7649" s="10">
        <f t="shared" si="690"/>
        <v>3</v>
      </c>
      <c r="H7649" s="10">
        <f t="shared" si="691"/>
        <v>2025</v>
      </c>
      <c r="I7649" s="8" t="s">
        <v>4</v>
      </c>
      <c r="J7649" s="7" t="s">
        <v>8216</v>
      </c>
      <c r="K7649" s="8" t="s">
        <v>4643</v>
      </c>
      <c r="L7649" s="8" t="s">
        <v>4644</v>
      </c>
      <c r="M7649" s="8" t="s">
        <v>119</v>
      </c>
      <c r="N7649" s="10" t="str">
        <f t="shared" si="692"/>
        <v>TON</v>
      </c>
      <c r="O7649" s="11">
        <v>11.5</v>
      </c>
    </row>
    <row r="7650" spans="2:15" x14ac:dyDescent="0.25">
      <c r="B7650" s="6" t="s">
        <v>1410</v>
      </c>
      <c r="C7650" s="7" t="s">
        <v>525</v>
      </c>
      <c r="D7650" s="8" t="s">
        <v>628</v>
      </c>
      <c r="E7650" s="8" t="s">
        <v>1036</v>
      </c>
      <c r="F7650" s="9">
        <f>DATE(2025,3,13)</f>
        <v>45729</v>
      </c>
      <c r="G7650" s="10">
        <f t="shared" si="690"/>
        <v>3</v>
      </c>
      <c r="H7650" s="10">
        <f t="shared" si="691"/>
        <v>2025</v>
      </c>
      <c r="I7650" s="8" t="s">
        <v>4</v>
      </c>
      <c r="J7650" s="7" t="s">
        <v>8217</v>
      </c>
      <c r="K7650" s="8" t="s">
        <v>158</v>
      </c>
      <c r="L7650" s="8" t="s">
        <v>159</v>
      </c>
      <c r="M7650" s="8" t="s">
        <v>160</v>
      </c>
      <c r="N7650" s="10" t="str">
        <f t="shared" si="692"/>
        <v>GAL</v>
      </c>
      <c r="O7650" s="11">
        <v>360</v>
      </c>
    </row>
    <row r="7651" spans="2:15" x14ac:dyDescent="0.25">
      <c r="B7651" s="6" t="s">
        <v>1410</v>
      </c>
      <c r="C7651" s="7" t="s">
        <v>525</v>
      </c>
      <c r="D7651" s="8" t="s">
        <v>124</v>
      </c>
      <c r="E7651" s="8" t="s">
        <v>526</v>
      </c>
      <c r="F7651" s="9">
        <f>DATE(2025,3,14)</f>
        <v>45730</v>
      </c>
      <c r="G7651" s="10">
        <f t="shared" si="690"/>
        <v>3</v>
      </c>
      <c r="H7651" s="10">
        <f t="shared" si="691"/>
        <v>2025</v>
      </c>
      <c r="I7651" s="8" t="s">
        <v>4</v>
      </c>
      <c r="J7651" s="7" t="s">
        <v>8218</v>
      </c>
      <c r="K7651" s="8" t="s">
        <v>4788</v>
      </c>
      <c r="L7651" s="8" t="s">
        <v>4789</v>
      </c>
      <c r="M7651" s="8" t="s">
        <v>119</v>
      </c>
      <c r="N7651" s="10" t="str">
        <f t="shared" si="692"/>
        <v>TON</v>
      </c>
      <c r="O7651" s="11">
        <v>12.0025</v>
      </c>
    </row>
    <row r="7652" spans="2:15" x14ac:dyDescent="0.25">
      <c r="B7652" s="6" t="s">
        <v>1410</v>
      </c>
      <c r="C7652" s="7" t="s">
        <v>525</v>
      </c>
      <c r="D7652" s="8" t="s">
        <v>646</v>
      </c>
      <c r="E7652" s="8" t="s">
        <v>647</v>
      </c>
      <c r="F7652" s="9">
        <f>DATE(2025,3,17)</f>
        <v>45733</v>
      </c>
      <c r="G7652" s="10">
        <f t="shared" si="690"/>
        <v>3</v>
      </c>
      <c r="H7652" s="10">
        <f t="shared" si="691"/>
        <v>2025</v>
      </c>
      <c r="I7652" s="8" t="s">
        <v>4</v>
      </c>
      <c r="J7652" s="7" t="s">
        <v>8219</v>
      </c>
      <c r="K7652" s="8" t="s">
        <v>649</v>
      </c>
      <c r="L7652" s="8" t="s">
        <v>538</v>
      </c>
      <c r="M7652" s="8" t="s">
        <v>4243</v>
      </c>
      <c r="N7652" s="10" t="str">
        <f t="shared" si="692"/>
        <v>GAL</v>
      </c>
      <c r="O7652" s="11">
        <v>750</v>
      </c>
    </row>
    <row r="7653" spans="2:15" x14ac:dyDescent="0.25">
      <c r="B7653" s="6" t="s">
        <v>1410</v>
      </c>
      <c r="C7653" s="7" t="s">
        <v>525</v>
      </c>
      <c r="D7653" s="8" t="s">
        <v>124</v>
      </c>
      <c r="E7653" s="8" t="s">
        <v>526</v>
      </c>
      <c r="F7653" s="9">
        <f>DATE(2025,3,18)</f>
        <v>45734</v>
      </c>
      <c r="G7653" s="10">
        <f t="shared" si="690"/>
        <v>3</v>
      </c>
      <c r="H7653" s="10">
        <f t="shared" si="691"/>
        <v>2025</v>
      </c>
      <c r="I7653" s="8" t="s">
        <v>4</v>
      </c>
      <c r="J7653" s="7" t="s">
        <v>8220</v>
      </c>
      <c r="K7653" s="8" t="s">
        <v>4788</v>
      </c>
      <c r="L7653" s="8" t="s">
        <v>4789</v>
      </c>
      <c r="M7653" s="8" t="s">
        <v>119</v>
      </c>
      <c r="N7653" s="10" t="str">
        <f t="shared" si="692"/>
        <v>TON</v>
      </c>
      <c r="O7653" s="11">
        <v>12.02</v>
      </c>
    </row>
    <row r="7654" spans="2:15" x14ac:dyDescent="0.25">
      <c r="B7654" s="6" t="s">
        <v>1410</v>
      </c>
      <c r="C7654" s="7" t="s">
        <v>525</v>
      </c>
      <c r="D7654" s="8" t="s">
        <v>124</v>
      </c>
      <c r="E7654" s="8" t="s">
        <v>526</v>
      </c>
      <c r="F7654" s="9">
        <f>DATE(2025,3,19)</f>
        <v>45735</v>
      </c>
      <c r="G7654" s="10">
        <f t="shared" si="690"/>
        <v>3</v>
      </c>
      <c r="H7654" s="10">
        <f t="shared" si="691"/>
        <v>2025</v>
      </c>
      <c r="I7654" s="8" t="s">
        <v>4</v>
      </c>
      <c r="J7654" s="7" t="s">
        <v>8221</v>
      </c>
      <c r="K7654" s="8" t="s">
        <v>2113</v>
      </c>
      <c r="L7654" s="8" t="s">
        <v>2114</v>
      </c>
      <c r="M7654" s="8" t="s">
        <v>119</v>
      </c>
      <c r="N7654" s="10" t="str">
        <f t="shared" si="692"/>
        <v>TON</v>
      </c>
      <c r="O7654" s="11">
        <v>12.0075</v>
      </c>
    </row>
    <row r="7655" spans="2:15" x14ac:dyDescent="0.25">
      <c r="B7655" s="6" t="s">
        <v>1410</v>
      </c>
      <c r="C7655" s="7" t="s">
        <v>525</v>
      </c>
      <c r="D7655" s="8" t="s">
        <v>124</v>
      </c>
      <c r="E7655" s="8" t="s">
        <v>526</v>
      </c>
      <c r="F7655" s="9">
        <f>DATE(2025,3,24)</f>
        <v>45740</v>
      </c>
      <c r="G7655" s="10">
        <f t="shared" si="690"/>
        <v>3</v>
      </c>
      <c r="H7655" s="10">
        <f t="shared" si="691"/>
        <v>2025</v>
      </c>
      <c r="I7655" s="8" t="s">
        <v>4</v>
      </c>
      <c r="J7655" s="7" t="s">
        <v>8222</v>
      </c>
      <c r="K7655" s="8" t="s">
        <v>2113</v>
      </c>
      <c r="L7655" s="8" t="s">
        <v>2114</v>
      </c>
      <c r="M7655" s="8" t="s">
        <v>119</v>
      </c>
      <c r="N7655" s="10" t="str">
        <f t="shared" si="692"/>
        <v>TON</v>
      </c>
      <c r="O7655" s="11">
        <v>11.955</v>
      </c>
    </row>
    <row r="7656" spans="2:15" x14ac:dyDescent="0.25">
      <c r="B7656" s="6" t="s">
        <v>1410</v>
      </c>
      <c r="C7656" s="7" t="s">
        <v>525</v>
      </c>
      <c r="D7656" s="8" t="s">
        <v>124</v>
      </c>
      <c r="E7656" s="8" t="s">
        <v>526</v>
      </c>
      <c r="F7656" s="9">
        <f>DATE(2025,3,26)</f>
        <v>45742</v>
      </c>
      <c r="G7656" s="10">
        <f t="shared" si="690"/>
        <v>3</v>
      </c>
      <c r="H7656" s="10">
        <f t="shared" si="691"/>
        <v>2025</v>
      </c>
      <c r="I7656" s="8" t="s">
        <v>4</v>
      </c>
      <c r="J7656" s="7" t="s">
        <v>8223</v>
      </c>
      <c r="K7656" s="8" t="s">
        <v>220</v>
      </c>
      <c r="L7656" s="8" t="s">
        <v>201</v>
      </c>
      <c r="M7656" s="8" t="s">
        <v>202</v>
      </c>
      <c r="N7656" s="10" t="str">
        <f t="shared" si="692"/>
        <v>GAL</v>
      </c>
      <c r="O7656" s="11">
        <v>250</v>
      </c>
    </row>
    <row r="7657" spans="2:15" x14ac:dyDescent="0.25">
      <c r="B7657" s="6" t="s">
        <v>1410</v>
      </c>
      <c r="C7657" s="7" t="s">
        <v>525</v>
      </c>
      <c r="D7657" s="8" t="s">
        <v>124</v>
      </c>
      <c r="E7657" s="8" t="s">
        <v>526</v>
      </c>
      <c r="F7657" s="9">
        <f>DATE(2025,3,28)</f>
        <v>45744</v>
      </c>
      <c r="G7657" s="10">
        <f t="shared" si="690"/>
        <v>3</v>
      </c>
      <c r="H7657" s="10">
        <f t="shared" si="691"/>
        <v>2025</v>
      </c>
      <c r="I7657" s="8" t="s">
        <v>4</v>
      </c>
      <c r="J7657" s="7" t="s">
        <v>8224</v>
      </c>
      <c r="K7657" s="8" t="s">
        <v>531</v>
      </c>
      <c r="L7657" s="8" t="s">
        <v>201</v>
      </c>
      <c r="M7657" s="8" t="s">
        <v>202</v>
      </c>
      <c r="N7657" s="10" t="str">
        <f t="shared" si="692"/>
        <v>GAL</v>
      </c>
      <c r="O7657" s="11">
        <v>30</v>
      </c>
    </row>
    <row r="7658" spans="2:15" x14ac:dyDescent="0.25">
      <c r="B7658" s="6" t="s">
        <v>1410</v>
      </c>
      <c r="C7658" s="7" t="s">
        <v>525</v>
      </c>
      <c r="D7658" s="8" t="s">
        <v>124</v>
      </c>
      <c r="E7658" s="8" t="s">
        <v>526</v>
      </c>
      <c r="F7658" s="9">
        <f>DATE(2025,3,31)</f>
        <v>45747</v>
      </c>
      <c r="G7658" s="10">
        <f t="shared" si="690"/>
        <v>3</v>
      </c>
      <c r="H7658" s="10">
        <f t="shared" si="691"/>
        <v>2025</v>
      </c>
      <c r="I7658" s="8" t="s">
        <v>4</v>
      </c>
      <c r="J7658" s="7" t="s">
        <v>8225</v>
      </c>
      <c r="K7658" s="8" t="s">
        <v>2113</v>
      </c>
      <c r="L7658" s="8" t="s">
        <v>2114</v>
      </c>
      <c r="M7658" s="8" t="s">
        <v>119</v>
      </c>
      <c r="N7658" s="10" t="str">
        <f t="shared" si="692"/>
        <v>TON</v>
      </c>
      <c r="O7658" s="11">
        <v>5.0049999999999999</v>
      </c>
    </row>
    <row r="7659" spans="2:15" x14ac:dyDescent="0.25">
      <c r="B7659" s="6" t="s">
        <v>1410</v>
      </c>
      <c r="C7659" s="7" t="s">
        <v>525</v>
      </c>
      <c r="D7659" s="8" t="s">
        <v>628</v>
      </c>
      <c r="E7659" s="8" t="s">
        <v>1036</v>
      </c>
      <c r="F7659" s="9">
        <f>DATE(2025,3,31)</f>
        <v>45747</v>
      </c>
      <c r="G7659" s="10">
        <f t="shared" si="690"/>
        <v>3</v>
      </c>
      <c r="H7659" s="10">
        <f t="shared" si="691"/>
        <v>2025</v>
      </c>
      <c r="I7659" s="8" t="s">
        <v>4</v>
      </c>
      <c r="J7659" s="7" t="s">
        <v>8226</v>
      </c>
      <c r="K7659" s="8" t="s">
        <v>531</v>
      </c>
      <c r="L7659" s="8" t="s">
        <v>201</v>
      </c>
      <c r="M7659" s="8" t="s">
        <v>202</v>
      </c>
      <c r="N7659" s="10" t="str">
        <f t="shared" si="692"/>
        <v>GAL</v>
      </c>
      <c r="O7659" s="11">
        <v>150</v>
      </c>
    </row>
    <row r="7660" spans="2:15" x14ac:dyDescent="0.25">
      <c r="B7660" s="6" t="s">
        <v>1410</v>
      </c>
      <c r="C7660" s="7" t="s">
        <v>525</v>
      </c>
      <c r="D7660" s="8" t="s">
        <v>628</v>
      </c>
      <c r="E7660" s="8" t="s">
        <v>1036</v>
      </c>
      <c r="F7660" s="9">
        <f>DATE(2025,3,31)</f>
        <v>45747</v>
      </c>
      <c r="G7660" s="10">
        <f t="shared" si="690"/>
        <v>3</v>
      </c>
      <c r="H7660" s="10">
        <f t="shared" si="691"/>
        <v>2025</v>
      </c>
      <c r="I7660" s="8" t="s">
        <v>4</v>
      </c>
      <c r="J7660" s="7" t="s">
        <v>8226</v>
      </c>
      <c r="K7660" s="8" t="s">
        <v>609</v>
      </c>
      <c r="L7660" s="8" t="s">
        <v>610</v>
      </c>
      <c r="M7660" s="8" t="s">
        <v>611</v>
      </c>
      <c r="N7660" s="10" t="str">
        <f t="shared" si="692"/>
        <v>GAL</v>
      </c>
      <c r="O7660" s="11">
        <v>180</v>
      </c>
    </row>
    <row r="7661" spans="2:15" x14ac:dyDescent="0.25">
      <c r="B7661" s="6" t="s">
        <v>1050</v>
      </c>
      <c r="C7661" s="7" t="s">
        <v>533</v>
      </c>
      <c r="D7661" s="8" t="s">
        <v>557</v>
      </c>
      <c r="E7661" s="8" t="s">
        <v>1054</v>
      </c>
      <c r="F7661" s="9">
        <f>DATE(2025,3,3)</f>
        <v>45719</v>
      </c>
      <c r="G7661" s="10">
        <f t="shared" si="690"/>
        <v>3</v>
      </c>
      <c r="H7661" s="10">
        <f t="shared" si="691"/>
        <v>2025</v>
      </c>
      <c r="I7661" s="8" t="s">
        <v>4</v>
      </c>
      <c r="J7661" s="7" t="s">
        <v>8227</v>
      </c>
      <c r="K7661" s="8" t="s">
        <v>1424</v>
      </c>
      <c r="L7661" s="8" t="s">
        <v>1057</v>
      </c>
      <c r="M7661" s="8" t="s">
        <v>1058</v>
      </c>
      <c r="N7661" s="10" t="str">
        <f t="shared" si="692"/>
        <v>GAL</v>
      </c>
      <c r="O7661" s="11">
        <v>3600</v>
      </c>
    </row>
    <row r="7662" spans="2:15" x14ac:dyDescent="0.25">
      <c r="B7662" s="6" t="s">
        <v>1050</v>
      </c>
      <c r="C7662" s="7" t="s">
        <v>533</v>
      </c>
      <c r="D7662" s="8" t="s">
        <v>557</v>
      </c>
      <c r="E7662" s="8" t="s">
        <v>2142</v>
      </c>
      <c r="F7662" s="9">
        <f>DATE(2025,3,3)</f>
        <v>45719</v>
      </c>
      <c r="G7662" s="10">
        <f t="shared" si="690"/>
        <v>3</v>
      </c>
      <c r="H7662" s="10">
        <f t="shared" si="691"/>
        <v>2025</v>
      </c>
      <c r="I7662" s="8" t="s">
        <v>4</v>
      </c>
      <c r="J7662" s="7" t="s">
        <v>8228</v>
      </c>
      <c r="K7662" s="8" t="s">
        <v>5125</v>
      </c>
      <c r="L7662" s="8" t="s">
        <v>2124</v>
      </c>
      <c r="M7662" s="8" t="s">
        <v>106</v>
      </c>
      <c r="N7662" s="10" t="str">
        <f t="shared" si="692"/>
        <v>LBS</v>
      </c>
      <c r="O7662" s="11">
        <v>2500</v>
      </c>
    </row>
    <row r="7663" spans="2:15" x14ac:dyDescent="0.25">
      <c r="B7663" s="6" t="s">
        <v>1050</v>
      </c>
      <c r="C7663" s="7" t="s">
        <v>533</v>
      </c>
      <c r="D7663" s="8" t="s">
        <v>557</v>
      </c>
      <c r="E7663" s="8" t="s">
        <v>1767</v>
      </c>
      <c r="F7663" s="9">
        <f>DATE(2025,3,7)</f>
        <v>45723</v>
      </c>
      <c r="G7663" s="10">
        <f t="shared" si="690"/>
        <v>3</v>
      </c>
      <c r="H7663" s="10">
        <f t="shared" si="691"/>
        <v>2025</v>
      </c>
      <c r="I7663" s="8" t="s">
        <v>4</v>
      </c>
      <c r="J7663" s="7" t="s">
        <v>8229</v>
      </c>
      <c r="K7663" s="8" t="s">
        <v>1424</v>
      </c>
      <c r="L7663" s="8" t="s">
        <v>1057</v>
      </c>
      <c r="M7663" s="8" t="s">
        <v>1058</v>
      </c>
      <c r="N7663" s="10" t="str">
        <f t="shared" si="692"/>
        <v>GAL</v>
      </c>
      <c r="O7663" s="11">
        <v>3600</v>
      </c>
    </row>
    <row r="7664" spans="2:15" x14ac:dyDescent="0.25">
      <c r="B7664" s="6" t="s">
        <v>645</v>
      </c>
      <c r="C7664" s="7" t="s">
        <v>533</v>
      </c>
      <c r="D7664" s="8" t="s">
        <v>1047</v>
      </c>
      <c r="E7664" s="8" t="s">
        <v>2136</v>
      </c>
      <c r="F7664" s="9">
        <f>DATE(2025,3,7)</f>
        <v>45723</v>
      </c>
      <c r="G7664" s="10">
        <f t="shared" si="690"/>
        <v>3</v>
      </c>
      <c r="H7664" s="10">
        <f t="shared" si="691"/>
        <v>2025</v>
      </c>
      <c r="I7664" s="8" t="s">
        <v>4</v>
      </c>
      <c r="J7664" s="7" t="s">
        <v>8230</v>
      </c>
      <c r="K7664" s="8" t="s">
        <v>2138</v>
      </c>
      <c r="L7664" s="8" t="s">
        <v>2139</v>
      </c>
      <c r="M7664" s="8" t="s">
        <v>1472</v>
      </c>
      <c r="N7664" s="10" t="str">
        <f t="shared" si="692"/>
        <v>GAL</v>
      </c>
      <c r="O7664" s="11">
        <v>250</v>
      </c>
    </row>
    <row r="7665" spans="2:15" x14ac:dyDescent="0.25">
      <c r="B7665" s="6" t="s">
        <v>1050</v>
      </c>
      <c r="C7665" s="7" t="s">
        <v>533</v>
      </c>
      <c r="D7665" s="8" t="s">
        <v>1047</v>
      </c>
      <c r="E7665" s="8" t="s">
        <v>5712</v>
      </c>
      <c r="F7665" s="9">
        <f>DATE(2025,3,7)</f>
        <v>45723</v>
      </c>
      <c r="G7665" s="10">
        <f t="shared" si="690"/>
        <v>3</v>
      </c>
      <c r="H7665" s="10">
        <f t="shared" si="691"/>
        <v>2025</v>
      </c>
      <c r="I7665" s="8" t="s">
        <v>4</v>
      </c>
      <c r="J7665" s="7" t="s">
        <v>8231</v>
      </c>
      <c r="K7665" s="8" t="s">
        <v>50</v>
      </c>
      <c r="L7665" s="8" t="s">
        <v>550</v>
      </c>
      <c r="M7665" s="8" t="s">
        <v>52</v>
      </c>
      <c r="N7665" s="10" t="str">
        <f t="shared" si="692"/>
        <v>GAL</v>
      </c>
      <c r="O7665" s="11">
        <v>20</v>
      </c>
    </row>
    <row r="7666" spans="2:15" x14ac:dyDescent="0.25">
      <c r="B7666" s="6" t="s">
        <v>1050</v>
      </c>
      <c r="C7666" s="7" t="s">
        <v>533</v>
      </c>
      <c r="D7666" s="8" t="s">
        <v>1047</v>
      </c>
      <c r="E7666" s="8" t="s">
        <v>5712</v>
      </c>
      <c r="F7666" s="9">
        <f>DATE(2025,3,7)</f>
        <v>45723</v>
      </c>
      <c r="G7666" s="10">
        <f t="shared" si="690"/>
        <v>3</v>
      </c>
      <c r="H7666" s="10">
        <f t="shared" si="691"/>
        <v>2025</v>
      </c>
      <c r="I7666" s="8" t="s">
        <v>4</v>
      </c>
      <c r="J7666" s="7" t="s">
        <v>8231</v>
      </c>
      <c r="K7666" s="8" t="s">
        <v>2530</v>
      </c>
      <c r="L7666" s="8" t="s">
        <v>2531</v>
      </c>
      <c r="M7666" s="8" t="s">
        <v>2532</v>
      </c>
      <c r="N7666" s="10" t="str">
        <f t="shared" si="692"/>
        <v>GAL</v>
      </c>
      <c r="O7666" s="11">
        <v>15</v>
      </c>
    </row>
    <row r="7667" spans="2:15" x14ac:dyDescent="0.25">
      <c r="B7667" s="6" t="s">
        <v>1050</v>
      </c>
      <c r="C7667" s="7" t="s">
        <v>533</v>
      </c>
      <c r="D7667" s="8" t="s">
        <v>1047</v>
      </c>
      <c r="E7667" s="8" t="s">
        <v>5712</v>
      </c>
      <c r="F7667" s="9">
        <f>DATE(2025,3,7)</f>
        <v>45723</v>
      </c>
      <c r="G7667" s="10">
        <f t="shared" si="690"/>
        <v>3</v>
      </c>
      <c r="H7667" s="10">
        <f t="shared" si="691"/>
        <v>2025</v>
      </c>
      <c r="I7667" s="8" t="s">
        <v>4</v>
      </c>
      <c r="J7667" s="7" t="s">
        <v>8231</v>
      </c>
      <c r="K7667" s="8" t="s">
        <v>1470</v>
      </c>
      <c r="L7667" s="8" t="s">
        <v>2558</v>
      </c>
      <c r="M7667" s="8" t="s">
        <v>1472</v>
      </c>
      <c r="N7667" s="10" t="str">
        <f t="shared" si="692"/>
        <v>GAL</v>
      </c>
      <c r="O7667" s="11">
        <v>15</v>
      </c>
    </row>
    <row r="7668" spans="2:15" x14ac:dyDescent="0.25">
      <c r="B7668" s="6" t="s">
        <v>645</v>
      </c>
      <c r="C7668" s="7" t="s">
        <v>533</v>
      </c>
      <c r="D7668" s="8" t="s">
        <v>534</v>
      </c>
      <c r="E7668" s="8" t="s">
        <v>535</v>
      </c>
      <c r="F7668" s="9">
        <f t="shared" ref="F7668:F7689" si="693">DATE(2025,3,12)</f>
        <v>45728</v>
      </c>
      <c r="G7668" s="10">
        <f t="shared" si="690"/>
        <v>3</v>
      </c>
      <c r="H7668" s="10">
        <f t="shared" si="691"/>
        <v>2025</v>
      </c>
      <c r="I7668" s="8" t="s">
        <v>4</v>
      </c>
      <c r="J7668" s="7" t="s">
        <v>8232</v>
      </c>
      <c r="K7668" s="8" t="s">
        <v>2548</v>
      </c>
      <c r="L7668" s="8" t="s">
        <v>5951</v>
      </c>
      <c r="M7668" s="8" t="s">
        <v>24</v>
      </c>
      <c r="N7668" s="10" t="str">
        <f t="shared" si="692"/>
        <v>GAL</v>
      </c>
      <c r="O7668" s="11">
        <v>250</v>
      </c>
    </row>
    <row r="7669" spans="2:15" x14ac:dyDescent="0.25">
      <c r="B7669" s="6" t="s">
        <v>645</v>
      </c>
      <c r="C7669" s="7" t="s">
        <v>533</v>
      </c>
      <c r="D7669" s="8" t="s">
        <v>534</v>
      </c>
      <c r="E7669" s="8" t="s">
        <v>535</v>
      </c>
      <c r="F7669" s="9">
        <f t="shared" si="693"/>
        <v>45728</v>
      </c>
      <c r="G7669" s="10">
        <f t="shared" si="690"/>
        <v>3</v>
      </c>
      <c r="H7669" s="10">
        <f t="shared" si="691"/>
        <v>2025</v>
      </c>
      <c r="I7669" s="8" t="s">
        <v>4</v>
      </c>
      <c r="J7669" s="7" t="s">
        <v>8232</v>
      </c>
      <c r="K7669" s="8" t="s">
        <v>5421</v>
      </c>
      <c r="L7669" s="8" t="s">
        <v>5951</v>
      </c>
      <c r="M7669" s="8" t="s">
        <v>24</v>
      </c>
      <c r="N7669" s="10" t="str">
        <f t="shared" si="692"/>
        <v>GAL</v>
      </c>
      <c r="O7669" s="11">
        <v>55</v>
      </c>
    </row>
    <row r="7670" spans="2:15" x14ac:dyDescent="0.25">
      <c r="B7670" s="6" t="s">
        <v>645</v>
      </c>
      <c r="C7670" s="7" t="s">
        <v>533</v>
      </c>
      <c r="D7670" s="8" t="s">
        <v>534</v>
      </c>
      <c r="E7670" s="8" t="s">
        <v>535</v>
      </c>
      <c r="F7670" s="9">
        <f t="shared" si="693"/>
        <v>45728</v>
      </c>
      <c r="G7670" s="10">
        <f t="shared" si="690"/>
        <v>3</v>
      </c>
      <c r="H7670" s="10">
        <f t="shared" si="691"/>
        <v>2025</v>
      </c>
      <c r="I7670" s="8" t="s">
        <v>4</v>
      </c>
      <c r="J7670" s="7" t="s">
        <v>8232</v>
      </c>
      <c r="K7670" s="8" t="s">
        <v>2519</v>
      </c>
      <c r="L7670" s="8" t="s">
        <v>550</v>
      </c>
      <c r="M7670" s="8" t="s">
        <v>52</v>
      </c>
      <c r="N7670" s="10" t="str">
        <f t="shared" si="692"/>
        <v>GAL</v>
      </c>
      <c r="O7670" s="11">
        <v>500</v>
      </c>
    </row>
    <row r="7671" spans="2:15" x14ac:dyDescent="0.25">
      <c r="B7671" s="6" t="s">
        <v>645</v>
      </c>
      <c r="C7671" s="7" t="s">
        <v>533</v>
      </c>
      <c r="D7671" s="8" t="s">
        <v>534</v>
      </c>
      <c r="E7671" s="8" t="s">
        <v>535</v>
      </c>
      <c r="F7671" s="9">
        <f t="shared" si="693"/>
        <v>45728</v>
      </c>
      <c r="G7671" s="10">
        <f t="shared" si="690"/>
        <v>3</v>
      </c>
      <c r="H7671" s="10">
        <f t="shared" si="691"/>
        <v>2025</v>
      </c>
      <c r="I7671" s="8" t="s">
        <v>4</v>
      </c>
      <c r="J7671" s="7" t="s">
        <v>8232</v>
      </c>
      <c r="K7671" s="8" t="s">
        <v>548</v>
      </c>
      <c r="L7671" s="8" t="s">
        <v>518</v>
      </c>
      <c r="M7671" s="8" t="s">
        <v>85</v>
      </c>
      <c r="N7671" s="10" t="str">
        <f t="shared" si="692"/>
        <v>GAL</v>
      </c>
      <c r="O7671" s="11">
        <v>500</v>
      </c>
    </row>
    <row r="7672" spans="2:15" x14ac:dyDescent="0.25">
      <c r="B7672" s="6" t="s">
        <v>645</v>
      </c>
      <c r="C7672" s="7" t="s">
        <v>533</v>
      </c>
      <c r="D7672" s="8" t="s">
        <v>534</v>
      </c>
      <c r="E7672" s="8" t="s">
        <v>535</v>
      </c>
      <c r="F7672" s="9">
        <f t="shared" si="693"/>
        <v>45728</v>
      </c>
      <c r="G7672" s="10">
        <f t="shared" si="690"/>
        <v>3</v>
      </c>
      <c r="H7672" s="10">
        <f t="shared" si="691"/>
        <v>2025</v>
      </c>
      <c r="I7672" s="8" t="s">
        <v>4</v>
      </c>
      <c r="J7672" s="7" t="s">
        <v>8232</v>
      </c>
      <c r="K7672" s="8" t="s">
        <v>2544</v>
      </c>
      <c r="L7672" s="8" t="s">
        <v>547</v>
      </c>
      <c r="M7672" s="8" t="s">
        <v>160</v>
      </c>
      <c r="N7672" s="10" t="str">
        <f t="shared" si="692"/>
        <v>GAL</v>
      </c>
      <c r="O7672" s="11">
        <v>250</v>
      </c>
    </row>
    <row r="7673" spans="2:15" x14ac:dyDescent="0.25">
      <c r="B7673" s="6" t="s">
        <v>645</v>
      </c>
      <c r="C7673" s="7" t="s">
        <v>533</v>
      </c>
      <c r="D7673" s="8" t="s">
        <v>534</v>
      </c>
      <c r="E7673" s="8" t="s">
        <v>535</v>
      </c>
      <c r="F7673" s="9">
        <f t="shared" si="693"/>
        <v>45728</v>
      </c>
      <c r="G7673" s="10">
        <f t="shared" si="690"/>
        <v>3</v>
      </c>
      <c r="H7673" s="10">
        <f t="shared" si="691"/>
        <v>2025</v>
      </c>
      <c r="I7673" s="8" t="s">
        <v>4</v>
      </c>
      <c r="J7673" s="7" t="s">
        <v>8232</v>
      </c>
      <c r="K7673" s="8" t="s">
        <v>554</v>
      </c>
      <c r="L7673" s="8" t="s">
        <v>555</v>
      </c>
      <c r="M7673" s="8" t="s">
        <v>556</v>
      </c>
      <c r="N7673" s="10" t="str">
        <f t="shared" si="692"/>
        <v>GAL</v>
      </c>
      <c r="O7673" s="11">
        <v>500</v>
      </c>
    </row>
    <row r="7674" spans="2:15" x14ac:dyDescent="0.25">
      <c r="B7674" s="6" t="s">
        <v>645</v>
      </c>
      <c r="C7674" s="7" t="s">
        <v>533</v>
      </c>
      <c r="D7674" s="8" t="s">
        <v>534</v>
      </c>
      <c r="E7674" s="8" t="s">
        <v>535</v>
      </c>
      <c r="F7674" s="9">
        <f t="shared" si="693"/>
        <v>45728</v>
      </c>
      <c r="G7674" s="10">
        <f t="shared" si="690"/>
        <v>3</v>
      </c>
      <c r="H7674" s="10">
        <f t="shared" si="691"/>
        <v>2025</v>
      </c>
      <c r="I7674" s="8" t="s">
        <v>4</v>
      </c>
      <c r="J7674" s="7" t="s">
        <v>8232</v>
      </c>
      <c r="K7674" s="8" t="s">
        <v>5423</v>
      </c>
      <c r="L7674" s="8" t="s">
        <v>602</v>
      </c>
      <c r="M7674" s="8" t="s">
        <v>41</v>
      </c>
      <c r="N7674" s="10" t="str">
        <f t="shared" si="692"/>
        <v>GAL</v>
      </c>
      <c r="O7674" s="11">
        <v>55</v>
      </c>
    </row>
    <row r="7675" spans="2:15" x14ac:dyDescent="0.25">
      <c r="B7675" s="6" t="s">
        <v>645</v>
      </c>
      <c r="C7675" s="7" t="s">
        <v>533</v>
      </c>
      <c r="D7675" s="8" t="s">
        <v>534</v>
      </c>
      <c r="E7675" s="8" t="s">
        <v>535</v>
      </c>
      <c r="F7675" s="9">
        <f t="shared" si="693"/>
        <v>45728</v>
      </c>
      <c r="G7675" s="10">
        <f t="shared" si="690"/>
        <v>3</v>
      </c>
      <c r="H7675" s="10">
        <f t="shared" si="691"/>
        <v>2025</v>
      </c>
      <c r="I7675" s="8" t="s">
        <v>4</v>
      </c>
      <c r="J7675" s="7" t="s">
        <v>8232</v>
      </c>
      <c r="K7675" s="8" t="s">
        <v>1779</v>
      </c>
      <c r="L7675" s="8" t="s">
        <v>2545</v>
      </c>
      <c r="M7675" s="8" t="s">
        <v>67</v>
      </c>
      <c r="N7675" s="10" t="str">
        <f t="shared" si="692"/>
        <v>GAL</v>
      </c>
      <c r="O7675" s="11">
        <v>55</v>
      </c>
    </row>
    <row r="7676" spans="2:15" x14ac:dyDescent="0.25">
      <c r="B7676" s="6" t="s">
        <v>645</v>
      </c>
      <c r="C7676" s="7" t="s">
        <v>533</v>
      </c>
      <c r="D7676" s="8" t="s">
        <v>534</v>
      </c>
      <c r="E7676" s="8" t="s">
        <v>535</v>
      </c>
      <c r="F7676" s="9">
        <f t="shared" si="693"/>
        <v>45728</v>
      </c>
      <c r="G7676" s="10">
        <f t="shared" si="690"/>
        <v>3</v>
      </c>
      <c r="H7676" s="10">
        <f t="shared" si="691"/>
        <v>2025</v>
      </c>
      <c r="I7676" s="8" t="s">
        <v>4</v>
      </c>
      <c r="J7676" s="7" t="s">
        <v>8232</v>
      </c>
      <c r="K7676" s="8" t="s">
        <v>816</v>
      </c>
      <c r="L7676" s="8" t="s">
        <v>545</v>
      </c>
      <c r="M7676" s="8" t="s">
        <v>67</v>
      </c>
      <c r="N7676" s="10" t="str">
        <f t="shared" si="692"/>
        <v>GAL</v>
      </c>
      <c r="O7676" s="11">
        <v>250</v>
      </c>
    </row>
    <row r="7677" spans="2:15" x14ac:dyDescent="0.25">
      <c r="B7677" s="6" t="s">
        <v>645</v>
      </c>
      <c r="C7677" s="7" t="s">
        <v>533</v>
      </c>
      <c r="D7677" s="8" t="s">
        <v>534</v>
      </c>
      <c r="E7677" s="8" t="s">
        <v>535</v>
      </c>
      <c r="F7677" s="9">
        <f t="shared" si="693"/>
        <v>45728</v>
      </c>
      <c r="G7677" s="10">
        <f t="shared" si="690"/>
        <v>3</v>
      </c>
      <c r="H7677" s="10">
        <f t="shared" si="691"/>
        <v>2025</v>
      </c>
      <c r="I7677" s="8" t="s">
        <v>4</v>
      </c>
      <c r="J7677" s="7" t="s">
        <v>8232</v>
      </c>
      <c r="K7677" s="8" t="s">
        <v>1188</v>
      </c>
      <c r="L7677" s="8" t="s">
        <v>541</v>
      </c>
      <c r="M7677" s="8" t="s">
        <v>27</v>
      </c>
      <c r="N7677" s="10" t="str">
        <f t="shared" si="692"/>
        <v>GAL</v>
      </c>
      <c r="O7677" s="11">
        <v>250</v>
      </c>
    </row>
    <row r="7678" spans="2:15" x14ac:dyDescent="0.25">
      <c r="B7678" s="6" t="s">
        <v>645</v>
      </c>
      <c r="C7678" s="7" t="s">
        <v>533</v>
      </c>
      <c r="D7678" s="8" t="s">
        <v>534</v>
      </c>
      <c r="E7678" s="8" t="s">
        <v>535</v>
      </c>
      <c r="F7678" s="9">
        <f t="shared" si="693"/>
        <v>45728</v>
      </c>
      <c r="G7678" s="10">
        <f t="shared" si="690"/>
        <v>3</v>
      </c>
      <c r="H7678" s="10">
        <f t="shared" si="691"/>
        <v>2025</v>
      </c>
      <c r="I7678" s="8" t="s">
        <v>4</v>
      </c>
      <c r="J7678" s="7" t="s">
        <v>8232</v>
      </c>
      <c r="K7678" s="8" t="s">
        <v>542</v>
      </c>
      <c r="L7678" s="8" t="s">
        <v>543</v>
      </c>
      <c r="M7678" s="8" t="s">
        <v>27</v>
      </c>
      <c r="N7678" s="10" t="str">
        <f t="shared" si="692"/>
        <v>GAL</v>
      </c>
      <c r="O7678" s="11">
        <v>110</v>
      </c>
    </row>
    <row r="7679" spans="2:15" x14ac:dyDescent="0.25">
      <c r="B7679" s="6" t="s">
        <v>645</v>
      </c>
      <c r="C7679" s="7" t="s">
        <v>533</v>
      </c>
      <c r="D7679" s="8" t="s">
        <v>534</v>
      </c>
      <c r="E7679" s="8" t="s">
        <v>535</v>
      </c>
      <c r="F7679" s="9">
        <f t="shared" si="693"/>
        <v>45728</v>
      </c>
      <c r="G7679" s="10">
        <f t="shared" si="690"/>
        <v>3</v>
      </c>
      <c r="H7679" s="10">
        <f t="shared" si="691"/>
        <v>2025</v>
      </c>
      <c r="I7679" s="8" t="s">
        <v>4</v>
      </c>
      <c r="J7679" s="7" t="s">
        <v>8232</v>
      </c>
      <c r="K7679" s="8" t="s">
        <v>5419</v>
      </c>
      <c r="L7679" s="8" t="s">
        <v>1483</v>
      </c>
      <c r="M7679" s="8" t="s">
        <v>1484</v>
      </c>
      <c r="N7679" s="10" t="str">
        <f t="shared" si="692"/>
        <v>GAL</v>
      </c>
      <c r="O7679" s="11">
        <v>250</v>
      </c>
    </row>
    <row r="7680" spans="2:15" x14ac:dyDescent="0.25">
      <c r="B7680" s="6" t="s">
        <v>645</v>
      </c>
      <c r="C7680" s="7" t="s">
        <v>533</v>
      </c>
      <c r="D7680" s="8" t="s">
        <v>534</v>
      </c>
      <c r="E7680" s="8" t="s">
        <v>535</v>
      </c>
      <c r="F7680" s="9">
        <f t="shared" si="693"/>
        <v>45728</v>
      </c>
      <c r="G7680" s="10">
        <f t="shared" si="690"/>
        <v>3</v>
      </c>
      <c r="H7680" s="10">
        <f t="shared" si="691"/>
        <v>2025</v>
      </c>
      <c r="I7680" s="8" t="s">
        <v>4</v>
      </c>
      <c r="J7680" s="7" t="s">
        <v>8232</v>
      </c>
      <c r="K7680" s="8" t="s">
        <v>5420</v>
      </c>
      <c r="L7680" s="8" t="s">
        <v>1483</v>
      </c>
      <c r="M7680" s="8" t="s">
        <v>1484</v>
      </c>
      <c r="N7680" s="10" t="str">
        <f t="shared" si="692"/>
        <v>GAL</v>
      </c>
      <c r="O7680" s="11">
        <v>55</v>
      </c>
    </row>
    <row r="7681" spans="2:15" x14ac:dyDescent="0.25">
      <c r="B7681" s="6" t="s">
        <v>645</v>
      </c>
      <c r="C7681" s="7" t="s">
        <v>533</v>
      </c>
      <c r="D7681" s="8" t="s">
        <v>534</v>
      </c>
      <c r="E7681" s="8" t="s">
        <v>535</v>
      </c>
      <c r="F7681" s="9">
        <f t="shared" si="693"/>
        <v>45728</v>
      </c>
      <c r="G7681" s="10">
        <f t="shared" si="690"/>
        <v>3</v>
      </c>
      <c r="H7681" s="10">
        <f t="shared" si="691"/>
        <v>2025</v>
      </c>
      <c r="I7681" s="8" t="s">
        <v>4</v>
      </c>
      <c r="J7681" s="7" t="s">
        <v>8232</v>
      </c>
      <c r="K7681" s="8" t="s">
        <v>537</v>
      </c>
      <c r="L7681" s="8" t="s">
        <v>538</v>
      </c>
      <c r="M7681" s="8" t="s">
        <v>4243</v>
      </c>
      <c r="N7681" s="10" t="str">
        <f t="shared" si="692"/>
        <v>GAL</v>
      </c>
      <c r="O7681" s="11">
        <v>165</v>
      </c>
    </row>
    <row r="7682" spans="2:15" x14ac:dyDescent="0.25">
      <c r="B7682" s="6" t="s">
        <v>645</v>
      </c>
      <c r="C7682" s="7" t="s">
        <v>533</v>
      </c>
      <c r="D7682" s="8" t="s">
        <v>534</v>
      </c>
      <c r="E7682" s="8" t="s">
        <v>535</v>
      </c>
      <c r="F7682" s="9">
        <f t="shared" si="693"/>
        <v>45728</v>
      </c>
      <c r="G7682" s="10">
        <f t="shared" si="690"/>
        <v>3</v>
      </c>
      <c r="H7682" s="10">
        <f t="shared" si="691"/>
        <v>2025</v>
      </c>
      <c r="I7682" s="8" t="s">
        <v>4</v>
      </c>
      <c r="J7682" s="7" t="s">
        <v>8232</v>
      </c>
      <c r="K7682" s="8" t="s">
        <v>11</v>
      </c>
      <c r="L7682" s="8" t="s">
        <v>1010</v>
      </c>
      <c r="M7682" s="8" t="s">
        <v>13</v>
      </c>
      <c r="N7682" s="10" t="str">
        <f t="shared" si="692"/>
        <v>GAL</v>
      </c>
      <c r="O7682" s="11">
        <v>165</v>
      </c>
    </row>
    <row r="7683" spans="2:15" x14ac:dyDescent="0.25">
      <c r="B7683" s="6" t="s">
        <v>645</v>
      </c>
      <c r="C7683" s="7" t="s">
        <v>533</v>
      </c>
      <c r="D7683" s="8" t="s">
        <v>534</v>
      </c>
      <c r="E7683" s="8" t="s">
        <v>535</v>
      </c>
      <c r="F7683" s="9">
        <f t="shared" si="693"/>
        <v>45728</v>
      </c>
      <c r="G7683" s="10">
        <f t="shared" si="690"/>
        <v>3</v>
      </c>
      <c r="H7683" s="10">
        <f t="shared" si="691"/>
        <v>2025</v>
      </c>
      <c r="I7683" s="8" t="s">
        <v>4</v>
      </c>
      <c r="J7683" s="7" t="s">
        <v>8232</v>
      </c>
      <c r="K7683" s="8" t="s">
        <v>1723</v>
      </c>
      <c r="L7683" s="8" t="s">
        <v>1724</v>
      </c>
      <c r="M7683" s="8" t="s">
        <v>13</v>
      </c>
      <c r="N7683" s="10" t="str">
        <f t="shared" si="692"/>
        <v>GAL</v>
      </c>
      <c r="O7683" s="11">
        <v>250</v>
      </c>
    </row>
    <row r="7684" spans="2:15" x14ac:dyDescent="0.25">
      <c r="B7684" s="6" t="s">
        <v>645</v>
      </c>
      <c r="C7684" s="7" t="s">
        <v>533</v>
      </c>
      <c r="D7684" s="8" t="s">
        <v>534</v>
      </c>
      <c r="E7684" s="8" t="s">
        <v>535</v>
      </c>
      <c r="F7684" s="9">
        <f t="shared" si="693"/>
        <v>45728</v>
      </c>
      <c r="G7684" s="10">
        <f t="shared" ref="G7684:G7747" si="694">+MONTH(F7684)</f>
        <v>3</v>
      </c>
      <c r="H7684" s="10">
        <f t="shared" ref="H7684:H7747" si="695">+YEAR(F7684)</f>
        <v>2025</v>
      </c>
      <c r="I7684" s="8" t="s">
        <v>4</v>
      </c>
      <c r="J7684" s="7" t="s">
        <v>8232</v>
      </c>
      <c r="K7684" s="8" t="s">
        <v>2539</v>
      </c>
      <c r="L7684" s="8" t="s">
        <v>150</v>
      </c>
      <c r="M7684" s="8" t="s">
        <v>21</v>
      </c>
      <c r="N7684" s="10" t="str">
        <f t="shared" si="692"/>
        <v>GAL</v>
      </c>
      <c r="O7684" s="11">
        <v>110</v>
      </c>
    </row>
    <row r="7685" spans="2:15" x14ac:dyDescent="0.25">
      <c r="B7685" s="6" t="s">
        <v>645</v>
      </c>
      <c r="C7685" s="7" t="s">
        <v>533</v>
      </c>
      <c r="D7685" s="8" t="s">
        <v>557</v>
      </c>
      <c r="E7685" s="8" t="s">
        <v>567</v>
      </c>
      <c r="F7685" s="9">
        <f t="shared" si="693"/>
        <v>45728</v>
      </c>
      <c r="G7685" s="10">
        <f t="shared" si="694"/>
        <v>3</v>
      </c>
      <c r="H7685" s="10">
        <f t="shared" si="695"/>
        <v>2025</v>
      </c>
      <c r="I7685" s="8" t="s">
        <v>4</v>
      </c>
      <c r="J7685" s="7" t="s">
        <v>8233</v>
      </c>
      <c r="K7685" s="8" t="s">
        <v>569</v>
      </c>
      <c r="L7685" s="8" t="s">
        <v>570</v>
      </c>
      <c r="M7685" s="8" t="s">
        <v>106</v>
      </c>
      <c r="N7685" s="10" t="str">
        <f t="shared" ref="N7685:N7748" si="696">+LEFT(M7685,3)</f>
        <v>LBS</v>
      </c>
      <c r="O7685" s="11">
        <v>2500</v>
      </c>
    </row>
    <row r="7686" spans="2:15" x14ac:dyDescent="0.25">
      <c r="B7686" s="6" t="s">
        <v>645</v>
      </c>
      <c r="C7686" s="7" t="s">
        <v>533</v>
      </c>
      <c r="D7686" s="8" t="s">
        <v>534</v>
      </c>
      <c r="E7686" s="8" t="s">
        <v>535</v>
      </c>
      <c r="F7686" s="9">
        <f t="shared" si="693"/>
        <v>45728</v>
      </c>
      <c r="G7686" s="10">
        <f t="shared" si="694"/>
        <v>3</v>
      </c>
      <c r="H7686" s="10">
        <f t="shared" si="695"/>
        <v>2025</v>
      </c>
      <c r="I7686" s="8" t="s">
        <v>4</v>
      </c>
      <c r="J7686" s="7" t="s">
        <v>8234</v>
      </c>
      <c r="K7686" s="8" t="s">
        <v>8235</v>
      </c>
      <c r="L7686" s="8" t="s">
        <v>547</v>
      </c>
      <c r="M7686" s="8" t="s">
        <v>160</v>
      </c>
      <c r="N7686" s="10" t="str">
        <f t="shared" si="696"/>
        <v>GAL</v>
      </c>
      <c r="O7686" s="11">
        <v>60</v>
      </c>
    </row>
    <row r="7687" spans="2:15" x14ac:dyDescent="0.25">
      <c r="B7687" s="6" t="s">
        <v>645</v>
      </c>
      <c r="C7687" s="7" t="s">
        <v>533</v>
      </c>
      <c r="D7687" s="8" t="s">
        <v>534</v>
      </c>
      <c r="E7687" s="8" t="s">
        <v>535</v>
      </c>
      <c r="F7687" s="9">
        <f t="shared" si="693"/>
        <v>45728</v>
      </c>
      <c r="G7687" s="10">
        <f t="shared" si="694"/>
        <v>3</v>
      </c>
      <c r="H7687" s="10">
        <f t="shared" si="695"/>
        <v>2025</v>
      </c>
      <c r="I7687" s="8" t="s">
        <v>4</v>
      </c>
      <c r="J7687" s="7" t="s">
        <v>8234</v>
      </c>
      <c r="K7687" s="8" t="s">
        <v>8236</v>
      </c>
      <c r="L7687" s="8" t="s">
        <v>545</v>
      </c>
      <c r="M7687" s="8" t="s">
        <v>67</v>
      </c>
      <c r="N7687" s="10" t="str">
        <f t="shared" si="696"/>
        <v>GAL</v>
      </c>
      <c r="O7687" s="11">
        <v>60</v>
      </c>
    </row>
    <row r="7688" spans="2:15" x14ac:dyDescent="0.25">
      <c r="B7688" s="6" t="s">
        <v>645</v>
      </c>
      <c r="C7688" s="7" t="s">
        <v>533</v>
      </c>
      <c r="D7688" s="8" t="s">
        <v>557</v>
      </c>
      <c r="E7688" s="8" t="s">
        <v>1090</v>
      </c>
      <c r="F7688" s="9">
        <f t="shared" si="693"/>
        <v>45728</v>
      </c>
      <c r="G7688" s="10">
        <f t="shared" si="694"/>
        <v>3</v>
      </c>
      <c r="H7688" s="10">
        <f t="shared" si="695"/>
        <v>2025</v>
      </c>
      <c r="I7688" s="8" t="s">
        <v>4</v>
      </c>
      <c r="J7688" s="7" t="s">
        <v>8237</v>
      </c>
      <c r="K7688" s="8" t="s">
        <v>2123</v>
      </c>
      <c r="L7688" s="8" t="s">
        <v>2124</v>
      </c>
      <c r="M7688" s="8" t="s">
        <v>106</v>
      </c>
      <c r="N7688" s="10" t="str">
        <f t="shared" si="696"/>
        <v>LBS</v>
      </c>
      <c r="O7688" s="11">
        <v>3600</v>
      </c>
    </row>
    <row r="7689" spans="2:15" x14ac:dyDescent="0.25">
      <c r="B7689" s="6" t="s">
        <v>645</v>
      </c>
      <c r="C7689" s="7" t="s">
        <v>533</v>
      </c>
      <c r="D7689" s="8" t="s">
        <v>557</v>
      </c>
      <c r="E7689" s="8" t="s">
        <v>1090</v>
      </c>
      <c r="F7689" s="9">
        <f t="shared" si="693"/>
        <v>45728</v>
      </c>
      <c r="G7689" s="10">
        <f t="shared" si="694"/>
        <v>3</v>
      </c>
      <c r="H7689" s="10">
        <f t="shared" si="695"/>
        <v>2025</v>
      </c>
      <c r="I7689" s="8" t="s">
        <v>4</v>
      </c>
      <c r="J7689" s="7" t="s">
        <v>8238</v>
      </c>
      <c r="K7689" s="8" t="s">
        <v>2123</v>
      </c>
      <c r="L7689" s="8" t="s">
        <v>2124</v>
      </c>
      <c r="M7689" s="8" t="s">
        <v>106</v>
      </c>
      <c r="N7689" s="10" t="str">
        <f t="shared" si="696"/>
        <v>LBS</v>
      </c>
      <c r="O7689" s="11">
        <v>3600</v>
      </c>
    </row>
    <row r="7690" spans="2:15" x14ac:dyDescent="0.25">
      <c r="B7690" s="6" t="s">
        <v>1050</v>
      </c>
      <c r="C7690" s="7" t="s">
        <v>533</v>
      </c>
      <c r="D7690" s="8" t="s">
        <v>557</v>
      </c>
      <c r="E7690" s="8" t="s">
        <v>1059</v>
      </c>
      <c r="F7690" s="9">
        <f>DATE(2025,3,13)</f>
        <v>45729</v>
      </c>
      <c r="G7690" s="10">
        <f t="shared" si="694"/>
        <v>3</v>
      </c>
      <c r="H7690" s="10">
        <f t="shared" si="695"/>
        <v>2025</v>
      </c>
      <c r="I7690" s="8" t="s">
        <v>4</v>
      </c>
      <c r="J7690" s="7" t="s">
        <v>8239</v>
      </c>
      <c r="K7690" s="8" t="s">
        <v>1424</v>
      </c>
      <c r="L7690" s="8" t="s">
        <v>1057</v>
      </c>
      <c r="M7690" s="8" t="s">
        <v>1058</v>
      </c>
      <c r="N7690" s="10" t="str">
        <f t="shared" si="696"/>
        <v>GAL</v>
      </c>
      <c r="O7690" s="11">
        <v>3600</v>
      </c>
    </row>
    <row r="7691" spans="2:15" x14ac:dyDescent="0.25">
      <c r="B7691" s="6" t="s">
        <v>645</v>
      </c>
      <c r="C7691" s="7" t="s">
        <v>533</v>
      </c>
      <c r="D7691" s="8" t="s">
        <v>557</v>
      </c>
      <c r="E7691" s="8" t="s">
        <v>4801</v>
      </c>
      <c r="F7691" s="9">
        <f>DATE(2025,3,17)</f>
        <v>45733</v>
      </c>
      <c r="G7691" s="10">
        <f t="shared" si="694"/>
        <v>3</v>
      </c>
      <c r="H7691" s="10">
        <f t="shared" si="695"/>
        <v>2025</v>
      </c>
      <c r="I7691" s="8" t="s">
        <v>4</v>
      </c>
      <c r="J7691" s="7" t="s">
        <v>8240</v>
      </c>
      <c r="K7691" s="8" t="s">
        <v>1424</v>
      </c>
      <c r="L7691" s="8" t="s">
        <v>1057</v>
      </c>
      <c r="M7691" s="8" t="s">
        <v>1058</v>
      </c>
      <c r="N7691" s="10" t="str">
        <f t="shared" si="696"/>
        <v>GAL</v>
      </c>
      <c r="O7691" s="11">
        <v>3600</v>
      </c>
    </row>
    <row r="7692" spans="2:15" x14ac:dyDescent="0.25">
      <c r="B7692" s="6" t="s">
        <v>645</v>
      </c>
      <c r="C7692" s="7" t="s">
        <v>533</v>
      </c>
      <c r="D7692" s="8" t="s">
        <v>557</v>
      </c>
      <c r="E7692" s="8" t="s">
        <v>1090</v>
      </c>
      <c r="F7692" s="9">
        <f>DATE(2025,3,18)</f>
        <v>45734</v>
      </c>
      <c r="G7692" s="10">
        <f t="shared" si="694"/>
        <v>3</v>
      </c>
      <c r="H7692" s="10">
        <f t="shared" si="695"/>
        <v>2025</v>
      </c>
      <c r="I7692" s="8" t="s">
        <v>4</v>
      </c>
      <c r="J7692" s="7" t="s">
        <v>8241</v>
      </c>
      <c r="K7692" s="8" t="s">
        <v>569</v>
      </c>
      <c r="L7692" s="8" t="s">
        <v>570</v>
      </c>
      <c r="M7692" s="8" t="s">
        <v>106</v>
      </c>
      <c r="N7692" s="10" t="str">
        <f t="shared" si="696"/>
        <v>LBS</v>
      </c>
      <c r="O7692" s="11">
        <v>2500</v>
      </c>
    </row>
    <row r="7693" spans="2:15" x14ac:dyDescent="0.25">
      <c r="B7693" s="6" t="s">
        <v>1050</v>
      </c>
      <c r="C7693" s="7" t="s">
        <v>533</v>
      </c>
      <c r="D7693" s="8" t="s">
        <v>557</v>
      </c>
      <c r="E7693" s="8" t="s">
        <v>1059</v>
      </c>
      <c r="F7693" s="9">
        <f>DATE(2025,3,20)</f>
        <v>45736</v>
      </c>
      <c r="G7693" s="10">
        <f t="shared" si="694"/>
        <v>3</v>
      </c>
      <c r="H7693" s="10">
        <f t="shared" si="695"/>
        <v>2025</v>
      </c>
      <c r="I7693" s="8" t="s">
        <v>4</v>
      </c>
      <c r="J7693" s="7" t="s">
        <v>8242</v>
      </c>
      <c r="K7693" s="8" t="s">
        <v>1056</v>
      </c>
      <c r="L7693" s="8" t="s">
        <v>1057</v>
      </c>
      <c r="M7693" s="8" t="s">
        <v>1058</v>
      </c>
      <c r="N7693" s="10" t="str">
        <f t="shared" si="696"/>
        <v>GAL</v>
      </c>
      <c r="O7693" s="11">
        <v>3710</v>
      </c>
    </row>
    <row r="7694" spans="2:15" x14ac:dyDescent="0.25">
      <c r="B7694" s="6" t="s">
        <v>645</v>
      </c>
      <c r="C7694" s="7" t="s">
        <v>533</v>
      </c>
      <c r="D7694" s="8" t="s">
        <v>557</v>
      </c>
      <c r="E7694" s="8" t="s">
        <v>4801</v>
      </c>
      <c r="F7694" s="9">
        <f>DATE(2025,3,20)</f>
        <v>45736</v>
      </c>
      <c r="G7694" s="10">
        <f t="shared" si="694"/>
        <v>3</v>
      </c>
      <c r="H7694" s="10">
        <f t="shared" si="695"/>
        <v>2025</v>
      </c>
      <c r="I7694" s="8" t="s">
        <v>4</v>
      </c>
      <c r="J7694" s="7" t="s">
        <v>8243</v>
      </c>
      <c r="K7694" s="8" t="s">
        <v>1056</v>
      </c>
      <c r="L7694" s="8" t="s">
        <v>1057</v>
      </c>
      <c r="M7694" s="8" t="s">
        <v>1058</v>
      </c>
      <c r="N7694" s="10" t="str">
        <f t="shared" si="696"/>
        <v>GAL</v>
      </c>
      <c r="O7694" s="11">
        <v>3710</v>
      </c>
    </row>
    <row r="7695" spans="2:15" x14ac:dyDescent="0.25">
      <c r="B7695" s="6" t="s">
        <v>645</v>
      </c>
      <c r="C7695" s="7" t="s">
        <v>533</v>
      </c>
      <c r="D7695" s="8" t="s">
        <v>557</v>
      </c>
      <c r="E7695" s="8" t="s">
        <v>1090</v>
      </c>
      <c r="F7695" s="9">
        <f>DATE(2025,3,20)</f>
        <v>45736</v>
      </c>
      <c r="G7695" s="10">
        <f t="shared" si="694"/>
        <v>3</v>
      </c>
      <c r="H7695" s="10">
        <f t="shared" si="695"/>
        <v>2025</v>
      </c>
      <c r="I7695" s="8" t="s">
        <v>4</v>
      </c>
      <c r="J7695" s="7" t="s">
        <v>8244</v>
      </c>
      <c r="K7695" s="8" t="s">
        <v>2127</v>
      </c>
      <c r="L7695" s="8" t="s">
        <v>2126</v>
      </c>
      <c r="M7695" s="8" t="s">
        <v>106</v>
      </c>
      <c r="N7695" s="10" t="str">
        <f t="shared" si="696"/>
        <v>LBS</v>
      </c>
      <c r="O7695" s="11">
        <v>3600</v>
      </c>
    </row>
    <row r="7696" spans="2:15" x14ac:dyDescent="0.25">
      <c r="B7696" s="6" t="s">
        <v>645</v>
      </c>
      <c r="C7696" s="7" t="s">
        <v>533</v>
      </c>
      <c r="D7696" s="8" t="s">
        <v>557</v>
      </c>
      <c r="E7696" s="8" t="s">
        <v>3111</v>
      </c>
      <c r="F7696" s="9">
        <f>DATE(2025,3,20)</f>
        <v>45736</v>
      </c>
      <c r="G7696" s="10">
        <f t="shared" si="694"/>
        <v>3</v>
      </c>
      <c r="H7696" s="10">
        <f t="shared" si="695"/>
        <v>2025</v>
      </c>
      <c r="I7696" s="8" t="s">
        <v>4</v>
      </c>
      <c r="J7696" s="7" t="s">
        <v>8245</v>
      </c>
      <c r="K7696" s="8" t="s">
        <v>2127</v>
      </c>
      <c r="L7696" s="8" t="s">
        <v>2126</v>
      </c>
      <c r="M7696" s="8" t="s">
        <v>106</v>
      </c>
      <c r="N7696" s="10" t="str">
        <f t="shared" si="696"/>
        <v>LBS</v>
      </c>
      <c r="O7696" s="11">
        <v>1800</v>
      </c>
    </row>
    <row r="7697" spans="2:15" x14ac:dyDescent="0.25">
      <c r="B7697" s="6" t="s">
        <v>1050</v>
      </c>
      <c r="C7697" s="7" t="s">
        <v>533</v>
      </c>
      <c r="D7697" s="8" t="s">
        <v>557</v>
      </c>
      <c r="E7697" s="8" t="s">
        <v>1419</v>
      </c>
      <c r="F7697" s="9">
        <f>DATE(2025,3,24)</f>
        <v>45740</v>
      </c>
      <c r="G7697" s="10">
        <f t="shared" si="694"/>
        <v>3</v>
      </c>
      <c r="H7697" s="10">
        <f t="shared" si="695"/>
        <v>2025</v>
      </c>
      <c r="I7697" s="8" t="s">
        <v>4</v>
      </c>
      <c r="J7697" s="7" t="s">
        <v>8246</v>
      </c>
      <c r="K7697" s="8" t="s">
        <v>1056</v>
      </c>
      <c r="L7697" s="8" t="s">
        <v>1057</v>
      </c>
      <c r="M7697" s="8" t="s">
        <v>1058</v>
      </c>
      <c r="N7697" s="10" t="str">
        <f t="shared" si="696"/>
        <v>GAL</v>
      </c>
      <c r="O7697" s="11">
        <v>3710</v>
      </c>
    </row>
    <row r="7698" spans="2:15" x14ac:dyDescent="0.25">
      <c r="B7698" s="6" t="s">
        <v>645</v>
      </c>
      <c r="C7698" s="7" t="s">
        <v>533</v>
      </c>
      <c r="D7698" s="8" t="s">
        <v>557</v>
      </c>
      <c r="E7698" s="8" t="s">
        <v>1090</v>
      </c>
      <c r="F7698" s="9">
        <f>DATE(2025,3,24)</f>
        <v>45740</v>
      </c>
      <c r="G7698" s="10">
        <f t="shared" si="694"/>
        <v>3</v>
      </c>
      <c r="H7698" s="10">
        <f t="shared" si="695"/>
        <v>2025</v>
      </c>
      <c r="I7698" s="8" t="s">
        <v>4</v>
      </c>
      <c r="J7698" s="7" t="s">
        <v>8247</v>
      </c>
      <c r="K7698" s="8" t="s">
        <v>569</v>
      </c>
      <c r="L7698" s="8" t="s">
        <v>570</v>
      </c>
      <c r="M7698" s="8" t="s">
        <v>106</v>
      </c>
      <c r="N7698" s="10" t="str">
        <f t="shared" si="696"/>
        <v>LBS</v>
      </c>
      <c r="O7698" s="11">
        <v>4000</v>
      </c>
    </row>
    <row r="7699" spans="2:15" x14ac:dyDescent="0.25">
      <c r="B7699" s="6" t="s">
        <v>645</v>
      </c>
      <c r="C7699" s="7" t="s">
        <v>533</v>
      </c>
      <c r="D7699" s="8" t="s">
        <v>557</v>
      </c>
      <c r="E7699" s="8" t="s">
        <v>4801</v>
      </c>
      <c r="F7699" s="9">
        <f>DATE(2025,3,26)</f>
        <v>45742</v>
      </c>
      <c r="G7699" s="10">
        <f t="shared" si="694"/>
        <v>3</v>
      </c>
      <c r="H7699" s="10">
        <f t="shared" si="695"/>
        <v>2025</v>
      </c>
      <c r="I7699" s="8" t="s">
        <v>4</v>
      </c>
      <c r="J7699" s="7" t="s">
        <v>8248</v>
      </c>
      <c r="K7699" s="8" t="s">
        <v>1056</v>
      </c>
      <c r="L7699" s="8" t="s">
        <v>1057</v>
      </c>
      <c r="M7699" s="8" t="s">
        <v>1058</v>
      </c>
      <c r="N7699" s="10" t="str">
        <f t="shared" si="696"/>
        <v>GAL</v>
      </c>
      <c r="O7699" s="11">
        <v>3710</v>
      </c>
    </row>
    <row r="7700" spans="2:15" x14ac:dyDescent="0.25">
      <c r="B7700" s="6" t="s">
        <v>1050</v>
      </c>
      <c r="C7700" s="7" t="s">
        <v>533</v>
      </c>
      <c r="D7700" s="8" t="s">
        <v>1047</v>
      </c>
      <c r="E7700" s="8" t="s">
        <v>5441</v>
      </c>
      <c r="F7700" s="9">
        <f>DATE(2025,3,26)</f>
        <v>45742</v>
      </c>
      <c r="G7700" s="10">
        <f t="shared" si="694"/>
        <v>3</v>
      </c>
      <c r="H7700" s="10">
        <f t="shared" si="695"/>
        <v>2025</v>
      </c>
      <c r="I7700" s="8" t="s">
        <v>4</v>
      </c>
      <c r="J7700" s="7" t="s">
        <v>8249</v>
      </c>
      <c r="K7700" s="8" t="s">
        <v>2138</v>
      </c>
      <c r="L7700" s="8" t="s">
        <v>2139</v>
      </c>
      <c r="M7700" s="8" t="s">
        <v>1472</v>
      </c>
      <c r="N7700" s="10" t="str">
        <f t="shared" si="696"/>
        <v>GAL</v>
      </c>
      <c r="O7700" s="11">
        <v>250</v>
      </c>
    </row>
    <row r="7701" spans="2:15" x14ac:dyDescent="0.25">
      <c r="B7701" s="6" t="s">
        <v>645</v>
      </c>
      <c r="C7701" s="7" t="s">
        <v>533</v>
      </c>
      <c r="D7701" s="8" t="s">
        <v>557</v>
      </c>
      <c r="E7701" s="8" t="s">
        <v>2160</v>
      </c>
      <c r="F7701" s="9">
        <f>DATE(2025,3,27)</f>
        <v>45743</v>
      </c>
      <c r="G7701" s="10">
        <f t="shared" si="694"/>
        <v>3</v>
      </c>
      <c r="H7701" s="10">
        <f t="shared" si="695"/>
        <v>2025</v>
      </c>
      <c r="I7701" s="8" t="s">
        <v>4</v>
      </c>
      <c r="J7701" s="7" t="s">
        <v>8250</v>
      </c>
      <c r="K7701" s="8" t="s">
        <v>2128</v>
      </c>
      <c r="L7701" s="8" t="s">
        <v>2129</v>
      </c>
      <c r="M7701" s="8" t="s">
        <v>106</v>
      </c>
      <c r="N7701" s="10" t="str">
        <f t="shared" si="696"/>
        <v>LBS</v>
      </c>
      <c r="O7701" s="11">
        <v>2500</v>
      </c>
    </row>
    <row r="7702" spans="2:15" x14ac:dyDescent="0.25">
      <c r="B7702" s="6" t="s">
        <v>645</v>
      </c>
      <c r="C7702" s="7" t="s">
        <v>533</v>
      </c>
      <c r="D7702" s="8" t="s">
        <v>557</v>
      </c>
      <c r="E7702" s="8" t="s">
        <v>2160</v>
      </c>
      <c r="F7702" s="9">
        <f>DATE(2025,3,27)</f>
        <v>45743</v>
      </c>
      <c r="G7702" s="10">
        <f t="shared" si="694"/>
        <v>3</v>
      </c>
      <c r="H7702" s="10">
        <f t="shared" si="695"/>
        <v>2025</v>
      </c>
      <c r="I7702" s="8" t="s">
        <v>4</v>
      </c>
      <c r="J7702" s="7" t="s">
        <v>8250</v>
      </c>
      <c r="K7702" s="8" t="s">
        <v>2516</v>
      </c>
      <c r="L7702" s="8" t="s">
        <v>2163</v>
      </c>
      <c r="M7702" s="8" t="s">
        <v>106</v>
      </c>
      <c r="N7702" s="10" t="str">
        <f t="shared" si="696"/>
        <v>LBS</v>
      </c>
      <c r="O7702" s="11">
        <v>17500</v>
      </c>
    </row>
    <row r="7703" spans="2:15" x14ac:dyDescent="0.25">
      <c r="B7703" s="6" t="s">
        <v>1050</v>
      </c>
      <c r="C7703" s="7" t="s">
        <v>533</v>
      </c>
      <c r="D7703" s="8" t="s">
        <v>557</v>
      </c>
      <c r="E7703" s="8" t="s">
        <v>1059</v>
      </c>
      <c r="F7703" s="9">
        <f>DATE(2025,3,28)</f>
        <v>45744</v>
      </c>
      <c r="G7703" s="10">
        <f t="shared" si="694"/>
        <v>3</v>
      </c>
      <c r="H7703" s="10">
        <f t="shared" si="695"/>
        <v>2025</v>
      </c>
      <c r="I7703" s="8" t="s">
        <v>4</v>
      </c>
      <c r="J7703" s="7" t="s">
        <v>8251</v>
      </c>
      <c r="K7703" s="8" t="s">
        <v>1056</v>
      </c>
      <c r="L7703" s="8" t="s">
        <v>1057</v>
      </c>
      <c r="M7703" s="8" t="s">
        <v>1058</v>
      </c>
      <c r="N7703" s="10" t="str">
        <f t="shared" si="696"/>
        <v>GAL</v>
      </c>
      <c r="O7703" s="11">
        <v>3710</v>
      </c>
    </row>
    <row r="7704" spans="2:15" x14ac:dyDescent="0.25">
      <c r="B7704" s="6" t="s">
        <v>1050</v>
      </c>
      <c r="C7704" s="7" t="s">
        <v>533</v>
      </c>
      <c r="D7704" s="8" t="s">
        <v>628</v>
      </c>
      <c r="E7704" s="8" t="s">
        <v>2524</v>
      </c>
      <c r="F7704" s="9">
        <f>DATE(2025,3,31)</f>
        <v>45747</v>
      </c>
      <c r="G7704" s="10">
        <f t="shared" si="694"/>
        <v>3</v>
      </c>
      <c r="H7704" s="10">
        <f t="shared" si="695"/>
        <v>2025</v>
      </c>
      <c r="I7704" s="8" t="s">
        <v>4</v>
      </c>
      <c r="J7704" s="7" t="s">
        <v>8252</v>
      </c>
      <c r="K7704" s="8" t="s">
        <v>2553</v>
      </c>
      <c r="L7704" s="8" t="s">
        <v>2527</v>
      </c>
      <c r="M7704" s="8" t="s">
        <v>1448</v>
      </c>
      <c r="N7704" s="10" t="str">
        <f t="shared" si="696"/>
        <v>GAL</v>
      </c>
      <c r="O7704" s="11">
        <v>4000</v>
      </c>
    </row>
    <row r="7705" spans="2:15" x14ac:dyDescent="0.25">
      <c r="B7705" s="6" t="s">
        <v>2837</v>
      </c>
      <c r="C7705" s="7" t="s">
        <v>2838</v>
      </c>
      <c r="D7705" s="8" t="s">
        <v>2839</v>
      </c>
      <c r="E7705" s="8" t="s">
        <v>102</v>
      </c>
      <c r="F7705" s="9">
        <f>DATE(2025,3,14)</f>
        <v>45730</v>
      </c>
      <c r="G7705" s="10">
        <f t="shared" si="694"/>
        <v>3</v>
      </c>
      <c r="H7705" s="10">
        <f t="shared" si="695"/>
        <v>2025</v>
      </c>
      <c r="I7705" s="8" t="s">
        <v>4</v>
      </c>
      <c r="J7705" s="7" t="s">
        <v>8253</v>
      </c>
      <c r="K7705" s="8" t="s">
        <v>22</v>
      </c>
      <c r="L7705" s="8" t="s">
        <v>5951</v>
      </c>
      <c r="M7705" s="8" t="s">
        <v>24</v>
      </c>
      <c r="N7705" s="10" t="str">
        <f t="shared" si="696"/>
        <v>GAL</v>
      </c>
      <c r="O7705" s="11">
        <v>360</v>
      </c>
    </row>
    <row r="7706" spans="2:15" x14ac:dyDescent="0.25">
      <c r="B7706" s="6" t="s">
        <v>2837</v>
      </c>
      <c r="C7706" s="7" t="s">
        <v>2838</v>
      </c>
      <c r="D7706" s="8" t="s">
        <v>2839</v>
      </c>
      <c r="E7706" s="8" t="s">
        <v>102</v>
      </c>
      <c r="F7706" s="9">
        <f>DATE(2025,3,24)</f>
        <v>45740</v>
      </c>
      <c r="G7706" s="10">
        <f t="shared" si="694"/>
        <v>3</v>
      </c>
      <c r="H7706" s="10">
        <f t="shared" si="695"/>
        <v>2025</v>
      </c>
      <c r="I7706" s="8" t="s">
        <v>4</v>
      </c>
      <c r="J7706" s="7" t="s">
        <v>8254</v>
      </c>
      <c r="K7706" s="8" t="s">
        <v>2548</v>
      </c>
      <c r="L7706" s="8" t="s">
        <v>5951</v>
      </c>
      <c r="M7706" s="8" t="s">
        <v>24</v>
      </c>
      <c r="N7706" s="10" t="str">
        <f t="shared" si="696"/>
        <v>GAL</v>
      </c>
      <c r="O7706" s="11">
        <v>2500</v>
      </c>
    </row>
    <row r="7707" spans="2:15" x14ac:dyDescent="0.25">
      <c r="B7707" s="6" t="s">
        <v>2837</v>
      </c>
      <c r="C7707" s="7" t="s">
        <v>2838</v>
      </c>
      <c r="D7707" s="8" t="s">
        <v>2839</v>
      </c>
      <c r="E7707" s="8" t="s">
        <v>102</v>
      </c>
      <c r="F7707" s="9">
        <f>DATE(2025,3,24)</f>
        <v>45740</v>
      </c>
      <c r="G7707" s="10">
        <f t="shared" si="694"/>
        <v>3</v>
      </c>
      <c r="H7707" s="10">
        <f t="shared" si="695"/>
        <v>2025</v>
      </c>
      <c r="I7707" s="8" t="s">
        <v>4</v>
      </c>
      <c r="J7707" s="7" t="s">
        <v>8254</v>
      </c>
      <c r="K7707" s="8" t="s">
        <v>22</v>
      </c>
      <c r="L7707" s="8" t="s">
        <v>5951</v>
      </c>
      <c r="M7707" s="8" t="s">
        <v>24</v>
      </c>
      <c r="N7707" s="10" t="str">
        <f t="shared" si="696"/>
        <v>GAL</v>
      </c>
      <c r="O7707" s="11">
        <v>180</v>
      </c>
    </row>
    <row r="7708" spans="2:15" x14ac:dyDescent="0.25">
      <c r="B7708" s="6" t="s">
        <v>3113</v>
      </c>
      <c r="C7708" s="7" t="s">
        <v>3114</v>
      </c>
      <c r="D7708" s="8" t="s">
        <v>5736</v>
      </c>
      <c r="E7708" s="8" t="s">
        <v>5737</v>
      </c>
      <c r="F7708" s="9">
        <f>DATE(2025,3,4)</f>
        <v>45720</v>
      </c>
      <c r="G7708" s="10">
        <f t="shared" si="694"/>
        <v>3</v>
      </c>
      <c r="H7708" s="10">
        <f t="shared" si="695"/>
        <v>2025</v>
      </c>
      <c r="I7708" s="8" t="s">
        <v>4</v>
      </c>
      <c r="J7708" s="7" t="s">
        <v>8255</v>
      </c>
      <c r="K7708" s="8" t="s">
        <v>5739</v>
      </c>
      <c r="L7708" s="8" t="s">
        <v>5740</v>
      </c>
      <c r="M7708" s="8" t="s">
        <v>3367</v>
      </c>
      <c r="N7708" s="10" t="str">
        <f t="shared" si="696"/>
        <v>GAL</v>
      </c>
      <c r="O7708" s="11">
        <v>250</v>
      </c>
    </row>
    <row r="7709" spans="2:15" x14ac:dyDescent="0.25">
      <c r="B7709" s="6" t="s">
        <v>3113</v>
      </c>
      <c r="C7709" s="7" t="s">
        <v>3114</v>
      </c>
      <c r="D7709" s="8" t="s">
        <v>5736</v>
      </c>
      <c r="E7709" s="8" t="s">
        <v>5737</v>
      </c>
      <c r="F7709" s="9">
        <f>DATE(2025,3,4)</f>
        <v>45720</v>
      </c>
      <c r="G7709" s="10">
        <f t="shared" si="694"/>
        <v>3</v>
      </c>
      <c r="H7709" s="10">
        <f t="shared" si="695"/>
        <v>2025</v>
      </c>
      <c r="I7709" s="8" t="s">
        <v>4</v>
      </c>
      <c r="J7709" s="7" t="s">
        <v>8255</v>
      </c>
      <c r="K7709" s="8" t="s">
        <v>8256</v>
      </c>
      <c r="L7709" s="8" t="s">
        <v>8257</v>
      </c>
      <c r="M7709" s="8" t="s">
        <v>1731</v>
      </c>
      <c r="N7709" s="10" t="str">
        <f t="shared" si="696"/>
        <v>GAL</v>
      </c>
      <c r="O7709" s="11">
        <v>500</v>
      </c>
    </row>
    <row r="7710" spans="2:15" x14ac:dyDescent="0.25">
      <c r="B7710" s="6" t="s">
        <v>3113</v>
      </c>
      <c r="C7710" s="7" t="s">
        <v>3114</v>
      </c>
      <c r="D7710" s="8" t="s">
        <v>5736</v>
      </c>
      <c r="E7710" s="8" t="s">
        <v>5737</v>
      </c>
      <c r="F7710" s="9">
        <f>DATE(2025,3,4)</f>
        <v>45720</v>
      </c>
      <c r="G7710" s="10">
        <f t="shared" si="694"/>
        <v>3</v>
      </c>
      <c r="H7710" s="10">
        <f t="shared" si="695"/>
        <v>2025</v>
      </c>
      <c r="I7710" s="8" t="s">
        <v>4</v>
      </c>
      <c r="J7710" s="7" t="s">
        <v>8255</v>
      </c>
      <c r="K7710" s="8" t="s">
        <v>1496</v>
      </c>
      <c r="L7710" s="8" t="s">
        <v>159</v>
      </c>
      <c r="M7710" s="8" t="s">
        <v>160</v>
      </c>
      <c r="N7710" s="10" t="str">
        <f t="shared" si="696"/>
        <v>GAL</v>
      </c>
      <c r="O7710" s="11">
        <v>750</v>
      </c>
    </row>
    <row r="7711" spans="2:15" x14ac:dyDescent="0.25">
      <c r="B7711" s="6" t="s">
        <v>3113</v>
      </c>
      <c r="C7711" s="7" t="s">
        <v>3114</v>
      </c>
      <c r="D7711" s="8" t="s">
        <v>5736</v>
      </c>
      <c r="E7711" s="8" t="s">
        <v>5737</v>
      </c>
      <c r="F7711" s="9">
        <f>DATE(2025,3,4)</f>
        <v>45720</v>
      </c>
      <c r="G7711" s="10">
        <f t="shared" si="694"/>
        <v>3</v>
      </c>
      <c r="H7711" s="10">
        <f t="shared" si="695"/>
        <v>2025</v>
      </c>
      <c r="I7711" s="8" t="s">
        <v>4</v>
      </c>
      <c r="J7711" s="7" t="s">
        <v>8255</v>
      </c>
      <c r="K7711" s="8" t="s">
        <v>560</v>
      </c>
      <c r="L7711" s="8" t="s">
        <v>602</v>
      </c>
      <c r="M7711" s="8" t="s">
        <v>41</v>
      </c>
      <c r="N7711" s="10" t="str">
        <f t="shared" si="696"/>
        <v>GAL</v>
      </c>
      <c r="O7711" s="11">
        <v>500</v>
      </c>
    </row>
    <row r="7712" spans="2:15" x14ac:dyDescent="0.25">
      <c r="B7712" s="6" t="s">
        <v>3238</v>
      </c>
      <c r="C7712" s="7" t="s">
        <v>3239</v>
      </c>
      <c r="D7712" s="8" t="s">
        <v>3240</v>
      </c>
      <c r="E7712" s="8" t="s">
        <v>6691</v>
      </c>
      <c r="F7712" s="9">
        <f>DATE(2025,3,4)</f>
        <v>45720</v>
      </c>
      <c r="G7712" s="10">
        <f t="shared" si="694"/>
        <v>3</v>
      </c>
      <c r="H7712" s="10">
        <f t="shared" si="695"/>
        <v>2025</v>
      </c>
      <c r="I7712" s="8" t="s">
        <v>4</v>
      </c>
      <c r="J7712" s="7" t="s">
        <v>8258</v>
      </c>
      <c r="K7712" s="8" t="s">
        <v>3188</v>
      </c>
      <c r="L7712" s="8" t="s">
        <v>3526</v>
      </c>
      <c r="M7712" s="8" t="s">
        <v>1000</v>
      </c>
      <c r="N7712" s="10" t="str">
        <f t="shared" si="696"/>
        <v>GAL</v>
      </c>
      <c r="O7712" s="11">
        <v>55</v>
      </c>
    </row>
    <row r="7713" spans="2:15" x14ac:dyDescent="0.25">
      <c r="B7713" s="6" t="s">
        <v>3238</v>
      </c>
      <c r="C7713" s="7" t="s">
        <v>3239</v>
      </c>
      <c r="D7713" s="8" t="s">
        <v>6120</v>
      </c>
      <c r="E7713" s="8" t="s">
        <v>6712</v>
      </c>
      <c r="F7713" s="9">
        <f>DATE(2025,3,5)</f>
        <v>45721</v>
      </c>
      <c r="G7713" s="10">
        <f t="shared" si="694"/>
        <v>3</v>
      </c>
      <c r="H7713" s="10">
        <f t="shared" si="695"/>
        <v>2025</v>
      </c>
      <c r="I7713" s="8" t="s">
        <v>4</v>
      </c>
      <c r="J7713" s="7" t="s">
        <v>8259</v>
      </c>
      <c r="K7713" s="8" t="s">
        <v>5469</v>
      </c>
      <c r="L7713" s="8" t="s">
        <v>5470</v>
      </c>
      <c r="M7713" s="8" t="s">
        <v>1046</v>
      </c>
      <c r="N7713" s="10" t="str">
        <f t="shared" si="696"/>
        <v>GAL</v>
      </c>
      <c r="O7713" s="11">
        <v>180</v>
      </c>
    </row>
    <row r="7714" spans="2:15" x14ac:dyDescent="0.25">
      <c r="B7714" s="6" t="s">
        <v>3238</v>
      </c>
      <c r="C7714" s="7" t="s">
        <v>3239</v>
      </c>
      <c r="D7714" s="8" t="s">
        <v>6120</v>
      </c>
      <c r="E7714" s="8" t="s">
        <v>6712</v>
      </c>
      <c r="F7714" s="9">
        <f>DATE(2025,3,5)</f>
        <v>45721</v>
      </c>
      <c r="G7714" s="10">
        <f t="shared" si="694"/>
        <v>3</v>
      </c>
      <c r="H7714" s="10">
        <f t="shared" si="695"/>
        <v>2025</v>
      </c>
      <c r="I7714" s="8" t="s">
        <v>4</v>
      </c>
      <c r="J7714" s="7" t="s">
        <v>8259</v>
      </c>
      <c r="K7714" s="8" t="s">
        <v>6133</v>
      </c>
      <c r="L7714" s="8" t="s">
        <v>6134</v>
      </c>
      <c r="M7714" s="8" t="s">
        <v>6135</v>
      </c>
      <c r="N7714" s="10" t="str">
        <f t="shared" si="696"/>
        <v>GAL</v>
      </c>
      <c r="O7714" s="11">
        <v>180</v>
      </c>
    </row>
    <row r="7715" spans="2:15" x14ac:dyDescent="0.25">
      <c r="B7715" s="6" t="s">
        <v>3238</v>
      </c>
      <c r="C7715" s="7" t="s">
        <v>3239</v>
      </c>
      <c r="D7715" s="8" t="s">
        <v>6120</v>
      </c>
      <c r="E7715" s="8" t="s">
        <v>6712</v>
      </c>
      <c r="F7715" s="9">
        <f>DATE(2025,3,5)</f>
        <v>45721</v>
      </c>
      <c r="G7715" s="10">
        <f t="shared" si="694"/>
        <v>3</v>
      </c>
      <c r="H7715" s="10">
        <f t="shared" si="695"/>
        <v>2025</v>
      </c>
      <c r="I7715" s="8" t="s">
        <v>4</v>
      </c>
      <c r="J7715" s="7" t="s">
        <v>8259</v>
      </c>
      <c r="K7715" s="8" t="s">
        <v>6144</v>
      </c>
      <c r="L7715" s="8" t="s">
        <v>6145</v>
      </c>
      <c r="M7715" s="8" t="s">
        <v>49</v>
      </c>
      <c r="N7715" s="10" t="str">
        <f t="shared" si="696"/>
        <v>GAL</v>
      </c>
      <c r="O7715" s="11">
        <v>120</v>
      </c>
    </row>
    <row r="7716" spans="2:15" x14ac:dyDescent="0.25">
      <c r="B7716" s="6" t="s">
        <v>3238</v>
      </c>
      <c r="C7716" s="7" t="s">
        <v>3239</v>
      </c>
      <c r="D7716" s="8" t="s">
        <v>3240</v>
      </c>
      <c r="E7716" s="8" t="s">
        <v>5137</v>
      </c>
      <c r="F7716" s="9">
        <f>DATE(2025,3,6)</f>
        <v>45722</v>
      </c>
      <c r="G7716" s="10">
        <f t="shared" si="694"/>
        <v>3</v>
      </c>
      <c r="H7716" s="10">
        <f t="shared" si="695"/>
        <v>2025</v>
      </c>
      <c r="I7716" s="8" t="s">
        <v>4</v>
      </c>
      <c r="J7716" s="7" t="s">
        <v>8260</v>
      </c>
      <c r="K7716" s="8" t="s">
        <v>3910</v>
      </c>
      <c r="L7716" s="8" t="s">
        <v>3911</v>
      </c>
      <c r="M7716" s="8" t="s">
        <v>2100</v>
      </c>
      <c r="N7716" s="10" t="str">
        <f t="shared" si="696"/>
        <v>GAL</v>
      </c>
      <c r="O7716" s="11">
        <v>250</v>
      </c>
    </row>
    <row r="7717" spans="2:15" x14ac:dyDescent="0.25">
      <c r="B7717" s="6" t="s">
        <v>3238</v>
      </c>
      <c r="C7717" s="7" t="s">
        <v>3239</v>
      </c>
      <c r="D7717" s="8" t="s">
        <v>3240</v>
      </c>
      <c r="E7717" s="8" t="s">
        <v>5137</v>
      </c>
      <c r="F7717" s="9">
        <f>DATE(2025,3,6)</f>
        <v>45722</v>
      </c>
      <c r="G7717" s="10">
        <f t="shared" si="694"/>
        <v>3</v>
      </c>
      <c r="H7717" s="10">
        <f t="shared" si="695"/>
        <v>2025</v>
      </c>
      <c r="I7717" s="8" t="s">
        <v>4</v>
      </c>
      <c r="J7717" s="7" t="s">
        <v>8260</v>
      </c>
      <c r="K7717" s="8" t="s">
        <v>510</v>
      </c>
      <c r="L7717" s="8" t="s">
        <v>6154</v>
      </c>
      <c r="M7717" s="8" t="s">
        <v>38</v>
      </c>
      <c r="N7717" s="10" t="str">
        <f t="shared" si="696"/>
        <v>GAL</v>
      </c>
      <c r="O7717" s="11">
        <v>250</v>
      </c>
    </row>
    <row r="7718" spans="2:15" x14ac:dyDescent="0.25">
      <c r="B7718" s="6" t="s">
        <v>3238</v>
      </c>
      <c r="C7718" s="7" t="s">
        <v>3239</v>
      </c>
      <c r="D7718" s="8" t="s">
        <v>6120</v>
      </c>
      <c r="E7718" s="8" t="s">
        <v>7302</v>
      </c>
      <c r="F7718" s="9">
        <f>DATE(2025,3,6)</f>
        <v>45722</v>
      </c>
      <c r="G7718" s="10">
        <f t="shared" si="694"/>
        <v>3</v>
      </c>
      <c r="H7718" s="10">
        <f t="shared" si="695"/>
        <v>2025</v>
      </c>
      <c r="I7718" s="8" t="s">
        <v>4</v>
      </c>
      <c r="J7718" s="7" t="s">
        <v>8261</v>
      </c>
      <c r="K7718" s="8" t="s">
        <v>842</v>
      </c>
      <c r="L7718" s="8" t="s">
        <v>843</v>
      </c>
      <c r="M7718" s="8" t="s">
        <v>844</v>
      </c>
      <c r="N7718" s="10" t="str">
        <f t="shared" si="696"/>
        <v>GAL</v>
      </c>
      <c r="O7718" s="11">
        <v>250</v>
      </c>
    </row>
    <row r="7719" spans="2:15" x14ac:dyDescent="0.25">
      <c r="B7719" s="6" t="s">
        <v>3238</v>
      </c>
      <c r="C7719" s="7" t="s">
        <v>3239</v>
      </c>
      <c r="D7719" s="8" t="s">
        <v>3240</v>
      </c>
      <c r="E7719" s="8" t="s">
        <v>102</v>
      </c>
      <c r="F7719" s="9">
        <f>DATE(2025,3,10)</f>
        <v>45726</v>
      </c>
      <c r="G7719" s="10">
        <f t="shared" si="694"/>
        <v>3</v>
      </c>
      <c r="H7719" s="10">
        <f t="shared" si="695"/>
        <v>2025</v>
      </c>
      <c r="I7719" s="8" t="s">
        <v>4</v>
      </c>
      <c r="J7719" s="7" t="s">
        <v>8262</v>
      </c>
      <c r="K7719" s="8" t="s">
        <v>5968</v>
      </c>
      <c r="L7719" s="8" t="s">
        <v>5969</v>
      </c>
      <c r="M7719" s="8" t="s">
        <v>5970</v>
      </c>
      <c r="N7719" s="10" t="str">
        <f t="shared" si="696"/>
        <v>GAL</v>
      </c>
      <c r="O7719" s="11">
        <v>90</v>
      </c>
    </row>
    <row r="7720" spans="2:15" x14ac:dyDescent="0.25">
      <c r="B7720" s="6" t="s">
        <v>3238</v>
      </c>
      <c r="C7720" s="7" t="s">
        <v>3239</v>
      </c>
      <c r="D7720" s="8" t="s">
        <v>3240</v>
      </c>
      <c r="E7720" s="8" t="s">
        <v>102</v>
      </c>
      <c r="F7720" s="9">
        <f>DATE(2025,3,10)</f>
        <v>45726</v>
      </c>
      <c r="G7720" s="10">
        <f t="shared" si="694"/>
        <v>3</v>
      </c>
      <c r="H7720" s="10">
        <f t="shared" si="695"/>
        <v>2025</v>
      </c>
      <c r="I7720" s="8" t="s">
        <v>4</v>
      </c>
      <c r="J7720" s="7" t="s">
        <v>8262</v>
      </c>
      <c r="K7720" s="8" t="s">
        <v>3941</v>
      </c>
      <c r="L7720" s="8" t="s">
        <v>3911</v>
      </c>
      <c r="M7720" s="8" t="s">
        <v>2100</v>
      </c>
      <c r="N7720" s="10" t="str">
        <f t="shared" si="696"/>
        <v>GAL</v>
      </c>
      <c r="O7720" s="11">
        <v>90</v>
      </c>
    </row>
    <row r="7721" spans="2:15" x14ac:dyDescent="0.25">
      <c r="B7721" s="6" t="s">
        <v>3238</v>
      </c>
      <c r="C7721" s="7" t="s">
        <v>3239</v>
      </c>
      <c r="D7721" s="8" t="s">
        <v>3240</v>
      </c>
      <c r="E7721" s="8" t="s">
        <v>7929</v>
      </c>
      <c r="F7721" s="9">
        <f>DATE(2025,3,10)</f>
        <v>45726</v>
      </c>
      <c r="G7721" s="10">
        <f t="shared" si="694"/>
        <v>3</v>
      </c>
      <c r="H7721" s="10">
        <f t="shared" si="695"/>
        <v>2025</v>
      </c>
      <c r="I7721" s="8" t="s">
        <v>4</v>
      </c>
      <c r="J7721" s="7" t="s">
        <v>8263</v>
      </c>
      <c r="K7721" s="8" t="s">
        <v>3653</v>
      </c>
      <c r="L7721" s="8" t="s">
        <v>3654</v>
      </c>
      <c r="M7721" s="8" t="s">
        <v>1071</v>
      </c>
      <c r="N7721" s="10" t="str">
        <f t="shared" si="696"/>
        <v>GAL</v>
      </c>
      <c r="O7721" s="11">
        <v>250</v>
      </c>
    </row>
    <row r="7722" spans="2:15" x14ac:dyDescent="0.25">
      <c r="B7722" s="6" t="s">
        <v>3238</v>
      </c>
      <c r="C7722" s="7" t="s">
        <v>3239</v>
      </c>
      <c r="D7722" s="8" t="s">
        <v>3240</v>
      </c>
      <c r="E7722" s="8" t="s">
        <v>102</v>
      </c>
      <c r="F7722" s="9">
        <f>DATE(2025,3,11)</f>
        <v>45727</v>
      </c>
      <c r="G7722" s="10">
        <f t="shared" si="694"/>
        <v>3</v>
      </c>
      <c r="H7722" s="10">
        <f t="shared" si="695"/>
        <v>2025</v>
      </c>
      <c r="I7722" s="8" t="s">
        <v>4</v>
      </c>
      <c r="J7722" s="7" t="s">
        <v>8264</v>
      </c>
      <c r="K7722" s="8" t="s">
        <v>6708</v>
      </c>
      <c r="L7722" s="8" t="s">
        <v>5978</v>
      </c>
      <c r="M7722" s="8" t="s">
        <v>3299</v>
      </c>
      <c r="N7722" s="10" t="str">
        <f t="shared" si="696"/>
        <v>GAL</v>
      </c>
      <c r="O7722" s="11">
        <v>75</v>
      </c>
    </row>
    <row r="7723" spans="2:15" x14ac:dyDescent="0.25">
      <c r="B7723" s="6" t="s">
        <v>3238</v>
      </c>
      <c r="C7723" s="7" t="s">
        <v>3239</v>
      </c>
      <c r="D7723" s="8" t="s">
        <v>3240</v>
      </c>
      <c r="E7723" s="8" t="s">
        <v>102</v>
      </c>
      <c r="F7723" s="9">
        <f>DATE(2025,3,11)</f>
        <v>45727</v>
      </c>
      <c r="G7723" s="10">
        <f t="shared" si="694"/>
        <v>3</v>
      </c>
      <c r="H7723" s="10">
        <f t="shared" si="695"/>
        <v>2025</v>
      </c>
      <c r="I7723" s="8" t="s">
        <v>4</v>
      </c>
      <c r="J7723" s="7" t="s">
        <v>8264</v>
      </c>
      <c r="K7723" s="8" t="s">
        <v>3917</v>
      </c>
      <c r="L7723" s="8" t="s">
        <v>3525</v>
      </c>
      <c r="M7723" s="8" t="s">
        <v>1397</v>
      </c>
      <c r="N7723" s="10" t="str">
        <f t="shared" si="696"/>
        <v>GAL</v>
      </c>
      <c r="O7723" s="11">
        <v>60</v>
      </c>
    </row>
    <row r="7724" spans="2:15" x14ac:dyDescent="0.25">
      <c r="B7724" s="6" t="s">
        <v>3238</v>
      </c>
      <c r="C7724" s="7" t="s">
        <v>3239</v>
      </c>
      <c r="D7724" s="8" t="s">
        <v>3240</v>
      </c>
      <c r="E7724" s="8" t="s">
        <v>102</v>
      </c>
      <c r="F7724" s="9">
        <f>DATE(2025,3,11)</f>
        <v>45727</v>
      </c>
      <c r="G7724" s="10">
        <f t="shared" si="694"/>
        <v>3</v>
      </c>
      <c r="H7724" s="10">
        <f t="shared" si="695"/>
        <v>2025</v>
      </c>
      <c r="I7724" s="8" t="s">
        <v>4</v>
      </c>
      <c r="J7724" s="7" t="s">
        <v>8264</v>
      </c>
      <c r="K7724" s="8" t="s">
        <v>5469</v>
      </c>
      <c r="L7724" s="8" t="s">
        <v>5470</v>
      </c>
      <c r="M7724" s="8" t="s">
        <v>1046</v>
      </c>
      <c r="N7724" s="10" t="str">
        <f t="shared" si="696"/>
        <v>GAL</v>
      </c>
      <c r="O7724" s="11">
        <v>45</v>
      </c>
    </row>
    <row r="7725" spans="2:15" x14ac:dyDescent="0.25">
      <c r="B7725" s="6" t="s">
        <v>3238</v>
      </c>
      <c r="C7725" s="7" t="s">
        <v>3239</v>
      </c>
      <c r="D7725" s="8" t="s">
        <v>3240</v>
      </c>
      <c r="E7725" s="8" t="s">
        <v>102</v>
      </c>
      <c r="F7725" s="9">
        <f>DATE(2025,3,11)</f>
        <v>45727</v>
      </c>
      <c r="G7725" s="10">
        <f t="shared" si="694"/>
        <v>3</v>
      </c>
      <c r="H7725" s="10">
        <f t="shared" si="695"/>
        <v>2025</v>
      </c>
      <c r="I7725" s="8" t="s">
        <v>4</v>
      </c>
      <c r="J7725" s="7" t="s">
        <v>8265</v>
      </c>
      <c r="K7725" s="8" t="s">
        <v>3914</v>
      </c>
      <c r="L7725" s="8" t="s">
        <v>3915</v>
      </c>
      <c r="M7725" s="8" t="s">
        <v>3916</v>
      </c>
      <c r="N7725" s="10" t="str">
        <f t="shared" si="696"/>
        <v>GAL</v>
      </c>
      <c r="O7725" s="11">
        <v>180</v>
      </c>
    </row>
    <row r="7726" spans="2:15" x14ac:dyDescent="0.25">
      <c r="B7726" s="6" t="s">
        <v>3238</v>
      </c>
      <c r="C7726" s="7" t="s">
        <v>3239</v>
      </c>
      <c r="D7726" s="8" t="s">
        <v>3240</v>
      </c>
      <c r="E7726" s="8" t="s">
        <v>102</v>
      </c>
      <c r="F7726" s="9">
        <f>DATE(2025,3,13)</f>
        <v>45729</v>
      </c>
      <c r="G7726" s="10">
        <f t="shared" si="694"/>
        <v>3</v>
      </c>
      <c r="H7726" s="10">
        <f t="shared" si="695"/>
        <v>2025</v>
      </c>
      <c r="I7726" s="8" t="s">
        <v>4</v>
      </c>
      <c r="J7726" s="7" t="s">
        <v>8266</v>
      </c>
      <c r="K7726" s="8" t="s">
        <v>6146</v>
      </c>
      <c r="L7726" s="8" t="s">
        <v>3660</v>
      </c>
      <c r="M7726" s="8" t="s">
        <v>3652</v>
      </c>
      <c r="N7726" s="10" t="str">
        <f t="shared" si="696"/>
        <v>GAL</v>
      </c>
      <c r="O7726" s="11">
        <v>5</v>
      </c>
    </row>
    <row r="7727" spans="2:15" x14ac:dyDescent="0.25">
      <c r="B7727" s="6" t="s">
        <v>3238</v>
      </c>
      <c r="C7727" s="7" t="s">
        <v>3239</v>
      </c>
      <c r="D7727" s="8" t="s">
        <v>3240</v>
      </c>
      <c r="E7727" s="8" t="s">
        <v>5985</v>
      </c>
      <c r="F7727" s="9">
        <f>DATE(2025,3,13)</f>
        <v>45729</v>
      </c>
      <c r="G7727" s="10">
        <f t="shared" si="694"/>
        <v>3</v>
      </c>
      <c r="H7727" s="10">
        <f t="shared" si="695"/>
        <v>2025</v>
      </c>
      <c r="I7727" s="8" t="s">
        <v>4</v>
      </c>
      <c r="J7727" s="7" t="s">
        <v>8267</v>
      </c>
      <c r="K7727" s="8" t="s">
        <v>3910</v>
      </c>
      <c r="L7727" s="8" t="s">
        <v>3911</v>
      </c>
      <c r="M7727" s="8" t="s">
        <v>2100</v>
      </c>
      <c r="N7727" s="10" t="str">
        <f t="shared" si="696"/>
        <v>GAL</v>
      </c>
      <c r="O7727" s="11">
        <v>250</v>
      </c>
    </row>
    <row r="7728" spans="2:15" x14ac:dyDescent="0.25">
      <c r="B7728" s="6" t="s">
        <v>3238</v>
      </c>
      <c r="C7728" s="7" t="s">
        <v>3239</v>
      </c>
      <c r="D7728" s="8" t="s">
        <v>3240</v>
      </c>
      <c r="E7728" s="8" t="s">
        <v>5985</v>
      </c>
      <c r="F7728" s="9">
        <f>DATE(2025,3,13)</f>
        <v>45729</v>
      </c>
      <c r="G7728" s="10">
        <f t="shared" si="694"/>
        <v>3</v>
      </c>
      <c r="H7728" s="10">
        <f t="shared" si="695"/>
        <v>2025</v>
      </c>
      <c r="I7728" s="8" t="s">
        <v>4</v>
      </c>
      <c r="J7728" s="7" t="s">
        <v>8267</v>
      </c>
      <c r="K7728" s="8" t="s">
        <v>3514</v>
      </c>
      <c r="L7728" s="8" t="s">
        <v>3515</v>
      </c>
      <c r="M7728" s="8" t="s">
        <v>3516</v>
      </c>
      <c r="N7728" s="10" t="str">
        <f t="shared" si="696"/>
        <v>GAL</v>
      </c>
      <c r="O7728" s="11">
        <v>250</v>
      </c>
    </row>
    <row r="7729" spans="2:15" x14ac:dyDescent="0.25">
      <c r="B7729" s="6" t="s">
        <v>3238</v>
      </c>
      <c r="C7729" s="7" t="s">
        <v>3239</v>
      </c>
      <c r="D7729" s="8" t="s">
        <v>6120</v>
      </c>
      <c r="E7729" s="8" t="s">
        <v>6712</v>
      </c>
      <c r="F7729" s="9">
        <f>DATE(2025,3,18)</f>
        <v>45734</v>
      </c>
      <c r="G7729" s="10">
        <f t="shared" si="694"/>
        <v>3</v>
      </c>
      <c r="H7729" s="10">
        <f t="shared" si="695"/>
        <v>2025</v>
      </c>
      <c r="I7729" s="8" t="s">
        <v>4</v>
      </c>
      <c r="J7729" s="7" t="s">
        <v>8268</v>
      </c>
      <c r="K7729" s="8" t="s">
        <v>7321</v>
      </c>
      <c r="L7729" s="8" t="s">
        <v>6492</v>
      </c>
      <c r="M7729" s="8" t="s">
        <v>2455</v>
      </c>
      <c r="N7729" s="10" t="str">
        <f t="shared" si="696"/>
        <v>GAL</v>
      </c>
      <c r="O7729" s="11">
        <v>30</v>
      </c>
    </row>
    <row r="7730" spans="2:15" x14ac:dyDescent="0.25">
      <c r="B7730" s="6" t="s">
        <v>3238</v>
      </c>
      <c r="C7730" s="7" t="s">
        <v>3239</v>
      </c>
      <c r="D7730" s="8" t="s">
        <v>6120</v>
      </c>
      <c r="E7730" s="8" t="s">
        <v>6182</v>
      </c>
      <c r="F7730" s="9">
        <f>DATE(2025,3,21)</f>
        <v>45737</v>
      </c>
      <c r="G7730" s="10">
        <f t="shared" si="694"/>
        <v>3</v>
      </c>
      <c r="H7730" s="10">
        <f t="shared" si="695"/>
        <v>2025</v>
      </c>
      <c r="I7730" s="8" t="s">
        <v>4</v>
      </c>
      <c r="J7730" s="7" t="s">
        <v>8269</v>
      </c>
      <c r="K7730" s="8" t="s">
        <v>7306</v>
      </c>
      <c r="L7730" s="8" t="s">
        <v>7307</v>
      </c>
      <c r="M7730" s="8" t="s">
        <v>7308</v>
      </c>
      <c r="N7730" s="10" t="str">
        <f t="shared" si="696"/>
        <v>GAL</v>
      </c>
      <c r="O7730" s="11">
        <v>45</v>
      </c>
    </row>
    <row r="7731" spans="2:15" x14ac:dyDescent="0.25">
      <c r="B7731" s="6" t="s">
        <v>3238</v>
      </c>
      <c r="C7731" s="7" t="s">
        <v>3239</v>
      </c>
      <c r="D7731" s="8" t="s">
        <v>6120</v>
      </c>
      <c r="E7731" s="8" t="s">
        <v>6182</v>
      </c>
      <c r="F7731" s="9">
        <f>DATE(2025,3,21)</f>
        <v>45737</v>
      </c>
      <c r="G7731" s="10">
        <f t="shared" si="694"/>
        <v>3</v>
      </c>
      <c r="H7731" s="10">
        <f t="shared" si="695"/>
        <v>2025</v>
      </c>
      <c r="I7731" s="8" t="s">
        <v>4</v>
      </c>
      <c r="J7731" s="7" t="s">
        <v>8269</v>
      </c>
      <c r="K7731" s="8" t="s">
        <v>6172</v>
      </c>
      <c r="L7731" s="8" t="s">
        <v>6173</v>
      </c>
      <c r="M7731" s="8" t="s">
        <v>6174</v>
      </c>
      <c r="N7731" s="10" t="str">
        <f t="shared" si="696"/>
        <v>GAL</v>
      </c>
      <c r="O7731" s="11">
        <v>90</v>
      </c>
    </row>
    <row r="7732" spans="2:15" x14ac:dyDescent="0.25">
      <c r="B7732" s="6" t="s">
        <v>3238</v>
      </c>
      <c r="C7732" s="7" t="s">
        <v>3239</v>
      </c>
      <c r="D7732" s="8" t="s">
        <v>3240</v>
      </c>
      <c r="E7732" s="8" t="s">
        <v>102</v>
      </c>
      <c r="F7732" s="9">
        <f t="shared" ref="F7732:F7743" si="697">DATE(2025,3,24)</f>
        <v>45740</v>
      </c>
      <c r="G7732" s="10">
        <f t="shared" si="694"/>
        <v>3</v>
      </c>
      <c r="H7732" s="10">
        <f t="shared" si="695"/>
        <v>2025</v>
      </c>
      <c r="I7732" s="8" t="s">
        <v>4</v>
      </c>
      <c r="J7732" s="7" t="s">
        <v>8270</v>
      </c>
      <c r="K7732" s="8" t="s">
        <v>4284</v>
      </c>
      <c r="L7732" s="8" t="s">
        <v>3915</v>
      </c>
      <c r="M7732" s="8" t="s">
        <v>3916</v>
      </c>
      <c r="N7732" s="10" t="str">
        <f t="shared" si="696"/>
        <v>GAL</v>
      </c>
      <c r="O7732" s="11">
        <v>55</v>
      </c>
    </row>
    <row r="7733" spans="2:15" x14ac:dyDescent="0.25">
      <c r="B7733" s="6" t="s">
        <v>3238</v>
      </c>
      <c r="C7733" s="7" t="s">
        <v>3239</v>
      </c>
      <c r="D7733" s="8" t="s">
        <v>6120</v>
      </c>
      <c r="E7733" s="8" t="s">
        <v>141</v>
      </c>
      <c r="F7733" s="9">
        <f t="shared" si="697"/>
        <v>45740</v>
      </c>
      <c r="G7733" s="10">
        <f t="shared" si="694"/>
        <v>3</v>
      </c>
      <c r="H7733" s="10">
        <f t="shared" si="695"/>
        <v>2025</v>
      </c>
      <c r="I7733" s="8" t="s">
        <v>4</v>
      </c>
      <c r="J7733" s="7" t="s">
        <v>8271</v>
      </c>
      <c r="K7733" s="8" t="s">
        <v>6138</v>
      </c>
      <c r="L7733" s="8" t="s">
        <v>6139</v>
      </c>
      <c r="M7733" s="8" t="s">
        <v>6140</v>
      </c>
      <c r="N7733" s="10" t="str">
        <f t="shared" si="696"/>
        <v>GAL</v>
      </c>
      <c r="O7733" s="11">
        <v>90</v>
      </c>
    </row>
    <row r="7734" spans="2:15" x14ac:dyDescent="0.25">
      <c r="B7734" s="6" t="s">
        <v>3238</v>
      </c>
      <c r="C7734" s="7" t="s">
        <v>3239</v>
      </c>
      <c r="D7734" s="8" t="s">
        <v>6120</v>
      </c>
      <c r="E7734" s="8" t="s">
        <v>141</v>
      </c>
      <c r="F7734" s="9">
        <f t="shared" si="697"/>
        <v>45740</v>
      </c>
      <c r="G7734" s="10">
        <f t="shared" si="694"/>
        <v>3</v>
      </c>
      <c r="H7734" s="10">
        <f t="shared" si="695"/>
        <v>2025</v>
      </c>
      <c r="I7734" s="8" t="s">
        <v>4</v>
      </c>
      <c r="J7734" s="7" t="s">
        <v>8271</v>
      </c>
      <c r="K7734" s="8" t="s">
        <v>6079</v>
      </c>
      <c r="L7734" s="8" t="s">
        <v>6080</v>
      </c>
      <c r="M7734" s="8" t="s">
        <v>6081</v>
      </c>
      <c r="N7734" s="10" t="str">
        <f t="shared" si="696"/>
        <v>GAL</v>
      </c>
      <c r="O7734" s="11">
        <v>90</v>
      </c>
    </row>
    <row r="7735" spans="2:15" x14ac:dyDescent="0.25">
      <c r="B7735" s="6" t="s">
        <v>3238</v>
      </c>
      <c r="C7735" s="7" t="s">
        <v>3239</v>
      </c>
      <c r="D7735" s="8" t="s">
        <v>6120</v>
      </c>
      <c r="E7735" s="8" t="s">
        <v>141</v>
      </c>
      <c r="F7735" s="9">
        <f t="shared" si="697"/>
        <v>45740</v>
      </c>
      <c r="G7735" s="10">
        <f t="shared" si="694"/>
        <v>3</v>
      </c>
      <c r="H7735" s="10">
        <f t="shared" si="695"/>
        <v>2025</v>
      </c>
      <c r="I7735" s="8" t="s">
        <v>4</v>
      </c>
      <c r="J7735" s="7" t="s">
        <v>8271</v>
      </c>
      <c r="K7735" s="8" t="s">
        <v>2098</v>
      </c>
      <c r="L7735" s="8" t="s">
        <v>6164</v>
      </c>
      <c r="M7735" s="8" t="s">
        <v>2100</v>
      </c>
      <c r="N7735" s="10" t="str">
        <f t="shared" si="696"/>
        <v>GAL</v>
      </c>
      <c r="O7735" s="11">
        <v>180</v>
      </c>
    </row>
    <row r="7736" spans="2:15" x14ac:dyDescent="0.25">
      <c r="B7736" s="6" t="s">
        <v>3238</v>
      </c>
      <c r="C7736" s="7" t="s">
        <v>3239</v>
      </c>
      <c r="D7736" s="8" t="s">
        <v>6120</v>
      </c>
      <c r="E7736" s="8" t="s">
        <v>141</v>
      </c>
      <c r="F7736" s="9">
        <f t="shared" si="697"/>
        <v>45740</v>
      </c>
      <c r="G7736" s="10">
        <f t="shared" si="694"/>
        <v>3</v>
      </c>
      <c r="H7736" s="10">
        <f t="shared" si="695"/>
        <v>2025</v>
      </c>
      <c r="I7736" s="8" t="s">
        <v>4</v>
      </c>
      <c r="J7736" s="7" t="s">
        <v>8271</v>
      </c>
      <c r="K7736" s="8" t="s">
        <v>5469</v>
      </c>
      <c r="L7736" s="8" t="s">
        <v>5470</v>
      </c>
      <c r="M7736" s="8" t="s">
        <v>1046</v>
      </c>
      <c r="N7736" s="10" t="str">
        <f t="shared" si="696"/>
        <v>GAL</v>
      </c>
      <c r="O7736" s="11">
        <v>180</v>
      </c>
    </row>
    <row r="7737" spans="2:15" x14ac:dyDescent="0.25">
      <c r="B7737" s="6" t="s">
        <v>3238</v>
      </c>
      <c r="C7737" s="7" t="s">
        <v>3239</v>
      </c>
      <c r="D7737" s="8" t="s">
        <v>6120</v>
      </c>
      <c r="E7737" s="8" t="s">
        <v>141</v>
      </c>
      <c r="F7737" s="9">
        <f t="shared" si="697"/>
        <v>45740</v>
      </c>
      <c r="G7737" s="10">
        <f t="shared" si="694"/>
        <v>3</v>
      </c>
      <c r="H7737" s="10">
        <f t="shared" si="695"/>
        <v>2025</v>
      </c>
      <c r="I7737" s="8" t="s">
        <v>4</v>
      </c>
      <c r="J7737" s="7" t="s">
        <v>8271</v>
      </c>
      <c r="K7737" s="8" t="s">
        <v>6175</v>
      </c>
      <c r="L7737" s="8" t="s">
        <v>6176</v>
      </c>
      <c r="M7737" s="8" t="s">
        <v>3652</v>
      </c>
      <c r="N7737" s="10" t="str">
        <f t="shared" si="696"/>
        <v>GAL</v>
      </c>
      <c r="O7737" s="11">
        <v>180</v>
      </c>
    </row>
    <row r="7738" spans="2:15" x14ac:dyDescent="0.25">
      <c r="B7738" s="6" t="s">
        <v>3238</v>
      </c>
      <c r="C7738" s="7" t="s">
        <v>3239</v>
      </c>
      <c r="D7738" s="8" t="s">
        <v>6120</v>
      </c>
      <c r="E7738" s="8" t="s">
        <v>141</v>
      </c>
      <c r="F7738" s="9">
        <f t="shared" si="697"/>
        <v>45740</v>
      </c>
      <c r="G7738" s="10">
        <f t="shared" si="694"/>
        <v>3</v>
      </c>
      <c r="H7738" s="10">
        <f t="shared" si="695"/>
        <v>2025</v>
      </c>
      <c r="I7738" s="8" t="s">
        <v>4</v>
      </c>
      <c r="J7738" s="7" t="s">
        <v>8271</v>
      </c>
      <c r="K7738" s="8" t="s">
        <v>7306</v>
      </c>
      <c r="L7738" s="8" t="s">
        <v>7307</v>
      </c>
      <c r="M7738" s="8" t="s">
        <v>7308</v>
      </c>
      <c r="N7738" s="10" t="str">
        <f t="shared" si="696"/>
        <v>GAL</v>
      </c>
      <c r="O7738" s="11">
        <v>45</v>
      </c>
    </row>
    <row r="7739" spans="2:15" x14ac:dyDescent="0.25">
      <c r="B7739" s="6" t="s">
        <v>3238</v>
      </c>
      <c r="C7739" s="7" t="s">
        <v>3239</v>
      </c>
      <c r="D7739" s="8" t="s">
        <v>6120</v>
      </c>
      <c r="E7739" s="8" t="s">
        <v>141</v>
      </c>
      <c r="F7739" s="9">
        <f t="shared" si="697"/>
        <v>45740</v>
      </c>
      <c r="G7739" s="10">
        <f t="shared" si="694"/>
        <v>3</v>
      </c>
      <c r="H7739" s="10">
        <f t="shared" si="695"/>
        <v>2025</v>
      </c>
      <c r="I7739" s="8" t="s">
        <v>4</v>
      </c>
      <c r="J7739" s="7" t="s">
        <v>8271</v>
      </c>
      <c r="K7739" s="8" t="s">
        <v>6133</v>
      </c>
      <c r="L7739" s="8" t="s">
        <v>6134</v>
      </c>
      <c r="M7739" s="8" t="s">
        <v>6135</v>
      </c>
      <c r="N7739" s="10" t="str">
        <f t="shared" si="696"/>
        <v>GAL</v>
      </c>
      <c r="O7739" s="11">
        <v>180</v>
      </c>
    </row>
    <row r="7740" spans="2:15" x14ac:dyDescent="0.25">
      <c r="B7740" s="6" t="s">
        <v>3238</v>
      </c>
      <c r="C7740" s="7" t="s">
        <v>3239</v>
      </c>
      <c r="D7740" s="8" t="s">
        <v>6120</v>
      </c>
      <c r="E7740" s="8" t="s">
        <v>141</v>
      </c>
      <c r="F7740" s="9">
        <f t="shared" si="697"/>
        <v>45740</v>
      </c>
      <c r="G7740" s="10">
        <f t="shared" si="694"/>
        <v>3</v>
      </c>
      <c r="H7740" s="10">
        <f t="shared" si="695"/>
        <v>2025</v>
      </c>
      <c r="I7740" s="8" t="s">
        <v>4</v>
      </c>
      <c r="J7740" s="7" t="s">
        <v>8271</v>
      </c>
      <c r="K7740" s="8" t="s">
        <v>6491</v>
      </c>
      <c r="L7740" s="8" t="s">
        <v>6492</v>
      </c>
      <c r="M7740" s="8" t="s">
        <v>2455</v>
      </c>
      <c r="N7740" s="10" t="str">
        <f t="shared" si="696"/>
        <v>GAL</v>
      </c>
      <c r="O7740" s="11">
        <v>180</v>
      </c>
    </row>
    <row r="7741" spans="2:15" x14ac:dyDescent="0.25">
      <c r="B7741" s="6" t="s">
        <v>3238</v>
      </c>
      <c r="C7741" s="7" t="s">
        <v>3239</v>
      </c>
      <c r="D7741" s="8" t="s">
        <v>6120</v>
      </c>
      <c r="E7741" s="8" t="s">
        <v>141</v>
      </c>
      <c r="F7741" s="9">
        <f t="shared" si="697"/>
        <v>45740</v>
      </c>
      <c r="G7741" s="10">
        <f t="shared" si="694"/>
        <v>3</v>
      </c>
      <c r="H7741" s="10">
        <f t="shared" si="695"/>
        <v>2025</v>
      </c>
      <c r="I7741" s="8" t="s">
        <v>4</v>
      </c>
      <c r="J7741" s="7" t="s">
        <v>8271</v>
      </c>
      <c r="K7741" s="8" t="s">
        <v>6172</v>
      </c>
      <c r="L7741" s="8" t="s">
        <v>6173</v>
      </c>
      <c r="M7741" s="8" t="s">
        <v>6174</v>
      </c>
      <c r="N7741" s="10" t="str">
        <f t="shared" si="696"/>
        <v>GAL</v>
      </c>
      <c r="O7741" s="11">
        <v>180</v>
      </c>
    </row>
    <row r="7742" spans="2:15" x14ac:dyDescent="0.25">
      <c r="B7742" s="6" t="s">
        <v>3238</v>
      </c>
      <c r="C7742" s="7" t="s">
        <v>3239</v>
      </c>
      <c r="D7742" s="8" t="s">
        <v>6120</v>
      </c>
      <c r="E7742" s="8" t="s">
        <v>141</v>
      </c>
      <c r="F7742" s="9">
        <f t="shared" si="697"/>
        <v>45740</v>
      </c>
      <c r="G7742" s="10">
        <f t="shared" si="694"/>
        <v>3</v>
      </c>
      <c r="H7742" s="10">
        <f t="shared" si="695"/>
        <v>2025</v>
      </c>
      <c r="I7742" s="8" t="s">
        <v>4</v>
      </c>
      <c r="J7742" s="7" t="s">
        <v>8271</v>
      </c>
      <c r="K7742" s="8" t="s">
        <v>6142</v>
      </c>
      <c r="L7742" s="8" t="s">
        <v>6143</v>
      </c>
      <c r="M7742" s="8" t="s">
        <v>1472</v>
      </c>
      <c r="N7742" s="10" t="str">
        <f t="shared" si="696"/>
        <v>GAL</v>
      </c>
      <c r="O7742" s="11">
        <v>180</v>
      </c>
    </row>
    <row r="7743" spans="2:15" x14ac:dyDescent="0.25">
      <c r="B7743" s="6" t="s">
        <v>3238</v>
      </c>
      <c r="C7743" s="7" t="s">
        <v>3239</v>
      </c>
      <c r="D7743" s="8" t="s">
        <v>6120</v>
      </c>
      <c r="E7743" s="8" t="s">
        <v>141</v>
      </c>
      <c r="F7743" s="9">
        <f t="shared" si="697"/>
        <v>45740</v>
      </c>
      <c r="G7743" s="10">
        <f t="shared" si="694"/>
        <v>3</v>
      </c>
      <c r="H7743" s="10">
        <f t="shared" si="695"/>
        <v>2025</v>
      </c>
      <c r="I7743" s="8" t="s">
        <v>4</v>
      </c>
      <c r="J7743" s="7" t="s">
        <v>8271</v>
      </c>
      <c r="K7743" s="8" t="s">
        <v>6144</v>
      </c>
      <c r="L7743" s="8" t="s">
        <v>6145</v>
      </c>
      <c r="M7743" s="8" t="s">
        <v>49</v>
      </c>
      <c r="N7743" s="10" t="str">
        <f t="shared" si="696"/>
        <v>GAL</v>
      </c>
      <c r="O7743" s="11">
        <v>180</v>
      </c>
    </row>
    <row r="7744" spans="2:15" x14ac:dyDescent="0.25">
      <c r="B7744" s="6" t="s">
        <v>3238</v>
      </c>
      <c r="C7744" s="7" t="s">
        <v>3239</v>
      </c>
      <c r="D7744" s="8" t="s">
        <v>6120</v>
      </c>
      <c r="E7744" s="8" t="s">
        <v>6170</v>
      </c>
      <c r="F7744" s="9">
        <f t="shared" ref="F7744:F7751" si="698">DATE(2025,3,25)</f>
        <v>45741</v>
      </c>
      <c r="G7744" s="10">
        <f t="shared" si="694"/>
        <v>3</v>
      </c>
      <c r="H7744" s="10">
        <f t="shared" si="695"/>
        <v>2025</v>
      </c>
      <c r="I7744" s="8" t="s">
        <v>4</v>
      </c>
      <c r="J7744" s="7" t="s">
        <v>8272</v>
      </c>
      <c r="K7744" s="8" t="s">
        <v>6175</v>
      </c>
      <c r="L7744" s="8" t="s">
        <v>6176</v>
      </c>
      <c r="M7744" s="8" t="s">
        <v>3652</v>
      </c>
      <c r="N7744" s="10" t="str">
        <f t="shared" si="696"/>
        <v>GAL</v>
      </c>
      <c r="O7744" s="11">
        <v>180</v>
      </c>
    </row>
    <row r="7745" spans="2:15" x14ac:dyDescent="0.25">
      <c r="B7745" s="6" t="s">
        <v>3238</v>
      </c>
      <c r="C7745" s="7" t="s">
        <v>3239</v>
      </c>
      <c r="D7745" s="8" t="s">
        <v>6120</v>
      </c>
      <c r="E7745" s="8" t="s">
        <v>6170</v>
      </c>
      <c r="F7745" s="9">
        <f t="shared" si="698"/>
        <v>45741</v>
      </c>
      <c r="G7745" s="10">
        <f t="shared" si="694"/>
        <v>3</v>
      </c>
      <c r="H7745" s="10">
        <f t="shared" si="695"/>
        <v>2025</v>
      </c>
      <c r="I7745" s="8" t="s">
        <v>4</v>
      </c>
      <c r="J7745" s="7" t="s">
        <v>8272</v>
      </c>
      <c r="K7745" s="8" t="s">
        <v>6133</v>
      </c>
      <c r="L7745" s="8" t="s">
        <v>6134</v>
      </c>
      <c r="M7745" s="8" t="s">
        <v>6135</v>
      </c>
      <c r="N7745" s="10" t="str">
        <f t="shared" si="696"/>
        <v>GAL</v>
      </c>
      <c r="O7745" s="11">
        <v>180</v>
      </c>
    </row>
    <row r="7746" spans="2:15" x14ac:dyDescent="0.25">
      <c r="B7746" s="6" t="s">
        <v>3238</v>
      </c>
      <c r="C7746" s="7" t="s">
        <v>3239</v>
      </c>
      <c r="D7746" s="8" t="s">
        <v>6120</v>
      </c>
      <c r="E7746" s="8" t="s">
        <v>6170</v>
      </c>
      <c r="F7746" s="9">
        <f t="shared" si="698"/>
        <v>45741</v>
      </c>
      <c r="G7746" s="10">
        <f t="shared" si="694"/>
        <v>3</v>
      </c>
      <c r="H7746" s="10">
        <f t="shared" si="695"/>
        <v>2025</v>
      </c>
      <c r="I7746" s="8" t="s">
        <v>4</v>
      </c>
      <c r="J7746" s="7" t="s">
        <v>8272</v>
      </c>
      <c r="K7746" s="8" t="s">
        <v>6172</v>
      </c>
      <c r="L7746" s="8" t="s">
        <v>6173</v>
      </c>
      <c r="M7746" s="8" t="s">
        <v>6174</v>
      </c>
      <c r="N7746" s="10" t="str">
        <f t="shared" si="696"/>
        <v>GAL</v>
      </c>
      <c r="O7746" s="11">
        <v>180</v>
      </c>
    </row>
    <row r="7747" spans="2:15" x14ac:dyDescent="0.25">
      <c r="B7747" s="6" t="s">
        <v>3238</v>
      </c>
      <c r="C7747" s="7" t="s">
        <v>3239</v>
      </c>
      <c r="D7747" s="8" t="s">
        <v>6120</v>
      </c>
      <c r="E7747" s="8" t="s">
        <v>6170</v>
      </c>
      <c r="F7747" s="9">
        <f t="shared" si="698"/>
        <v>45741</v>
      </c>
      <c r="G7747" s="10">
        <f t="shared" si="694"/>
        <v>3</v>
      </c>
      <c r="H7747" s="10">
        <f t="shared" si="695"/>
        <v>2025</v>
      </c>
      <c r="I7747" s="8" t="s">
        <v>4</v>
      </c>
      <c r="J7747" s="7" t="s">
        <v>8272</v>
      </c>
      <c r="K7747" s="8" t="s">
        <v>1470</v>
      </c>
      <c r="L7747" s="8" t="s">
        <v>6169</v>
      </c>
      <c r="M7747" s="8" t="s">
        <v>1472</v>
      </c>
      <c r="N7747" s="10" t="str">
        <f t="shared" si="696"/>
        <v>GAL</v>
      </c>
      <c r="O7747" s="11">
        <v>180</v>
      </c>
    </row>
    <row r="7748" spans="2:15" x14ac:dyDescent="0.25">
      <c r="B7748" s="6" t="s">
        <v>3238</v>
      </c>
      <c r="C7748" s="7" t="s">
        <v>3239</v>
      </c>
      <c r="D7748" s="8" t="s">
        <v>6120</v>
      </c>
      <c r="E7748" s="8" t="s">
        <v>6170</v>
      </c>
      <c r="F7748" s="9">
        <f t="shared" si="698"/>
        <v>45741</v>
      </c>
      <c r="G7748" s="10">
        <f t="shared" ref="G7748:G7811" si="699">+MONTH(F7748)</f>
        <v>3</v>
      </c>
      <c r="H7748" s="10">
        <f t="shared" ref="H7748:H7811" si="700">+YEAR(F7748)</f>
        <v>2025</v>
      </c>
      <c r="I7748" s="8" t="s">
        <v>4</v>
      </c>
      <c r="J7748" s="7" t="s">
        <v>8272</v>
      </c>
      <c r="K7748" s="8" t="s">
        <v>6142</v>
      </c>
      <c r="L7748" s="8" t="s">
        <v>6143</v>
      </c>
      <c r="M7748" s="8" t="s">
        <v>1472</v>
      </c>
      <c r="N7748" s="10" t="str">
        <f t="shared" si="696"/>
        <v>GAL</v>
      </c>
      <c r="O7748" s="11">
        <v>90</v>
      </c>
    </row>
    <row r="7749" spans="2:15" x14ac:dyDescent="0.25">
      <c r="B7749" s="6" t="s">
        <v>3238</v>
      </c>
      <c r="C7749" s="7" t="s">
        <v>3239</v>
      </c>
      <c r="D7749" s="8" t="s">
        <v>6120</v>
      </c>
      <c r="E7749" s="8" t="s">
        <v>6170</v>
      </c>
      <c r="F7749" s="9">
        <f t="shared" si="698"/>
        <v>45741</v>
      </c>
      <c r="G7749" s="10">
        <f t="shared" si="699"/>
        <v>3</v>
      </c>
      <c r="H7749" s="10">
        <f t="shared" si="700"/>
        <v>2025</v>
      </c>
      <c r="I7749" s="8" t="s">
        <v>4</v>
      </c>
      <c r="J7749" s="7" t="s">
        <v>8272</v>
      </c>
      <c r="K7749" s="8" t="s">
        <v>6144</v>
      </c>
      <c r="L7749" s="8" t="s">
        <v>6145</v>
      </c>
      <c r="M7749" s="8" t="s">
        <v>49</v>
      </c>
      <c r="N7749" s="10" t="str">
        <f t="shared" ref="N7749:N7812" si="701">+LEFT(M7749,3)</f>
        <v>GAL</v>
      </c>
      <c r="O7749" s="11">
        <v>90</v>
      </c>
    </row>
    <row r="7750" spans="2:15" x14ac:dyDescent="0.25">
      <c r="B7750" s="6" t="s">
        <v>3238</v>
      </c>
      <c r="C7750" s="7" t="s">
        <v>3239</v>
      </c>
      <c r="D7750" s="8" t="s">
        <v>3240</v>
      </c>
      <c r="E7750" s="8" t="s">
        <v>102</v>
      </c>
      <c r="F7750" s="9">
        <f t="shared" si="698"/>
        <v>45741</v>
      </c>
      <c r="G7750" s="10">
        <f t="shared" si="699"/>
        <v>3</v>
      </c>
      <c r="H7750" s="10">
        <f t="shared" si="700"/>
        <v>2025</v>
      </c>
      <c r="I7750" s="8" t="s">
        <v>4</v>
      </c>
      <c r="J7750" s="7" t="s">
        <v>8273</v>
      </c>
      <c r="K7750" s="8" t="s">
        <v>3510</v>
      </c>
      <c r="L7750" s="8" t="s">
        <v>3400</v>
      </c>
      <c r="M7750" s="8" t="s">
        <v>3401</v>
      </c>
      <c r="N7750" s="10" t="str">
        <f t="shared" si="701"/>
        <v>GAL</v>
      </c>
      <c r="O7750" s="11">
        <v>400</v>
      </c>
    </row>
    <row r="7751" spans="2:15" x14ac:dyDescent="0.25">
      <c r="B7751" s="6" t="s">
        <v>3238</v>
      </c>
      <c r="C7751" s="7" t="s">
        <v>3239</v>
      </c>
      <c r="D7751" s="8" t="s">
        <v>3240</v>
      </c>
      <c r="E7751" s="8" t="s">
        <v>102</v>
      </c>
      <c r="F7751" s="9">
        <f t="shared" si="698"/>
        <v>45741</v>
      </c>
      <c r="G7751" s="10">
        <f t="shared" si="699"/>
        <v>3</v>
      </c>
      <c r="H7751" s="10">
        <f t="shared" si="700"/>
        <v>2025</v>
      </c>
      <c r="I7751" s="8" t="s">
        <v>4</v>
      </c>
      <c r="J7751" s="7" t="s">
        <v>8274</v>
      </c>
      <c r="K7751" s="8" t="s">
        <v>3243</v>
      </c>
      <c r="L7751" s="8" t="s">
        <v>3244</v>
      </c>
      <c r="M7751" s="8" t="s">
        <v>3245</v>
      </c>
      <c r="N7751" s="10" t="str">
        <f t="shared" si="701"/>
        <v>GAL</v>
      </c>
      <c r="O7751" s="11">
        <v>550</v>
      </c>
    </row>
    <row r="7752" spans="2:15" x14ac:dyDescent="0.25">
      <c r="B7752" s="6" t="s">
        <v>3238</v>
      </c>
      <c r="C7752" s="7" t="s">
        <v>3239</v>
      </c>
      <c r="D7752" s="8" t="s">
        <v>3240</v>
      </c>
      <c r="E7752" s="8" t="s">
        <v>102</v>
      </c>
      <c r="F7752" s="9">
        <f>DATE(2025,3,28)</f>
        <v>45744</v>
      </c>
      <c r="G7752" s="10">
        <f t="shared" si="699"/>
        <v>3</v>
      </c>
      <c r="H7752" s="10">
        <f t="shared" si="700"/>
        <v>2025</v>
      </c>
      <c r="I7752" s="8" t="s">
        <v>4</v>
      </c>
      <c r="J7752" s="7" t="s">
        <v>8275</v>
      </c>
      <c r="K7752" s="8" t="s">
        <v>5971</v>
      </c>
      <c r="L7752" s="8" t="s">
        <v>3515</v>
      </c>
      <c r="M7752" s="8" t="s">
        <v>3516</v>
      </c>
      <c r="N7752" s="10" t="str">
        <f t="shared" si="701"/>
        <v>GAL</v>
      </c>
      <c r="O7752" s="11">
        <v>90</v>
      </c>
    </row>
    <row r="7753" spans="2:15" x14ac:dyDescent="0.25">
      <c r="B7753" s="6" t="s">
        <v>3238</v>
      </c>
      <c r="C7753" s="7" t="s">
        <v>3239</v>
      </c>
      <c r="D7753" s="8" t="s">
        <v>3240</v>
      </c>
      <c r="E7753" s="8" t="s">
        <v>102</v>
      </c>
      <c r="F7753" s="9">
        <f>DATE(2025,3,28)</f>
        <v>45744</v>
      </c>
      <c r="G7753" s="10">
        <f t="shared" si="699"/>
        <v>3</v>
      </c>
      <c r="H7753" s="10">
        <f t="shared" si="700"/>
        <v>2025</v>
      </c>
      <c r="I7753" s="8" t="s">
        <v>4</v>
      </c>
      <c r="J7753" s="7" t="s">
        <v>8275</v>
      </c>
      <c r="K7753" s="8" t="s">
        <v>6516</v>
      </c>
      <c r="L7753" s="8" t="s">
        <v>3396</v>
      </c>
      <c r="M7753" s="8" t="s">
        <v>844</v>
      </c>
      <c r="N7753" s="10" t="str">
        <f t="shared" si="701"/>
        <v>GAL</v>
      </c>
      <c r="O7753" s="11">
        <v>90</v>
      </c>
    </row>
    <row r="7754" spans="2:15" x14ac:dyDescent="0.25">
      <c r="B7754" s="6" t="s">
        <v>0</v>
      </c>
      <c r="C7754" s="7" t="s">
        <v>1</v>
      </c>
      <c r="D7754" s="8" t="s">
        <v>2</v>
      </c>
      <c r="E7754" s="8" t="s">
        <v>1784</v>
      </c>
      <c r="F7754" s="9">
        <f>DATE(2025,4,3)</f>
        <v>45750</v>
      </c>
      <c r="G7754" s="10">
        <f t="shared" si="699"/>
        <v>4</v>
      </c>
      <c r="H7754" s="10">
        <f t="shared" si="700"/>
        <v>2025</v>
      </c>
      <c r="I7754" s="8" t="s">
        <v>4</v>
      </c>
      <c r="J7754" s="7" t="s">
        <v>8276</v>
      </c>
      <c r="K7754" s="8" t="s">
        <v>566</v>
      </c>
      <c r="L7754" s="8" t="s">
        <v>20</v>
      </c>
      <c r="M7754" s="8" t="s">
        <v>21</v>
      </c>
      <c r="N7754" s="10" t="str">
        <f t="shared" si="701"/>
        <v>GAL</v>
      </c>
      <c r="O7754" s="11">
        <v>55</v>
      </c>
    </row>
    <row r="7755" spans="2:15" x14ac:dyDescent="0.25">
      <c r="B7755" s="6" t="s">
        <v>0</v>
      </c>
      <c r="C7755" s="7" t="s">
        <v>1</v>
      </c>
      <c r="D7755" s="8" t="s">
        <v>2</v>
      </c>
      <c r="E7755" s="8" t="s">
        <v>1784</v>
      </c>
      <c r="F7755" s="9">
        <f>DATE(2025,4,3)</f>
        <v>45750</v>
      </c>
      <c r="G7755" s="10">
        <f t="shared" si="699"/>
        <v>4</v>
      </c>
      <c r="H7755" s="10">
        <f t="shared" si="700"/>
        <v>2025</v>
      </c>
      <c r="I7755" s="8" t="s">
        <v>4</v>
      </c>
      <c r="J7755" s="7" t="s">
        <v>8276</v>
      </c>
      <c r="K7755" s="8" t="s">
        <v>28</v>
      </c>
      <c r="L7755" s="8" t="s">
        <v>29</v>
      </c>
      <c r="M7755" s="8" t="s">
        <v>30</v>
      </c>
      <c r="N7755" s="10" t="str">
        <f t="shared" si="701"/>
        <v>GAL</v>
      </c>
      <c r="O7755" s="11">
        <v>30</v>
      </c>
    </row>
    <row r="7756" spans="2:15" x14ac:dyDescent="0.25">
      <c r="B7756" s="6" t="s">
        <v>0</v>
      </c>
      <c r="C7756" s="7" t="s">
        <v>1</v>
      </c>
      <c r="D7756" s="8" t="s">
        <v>2</v>
      </c>
      <c r="E7756" s="8" t="s">
        <v>1432</v>
      </c>
      <c r="F7756" s="9">
        <f>DATE(2025,4,7)</f>
        <v>45754</v>
      </c>
      <c r="G7756" s="10">
        <f t="shared" si="699"/>
        <v>4</v>
      </c>
      <c r="H7756" s="10">
        <f t="shared" si="700"/>
        <v>2025</v>
      </c>
      <c r="I7756" s="8" t="s">
        <v>4</v>
      </c>
      <c r="J7756" s="7" t="s">
        <v>8277</v>
      </c>
      <c r="K7756" s="8" t="s">
        <v>566</v>
      </c>
      <c r="L7756" s="8" t="s">
        <v>20</v>
      </c>
      <c r="M7756" s="8" t="s">
        <v>21</v>
      </c>
      <c r="N7756" s="10" t="str">
        <f t="shared" si="701"/>
        <v>GAL</v>
      </c>
      <c r="O7756" s="11">
        <v>55</v>
      </c>
    </row>
    <row r="7757" spans="2:15" x14ac:dyDescent="0.25">
      <c r="B7757" s="6" t="s">
        <v>0</v>
      </c>
      <c r="C7757" s="7" t="s">
        <v>1</v>
      </c>
      <c r="D7757" s="8" t="s">
        <v>2</v>
      </c>
      <c r="E7757" s="8" t="s">
        <v>1432</v>
      </c>
      <c r="F7757" s="9">
        <f>DATE(2025,4,7)</f>
        <v>45754</v>
      </c>
      <c r="G7757" s="10">
        <f t="shared" si="699"/>
        <v>4</v>
      </c>
      <c r="H7757" s="10">
        <f t="shared" si="700"/>
        <v>2025</v>
      </c>
      <c r="I7757" s="8" t="s">
        <v>4</v>
      </c>
      <c r="J7757" s="7" t="s">
        <v>8277</v>
      </c>
      <c r="K7757" s="8" t="s">
        <v>4540</v>
      </c>
      <c r="L7757" s="8" t="s">
        <v>81</v>
      </c>
      <c r="M7757" s="8" t="s">
        <v>82</v>
      </c>
      <c r="N7757" s="10" t="str">
        <f t="shared" si="701"/>
        <v>GAL</v>
      </c>
      <c r="O7757" s="11">
        <v>55</v>
      </c>
    </row>
    <row r="7758" spans="2:15" x14ac:dyDescent="0.25">
      <c r="B7758" s="6" t="s">
        <v>0</v>
      </c>
      <c r="C7758" s="7" t="s">
        <v>1</v>
      </c>
      <c r="D7758" s="8" t="s">
        <v>2</v>
      </c>
      <c r="E7758" s="8" t="s">
        <v>1432</v>
      </c>
      <c r="F7758" s="9">
        <f>DATE(2025,4,7)</f>
        <v>45754</v>
      </c>
      <c r="G7758" s="10">
        <f t="shared" si="699"/>
        <v>4</v>
      </c>
      <c r="H7758" s="10">
        <f t="shared" si="700"/>
        <v>2025</v>
      </c>
      <c r="I7758" s="8" t="s">
        <v>4</v>
      </c>
      <c r="J7758" s="7" t="s">
        <v>8277</v>
      </c>
      <c r="K7758" s="8" t="s">
        <v>549</v>
      </c>
      <c r="L7758" s="8" t="s">
        <v>51</v>
      </c>
      <c r="M7758" s="8" t="s">
        <v>52</v>
      </c>
      <c r="N7758" s="10" t="str">
        <f t="shared" si="701"/>
        <v>GAL</v>
      </c>
      <c r="O7758" s="11">
        <v>55</v>
      </c>
    </row>
    <row r="7759" spans="2:15" x14ac:dyDescent="0.25">
      <c r="B7759" s="6" t="s">
        <v>0</v>
      </c>
      <c r="C7759" s="7" t="s">
        <v>1</v>
      </c>
      <c r="D7759" s="8" t="s">
        <v>2</v>
      </c>
      <c r="E7759" s="8" t="s">
        <v>4287</v>
      </c>
      <c r="F7759" s="9">
        <f t="shared" ref="F7759:F7767" si="702">DATE(2025,4,15)</f>
        <v>45762</v>
      </c>
      <c r="G7759" s="10">
        <f t="shared" si="699"/>
        <v>4</v>
      </c>
      <c r="H7759" s="10">
        <f t="shared" si="700"/>
        <v>2025</v>
      </c>
      <c r="I7759" s="8" t="s">
        <v>4</v>
      </c>
      <c r="J7759" s="7" t="s">
        <v>8278</v>
      </c>
      <c r="K7759" s="8" t="s">
        <v>19</v>
      </c>
      <c r="L7759" s="8" t="s">
        <v>6006</v>
      </c>
      <c r="M7759" s="8" t="s">
        <v>21</v>
      </c>
      <c r="N7759" s="10" t="str">
        <f t="shared" si="701"/>
        <v>GAL</v>
      </c>
      <c r="O7759" s="11">
        <v>120</v>
      </c>
    </row>
    <row r="7760" spans="2:15" x14ac:dyDescent="0.25">
      <c r="B7760" s="6" t="s">
        <v>0</v>
      </c>
      <c r="C7760" s="7" t="s">
        <v>1</v>
      </c>
      <c r="D7760" s="8" t="s">
        <v>2</v>
      </c>
      <c r="E7760" s="8" t="s">
        <v>4287</v>
      </c>
      <c r="F7760" s="9">
        <f t="shared" si="702"/>
        <v>45762</v>
      </c>
      <c r="G7760" s="10">
        <f t="shared" si="699"/>
        <v>4</v>
      </c>
      <c r="H7760" s="10">
        <f t="shared" si="700"/>
        <v>2025</v>
      </c>
      <c r="I7760" s="8" t="s">
        <v>4</v>
      </c>
      <c r="J7760" s="7" t="s">
        <v>8278</v>
      </c>
      <c r="K7760" s="8" t="s">
        <v>25</v>
      </c>
      <c r="L7760" s="8" t="s">
        <v>26</v>
      </c>
      <c r="M7760" s="8" t="s">
        <v>27</v>
      </c>
      <c r="N7760" s="10" t="str">
        <f t="shared" si="701"/>
        <v>GAL</v>
      </c>
      <c r="O7760" s="11">
        <v>120</v>
      </c>
    </row>
    <row r="7761" spans="2:15" x14ac:dyDescent="0.25">
      <c r="B7761" s="6" t="s">
        <v>0</v>
      </c>
      <c r="C7761" s="7" t="s">
        <v>1</v>
      </c>
      <c r="D7761" s="8" t="s">
        <v>2</v>
      </c>
      <c r="E7761" s="8" t="s">
        <v>4287</v>
      </c>
      <c r="F7761" s="9">
        <f t="shared" si="702"/>
        <v>45762</v>
      </c>
      <c r="G7761" s="10">
        <f t="shared" si="699"/>
        <v>4</v>
      </c>
      <c r="H7761" s="10">
        <f t="shared" si="700"/>
        <v>2025</v>
      </c>
      <c r="I7761" s="8" t="s">
        <v>4</v>
      </c>
      <c r="J7761" s="7" t="s">
        <v>8278</v>
      </c>
      <c r="K7761" s="8" t="s">
        <v>28</v>
      </c>
      <c r="L7761" s="8" t="s">
        <v>29</v>
      </c>
      <c r="M7761" s="8" t="s">
        <v>30</v>
      </c>
      <c r="N7761" s="10" t="str">
        <f t="shared" si="701"/>
        <v>GAL</v>
      </c>
      <c r="O7761" s="11">
        <v>120</v>
      </c>
    </row>
    <row r="7762" spans="2:15" x14ac:dyDescent="0.25">
      <c r="B7762" s="6" t="s">
        <v>0</v>
      </c>
      <c r="C7762" s="7" t="s">
        <v>1</v>
      </c>
      <c r="D7762" s="8" t="s">
        <v>2</v>
      </c>
      <c r="E7762" s="8" t="s">
        <v>4287</v>
      </c>
      <c r="F7762" s="9">
        <f t="shared" si="702"/>
        <v>45762</v>
      </c>
      <c r="G7762" s="10">
        <f t="shared" si="699"/>
        <v>4</v>
      </c>
      <c r="H7762" s="10">
        <f t="shared" si="700"/>
        <v>2025</v>
      </c>
      <c r="I7762" s="8" t="s">
        <v>4</v>
      </c>
      <c r="J7762" s="7" t="s">
        <v>8278</v>
      </c>
      <c r="K7762" s="8" t="s">
        <v>16</v>
      </c>
      <c r="L7762" s="8" t="s">
        <v>7</v>
      </c>
      <c r="M7762" s="8" t="s">
        <v>8</v>
      </c>
      <c r="N7762" s="10" t="str">
        <f t="shared" si="701"/>
        <v>GAL</v>
      </c>
      <c r="O7762" s="11">
        <v>120</v>
      </c>
    </row>
    <row r="7763" spans="2:15" x14ac:dyDescent="0.25">
      <c r="B7763" s="6" t="s">
        <v>0</v>
      </c>
      <c r="C7763" s="7" t="s">
        <v>1</v>
      </c>
      <c r="D7763" s="8" t="s">
        <v>2</v>
      </c>
      <c r="E7763" s="8" t="s">
        <v>4287</v>
      </c>
      <c r="F7763" s="9">
        <f t="shared" si="702"/>
        <v>45762</v>
      </c>
      <c r="G7763" s="10">
        <f t="shared" si="699"/>
        <v>4</v>
      </c>
      <c r="H7763" s="10">
        <f t="shared" si="700"/>
        <v>2025</v>
      </c>
      <c r="I7763" s="8" t="s">
        <v>4</v>
      </c>
      <c r="J7763" s="7" t="s">
        <v>8278</v>
      </c>
      <c r="K7763" s="8" t="s">
        <v>80</v>
      </c>
      <c r="L7763" s="8" t="s">
        <v>81</v>
      </c>
      <c r="M7763" s="8" t="s">
        <v>82</v>
      </c>
      <c r="N7763" s="10" t="str">
        <f t="shared" si="701"/>
        <v>GAL</v>
      </c>
      <c r="O7763" s="11">
        <v>120</v>
      </c>
    </row>
    <row r="7764" spans="2:15" x14ac:dyDescent="0.25">
      <c r="B7764" s="6" t="s">
        <v>0</v>
      </c>
      <c r="C7764" s="7" t="s">
        <v>1</v>
      </c>
      <c r="D7764" s="8" t="s">
        <v>2</v>
      </c>
      <c r="E7764" s="8" t="s">
        <v>61</v>
      </c>
      <c r="F7764" s="9">
        <f t="shared" si="702"/>
        <v>45762</v>
      </c>
      <c r="G7764" s="10">
        <f t="shared" si="699"/>
        <v>4</v>
      </c>
      <c r="H7764" s="10">
        <f t="shared" si="700"/>
        <v>2025</v>
      </c>
      <c r="I7764" s="8" t="s">
        <v>4</v>
      </c>
      <c r="J7764" s="7" t="s">
        <v>8279</v>
      </c>
      <c r="K7764" s="8" t="s">
        <v>19</v>
      </c>
      <c r="L7764" s="8" t="s">
        <v>6006</v>
      </c>
      <c r="M7764" s="8" t="s">
        <v>21</v>
      </c>
      <c r="N7764" s="10" t="str">
        <f t="shared" si="701"/>
        <v>GAL</v>
      </c>
      <c r="O7764" s="11">
        <v>50</v>
      </c>
    </row>
    <row r="7765" spans="2:15" x14ac:dyDescent="0.25">
      <c r="B7765" s="6" t="s">
        <v>0</v>
      </c>
      <c r="C7765" s="7" t="s">
        <v>1</v>
      </c>
      <c r="D7765" s="8" t="s">
        <v>2</v>
      </c>
      <c r="E7765" s="8" t="s">
        <v>61</v>
      </c>
      <c r="F7765" s="9">
        <f t="shared" si="702"/>
        <v>45762</v>
      </c>
      <c r="G7765" s="10">
        <f t="shared" si="699"/>
        <v>4</v>
      </c>
      <c r="H7765" s="10">
        <f t="shared" si="700"/>
        <v>2025</v>
      </c>
      <c r="I7765" s="8" t="s">
        <v>4</v>
      </c>
      <c r="J7765" s="7" t="s">
        <v>8279</v>
      </c>
      <c r="K7765" s="8" t="s">
        <v>25</v>
      </c>
      <c r="L7765" s="8" t="s">
        <v>26</v>
      </c>
      <c r="M7765" s="8" t="s">
        <v>27</v>
      </c>
      <c r="N7765" s="10" t="str">
        <f t="shared" si="701"/>
        <v>GAL</v>
      </c>
      <c r="O7765" s="11">
        <v>100</v>
      </c>
    </row>
    <row r="7766" spans="2:15" x14ac:dyDescent="0.25">
      <c r="B7766" s="6" t="s">
        <v>0</v>
      </c>
      <c r="C7766" s="7" t="s">
        <v>1</v>
      </c>
      <c r="D7766" s="8" t="s">
        <v>2</v>
      </c>
      <c r="E7766" s="8" t="s">
        <v>61</v>
      </c>
      <c r="F7766" s="9">
        <f t="shared" si="702"/>
        <v>45762</v>
      </c>
      <c r="G7766" s="10">
        <f t="shared" si="699"/>
        <v>4</v>
      </c>
      <c r="H7766" s="10">
        <f t="shared" si="700"/>
        <v>2025</v>
      </c>
      <c r="I7766" s="8" t="s">
        <v>4</v>
      </c>
      <c r="J7766" s="7" t="s">
        <v>8279</v>
      </c>
      <c r="K7766" s="8" t="s">
        <v>28</v>
      </c>
      <c r="L7766" s="8" t="s">
        <v>29</v>
      </c>
      <c r="M7766" s="8" t="s">
        <v>30</v>
      </c>
      <c r="N7766" s="10" t="str">
        <f t="shared" si="701"/>
        <v>GAL</v>
      </c>
      <c r="O7766" s="11">
        <v>50</v>
      </c>
    </row>
    <row r="7767" spans="2:15" x14ac:dyDescent="0.25">
      <c r="B7767" s="6" t="s">
        <v>0</v>
      </c>
      <c r="C7767" s="7" t="s">
        <v>1</v>
      </c>
      <c r="D7767" s="8" t="s">
        <v>2</v>
      </c>
      <c r="E7767" s="8" t="s">
        <v>61</v>
      </c>
      <c r="F7767" s="9">
        <f t="shared" si="702"/>
        <v>45762</v>
      </c>
      <c r="G7767" s="10">
        <f t="shared" si="699"/>
        <v>4</v>
      </c>
      <c r="H7767" s="10">
        <f t="shared" si="700"/>
        <v>2025</v>
      </c>
      <c r="I7767" s="8" t="s">
        <v>4</v>
      </c>
      <c r="J7767" s="7" t="s">
        <v>8279</v>
      </c>
      <c r="K7767" s="8" t="s">
        <v>16</v>
      </c>
      <c r="L7767" s="8" t="s">
        <v>7</v>
      </c>
      <c r="M7767" s="8" t="s">
        <v>8</v>
      </c>
      <c r="N7767" s="10" t="str">
        <f t="shared" si="701"/>
        <v>GAL</v>
      </c>
      <c r="O7767" s="11">
        <v>100</v>
      </c>
    </row>
    <row r="7768" spans="2:15" x14ac:dyDescent="0.25">
      <c r="B7768" s="6" t="s">
        <v>0</v>
      </c>
      <c r="C7768" s="7" t="s">
        <v>1</v>
      </c>
      <c r="D7768" s="8" t="s">
        <v>2</v>
      </c>
      <c r="E7768" s="8" t="s">
        <v>6413</v>
      </c>
      <c r="F7768" s="9">
        <f>DATE(2025,4,21)</f>
        <v>45768</v>
      </c>
      <c r="G7768" s="10">
        <f t="shared" si="699"/>
        <v>4</v>
      </c>
      <c r="H7768" s="10">
        <f t="shared" si="700"/>
        <v>2025</v>
      </c>
      <c r="I7768" s="8" t="s">
        <v>4</v>
      </c>
      <c r="J7768" s="7" t="s">
        <v>8280</v>
      </c>
      <c r="K7768" s="8" t="s">
        <v>566</v>
      </c>
      <c r="L7768" s="8" t="s">
        <v>20</v>
      </c>
      <c r="M7768" s="8" t="s">
        <v>21</v>
      </c>
      <c r="N7768" s="10" t="str">
        <f t="shared" si="701"/>
        <v>GAL</v>
      </c>
      <c r="O7768" s="11">
        <v>55</v>
      </c>
    </row>
    <row r="7769" spans="2:15" x14ac:dyDescent="0.25">
      <c r="B7769" s="6" t="s">
        <v>0</v>
      </c>
      <c r="C7769" s="7" t="s">
        <v>1</v>
      </c>
      <c r="D7769" s="8" t="s">
        <v>2</v>
      </c>
      <c r="E7769" s="8" t="s">
        <v>6413</v>
      </c>
      <c r="F7769" s="9">
        <f>DATE(2025,4,21)</f>
        <v>45768</v>
      </c>
      <c r="G7769" s="10">
        <f t="shared" si="699"/>
        <v>4</v>
      </c>
      <c r="H7769" s="10">
        <f t="shared" si="700"/>
        <v>2025</v>
      </c>
      <c r="I7769" s="8" t="s">
        <v>4</v>
      </c>
      <c r="J7769" s="7" t="s">
        <v>8280</v>
      </c>
      <c r="K7769" s="8" t="s">
        <v>6</v>
      </c>
      <c r="L7769" s="8" t="s">
        <v>7</v>
      </c>
      <c r="M7769" s="8" t="s">
        <v>8</v>
      </c>
      <c r="N7769" s="10" t="str">
        <f t="shared" si="701"/>
        <v>GAL</v>
      </c>
      <c r="O7769" s="11">
        <v>55</v>
      </c>
    </row>
    <row r="7770" spans="2:15" x14ac:dyDescent="0.25">
      <c r="B7770" s="6" t="s">
        <v>0</v>
      </c>
      <c r="C7770" s="7" t="s">
        <v>1</v>
      </c>
      <c r="D7770" s="8" t="s">
        <v>2</v>
      </c>
      <c r="E7770" s="8" t="s">
        <v>1787</v>
      </c>
      <c r="F7770" s="9">
        <f t="shared" ref="F7770:F7775" si="703">DATE(2025,4,22)</f>
        <v>45769</v>
      </c>
      <c r="G7770" s="10">
        <f t="shared" si="699"/>
        <v>4</v>
      </c>
      <c r="H7770" s="10">
        <f t="shared" si="700"/>
        <v>2025</v>
      </c>
      <c r="I7770" s="8" t="s">
        <v>4</v>
      </c>
      <c r="J7770" s="7" t="s">
        <v>8281</v>
      </c>
      <c r="K7770" s="8" t="s">
        <v>566</v>
      </c>
      <c r="L7770" s="8" t="s">
        <v>20</v>
      </c>
      <c r="M7770" s="8" t="s">
        <v>21</v>
      </c>
      <c r="N7770" s="10" t="str">
        <f t="shared" si="701"/>
        <v>GAL</v>
      </c>
      <c r="O7770" s="11">
        <v>55</v>
      </c>
    </row>
    <row r="7771" spans="2:15" x14ac:dyDescent="0.25">
      <c r="B7771" s="6" t="s">
        <v>0</v>
      </c>
      <c r="C7771" s="7" t="s">
        <v>1</v>
      </c>
      <c r="D7771" s="8" t="s">
        <v>2</v>
      </c>
      <c r="E7771" s="8" t="s">
        <v>1787</v>
      </c>
      <c r="F7771" s="9">
        <f t="shared" si="703"/>
        <v>45769</v>
      </c>
      <c r="G7771" s="10">
        <f t="shared" si="699"/>
        <v>4</v>
      </c>
      <c r="H7771" s="10">
        <f t="shared" si="700"/>
        <v>2025</v>
      </c>
      <c r="I7771" s="8" t="s">
        <v>4</v>
      </c>
      <c r="J7771" s="7" t="s">
        <v>8281</v>
      </c>
      <c r="K7771" s="8" t="s">
        <v>6</v>
      </c>
      <c r="L7771" s="8" t="s">
        <v>7</v>
      </c>
      <c r="M7771" s="8" t="s">
        <v>8</v>
      </c>
      <c r="N7771" s="10" t="str">
        <f t="shared" si="701"/>
        <v>GAL</v>
      </c>
      <c r="O7771" s="11">
        <v>55</v>
      </c>
    </row>
    <row r="7772" spans="2:15" x14ac:dyDescent="0.25">
      <c r="B7772" s="6" t="s">
        <v>0</v>
      </c>
      <c r="C7772" s="7" t="s">
        <v>1</v>
      </c>
      <c r="D7772" s="8" t="s">
        <v>2</v>
      </c>
      <c r="E7772" s="8" t="s">
        <v>1787</v>
      </c>
      <c r="F7772" s="9">
        <f t="shared" si="703"/>
        <v>45769</v>
      </c>
      <c r="G7772" s="10">
        <f t="shared" si="699"/>
        <v>4</v>
      </c>
      <c r="H7772" s="10">
        <f t="shared" si="700"/>
        <v>2025</v>
      </c>
      <c r="I7772" s="8" t="s">
        <v>4</v>
      </c>
      <c r="J7772" s="7" t="s">
        <v>8281</v>
      </c>
      <c r="K7772" s="8" t="s">
        <v>1786</v>
      </c>
      <c r="L7772" s="8" t="s">
        <v>84</v>
      </c>
      <c r="M7772" s="8" t="s">
        <v>85</v>
      </c>
      <c r="N7772" s="10" t="str">
        <f t="shared" si="701"/>
        <v>GAL</v>
      </c>
      <c r="O7772" s="11">
        <v>55</v>
      </c>
    </row>
    <row r="7773" spans="2:15" x14ac:dyDescent="0.25">
      <c r="B7773" s="6" t="s">
        <v>0</v>
      </c>
      <c r="C7773" s="7" t="s">
        <v>1</v>
      </c>
      <c r="D7773" s="8" t="s">
        <v>2</v>
      </c>
      <c r="E7773" s="8" t="s">
        <v>4287</v>
      </c>
      <c r="F7773" s="9">
        <f t="shared" si="703"/>
        <v>45769</v>
      </c>
      <c r="G7773" s="10">
        <f t="shared" si="699"/>
        <v>4</v>
      </c>
      <c r="H7773" s="10">
        <f t="shared" si="700"/>
        <v>2025</v>
      </c>
      <c r="I7773" s="8" t="s">
        <v>4</v>
      </c>
      <c r="J7773" s="7" t="s">
        <v>8282</v>
      </c>
      <c r="K7773" s="8" t="s">
        <v>36</v>
      </c>
      <c r="L7773" s="8" t="s">
        <v>37</v>
      </c>
      <c r="M7773" s="8" t="s">
        <v>38</v>
      </c>
      <c r="N7773" s="10" t="str">
        <f t="shared" si="701"/>
        <v>GAL</v>
      </c>
      <c r="O7773" s="11">
        <v>120</v>
      </c>
    </row>
    <row r="7774" spans="2:15" x14ac:dyDescent="0.25">
      <c r="B7774" s="6" t="s">
        <v>0</v>
      </c>
      <c r="C7774" s="7" t="s">
        <v>1</v>
      </c>
      <c r="D7774" s="8" t="s">
        <v>2</v>
      </c>
      <c r="E7774" s="8" t="s">
        <v>4287</v>
      </c>
      <c r="F7774" s="9">
        <f t="shared" si="703"/>
        <v>45769</v>
      </c>
      <c r="G7774" s="10">
        <f t="shared" si="699"/>
        <v>4</v>
      </c>
      <c r="H7774" s="10">
        <f t="shared" si="700"/>
        <v>2025</v>
      </c>
      <c r="I7774" s="8" t="s">
        <v>4</v>
      </c>
      <c r="J7774" s="7" t="s">
        <v>8282</v>
      </c>
      <c r="K7774" s="8" t="s">
        <v>16</v>
      </c>
      <c r="L7774" s="8" t="s">
        <v>7</v>
      </c>
      <c r="M7774" s="8" t="s">
        <v>8</v>
      </c>
      <c r="N7774" s="10" t="str">
        <f t="shared" si="701"/>
        <v>GAL</v>
      </c>
      <c r="O7774" s="11">
        <v>240</v>
      </c>
    </row>
    <row r="7775" spans="2:15" x14ac:dyDescent="0.25">
      <c r="B7775" s="6" t="s">
        <v>0</v>
      </c>
      <c r="C7775" s="7" t="s">
        <v>1</v>
      </c>
      <c r="D7775" s="8" t="s">
        <v>2</v>
      </c>
      <c r="E7775" s="8" t="s">
        <v>4287</v>
      </c>
      <c r="F7775" s="9">
        <f t="shared" si="703"/>
        <v>45769</v>
      </c>
      <c r="G7775" s="10">
        <f t="shared" si="699"/>
        <v>4</v>
      </c>
      <c r="H7775" s="10">
        <f t="shared" si="700"/>
        <v>2025</v>
      </c>
      <c r="I7775" s="8" t="s">
        <v>4</v>
      </c>
      <c r="J7775" s="7" t="s">
        <v>8282</v>
      </c>
      <c r="K7775" s="8" t="s">
        <v>50</v>
      </c>
      <c r="L7775" s="8" t="s">
        <v>51</v>
      </c>
      <c r="M7775" s="8" t="s">
        <v>52</v>
      </c>
      <c r="N7775" s="10" t="str">
        <f t="shared" si="701"/>
        <v>GAL</v>
      </c>
      <c r="O7775" s="11">
        <v>120</v>
      </c>
    </row>
    <row r="7776" spans="2:15" x14ac:dyDescent="0.25">
      <c r="B7776" s="6" t="s">
        <v>88</v>
      </c>
      <c r="C7776" s="7" t="s">
        <v>89</v>
      </c>
      <c r="D7776" s="8" t="s">
        <v>1444</v>
      </c>
      <c r="E7776" s="8" t="s">
        <v>3965</v>
      </c>
      <c r="F7776" s="9">
        <f>DATE(2025,4,1)</f>
        <v>45748</v>
      </c>
      <c r="G7776" s="10">
        <f t="shared" si="699"/>
        <v>4</v>
      </c>
      <c r="H7776" s="10">
        <f t="shared" si="700"/>
        <v>2025</v>
      </c>
      <c r="I7776" s="8" t="s">
        <v>4</v>
      </c>
      <c r="J7776" s="7" t="s">
        <v>8283</v>
      </c>
      <c r="K7776" s="8" t="s">
        <v>3136</v>
      </c>
      <c r="L7776" s="8" t="s">
        <v>2581</v>
      </c>
      <c r="M7776" s="8" t="s">
        <v>1448</v>
      </c>
      <c r="N7776" s="10" t="str">
        <f t="shared" si="701"/>
        <v>GAL</v>
      </c>
      <c r="O7776" s="11">
        <v>150</v>
      </c>
    </row>
    <row r="7777" spans="2:15" x14ac:dyDescent="0.25">
      <c r="B7777" s="6" t="s">
        <v>88</v>
      </c>
      <c r="C7777" s="7" t="s">
        <v>89</v>
      </c>
      <c r="D7777" s="8" t="s">
        <v>1444</v>
      </c>
      <c r="E7777" s="8" t="s">
        <v>102</v>
      </c>
      <c r="F7777" s="9">
        <f>DATE(2025,4,3)</f>
        <v>45750</v>
      </c>
      <c r="G7777" s="10">
        <f t="shared" si="699"/>
        <v>4</v>
      </c>
      <c r="H7777" s="10">
        <f t="shared" si="700"/>
        <v>2025</v>
      </c>
      <c r="I7777" s="8" t="s">
        <v>4</v>
      </c>
      <c r="J7777" s="7" t="s">
        <v>8284</v>
      </c>
      <c r="K7777" s="8" t="s">
        <v>1446</v>
      </c>
      <c r="L7777" s="8" t="s">
        <v>2581</v>
      </c>
      <c r="M7777" s="8" t="s">
        <v>1448</v>
      </c>
      <c r="N7777" s="10" t="str">
        <f t="shared" si="701"/>
        <v>GAL</v>
      </c>
      <c r="O7777" s="11">
        <v>360</v>
      </c>
    </row>
    <row r="7778" spans="2:15" x14ac:dyDescent="0.25">
      <c r="B7778" s="6" t="s">
        <v>88</v>
      </c>
      <c r="C7778" s="7" t="s">
        <v>89</v>
      </c>
      <c r="D7778" s="8" t="s">
        <v>3265</v>
      </c>
      <c r="E7778" s="8" t="s">
        <v>3266</v>
      </c>
      <c r="F7778" s="9">
        <f>DATE(2025,4,3)</f>
        <v>45750</v>
      </c>
      <c r="G7778" s="10">
        <f t="shared" si="699"/>
        <v>4</v>
      </c>
      <c r="H7778" s="10">
        <f t="shared" si="700"/>
        <v>2025</v>
      </c>
      <c r="I7778" s="8" t="s">
        <v>4</v>
      </c>
      <c r="J7778" s="7" t="s">
        <v>8285</v>
      </c>
      <c r="K7778" s="8" t="s">
        <v>4553</v>
      </c>
      <c r="L7778" s="8" t="s">
        <v>4554</v>
      </c>
      <c r="M7778" s="8" t="s">
        <v>4555</v>
      </c>
      <c r="N7778" s="10" t="str">
        <f t="shared" si="701"/>
        <v>GAL</v>
      </c>
      <c r="O7778" s="11">
        <v>75</v>
      </c>
    </row>
    <row r="7779" spans="2:15" x14ac:dyDescent="0.25">
      <c r="B7779" s="6" t="s">
        <v>88</v>
      </c>
      <c r="C7779" s="7" t="s">
        <v>89</v>
      </c>
      <c r="D7779" s="8" t="s">
        <v>3265</v>
      </c>
      <c r="E7779" s="8" t="s">
        <v>3266</v>
      </c>
      <c r="F7779" s="9">
        <f>DATE(2025,4,3)</f>
        <v>45750</v>
      </c>
      <c r="G7779" s="10">
        <f t="shared" si="699"/>
        <v>4</v>
      </c>
      <c r="H7779" s="10">
        <f t="shared" si="700"/>
        <v>2025</v>
      </c>
      <c r="I7779" s="8" t="s">
        <v>4</v>
      </c>
      <c r="J7779" s="7" t="s">
        <v>8285</v>
      </c>
      <c r="K7779" s="8" t="s">
        <v>998</v>
      </c>
      <c r="L7779" s="8" t="s">
        <v>5777</v>
      </c>
      <c r="M7779" s="8" t="s">
        <v>1000</v>
      </c>
      <c r="N7779" s="10" t="str">
        <f t="shared" si="701"/>
        <v>GAL</v>
      </c>
      <c r="O7779" s="11">
        <v>75</v>
      </c>
    </row>
    <row r="7780" spans="2:15" x14ac:dyDescent="0.25">
      <c r="B7780" s="6" t="s">
        <v>88</v>
      </c>
      <c r="C7780" s="7" t="s">
        <v>89</v>
      </c>
      <c r="D7780" s="8" t="s">
        <v>7024</v>
      </c>
      <c r="E7780" s="8" t="s">
        <v>7346</v>
      </c>
      <c r="F7780" s="9">
        <f>DATE(2025,4,3)</f>
        <v>45750</v>
      </c>
      <c r="G7780" s="10">
        <f t="shared" si="699"/>
        <v>4</v>
      </c>
      <c r="H7780" s="10">
        <f t="shared" si="700"/>
        <v>2025</v>
      </c>
      <c r="I7780" s="8" t="s">
        <v>4</v>
      </c>
      <c r="J7780" s="7" t="s">
        <v>8286</v>
      </c>
      <c r="K7780" s="8" t="s">
        <v>7027</v>
      </c>
      <c r="L7780" s="8" t="s">
        <v>7028</v>
      </c>
      <c r="M7780" s="8" t="s">
        <v>106</v>
      </c>
      <c r="N7780" s="10" t="str">
        <f t="shared" si="701"/>
        <v>LBS</v>
      </c>
      <c r="O7780" s="11">
        <v>45000</v>
      </c>
    </row>
    <row r="7781" spans="2:15" x14ac:dyDescent="0.25">
      <c r="B7781" s="6" t="s">
        <v>88</v>
      </c>
      <c r="C7781" s="7" t="s">
        <v>89</v>
      </c>
      <c r="D7781" s="8" t="s">
        <v>134</v>
      </c>
      <c r="E7781" s="8" t="s">
        <v>135</v>
      </c>
      <c r="F7781" s="9">
        <f>DATE(2025,4,3)</f>
        <v>45750</v>
      </c>
      <c r="G7781" s="10">
        <f t="shared" si="699"/>
        <v>4</v>
      </c>
      <c r="H7781" s="10">
        <f t="shared" si="700"/>
        <v>2025</v>
      </c>
      <c r="I7781" s="8" t="s">
        <v>4</v>
      </c>
      <c r="J7781" s="7" t="s">
        <v>8287</v>
      </c>
      <c r="K7781" s="8" t="s">
        <v>137</v>
      </c>
      <c r="L7781" s="8" t="s">
        <v>138</v>
      </c>
      <c r="M7781" s="8" t="s">
        <v>139</v>
      </c>
      <c r="N7781" s="10" t="str">
        <f t="shared" si="701"/>
        <v>GAL</v>
      </c>
      <c r="O7781" s="11">
        <v>60</v>
      </c>
    </row>
    <row r="7782" spans="2:15" x14ac:dyDescent="0.25">
      <c r="B7782" s="6" t="s">
        <v>88</v>
      </c>
      <c r="C7782" s="7" t="s">
        <v>89</v>
      </c>
      <c r="D7782" s="8" t="s">
        <v>6019</v>
      </c>
      <c r="E7782" s="8" t="s">
        <v>7633</v>
      </c>
      <c r="F7782" s="9">
        <f>DATE(2025,4,4)</f>
        <v>45751</v>
      </c>
      <c r="G7782" s="10">
        <f t="shared" si="699"/>
        <v>4</v>
      </c>
      <c r="H7782" s="10">
        <f t="shared" si="700"/>
        <v>2025</v>
      </c>
      <c r="I7782" s="8" t="s">
        <v>4</v>
      </c>
      <c r="J7782" s="7" t="s">
        <v>8288</v>
      </c>
      <c r="K7782" s="8" t="s">
        <v>7630</v>
      </c>
      <c r="L7782" s="8" t="s">
        <v>7631</v>
      </c>
      <c r="M7782" s="8" t="s">
        <v>4204</v>
      </c>
      <c r="N7782" s="10" t="str">
        <f t="shared" si="701"/>
        <v>GAL</v>
      </c>
      <c r="O7782" s="11">
        <v>7064</v>
      </c>
    </row>
    <row r="7783" spans="2:15" x14ac:dyDescent="0.25">
      <c r="B7783" s="6" t="s">
        <v>88</v>
      </c>
      <c r="C7783" s="7" t="s">
        <v>89</v>
      </c>
      <c r="D7783" s="8" t="s">
        <v>6019</v>
      </c>
      <c r="E7783" s="8" t="s">
        <v>7633</v>
      </c>
      <c r="F7783" s="9">
        <f>DATE(2025,4,11)</f>
        <v>45758</v>
      </c>
      <c r="G7783" s="10">
        <f t="shared" si="699"/>
        <v>4</v>
      </c>
      <c r="H7783" s="10">
        <f t="shared" si="700"/>
        <v>2025</v>
      </c>
      <c r="I7783" s="8" t="s">
        <v>4</v>
      </c>
      <c r="J7783" s="7" t="s">
        <v>8289</v>
      </c>
      <c r="K7783" s="8" t="s">
        <v>7630</v>
      </c>
      <c r="L7783" s="8" t="s">
        <v>7631</v>
      </c>
      <c r="M7783" s="8" t="s">
        <v>4204</v>
      </c>
      <c r="N7783" s="10" t="str">
        <f t="shared" si="701"/>
        <v>GAL</v>
      </c>
      <c r="O7783" s="11">
        <v>7053</v>
      </c>
    </row>
    <row r="7784" spans="2:15" x14ac:dyDescent="0.25">
      <c r="B7784" s="6" t="s">
        <v>88</v>
      </c>
      <c r="C7784" s="7" t="s">
        <v>89</v>
      </c>
      <c r="D7784" s="8" t="s">
        <v>151</v>
      </c>
      <c r="E7784" s="8" t="s">
        <v>8290</v>
      </c>
      <c r="F7784" s="9">
        <f>DATE(2025,4,11)</f>
        <v>45758</v>
      </c>
      <c r="G7784" s="10">
        <f t="shared" si="699"/>
        <v>4</v>
      </c>
      <c r="H7784" s="10">
        <f t="shared" si="700"/>
        <v>2025</v>
      </c>
      <c r="I7784" s="8" t="s">
        <v>4</v>
      </c>
      <c r="J7784" s="7" t="s">
        <v>8291</v>
      </c>
      <c r="K7784" s="8" t="s">
        <v>126</v>
      </c>
      <c r="L7784" s="8" t="s">
        <v>127</v>
      </c>
      <c r="M7784" s="8" t="s">
        <v>106</v>
      </c>
      <c r="N7784" s="10" t="str">
        <f t="shared" si="701"/>
        <v>LBS</v>
      </c>
      <c r="O7784" s="11">
        <v>45500</v>
      </c>
    </row>
    <row r="7785" spans="2:15" x14ac:dyDescent="0.25">
      <c r="B7785" s="6" t="s">
        <v>88</v>
      </c>
      <c r="C7785" s="7" t="s">
        <v>89</v>
      </c>
      <c r="D7785" s="8" t="s">
        <v>515</v>
      </c>
      <c r="E7785" s="8" t="s">
        <v>516</v>
      </c>
      <c r="F7785" s="9">
        <f>DATE(2025,4,14)</f>
        <v>45761</v>
      </c>
      <c r="G7785" s="10">
        <f t="shared" si="699"/>
        <v>4</v>
      </c>
      <c r="H7785" s="10">
        <f t="shared" si="700"/>
        <v>2025</v>
      </c>
      <c r="I7785" s="8" t="s">
        <v>4</v>
      </c>
      <c r="J7785" s="7" t="s">
        <v>8292</v>
      </c>
      <c r="K7785" s="8" t="s">
        <v>8293</v>
      </c>
      <c r="L7785" s="8" t="s">
        <v>8294</v>
      </c>
      <c r="M7785" s="8" t="s">
        <v>106</v>
      </c>
      <c r="N7785" s="10" t="str">
        <f t="shared" si="701"/>
        <v>LBS</v>
      </c>
      <c r="O7785" s="11">
        <v>4730</v>
      </c>
    </row>
    <row r="7786" spans="2:15" x14ac:dyDescent="0.25">
      <c r="B7786" s="6" t="s">
        <v>88</v>
      </c>
      <c r="C7786" s="7" t="s">
        <v>89</v>
      </c>
      <c r="D7786" s="8" t="s">
        <v>7024</v>
      </c>
      <c r="E7786" s="8" t="s">
        <v>7346</v>
      </c>
      <c r="F7786" s="9">
        <f>DATE(2025,4,15)</f>
        <v>45762</v>
      </c>
      <c r="G7786" s="10">
        <f t="shared" si="699"/>
        <v>4</v>
      </c>
      <c r="H7786" s="10">
        <f t="shared" si="700"/>
        <v>2025</v>
      </c>
      <c r="I7786" s="8" t="s">
        <v>4</v>
      </c>
      <c r="J7786" s="7" t="s">
        <v>8295</v>
      </c>
      <c r="K7786" s="8" t="s">
        <v>7027</v>
      </c>
      <c r="L7786" s="8" t="s">
        <v>7028</v>
      </c>
      <c r="M7786" s="8" t="s">
        <v>106</v>
      </c>
      <c r="N7786" s="10" t="str">
        <f t="shared" si="701"/>
        <v>LBS</v>
      </c>
      <c r="O7786" s="11">
        <v>44960</v>
      </c>
    </row>
    <row r="7787" spans="2:15" x14ac:dyDescent="0.25">
      <c r="B7787" s="6" t="s">
        <v>88</v>
      </c>
      <c r="C7787" s="7" t="s">
        <v>89</v>
      </c>
      <c r="D7787" s="8" t="s">
        <v>101</v>
      </c>
      <c r="E7787" s="8" t="s">
        <v>102</v>
      </c>
      <c r="F7787" s="9">
        <f>DATE(2025,4,16)</f>
        <v>45763</v>
      </c>
      <c r="G7787" s="10">
        <f t="shared" si="699"/>
        <v>4</v>
      </c>
      <c r="H7787" s="10">
        <f t="shared" si="700"/>
        <v>2025</v>
      </c>
      <c r="I7787" s="8" t="s">
        <v>4</v>
      </c>
      <c r="J7787" s="7" t="s">
        <v>8296</v>
      </c>
      <c r="K7787" s="8" t="s">
        <v>143</v>
      </c>
      <c r="L7787" s="8" t="s">
        <v>8297</v>
      </c>
      <c r="M7787" s="8" t="s">
        <v>145</v>
      </c>
      <c r="N7787" s="10" t="str">
        <f t="shared" si="701"/>
        <v>GAL</v>
      </c>
      <c r="O7787" s="11">
        <v>485</v>
      </c>
    </row>
    <row r="7788" spans="2:15" x14ac:dyDescent="0.25">
      <c r="B7788" s="6" t="s">
        <v>88</v>
      </c>
      <c r="C7788" s="7" t="s">
        <v>89</v>
      </c>
      <c r="D7788" s="8" t="s">
        <v>6019</v>
      </c>
      <c r="E7788" s="8" t="s">
        <v>6020</v>
      </c>
      <c r="F7788" s="9">
        <f>DATE(2025,4,17)</f>
        <v>45764</v>
      </c>
      <c r="G7788" s="10">
        <f t="shared" si="699"/>
        <v>4</v>
      </c>
      <c r="H7788" s="10">
        <f t="shared" si="700"/>
        <v>2025</v>
      </c>
      <c r="I7788" s="8" t="s">
        <v>4</v>
      </c>
      <c r="J7788" s="7" t="s">
        <v>8298</v>
      </c>
      <c r="K7788" s="8" t="s">
        <v>7630</v>
      </c>
      <c r="L7788" s="8" t="s">
        <v>7631</v>
      </c>
      <c r="M7788" s="8" t="s">
        <v>4204</v>
      </c>
      <c r="N7788" s="10" t="str">
        <f t="shared" si="701"/>
        <v>GAL</v>
      </c>
      <c r="O7788" s="11">
        <v>6997</v>
      </c>
    </row>
    <row r="7789" spans="2:15" x14ac:dyDescent="0.25">
      <c r="B7789" s="6" t="s">
        <v>88</v>
      </c>
      <c r="C7789" s="7" t="s">
        <v>89</v>
      </c>
      <c r="D7789" s="8" t="s">
        <v>1111</v>
      </c>
      <c r="E7789" s="8" t="s">
        <v>1112</v>
      </c>
      <c r="F7789" s="9">
        <f>DATE(2025,4,17)</f>
        <v>45764</v>
      </c>
      <c r="G7789" s="10">
        <f t="shared" si="699"/>
        <v>4</v>
      </c>
      <c r="H7789" s="10">
        <f t="shared" si="700"/>
        <v>2025</v>
      </c>
      <c r="I7789" s="8" t="s">
        <v>4</v>
      </c>
      <c r="J7789" s="7" t="s">
        <v>8299</v>
      </c>
      <c r="K7789" s="8" t="s">
        <v>2629</v>
      </c>
      <c r="L7789" s="8" t="s">
        <v>2630</v>
      </c>
      <c r="M7789" s="8" t="s">
        <v>2631</v>
      </c>
      <c r="N7789" s="10" t="str">
        <f t="shared" si="701"/>
        <v>GAL</v>
      </c>
      <c r="O7789" s="11">
        <v>70</v>
      </c>
    </row>
    <row r="7790" spans="2:15" x14ac:dyDescent="0.25">
      <c r="B7790" s="6" t="s">
        <v>88</v>
      </c>
      <c r="C7790" s="7" t="s">
        <v>89</v>
      </c>
      <c r="D7790" s="8" t="s">
        <v>167</v>
      </c>
      <c r="E7790" s="8" t="s">
        <v>168</v>
      </c>
      <c r="F7790" s="9">
        <f>DATE(2025,4,21)</f>
        <v>45768</v>
      </c>
      <c r="G7790" s="10">
        <f t="shared" si="699"/>
        <v>4</v>
      </c>
      <c r="H7790" s="10">
        <f t="shared" si="700"/>
        <v>2025</v>
      </c>
      <c r="I7790" s="8" t="s">
        <v>4</v>
      </c>
      <c r="J7790" s="7" t="s">
        <v>8300</v>
      </c>
      <c r="K7790" s="8" t="s">
        <v>2620</v>
      </c>
      <c r="L7790" s="8" t="s">
        <v>2617</v>
      </c>
      <c r="M7790" s="8" t="s">
        <v>2618</v>
      </c>
      <c r="N7790" s="10" t="str">
        <f t="shared" si="701"/>
        <v>GAL</v>
      </c>
      <c r="O7790" s="11">
        <v>1750</v>
      </c>
    </row>
    <row r="7791" spans="2:15" x14ac:dyDescent="0.25">
      <c r="B7791" s="6" t="s">
        <v>88</v>
      </c>
      <c r="C7791" s="7" t="s">
        <v>89</v>
      </c>
      <c r="D7791" s="8" t="s">
        <v>6019</v>
      </c>
      <c r="E7791" s="8" t="s">
        <v>7633</v>
      </c>
      <c r="F7791" s="9">
        <f>DATE(2025,4,21)</f>
        <v>45768</v>
      </c>
      <c r="G7791" s="10">
        <f t="shared" si="699"/>
        <v>4</v>
      </c>
      <c r="H7791" s="10">
        <f t="shared" si="700"/>
        <v>2025</v>
      </c>
      <c r="I7791" s="8" t="s">
        <v>4</v>
      </c>
      <c r="J7791" s="7" t="s">
        <v>8301</v>
      </c>
      <c r="K7791" s="8" t="s">
        <v>7630</v>
      </c>
      <c r="L7791" s="8" t="s">
        <v>7631</v>
      </c>
      <c r="M7791" s="8" t="s">
        <v>4204</v>
      </c>
      <c r="N7791" s="10" t="str">
        <f t="shared" si="701"/>
        <v>GAL</v>
      </c>
      <c r="O7791" s="11">
        <v>6949</v>
      </c>
    </row>
    <row r="7792" spans="2:15" x14ac:dyDescent="0.25">
      <c r="B7792" s="6" t="s">
        <v>88</v>
      </c>
      <c r="C7792" s="7" t="s">
        <v>89</v>
      </c>
      <c r="D7792" s="8" t="s">
        <v>151</v>
      </c>
      <c r="E7792" s="8" t="s">
        <v>8290</v>
      </c>
      <c r="F7792" s="9">
        <f>DATE(2025,4,22)</f>
        <v>45769</v>
      </c>
      <c r="G7792" s="10">
        <f t="shared" si="699"/>
        <v>4</v>
      </c>
      <c r="H7792" s="10">
        <f t="shared" si="700"/>
        <v>2025</v>
      </c>
      <c r="I7792" s="8" t="s">
        <v>4</v>
      </c>
      <c r="J7792" s="7" t="s">
        <v>8302</v>
      </c>
      <c r="K7792" s="8" t="s">
        <v>126</v>
      </c>
      <c r="L7792" s="8" t="s">
        <v>127</v>
      </c>
      <c r="M7792" s="8" t="s">
        <v>106</v>
      </c>
      <c r="N7792" s="10" t="str">
        <f t="shared" si="701"/>
        <v>LBS</v>
      </c>
      <c r="O7792" s="11">
        <v>46000</v>
      </c>
    </row>
    <row r="7793" spans="2:15" x14ac:dyDescent="0.25">
      <c r="B7793" s="6" t="s">
        <v>88</v>
      </c>
      <c r="C7793" s="7" t="s">
        <v>89</v>
      </c>
      <c r="D7793" s="8" t="s">
        <v>646</v>
      </c>
      <c r="E7793" s="8" t="s">
        <v>647</v>
      </c>
      <c r="F7793" s="9">
        <f>DATE(2025,4,22)</f>
        <v>45769</v>
      </c>
      <c r="G7793" s="10">
        <f t="shared" si="699"/>
        <v>4</v>
      </c>
      <c r="H7793" s="10">
        <f t="shared" si="700"/>
        <v>2025</v>
      </c>
      <c r="I7793" s="8" t="s">
        <v>4</v>
      </c>
      <c r="J7793" s="7" t="s">
        <v>8303</v>
      </c>
      <c r="K7793" s="8" t="s">
        <v>143</v>
      </c>
      <c r="L7793" s="8" t="s">
        <v>6737</v>
      </c>
      <c r="M7793" s="8" t="s">
        <v>145</v>
      </c>
      <c r="N7793" s="10" t="str">
        <f t="shared" si="701"/>
        <v>GAL</v>
      </c>
      <c r="O7793" s="11">
        <v>3640</v>
      </c>
    </row>
    <row r="7794" spans="2:15" x14ac:dyDescent="0.25">
      <c r="B7794" s="6" t="s">
        <v>88</v>
      </c>
      <c r="C7794" s="7" t="s">
        <v>89</v>
      </c>
      <c r="D7794" s="8" t="s">
        <v>167</v>
      </c>
      <c r="E7794" s="8" t="s">
        <v>168</v>
      </c>
      <c r="F7794" s="9">
        <f>DATE(2025,4,24)</f>
        <v>45771</v>
      </c>
      <c r="G7794" s="10">
        <f t="shared" si="699"/>
        <v>4</v>
      </c>
      <c r="H7794" s="10">
        <f t="shared" si="700"/>
        <v>2025</v>
      </c>
      <c r="I7794" s="8" t="s">
        <v>4</v>
      </c>
      <c r="J7794" s="7" t="s">
        <v>8304</v>
      </c>
      <c r="K7794" s="8" t="s">
        <v>2620</v>
      </c>
      <c r="L7794" s="8" t="s">
        <v>2617</v>
      </c>
      <c r="M7794" s="8" t="s">
        <v>2618</v>
      </c>
      <c r="N7794" s="10" t="str">
        <f t="shared" si="701"/>
        <v>GAL</v>
      </c>
      <c r="O7794" s="11">
        <v>250</v>
      </c>
    </row>
    <row r="7795" spans="2:15" x14ac:dyDescent="0.25">
      <c r="B7795" s="6" t="s">
        <v>88</v>
      </c>
      <c r="C7795" s="7" t="s">
        <v>89</v>
      </c>
      <c r="D7795" s="8" t="s">
        <v>167</v>
      </c>
      <c r="E7795" s="8" t="s">
        <v>168</v>
      </c>
      <c r="F7795" s="9">
        <f>DATE(2025,4,24)</f>
        <v>45771</v>
      </c>
      <c r="G7795" s="10">
        <f t="shared" si="699"/>
        <v>4</v>
      </c>
      <c r="H7795" s="10">
        <f t="shared" si="700"/>
        <v>2025</v>
      </c>
      <c r="I7795" s="8" t="s">
        <v>4</v>
      </c>
      <c r="J7795" s="7" t="s">
        <v>8304</v>
      </c>
      <c r="K7795" s="8" t="s">
        <v>2616</v>
      </c>
      <c r="L7795" s="8" t="s">
        <v>2617</v>
      </c>
      <c r="M7795" s="8" t="s">
        <v>2618</v>
      </c>
      <c r="N7795" s="10" t="str">
        <f t="shared" si="701"/>
        <v>GAL</v>
      </c>
      <c r="O7795" s="11">
        <v>120</v>
      </c>
    </row>
    <row r="7796" spans="2:15" x14ac:dyDescent="0.25">
      <c r="B7796" s="6" t="s">
        <v>88</v>
      </c>
      <c r="C7796" s="7" t="s">
        <v>89</v>
      </c>
      <c r="D7796" s="8" t="s">
        <v>7024</v>
      </c>
      <c r="E7796" s="8" t="s">
        <v>8305</v>
      </c>
      <c r="F7796" s="9">
        <f>DATE(2025,4,25)</f>
        <v>45772</v>
      </c>
      <c r="G7796" s="10">
        <f t="shared" si="699"/>
        <v>4</v>
      </c>
      <c r="H7796" s="10">
        <f t="shared" si="700"/>
        <v>2025</v>
      </c>
      <c r="I7796" s="8" t="s">
        <v>4</v>
      </c>
      <c r="J7796" s="7" t="s">
        <v>8306</v>
      </c>
      <c r="K7796" s="8" t="s">
        <v>7027</v>
      </c>
      <c r="L7796" s="8" t="s">
        <v>7028</v>
      </c>
      <c r="M7796" s="8" t="s">
        <v>106</v>
      </c>
      <c r="N7796" s="10" t="str">
        <f t="shared" si="701"/>
        <v>LBS</v>
      </c>
      <c r="O7796" s="11">
        <v>44620</v>
      </c>
    </row>
    <row r="7797" spans="2:15" x14ac:dyDescent="0.25">
      <c r="B7797" s="6" t="s">
        <v>88</v>
      </c>
      <c r="C7797" s="7" t="s">
        <v>89</v>
      </c>
      <c r="D7797" s="8" t="s">
        <v>6120</v>
      </c>
      <c r="E7797" s="8" t="s">
        <v>141</v>
      </c>
      <c r="F7797" s="9">
        <f>DATE(2025,4,25)</f>
        <v>45772</v>
      </c>
      <c r="G7797" s="10">
        <f t="shared" si="699"/>
        <v>4</v>
      </c>
      <c r="H7797" s="10">
        <f t="shared" si="700"/>
        <v>2025</v>
      </c>
      <c r="I7797" s="8" t="s">
        <v>4</v>
      </c>
      <c r="J7797" s="7" t="s">
        <v>8307</v>
      </c>
      <c r="K7797" s="8" t="s">
        <v>6512</v>
      </c>
      <c r="L7797" s="8" t="s">
        <v>8021</v>
      </c>
      <c r="M7797" s="8" t="s">
        <v>1024</v>
      </c>
      <c r="N7797" s="10" t="str">
        <f t="shared" si="701"/>
        <v>GAL</v>
      </c>
      <c r="O7797" s="11">
        <v>360</v>
      </c>
    </row>
    <row r="7798" spans="2:15" x14ac:dyDescent="0.25">
      <c r="B7798" s="6" t="s">
        <v>88</v>
      </c>
      <c r="C7798" s="7" t="s">
        <v>89</v>
      </c>
      <c r="D7798" s="8" t="s">
        <v>151</v>
      </c>
      <c r="E7798" s="8" t="s">
        <v>8290</v>
      </c>
      <c r="F7798" s="9">
        <f>DATE(2025,4,29)</f>
        <v>45776</v>
      </c>
      <c r="G7798" s="10">
        <f t="shared" si="699"/>
        <v>4</v>
      </c>
      <c r="H7798" s="10">
        <f t="shared" si="700"/>
        <v>2025</v>
      </c>
      <c r="I7798" s="8" t="s">
        <v>4</v>
      </c>
      <c r="J7798" s="7" t="s">
        <v>8308</v>
      </c>
      <c r="K7798" s="8" t="s">
        <v>126</v>
      </c>
      <c r="L7798" s="8" t="s">
        <v>127</v>
      </c>
      <c r="M7798" s="8" t="s">
        <v>106</v>
      </c>
      <c r="N7798" s="10" t="str">
        <f t="shared" si="701"/>
        <v>LBS</v>
      </c>
      <c r="O7798" s="11">
        <v>45280</v>
      </c>
    </row>
    <row r="7799" spans="2:15" x14ac:dyDescent="0.25">
      <c r="B7799" s="6" t="s">
        <v>88</v>
      </c>
      <c r="C7799" s="7" t="s">
        <v>89</v>
      </c>
      <c r="D7799" s="8" t="s">
        <v>6019</v>
      </c>
      <c r="E7799" s="8" t="s">
        <v>7633</v>
      </c>
      <c r="F7799" s="9">
        <f>DATE(2025,4,30)</f>
        <v>45777</v>
      </c>
      <c r="G7799" s="10">
        <f t="shared" si="699"/>
        <v>4</v>
      </c>
      <c r="H7799" s="10">
        <f t="shared" si="700"/>
        <v>2025</v>
      </c>
      <c r="I7799" s="8" t="s">
        <v>4</v>
      </c>
      <c r="J7799" s="7" t="s">
        <v>8309</v>
      </c>
      <c r="K7799" s="8" t="s">
        <v>7630</v>
      </c>
      <c r="L7799" s="8" t="s">
        <v>7631</v>
      </c>
      <c r="M7799" s="8" t="s">
        <v>4204</v>
      </c>
      <c r="N7799" s="10" t="str">
        <f t="shared" si="701"/>
        <v>GAL</v>
      </c>
      <c r="O7799" s="11">
        <v>6938</v>
      </c>
    </row>
    <row r="7800" spans="2:15" x14ac:dyDescent="0.25">
      <c r="B7800" s="6" t="s">
        <v>154</v>
      </c>
      <c r="C7800" s="7" t="s">
        <v>155</v>
      </c>
      <c r="D7800" s="8" t="s">
        <v>628</v>
      </c>
      <c r="E7800" s="8" t="s">
        <v>629</v>
      </c>
      <c r="F7800" s="9">
        <f>DATE(2025,4,1)</f>
        <v>45748</v>
      </c>
      <c r="G7800" s="10">
        <f t="shared" si="699"/>
        <v>4</v>
      </c>
      <c r="H7800" s="10">
        <f t="shared" si="700"/>
        <v>2025</v>
      </c>
      <c r="I7800" s="8" t="s">
        <v>4</v>
      </c>
      <c r="J7800" s="7" t="s">
        <v>8310</v>
      </c>
      <c r="K7800" s="8" t="s">
        <v>631</v>
      </c>
      <c r="L7800" s="8" t="s">
        <v>632</v>
      </c>
      <c r="M7800" s="8" t="s">
        <v>633</v>
      </c>
      <c r="N7800" s="10" t="str">
        <f t="shared" si="701"/>
        <v>GAL</v>
      </c>
      <c r="O7800" s="11">
        <v>1000</v>
      </c>
    </row>
    <row r="7801" spans="2:15" x14ac:dyDescent="0.25">
      <c r="B7801" s="6" t="s">
        <v>154</v>
      </c>
      <c r="C7801" s="7" t="s">
        <v>155</v>
      </c>
      <c r="D7801" s="8" t="s">
        <v>161</v>
      </c>
      <c r="E7801" s="8" t="s">
        <v>162</v>
      </c>
      <c r="F7801" s="9">
        <f>DATE(2025,4,1)</f>
        <v>45748</v>
      </c>
      <c r="G7801" s="10">
        <f t="shared" si="699"/>
        <v>4</v>
      </c>
      <c r="H7801" s="10">
        <f t="shared" si="700"/>
        <v>2025</v>
      </c>
      <c r="I7801" s="8" t="s">
        <v>4</v>
      </c>
      <c r="J7801" s="7" t="s">
        <v>8311</v>
      </c>
      <c r="K7801" s="8" t="s">
        <v>164</v>
      </c>
      <c r="L7801" s="8" t="s">
        <v>165</v>
      </c>
      <c r="M7801" s="8" t="s">
        <v>166</v>
      </c>
      <c r="N7801" s="10" t="str">
        <f t="shared" si="701"/>
        <v>GAL</v>
      </c>
      <c r="O7801" s="11">
        <v>180</v>
      </c>
    </row>
    <row r="7802" spans="2:15" x14ac:dyDescent="0.25">
      <c r="B7802" s="6" t="s">
        <v>154</v>
      </c>
      <c r="C7802" s="7" t="s">
        <v>155</v>
      </c>
      <c r="D7802" s="8" t="s">
        <v>178</v>
      </c>
      <c r="E7802" s="8" t="s">
        <v>179</v>
      </c>
      <c r="F7802" s="9">
        <f>DATE(2025,4,1)</f>
        <v>45748</v>
      </c>
      <c r="G7802" s="10">
        <f t="shared" si="699"/>
        <v>4</v>
      </c>
      <c r="H7802" s="10">
        <f t="shared" si="700"/>
        <v>2025</v>
      </c>
      <c r="I7802" s="8" t="s">
        <v>4</v>
      </c>
      <c r="J7802" s="7" t="s">
        <v>8312</v>
      </c>
      <c r="K7802" s="8" t="s">
        <v>158</v>
      </c>
      <c r="L7802" s="8" t="s">
        <v>159</v>
      </c>
      <c r="M7802" s="8" t="s">
        <v>160</v>
      </c>
      <c r="N7802" s="10" t="str">
        <f t="shared" si="701"/>
        <v>GAL</v>
      </c>
      <c r="O7802" s="11">
        <v>180</v>
      </c>
    </row>
    <row r="7803" spans="2:15" x14ac:dyDescent="0.25">
      <c r="B7803" s="6" t="s">
        <v>154</v>
      </c>
      <c r="C7803" s="7" t="s">
        <v>155</v>
      </c>
      <c r="D7803" s="8" t="s">
        <v>178</v>
      </c>
      <c r="E7803" s="8" t="s">
        <v>179</v>
      </c>
      <c r="F7803" s="9">
        <f>DATE(2025,4,1)</f>
        <v>45748</v>
      </c>
      <c r="G7803" s="10">
        <f t="shared" si="699"/>
        <v>4</v>
      </c>
      <c r="H7803" s="10">
        <f t="shared" si="700"/>
        <v>2025</v>
      </c>
      <c r="I7803" s="8" t="s">
        <v>4</v>
      </c>
      <c r="J7803" s="7" t="s">
        <v>8312</v>
      </c>
      <c r="K7803" s="8" t="s">
        <v>189</v>
      </c>
      <c r="L7803" s="8" t="s">
        <v>190</v>
      </c>
      <c r="M7803" s="8" t="s">
        <v>191</v>
      </c>
      <c r="N7803" s="10" t="str">
        <f t="shared" si="701"/>
        <v>GAL</v>
      </c>
      <c r="O7803" s="11">
        <v>170</v>
      </c>
    </row>
    <row r="7804" spans="2:15" x14ac:dyDescent="0.25">
      <c r="B7804" s="6" t="s">
        <v>154</v>
      </c>
      <c r="C7804" s="7" t="s">
        <v>155</v>
      </c>
      <c r="D7804" s="8" t="s">
        <v>623</v>
      </c>
      <c r="E7804" s="8" t="s">
        <v>624</v>
      </c>
      <c r="F7804" s="9">
        <f>DATE(2025,4,3)</f>
        <v>45750</v>
      </c>
      <c r="G7804" s="10">
        <f t="shared" si="699"/>
        <v>4</v>
      </c>
      <c r="H7804" s="10">
        <f t="shared" si="700"/>
        <v>2025</v>
      </c>
      <c r="I7804" s="8" t="s">
        <v>4</v>
      </c>
      <c r="J7804" s="7" t="s">
        <v>8313</v>
      </c>
      <c r="K7804" s="8" t="s">
        <v>3565</v>
      </c>
      <c r="L7804" s="8" t="s">
        <v>3566</v>
      </c>
      <c r="M7804" s="8" t="s">
        <v>145</v>
      </c>
      <c r="N7804" s="10" t="str">
        <f t="shared" si="701"/>
        <v>GAL</v>
      </c>
      <c r="O7804" s="11">
        <v>180</v>
      </c>
    </row>
    <row r="7805" spans="2:15" x14ac:dyDescent="0.25">
      <c r="B7805" s="6" t="s">
        <v>154</v>
      </c>
      <c r="C7805" s="7" t="s">
        <v>155</v>
      </c>
      <c r="D7805" s="8" t="s">
        <v>167</v>
      </c>
      <c r="E7805" s="8" t="s">
        <v>168</v>
      </c>
      <c r="F7805" s="9">
        <f>DATE(2025,4,3)</f>
        <v>45750</v>
      </c>
      <c r="G7805" s="10">
        <f t="shared" si="699"/>
        <v>4</v>
      </c>
      <c r="H7805" s="10">
        <f t="shared" si="700"/>
        <v>2025</v>
      </c>
      <c r="I7805" s="8" t="s">
        <v>4</v>
      </c>
      <c r="J7805" s="7" t="s">
        <v>8314</v>
      </c>
      <c r="K7805" s="8" t="s">
        <v>158</v>
      </c>
      <c r="L7805" s="8" t="s">
        <v>159</v>
      </c>
      <c r="M7805" s="8" t="s">
        <v>160</v>
      </c>
      <c r="N7805" s="10" t="str">
        <f t="shared" si="701"/>
        <v>GAL</v>
      </c>
      <c r="O7805" s="11">
        <v>540</v>
      </c>
    </row>
    <row r="7806" spans="2:15" x14ac:dyDescent="0.25">
      <c r="B7806" s="6" t="s">
        <v>154</v>
      </c>
      <c r="C7806" s="7" t="s">
        <v>155</v>
      </c>
      <c r="D7806" s="8" t="s">
        <v>1103</v>
      </c>
      <c r="E7806" s="8" t="s">
        <v>1104</v>
      </c>
      <c r="F7806" s="9">
        <f>DATE(2025,4,3)</f>
        <v>45750</v>
      </c>
      <c r="G7806" s="10">
        <f t="shared" si="699"/>
        <v>4</v>
      </c>
      <c r="H7806" s="10">
        <f t="shared" si="700"/>
        <v>2025</v>
      </c>
      <c r="I7806" s="8" t="s">
        <v>4</v>
      </c>
      <c r="J7806" s="7" t="s">
        <v>8315</v>
      </c>
      <c r="K7806" s="8" t="s">
        <v>2147</v>
      </c>
      <c r="L7806" s="8" t="s">
        <v>2148</v>
      </c>
      <c r="M7806" s="8" t="s">
        <v>41</v>
      </c>
      <c r="N7806" s="10" t="str">
        <f t="shared" si="701"/>
        <v>GAL</v>
      </c>
      <c r="O7806" s="11">
        <v>120</v>
      </c>
    </row>
    <row r="7807" spans="2:15" x14ac:dyDescent="0.25">
      <c r="B7807" s="6" t="s">
        <v>154</v>
      </c>
      <c r="C7807" s="7" t="s">
        <v>155</v>
      </c>
      <c r="D7807" s="8" t="s">
        <v>1103</v>
      </c>
      <c r="E7807" s="8" t="s">
        <v>1104</v>
      </c>
      <c r="F7807" s="9">
        <f>DATE(2025,4,3)</f>
        <v>45750</v>
      </c>
      <c r="G7807" s="10">
        <f t="shared" si="699"/>
        <v>4</v>
      </c>
      <c r="H7807" s="10">
        <f t="shared" si="700"/>
        <v>2025</v>
      </c>
      <c r="I7807" s="8" t="s">
        <v>4</v>
      </c>
      <c r="J7807" s="7" t="s">
        <v>8315</v>
      </c>
      <c r="K7807" s="8" t="s">
        <v>816</v>
      </c>
      <c r="L7807" s="8" t="s">
        <v>545</v>
      </c>
      <c r="M7807" s="8" t="s">
        <v>67</v>
      </c>
      <c r="N7807" s="10" t="str">
        <f t="shared" si="701"/>
        <v>GAL</v>
      </c>
      <c r="O7807" s="11">
        <v>120</v>
      </c>
    </row>
    <row r="7808" spans="2:15" x14ac:dyDescent="0.25">
      <c r="B7808" s="6" t="s">
        <v>154</v>
      </c>
      <c r="C7808" s="7" t="s">
        <v>155</v>
      </c>
      <c r="D7808" s="8" t="s">
        <v>167</v>
      </c>
      <c r="E7808" s="8" t="s">
        <v>168</v>
      </c>
      <c r="F7808" s="9">
        <f>DATE(2025,4,4)</f>
        <v>45751</v>
      </c>
      <c r="G7808" s="10">
        <f t="shared" si="699"/>
        <v>4</v>
      </c>
      <c r="H7808" s="10">
        <f t="shared" si="700"/>
        <v>2025</v>
      </c>
      <c r="I7808" s="8" t="s">
        <v>4</v>
      </c>
      <c r="J7808" s="7" t="s">
        <v>8316</v>
      </c>
      <c r="K7808" s="8" t="s">
        <v>25</v>
      </c>
      <c r="L7808" s="8" t="s">
        <v>541</v>
      </c>
      <c r="M7808" s="8" t="s">
        <v>27</v>
      </c>
      <c r="N7808" s="10" t="str">
        <f t="shared" si="701"/>
        <v>GAL</v>
      </c>
      <c r="O7808" s="11">
        <v>180</v>
      </c>
    </row>
    <row r="7809" spans="2:15" x14ac:dyDescent="0.25">
      <c r="B7809" s="6" t="s">
        <v>154</v>
      </c>
      <c r="C7809" s="7" t="s">
        <v>155</v>
      </c>
      <c r="D7809" s="8" t="s">
        <v>1838</v>
      </c>
      <c r="E7809" s="8" t="s">
        <v>1839</v>
      </c>
      <c r="F7809" s="9">
        <f>DATE(2025,4,4)</f>
        <v>45751</v>
      </c>
      <c r="G7809" s="10">
        <f t="shared" si="699"/>
        <v>4</v>
      </c>
      <c r="H7809" s="10">
        <f t="shared" si="700"/>
        <v>2025</v>
      </c>
      <c r="I7809" s="8" t="s">
        <v>4</v>
      </c>
      <c r="J7809" s="7" t="s">
        <v>8317</v>
      </c>
      <c r="K7809" s="8" t="s">
        <v>171</v>
      </c>
      <c r="L7809" s="8" t="s">
        <v>172</v>
      </c>
      <c r="M7809" s="8" t="s">
        <v>27</v>
      </c>
      <c r="N7809" s="10" t="str">
        <f t="shared" si="701"/>
        <v>GAL</v>
      </c>
      <c r="O7809" s="11">
        <v>360</v>
      </c>
    </row>
    <row r="7810" spans="2:15" x14ac:dyDescent="0.25">
      <c r="B7810" s="6" t="s">
        <v>154</v>
      </c>
      <c r="C7810" s="7" t="s">
        <v>155</v>
      </c>
      <c r="D7810" s="8" t="s">
        <v>173</v>
      </c>
      <c r="E7810" s="8" t="s">
        <v>174</v>
      </c>
      <c r="F7810" s="9">
        <f>DATE(2025,4,4)</f>
        <v>45751</v>
      </c>
      <c r="G7810" s="10">
        <f t="shared" si="699"/>
        <v>4</v>
      </c>
      <c r="H7810" s="10">
        <f t="shared" si="700"/>
        <v>2025</v>
      </c>
      <c r="I7810" s="8" t="s">
        <v>4</v>
      </c>
      <c r="J7810" s="7" t="s">
        <v>8318</v>
      </c>
      <c r="K7810" s="8" t="s">
        <v>158</v>
      </c>
      <c r="L7810" s="8" t="s">
        <v>159</v>
      </c>
      <c r="M7810" s="8" t="s">
        <v>160</v>
      </c>
      <c r="N7810" s="10" t="str">
        <f t="shared" si="701"/>
        <v>GAL</v>
      </c>
      <c r="O7810" s="11">
        <v>180</v>
      </c>
    </row>
    <row r="7811" spans="2:15" x14ac:dyDescent="0.25">
      <c r="B7811" s="6" t="s">
        <v>154</v>
      </c>
      <c r="C7811" s="7" t="s">
        <v>155</v>
      </c>
      <c r="D7811" s="8" t="s">
        <v>173</v>
      </c>
      <c r="E7811" s="8" t="s">
        <v>174</v>
      </c>
      <c r="F7811" s="9">
        <f>DATE(2025,4,4)</f>
        <v>45751</v>
      </c>
      <c r="G7811" s="10">
        <f t="shared" si="699"/>
        <v>4</v>
      </c>
      <c r="H7811" s="10">
        <f t="shared" si="700"/>
        <v>2025</v>
      </c>
      <c r="I7811" s="8" t="s">
        <v>4</v>
      </c>
      <c r="J7811" s="7" t="s">
        <v>8318</v>
      </c>
      <c r="K7811" s="8" t="s">
        <v>1496</v>
      </c>
      <c r="L7811" s="8" t="s">
        <v>159</v>
      </c>
      <c r="M7811" s="8" t="s">
        <v>160</v>
      </c>
      <c r="N7811" s="10" t="str">
        <f t="shared" si="701"/>
        <v>GAL</v>
      </c>
      <c r="O7811" s="11">
        <v>250</v>
      </c>
    </row>
    <row r="7812" spans="2:15" x14ac:dyDescent="0.25">
      <c r="B7812" s="6" t="s">
        <v>645</v>
      </c>
      <c r="C7812" s="7" t="s">
        <v>155</v>
      </c>
      <c r="D7812" s="8" t="s">
        <v>646</v>
      </c>
      <c r="E7812" s="8" t="s">
        <v>647</v>
      </c>
      <c r="F7812" s="9">
        <f>DATE(2025,4,4)</f>
        <v>45751</v>
      </c>
      <c r="G7812" s="10">
        <f t="shared" ref="G7812:G7875" si="704">+MONTH(F7812)</f>
        <v>4</v>
      </c>
      <c r="H7812" s="10">
        <f t="shared" ref="H7812:H7875" si="705">+YEAR(F7812)</f>
        <v>2025</v>
      </c>
      <c r="I7812" s="8" t="s">
        <v>4</v>
      </c>
      <c r="J7812" s="7" t="s">
        <v>8319</v>
      </c>
      <c r="K7812" s="8" t="s">
        <v>631</v>
      </c>
      <c r="L7812" s="8" t="s">
        <v>632</v>
      </c>
      <c r="M7812" s="8" t="s">
        <v>633</v>
      </c>
      <c r="N7812" s="10" t="str">
        <f t="shared" si="701"/>
        <v>GAL</v>
      </c>
      <c r="O7812" s="11">
        <v>250</v>
      </c>
    </row>
    <row r="7813" spans="2:15" x14ac:dyDescent="0.25">
      <c r="B7813" s="6" t="s">
        <v>154</v>
      </c>
      <c r="C7813" s="7" t="s">
        <v>155</v>
      </c>
      <c r="D7813" s="8" t="s">
        <v>178</v>
      </c>
      <c r="E7813" s="8" t="s">
        <v>179</v>
      </c>
      <c r="F7813" s="9">
        <f>DATE(2025,4,7)</f>
        <v>45754</v>
      </c>
      <c r="G7813" s="10">
        <f t="shared" si="704"/>
        <v>4</v>
      </c>
      <c r="H7813" s="10">
        <f t="shared" si="705"/>
        <v>2025</v>
      </c>
      <c r="I7813" s="8" t="s">
        <v>4</v>
      </c>
      <c r="J7813" s="7" t="s">
        <v>8320</v>
      </c>
      <c r="K7813" s="8" t="s">
        <v>158</v>
      </c>
      <c r="L7813" s="8" t="s">
        <v>159</v>
      </c>
      <c r="M7813" s="8" t="s">
        <v>160</v>
      </c>
      <c r="N7813" s="10" t="str">
        <f t="shared" ref="N7813:N7876" si="706">+LEFT(M7813,3)</f>
        <v>GAL</v>
      </c>
      <c r="O7813" s="11">
        <v>180</v>
      </c>
    </row>
    <row r="7814" spans="2:15" x14ac:dyDescent="0.25">
      <c r="B7814" s="6" t="s">
        <v>154</v>
      </c>
      <c r="C7814" s="7" t="s">
        <v>155</v>
      </c>
      <c r="D7814" s="8" t="s">
        <v>591</v>
      </c>
      <c r="E7814" s="8" t="s">
        <v>592</v>
      </c>
      <c r="F7814" s="9">
        <f>DATE(2025,4,7)</f>
        <v>45754</v>
      </c>
      <c r="G7814" s="10">
        <f t="shared" si="704"/>
        <v>4</v>
      </c>
      <c r="H7814" s="10">
        <f t="shared" si="705"/>
        <v>2025</v>
      </c>
      <c r="I7814" s="8" t="s">
        <v>4</v>
      </c>
      <c r="J7814" s="7" t="s">
        <v>8321</v>
      </c>
      <c r="K7814" s="8" t="s">
        <v>1098</v>
      </c>
      <c r="L7814" s="8" t="s">
        <v>632</v>
      </c>
      <c r="M7814" s="8" t="s">
        <v>633</v>
      </c>
      <c r="N7814" s="10" t="str">
        <f t="shared" si="706"/>
        <v>GAL</v>
      </c>
      <c r="O7814" s="11">
        <v>1000</v>
      </c>
    </row>
    <row r="7815" spans="2:15" x14ac:dyDescent="0.25">
      <c r="B7815" s="6" t="s">
        <v>154</v>
      </c>
      <c r="C7815" s="7" t="s">
        <v>155</v>
      </c>
      <c r="D7815" s="8" t="s">
        <v>628</v>
      </c>
      <c r="E7815" s="8" t="s">
        <v>629</v>
      </c>
      <c r="F7815" s="9">
        <f>DATE(2025,4,8)</f>
        <v>45755</v>
      </c>
      <c r="G7815" s="10">
        <f t="shared" si="704"/>
        <v>4</v>
      </c>
      <c r="H7815" s="10">
        <f t="shared" si="705"/>
        <v>2025</v>
      </c>
      <c r="I7815" s="8" t="s">
        <v>4</v>
      </c>
      <c r="J7815" s="7" t="s">
        <v>8322</v>
      </c>
      <c r="K7815" s="8" t="s">
        <v>631</v>
      </c>
      <c r="L7815" s="8" t="s">
        <v>632</v>
      </c>
      <c r="M7815" s="8" t="s">
        <v>633</v>
      </c>
      <c r="N7815" s="10" t="str">
        <f t="shared" si="706"/>
        <v>GAL</v>
      </c>
      <c r="O7815" s="11">
        <v>750</v>
      </c>
    </row>
    <row r="7816" spans="2:15" x14ac:dyDescent="0.25">
      <c r="B7816" s="6" t="s">
        <v>154</v>
      </c>
      <c r="C7816" s="7" t="s">
        <v>155</v>
      </c>
      <c r="D7816" s="8" t="s">
        <v>628</v>
      </c>
      <c r="E7816" s="8" t="s">
        <v>629</v>
      </c>
      <c r="F7816" s="9">
        <f>DATE(2025,4,8)</f>
        <v>45755</v>
      </c>
      <c r="G7816" s="10">
        <f t="shared" si="704"/>
        <v>4</v>
      </c>
      <c r="H7816" s="10">
        <f t="shared" si="705"/>
        <v>2025</v>
      </c>
      <c r="I7816" s="8" t="s">
        <v>4</v>
      </c>
      <c r="J7816" s="7" t="s">
        <v>8322</v>
      </c>
      <c r="K7816" s="8" t="s">
        <v>3436</v>
      </c>
      <c r="L7816" s="8" t="s">
        <v>3437</v>
      </c>
      <c r="M7816" s="8" t="s">
        <v>67</v>
      </c>
      <c r="N7816" s="10" t="str">
        <f t="shared" si="706"/>
        <v>GAL</v>
      </c>
      <c r="O7816" s="11">
        <v>750</v>
      </c>
    </row>
    <row r="7817" spans="2:15" x14ac:dyDescent="0.25">
      <c r="B7817" s="6" t="s">
        <v>154</v>
      </c>
      <c r="C7817" s="7" t="s">
        <v>155</v>
      </c>
      <c r="D7817" s="8" t="s">
        <v>167</v>
      </c>
      <c r="E7817" s="8" t="s">
        <v>168</v>
      </c>
      <c r="F7817" s="9">
        <f>DATE(2025,4,8)</f>
        <v>45755</v>
      </c>
      <c r="G7817" s="10">
        <f t="shared" si="704"/>
        <v>4</v>
      </c>
      <c r="H7817" s="10">
        <f t="shared" si="705"/>
        <v>2025</v>
      </c>
      <c r="I7817" s="8" t="s">
        <v>4</v>
      </c>
      <c r="J7817" s="7" t="s">
        <v>8323</v>
      </c>
      <c r="K7817" s="8" t="s">
        <v>158</v>
      </c>
      <c r="L7817" s="8" t="s">
        <v>159</v>
      </c>
      <c r="M7817" s="8" t="s">
        <v>160</v>
      </c>
      <c r="N7817" s="10" t="str">
        <f t="shared" si="706"/>
        <v>GAL</v>
      </c>
      <c r="O7817" s="11">
        <v>360</v>
      </c>
    </row>
    <row r="7818" spans="2:15" x14ac:dyDescent="0.25">
      <c r="B7818" s="6" t="s">
        <v>154</v>
      </c>
      <c r="C7818" s="7" t="s">
        <v>155</v>
      </c>
      <c r="D7818" s="8" t="s">
        <v>167</v>
      </c>
      <c r="E7818" s="8" t="s">
        <v>168</v>
      </c>
      <c r="F7818" s="9">
        <f>DATE(2025,4,8)</f>
        <v>45755</v>
      </c>
      <c r="G7818" s="10">
        <f t="shared" si="704"/>
        <v>4</v>
      </c>
      <c r="H7818" s="10">
        <f t="shared" si="705"/>
        <v>2025</v>
      </c>
      <c r="I7818" s="8" t="s">
        <v>4</v>
      </c>
      <c r="J7818" s="7" t="s">
        <v>8324</v>
      </c>
      <c r="K7818" s="8" t="s">
        <v>158</v>
      </c>
      <c r="L7818" s="8" t="s">
        <v>159</v>
      </c>
      <c r="M7818" s="8" t="s">
        <v>160</v>
      </c>
      <c r="N7818" s="10" t="str">
        <f t="shared" si="706"/>
        <v>GAL</v>
      </c>
      <c r="O7818" s="11">
        <v>360</v>
      </c>
    </row>
    <row r="7819" spans="2:15" x14ac:dyDescent="0.25">
      <c r="B7819" s="6" t="s">
        <v>154</v>
      </c>
      <c r="C7819" s="7" t="s">
        <v>155</v>
      </c>
      <c r="D7819" s="8" t="s">
        <v>3198</v>
      </c>
      <c r="E7819" s="8" t="s">
        <v>174</v>
      </c>
      <c r="F7819" s="9">
        <f>DATE(2025,4,9)</f>
        <v>45756</v>
      </c>
      <c r="G7819" s="10">
        <f t="shared" si="704"/>
        <v>4</v>
      </c>
      <c r="H7819" s="10">
        <f t="shared" si="705"/>
        <v>2025</v>
      </c>
      <c r="I7819" s="8" t="s">
        <v>4</v>
      </c>
      <c r="J7819" s="7" t="s">
        <v>8325</v>
      </c>
      <c r="K7819" s="8" t="s">
        <v>158</v>
      </c>
      <c r="L7819" s="8" t="s">
        <v>159</v>
      </c>
      <c r="M7819" s="8" t="s">
        <v>160</v>
      </c>
      <c r="N7819" s="10" t="str">
        <f t="shared" si="706"/>
        <v>GAL</v>
      </c>
      <c r="O7819" s="11">
        <v>360</v>
      </c>
    </row>
    <row r="7820" spans="2:15" x14ac:dyDescent="0.25">
      <c r="B7820" s="6" t="s">
        <v>154</v>
      </c>
      <c r="C7820" s="7" t="s">
        <v>155</v>
      </c>
      <c r="D7820" s="8" t="s">
        <v>161</v>
      </c>
      <c r="E7820" s="8" t="s">
        <v>162</v>
      </c>
      <c r="F7820" s="9">
        <f>DATE(2025,4,10)</f>
        <v>45757</v>
      </c>
      <c r="G7820" s="10">
        <f t="shared" si="704"/>
        <v>4</v>
      </c>
      <c r="H7820" s="10">
        <f t="shared" si="705"/>
        <v>2025</v>
      </c>
      <c r="I7820" s="8" t="s">
        <v>4</v>
      </c>
      <c r="J7820" s="7" t="s">
        <v>8326</v>
      </c>
      <c r="K7820" s="8" t="s">
        <v>164</v>
      </c>
      <c r="L7820" s="8" t="s">
        <v>165</v>
      </c>
      <c r="M7820" s="8" t="s">
        <v>166</v>
      </c>
      <c r="N7820" s="10" t="str">
        <f t="shared" si="706"/>
        <v>GAL</v>
      </c>
      <c r="O7820" s="11">
        <v>360</v>
      </c>
    </row>
    <row r="7821" spans="2:15" x14ac:dyDescent="0.25">
      <c r="B7821" s="6" t="s">
        <v>154</v>
      </c>
      <c r="C7821" s="7" t="s">
        <v>155</v>
      </c>
      <c r="D7821" s="8" t="s">
        <v>161</v>
      </c>
      <c r="E7821" s="8" t="s">
        <v>162</v>
      </c>
      <c r="F7821" s="9">
        <f>DATE(2025,4,10)</f>
        <v>45757</v>
      </c>
      <c r="G7821" s="10">
        <f t="shared" si="704"/>
        <v>4</v>
      </c>
      <c r="H7821" s="10">
        <f t="shared" si="705"/>
        <v>2025</v>
      </c>
      <c r="I7821" s="8" t="s">
        <v>4</v>
      </c>
      <c r="J7821" s="7" t="s">
        <v>8326</v>
      </c>
      <c r="K7821" s="8" t="s">
        <v>1814</v>
      </c>
      <c r="L7821" s="8" t="s">
        <v>1815</v>
      </c>
      <c r="M7821" s="8" t="s">
        <v>1816</v>
      </c>
      <c r="N7821" s="10" t="str">
        <f t="shared" si="706"/>
        <v>GAL</v>
      </c>
      <c r="O7821" s="11">
        <v>180</v>
      </c>
    </row>
    <row r="7822" spans="2:15" x14ac:dyDescent="0.25">
      <c r="B7822" s="6" t="s">
        <v>154</v>
      </c>
      <c r="C7822" s="7" t="s">
        <v>155</v>
      </c>
      <c r="D7822" s="8" t="s">
        <v>628</v>
      </c>
      <c r="E7822" s="8" t="s">
        <v>629</v>
      </c>
      <c r="F7822" s="9">
        <f>DATE(2025,4,10)</f>
        <v>45757</v>
      </c>
      <c r="G7822" s="10">
        <f t="shared" si="704"/>
        <v>4</v>
      </c>
      <c r="H7822" s="10">
        <f t="shared" si="705"/>
        <v>2025</v>
      </c>
      <c r="I7822" s="8" t="s">
        <v>4</v>
      </c>
      <c r="J7822" s="7" t="s">
        <v>8327</v>
      </c>
      <c r="K7822" s="8" t="s">
        <v>1853</v>
      </c>
      <c r="L7822" s="8" t="s">
        <v>1854</v>
      </c>
      <c r="M7822" s="8" t="s">
        <v>1816</v>
      </c>
      <c r="N7822" s="10" t="str">
        <f t="shared" si="706"/>
        <v>GAL</v>
      </c>
      <c r="O7822" s="11">
        <v>250</v>
      </c>
    </row>
    <row r="7823" spans="2:15" x14ac:dyDescent="0.25">
      <c r="B7823" s="6" t="s">
        <v>154</v>
      </c>
      <c r="C7823" s="7" t="s">
        <v>155</v>
      </c>
      <c r="D7823" s="8" t="s">
        <v>507</v>
      </c>
      <c r="E7823" s="8" t="s">
        <v>508</v>
      </c>
      <c r="F7823" s="9">
        <f>DATE(2025,4,10)</f>
        <v>45757</v>
      </c>
      <c r="G7823" s="10">
        <f t="shared" si="704"/>
        <v>4</v>
      </c>
      <c r="H7823" s="10">
        <f t="shared" si="705"/>
        <v>2025</v>
      </c>
      <c r="I7823" s="8" t="s">
        <v>4</v>
      </c>
      <c r="J7823" s="7" t="s">
        <v>8328</v>
      </c>
      <c r="K7823" s="8" t="s">
        <v>158</v>
      </c>
      <c r="L7823" s="8" t="s">
        <v>159</v>
      </c>
      <c r="M7823" s="8" t="s">
        <v>160</v>
      </c>
      <c r="N7823" s="10" t="str">
        <f t="shared" si="706"/>
        <v>GAL</v>
      </c>
      <c r="O7823" s="11">
        <v>360</v>
      </c>
    </row>
    <row r="7824" spans="2:15" x14ac:dyDescent="0.25">
      <c r="B7824" s="6" t="s">
        <v>154</v>
      </c>
      <c r="C7824" s="7" t="s">
        <v>155</v>
      </c>
      <c r="D7824" s="8" t="s">
        <v>628</v>
      </c>
      <c r="E7824" s="8" t="s">
        <v>629</v>
      </c>
      <c r="F7824" s="9">
        <f>DATE(2025,4,10)</f>
        <v>45757</v>
      </c>
      <c r="G7824" s="10">
        <f t="shared" si="704"/>
        <v>4</v>
      </c>
      <c r="H7824" s="10">
        <f t="shared" si="705"/>
        <v>2025</v>
      </c>
      <c r="I7824" s="8" t="s">
        <v>4</v>
      </c>
      <c r="J7824" s="7" t="s">
        <v>8329</v>
      </c>
      <c r="K7824" s="8" t="s">
        <v>171</v>
      </c>
      <c r="L7824" s="8" t="s">
        <v>172</v>
      </c>
      <c r="M7824" s="8" t="s">
        <v>27</v>
      </c>
      <c r="N7824" s="10" t="str">
        <f t="shared" si="706"/>
        <v>GAL</v>
      </c>
      <c r="O7824" s="11">
        <v>180</v>
      </c>
    </row>
    <row r="7825" spans="2:15" x14ac:dyDescent="0.25">
      <c r="B7825" s="6" t="s">
        <v>154</v>
      </c>
      <c r="C7825" s="7" t="s">
        <v>155</v>
      </c>
      <c r="D7825" s="8" t="s">
        <v>591</v>
      </c>
      <c r="E7825" s="8" t="s">
        <v>592</v>
      </c>
      <c r="F7825" s="9">
        <f>DATE(2025,4,11)</f>
        <v>45758</v>
      </c>
      <c r="G7825" s="10">
        <f t="shared" si="704"/>
        <v>4</v>
      </c>
      <c r="H7825" s="10">
        <f t="shared" si="705"/>
        <v>2025</v>
      </c>
      <c r="I7825" s="8" t="s">
        <v>4</v>
      </c>
      <c r="J7825" s="7" t="s">
        <v>8330</v>
      </c>
      <c r="K7825" s="8" t="s">
        <v>1098</v>
      </c>
      <c r="L7825" s="8" t="s">
        <v>632</v>
      </c>
      <c r="M7825" s="8" t="s">
        <v>633</v>
      </c>
      <c r="N7825" s="10" t="str">
        <f t="shared" si="706"/>
        <v>GAL</v>
      </c>
      <c r="O7825" s="11">
        <v>2953</v>
      </c>
    </row>
    <row r="7826" spans="2:15" x14ac:dyDescent="0.25">
      <c r="B7826" s="6" t="s">
        <v>154</v>
      </c>
      <c r="C7826" s="7" t="s">
        <v>155</v>
      </c>
      <c r="D7826" s="8" t="s">
        <v>1111</v>
      </c>
      <c r="E7826" s="8" t="s">
        <v>1112</v>
      </c>
      <c r="F7826" s="9">
        <f>DATE(2025,4,14)</f>
        <v>45761</v>
      </c>
      <c r="G7826" s="10">
        <f t="shared" si="704"/>
        <v>4</v>
      </c>
      <c r="H7826" s="10">
        <f t="shared" si="705"/>
        <v>2025</v>
      </c>
      <c r="I7826" s="8" t="s">
        <v>4</v>
      </c>
      <c r="J7826" s="7" t="s">
        <v>8331</v>
      </c>
      <c r="K7826" s="8" t="s">
        <v>158</v>
      </c>
      <c r="L7826" s="8" t="s">
        <v>159</v>
      </c>
      <c r="M7826" s="8" t="s">
        <v>160</v>
      </c>
      <c r="N7826" s="10" t="str">
        <f t="shared" si="706"/>
        <v>GAL</v>
      </c>
      <c r="O7826" s="11">
        <v>180</v>
      </c>
    </row>
    <row r="7827" spans="2:15" x14ac:dyDescent="0.25">
      <c r="B7827" s="6" t="s">
        <v>154</v>
      </c>
      <c r="C7827" s="7" t="s">
        <v>155</v>
      </c>
      <c r="D7827" s="8" t="s">
        <v>628</v>
      </c>
      <c r="E7827" s="8" t="s">
        <v>629</v>
      </c>
      <c r="F7827" s="9">
        <f>DATE(2025,4,14)</f>
        <v>45761</v>
      </c>
      <c r="G7827" s="10">
        <f t="shared" si="704"/>
        <v>4</v>
      </c>
      <c r="H7827" s="10">
        <f t="shared" si="705"/>
        <v>2025</v>
      </c>
      <c r="I7827" s="8" t="s">
        <v>4</v>
      </c>
      <c r="J7827" s="7" t="s">
        <v>8332</v>
      </c>
      <c r="K7827" s="8" t="s">
        <v>164</v>
      </c>
      <c r="L7827" s="8" t="s">
        <v>165</v>
      </c>
      <c r="M7827" s="8" t="s">
        <v>166</v>
      </c>
      <c r="N7827" s="10" t="str">
        <f t="shared" si="706"/>
        <v>GAL</v>
      </c>
      <c r="O7827" s="11">
        <v>115</v>
      </c>
    </row>
    <row r="7828" spans="2:15" x14ac:dyDescent="0.25">
      <c r="B7828" s="6" t="s">
        <v>154</v>
      </c>
      <c r="C7828" s="7" t="s">
        <v>155</v>
      </c>
      <c r="D7828" s="8" t="s">
        <v>1838</v>
      </c>
      <c r="E7828" s="8" t="s">
        <v>1839</v>
      </c>
      <c r="F7828" s="9">
        <f>DATE(2025,4,14)</f>
        <v>45761</v>
      </c>
      <c r="G7828" s="10">
        <f t="shared" si="704"/>
        <v>4</v>
      </c>
      <c r="H7828" s="10">
        <f t="shared" si="705"/>
        <v>2025</v>
      </c>
      <c r="I7828" s="8" t="s">
        <v>4</v>
      </c>
      <c r="J7828" s="7" t="s">
        <v>8333</v>
      </c>
      <c r="K7828" s="8" t="s">
        <v>171</v>
      </c>
      <c r="L7828" s="8" t="s">
        <v>172</v>
      </c>
      <c r="M7828" s="8" t="s">
        <v>27</v>
      </c>
      <c r="N7828" s="10" t="str">
        <f t="shared" si="706"/>
        <v>GAL</v>
      </c>
      <c r="O7828" s="11">
        <v>720</v>
      </c>
    </row>
    <row r="7829" spans="2:15" x14ac:dyDescent="0.25">
      <c r="B7829" s="6" t="s">
        <v>154</v>
      </c>
      <c r="C7829" s="7" t="s">
        <v>155</v>
      </c>
      <c r="D7829" s="8" t="s">
        <v>178</v>
      </c>
      <c r="E7829" s="8" t="s">
        <v>179</v>
      </c>
      <c r="F7829" s="9">
        <f>DATE(2025,4,14)</f>
        <v>45761</v>
      </c>
      <c r="G7829" s="10">
        <f t="shared" si="704"/>
        <v>4</v>
      </c>
      <c r="H7829" s="10">
        <f t="shared" si="705"/>
        <v>2025</v>
      </c>
      <c r="I7829" s="8" t="s">
        <v>4</v>
      </c>
      <c r="J7829" s="7" t="s">
        <v>8334</v>
      </c>
      <c r="K7829" s="8" t="s">
        <v>158</v>
      </c>
      <c r="L7829" s="8" t="s">
        <v>159</v>
      </c>
      <c r="M7829" s="8" t="s">
        <v>160</v>
      </c>
      <c r="N7829" s="10" t="str">
        <f t="shared" si="706"/>
        <v>GAL</v>
      </c>
      <c r="O7829" s="11">
        <v>180</v>
      </c>
    </row>
    <row r="7830" spans="2:15" x14ac:dyDescent="0.25">
      <c r="B7830" s="6" t="s">
        <v>154</v>
      </c>
      <c r="C7830" s="7" t="s">
        <v>155</v>
      </c>
      <c r="D7830" s="8" t="s">
        <v>1838</v>
      </c>
      <c r="E7830" s="8" t="s">
        <v>1839</v>
      </c>
      <c r="F7830" s="9">
        <f>DATE(2025,4,16)</f>
        <v>45763</v>
      </c>
      <c r="G7830" s="10">
        <f t="shared" si="704"/>
        <v>4</v>
      </c>
      <c r="H7830" s="10">
        <f t="shared" si="705"/>
        <v>2025</v>
      </c>
      <c r="I7830" s="8" t="s">
        <v>4</v>
      </c>
      <c r="J7830" s="7" t="s">
        <v>8335</v>
      </c>
      <c r="K7830" s="8" t="s">
        <v>171</v>
      </c>
      <c r="L7830" s="8" t="s">
        <v>172</v>
      </c>
      <c r="M7830" s="8" t="s">
        <v>27</v>
      </c>
      <c r="N7830" s="10" t="str">
        <f t="shared" si="706"/>
        <v>GAL</v>
      </c>
      <c r="O7830" s="11">
        <v>1440</v>
      </c>
    </row>
    <row r="7831" spans="2:15" x14ac:dyDescent="0.25">
      <c r="B7831" s="6" t="s">
        <v>154</v>
      </c>
      <c r="C7831" s="7" t="s">
        <v>155</v>
      </c>
      <c r="D7831" s="8" t="s">
        <v>107</v>
      </c>
      <c r="E7831" s="8" t="s">
        <v>108</v>
      </c>
      <c r="F7831" s="9">
        <f>DATE(2025,4,16)</f>
        <v>45763</v>
      </c>
      <c r="G7831" s="10">
        <f t="shared" si="704"/>
        <v>4</v>
      </c>
      <c r="H7831" s="10">
        <f t="shared" si="705"/>
        <v>2025</v>
      </c>
      <c r="I7831" s="8" t="s">
        <v>4</v>
      </c>
      <c r="J7831" s="7" t="s">
        <v>8336</v>
      </c>
      <c r="K7831" s="8" t="s">
        <v>1119</v>
      </c>
      <c r="L7831" s="8" t="s">
        <v>1023</v>
      </c>
      <c r="M7831" s="8" t="s">
        <v>1024</v>
      </c>
      <c r="N7831" s="10" t="str">
        <f t="shared" si="706"/>
        <v>GAL</v>
      </c>
      <c r="O7831" s="11">
        <v>180</v>
      </c>
    </row>
    <row r="7832" spans="2:15" x14ac:dyDescent="0.25">
      <c r="B7832" s="6" t="s">
        <v>154</v>
      </c>
      <c r="C7832" s="7" t="s">
        <v>155</v>
      </c>
      <c r="D7832" s="8" t="s">
        <v>107</v>
      </c>
      <c r="E7832" s="8" t="s">
        <v>108</v>
      </c>
      <c r="F7832" s="9">
        <f>DATE(2025,4,16)</f>
        <v>45763</v>
      </c>
      <c r="G7832" s="10">
        <f t="shared" si="704"/>
        <v>4</v>
      </c>
      <c r="H7832" s="10">
        <f t="shared" si="705"/>
        <v>2025</v>
      </c>
      <c r="I7832" s="8" t="s">
        <v>4</v>
      </c>
      <c r="J7832" s="7" t="s">
        <v>8336</v>
      </c>
      <c r="K7832" s="8" t="s">
        <v>158</v>
      </c>
      <c r="L7832" s="8" t="s">
        <v>159</v>
      </c>
      <c r="M7832" s="8" t="s">
        <v>160</v>
      </c>
      <c r="N7832" s="10" t="str">
        <f t="shared" si="706"/>
        <v>GAL</v>
      </c>
      <c r="O7832" s="11">
        <v>180</v>
      </c>
    </row>
    <row r="7833" spans="2:15" x14ac:dyDescent="0.25">
      <c r="B7833" s="6" t="s">
        <v>154</v>
      </c>
      <c r="C7833" s="7" t="s">
        <v>155</v>
      </c>
      <c r="D7833" s="8" t="s">
        <v>107</v>
      </c>
      <c r="E7833" s="8" t="s">
        <v>108</v>
      </c>
      <c r="F7833" s="9">
        <f>DATE(2025,4,16)</f>
        <v>45763</v>
      </c>
      <c r="G7833" s="10">
        <f t="shared" si="704"/>
        <v>4</v>
      </c>
      <c r="H7833" s="10">
        <f t="shared" si="705"/>
        <v>2025</v>
      </c>
      <c r="I7833" s="8" t="s">
        <v>4</v>
      </c>
      <c r="J7833" s="7" t="s">
        <v>8336</v>
      </c>
      <c r="K7833" s="8" t="s">
        <v>189</v>
      </c>
      <c r="L7833" s="8" t="s">
        <v>190</v>
      </c>
      <c r="M7833" s="8" t="s">
        <v>191</v>
      </c>
      <c r="N7833" s="10" t="str">
        <f t="shared" si="706"/>
        <v>GAL</v>
      </c>
      <c r="O7833" s="11">
        <v>180</v>
      </c>
    </row>
    <row r="7834" spans="2:15" x14ac:dyDescent="0.25">
      <c r="B7834" s="6" t="s">
        <v>154</v>
      </c>
      <c r="C7834" s="7" t="s">
        <v>155</v>
      </c>
      <c r="D7834" s="8" t="s">
        <v>628</v>
      </c>
      <c r="E7834" s="8" t="s">
        <v>629</v>
      </c>
      <c r="F7834" s="9">
        <f>DATE(2025,4,17)</f>
        <v>45764</v>
      </c>
      <c r="G7834" s="10">
        <f t="shared" si="704"/>
        <v>4</v>
      </c>
      <c r="H7834" s="10">
        <f t="shared" si="705"/>
        <v>2025</v>
      </c>
      <c r="I7834" s="8" t="s">
        <v>4</v>
      </c>
      <c r="J7834" s="7" t="s">
        <v>8337</v>
      </c>
      <c r="K7834" s="8" t="s">
        <v>164</v>
      </c>
      <c r="L7834" s="8" t="s">
        <v>165</v>
      </c>
      <c r="M7834" s="8" t="s">
        <v>166</v>
      </c>
      <c r="N7834" s="10" t="str">
        <f t="shared" si="706"/>
        <v>GAL</v>
      </c>
      <c r="O7834" s="11">
        <v>55</v>
      </c>
    </row>
    <row r="7835" spans="2:15" x14ac:dyDescent="0.25">
      <c r="B7835" s="6" t="s">
        <v>154</v>
      </c>
      <c r="C7835" s="7" t="s">
        <v>155</v>
      </c>
      <c r="D7835" s="8" t="s">
        <v>507</v>
      </c>
      <c r="E7835" s="8" t="s">
        <v>508</v>
      </c>
      <c r="F7835" s="9">
        <f>DATE(2025,4,17)</f>
        <v>45764</v>
      </c>
      <c r="G7835" s="10">
        <f t="shared" si="704"/>
        <v>4</v>
      </c>
      <c r="H7835" s="10">
        <f t="shared" si="705"/>
        <v>2025</v>
      </c>
      <c r="I7835" s="8" t="s">
        <v>4</v>
      </c>
      <c r="J7835" s="7" t="s">
        <v>8338</v>
      </c>
      <c r="K7835" s="8" t="s">
        <v>158</v>
      </c>
      <c r="L7835" s="8" t="s">
        <v>159</v>
      </c>
      <c r="M7835" s="8" t="s">
        <v>160</v>
      </c>
      <c r="N7835" s="10" t="str">
        <f t="shared" si="706"/>
        <v>GAL</v>
      </c>
      <c r="O7835" s="11">
        <v>360</v>
      </c>
    </row>
    <row r="7836" spans="2:15" x14ac:dyDescent="0.25">
      <c r="B7836" s="6" t="s">
        <v>154</v>
      </c>
      <c r="C7836" s="7" t="s">
        <v>155</v>
      </c>
      <c r="D7836" s="8" t="s">
        <v>1838</v>
      </c>
      <c r="E7836" s="8" t="s">
        <v>1839</v>
      </c>
      <c r="F7836" s="9">
        <f>DATE(2025,4,18)</f>
        <v>45765</v>
      </c>
      <c r="G7836" s="10">
        <f t="shared" si="704"/>
        <v>4</v>
      </c>
      <c r="H7836" s="10">
        <f t="shared" si="705"/>
        <v>2025</v>
      </c>
      <c r="I7836" s="8" t="s">
        <v>4</v>
      </c>
      <c r="J7836" s="7" t="s">
        <v>8339</v>
      </c>
      <c r="K7836" s="8" t="s">
        <v>816</v>
      </c>
      <c r="L7836" s="8" t="s">
        <v>545</v>
      </c>
      <c r="M7836" s="8" t="s">
        <v>67</v>
      </c>
      <c r="N7836" s="10" t="str">
        <f t="shared" si="706"/>
        <v>GAL</v>
      </c>
      <c r="O7836" s="11">
        <v>360</v>
      </c>
    </row>
    <row r="7837" spans="2:15" x14ac:dyDescent="0.25">
      <c r="B7837" s="6" t="s">
        <v>154</v>
      </c>
      <c r="C7837" s="7" t="s">
        <v>155</v>
      </c>
      <c r="D7837" s="8" t="s">
        <v>3198</v>
      </c>
      <c r="E7837" s="8" t="s">
        <v>174</v>
      </c>
      <c r="F7837" s="9">
        <f>DATE(2025,4,21)</f>
        <v>45768</v>
      </c>
      <c r="G7837" s="10">
        <f t="shared" si="704"/>
        <v>4</v>
      </c>
      <c r="H7837" s="10">
        <f t="shared" si="705"/>
        <v>2025</v>
      </c>
      <c r="I7837" s="8" t="s">
        <v>4</v>
      </c>
      <c r="J7837" s="7" t="s">
        <v>8340</v>
      </c>
      <c r="K7837" s="8" t="s">
        <v>158</v>
      </c>
      <c r="L7837" s="8" t="s">
        <v>159</v>
      </c>
      <c r="M7837" s="8" t="s">
        <v>160</v>
      </c>
      <c r="N7837" s="10" t="str">
        <f t="shared" si="706"/>
        <v>GAL</v>
      </c>
      <c r="O7837" s="11">
        <v>360</v>
      </c>
    </row>
    <row r="7838" spans="2:15" x14ac:dyDescent="0.25">
      <c r="B7838" s="6" t="s">
        <v>154</v>
      </c>
      <c r="C7838" s="7" t="s">
        <v>155</v>
      </c>
      <c r="D7838" s="8" t="s">
        <v>167</v>
      </c>
      <c r="E7838" s="8" t="s">
        <v>168</v>
      </c>
      <c r="F7838" s="9">
        <f>DATE(2025,4,23)</f>
        <v>45770</v>
      </c>
      <c r="G7838" s="10">
        <f t="shared" si="704"/>
        <v>4</v>
      </c>
      <c r="H7838" s="10">
        <f t="shared" si="705"/>
        <v>2025</v>
      </c>
      <c r="I7838" s="8" t="s">
        <v>4</v>
      </c>
      <c r="J7838" s="7" t="s">
        <v>8341</v>
      </c>
      <c r="K7838" s="8" t="s">
        <v>1853</v>
      </c>
      <c r="L7838" s="8" t="s">
        <v>1854</v>
      </c>
      <c r="M7838" s="8" t="s">
        <v>1816</v>
      </c>
      <c r="N7838" s="10" t="str">
        <f t="shared" si="706"/>
        <v>GAL</v>
      </c>
      <c r="O7838" s="11">
        <v>180</v>
      </c>
    </row>
    <row r="7839" spans="2:15" x14ac:dyDescent="0.25">
      <c r="B7839" s="6" t="s">
        <v>154</v>
      </c>
      <c r="C7839" s="7" t="s">
        <v>155</v>
      </c>
      <c r="D7839" s="8" t="s">
        <v>178</v>
      </c>
      <c r="E7839" s="8" t="s">
        <v>179</v>
      </c>
      <c r="F7839" s="9">
        <f>DATE(2025,4,23)</f>
        <v>45770</v>
      </c>
      <c r="G7839" s="10">
        <f t="shared" si="704"/>
        <v>4</v>
      </c>
      <c r="H7839" s="10">
        <f t="shared" si="705"/>
        <v>2025</v>
      </c>
      <c r="I7839" s="8" t="s">
        <v>4</v>
      </c>
      <c r="J7839" s="7" t="s">
        <v>8342</v>
      </c>
      <c r="K7839" s="8" t="s">
        <v>158</v>
      </c>
      <c r="L7839" s="8" t="s">
        <v>159</v>
      </c>
      <c r="M7839" s="8" t="s">
        <v>160</v>
      </c>
      <c r="N7839" s="10" t="str">
        <f t="shared" si="706"/>
        <v>GAL</v>
      </c>
      <c r="O7839" s="11">
        <v>180</v>
      </c>
    </row>
    <row r="7840" spans="2:15" x14ac:dyDescent="0.25">
      <c r="B7840" s="6" t="s">
        <v>645</v>
      </c>
      <c r="C7840" s="7" t="s">
        <v>155</v>
      </c>
      <c r="D7840" s="8" t="s">
        <v>646</v>
      </c>
      <c r="E7840" s="8" t="s">
        <v>647</v>
      </c>
      <c r="F7840" s="9">
        <f>DATE(2025,4,24)</f>
        <v>45771</v>
      </c>
      <c r="G7840" s="10">
        <f t="shared" si="704"/>
        <v>4</v>
      </c>
      <c r="H7840" s="10">
        <f t="shared" si="705"/>
        <v>2025</v>
      </c>
      <c r="I7840" s="8" t="s">
        <v>4</v>
      </c>
      <c r="J7840" s="7" t="s">
        <v>8343</v>
      </c>
      <c r="K7840" s="8" t="s">
        <v>143</v>
      </c>
      <c r="L7840" s="8" t="s">
        <v>6737</v>
      </c>
      <c r="M7840" s="8" t="s">
        <v>145</v>
      </c>
      <c r="N7840" s="10" t="str">
        <f t="shared" si="706"/>
        <v>GAL</v>
      </c>
      <c r="O7840" s="11">
        <v>720</v>
      </c>
    </row>
    <row r="7841" spans="2:15" x14ac:dyDescent="0.25">
      <c r="B7841" s="6" t="s">
        <v>154</v>
      </c>
      <c r="C7841" s="7" t="s">
        <v>155</v>
      </c>
      <c r="D7841" s="8" t="s">
        <v>173</v>
      </c>
      <c r="E7841" s="8" t="s">
        <v>174</v>
      </c>
      <c r="F7841" s="9">
        <f>DATE(2025,4,24)</f>
        <v>45771</v>
      </c>
      <c r="G7841" s="10">
        <f t="shared" si="704"/>
        <v>4</v>
      </c>
      <c r="H7841" s="10">
        <f t="shared" si="705"/>
        <v>2025</v>
      </c>
      <c r="I7841" s="8" t="s">
        <v>4</v>
      </c>
      <c r="J7841" s="7" t="s">
        <v>8344</v>
      </c>
      <c r="K7841" s="8" t="s">
        <v>609</v>
      </c>
      <c r="L7841" s="8" t="s">
        <v>610</v>
      </c>
      <c r="M7841" s="8" t="s">
        <v>611</v>
      </c>
      <c r="N7841" s="10" t="str">
        <f t="shared" si="706"/>
        <v>GAL</v>
      </c>
      <c r="O7841" s="11">
        <v>120</v>
      </c>
    </row>
    <row r="7842" spans="2:15" x14ac:dyDescent="0.25">
      <c r="B7842" s="6" t="s">
        <v>154</v>
      </c>
      <c r="C7842" s="7" t="s">
        <v>155</v>
      </c>
      <c r="D7842" s="8" t="s">
        <v>167</v>
      </c>
      <c r="E7842" s="8" t="s">
        <v>168</v>
      </c>
      <c r="F7842" s="9">
        <f>DATE(2025,4,24)</f>
        <v>45771</v>
      </c>
      <c r="G7842" s="10">
        <f t="shared" si="704"/>
        <v>4</v>
      </c>
      <c r="H7842" s="10">
        <f t="shared" si="705"/>
        <v>2025</v>
      </c>
      <c r="I7842" s="8" t="s">
        <v>4</v>
      </c>
      <c r="J7842" s="7" t="s">
        <v>8345</v>
      </c>
      <c r="K7842" s="8" t="s">
        <v>1734</v>
      </c>
      <c r="L7842" s="8" t="s">
        <v>1735</v>
      </c>
      <c r="M7842" s="8" t="s">
        <v>1736</v>
      </c>
      <c r="N7842" s="10" t="str">
        <f t="shared" si="706"/>
        <v>GAL</v>
      </c>
      <c r="O7842" s="11">
        <v>180</v>
      </c>
    </row>
    <row r="7843" spans="2:15" x14ac:dyDescent="0.25">
      <c r="B7843" s="6" t="s">
        <v>154</v>
      </c>
      <c r="C7843" s="7" t="s">
        <v>155</v>
      </c>
      <c r="D7843" s="8" t="s">
        <v>167</v>
      </c>
      <c r="E7843" s="8" t="s">
        <v>168</v>
      </c>
      <c r="F7843" s="9">
        <f>DATE(2025,4,24)</f>
        <v>45771</v>
      </c>
      <c r="G7843" s="10">
        <f t="shared" si="704"/>
        <v>4</v>
      </c>
      <c r="H7843" s="10">
        <f t="shared" si="705"/>
        <v>2025</v>
      </c>
      <c r="I7843" s="8" t="s">
        <v>4</v>
      </c>
      <c r="J7843" s="7" t="s">
        <v>8345</v>
      </c>
      <c r="K7843" s="8" t="s">
        <v>171</v>
      </c>
      <c r="L7843" s="8" t="s">
        <v>172</v>
      </c>
      <c r="M7843" s="8" t="s">
        <v>27</v>
      </c>
      <c r="N7843" s="10" t="str">
        <f t="shared" si="706"/>
        <v>GAL</v>
      </c>
      <c r="O7843" s="11">
        <v>180</v>
      </c>
    </row>
    <row r="7844" spans="2:15" x14ac:dyDescent="0.25">
      <c r="B7844" s="6" t="s">
        <v>154</v>
      </c>
      <c r="C7844" s="7" t="s">
        <v>155</v>
      </c>
      <c r="D7844" s="8" t="s">
        <v>591</v>
      </c>
      <c r="E7844" s="8" t="s">
        <v>592</v>
      </c>
      <c r="F7844" s="9">
        <f>DATE(2025,4,28)</f>
        <v>45775</v>
      </c>
      <c r="G7844" s="10">
        <f t="shared" si="704"/>
        <v>4</v>
      </c>
      <c r="H7844" s="10">
        <f t="shared" si="705"/>
        <v>2025</v>
      </c>
      <c r="I7844" s="8" t="s">
        <v>4</v>
      </c>
      <c r="J7844" s="7" t="s">
        <v>8346</v>
      </c>
      <c r="K7844" s="8" t="s">
        <v>1098</v>
      </c>
      <c r="L7844" s="8" t="s">
        <v>632</v>
      </c>
      <c r="M7844" s="8" t="s">
        <v>633</v>
      </c>
      <c r="N7844" s="10" t="str">
        <f t="shared" si="706"/>
        <v>GAL</v>
      </c>
      <c r="O7844" s="11">
        <v>2943</v>
      </c>
    </row>
    <row r="7845" spans="2:15" x14ac:dyDescent="0.25">
      <c r="B7845" s="6" t="s">
        <v>154</v>
      </c>
      <c r="C7845" s="7" t="s">
        <v>155</v>
      </c>
      <c r="D7845" s="8" t="s">
        <v>161</v>
      </c>
      <c r="E7845" s="8" t="s">
        <v>162</v>
      </c>
      <c r="F7845" s="9">
        <f>DATE(2025,4,29)</f>
        <v>45776</v>
      </c>
      <c r="G7845" s="10">
        <f t="shared" si="704"/>
        <v>4</v>
      </c>
      <c r="H7845" s="10">
        <f t="shared" si="705"/>
        <v>2025</v>
      </c>
      <c r="I7845" s="8" t="s">
        <v>4</v>
      </c>
      <c r="J7845" s="7" t="s">
        <v>8347</v>
      </c>
      <c r="K7845" s="8" t="s">
        <v>8348</v>
      </c>
      <c r="L7845" s="8" t="s">
        <v>1854</v>
      </c>
      <c r="M7845" s="8" t="s">
        <v>1816</v>
      </c>
      <c r="N7845" s="10" t="str">
        <f t="shared" si="706"/>
        <v>GAL</v>
      </c>
      <c r="O7845" s="11">
        <v>750</v>
      </c>
    </row>
    <row r="7846" spans="2:15" x14ac:dyDescent="0.25">
      <c r="B7846" s="6" t="s">
        <v>154</v>
      </c>
      <c r="C7846" s="7" t="s">
        <v>155</v>
      </c>
      <c r="D7846" s="8" t="s">
        <v>161</v>
      </c>
      <c r="E7846" s="8" t="s">
        <v>162</v>
      </c>
      <c r="F7846" s="9">
        <f>DATE(2025,4,29)</f>
        <v>45776</v>
      </c>
      <c r="G7846" s="10">
        <f t="shared" si="704"/>
        <v>4</v>
      </c>
      <c r="H7846" s="10">
        <f t="shared" si="705"/>
        <v>2025</v>
      </c>
      <c r="I7846" s="8" t="s">
        <v>4</v>
      </c>
      <c r="J7846" s="7" t="s">
        <v>8347</v>
      </c>
      <c r="K7846" s="8" t="s">
        <v>8349</v>
      </c>
      <c r="L7846" s="8" t="s">
        <v>1267</v>
      </c>
      <c r="M7846" s="8" t="s">
        <v>191</v>
      </c>
      <c r="N7846" s="10" t="str">
        <f t="shared" si="706"/>
        <v>GAL</v>
      </c>
      <c r="O7846" s="11">
        <v>750</v>
      </c>
    </row>
    <row r="7847" spans="2:15" x14ac:dyDescent="0.25">
      <c r="B7847" s="6" t="s">
        <v>154</v>
      </c>
      <c r="C7847" s="7" t="s">
        <v>155</v>
      </c>
      <c r="D7847" s="8" t="s">
        <v>628</v>
      </c>
      <c r="E7847" s="8" t="s">
        <v>629</v>
      </c>
      <c r="F7847" s="9">
        <f>DATE(2025,4,29)</f>
        <v>45776</v>
      </c>
      <c r="G7847" s="10">
        <f t="shared" si="704"/>
        <v>4</v>
      </c>
      <c r="H7847" s="10">
        <f t="shared" si="705"/>
        <v>2025</v>
      </c>
      <c r="I7847" s="8" t="s">
        <v>4</v>
      </c>
      <c r="J7847" s="7" t="s">
        <v>8350</v>
      </c>
      <c r="K7847" s="8" t="s">
        <v>3436</v>
      </c>
      <c r="L7847" s="8" t="s">
        <v>3437</v>
      </c>
      <c r="M7847" s="8" t="s">
        <v>67</v>
      </c>
      <c r="N7847" s="10" t="str">
        <f t="shared" si="706"/>
        <v>GAL</v>
      </c>
      <c r="O7847" s="11">
        <v>750</v>
      </c>
    </row>
    <row r="7848" spans="2:15" x14ac:dyDescent="0.25">
      <c r="B7848" s="6" t="s">
        <v>1520</v>
      </c>
      <c r="C7848" s="7" t="s">
        <v>196</v>
      </c>
      <c r="D7848" s="8" t="s">
        <v>374</v>
      </c>
      <c r="E7848" s="8" t="s">
        <v>717</v>
      </c>
      <c r="F7848" s="9">
        <f>DATE(2025,4,1)</f>
        <v>45748</v>
      </c>
      <c r="G7848" s="10">
        <f t="shared" si="704"/>
        <v>4</v>
      </c>
      <c r="H7848" s="10">
        <f t="shared" si="705"/>
        <v>2025</v>
      </c>
      <c r="I7848" s="8" t="s">
        <v>4</v>
      </c>
      <c r="J7848" s="7" t="s">
        <v>8351</v>
      </c>
      <c r="K7848" s="8" t="s">
        <v>649</v>
      </c>
      <c r="L7848" s="8" t="s">
        <v>538</v>
      </c>
      <c r="M7848" s="8" t="s">
        <v>4243</v>
      </c>
      <c r="N7848" s="10" t="str">
        <f t="shared" si="706"/>
        <v>GAL</v>
      </c>
      <c r="O7848" s="11">
        <v>500</v>
      </c>
    </row>
    <row r="7849" spans="2:15" x14ac:dyDescent="0.25">
      <c r="B7849" s="6" t="s">
        <v>1520</v>
      </c>
      <c r="C7849" s="7" t="s">
        <v>196</v>
      </c>
      <c r="D7849" s="8" t="s">
        <v>1343</v>
      </c>
      <c r="E7849" s="8" t="s">
        <v>3729</v>
      </c>
      <c r="F7849" s="9">
        <f>DATE(2025,4,1)</f>
        <v>45748</v>
      </c>
      <c r="G7849" s="10">
        <f t="shared" si="704"/>
        <v>4</v>
      </c>
      <c r="H7849" s="10">
        <f t="shared" si="705"/>
        <v>2025</v>
      </c>
      <c r="I7849" s="8" t="s">
        <v>4</v>
      </c>
      <c r="J7849" s="7" t="s">
        <v>8352</v>
      </c>
      <c r="K7849" s="8" t="s">
        <v>2350</v>
      </c>
      <c r="L7849" s="8" t="s">
        <v>2351</v>
      </c>
      <c r="M7849" s="8" t="s">
        <v>119</v>
      </c>
      <c r="N7849" s="10" t="str">
        <f t="shared" si="706"/>
        <v>TON</v>
      </c>
      <c r="O7849" s="11">
        <v>15.0025</v>
      </c>
    </row>
    <row r="7850" spans="2:15" x14ac:dyDescent="0.25">
      <c r="B7850" s="6" t="s">
        <v>1520</v>
      </c>
      <c r="C7850" s="7" t="s">
        <v>196</v>
      </c>
      <c r="D7850" s="8" t="s">
        <v>331</v>
      </c>
      <c r="E7850" s="8" t="s">
        <v>332</v>
      </c>
      <c r="F7850" s="9">
        <f>DATE(2025,4,1)</f>
        <v>45748</v>
      </c>
      <c r="G7850" s="10">
        <f t="shared" si="704"/>
        <v>4</v>
      </c>
      <c r="H7850" s="10">
        <f t="shared" si="705"/>
        <v>2025</v>
      </c>
      <c r="I7850" s="8" t="s">
        <v>4</v>
      </c>
      <c r="J7850" s="7" t="s">
        <v>8353</v>
      </c>
      <c r="K7850" s="8" t="s">
        <v>205</v>
      </c>
      <c r="L7850" s="8" t="s">
        <v>206</v>
      </c>
      <c r="M7850" s="8" t="s">
        <v>119</v>
      </c>
      <c r="N7850" s="10" t="str">
        <f t="shared" si="706"/>
        <v>TON</v>
      </c>
      <c r="O7850" s="11">
        <v>10.022500000000001</v>
      </c>
    </row>
    <row r="7851" spans="2:15" x14ac:dyDescent="0.25">
      <c r="B7851" s="6" t="s">
        <v>1520</v>
      </c>
      <c r="C7851" s="7" t="s">
        <v>196</v>
      </c>
      <c r="D7851" s="8" t="s">
        <v>114</v>
      </c>
      <c r="E7851" s="8" t="s">
        <v>927</v>
      </c>
      <c r="F7851" s="9">
        <f>DATE(2025,4,1)</f>
        <v>45748</v>
      </c>
      <c r="G7851" s="10">
        <f t="shared" si="704"/>
        <v>4</v>
      </c>
      <c r="H7851" s="10">
        <f t="shared" si="705"/>
        <v>2025</v>
      </c>
      <c r="I7851" s="8" t="s">
        <v>4</v>
      </c>
      <c r="J7851" s="7" t="s">
        <v>8354</v>
      </c>
      <c r="K7851" s="8" t="s">
        <v>2350</v>
      </c>
      <c r="L7851" s="8" t="s">
        <v>2351</v>
      </c>
      <c r="M7851" s="8" t="s">
        <v>119</v>
      </c>
      <c r="N7851" s="10" t="str">
        <f t="shared" si="706"/>
        <v>TON</v>
      </c>
      <c r="O7851" s="11">
        <v>4.4950000000000001</v>
      </c>
    </row>
    <row r="7852" spans="2:15" x14ac:dyDescent="0.25">
      <c r="B7852" s="6" t="s">
        <v>1520</v>
      </c>
      <c r="C7852" s="7" t="s">
        <v>196</v>
      </c>
      <c r="D7852" s="8" t="s">
        <v>660</v>
      </c>
      <c r="E7852" s="8" t="s">
        <v>661</v>
      </c>
      <c r="F7852" s="9">
        <f>DATE(2025,4,1)</f>
        <v>45748</v>
      </c>
      <c r="G7852" s="10">
        <f t="shared" si="704"/>
        <v>4</v>
      </c>
      <c r="H7852" s="10">
        <f t="shared" si="705"/>
        <v>2025</v>
      </c>
      <c r="I7852" s="8" t="s">
        <v>4</v>
      </c>
      <c r="J7852" s="7" t="s">
        <v>8355</v>
      </c>
      <c r="K7852" s="8" t="s">
        <v>205</v>
      </c>
      <c r="L7852" s="8" t="s">
        <v>206</v>
      </c>
      <c r="M7852" s="8" t="s">
        <v>119</v>
      </c>
      <c r="N7852" s="10" t="str">
        <f t="shared" si="706"/>
        <v>TON</v>
      </c>
      <c r="O7852" s="11">
        <v>4.0049999999999999</v>
      </c>
    </row>
    <row r="7853" spans="2:15" x14ac:dyDescent="0.25">
      <c r="B7853" s="6" t="s">
        <v>1520</v>
      </c>
      <c r="C7853" s="7" t="s">
        <v>196</v>
      </c>
      <c r="D7853" s="8" t="s">
        <v>232</v>
      </c>
      <c r="E7853" s="8" t="s">
        <v>778</v>
      </c>
      <c r="F7853" s="9">
        <f>DATE(2025,4,2)</f>
        <v>45749</v>
      </c>
      <c r="G7853" s="10">
        <f t="shared" si="704"/>
        <v>4</v>
      </c>
      <c r="H7853" s="10">
        <f t="shared" si="705"/>
        <v>2025</v>
      </c>
      <c r="I7853" s="8" t="s">
        <v>4</v>
      </c>
      <c r="J7853" s="7" t="s">
        <v>8356</v>
      </c>
      <c r="K7853" s="8" t="s">
        <v>823</v>
      </c>
      <c r="L7853" s="8" t="s">
        <v>776</v>
      </c>
      <c r="M7853" s="8" t="s">
        <v>82</v>
      </c>
      <c r="N7853" s="10" t="str">
        <f t="shared" si="706"/>
        <v>GAL</v>
      </c>
      <c r="O7853" s="11">
        <v>250</v>
      </c>
    </row>
    <row r="7854" spans="2:15" x14ac:dyDescent="0.25">
      <c r="B7854" s="6" t="s">
        <v>1520</v>
      </c>
      <c r="C7854" s="7" t="s">
        <v>196</v>
      </c>
      <c r="D7854" s="8" t="s">
        <v>232</v>
      </c>
      <c r="E7854" s="8" t="s">
        <v>778</v>
      </c>
      <c r="F7854" s="9">
        <f>DATE(2025,4,2)</f>
        <v>45749</v>
      </c>
      <c r="G7854" s="10">
        <f t="shared" si="704"/>
        <v>4</v>
      </c>
      <c r="H7854" s="10">
        <f t="shared" si="705"/>
        <v>2025</v>
      </c>
      <c r="I7854" s="8" t="s">
        <v>4</v>
      </c>
      <c r="J7854" s="7" t="s">
        <v>8356</v>
      </c>
      <c r="K7854" s="8" t="s">
        <v>822</v>
      </c>
      <c r="L7854" s="8" t="s">
        <v>565</v>
      </c>
      <c r="M7854" s="8" t="s">
        <v>21</v>
      </c>
      <c r="N7854" s="10" t="str">
        <f t="shared" si="706"/>
        <v>GAL</v>
      </c>
      <c r="O7854" s="11">
        <v>250</v>
      </c>
    </row>
    <row r="7855" spans="2:15" x14ac:dyDescent="0.25">
      <c r="B7855" s="6" t="s">
        <v>1520</v>
      </c>
      <c r="C7855" s="7" t="s">
        <v>196</v>
      </c>
      <c r="D7855" s="8" t="s">
        <v>232</v>
      </c>
      <c r="E7855" s="8" t="s">
        <v>6657</v>
      </c>
      <c r="F7855" s="9">
        <f>DATE(2025,4,2)</f>
        <v>45749</v>
      </c>
      <c r="G7855" s="10">
        <f t="shared" si="704"/>
        <v>4</v>
      </c>
      <c r="H7855" s="10">
        <f t="shared" si="705"/>
        <v>2025</v>
      </c>
      <c r="I7855" s="8" t="s">
        <v>4</v>
      </c>
      <c r="J7855" s="7" t="s">
        <v>8357</v>
      </c>
      <c r="K7855" s="8" t="s">
        <v>205</v>
      </c>
      <c r="L7855" s="8" t="s">
        <v>206</v>
      </c>
      <c r="M7855" s="8" t="s">
        <v>119</v>
      </c>
      <c r="N7855" s="10" t="str">
        <f t="shared" si="706"/>
        <v>TON</v>
      </c>
      <c r="O7855" s="11">
        <v>15.035</v>
      </c>
    </row>
    <row r="7856" spans="2:15" x14ac:dyDescent="0.25">
      <c r="B7856" s="6" t="s">
        <v>1520</v>
      </c>
      <c r="C7856" s="7" t="s">
        <v>196</v>
      </c>
      <c r="D7856" s="8" t="s">
        <v>218</v>
      </c>
      <c r="E7856" s="8" t="s">
        <v>3179</v>
      </c>
      <c r="F7856" s="9">
        <f>DATE(2025,4,3)</f>
        <v>45750</v>
      </c>
      <c r="G7856" s="10">
        <f t="shared" si="704"/>
        <v>4</v>
      </c>
      <c r="H7856" s="10">
        <f t="shared" si="705"/>
        <v>2025</v>
      </c>
      <c r="I7856" s="8" t="s">
        <v>4</v>
      </c>
      <c r="J7856" s="7" t="s">
        <v>8358</v>
      </c>
      <c r="K7856" s="8" t="s">
        <v>220</v>
      </c>
      <c r="L7856" s="8" t="s">
        <v>201</v>
      </c>
      <c r="M7856" s="8" t="s">
        <v>202</v>
      </c>
      <c r="N7856" s="10" t="str">
        <f t="shared" si="706"/>
        <v>GAL</v>
      </c>
      <c r="O7856" s="11">
        <v>250</v>
      </c>
    </row>
    <row r="7857" spans="2:15" x14ac:dyDescent="0.25">
      <c r="B7857" s="6" t="s">
        <v>1520</v>
      </c>
      <c r="C7857" s="7" t="s">
        <v>196</v>
      </c>
      <c r="D7857" s="8" t="s">
        <v>721</v>
      </c>
      <c r="E7857" s="8" t="s">
        <v>971</v>
      </c>
      <c r="F7857" s="9">
        <f>DATE(2025,4,4)</f>
        <v>45751</v>
      </c>
      <c r="G7857" s="10">
        <f t="shared" si="704"/>
        <v>4</v>
      </c>
      <c r="H7857" s="10">
        <f t="shared" si="705"/>
        <v>2025</v>
      </c>
      <c r="I7857" s="8" t="s">
        <v>4</v>
      </c>
      <c r="J7857" s="7" t="s">
        <v>8359</v>
      </c>
      <c r="K7857" s="8" t="s">
        <v>205</v>
      </c>
      <c r="L7857" s="8" t="s">
        <v>206</v>
      </c>
      <c r="M7857" s="8" t="s">
        <v>119</v>
      </c>
      <c r="N7857" s="10" t="str">
        <f t="shared" si="706"/>
        <v>TON</v>
      </c>
      <c r="O7857" s="11">
        <v>5</v>
      </c>
    </row>
    <row r="7858" spans="2:15" x14ac:dyDescent="0.25">
      <c r="B7858" s="6" t="s">
        <v>1520</v>
      </c>
      <c r="C7858" s="7" t="s">
        <v>196</v>
      </c>
      <c r="D7858" s="8" t="s">
        <v>317</v>
      </c>
      <c r="E7858" s="8" t="s">
        <v>677</v>
      </c>
      <c r="F7858" s="9">
        <f>DATE(2025,4,3)</f>
        <v>45750</v>
      </c>
      <c r="G7858" s="10">
        <f t="shared" si="704"/>
        <v>4</v>
      </c>
      <c r="H7858" s="10">
        <f t="shared" si="705"/>
        <v>2025</v>
      </c>
      <c r="I7858" s="8" t="s">
        <v>4</v>
      </c>
      <c r="J7858" s="7" t="s">
        <v>8360</v>
      </c>
      <c r="K7858" s="8" t="s">
        <v>2350</v>
      </c>
      <c r="L7858" s="8" t="s">
        <v>2351</v>
      </c>
      <c r="M7858" s="8" t="s">
        <v>119</v>
      </c>
      <c r="N7858" s="10" t="str">
        <f t="shared" si="706"/>
        <v>TON</v>
      </c>
      <c r="O7858" s="11">
        <v>4.0049999999999999</v>
      </c>
    </row>
    <row r="7859" spans="2:15" x14ac:dyDescent="0.25">
      <c r="B7859" s="6" t="s">
        <v>1520</v>
      </c>
      <c r="C7859" s="7" t="s">
        <v>196</v>
      </c>
      <c r="D7859" s="8" t="s">
        <v>207</v>
      </c>
      <c r="E7859" s="8" t="s">
        <v>208</v>
      </c>
      <c r="F7859" s="9">
        <f>DATE(2025,4,3)</f>
        <v>45750</v>
      </c>
      <c r="G7859" s="10">
        <f t="shared" si="704"/>
        <v>4</v>
      </c>
      <c r="H7859" s="10">
        <f t="shared" si="705"/>
        <v>2025</v>
      </c>
      <c r="I7859" s="8" t="s">
        <v>4</v>
      </c>
      <c r="J7859" s="7" t="s">
        <v>8361</v>
      </c>
      <c r="K7859" s="8" t="s">
        <v>205</v>
      </c>
      <c r="L7859" s="8" t="s">
        <v>206</v>
      </c>
      <c r="M7859" s="8" t="s">
        <v>119</v>
      </c>
      <c r="N7859" s="10" t="str">
        <f t="shared" si="706"/>
        <v>TON</v>
      </c>
      <c r="O7859" s="11">
        <v>3.7650000000000001</v>
      </c>
    </row>
    <row r="7860" spans="2:15" x14ac:dyDescent="0.25">
      <c r="B7860" s="6" t="s">
        <v>1520</v>
      </c>
      <c r="C7860" s="7" t="s">
        <v>196</v>
      </c>
      <c r="D7860" s="8" t="s">
        <v>289</v>
      </c>
      <c r="E7860" s="8" t="s">
        <v>2380</v>
      </c>
      <c r="F7860" s="9">
        <f>DATE(2025,4,3)</f>
        <v>45750</v>
      </c>
      <c r="G7860" s="10">
        <f t="shared" si="704"/>
        <v>4</v>
      </c>
      <c r="H7860" s="10">
        <f t="shared" si="705"/>
        <v>2025</v>
      </c>
      <c r="I7860" s="8" t="s">
        <v>4</v>
      </c>
      <c r="J7860" s="7" t="s">
        <v>8362</v>
      </c>
      <c r="K7860" s="8" t="s">
        <v>292</v>
      </c>
      <c r="L7860" s="8" t="s">
        <v>293</v>
      </c>
      <c r="M7860" s="8" t="s">
        <v>119</v>
      </c>
      <c r="N7860" s="10" t="str">
        <f t="shared" si="706"/>
        <v>TON</v>
      </c>
      <c r="O7860" s="11">
        <v>1</v>
      </c>
    </row>
    <row r="7861" spans="2:15" x14ac:dyDescent="0.25">
      <c r="B7861" s="6" t="s">
        <v>1520</v>
      </c>
      <c r="C7861" s="7" t="s">
        <v>196</v>
      </c>
      <c r="D7861" s="8" t="s">
        <v>1343</v>
      </c>
      <c r="E7861" s="8" t="s">
        <v>4151</v>
      </c>
      <c r="F7861" s="9">
        <f>DATE(2025,4,3)</f>
        <v>45750</v>
      </c>
      <c r="G7861" s="10">
        <f t="shared" si="704"/>
        <v>4</v>
      </c>
      <c r="H7861" s="10">
        <f t="shared" si="705"/>
        <v>2025</v>
      </c>
      <c r="I7861" s="8" t="s">
        <v>4</v>
      </c>
      <c r="J7861" s="7" t="s">
        <v>8363</v>
      </c>
      <c r="K7861" s="8" t="s">
        <v>2350</v>
      </c>
      <c r="L7861" s="8" t="s">
        <v>2351</v>
      </c>
      <c r="M7861" s="8" t="s">
        <v>119</v>
      </c>
      <c r="N7861" s="10" t="str">
        <f t="shared" si="706"/>
        <v>TON</v>
      </c>
      <c r="O7861" s="11">
        <v>14.9975</v>
      </c>
    </row>
    <row r="7862" spans="2:15" x14ac:dyDescent="0.25">
      <c r="B7862" s="6" t="s">
        <v>1520</v>
      </c>
      <c r="C7862" s="7" t="s">
        <v>196</v>
      </c>
      <c r="D7862" s="8" t="s">
        <v>387</v>
      </c>
      <c r="E7862" s="8" t="s">
        <v>797</v>
      </c>
      <c r="F7862" s="9">
        <f>DATE(2025,4,4)</f>
        <v>45751</v>
      </c>
      <c r="G7862" s="10">
        <f t="shared" si="704"/>
        <v>4</v>
      </c>
      <c r="H7862" s="10">
        <f t="shared" si="705"/>
        <v>2025</v>
      </c>
      <c r="I7862" s="8" t="s">
        <v>4</v>
      </c>
      <c r="J7862" s="7" t="s">
        <v>8364</v>
      </c>
      <c r="K7862" s="8" t="s">
        <v>2350</v>
      </c>
      <c r="L7862" s="8" t="s">
        <v>2351</v>
      </c>
      <c r="M7862" s="8" t="s">
        <v>119</v>
      </c>
      <c r="N7862" s="10" t="str">
        <f t="shared" si="706"/>
        <v>TON</v>
      </c>
      <c r="O7862" s="11">
        <v>15</v>
      </c>
    </row>
    <row r="7863" spans="2:15" x14ac:dyDescent="0.25">
      <c r="B7863" s="6" t="s">
        <v>1520</v>
      </c>
      <c r="C7863" s="7" t="s">
        <v>196</v>
      </c>
      <c r="D7863" s="8" t="s">
        <v>114</v>
      </c>
      <c r="E7863" s="8" t="s">
        <v>491</v>
      </c>
      <c r="F7863" s="9">
        <f>DATE(2025,4,4)</f>
        <v>45751</v>
      </c>
      <c r="G7863" s="10">
        <f t="shared" si="704"/>
        <v>4</v>
      </c>
      <c r="H7863" s="10">
        <f t="shared" si="705"/>
        <v>2025</v>
      </c>
      <c r="I7863" s="8" t="s">
        <v>4</v>
      </c>
      <c r="J7863" s="7" t="s">
        <v>8365</v>
      </c>
      <c r="K7863" s="8" t="s">
        <v>2350</v>
      </c>
      <c r="L7863" s="8" t="s">
        <v>2351</v>
      </c>
      <c r="M7863" s="8" t="s">
        <v>119</v>
      </c>
      <c r="N7863" s="10" t="str">
        <f t="shared" si="706"/>
        <v>TON</v>
      </c>
      <c r="O7863" s="11">
        <v>2.9975000000000001</v>
      </c>
    </row>
    <row r="7864" spans="2:15" x14ac:dyDescent="0.25">
      <c r="B7864" s="6" t="s">
        <v>1520</v>
      </c>
      <c r="C7864" s="7" t="s">
        <v>196</v>
      </c>
      <c r="D7864" s="8" t="s">
        <v>440</v>
      </c>
      <c r="E7864" s="8" t="s">
        <v>441</v>
      </c>
      <c r="F7864" s="9">
        <f>DATE(2025,4,4)</f>
        <v>45751</v>
      </c>
      <c r="G7864" s="10">
        <f t="shared" si="704"/>
        <v>4</v>
      </c>
      <c r="H7864" s="10">
        <f t="shared" si="705"/>
        <v>2025</v>
      </c>
      <c r="I7864" s="8" t="s">
        <v>4</v>
      </c>
      <c r="J7864" s="7" t="s">
        <v>8366</v>
      </c>
      <c r="K7864" s="8" t="s">
        <v>2350</v>
      </c>
      <c r="L7864" s="8" t="s">
        <v>2351</v>
      </c>
      <c r="M7864" s="8" t="s">
        <v>119</v>
      </c>
      <c r="N7864" s="10" t="str">
        <f t="shared" si="706"/>
        <v>TON</v>
      </c>
      <c r="O7864" s="11">
        <v>5.0025000000000004</v>
      </c>
    </row>
    <row r="7865" spans="2:15" x14ac:dyDescent="0.25">
      <c r="B7865" s="6" t="s">
        <v>1520</v>
      </c>
      <c r="C7865" s="7" t="s">
        <v>196</v>
      </c>
      <c r="D7865" s="8" t="s">
        <v>215</v>
      </c>
      <c r="E7865" s="8" t="s">
        <v>315</v>
      </c>
      <c r="F7865" s="9">
        <f>DATE(2025,4,4)</f>
        <v>45751</v>
      </c>
      <c r="G7865" s="10">
        <f t="shared" si="704"/>
        <v>4</v>
      </c>
      <c r="H7865" s="10">
        <f t="shared" si="705"/>
        <v>2025</v>
      </c>
      <c r="I7865" s="8" t="s">
        <v>4</v>
      </c>
      <c r="J7865" s="7" t="s">
        <v>8367</v>
      </c>
      <c r="K7865" s="8" t="s">
        <v>205</v>
      </c>
      <c r="L7865" s="8" t="s">
        <v>206</v>
      </c>
      <c r="M7865" s="8" t="s">
        <v>119</v>
      </c>
      <c r="N7865" s="10" t="str">
        <f t="shared" si="706"/>
        <v>TON</v>
      </c>
      <c r="O7865" s="11">
        <v>4.0125000000000002</v>
      </c>
    </row>
    <row r="7866" spans="2:15" x14ac:dyDescent="0.25">
      <c r="B7866" s="6" t="s">
        <v>1520</v>
      </c>
      <c r="C7866" s="7" t="s">
        <v>196</v>
      </c>
      <c r="D7866" s="8" t="s">
        <v>289</v>
      </c>
      <c r="E7866" s="8" t="s">
        <v>290</v>
      </c>
      <c r="F7866" s="9">
        <f>DATE(2025,4,4)</f>
        <v>45751</v>
      </c>
      <c r="G7866" s="10">
        <f t="shared" si="704"/>
        <v>4</v>
      </c>
      <c r="H7866" s="10">
        <f t="shared" si="705"/>
        <v>2025</v>
      </c>
      <c r="I7866" s="8" t="s">
        <v>4</v>
      </c>
      <c r="J7866" s="7" t="s">
        <v>8368</v>
      </c>
      <c r="K7866" s="8" t="s">
        <v>268</v>
      </c>
      <c r="L7866" s="8" t="s">
        <v>269</v>
      </c>
      <c r="M7866" s="8" t="s">
        <v>119</v>
      </c>
      <c r="N7866" s="10" t="str">
        <f t="shared" si="706"/>
        <v>TON</v>
      </c>
      <c r="O7866" s="11">
        <v>1</v>
      </c>
    </row>
    <row r="7867" spans="2:15" x14ac:dyDescent="0.25">
      <c r="B7867" s="6" t="s">
        <v>1520</v>
      </c>
      <c r="C7867" s="7" t="s">
        <v>196</v>
      </c>
      <c r="D7867" s="8" t="s">
        <v>276</v>
      </c>
      <c r="E7867" s="8" t="s">
        <v>682</v>
      </c>
      <c r="F7867" s="9">
        <f t="shared" ref="F7867:F7872" si="707">DATE(2025,4,7)</f>
        <v>45754</v>
      </c>
      <c r="G7867" s="10">
        <f t="shared" si="704"/>
        <v>4</v>
      </c>
      <c r="H7867" s="10">
        <f t="shared" si="705"/>
        <v>2025</v>
      </c>
      <c r="I7867" s="8" t="s">
        <v>4</v>
      </c>
      <c r="J7867" s="7" t="s">
        <v>8369</v>
      </c>
      <c r="K7867" s="8" t="s">
        <v>205</v>
      </c>
      <c r="L7867" s="8" t="s">
        <v>206</v>
      </c>
      <c r="M7867" s="8" t="s">
        <v>119</v>
      </c>
      <c r="N7867" s="10" t="str">
        <f t="shared" si="706"/>
        <v>TON</v>
      </c>
      <c r="O7867" s="11">
        <v>4.0225</v>
      </c>
    </row>
    <row r="7868" spans="2:15" x14ac:dyDescent="0.25">
      <c r="B7868" s="6" t="s">
        <v>1520</v>
      </c>
      <c r="C7868" s="7" t="s">
        <v>196</v>
      </c>
      <c r="D7868" s="8" t="s">
        <v>283</v>
      </c>
      <c r="E7868" s="8" t="s">
        <v>699</v>
      </c>
      <c r="F7868" s="9">
        <f t="shared" si="707"/>
        <v>45754</v>
      </c>
      <c r="G7868" s="10">
        <f t="shared" si="704"/>
        <v>4</v>
      </c>
      <c r="H7868" s="10">
        <f t="shared" si="705"/>
        <v>2025</v>
      </c>
      <c r="I7868" s="8" t="s">
        <v>4</v>
      </c>
      <c r="J7868" s="7" t="s">
        <v>8370</v>
      </c>
      <c r="K7868" s="8" t="s">
        <v>384</v>
      </c>
      <c r="L7868" s="8" t="s">
        <v>385</v>
      </c>
      <c r="M7868" s="8" t="s">
        <v>119</v>
      </c>
      <c r="N7868" s="10" t="str">
        <f t="shared" si="706"/>
        <v>TON</v>
      </c>
      <c r="O7868" s="11">
        <v>1</v>
      </c>
    </row>
    <row r="7869" spans="2:15" x14ac:dyDescent="0.25">
      <c r="B7869" s="6" t="s">
        <v>1520</v>
      </c>
      <c r="C7869" s="7" t="s">
        <v>196</v>
      </c>
      <c r="D7869" s="8" t="s">
        <v>285</v>
      </c>
      <c r="E7869" s="8" t="s">
        <v>297</v>
      </c>
      <c r="F7869" s="9">
        <f t="shared" si="707"/>
        <v>45754</v>
      </c>
      <c r="G7869" s="10">
        <f t="shared" si="704"/>
        <v>4</v>
      </c>
      <c r="H7869" s="10">
        <f t="shared" si="705"/>
        <v>2025</v>
      </c>
      <c r="I7869" s="8" t="s">
        <v>4</v>
      </c>
      <c r="J7869" s="7" t="s">
        <v>8371</v>
      </c>
      <c r="K7869" s="8" t="s">
        <v>205</v>
      </c>
      <c r="L7869" s="8" t="s">
        <v>206</v>
      </c>
      <c r="M7869" s="8" t="s">
        <v>119</v>
      </c>
      <c r="N7869" s="10" t="str">
        <f t="shared" si="706"/>
        <v>TON</v>
      </c>
      <c r="O7869" s="11">
        <v>15.01</v>
      </c>
    </row>
    <row r="7870" spans="2:15" x14ac:dyDescent="0.25">
      <c r="B7870" s="6" t="s">
        <v>1520</v>
      </c>
      <c r="C7870" s="7" t="s">
        <v>196</v>
      </c>
      <c r="D7870" s="8" t="s">
        <v>440</v>
      </c>
      <c r="E7870" s="8" t="s">
        <v>1369</v>
      </c>
      <c r="F7870" s="9">
        <f t="shared" si="707"/>
        <v>45754</v>
      </c>
      <c r="G7870" s="10">
        <f t="shared" si="704"/>
        <v>4</v>
      </c>
      <c r="H7870" s="10">
        <f t="shared" si="705"/>
        <v>2025</v>
      </c>
      <c r="I7870" s="8" t="s">
        <v>4</v>
      </c>
      <c r="J7870" s="7" t="s">
        <v>8372</v>
      </c>
      <c r="K7870" s="8" t="s">
        <v>2350</v>
      </c>
      <c r="L7870" s="8" t="s">
        <v>2351</v>
      </c>
      <c r="M7870" s="8" t="s">
        <v>119</v>
      </c>
      <c r="N7870" s="10" t="str">
        <f t="shared" si="706"/>
        <v>TON</v>
      </c>
      <c r="O7870" s="11">
        <v>5.0149999999999997</v>
      </c>
    </row>
    <row r="7871" spans="2:15" x14ac:dyDescent="0.25">
      <c r="B7871" s="6" t="s">
        <v>1520</v>
      </c>
      <c r="C7871" s="7" t="s">
        <v>196</v>
      </c>
      <c r="D7871" s="8" t="s">
        <v>440</v>
      </c>
      <c r="E7871" s="8" t="s">
        <v>1274</v>
      </c>
      <c r="F7871" s="9">
        <f t="shared" si="707"/>
        <v>45754</v>
      </c>
      <c r="G7871" s="10">
        <f t="shared" si="704"/>
        <v>4</v>
      </c>
      <c r="H7871" s="10">
        <f t="shared" si="705"/>
        <v>2025</v>
      </c>
      <c r="I7871" s="8" t="s">
        <v>4</v>
      </c>
      <c r="J7871" s="7" t="s">
        <v>8373</v>
      </c>
      <c r="K7871" s="8" t="s">
        <v>2350</v>
      </c>
      <c r="L7871" s="8" t="s">
        <v>2351</v>
      </c>
      <c r="M7871" s="8" t="s">
        <v>119</v>
      </c>
      <c r="N7871" s="10" t="str">
        <f t="shared" si="706"/>
        <v>TON</v>
      </c>
      <c r="O7871" s="11">
        <v>5.0149999999999997</v>
      </c>
    </row>
    <row r="7872" spans="2:15" x14ac:dyDescent="0.25">
      <c r="B7872" s="6" t="s">
        <v>1520</v>
      </c>
      <c r="C7872" s="7" t="s">
        <v>196</v>
      </c>
      <c r="D7872" s="8" t="s">
        <v>1343</v>
      </c>
      <c r="E7872" s="8" t="s">
        <v>3729</v>
      </c>
      <c r="F7872" s="9">
        <f t="shared" si="707"/>
        <v>45754</v>
      </c>
      <c r="G7872" s="10">
        <f t="shared" si="704"/>
        <v>4</v>
      </c>
      <c r="H7872" s="10">
        <f t="shared" si="705"/>
        <v>2025</v>
      </c>
      <c r="I7872" s="8" t="s">
        <v>4</v>
      </c>
      <c r="J7872" s="7" t="s">
        <v>8374</v>
      </c>
      <c r="K7872" s="8" t="s">
        <v>220</v>
      </c>
      <c r="L7872" s="8" t="s">
        <v>201</v>
      </c>
      <c r="M7872" s="8" t="s">
        <v>202</v>
      </c>
      <c r="N7872" s="10" t="str">
        <f t="shared" si="706"/>
        <v>GAL</v>
      </c>
      <c r="O7872" s="11">
        <v>500</v>
      </c>
    </row>
    <row r="7873" spans="2:15" x14ac:dyDescent="0.25">
      <c r="B7873" s="6" t="s">
        <v>1520</v>
      </c>
      <c r="C7873" s="7" t="s">
        <v>196</v>
      </c>
      <c r="D7873" s="8" t="s">
        <v>458</v>
      </c>
      <c r="E7873" s="8" t="s">
        <v>1177</v>
      </c>
      <c r="F7873" s="9">
        <f t="shared" ref="F7873:F7878" si="708">DATE(2025,4,8)</f>
        <v>45755</v>
      </c>
      <c r="G7873" s="10">
        <f t="shared" si="704"/>
        <v>4</v>
      </c>
      <c r="H7873" s="10">
        <f t="shared" si="705"/>
        <v>2025</v>
      </c>
      <c r="I7873" s="8" t="s">
        <v>4</v>
      </c>
      <c r="J7873" s="7" t="s">
        <v>8375</v>
      </c>
      <c r="K7873" s="8" t="s">
        <v>205</v>
      </c>
      <c r="L7873" s="8" t="s">
        <v>206</v>
      </c>
      <c r="M7873" s="8" t="s">
        <v>119</v>
      </c>
      <c r="N7873" s="10" t="str">
        <f t="shared" si="706"/>
        <v>TON</v>
      </c>
      <c r="O7873" s="11">
        <v>3</v>
      </c>
    </row>
    <row r="7874" spans="2:15" x14ac:dyDescent="0.25">
      <c r="B7874" s="6" t="s">
        <v>1520</v>
      </c>
      <c r="C7874" s="7" t="s">
        <v>196</v>
      </c>
      <c r="D7874" s="8" t="s">
        <v>215</v>
      </c>
      <c r="E7874" s="8" t="s">
        <v>4113</v>
      </c>
      <c r="F7874" s="9">
        <f t="shared" si="708"/>
        <v>45755</v>
      </c>
      <c r="G7874" s="10">
        <f t="shared" si="704"/>
        <v>4</v>
      </c>
      <c r="H7874" s="10">
        <f t="shared" si="705"/>
        <v>2025</v>
      </c>
      <c r="I7874" s="8" t="s">
        <v>4</v>
      </c>
      <c r="J7874" s="7" t="s">
        <v>8376</v>
      </c>
      <c r="K7874" s="8" t="s">
        <v>205</v>
      </c>
      <c r="L7874" s="8" t="s">
        <v>206</v>
      </c>
      <c r="M7874" s="8" t="s">
        <v>119</v>
      </c>
      <c r="N7874" s="10" t="str">
        <f t="shared" si="706"/>
        <v>TON</v>
      </c>
      <c r="O7874" s="11">
        <v>12.52</v>
      </c>
    </row>
    <row r="7875" spans="2:15" x14ac:dyDescent="0.25">
      <c r="B7875" s="6" t="s">
        <v>1520</v>
      </c>
      <c r="C7875" s="7" t="s">
        <v>196</v>
      </c>
      <c r="D7875" s="8" t="s">
        <v>215</v>
      </c>
      <c r="E7875" s="8" t="s">
        <v>4113</v>
      </c>
      <c r="F7875" s="9">
        <f t="shared" si="708"/>
        <v>45755</v>
      </c>
      <c r="G7875" s="10">
        <f t="shared" si="704"/>
        <v>4</v>
      </c>
      <c r="H7875" s="10">
        <f t="shared" si="705"/>
        <v>2025</v>
      </c>
      <c r="I7875" s="8" t="s">
        <v>4</v>
      </c>
      <c r="J7875" s="7" t="s">
        <v>8377</v>
      </c>
      <c r="K7875" s="8" t="s">
        <v>220</v>
      </c>
      <c r="L7875" s="8" t="s">
        <v>201</v>
      </c>
      <c r="M7875" s="8" t="s">
        <v>202</v>
      </c>
      <c r="N7875" s="10" t="str">
        <f t="shared" si="706"/>
        <v>GAL</v>
      </c>
      <c r="O7875" s="11">
        <v>250</v>
      </c>
    </row>
    <row r="7876" spans="2:15" x14ac:dyDescent="0.25">
      <c r="B7876" s="6" t="s">
        <v>1520</v>
      </c>
      <c r="C7876" s="7" t="s">
        <v>196</v>
      </c>
      <c r="D7876" s="8" t="s">
        <v>215</v>
      </c>
      <c r="E7876" s="8" t="s">
        <v>4113</v>
      </c>
      <c r="F7876" s="9">
        <f t="shared" si="708"/>
        <v>45755</v>
      </c>
      <c r="G7876" s="10">
        <f t="shared" ref="G7876:G7939" si="709">+MONTH(F7876)</f>
        <v>4</v>
      </c>
      <c r="H7876" s="10">
        <f t="shared" ref="H7876:H7939" si="710">+YEAR(F7876)</f>
        <v>2025</v>
      </c>
      <c r="I7876" s="8" t="s">
        <v>4</v>
      </c>
      <c r="J7876" s="7" t="s">
        <v>8377</v>
      </c>
      <c r="K7876" s="8" t="s">
        <v>823</v>
      </c>
      <c r="L7876" s="8" t="s">
        <v>776</v>
      </c>
      <c r="M7876" s="8" t="s">
        <v>82</v>
      </c>
      <c r="N7876" s="10" t="str">
        <f t="shared" si="706"/>
        <v>GAL</v>
      </c>
      <c r="O7876" s="11">
        <v>250</v>
      </c>
    </row>
    <row r="7877" spans="2:15" x14ac:dyDescent="0.25">
      <c r="B7877" s="6" t="s">
        <v>1520</v>
      </c>
      <c r="C7877" s="7" t="s">
        <v>196</v>
      </c>
      <c r="D7877" s="8" t="s">
        <v>215</v>
      </c>
      <c r="E7877" s="8" t="s">
        <v>4113</v>
      </c>
      <c r="F7877" s="9">
        <f t="shared" si="708"/>
        <v>45755</v>
      </c>
      <c r="G7877" s="10">
        <f t="shared" si="709"/>
        <v>4</v>
      </c>
      <c r="H7877" s="10">
        <f t="shared" si="710"/>
        <v>2025</v>
      </c>
      <c r="I7877" s="8" t="s">
        <v>4</v>
      </c>
      <c r="J7877" s="7" t="s">
        <v>8377</v>
      </c>
      <c r="K7877" s="8" t="s">
        <v>822</v>
      </c>
      <c r="L7877" s="8" t="s">
        <v>565</v>
      </c>
      <c r="M7877" s="8" t="s">
        <v>21</v>
      </c>
      <c r="N7877" s="10" t="str">
        <f t="shared" ref="N7877:N7940" si="711">+LEFT(M7877,3)</f>
        <v>GAL</v>
      </c>
      <c r="O7877" s="11">
        <v>250</v>
      </c>
    </row>
    <row r="7878" spans="2:15" x14ac:dyDescent="0.25">
      <c r="B7878" s="6" t="s">
        <v>1520</v>
      </c>
      <c r="C7878" s="7" t="s">
        <v>196</v>
      </c>
      <c r="D7878" s="8" t="s">
        <v>721</v>
      </c>
      <c r="E7878" s="8" t="s">
        <v>8378</v>
      </c>
      <c r="F7878" s="9">
        <f t="shared" si="708"/>
        <v>45755</v>
      </c>
      <c r="G7878" s="10">
        <f t="shared" si="709"/>
        <v>4</v>
      </c>
      <c r="H7878" s="10">
        <f t="shared" si="710"/>
        <v>2025</v>
      </c>
      <c r="I7878" s="8" t="s">
        <v>4</v>
      </c>
      <c r="J7878" s="7" t="s">
        <v>8379</v>
      </c>
      <c r="K7878" s="8" t="s">
        <v>205</v>
      </c>
      <c r="L7878" s="8" t="s">
        <v>206</v>
      </c>
      <c r="M7878" s="8" t="s">
        <v>119</v>
      </c>
      <c r="N7878" s="10" t="str">
        <f t="shared" si="711"/>
        <v>TON</v>
      </c>
      <c r="O7878" s="11">
        <v>3.75</v>
      </c>
    </row>
    <row r="7879" spans="2:15" x14ac:dyDescent="0.25">
      <c r="B7879" s="6" t="s">
        <v>1520</v>
      </c>
      <c r="C7879" s="7" t="s">
        <v>196</v>
      </c>
      <c r="D7879" s="8" t="s">
        <v>374</v>
      </c>
      <c r="E7879" s="8" t="s">
        <v>710</v>
      </c>
      <c r="F7879" s="9">
        <f t="shared" ref="F7879:F7887" si="712">DATE(2025,4,9)</f>
        <v>45756</v>
      </c>
      <c r="G7879" s="10">
        <f t="shared" si="709"/>
        <v>4</v>
      </c>
      <c r="H7879" s="10">
        <f t="shared" si="710"/>
        <v>2025</v>
      </c>
      <c r="I7879" s="8" t="s">
        <v>4</v>
      </c>
      <c r="J7879" s="7" t="s">
        <v>8380</v>
      </c>
      <c r="K7879" s="8" t="s">
        <v>329</v>
      </c>
      <c r="L7879" s="8" t="s">
        <v>330</v>
      </c>
      <c r="M7879" s="8" t="s">
        <v>119</v>
      </c>
      <c r="N7879" s="10" t="str">
        <f t="shared" si="711"/>
        <v>TON</v>
      </c>
      <c r="O7879" s="11">
        <v>15.022500000000001</v>
      </c>
    </row>
    <row r="7880" spans="2:15" x14ac:dyDescent="0.25">
      <c r="B7880" s="6" t="s">
        <v>1520</v>
      </c>
      <c r="C7880" s="7" t="s">
        <v>196</v>
      </c>
      <c r="D7880" s="8" t="s">
        <v>440</v>
      </c>
      <c r="E7880" s="8" t="s">
        <v>441</v>
      </c>
      <c r="F7880" s="9">
        <f t="shared" si="712"/>
        <v>45756</v>
      </c>
      <c r="G7880" s="10">
        <f t="shared" si="709"/>
        <v>4</v>
      </c>
      <c r="H7880" s="10">
        <f t="shared" si="710"/>
        <v>2025</v>
      </c>
      <c r="I7880" s="8" t="s">
        <v>4</v>
      </c>
      <c r="J7880" s="7" t="s">
        <v>8381</v>
      </c>
      <c r="K7880" s="8" t="s">
        <v>2350</v>
      </c>
      <c r="L7880" s="8" t="s">
        <v>2351</v>
      </c>
      <c r="M7880" s="8" t="s">
        <v>119</v>
      </c>
      <c r="N7880" s="10" t="str">
        <f t="shared" si="711"/>
        <v>TON</v>
      </c>
      <c r="O7880" s="11">
        <v>4.9800000000000004</v>
      </c>
    </row>
    <row r="7881" spans="2:15" x14ac:dyDescent="0.25">
      <c r="B7881" s="6" t="s">
        <v>1520</v>
      </c>
      <c r="C7881" s="7" t="s">
        <v>196</v>
      </c>
      <c r="D7881" s="8" t="s">
        <v>3767</v>
      </c>
      <c r="E7881" s="8" t="s">
        <v>271</v>
      </c>
      <c r="F7881" s="9">
        <f t="shared" si="712"/>
        <v>45756</v>
      </c>
      <c r="G7881" s="10">
        <f t="shared" si="709"/>
        <v>4</v>
      </c>
      <c r="H7881" s="10">
        <f t="shared" si="710"/>
        <v>2025</v>
      </c>
      <c r="I7881" s="8" t="s">
        <v>4</v>
      </c>
      <c r="J7881" s="7" t="s">
        <v>8382</v>
      </c>
      <c r="K7881" s="8" t="s">
        <v>205</v>
      </c>
      <c r="L7881" s="8" t="s">
        <v>206</v>
      </c>
      <c r="M7881" s="8" t="s">
        <v>119</v>
      </c>
      <c r="N7881" s="10" t="str">
        <f t="shared" si="711"/>
        <v>TON</v>
      </c>
      <c r="O7881" s="11">
        <v>2.5125000000000002</v>
      </c>
    </row>
    <row r="7882" spans="2:15" x14ac:dyDescent="0.25">
      <c r="B7882" s="6" t="s">
        <v>1520</v>
      </c>
      <c r="C7882" s="7" t="s">
        <v>196</v>
      </c>
      <c r="D7882" s="8" t="s">
        <v>197</v>
      </c>
      <c r="E7882" s="8" t="s">
        <v>198</v>
      </c>
      <c r="F7882" s="9">
        <f t="shared" si="712"/>
        <v>45756</v>
      </c>
      <c r="G7882" s="10">
        <f t="shared" si="709"/>
        <v>4</v>
      </c>
      <c r="H7882" s="10">
        <f t="shared" si="710"/>
        <v>2025</v>
      </c>
      <c r="I7882" s="8" t="s">
        <v>4</v>
      </c>
      <c r="J7882" s="7" t="s">
        <v>8383</v>
      </c>
      <c r="K7882" s="8" t="s">
        <v>307</v>
      </c>
      <c r="L7882" s="8" t="s">
        <v>308</v>
      </c>
      <c r="M7882" s="8" t="s">
        <v>119</v>
      </c>
      <c r="N7882" s="10" t="str">
        <f t="shared" si="711"/>
        <v>TON</v>
      </c>
      <c r="O7882" s="11">
        <v>3.5125000000000002</v>
      </c>
    </row>
    <row r="7883" spans="2:15" x14ac:dyDescent="0.25">
      <c r="B7883" s="6" t="s">
        <v>645</v>
      </c>
      <c r="C7883" s="7" t="s">
        <v>196</v>
      </c>
      <c r="D7883" s="8" t="s">
        <v>283</v>
      </c>
      <c r="E7883" s="8" t="s">
        <v>102</v>
      </c>
      <c r="F7883" s="9">
        <f t="shared" si="712"/>
        <v>45756</v>
      </c>
      <c r="G7883" s="10">
        <f t="shared" si="709"/>
        <v>4</v>
      </c>
      <c r="H7883" s="10">
        <f t="shared" si="710"/>
        <v>2025</v>
      </c>
      <c r="I7883" s="8" t="s">
        <v>4</v>
      </c>
      <c r="J7883" s="7" t="s">
        <v>8384</v>
      </c>
      <c r="K7883" s="8" t="s">
        <v>2714</v>
      </c>
      <c r="L7883" s="8" t="s">
        <v>1151</v>
      </c>
      <c r="M7883" s="8" t="s">
        <v>8</v>
      </c>
      <c r="N7883" s="10" t="str">
        <f t="shared" si="711"/>
        <v>GAL</v>
      </c>
      <c r="O7883" s="11">
        <v>5</v>
      </c>
    </row>
    <row r="7884" spans="2:15" x14ac:dyDescent="0.25">
      <c r="B7884" s="6" t="s">
        <v>645</v>
      </c>
      <c r="C7884" s="7" t="s">
        <v>196</v>
      </c>
      <c r="D7884" s="8" t="s">
        <v>283</v>
      </c>
      <c r="E7884" s="8" t="s">
        <v>102</v>
      </c>
      <c r="F7884" s="9">
        <f t="shared" si="712"/>
        <v>45756</v>
      </c>
      <c r="G7884" s="10">
        <f t="shared" si="709"/>
        <v>4</v>
      </c>
      <c r="H7884" s="10">
        <f t="shared" si="710"/>
        <v>2025</v>
      </c>
      <c r="I7884" s="8" t="s">
        <v>4</v>
      </c>
      <c r="J7884" s="7" t="s">
        <v>8384</v>
      </c>
      <c r="K7884" s="8" t="s">
        <v>2477</v>
      </c>
      <c r="L7884" s="8" t="s">
        <v>538</v>
      </c>
      <c r="M7884" s="8" t="s">
        <v>4243</v>
      </c>
      <c r="N7884" s="10" t="str">
        <f t="shared" si="711"/>
        <v>GAL</v>
      </c>
      <c r="O7884" s="11">
        <v>5</v>
      </c>
    </row>
    <row r="7885" spans="2:15" x14ac:dyDescent="0.25">
      <c r="B7885" s="6" t="s">
        <v>1520</v>
      </c>
      <c r="C7885" s="7" t="s">
        <v>196</v>
      </c>
      <c r="D7885" s="8" t="s">
        <v>265</v>
      </c>
      <c r="E7885" s="8" t="s">
        <v>266</v>
      </c>
      <c r="F7885" s="9">
        <f t="shared" si="712"/>
        <v>45756</v>
      </c>
      <c r="G7885" s="10">
        <f t="shared" si="709"/>
        <v>4</v>
      </c>
      <c r="H7885" s="10">
        <f t="shared" si="710"/>
        <v>2025</v>
      </c>
      <c r="I7885" s="8" t="s">
        <v>4</v>
      </c>
      <c r="J7885" s="7" t="s">
        <v>8385</v>
      </c>
      <c r="K7885" s="8" t="s">
        <v>268</v>
      </c>
      <c r="L7885" s="8" t="s">
        <v>269</v>
      </c>
      <c r="M7885" s="8" t="s">
        <v>119</v>
      </c>
      <c r="N7885" s="10" t="str">
        <f t="shared" si="711"/>
        <v>TON</v>
      </c>
      <c r="O7885" s="11">
        <v>0.3</v>
      </c>
    </row>
    <row r="7886" spans="2:15" x14ac:dyDescent="0.25">
      <c r="B7886" s="6" t="s">
        <v>1520</v>
      </c>
      <c r="C7886" s="7" t="s">
        <v>196</v>
      </c>
      <c r="D7886" s="8" t="s">
        <v>387</v>
      </c>
      <c r="E7886" s="8" t="s">
        <v>797</v>
      </c>
      <c r="F7886" s="9">
        <f t="shared" si="712"/>
        <v>45756</v>
      </c>
      <c r="G7886" s="10">
        <f t="shared" si="709"/>
        <v>4</v>
      </c>
      <c r="H7886" s="10">
        <f t="shared" si="710"/>
        <v>2025</v>
      </c>
      <c r="I7886" s="8" t="s">
        <v>4</v>
      </c>
      <c r="J7886" s="7" t="s">
        <v>8386</v>
      </c>
      <c r="K7886" s="8" t="s">
        <v>8387</v>
      </c>
      <c r="L7886" s="8" t="s">
        <v>8388</v>
      </c>
      <c r="M7886" s="8" t="s">
        <v>119</v>
      </c>
      <c r="N7886" s="10" t="str">
        <f t="shared" si="711"/>
        <v>TON</v>
      </c>
      <c r="O7886" s="11">
        <v>12.53</v>
      </c>
    </row>
    <row r="7887" spans="2:15" x14ac:dyDescent="0.25">
      <c r="B7887" s="6" t="s">
        <v>1520</v>
      </c>
      <c r="C7887" s="7" t="s">
        <v>196</v>
      </c>
      <c r="D7887" s="8" t="s">
        <v>1343</v>
      </c>
      <c r="E7887" s="8" t="s">
        <v>3729</v>
      </c>
      <c r="F7887" s="9">
        <f t="shared" si="712"/>
        <v>45756</v>
      </c>
      <c r="G7887" s="10">
        <f t="shared" si="709"/>
        <v>4</v>
      </c>
      <c r="H7887" s="10">
        <f t="shared" si="710"/>
        <v>2025</v>
      </c>
      <c r="I7887" s="8" t="s">
        <v>4</v>
      </c>
      <c r="J7887" s="7" t="s">
        <v>8389</v>
      </c>
      <c r="K7887" s="8" t="s">
        <v>2350</v>
      </c>
      <c r="L7887" s="8" t="s">
        <v>2351</v>
      </c>
      <c r="M7887" s="8" t="s">
        <v>119</v>
      </c>
      <c r="N7887" s="10" t="str">
        <f t="shared" si="711"/>
        <v>TON</v>
      </c>
      <c r="O7887" s="11">
        <v>15.0075</v>
      </c>
    </row>
    <row r="7888" spans="2:15" x14ac:dyDescent="0.25">
      <c r="B7888" s="6" t="s">
        <v>1520</v>
      </c>
      <c r="C7888" s="7" t="s">
        <v>196</v>
      </c>
      <c r="D7888" s="8" t="s">
        <v>3764</v>
      </c>
      <c r="E7888" s="8" t="s">
        <v>3765</v>
      </c>
      <c r="F7888" s="9">
        <f>DATE(2025,4,10)</f>
        <v>45757</v>
      </c>
      <c r="G7888" s="10">
        <f t="shared" si="709"/>
        <v>4</v>
      </c>
      <c r="H7888" s="10">
        <f t="shared" si="710"/>
        <v>2025</v>
      </c>
      <c r="I7888" s="8" t="s">
        <v>4</v>
      </c>
      <c r="J7888" s="7" t="s">
        <v>8390</v>
      </c>
      <c r="K7888" s="8" t="s">
        <v>329</v>
      </c>
      <c r="L7888" s="8" t="s">
        <v>330</v>
      </c>
      <c r="M7888" s="8" t="s">
        <v>119</v>
      </c>
      <c r="N7888" s="10" t="str">
        <f t="shared" si="711"/>
        <v>TON</v>
      </c>
      <c r="O7888" s="11">
        <v>1.2749999999999999</v>
      </c>
    </row>
    <row r="7889" spans="2:15" x14ac:dyDescent="0.25">
      <c r="B7889" s="6" t="s">
        <v>1520</v>
      </c>
      <c r="C7889" s="7" t="s">
        <v>196</v>
      </c>
      <c r="D7889" s="8" t="s">
        <v>317</v>
      </c>
      <c r="E7889" s="8" t="s">
        <v>319</v>
      </c>
      <c r="F7889" s="9">
        <f>DATE(2025,4,10)</f>
        <v>45757</v>
      </c>
      <c r="G7889" s="10">
        <f t="shared" si="709"/>
        <v>4</v>
      </c>
      <c r="H7889" s="10">
        <f t="shared" si="710"/>
        <v>2025</v>
      </c>
      <c r="I7889" s="8" t="s">
        <v>4</v>
      </c>
      <c r="J7889" s="7" t="s">
        <v>8391</v>
      </c>
      <c r="K7889" s="8" t="s">
        <v>2350</v>
      </c>
      <c r="L7889" s="8" t="s">
        <v>2351</v>
      </c>
      <c r="M7889" s="8" t="s">
        <v>119</v>
      </c>
      <c r="N7889" s="10" t="str">
        <f t="shared" si="711"/>
        <v>TON</v>
      </c>
      <c r="O7889" s="11">
        <v>2.4874999999999998</v>
      </c>
    </row>
    <row r="7890" spans="2:15" x14ac:dyDescent="0.25">
      <c r="B7890" s="6" t="s">
        <v>1520</v>
      </c>
      <c r="C7890" s="7" t="s">
        <v>196</v>
      </c>
      <c r="D7890" s="8" t="s">
        <v>800</v>
      </c>
      <c r="E7890" s="8" t="s">
        <v>8076</v>
      </c>
      <c r="F7890" s="9">
        <f>DATE(2025,4,10)</f>
        <v>45757</v>
      </c>
      <c r="G7890" s="10">
        <f t="shared" si="709"/>
        <v>4</v>
      </c>
      <c r="H7890" s="10">
        <f t="shared" si="710"/>
        <v>2025</v>
      </c>
      <c r="I7890" s="8" t="s">
        <v>4</v>
      </c>
      <c r="J7890" s="7" t="s">
        <v>8392</v>
      </c>
      <c r="K7890" s="8" t="s">
        <v>447</v>
      </c>
      <c r="L7890" s="8" t="s">
        <v>448</v>
      </c>
      <c r="M7890" s="8" t="s">
        <v>119</v>
      </c>
      <c r="N7890" s="10" t="str">
        <f t="shared" si="711"/>
        <v>TON</v>
      </c>
      <c r="O7890" s="11">
        <v>6</v>
      </c>
    </row>
    <row r="7891" spans="2:15" x14ac:dyDescent="0.25">
      <c r="B7891" s="6" t="s">
        <v>1520</v>
      </c>
      <c r="C7891" s="7" t="s">
        <v>196</v>
      </c>
      <c r="D7891" s="8" t="s">
        <v>280</v>
      </c>
      <c r="E7891" s="8" t="s">
        <v>254</v>
      </c>
      <c r="F7891" s="9">
        <f>DATE(2025,4,10)</f>
        <v>45757</v>
      </c>
      <c r="G7891" s="10">
        <f t="shared" si="709"/>
        <v>4</v>
      </c>
      <c r="H7891" s="10">
        <f t="shared" si="710"/>
        <v>2025</v>
      </c>
      <c r="I7891" s="8" t="s">
        <v>4</v>
      </c>
      <c r="J7891" s="7" t="s">
        <v>8393</v>
      </c>
      <c r="K7891" s="8" t="s">
        <v>2350</v>
      </c>
      <c r="L7891" s="8" t="s">
        <v>2351</v>
      </c>
      <c r="M7891" s="8" t="s">
        <v>119</v>
      </c>
      <c r="N7891" s="10" t="str">
        <f t="shared" si="711"/>
        <v>TON</v>
      </c>
      <c r="O7891" s="11">
        <v>15.005000000000001</v>
      </c>
    </row>
    <row r="7892" spans="2:15" x14ac:dyDescent="0.25">
      <c r="B7892" s="6" t="s">
        <v>1520</v>
      </c>
      <c r="C7892" s="7" t="s">
        <v>196</v>
      </c>
      <c r="D7892" s="8" t="s">
        <v>114</v>
      </c>
      <c r="E7892" s="8" t="s">
        <v>5054</v>
      </c>
      <c r="F7892" s="9">
        <f>DATE(2025,4,10)</f>
        <v>45757</v>
      </c>
      <c r="G7892" s="10">
        <f t="shared" si="709"/>
        <v>4</v>
      </c>
      <c r="H7892" s="10">
        <f t="shared" si="710"/>
        <v>2025</v>
      </c>
      <c r="I7892" s="8" t="s">
        <v>4</v>
      </c>
      <c r="J7892" s="7" t="s">
        <v>8394</v>
      </c>
      <c r="K7892" s="8" t="s">
        <v>2350</v>
      </c>
      <c r="L7892" s="8" t="s">
        <v>2351</v>
      </c>
      <c r="M7892" s="8" t="s">
        <v>119</v>
      </c>
      <c r="N7892" s="10" t="str">
        <f t="shared" si="711"/>
        <v>TON</v>
      </c>
      <c r="O7892" s="11">
        <v>6.9924999999999997</v>
      </c>
    </row>
    <row r="7893" spans="2:15" x14ac:dyDescent="0.25">
      <c r="B7893" s="6" t="s">
        <v>1520</v>
      </c>
      <c r="C7893" s="7" t="s">
        <v>196</v>
      </c>
      <c r="D7893" s="8" t="s">
        <v>1343</v>
      </c>
      <c r="E7893" s="8" t="s">
        <v>4151</v>
      </c>
      <c r="F7893" s="9">
        <f t="shared" ref="F7893:F7898" si="713">DATE(2025,4,11)</f>
        <v>45758</v>
      </c>
      <c r="G7893" s="10">
        <f t="shared" si="709"/>
        <v>4</v>
      </c>
      <c r="H7893" s="10">
        <f t="shared" si="710"/>
        <v>2025</v>
      </c>
      <c r="I7893" s="8" t="s">
        <v>4</v>
      </c>
      <c r="J7893" s="7" t="s">
        <v>8395</v>
      </c>
      <c r="K7893" s="8" t="s">
        <v>1379</v>
      </c>
      <c r="L7893" s="8" t="s">
        <v>1380</v>
      </c>
      <c r="M7893" s="8" t="s">
        <v>119</v>
      </c>
      <c r="N7893" s="10" t="str">
        <f t="shared" si="711"/>
        <v>TON</v>
      </c>
      <c r="O7893" s="11">
        <v>15.01</v>
      </c>
    </row>
    <row r="7894" spans="2:15" x14ac:dyDescent="0.25">
      <c r="B7894" s="6" t="s">
        <v>1520</v>
      </c>
      <c r="C7894" s="7" t="s">
        <v>196</v>
      </c>
      <c r="D7894" s="8" t="s">
        <v>317</v>
      </c>
      <c r="E7894" s="8" t="s">
        <v>677</v>
      </c>
      <c r="F7894" s="9">
        <f t="shared" si="713"/>
        <v>45758</v>
      </c>
      <c r="G7894" s="10">
        <f t="shared" si="709"/>
        <v>4</v>
      </c>
      <c r="H7894" s="10">
        <f t="shared" si="710"/>
        <v>2025</v>
      </c>
      <c r="I7894" s="8" t="s">
        <v>4</v>
      </c>
      <c r="J7894" s="7" t="s">
        <v>8396</v>
      </c>
      <c r="K7894" s="8" t="s">
        <v>2350</v>
      </c>
      <c r="L7894" s="8" t="s">
        <v>2351</v>
      </c>
      <c r="M7894" s="8" t="s">
        <v>119</v>
      </c>
      <c r="N7894" s="10" t="str">
        <f t="shared" si="711"/>
        <v>TON</v>
      </c>
      <c r="O7894" s="11">
        <v>9</v>
      </c>
    </row>
    <row r="7895" spans="2:15" x14ac:dyDescent="0.25">
      <c r="B7895" s="6" t="s">
        <v>1520</v>
      </c>
      <c r="C7895" s="7" t="s">
        <v>196</v>
      </c>
      <c r="D7895" s="8" t="s">
        <v>215</v>
      </c>
      <c r="E7895" s="8" t="s">
        <v>313</v>
      </c>
      <c r="F7895" s="9">
        <f t="shared" si="713"/>
        <v>45758</v>
      </c>
      <c r="G7895" s="10">
        <f t="shared" si="709"/>
        <v>4</v>
      </c>
      <c r="H7895" s="10">
        <f t="shared" si="710"/>
        <v>2025</v>
      </c>
      <c r="I7895" s="8" t="s">
        <v>4</v>
      </c>
      <c r="J7895" s="7" t="s">
        <v>8397</v>
      </c>
      <c r="K7895" s="8" t="s">
        <v>205</v>
      </c>
      <c r="L7895" s="8" t="s">
        <v>206</v>
      </c>
      <c r="M7895" s="8" t="s">
        <v>119</v>
      </c>
      <c r="N7895" s="10" t="str">
        <f t="shared" si="711"/>
        <v>TON</v>
      </c>
      <c r="O7895" s="11">
        <v>3.75</v>
      </c>
    </row>
    <row r="7896" spans="2:15" x14ac:dyDescent="0.25">
      <c r="B7896" s="6" t="s">
        <v>1520</v>
      </c>
      <c r="C7896" s="7" t="s">
        <v>196</v>
      </c>
      <c r="D7896" s="8" t="s">
        <v>1276</v>
      </c>
      <c r="E7896" s="8" t="s">
        <v>791</v>
      </c>
      <c r="F7896" s="9">
        <f t="shared" si="713"/>
        <v>45758</v>
      </c>
      <c r="G7896" s="10">
        <f t="shared" si="709"/>
        <v>4</v>
      </c>
      <c r="H7896" s="10">
        <f t="shared" si="710"/>
        <v>2025</v>
      </c>
      <c r="I7896" s="8" t="s">
        <v>4</v>
      </c>
      <c r="J7896" s="7" t="s">
        <v>8398</v>
      </c>
      <c r="K7896" s="8" t="s">
        <v>117</v>
      </c>
      <c r="L7896" s="8" t="s">
        <v>118</v>
      </c>
      <c r="M7896" s="8" t="s">
        <v>119</v>
      </c>
      <c r="N7896" s="10" t="str">
        <f t="shared" si="711"/>
        <v>TON</v>
      </c>
      <c r="O7896" s="11">
        <v>1.25</v>
      </c>
    </row>
    <row r="7897" spans="2:15" x14ac:dyDescent="0.25">
      <c r="B7897" s="6" t="s">
        <v>1520</v>
      </c>
      <c r="C7897" s="7" t="s">
        <v>196</v>
      </c>
      <c r="D7897" s="8" t="s">
        <v>418</v>
      </c>
      <c r="E7897" s="8" t="s">
        <v>1595</v>
      </c>
      <c r="F7897" s="9">
        <f t="shared" si="713"/>
        <v>45758</v>
      </c>
      <c r="G7897" s="10">
        <f t="shared" si="709"/>
        <v>4</v>
      </c>
      <c r="H7897" s="10">
        <f t="shared" si="710"/>
        <v>2025</v>
      </c>
      <c r="I7897" s="8" t="s">
        <v>4</v>
      </c>
      <c r="J7897" s="7" t="s">
        <v>8399</v>
      </c>
      <c r="K7897" s="8" t="s">
        <v>205</v>
      </c>
      <c r="L7897" s="8" t="s">
        <v>206</v>
      </c>
      <c r="M7897" s="8" t="s">
        <v>119</v>
      </c>
      <c r="N7897" s="10" t="str">
        <f t="shared" si="711"/>
        <v>TON</v>
      </c>
      <c r="O7897" s="11">
        <v>2</v>
      </c>
    </row>
    <row r="7898" spans="2:15" x14ac:dyDescent="0.25">
      <c r="B7898" s="6" t="s">
        <v>1520</v>
      </c>
      <c r="C7898" s="7" t="s">
        <v>196</v>
      </c>
      <c r="D7898" s="8" t="s">
        <v>418</v>
      </c>
      <c r="E7898" s="8" t="s">
        <v>1243</v>
      </c>
      <c r="F7898" s="9">
        <f t="shared" si="713"/>
        <v>45758</v>
      </c>
      <c r="G7898" s="10">
        <f t="shared" si="709"/>
        <v>4</v>
      </c>
      <c r="H7898" s="10">
        <f t="shared" si="710"/>
        <v>2025</v>
      </c>
      <c r="I7898" s="8" t="s">
        <v>4</v>
      </c>
      <c r="J7898" s="7" t="s">
        <v>8400</v>
      </c>
      <c r="K7898" s="8" t="s">
        <v>422</v>
      </c>
      <c r="L7898" s="8" t="s">
        <v>423</v>
      </c>
      <c r="M7898" s="8" t="s">
        <v>119</v>
      </c>
      <c r="N7898" s="10" t="str">
        <f t="shared" si="711"/>
        <v>TON</v>
      </c>
      <c r="O7898" s="11">
        <v>7.02</v>
      </c>
    </row>
    <row r="7899" spans="2:15" x14ac:dyDescent="0.25">
      <c r="B7899" s="6" t="s">
        <v>1520</v>
      </c>
      <c r="C7899" s="7" t="s">
        <v>196</v>
      </c>
      <c r="D7899" s="8" t="s">
        <v>285</v>
      </c>
      <c r="E7899" s="8" t="s">
        <v>297</v>
      </c>
      <c r="F7899" s="9">
        <f t="shared" ref="F7899:F7908" si="714">DATE(2025,4,14)</f>
        <v>45761</v>
      </c>
      <c r="G7899" s="10">
        <f t="shared" si="709"/>
        <v>4</v>
      </c>
      <c r="H7899" s="10">
        <f t="shared" si="710"/>
        <v>2025</v>
      </c>
      <c r="I7899" s="8" t="s">
        <v>4</v>
      </c>
      <c r="J7899" s="7" t="s">
        <v>8401</v>
      </c>
      <c r="K7899" s="8" t="s">
        <v>205</v>
      </c>
      <c r="L7899" s="8" t="s">
        <v>206</v>
      </c>
      <c r="M7899" s="8" t="s">
        <v>119</v>
      </c>
      <c r="N7899" s="10" t="str">
        <f t="shared" si="711"/>
        <v>TON</v>
      </c>
      <c r="O7899" s="11">
        <v>15.012499999999999</v>
      </c>
    </row>
    <row r="7900" spans="2:15" x14ac:dyDescent="0.25">
      <c r="B7900" s="6" t="s">
        <v>1520</v>
      </c>
      <c r="C7900" s="7" t="s">
        <v>196</v>
      </c>
      <c r="D7900" s="8" t="s">
        <v>280</v>
      </c>
      <c r="E7900" s="8" t="s">
        <v>811</v>
      </c>
      <c r="F7900" s="9">
        <f t="shared" si="714"/>
        <v>45761</v>
      </c>
      <c r="G7900" s="10">
        <f t="shared" si="709"/>
        <v>4</v>
      </c>
      <c r="H7900" s="10">
        <f t="shared" si="710"/>
        <v>2025</v>
      </c>
      <c r="I7900" s="8" t="s">
        <v>4</v>
      </c>
      <c r="J7900" s="7" t="s">
        <v>8402</v>
      </c>
      <c r="K7900" s="8" t="s">
        <v>2350</v>
      </c>
      <c r="L7900" s="8" t="s">
        <v>2351</v>
      </c>
      <c r="M7900" s="8" t="s">
        <v>119</v>
      </c>
      <c r="N7900" s="10" t="str">
        <f t="shared" si="711"/>
        <v>TON</v>
      </c>
      <c r="O7900" s="11">
        <v>2.4900000000000002</v>
      </c>
    </row>
    <row r="7901" spans="2:15" x14ac:dyDescent="0.25">
      <c r="B7901" s="6" t="s">
        <v>1520</v>
      </c>
      <c r="C7901" s="7" t="s">
        <v>196</v>
      </c>
      <c r="D7901" s="8" t="s">
        <v>440</v>
      </c>
      <c r="E7901" s="8" t="s">
        <v>441</v>
      </c>
      <c r="F7901" s="9">
        <f t="shared" si="714"/>
        <v>45761</v>
      </c>
      <c r="G7901" s="10">
        <f t="shared" si="709"/>
        <v>4</v>
      </c>
      <c r="H7901" s="10">
        <f t="shared" si="710"/>
        <v>2025</v>
      </c>
      <c r="I7901" s="8" t="s">
        <v>4</v>
      </c>
      <c r="J7901" s="7" t="s">
        <v>8403</v>
      </c>
      <c r="K7901" s="8" t="s">
        <v>2350</v>
      </c>
      <c r="L7901" s="8" t="s">
        <v>2351</v>
      </c>
      <c r="M7901" s="8" t="s">
        <v>119</v>
      </c>
      <c r="N7901" s="10" t="str">
        <f t="shared" si="711"/>
        <v>TON</v>
      </c>
      <c r="O7901" s="11">
        <v>4.9924999999999997</v>
      </c>
    </row>
    <row r="7902" spans="2:15" x14ac:dyDescent="0.25">
      <c r="B7902" s="6" t="s">
        <v>1520</v>
      </c>
      <c r="C7902" s="7" t="s">
        <v>196</v>
      </c>
      <c r="D7902" s="8" t="s">
        <v>241</v>
      </c>
      <c r="E7902" s="8" t="s">
        <v>258</v>
      </c>
      <c r="F7902" s="9">
        <f t="shared" si="714"/>
        <v>45761</v>
      </c>
      <c r="G7902" s="10">
        <f t="shared" si="709"/>
        <v>4</v>
      </c>
      <c r="H7902" s="10">
        <f t="shared" si="710"/>
        <v>2025</v>
      </c>
      <c r="I7902" s="8" t="s">
        <v>4</v>
      </c>
      <c r="J7902" s="7" t="s">
        <v>8404</v>
      </c>
      <c r="K7902" s="8" t="s">
        <v>3458</v>
      </c>
      <c r="L7902" s="8" t="s">
        <v>3459</v>
      </c>
      <c r="M7902" s="8" t="s">
        <v>119</v>
      </c>
      <c r="N7902" s="10" t="str">
        <f t="shared" si="711"/>
        <v>TON</v>
      </c>
      <c r="O7902" s="11">
        <v>2.0024999999999999</v>
      </c>
    </row>
    <row r="7903" spans="2:15" x14ac:dyDescent="0.25">
      <c r="B7903" s="6" t="s">
        <v>1520</v>
      </c>
      <c r="C7903" s="7" t="s">
        <v>196</v>
      </c>
      <c r="D7903" s="8" t="s">
        <v>270</v>
      </c>
      <c r="E7903" s="8" t="s">
        <v>875</v>
      </c>
      <c r="F7903" s="9">
        <f t="shared" si="714"/>
        <v>45761</v>
      </c>
      <c r="G7903" s="10">
        <f t="shared" si="709"/>
        <v>4</v>
      </c>
      <c r="H7903" s="10">
        <f t="shared" si="710"/>
        <v>2025</v>
      </c>
      <c r="I7903" s="8" t="s">
        <v>4</v>
      </c>
      <c r="J7903" s="7" t="s">
        <v>8405</v>
      </c>
      <c r="K7903" s="8" t="s">
        <v>205</v>
      </c>
      <c r="L7903" s="8" t="s">
        <v>206</v>
      </c>
      <c r="M7903" s="8" t="s">
        <v>119</v>
      </c>
      <c r="N7903" s="10" t="str">
        <f t="shared" si="711"/>
        <v>TON</v>
      </c>
      <c r="O7903" s="11">
        <v>1.25</v>
      </c>
    </row>
    <row r="7904" spans="2:15" x14ac:dyDescent="0.25">
      <c r="B7904" s="6" t="s">
        <v>1520</v>
      </c>
      <c r="C7904" s="7" t="s">
        <v>196</v>
      </c>
      <c r="D7904" s="8" t="s">
        <v>669</v>
      </c>
      <c r="E7904" s="8" t="s">
        <v>56</v>
      </c>
      <c r="F7904" s="9">
        <f t="shared" si="714"/>
        <v>45761</v>
      </c>
      <c r="G7904" s="10">
        <f t="shared" si="709"/>
        <v>4</v>
      </c>
      <c r="H7904" s="10">
        <f t="shared" si="710"/>
        <v>2025</v>
      </c>
      <c r="I7904" s="8" t="s">
        <v>4</v>
      </c>
      <c r="J7904" s="7" t="s">
        <v>8406</v>
      </c>
      <c r="K7904" s="8" t="s">
        <v>205</v>
      </c>
      <c r="L7904" s="8" t="s">
        <v>206</v>
      </c>
      <c r="M7904" s="8" t="s">
        <v>119</v>
      </c>
      <c r="N7904" s="10" t="str">
        <f t="shared" si="711"/>
        <v>TON</v>
      </c>
      <c r="O7904" s="11">
        <v>1.26</v>
      </c>
    </row>
    <row r="7905" spans="2:15" x14ac:dyDescent="0.25">
      <c r="B7905" s="6" t="s">
        <v>1520</v>
      </c>
      <c r="C7905" s="7" t="s">
        <v>196</v>
      </c>
      <c r="D7905" s="8" t="s">
        <v>224</v>
      </c>
      <c r="E7905" s="8" t="s">
        <v>895</v>
      </c>
      <c r="F7905" s="9">
        <f t="shared" si="714"/>
        <v>45761</v>
      </c>
      <c r="G7905" s="10">
        <f t="shared" si="709"/>
        <v>4</v>
      </c>
      <c r="H7905" s="10">
        <f t="shared" si="710"/>
        <v>2025</v>
      </c>
      <c r="I7905" s="8" t="s">
        <v>4</v>
      </c>
      <c r="J7905" s="7" t="s">
        <v>8407</v>
      </c>
      <c r="K7905" s="8" t="s">
        <v>8387</v>
      </c>
      <c r="L7905" s="8" t="s">
        <v>8388</v>
      </c>
      <c r="M7905" s="8" t="s">
        <v>119</v>
      </c>
      <c r="N7905" s="10" t="str">
        <f t="shared" si="711"/>
        <v>TON</v>
      </c>
      <c r="O7905" s="11">
        <v>5.0049999999999999</v>
      </c>
    </row>
    <row r="7906" spans="2:15" x14ac:dyDescent="0.25">
      <c r="B7906" s="6" t="s">
        <v>645</v>
      </c>
      <c r="C7906" s="7" t="s">
        <v>196</v>
      </c>
      <c r="D7906" s="8" t="s">
        <v>2338</v>
      </c>
      <c r="E7906" s="8" t="s">
        <v>141</v>
      </c>
      <c r="F7906" s="9">
        <f t="shared" si="714"/>
        <v>45761</v>
      </c>
      <c r="G7906" s="10">
        <f t="shared" si="709"/>
        <v>4</v>
      </c>
      <c r="H7906" s="10">
        <f t="shared" si="710"/>
        <v>2025</v>
      </c>
      <c r="I7906" s="8" t="s">
        <v>4</v>
      </c>
      <c r="J7906" s="7" t="s">
        <v>8408</v>
      </c>
      <c r="K7906" s="8" t="s">
        <v>5564</v>
      </c>
      <c r="L7906" s="8" t="s">
        <v>2341</v>
      </c>
      <c r="M7906" s="8" t="s">
        <v>2342</v>
      </c>
      <c r="N7906" s="10" t="str">
        <f t="shared" si="711"/>
        <v>GAL</v>
      </c>
      <c r="O7906" s="11">
        <v>30</v>
      </c>
    </row>
    <row r="7907" spans="2:15" x14ac:dyDescent="0.25">
      <c r="B7907" s="6" t="s">
        <v>1520</v>
      </c>
      <c r="C7907" s="7" t="s">
        <v>196</v>
      </c>
      <c r="D7907" s="8" t="s">
        <v>232</v>
      </c>
      <c r="E7907" s="8" t="s">
        <v>233</v>
      </c>
      <c r="F7907" s="9">
        <f t="shared" si="714"/>
        <v>45761</v>
      </c>
      <c r="G7907" s="10">
        <f t="shared" si="709"/>
        <v>4</v>
      </c>
      <c r="H7907" s="10">
        <f t="shared" si="710"/>
        <v>2025</v>
      </c>
      <c r="I7907" s="8" t="s">
        <v>4</v>
      </c>
      <c r="J7907" s="7" t="s">
        <v>8409</v>
      </c>
      <c r="K7907" s="8" t="s">
        <v>205</v>
      </c>
      <c r="L7907" s="8" t="s">
        <v>206</v>
      </c>
      <c r="M7907" s="8" t="s">
        <v>119</v>
      </c>
      <c r="N7907" s="10" t="str">
        <f t="shared" si="711"/>
        <v>TON</v>
      </c>
      <c r="O7907" s="11">
        <v>12.5</v>
      </c>
    </row>
    <row r="7908" spans="2:15" x14ac:dyDescent="0.25">
      <c r="B7908" s="6" t="s">
        <v>1520</v>
      </c>
      <c r="C7908" s="7" t="s">
        <v>196</v>
      </c>
      <c r="D7908" s="8" t="s">
        <v>1343</v>
      </c>
      <c r="E7908" s="8" t="s">
        <v>3724</v>
      </c>
      <c r="F7908" s="9">
        <f t="shared" si="714"/>
        <v>45761</v>
      </c>
      <c r="G7908" s="10">
        <f t="shared" si="709"/>
        <v>4</v>
      </c>
      <c r="H7908" s="10">
        <f t="shared" si="710"/>
        <v>2025</v>
      </c>
      <c r="I7908" s="8" t="s">
        <v>4</v>
      </c>
      <c r="J7908" s="7" t="s">
        <v>8410</v>
      </c>
      <c r="K7908" s="8" t="s">
        <v>1379</v>
      </c>
      <c r="L7908" s="8" t="s">
        <v>1380</v>
      </c>
      <c r="M7908" s="8" t="s">
        <v>119</v>
      </c>
      <c r="N7908" s="10" t="str">
        <f t="shared" si="711"/>
        <v>TON</v>
      </c>
      <c r="O7908" s="11">
        <v>15.0175</v>
      </c>
    </row>
    <row r="7909" spans="2:15" x14ac:dyDescent="0.25">
      <c r="B7909" s="6" t="s">
        <v>1520</v>
      </c>
      <c r="C7909" s="7" t="s">
        <v>196</v>
      </c>
      <c r="D7909" s="8" t="s">
        <v>387</v>
      </c>
      <c r="E7909" s="8" t="s">
        <v>797</v>
      </c>
      <c r="F7909" s="9">
        <f t="shared" ref="F7909:F7917" si="715">DATE(2025,4,15)</f>
        <v>45762</v>
      </c>
      <c r="G7909" s="10">
        <f t="shared" si="709"/>
        <v>4</v>
      </c>
      <c r="H7909" s="10">
        <f t="shared" si="710"/>
        <v>2025</v>
      </c>
      <c r="I7909" s="8" t="s">
        <v>4</v>
      </c>
      <c r="J7909" s="7" t="s">
        <v>8411</v>
      </c>
      <c r="K7909" s="8" t="s">
        <v>8387</v>
      </c>
      <c r="L7909" s="8" t="s">
        <v>8388</v>
      </c>
      <c r="M7909" s="8" t="s">
        <v>119</v>
      </c>
      <c r="N7909" s="10" t="str">
        <f t="shared" si="711"/>
        <v>TON</v>
      </c>
      <c r="O7909" s="11">
        <v>15.0175</v>
      </c>
    </row>
    <row r="7910" spans="2:15" x14ac:dyDescent="0.25">
      <c r="B7910" s="6" t="s">
        <v>1520</v>
      </c>
      <c r="C7910" s="7" t="s">
        <v>196</v>
      </c>
      <c r="D7910" s="8" t="s">
        <v>114</v>
      </c>
      <c r="E7910" s="8" t="s">
        <v>927</v>
      </c>
      <c r="F7910" s="9">
        <f t="shared" si="715"/>
        <v>45762</v>
      </c>
      <c r="G7910" s="10">
        <f t="shared" si="709"/>
        <v>4</v>
      </c>
      <c r="H7910" s="10">
        <f t="shared" si="710"/>
        <v>2025</v>
      </c>
      <c r="I7910" s="8" t="s">
        <v>4</v>
      </c>
      <c r="J7910" s="7" t="s">
        <v>8412</v>
      </c>
      <c r="K7910" s="8" t="s">
        <v>2350</v>
      </c>
      <c r="L7910" s="8" t="s">
        <v>2351</v>
      </c>
      <c r="M7910" s="8" t="s">
        <v>119</v>
      </c>
      <c r="N7910" s="10" t="str">
        <f t="shared" si="711"/>
        <v>TON</v>
      </c>
      <c r="O7910" s="11">
        <v>3.9950000000000001</v>
      </c>
    </row>
    <row r="7911" spans="2:15" x14ac:dyDescent="0.25">
      <c r="B7911" s="6" t="s">
        <v>1520</v>
      </c>
      <c r="C7911" s="7" t="s">
        <v>196</v>
      </c>
      <c r="D7911" s="8" t="s">
        <v>310</v>
      </c>
      <c r="E7911" s="8" t="s">
        <v>426</v>
      </c>
      <c r="F7911" s="9">
        <f t="shared" si="715"/>
        <v>45762</v>
      </c>
      <c r="G7911" s="10">
        <f t="shared" si="709"/>
        <v>4</v>
      </c>
      <c r="H7911" s="10">
        <f t="shared" si="710"/>
        <v>2025</v>
      </c>
      <c r="I7911" s="8" t="s">
        <v>4</v>
      </c>
      <c r="J7911" s="7" t="s">
        <v>8413</v>
      </c>
      <c r="K7911" s="8" t="s">
        <v>428</v>
      </c>
      <c r="L7911" s="8" t="s">
        <v>429</v>
      </c>
      <c r="M7911" s="8" t="s">
        <v>119</v>
      </c>
      <c r="N7911" s="10" t="str">
        <f t="shared" si="711"/>
        <v>TON</v>
      </c>
      <c r="O7911" s="11">
        <v>2.0074999999999998</v>
      </c>
    </row>
    <row r="7912" spans="2:15" x14ac:dyDescent="0.25">
      <c r="B7912" s="6" t="s">
        <v>1520</v>
      </c>
      <c r="C7912" s="7" t="s">
        <v>196</v>
      </c>
      <c r="D7912" s="8" t="s">
        <v>207</v>
      </c>
      <c r="E7912" s="8" t="s">
        <v>208</v>
      </c>
      <c r="F7912" s="9">
        <f t="shared" si="715"/>
        <v>45762</v>
      </c>
      <c r="G7912" s="10">
        <f t="shared" si="709"/>
        <v>4</v>
      </c>
      <c r="H7912" s="10">
        <f t="shared" si="710"/>
        <v>2025</v>
      </c>
      <c r="I7912" s="8" t="s">
        <v>4</v>
      </c>
      <c r="J7912" s="7" t="s">
        <v>8414</v>
      </c>
      <c r="K7912" s="8" t="s">
        <v>205</v>
      </c>
      <c r="L7912" s="8" t="s">
        <v>206</v>
      </c>
      <c r="M7912" s="8" t="s">
        <v>119</v>
      </c>
      <c r="N7912" s="10" t="str">
        <f t="shared" si="711"/>
        <v>TON</v>
      </c>
      <c r="O7912" s="11">
        <v>5.0175000000000001</v>
      </c>
    </row>
    <row r="7913" spans="2:15" x14ac:dyDescent="0.25">
      <c r="B7913" s="6" t="s">
        <v>1520</v>
      </c>
      <c r="C7913" s="7" t="s">
        <v>196</v>
      </c>
      <c r="D7913" s="8" t="s">
        <v>283</v>
      </c>
      <c r="E7913" s="8" t="s">
        <v>699</v>
      </c>
      <c r="F7913" s="9">
        <f t="shared" si="715"/>
        <v>45762</v>
      </c>
      <c r="G7913" s="10">
        <f t="shared" si="709"/>
        <v>4</v>
      </c>
      <c r="H7913" s="10">
        <f t="shared" si="710"/>
        <v>2025</v>
      </c>
      <c r="I7913" s="8" t="s">
        <v>4</v>
      </c>
      <c r="J7913" s="7" t="s">
        <v>8415</v>
      </c>
      <c r="K7913" s="8" t="s">
        <v>384</v>
      </c>
      <c r="L7913" s="8" t="s">
        <v>385</v>
      </c>
      <c r="M7913" s="8" t="s">
        <v>119</v>
      </c>
      <c r="N7913" s="10" t="str">
        <f t="shared" si="711"/>
        <v>TON</v>
      </c>
      <c r="O7913" s="11">
        <v>1</v>
      </c>
    </row>
    <row r="7914" spans="2:15" x14ac:dyDescent="0.25">
      <c r="B7914" s="6" t="s">
        <v>1520</v>
      </c>
      <c r="C7914" s="7" t="s">
        <v>196</v>
      </c>
      <c r="D7914" s="8" t="s">
        <v>1343</v>
      </c>
      <c r="E7914" s="8" t="s">
        <v>4151</v>
      </c>
      <c r="F7914" s="9">
        <f t="shared" si="715"/>
        <v>45762</v>
      </c>
      <c r="G7914" s="10">
        <f t="shared" si="709"/>
        <v>4</v>
      </c>
      <c r="H7914" s="10">
        <f t="shared" si="710"/>
        <v>2025</v>
      </c>
      <c r="I7914" s="8" t="s">
        <v>4</v>
      </c>
      <c r="J7914" s="7" t="s">
        <v>8416</v>
      </c>
      <c r="K7914" s="8" t="s">
        <v>1379</v>
      </c>
      <c r="L7914" s="8" t="s">
        <v>1380</v>
      </c>
      <c r="M7914" s="8" t="s">
        <v>119</v>
      </c>
      <c r="N7914" s="10" t="str">
        <f t="shared" si="711"/>
        <v>TON</v>
      </c>
      <c r="O7914" s="11">
        <v>15.015000000000001</v>
      </c>
    </row>
    <row r="7915" spans="2:15" x14ac:dyDescent="0.25">
      <c r="B7915" s="6" t="s">
        <v>1520</v>
      </c>
      <c r="C7915" s="7" t="s">
        <v>196</v>
      </c>
      <c r="D7915" s="8" t="s">
        <v>280</v>
      </c>
      <c r="E7915" s="8" t="s">
        <v>254</v>
      </c>
      <c r="F7915" s="9">
        <f t="shared" si="715"/>
        <v>45762</v>
      </c>
      <c r="G7915" s="10">
        <f t="shared" si="709"/>
        <v>4</v>
      </c>
      <c r="H7915" s="10">
        <f t="shared" si="710"/>
        <v>2025</v>
      </c>
      <c r="I7915" s="8" t="s">
        <v>4</v>
      </c>
      <c r="J7915" s="7" t="s">
        <v>8417</v>
      </c>
      <c r="K7915" s="8" t="s">
        <v>2350</v>
      </c>
      <c r="L7915" s="8" t="s">
        <v>2351</v>
      </c>
      <c r="M7915" s="8" t="s">
        <v>119</v>
      </c>
      <c r="N7915" s="10" t="str">
        <f t="shared" si="711"/>
        <v>TON</v>
      </c>
      <c r="O7915" s="11">
        <v>12.505000000000001</v>
      </c>
    </row>
    <row r="7916" spans="2:15" x14ac:dyDescent="0.25">
      <c r="B7916" s="6" t="s">
        <v>1520</v>
      </c>
      <c r="C7916" s="7" t="s">
        <v>196</v>
      </c>
      <c r="D7916" s="8" t="s">
        <v>224</v>
      </c>
      <c r="E7916" s="8" t="s">
        <v>361</v>
      </c>
      <c r="F7916" s="9">
        <f t="shared" si="715"/>
        <v>45762</v>
      </c>
      <c r="G7916" s="10">
        <f t="shared" si="709"/>
        <v>4</v>
      </c>
      <c r="H7916" s="10">
        <f t="shared" si="710"/>
        <v>2025</v>
      </c>
      <c r="I7916" s="8" t="s">
        <v>4</v>
      </c>
      <c r="J7916" s="7" t="s">
        <v>8418</v>
      </c>
      <c r="K7916" s="8" t="s">
        <v>8387</v>
      </c>
      <c r="L7916" s="8" t="s">
        <v>8388</v>
      </c>
      <c r="M7916" s="8" t="s">
        <v>119</v>
      </c>
      <c r="N7916" s="10" t="str">
        <f t="shared" si="711"/>
        <v>TON</v>
      </c>
      <c r="O7916" s="11">
        <v>5.0250000000000004</v>
      </c>
    </row>
    <row r="7917" spans="2:15" x14ac:dyDescent="0.25">
      <c r="B7917" s="6" t="s">
        <v>1520</v>
      </c>
      <c r="C7917" s="7" t="s">
        <v>196</v>
      </c>
      <c r="D7917" s="8" t="s">
        <v>440</v>
      </c>
      <c r="E7917" s="8" t="s">
        <v>1274</v>
      </c>
      <c r="F7917" s="9">
        <f t="shared" si="715"/>
        <v>45762</v>
      </c>
      <c r="G7917" s="10">
        <f t="shared" si="709"/>
        <v>4</v>
      </c>
      <c r="H7917" s="10">
        <f t="shared" si="710"/>
        <v>2025</v>
      </c>
      <c r="I7917" s="8" t="s">
        <v>4</v>
      </c>
      <c r="J7917" s="7" t="s">
        <v>8419</v>
      </c>
      <c r="K7917" s="8" t="s">
        <v>2350</v>
      </c>
      <c r="L7917" s="8" t="s">
        <v>2351</v>
      </c>
      <c r="M7917" s="8" t="s">
        <v>119</v>
      </c>
      <c r="N7917" s="10" t="str">
        <f t="shared" si="711"/>
        <v>TON</v>
      </c>
      <c r="O7917" s="11">
        <v>4.99</v>
      </c>
    </row>
    <row r="7918" spans="2:15" x14ac:dyDescent="0.25">
      <c r="B7918" s="6" t="s">
        <v>1520</v>
      </c>
      <c r="C7918" s="7" t="s">
        <v>196</v>
      </c>
      <c r="D7918" s="8" t="s">
        <v>1276</v>
      </c>
      <c r="E7918" s="8" t="s">
        <v>791</v>
      </c>
      <c r="F7918" s="9">
        <f>DATE(2025,4,16)</f>
        <v>45763</v>
      </c>
      <c r="G7918" s="10">
        <f t="shared" si="709"/>
        <v>4</v>
      </c>
      <c r="H7918" s="10">
        <f t="shared" si="710"/>
        <v>2025</v>
      </c>
      <c r="I7918" s="8" t="s">
        <v>4</v>
      </c>
      <c r="J7918" s="7" t="s">
        <v>8420</v>
      </c>
      <c r="K7918" s="8" t="s">
        <v>117</v>
      </c>
      <c r="L7918" s="8" t="s">
        <v>118</v>
      </c>
      <c r="M7918" s="8" t="s">
        <v>119</v>
      </c>
      <c r="N7918" s="10" t="str">
        <f t="shared" si="711"/>
        <v>TON</v>
      </c>
      <c r="O7918" s="11">
        <v>1.25</v>
      </c>
    </row>
    <row r="7919" spans="2:15" x14ac:dyDescent="0.25">
      <c r="B7919" s="6" t="s">
        <v>1520</v>
      </c>
      <c r="C7919" s="7" t="s">
        <v>196</v>
      </c>
      <c r="D7919" s="8" t="s">
        <v>276</v>
      </c>
      <c r="E7919" s="8" t="s">
        <v>682</v>
      </c>
      <c r="F7919" s="9">
        <f>DATE(2025,4,16)</f>
        <v>45763</v>
      </c>
      <c r="G7919" s="10">
        <f t="shared" si="709"/>
        <v>4</v>
      </c>
      <c r="H7919" s="10">
        <f t="shared" si="710"/>
        <v>2025</v>
      </c>
      <c r="I7919" s="8" t="s">
        <v>4</v>
      </c>
      <c r="J7919" s="7" t="s">
        <v>8421</v>
      </c>
      <c r="K7919" s="8" t="s">
        <v>205</v>
      </c>
      <c r="L7919" s="8" t="s">
        <v>206</v>
      </c>
      <c r="M7919" s="8" t="s">
        <v>119</v>
      </c>
      <c r="N7919" s="10" t="str">
        <f t="shared" si="711"/>
        <v>TON</v>
      </c>
      <c r="O7919" s="11">
        <v>5</v>
      </c>
    </row>
    <row r="7920" spans="2:15" x14ac:dyDescent="0.25">
      <c r="B7920" s="6" t="s">
        <v>1520</v>
      </c>
      <c r="C7920" s="7" t="s">
        <v>196</v>
      </c>
      <c r="D7920" s="8" t="s">
        <v>458</v>
      </c>
      <c r="E7920" s="8" t="s">
        <v>459</v>
      </c>
      <c r="F7920" s="9">
        <f>DATE(2025,4,16)</f>
        <v>45763</v>
      </c>
      <c r="G7920" s="10">
        <f t="shared" si="709"/>
        <v>4</v>
      </c>
      <c r="H7920" s="10">
        <f t="shared" si="710"/>
        <v>2025</v>
      </c>
      <c r="I7920" s="8" t="s">
        <v>4</v>
      </c>
      <c r="J7920" s="7" t="s">
        <v>8422</v>
      </c>
      <c r="K7920" s="8" t="s">
        <v>205</v>
      </c>
      <c r="L7920" s="8" t="s">
        <v>206</v>
      </c>
      <c r="M7920" s="8" t="s">
        <v>119</v>
      </c>
      <c r="N7920" s="10" t="str">
        <f t="shared" si="711"/>
        <v>TON</v>
      </c>
      <c r="O7920" s="11">
        <v>2.52</v>
      </c>
    </row>
    <row r="7921" spans="2:15" x14ac:dyDescent="0.25">
      <c r="B7921" s="6" t="s">
        <v>1520</v>
      </c>
      <c r="C7921" s="7" t="s">
        <v>196</v>
      </c>
      <c r="D7921" s="8" t="s">
        <v>303</v>
      </c>
      <c r="E7921" s="8" t="s">
        <v>4426</v>
      </c>
      <c r="F7921" s="9">
        <f>DATE(2025,4,16)</f>
        <v>45763</v>
      </c>
      <c r="G7921" s="10">
        <f t="shared" si="709"/>
        <v>4</v>
      </c>
      <c r="H7921" s="10">
        <f t="shared" si="710"/>
        <v>2025</v>
      </c>
      <c r="I7921" s="8" t="s">
        <v>4</v>
      </c>
      <c r="J7921" s="7" t="s">
        <v>8423</v>
      </c>
      <c r="K7921" s="8" t="s">
        <v>8424</v>
      </c>
      <c r="L7921" s="8" t="s">
        <v>8425</v>
      </c>
      <c r="M7921" s="8" t="s">
        <v>119</v>
      </c>
      <c r="N7921" s="10" t="str">
        <f t="shared" si="711"/>
        <v>TON</v>
      </c>
      <c r="O7921" s="11">
        <v>1.25</v>
      </c>
    </row>
    <row r="7922" spans="2:15" x14ac:dyDescent="0.25">
      <c r="B7922" s="6" t="s">
        <v>1520</v>
      </c>
      <c r="C7922" s="7" t="s">
        <v>196</v>
      </c>
      <c r="D7922" s="8" t="s">
        <v>232</v>
      </c>
      <c r="E7922" s="8" t="s">
        <v>6657</v>
      </c>
      <c r="F7922" s="9">
        <f>DATE(2025,4,16)</f>
        <v>45763</v>
      </c>
      <c r="G7922" s="10">
        <f t="shared" si="709"/>
        <v>4</v>
      </c>
      <c r="H7922" s="10">
        <f t="shared" si="710"/>
        <v>2025</v>
      </c>
      <c r="I7922" s="8" t="s">
        <v>4</v>
      </c>
      <c r="J7922" s="7" t="s">
        <v>8426</v>
      </c>
      <c r="K7922" s="8" t="s">
        <v>205</v>
      </c>
      <c r="L7922" s="8" t="s">
        <v>206</v>
      </c>
      <c r="M7922" s="8" t="s">
        <v>119</v>
      </c>
      <c r="N7922" s="10" t="str">
        <f t="shared" si="711"/>
        <v>TON</v>
      </c>
      <c r="O7922" s="11">
        <v>13.75</v>
      </c>
    </row>
    <row r="7923" spans="2:15" x14ac:dyDescent="0.25">
      <c r="B7923" s="6" t="s">
        <v>1520</v>
      </c>
      <c r="C7923" s="7" t="s">
        <v>196</v>
      </c>
      <c r="D7923" s="8" t="s">
        <v>387</v>
      </c>
      <c r="E7923" s="8" t="s">
        <v>797</v>
      </c>
      <c r="F7923" s="9">
        <f>DATE(2025,4,17)</f>
        <v>45764</v>
      </c>
      <c r="G7923" s="10">
        <f t="shared" si="709"/>
        <v>4</v>
      </c>
      <c r="H7923" s="10">
        <f t="shared" si="710"/>
        <v>2025</v>
      </c>
      <c r="I7923" s="8" t="s">
        <v>4</v>
      </c>
      <c r="J7923" s="7" t="s">
        <v>8427</v>
      </c>
      <c r="K7923" s="8" t="s">
        <v>8387</v>
      </c>
      <c r="L7923" s="8" t="s">
        <v>8388</v>
      </c>
      <c r="M7923" s="8" t="s">
        <v>119</v>
      </c>
      <c r="N7923" s="10" t="str">
        <f t="shared" si="711"/>
        <v>TON</v>
      </c>
      <c r="O7923" s="11">
        <v>7.5</v>
      </c>
    </row>
    <row r="7924" spans="2:15" x14ac:dyDescent="0.25">
      <c r="B7924" s="6" t="s">
        <v>1520</v>
      </c>
      <c r="C7924" s="7" t="s">
        <v>196</v>
      </c>
      <c r="D7924" s="8" t="s">
        <v>331</v>
      </c>
      <c r="E7924" s="8" t="s">
        <v>332</v>
      </c>
      <c r="F7924" s="9">
        <f>DATE(2025,4,17)</f>
        <v>45764</v>
      </c>
      <c r="G7924" s="10">
        <f t="shared" si="709"/>
        <v>4</v>
      </c>
      <c r="H7924" s="10">
        <f t="shared" si="710"/>
        <v>2025</v>
      </c>
      <c r="I7924" s="8" t="s">
        <v>4</v>
      </c>
      <c r="J7924" s="7" t="s">
        <v>8428</v>
      </c>
      <c r="K7924" s="8" t="s">
        <v>205</v>
      </c>
      <c r="L7924" s="8" t="s">
        <v>206</v>
      </c>
      <c r="M7924" s="8" t="s">
        <v>119</v>
      </c>
      <c r="N7924" s="10" t="str">
        <f t="shared" si="711"/>
        <v>TON</v>
      </c>
      <c r="O7924" s="11">
        <v>9.99</v>
      </c>
    </row>
    <row r="7925" spans="2:15" x14ac:dyDescent="0.25">
      <c r="B7925" s="6" t="s">
        <v>1520</v>
      </c>
      <c r="C7925" s="7" t="s">
        <v>196</v>
      </c>
      <c r="D7925" s="8" t="s">
        <v>449</v>
      </c>
      <c r="E7925" s="8" t="s">
        <v>450</v>
      </c>
      <c r="F7925" s="9">
        <f>DATE(2025,4,17)</f>
        <v>45764</v>
      </c>
      <c r="G7925" s="10">
        <f t="shared" si="709"/>
        <v>4</v>
      </c>
      <c r="H7925" s="10">
        <f t="shared" si="710"/>
        <v>2025</v>
      </c>
      <c r="I7925" s="8" t="s">
        <v>4</v>
      </c>
      <c r="J7925" s="7" t="s">
        <v>8429</v>
      </c>
      <c r="K7925" s="8" t="s">
        <v>205</v>
      </c>
      <c r="L7925" s="8" t="s">
        <v>206</v>
      </c>
      <c r="M7925" s="8" t="s">
        <v>119</v>
      </c>
      <c r="N7925" s="10" t="str">
        <f t="shared" si="711"/>
        <v>TON</v>
      </c>
      <c r="O7925" s="11">
        <v>4.51</v>
      </c>
    </row>
    <row r="7926" spans="2:15" x14ac:dyDescent="0.25">
      <c r="B7926" s="6" t="s">
        <v>645</v>
      </c>
      <c r="C7926" s="7" t="s">
        <v>196</v>
      </c>
      <c r="D7926" s="8" t="s">
        <v>884</v>
      </c>
      <c r="E7926" s="8" t="s">
        <v>141</v>
      </c>
      <c r="F7926" s="9">
        <f>DATE(2025,4,17)</f>
        <v>45764</v>
      </c>
      <c r="G7926" s="10">
        <f t="shared" si="709"/>
        <v>4</v>
      </c>
      <c r="H7926" s="10">
        <f t="shared" si="710"/>
        <v>2025</v>
      </c>
      <c r="I7926" s="8" t="s">
        <v>4</v>
      </c>
      <c r="J7926" s="7" t="s">
        <v>8430</v>
      </c>
      <c r="K7926" s="8" t="s">
        <v>384</v>
      </c>
      <c r="L7926" s="8" t="s">
        <v>385</v>
      </c>
      <c r="M7926" s="8" t="s">
        <v>119</v>
      </c>
      <c r="N7926" s="10" t="str">
        <f t="shared" si="711"/>
        <v>TON</v>
      </c>
      <c r="O7926" s="11">
        <v>2</v>
      </c>
    </row>
    <row r="7927" spans="2:15" x14ac:dyDescent="0.25">
      <c r="B7927" s="6" t="s">
        <v>1520</v>
      </c>
      <c r="C7927" s="7" t="s">
        <v>196</v>
      </c>
      <c r="D7927" s="8" t="s">
        <v>215</v>
      </c>
      <c r="E7927" s="8" t="s">
        <v>4113</v>
      </c>
      <c r="F7927" s="9">
        <f>DATE(2025,4,17)</f>
        <v>45764</v>
      </c>
      <c r="G7927" s="10">
        <f t="shared" si="709"/>
        <v>4</v>
      </c>
      <c r="H7927" s="10">
        <f t="shared" si="710"/>
        <v>2025</v>
      </c>
      <c r="I7927" s="8" t="s">
        <v>4</v>
      </c>
      <c r="J7927" s="7" t="s">
        <v>8431</v>
      </c>
      <c r="K7927" s="8" t="s">
        <v>205</v>
      </c>
      <c r="L7927" s="8" t="s">
        <v>206</v>
      </c>
      <c r="M7927" s="8" t="s">
        <v>119</v>
      </c>
      <c r="N7927" s="10" t="str">
        <f t="shared" si="711"/>
        <v>TON</v>
      </c>
      <c r="O7927" s="11">
        <v>15.077500000000001</v>
      </c>
    </row>
    <row r="7928" spans="2:15" x14ac:dyDescent="0.25">
      <c r="B7928" s="6" t="s">
        <v>1520</v>
      </c>
      <c r="C7928" s="7" t="s">
        <v>196</v>
      </c>
      <c r="D7928" s="8" t="s">
        <v>265</v>
      </c>
      <c r="E7928" s="8" t="s">
        <v>266</v>
      </c>
      <c r="F7928" s="9">
        <f t="shared" ref="F7928:F7936" si="716">DATE(2025,4,18)</f>
        <v>45765</v>
      </c>
      <c r="G7928" s="10">
        <f t="shared" si="709"/>
        <v>4</v>
      </c>
      <c r="H7928" s="10">
        <f t="shared" si="710"/>
        <v>2025</v>
      </c>
      <c r="I7928" s="8" t="s">
        <v>4</v>
      </c>
      <c r="J7928" s="7" t="s">
        <v>8432</v>
      </c>
      <c r="K7928" s="8" t="s">
        <v>268</v>
      </c>
      <c r="L7928" s="8" t="s">
        <v>269</v>
      </c>
      <c r="M7928" s="8" t="s">
        <v>119</v>
      </c>
      <c r="N7928" s="10" t="str">
        <f t="shared" si="711"/>
        <v>TON</v>
      </c>
      <c r="O7928" s="11">
        <v>0.15</v>
      </c>
    </row>
    <row r="7929" spans="2:15" x14ac:dyDescent="0.25">
      <c r="B7929" s="6" t="s">
        <v>1520</v>
      </c>
      <c r="C7929" s="7" t="s">
        <v>196</v>
      </c>
      <c r="D7929" s="8" t="s">
        <v>440</v>
      </c>
      <c r="E7929" s="8" t="s">
        <v>441</v>
      </c>
      <c r="F7929" s="9">
        <f t="shared" si="716"/>
        <v>45765</v>
      </c>
      <c r="G7929" s="10">
        <f t="shared" si="709"/>
        <v>4</v>
      </c>
      <c r="H7929" s="10">
        <f t="shared" si="710"/>
        <v>2025</v>
      </c>
      <c r="I7929" s="8" t="s">
        <v>4</v>
      </c>
      <c r="J7929" s="7" t="s">
        <v>8433</v>
      </c>
      <c r="K7929" s="8" t="s">
        <v>8387</v>
      </c>
      <c r="L7929" s="8" t="s">
        <v>8388</v>
      </c>
      <c r="M7929" s="8" t="s">
        <v>119</v>
      </c>
      <c r="N7929" s="10" t="str">
        <f t="shared" si="711"/>
        <v>TON</v>
      </c>
      <c r="O7929" s="11">
        <v>7.51</v>
      </c>
    </row>
    <row r="7930" spans="2:15" x14ac:dyDescent="0.25">
      <c r="B7930" s="6" t="s">
        <v>1520</v>
      </c>
      <c r="C7930" s="7" t="s">
        <v>196</v>
      </c>
      <c r="D7930" s="8" t="s">
        <v>440</v>
      </c>
      <c r="E7930" s="8" t="s">
        <v>1369</v>
      </c>
      <c r="F7930" s="9">
        <f t="shared" si="716"/>
        <v>45765</v>
      </c>
      <c r="G7930" s="10">
        <f t="shared" si="709"/>
        <v>4</v>
      </c>
      <c r="H7930" s="10">
        <f t="shared" si="710"/>
        <v>2025</v>
      </c>
      <c r="I7930" s="8" t="s">
        <v>4</v>
      </c>
      <c r="J7930" s="7" t="s">
        <v>8434</v>
      </c>
      <c r="K7930" s="8" t="s">
        <v>8387</v>
      </c>
      <c r="L7930" s="8" t="s">
        <v>8388</v>
      </c>
      <c r="M7930" s="8" t="s">
        <v>119</v>
      </c>
      <c r="N7930" s="10" t="str">
        <f t="shared" si="711"/>
        <v>TON</v>
      </c>
      <c r="O7930" s="11">
        <v>7.5175000000000001</v>
      </c>
    </row>
    <row r="7931" spans="2:15" x14ac:dyDescent="0.25">
      <c r="B7931" s="6" t="s">
        <v>1520</v>
      </c>
      <c r="C7931" s="7" t="s">
        <v>196</v>
      </c>
      <c r="D7931" s="8" t="s">
        <v>374</v>
      </c>
      <c r="E7931" s="8" t="s">
        <v>710</v>
      </c>
      <c r="F7931" s="9">
        <f t="shared" si="716"/>
        <v>45765</v>
      </c>
      <c r="G7931" s="10">
        <f t="shared" si="709"/>
        <v>4</v>
      </c>
      <c r="H7931" s="10">
        <f t="shared" si="710"/>
        <v>2025</v>
      </c>
      <c r="I7931" s="8" t="s">
        <v>4</v>
      </c>
      <c r="J7931" s="7" t="s">
        <v>8435</v>
      </c>
      <c r="K7931" s="8" t="s">
        <v>329</v>
      </c>
      <c r="L7931" s="8" t="s">
        <v>330</v>
      </c>
      <c r="M7931" s="8" t="s">
        <v>119</v>
      </c>
      <c r="N7931" s="10" t="str">
        <f t="shared" si="711"/>
        <v>TON</v>
      </c>
      <c r="O7931" s="11">
        <v>10.01</v>
      </c>
    </row>
    <row r="7932" spans="2:15" x14ac:dyDescent="0.25">
      <c r="B7932" s="6" t="s">
        <v>1520</v>
      </c>
      <c r="C7932" s="7" t="s">
        <v>196</v>
      </c>
      <c r="D7932" s="8" t="s">
        <v>374</v>
      </c>
      <c r="E7932" s="8" t="s">
        <v>5309</v>
      </c>
      <c r="F7932" s="9">
        <f t="shared" si="716"/>
        <v>45765</v>
      </c>
      <c r="G7932" s="10">
        <f t="shared" si="709"/>
        <v>4</v>
      </c>
      <c r="H7932" s="10">
        <f t="shared" si="710"/>
        <v>2025</v>
      </c>
      <c r="I7932" s="8" t="s">
        <v>4</v>
      </c>
      <c r="J7932" s="7" t="s">
        <v>8436</v>
      </c>
      <c r="K7932" s="8" t="s">
        <v>1301</v>
      </c>
      <c r="L7932" s="8" t="s">
        <v>1302</v>
      </c>
      <c r="M7932" s="8" t="s">
        <v>119</v>
      </c>
      <c r="N7932" s="10" t="str">
        <f t="shared" si="711"/>
        <v>TON</v>
      </c>
      <c r="O7932" s="11">
        <v>6.0125000000000002</v>
      </c>
    </row>
    <row r="7933" spans="2:15" x14ac:dyDescent="0.25">
      <c r="B7933" s="6" t="s">
        <v>1520</v>
      </c>
      <c r="C7933" s="7" t="s">
        <v>196</v>
      </c>
      <c r="D7933" s="8" t="s">
        <v>289</v>
      </c>
      <c r="E7933" s="8" t="s">
        <v>290</v>
      </c>
      <c r="F7933" s="9">
        <f t="shared" si="716"/>
        <v>45765</v>
      </c>
      <c r="G7933" s="10">
        <f t="shared" si="709"/>
        <v>4</v>
      </c>
      <c r="H7933" s="10">
        <f t="shared" si="710"/>
        <v>2025</v>
      </c>
      <c r="I7933" s="8" t="s">
        <v>4</v>
      </c>
      <c r="J7933" s="7" t="s">
        <v>8437</v>
      </c>
      <c r="K7933" s="8" t="s">
        <v>268</v>
      </c>
      <c r="L7933" s="8" t="s">
        <v>269</v>
      </c>
      <c r="M7933" s="8" t="s">
        <v>119</v>
      </c>
      <c r="N7933" s="10" t="str">
        <f t="shared" si="711"/>
        <v>TON</v>
      </c>
      <c r="O7933" s="11">
        <v>1</v>
      </c>
    </row>
    <row r="7934" spans="2:15" x14ac:dyDescent="0.25">
      <c r="B7934" s="6" t="s">
        <v>1520</v>
      </c>
      <c r="C7934" s="7" t="s">
        <v>196</v>
      </c>
      <c r="D7934" s="8" t="s">
        <v>114</v>
      </c>
      <c r="E7934" s="8" t="s">
        <v>491</v>
      </c>
      <c r="F7934" s="9">
        <f t="shared" si="716"/>
        <v>45765</v>
      </c>
      <c r="G7934" s="10">
        <f t="shared" si="709"/>
        <v>4</v>
      </c>
      <c r="H7934" s="10">
        <f t="shared" si="710"/>
        <v>2025</v>
      </c>
      <c r="I7934" s="8" t="s">
        <v>4</v>
      </c>
      <c r="J7934" s="7" t="s">
        <v>8438</v>
      </c>
      <c r="K7934" s="8" t="s">
        <v>2350</v>
      </c>
      <c r="L7934" s="8" t="s">
        <v>2351</v>
      </c>
      <c r="M7934" s="8" t="s">
        <v>119</v>
      </c>
      <c r="N7934" s="10" t="str">
        <f t="shared" si="711"/>
        <v>TON</v>
      </c>
      <c r="O7934" s="11">
        <v>2.0024999999999999</v>
      </c>
    </row>
    <row r="7935" spans="2:15" x14ac:dyDescent="0.25">
      <c r="B7935" s="6" t="s">
        <v>1520</v>
      </c>
      <c r="C7935" s="7" t="s">
        <v>196</v>
      </c>
      <c r="D7935" s="8" t="s">
        <v>317</v>
      </c>
      <c r="E7935" s="8" t="s">
        <v>677</v>
      </c>
      <c r="F7935" s="9">
        <f t="shared" si="716"/>
        <v>45765</v>
      </c>
      <c r="G7935" s="10">
        <f t="shared" si="709"/>
        <v>4</v>
      </c>
      <c r="H7935" s="10">
        <f t="shared" si="710"/>
        <v>2025</v>
      </c>
      <c r="I7935" s="8" t="s">
        <v>4</v>
      </c>
      <c r="J7935" s="7" t="s">
        <v>8439</v>
      </c>
      <c r="K7935" s="8" t="s">
        <v>2350</v>
      </c>
      <c r="L7935" s="8" t="s">
        <v>2351</v>
      </c>
      <c r="M7935" s="8" t="s">
        <v>119</v>
      </c>
      <c r="N7935" s="10" t="str">
        <f t="shared" si="711"/>
        <v>TON</v>
      </c>
      <c r="O7935" s="11">
        <v>3.48</v>
      </c>
    </row>
    <row r="7936" spans="2:15" x14ac:dyDescent="0.25">
      <c r="B7936" s="6" t="s">
        <v>1520</v>
      </c>
      <c r="C7936" s="7" t="s">
        <v>196</v>
      </c>
      <c r="D7936" s="8" t="s">
        <v>374</v>
      </c>
      <c r="E7936" s="8" t="s">
        <v>717</v>
      </c>
      <c r="F7936" s="9">
        <f t="shared" si="716"/>
        <v>45765</v>
      </c>
      <c r="G7936" s="10">
        <f t="shared" si="709"/>
        <v>4</v>
      </c>
      <c r="H7936" s="10">
        <f t="shared" si="710"/>
        <v>2025</v>
      </c>
      <c r="I7936" s="8" t="s">
        <v>4</v>
      </c>
      <c r="J7936" s="7" t="s">
        <v>8440</v>
      </c>
      <c r="K7936" s="8" t="s">
        <v>329</v>
      </c>
      <c r="L7936" s="8" t="s">
        <v>330</v>
      </c>
      <c r="M7936" s="8" t="s">
        <v>119</v>
      </c>
      <c r="N7936" s="10" t="str">
        <f t="shared" si="711"/>
        <v>TON</v>
      </c>
      <c r="O7936" s="11">
        <v>5.0175000000000001</v>
      </c>
    </row>
    <row r="7937" spans="2:15" x14ac:dyDescent="0.25">
      <c r="B7937" s="6" t="s">
        <v>1520</v>
      </c>
      <c r="C7937" s="7" t="s">
        <v>196</v>
      </c>
      <c r="D7937" s="8" t="s">
        <v>210</v>
      </c>
      <c r="E7937" s="8" t="s">
        <v>3176</v>
      </c>
      <c r="F7937" s="9">
        <f t="shared" ref="F7937:F7943" si="717">DATE(2025,4,21)</f>
        <v>45768</v>
      </c>
      <c r="G7937" s="10">
        <f t="shared" si="709"/>
        <v>4</v>
      </c>
      <c r="H7937" s="10">
        <f t="shared" si="710"/>
        <v>2025</v>
      </c>
      <c r="I7937" s="8" t="s">
        <v>4</v>
      </c>
      <c r="J7937" s="7" t="s">
        <v>8441</v>
      </c>
      <c r="K7937" s="8" t="s">
        <v>19</v>
      </c>
      <c r="L7937" s="8" t="s">
        <v>565</v>
      </c>
      <c r="M7937" s="8" t="s">
        <v>21</v>
      </c>
      <c r="N7937" s="10" t="str">
        <f t="shared" si="711"/>
        <v>GAL</v>
      </c>
      <c r="O7937" s="11">
        <v>25</v>
      </c>
    </row>
    <row r="7938" spans="2:15" x14ac:dyDescent="0.25">
      <c r="B7938" s="6" t="s">
        <v>1520</v>
      </c>
      <c r="C7938" s="7" t="s">
        <v>196</v>
      </c>
      <c r="D7938" s="8" t="s">
        <v>210</v>
      </c>
      <c r="E7938" s="8" t="s">
        <v>3176</v>
      </c>
      <c r="F7938" s="9">
        <f t="shared" si="717"/>
        <v>45768</v>
      </c>
      <c r="G7938" s="10">
        <f t="shared" si="709"/>
        <v>4</v>
      </c>
      <c r="H7938" s="10">
        <f t="shared" si="710"/>
        <v>2025</v>
      </c>
      <c r="I7938" s="8" t="s">
        <v>4</v>
      </c>
      <c r="J7938" s="7" t="s">
        <v>8441</v>
      </c>
      <c r="K7938" s="8" t="s">
        <v>2477</v>
      </c>
      <c r="L7938" s="8" t="s">
        <v>538</v>
      </c>
      <c r="M7938" s="8" t="s">
        <v>4243</v>
      </c>
      <c r="N7938" s="10" t="str">
        <f t="shared" si="711"/>
        <v>GAL</v>
      </c>
      <c r="O7938" s="11">
        <v>25</v>
      </c>
    </row>
    <row r="7939" spans="2:15" x14ac:dyDescent="0.25">
      <c r="B7939" s="6" t="s">
        <v>1520</v>
      </c>
      <c r="C7939" s="7" t="s">
        <v>196</v>
      </c>
      <c r="D7939" s="8" t="s">
        <v>210</v>
      </c>
      <c r="E7939" s="8" t="s">
        <v>3176</v>
      </c>
      <c r="F7939" s="9">
        <f t="shared" si="717"/>
        <v>45768</v>
      </c>
      <c r="G7939" s="10">
        <f t="shared" si="709"/>
        <v>4</v>
      </c>
      <c r="H7939" s="10">
        <f t="shared" si="710"/>
        <v>2025</v>
      </c>
      <c r="I7939" s="8" t="s">
        <v>4</v>
      </c>
      <c r="J7939" s="7" t="s">
        <v>8442</v>
      </c>
      <c r="K7939" s="8" t="s">
        <v>351</v>
      </c>
      <c r="L7939" s="8" t="s">
        <v>352</v>
      </c>
      <c r="M7939" s="8" t="s">
        <v>119</v>
      </c>
      <c r="N7939" s="10" t="str">
        <f t="shared" si="711"/>
        <v>TON</v>
      </c>
      <c r="O7939" s="11">
        <v>15.07</v>
      </c>
    </row>
    <row r="7940" spans="2:15" x14ac:dyDescent="0.25">
      <c r="B7940" s="6" t="s">
        <v>1520</v>
      </c>
      <c r="C7940" s="7" t="s">
        <v>196</v>
      </c>
      <c r="D7940" s="8" t="s">
        <v>440</v>
      </c>
      <c r="E7940" s="8" t="s">
        <v>1274</v>
      </c>
      <c r="F7940" s="9">
        <f t="shared" si="717"/>
        <v>45768</v>
      </c>
      <c r="G7940" s="10">
        <f t="shared" ref="G7940:G8003" si="718">+MONTH(F7940)</f>
        <v>4</v>
      </c>
      <c r="H7940" s="10">
        <f t="shared" ref="H7940:H8003" si="719">+YEAR(F7940)</f>
        <v>2025</v>
      </c>
      <c r="I7940" s="8" t="s">
        <v>4</v>
      </c>
      <c r="J7940" s="7" t="s">
        <v>8443</v>
      </c>
      <c r="K7940" s="8" t="s">
        <v>8387</v>
      </c>
      <c r="L7940" s="8" t="s">
        <v>8388</v>
      </c>
      <c r="M7940" s="8" t="s">
        <v>119</v>
      </c>
      <c r="N7940" s="10" t="str">
        <f t="shared" si="711"/>
        <v>TON</v>
      </c>
      <c r="O7940" s="11">
        <v>7.5270000000000001</v>
      </c>
    </row>
    <row r="7941" spans="2:15" x14ac:dyDescent="0.25">
      <c r="B7941" s="6" t="s">
        <v>1520</v>
      </c>
      <c r="C7941" s="7" t="s">
        <v>196</v>
      </c>
      <c r="D7941" s="8" t="s">
        <v>310</v>
      </c>
      <c r="E7941" s="8" t="s">
        <v>355</v>
      </c>
      <c r="F7941" s="9">
        <f t="shared" si="717"/>
        <v>45768</v>
      </c>
      <c r="G7941" s="10">
        <f t="shared" si="718"/>
        <v>4</v>
      </c>
      <c r="H7941" s="10">
        <f t="shared" si="719"/>
        <v>2025</v>
      </c>
      <c r="I7941" s="8" t="s">
        <v>4</v>
      </c>
      <c r="J7941" s="7" t="s">
        <v>8444</v>
      </c>
      <c r="K7941" s="8" t="s">
        <v>428</v>
      </c>
      <c r="L7941" s="8" t="s">
        <v>429</v>
      </c>
      <c r="M7941" s="8" t="s">
        <v>119</v>
      </c>
      <c r="N7941" s="10" t="str">
        <f t="shared" ref="N7941:N8004" si="720">+LEFT(M7941,3)</f>
        <v>TON</v>
      </c>
      <c r="O7941" s="11">
        <v>2.02</v>
      </c>
    </row>
    <row r="7942" spans="2:15" x14ac:dyDescent="0.25">
      <c r="B7942" s="6" t="s">
        <v>1520</v>
      </c>
      <c r="C7942" s="7" t="s">
        <v>196</v>
      </c>
      <c r="D7942" s="8" t="s">
        <v>215</v>
      </c>
      <c r="E7942" s="8" t="s">
        <v>315</v>
      </c>
      <c r="F7942" s="9">
        <f t="shared" si="717"/>
        <v>45768</v>
      </c>
      <c r="G7942" s="10">
        <f t="shared" si="718"/>
        <v>4</v>
      </c>
      <c r="H7942" s="10">
        <f t="shared" si="719"/>
        <v>2025</v>
      </c>
      <c r="I7942" s="8" t="s">
        <v>4</v>
      </c>
      <c r="J7942" s="7" t="s">
        <v>8445</v>
      </c>
      <c r="K7942" s="8" t="s">
        <v>205</v>
      </c>
      <c r="L7942" s="8" t="s">
        <v>206</v>
      </c>
      <c r="M7942" s="8" t="s">
        <v>119</v>
      </c>
      <c r="N7942" s="10" t="str">
        <f t="shared" si="720"/>
        <v>TON</v>
      </c>
      <c r="O7942" s="11">
        <v>7.77</v>
      </c>
    </row>
    <row r="7943" spans="2:15" x14ac:dyDescent="0.25">
      <c r="B7943" s="6" t="s">
        <v>1520</v>
      </c>
      <c r="C7943" s="7" t="s">
        <v>196</v>
      </c>
      <c r="D7943" s="8" t="s">
        <v>265</v>
      </c>
      <c r="E7943" s="8" t="s">
        <v>266</v>
      </c>
      <c r="F7943" s="9">
        <f t="shared" si="717"/>
        <v>45768</v>
      </c>
      <c r="G7943" s="10">
        <f t="shared" si="718"/>
        <v>4</v>
      </c>
      <c r="H7943" s="10">
        <f t="shared" si="719"/>
        <v>2025</v>
      </c>
      <c r="I7943" s="8" t="s">
        <v>4</v>
      </c>
      <c r="J7943" s="7" t="s">
        <v>8446</v>
      </c>
      <c r="K7943" s="8" t="s">
        <v>268</v>
      </c>
      <c r="L7943" s="8" t="s">
        <v>269</v>
      </c>
      <c r="M7943" s="8" t="s">
        <v>119</v>
      </c>
      <c r="N7943" s="10" t="str">
        <f t="shared" si="720"/>
        <v>TON</v>
      </c>
      <c r="O7943" s="11">
        <v>0.15</v>
      </c>
    </row>
    <row r="7944" spans="2:15" x14ac:dyDescent="0.25">
      <c r="B7944" s="6" t="s">
        <v>1520</v>
      </c>
      <c r="C7944" s="7" t="s">
        <v>196</v>
      </c>
      <c r="D7944" s="8" t="s">
        <v>232</v>
      </c>
      <c r="E7944" s="8" t="s">
        <v>6657</v>
      </c>
      <c r="F7944" s="9">
        <f t="shared" ref="F7944:F7953" si="721">DATE(2025,4,22)</f>
        <v>45769</v>
      </c>
      <c r="G7944" s="10">
        <f t="shared" si="718"/>
        <v>4</v>
      </c>
      <c r="H7944" s="10">
        <f t="shared" si="719"/>
        <v>2025</v>
      </c>
      <c r="I7944" s="8" t="s">
        <v>4</v>
      </c>
      <c r="J7944" s="7" t="s">
        <v>8447</v>
      </c>
      <c r="K7944" s="8" t="s">
        <v>823</v>
      </c>
      <c r="L7944" s="8" t="s">
        <v>776</v>
      </c>
      <c r="M7944" s="8" t="s">
        <v>82</v>
      </c>
      <c r="N7944" s="10" t="str">
        <f t="shared" si="720"/>
        <v>GAL</v>
      </c>
      <c r="O7944" s="11">
        <v>250</v>
      </c>
    </row>
    <row r="7945" spans="2:15" x14ac:dyDescent="0.25">
      <c r="B7945" s="6" t="s">
        <v>1520</v>
      </c>
      <c r="C7945" s="7" t="s">
        <v>196</v>
      </c>
      <c r="D7945" s="8" t="s">
        <v>387</v>
      </c>
      <c r="E7945" s="8" t="s">
        <v>388</v>
      </c>
      <c r="F7945" s="9">
        <f t="shared" si="721"/>
        <v>45769</v>
      </c>
      <c r="G7945" s="10">
        <f t="shared" si="718"/>
        <v>4</v>
      </c>
      <c r="H7945" s="10">
        <f t="shared" si="719"/>
        <v>2025</v>
      </c>
      <c r="I7945" s="8" t="s">
        <v>4</v>
      </c>
      <c r="J7945" s="7" t="s">
        <v>8448</v>
      </c>
      <c r="K7945" s="8" t="s">
        <v>649</v>
      </c>
      <c r="L7945" s="8" t="s">
        <v>538</v>
      </c>
      <c r="M7945" s="8" t="s">
        <v>4243</v>
      </c>
      <c r="N7945" s="10" t="str">
        <f t="shared" si="720"/>
        <v>GAL</v>
      </c>
      <c r="O7945" s="11">
        <v>250</v>
      </c>
    </row>
    <row r="7946" spans="2:15" x14ac:dyDescent="0.25">
      <c r="B7946" s="6" t="s">
        <v>1520</v>
      </c>
      <c r="C7946" s="7" t="s">
        <v>196</v>
      </c>
      <c r="D7946" s="8" t="s">
        <v>387</v>
      </c>
      <c r="E7946" s="8" t="s">
        <v>797</v>
      </c>
      <c r="F7946" s="9">
        <f t="shared" si="721"/>
        <v>45769</v>
      </c>
      <c r="G7946" s="10">
        <f t="shared" si="718"/>
        <v>4</v>
      </c>
      <c r="H7946" s="10">
        <f t="shared" si="719"/>
        <v>2025</v>
      </c>
      <c r="I7946" s="8" t="s">
        <v>4</v>
      </c>
      <c r="J7946" s="7" t="s">
        <v>8449</v>
      </c>
      <c r="K7946" s="8" t="s">
        <v>7787</v>
      </c>
      <c r="L7946" s="8" t="s">
        <v>7788</v>
      </c>
      <c r="M7946" s="8" t="s">
        <v>119</v>
      </c>
      <c r="N7946" s="10" t="str">
        <f t="shared" si="720"/>
        <v>TON</v>
      </c>
      <c r="O7946" s="11">
        <v>10.005000000000001</v>
      </c>
    </row>
    <row r="7947" spans="2:15" x14ac:dyDescent="0.25">
      <c r="B7947" s="6" t="s">
        <v>1520</v>
      </c>
      <c r="C7947" s="7" t="s">
        <v>196</v>
      </c>
      <c r="D7947" s="8" t="s">
        <v>721</v>
      </c>
      <c r="E7947" s="8" t="s">
        <v>722</v>
      </c>
      <c r="F7947" s="9">
        <f t="shared" si="721"/>
        <v>45769</v>
      </c>
      <c r="G7947" s="10">
        <f t="shared" si="718"/>
        <v>4</v>
      </c>
      <c r="H7947" s="10">
        <f t="shared" si="719"/>
        <v>2025</v>
      </c>
      <c r="I7947" s="8" t="s">
        <v>4</v>
      </c>
      <c r="J7947" s="7" t="s">
        <v>8450</v>
      </c>
      <c r="K7947" s="8" t="s">
        <v>205</v>
      </c>
      <c r="L7947" s="8" t="s">
        <v>206</v>
      </c>
      <c r="M7947" s="8" t="s">
        <v>119</v>
      </c>
      <c r="N7947" s="10" t="str">
        <f t="shared" si="720"/>
        <v>TON</v>
      </c>
      <c r="O7947" s="11">
        <v>6.25</v>
      </c>
    </row>
    <row r="7948" spans="2:15" x14ac:dyDescent="0.25">
      <c r="B7948" s="6" t="s">
        <v>1520</v>
      </c>
      <c r="C7948" s="7" t="s">
        <v>196</v>
      </c>
      <c r="D7948" s="8" t="s">
        <v>241</v>
      </c>
      <c r="E7948" s="8" t="s">
        <v>258</v>
      </c>
      <c r="F7948" s="9">
        <f t="shared" si="721"/>
        <v>45769</v>
      </c>
      <c r="G7948" s="10">
        <f t="shared" si="718"/>
        <v>4</v>
      </c>
      <c r="H7948" s="10">
        <f t="shared" si="719"/>
        <v>2025</v>
      </c>
      <c r="I7948" s="8" t="s">
        <v>4</v>
      </c>
      <c r="J7948" s="7" t="s">
        <v>8451</v>
      </c>
      <c r="K7948" s="8" t="s">
        <v>3458</v>
      </c>
      <c r="L7948" s="8" t="s">
        <v>3459</v>
      </c>
      <c r="M7948" s="8" t="s">
        <v>119</v>
      </c>
      <c r="N7948" s="10" t="str">
        <f t="shared" si="720"/>
        <v>TON</v>
      </c>
      <c r="O7948" s="11">
        <v>2.25</v>
      </c>
    </row>
    <row r="7949" spans="2:15" x14ac:dyDescent="0.25">
      <c r="B7949" s="6" t="s">
        <v>1520</v>
      </c>
      <c r="C7949" s="7" t="s">
        <v>196</v>
      </c>
      <c r="D7949" s="8" t="s">
        <v>317</v>
      </c>
      <c r="E7949" s="8" t="s">
        <v>319</v>
      </c>
      <c r="F7949" s="9">
        <f t="shared" si="721"/>
        <v>45769</v>
      </c>
      <c r="G7949" s="10">
        <f t="shared" si="718"/>
        <v>4</v>
      </c>
      <c r="H7949" s="10">
        <f t="shared" si="719"/>
        <v>2025</v>
      </c>
      <c r="I7949" s="8" t="s">
        <v>4</v>
      </c>
      <c r="J7949" s="7" t="s">
        <v>8452</v>
      </c>
      <c r="K7949" s="8" t="s">
        <v>2350</v>
      </c>
      <c r="L7949" s="8" t="s">
        <v>2351</v>
      </c>
      <c r="M7949" s="8" t="s">
        <v>119</v>
      </c>
      <c r="N7949" s="10" t="str">
        <f t="shared" si="720"/>
        <v>TON</v>
      </c>
      <c r="O7949" s="11">
        <v>1.7524999999999999</v>
      </c>
    </row>
    <row r="7950" spans="2:15" x14ac:dyDescent="0.25">
      <c r="B7950" s="6" t="s">
        <v>1520</v>
      </c>
      <c r="C7950" s="7" t="s">
        <v>196</v>
      </c>
      <c r="D7950" s="8" t="s">
        <v>1343</v>
      </c>
      <c r="E7950" s="8" t="s">
        <v>4151</v>
      </c>
      <c r="F7950" s="9">
        <f t="shared" si="721"/>
        <v>45769</v>
      </c>
      <c r="G7950" s="10">
        <f t="shared" si="718"/>
        <v>4</v>
      </c>
      <c r="H7950" s="10">
        <f t="shared" si="719"/>
        <v>2025</v>
      </c>
      <c r="I7950" s="8" t="s">
        <v>4</v>
      </c>
      <c r="J7950" s="7" t="s">
        <v>8453</v>
      </c>
      <c r="K7950" s="8" t="s">
        <v>7787</v>
      </c>
      <c r="L7950" s="8" t="s">
        <v>7788</v>
      </c>
      <c r="M7950" s="8" t="s">
        <v>119</v>
      </c>
      <c r="N7950" s="10" t="str">
        <f t="shared" si="720"/>
        <v>TON</v>
      </c>
      <c r="O7950" s="11">
        <v>15.012</v>
      </c>
    </row>
    <row r="7951" spans="2:15" x14ac:dyDescent="0.25">
      <c r="B7951" s="6" t="s">
        <v>1520</v>
      </c>
      <c r="C7951" s="7" t="s">
        <v>196</v>
      </c>
      <c r="D7951" s="8" t="s">
        <v>837</v>
      </c>
      <c r="E7951" s="8" t="s">
        <v>102</v>
      </c>
      <c r="F7951" s="9">
        <f t="shared" si="721"/>
        <v>45769</v>
      </c>
      <c r="G7951" s="10">
        <f t="shared" si="718"/>
        <v>4</v>
      </c>
      <c r="H7951" s="10">
        <f t="shared" si="719"/>
        <v>2025</v>
      </c>
      <c r="I7951" s="8" t="s">
        <v>4</v>
      </c>
      <c r="J7951" s="7" t="s">
        <v>8454</v>
      </c>
      <c r="K7951" s="8" t="s">
        <v>200</v>
      </c>
      <c r="L7951" s="8" t="s">
        <v>201</v>
      </c>
      <c r="M7951" s="8" t="s">
        <v>202</v>
      </c>
      <c r="N7951" s="10" t="str">
        <f t="shared" si="720"/>
        <v>GAL</v>
      </c>
      <c r="O7951" s="11">
        <v>5</v>
      </c>
    </row>
    <row r="7952" spans="2:15" x14ac:dyDescent="0.25">
      <c r="B7952" s="6" t="s">
        <v>1520</v>
      </c>
      <c r="C7952" s="7" t="s">
        <v>196</v>
      </c>
      <c r="D7952" s="8" t="s">
        <v>3767</v>
      </c>
      <c r="E7952" s="8" t="s">
        <v>3768</v>
      </c>
      <c r="F7952" s="9">
        <f t="shared" si="721"/>
        <v>45769</v>
      </c>
      <c r="G7952" s="10">
        <f t="shared" si="718"/>
        <v>4</v>
      </c>
      <c r="H7952" s="10">
        <f t="shared" si="719"/>
        <v>2025</v>
      </c>
      <c r="I7952" s="8" t="s">
        <v>4</v>
      </c>
      <c r="J7952" s="7" t="s">
        <v>8455</v>
      </c>
      <c r="K7952" s="8" t="s">
        <v>205</v>
      </c>
      <c r="L7952" s="8" t="s">
        <v>206</v>
      </c>
      <c r="M7952" s="8" t="s">
        <v>119</v>
      </c>
      <c r="N7952" s="10" t="str">
        <f t="shared" si="720"/>
        <v>TON</v>
      </c>
      <c r="O7952" s="11">
        <v>1.25</v>
      </c>
    </row>
    <row r="7953" spans="2:15" x14ac:dyDescent="0.25">
      <c r="B7953" s="6" t="s">
        <v>1520</v>
      </c>
      <c r="C7953" s="7" t="s">
        <v>196</v>
      </c>
      <c r="D7953" s="8" t="s">
        <v>1343</v>
      </c>
      <c r="E7953" s="8" t="s">
        <v>3724</v>
      </c>
      <c r="F7953" s="9">
        <f t="shared" si="721"/>
        <v>45769</v>
      </c>
      <c r="G7953" s="10">
        <f t="shared" si="718"/>
        <v>4</v>
      </c>
      <c r="H7953" s="10">
        <f t="shared" si="719"/>
        <v>2025</v>
      </c>
      <c r="I7953" s="8" t="s">
        <v>4</v>
      </c>
      <c r="J7953" s="7" t="s">
        <v>8456</v>
      </c>
      <c r="K7953" s="8" t="s">
        <v>7787</v>
      </c>
      <c r="L7953" s="8" t="s">
        <v>7788</v>
      </c>
      <c r="M7953" s="8" t="s">
        <v>119</v>
      </c>
      <c r="N7953" s="10" t="str">
        <f t="shared" si="720"/>
        <v>TON</v>
      </c>
      <c r="O7953" s="11">
        <v>14.994999999999999</v>
      </c>
    </row>
    <row r="7954" spans="2:15" x14ac:dyDescent="0.25">
      <c r="B7954" s="6" t="s">
        <v>1520</v>
      </c>
      <c r="C7954" s="7" t="s">
        <v>196</v>
      </c>
      <c r="D7954" s="8" t="s">
        <v>114</v>
      </c>
      <c r="E7954" s="8" t="s">
        <v>5054</v>
      </c>
      <c r="F7954" s="9">
        <f>DATE(2025,4,23)</f>
        <v>45770</v>
      </c>
      <c r="G7954" s="10">
        <f t="shared" si="718"/>
        <v>4</v>
      </c>
      <c r="H7954" s="10">
        <f t="shared" si="719"/>
        <v>2025</v>
      </c>
      <c r="I7954" s="8" t="s">
        <v>4</v>
      </c>
      <c r="J7954" s="7" t="s">
        <v>8457</v>
      </c>
      <c r="K7954" s="8" t="s">
        <v>2350</v>
      </c>
      <c r="L7954" s="8" t="s">
        <v>2351</v>
      </c>
      <c r="M7954" s="8" t="s">
        <v>119</v>
      </c>
      <c r="N7954" s="10" t="str">
        <f t="shared" si="720"/>
        <v>TON</v>
      </c>
      <c r="O7954" s="11">
        <v>5</v>
      </c>
    </row>
    <row r="7955" spans="2:15" x14ac:dyDescent="0.25">
      <c r="B7955" s="6" t="s">
        <v>1520</v>
      </c>
      <c r="C7955" s="7" t="s">
        <v>196</v>
      </c>
      <c r="D7955" s="8" t="s">
        <v>280</v>
      </c>
      <c r="E7955" s="8" t="s">
        <v>254</v>
      </c>
      <c r="F7955" s="9">
        <f>DATE(2025,4,23)</f>
        <v>45770</v>
      </c>
      <c r="G7955" s="10">
        <f t="shared" si="718"/>
        <v>4</v>
      </c>
      <c r="H7955" s="10">
        <f t="shared" si="719"/>
        <v>2025</v>
      </c>
      <c r="I7955" s="8" t="s">
        <v>4</v>
      </c>
      <c r="J7955" s="7" t="s">
        <v>8458</v>
      </c>
      <c r="K7955" s="8" t="s">
        <v>2776</v>
      </c>
      <c r="L7955" s="8" t="s">
        <v>2777</v>
      </c>
      <c r="M7955" s="8" t="s">
        <v>119</v>
      </c>
      <c r="N7955" s="10" t="str">
        <f t="shared" si="720"/>
        <v>TON</v>
      </c>
      <c r="O7955" s="11">
        <v>15.022</v>
      </c>
    </row>
    <row r="7956" spans="2:15" x14ac:dyDescent="0.25">
      <c r="B7956" s="6" t="s">
        <v>1520</v>
      </c>
      <c r="C7956" s="7" t="s">
        <v>196</v>
      </c>
      <c r="D7956" s="8" t="s">
        <v>241</v>
      </c>
      <c r="E7956" s="8" t="s">
        <v>242</v>
      </c>
      <c r="F7956" s="9">
        <f>DATE(2025,4,23)</f>
        <v>45770</v>
      </c>
      <c r="G7956" s="10">
        <f t="shared" si="718"/>
        <v>4</v>
      </c>
      <c r="H7956" s="10">
        <f t="shared" si="719"/>
        <v>2025</v>
      </c>
      <c r="I7956" s="8" t="s">
        <v>4</v>
      </c>
      <c r="J7956" s="7" t="s">
        <v>8459</v>
      </c>
      <c r="K7956" s="8" t="s">
        <v>8460</v>
      </c>
      <c r="L7956" s="8" t="s">
        <v>8461</v>
      </c>
      <c r="M7956" s="8" t="s">
        <v>119</v>
      </c>
      <c r="N7956" s="10" t="str">
        <f t="shared" si="720"/>
        <v>TON</v>
      </c>
      <c r="O7956" s="11">
        <v>0.05</v>
      </c>
    </row>
    <row r="7957" spans="2:15" x14ac:dyDescent="0.25">
      <c r="B7957" s="6" t="s">
        <v>1520</v>
      </c>
      <c r="C7957" s="7" t="s">
        <v>196</v>
      </c>
      <c r="D7957" s="8" t="s">
        <v>331</v>
      </c>
      <c r="E7957" s="8" t="s">
        <v>332</v>
      </c>
      <c r="F7957" s="9">
        <f>DATE(2025,4,23)</f>
        <v>45770</v>
      </c>
      <c r="G7957" s="10">
        <f t="shared" si="718"/>
        <v>4</v>
      </c>
      <c r="H7957" s="10">
        <f t="shared" si="719"/>
        <v>2025</v>
      </c>
      <c r="I7957" s="8" t="s">
        <v>4</v>
      </c>
      <c r="J7957" s="7" t="s">
        <v>8462</v>
      </c>
      <c r="K7957" s="8" t="s">
        <v>1779</v>
      </c>
      <c r="L7957" s="8" t="s">
        <v>2545</v>
      </c>
      <c r="M7957" s="8" t="s">
        <v>67</v>
      </c>
      <c r="N7957" s="10" t="str">
        <f t="shared" si="720"/>
        <v>GAL</v>
      </c>
      <c r="O7957" s="11">
        <v>55</v>
      </c>
    </row>
    <row r="7958" spans="2:15" x14ac:dyDescent="0.25">
      <c r="B7958" s="6" t="s">
        <v>1520</v>
      </c>
      <c r="C7958" s="7" t="s">
        <v>196</v>
      </c>
      <c r="D7958" s="8" t="s">
        <v>348</v>
      </c>
      <c r="E7958" s="8" t="s">
        <v>8131</v>
      </c>
      <c r="F7958" s="9">
        <f>DATE(2025,4,24)</f>
        <v>45771</v>
      </c>
      <c r="G7958" s="10">
        <f t="shared" si="718"/>
        <v>4</v>
      </c>
      <c r="H7958" s="10">
        <f t="shared" si="719"/>
        <v>2025</v>
      </c>
      <c r="I7958" s="8" t="s">
        <v>4</v>
      </c>
      <c r="J7958" s="7" t="s">
        <v>8463</v>
      </c>
      <c r="K7958" s="8" t="s">
        <v>1188</v>
      </c>
      <c r="L7958" s="8" t="s">
        <v>541</v>
      </c>
      <c r="M7958" s="8" t="s">
        <v>27</v>
      </c>
      <c r="N7958" s="10" t="str">
        <f t="shared" si="720"/>
        <v>GAL</v>
      </c>
      <c r="O7958" s="11">
        <v>250</v>
      </c>
    </row>
    <row r="7959" spans="2:15" x14ac:dyDescent="0.25">
      <c r="B7959" s="6" t="s">
        <v>1520</v>
      </c>
      <c r="C7959" s="7" t="s">
        <v>196</v>
      </c>
      <c r="D7959" s="8" t="s">
        <v>440</v>
      </c>
      <c r="E7959" s="8" t="s">
        <v>441</v>
      </c>
      <c r="F7959" s="9">
        <f>DATE(2025,4,24)</f>
        <v>45771</v>
      </c>
      <c r="G7959" s="10">
        <f t="shared" si="718"/>
        <v>4</v>
      </c>
      <c r="H7959" s="10">
        <f t="shared" si="719"/>
        <v>2025</v>
      </c>
      <c r="I7959" s="8" t="s">
        <v>4</v>
      </c>
      <c r="J7959" s="7" t="s">
        <v>8464</v>
      </c>
      <c r="K7959" s="8" t="s">
        <v>7787</v>
      </c>
      <c r="L7959" s="8" t="s">
        <v>7788</v>
      </c>
      <c r="M7959" s="8" t="s">
        <v>119</v>
      </c>
      <c r="N7959" s="10" t="str">
        <f t="shared" si="720"/>
        <v>TON</v>
      </c>
      <c r="O7959" s="11">
        <v>7.5175000000000001</v>
      </c>
    </row>
    <row r="7960" spans="2:15" x14ac:dyDescent="0.25">
      <c r="B7960" s="6" t="s">
        <v>645</v>
      </c>
      <c r="C7960" s="7" t="s">
        <v>196</v>
      </c>
      <c r="D7960" s="8" t="s">
        <v>800</v>
      </c>
      <c r="E7960" s="8" t="s">
        <v>141</v>
      </c>
      <c r="F7960" s="9">
        <f>DATE(2025,4,24)</f>
        <v>45771</v>
      </c>
      <c r="G7960" s="10">
        <f t="shared" si="718"/>
        <v>4</v>
      </c>
      <c r="H7960" s="10">
        <f t="shared" si="719"/>
        <v>2025</v>
      </c>
      <c r="I7960" s="8" t="s">
        <v>4</v>
      </c>
      <c r="J7960" s="7" t="s">
        <v>8465</v>
      </c>
      <c r="K7960" s="8" t="s">
        <v>447</v>
      </c>
      <c r="L7960" s="8" t="s">
        <v>448</v>
      </c>
      <c r="M7960" s="8" t="s">
        <v>119</v>
      </c>
      <c r="N7960" s="10" t="str">
        <f t="shared" si="720"/>
        <v>TON</v>
      </c>
      <c r="O7960" s="11">
        <v>5.5225</v>
      </c>
    </row>
    <row r="7961" spans="2:15" x14ac:dyDescent="0.25">
      <c r="B7961" s="6" t="s">
        <v>1520</v>
      </c>
      <c r="C7961" s="7" t="s">
        <v>196</v>
      </c>
      <c r="D7961" s="8" t="s">
        <v>265</v>
      </c>
      <c r="E7961" s="8" t="s">
        <v>266</v>
      </c>
      <c r="F7961" s="9">
        <f>DATE(2025,4,24)</f>
        <v>45771</v>
      </c>
      <c r="G7961" s="10">
        <f t="shared" si="718"/>
        <v>4</v>
      </c>
      <c r="H7961" s="10">
        <f t="shared" si="719"/>
        <v>2025</v>
      </c>
      <c r="I7961" s="8" t="s">
        <v>4</v>
      </c>
      <c r="J7961" s="7" t="s">
        <v>8466</v>
      </c>
      <c r="K7961" s="8" t="s">
        <v>268</v>
      </c>
      <c r="L7961" s="8" t="s">
        <v>269</v>
      </c>
      <c r="M7961" s="8" t="s">
        <v>119</v>
      </c>
      <c r="N7961" s="10" t="str">
        <f t="shared" si="720"/>
        <v>TON</v>
      </c>
      <c r="O7961" s="11">
        <v>0.3</v>
      </c>
    </row>
    <row r="7962" spans="2:15" x14ac:dyDescent="0.25">
      <c r="B7962" s="6" t="s">
        <v>1520</v>
      </c>
      <c r="C7962" s="7" t="s">
        <v>196</v>
      </c>
      <c r="D7962" s="8" t="s">
        <v>317</v>
      </c>
      <c r="E7962" s="8" t="s">
        <v>677</v>
      </c>
      <c r="F7962" s="9">
        <f>DATE(2025,4,24)</f>
        <v>45771</v>
      </c>
      <c r="G7962" s="10">
        <f t="shared" si="718"/>
        <v>4</v>
      </c>
      <c r="H7962" s="10">
        <f t="shared" si="719"/>
        <v>2025</v>
      </c>
      <c r="I7962" s="8" t="s">
        <v>4</v>
      </c>
      <c r="J7962" s="7" t="s">
        <v>8467</v>
      </c>
      <c r="K7962" s="8" t="s">
        <v>2350</v>
      </c>
      <c r="L7962" s="8" t="s">
        <v>2351</v>
      </c>
      <c r="M7962" s="8" t="s">
        <v>119</v>
      </c>
      <c r="N7962" s="10" t="str">
        <f t="shared" si="720"/>
        <v>TON</v>
      </c>
      <c r="O7962" s="11">
        <v>1.0049999999999999</v>
      </c>
    </row>
    <row r="7963" spans="2:15" x14ac:dyDescent="0.25">
      <c r="B7963" s="6" t="s">
        <v>1520</v>
      </c>
      <c r="C7963" s="7" t="s">
        <v>196</v>
      </c>
      <c r="D7963" s="8" t="s">
        <v>387</v>
      </c>
      <c r="E7963" s="8" t="s">
        <v>797</v>
      </c>
      <c r="F7963" s="9">
        <f>DATE(2025,4,25)</f>
        <v>45772</v>
      </c>
      <c r="G7963" s="10">
        <f t="shared" si="718"/>
        <v>4</v>
      </c>
      <c r="H7963" s="10">
        <f t="shared" si="719"/>
        <v>2025</v>
      </c>
      <c r="I7963" s="8" t="s">
        <v>4</v>
      </c>
      <c r="J7963" s="7" t="s">
        <v>8468</v>
      </c>
      <c r="K7963" s="8" t="s">
        <v>7787</v>
      </c>
      <c r="L7963" s="8" t="s">
        <v>7788</v>
      </c>
      <c r="M7963" s="8" t="s">
        <v>119</v>
      </c>
      <c r="N7963" s="10" t="str">
        <f t="shared" si="720"/>
        <v>TON</v>
      </c>
      <c r="O7963" s="11">
        <v>10.01</v>
      </c>
    </row>
    <row r="7964" spans="2:15" x14ac:dyDescent="0.25">
      <c r="B7964" s="6" t="s">
        <v>1520</v>
      </c>
      <c r="C7964" s="7" t="s">
        <v>196</v>
      </c>
      <c r="D7964" s="8" t="s">
        <v>285</v>
      </c>
      <c r="E7964" s="8" t="s">
        <v>297</v>
      </c>
      <c r="F7964" s="9">
        <f>DATE(2025,4,25)</f>
        <v>45772</v>
      </c>
      <c r="G7964" s="10">
        <f t="shared" si="718"/>
        <v>4</v>
      </c>
      <c r="H7964" s="10">
        <f t="shared" si="719"/>
        <v>2025</v>
      </c>
      <c r="I7964" s="8" t="s">
        <v>4</v>
      </c>
      <c r="J7964" s="7" t="s">
        <v>8469</v>
      </c>
      <c r="K7964" s="8" t="s">
        <v>205</v>
      </c>
      <c r="L7964" s="8" t="s">
        <v>206</v>
      </c>
      <c r="M7964" s="8" t="s">
        <v>119</v>
      </c>
      <c r="N7964" s="10" t="str">
        <f t="shared" si="720"/>
        <v>TON</v>
      </c>
      <c r="O7964" s="11">
        <v>15.0175</v>
      </c>
    </row>
    <row r="7965" spans="2:15" x14ac:dyDescent="0.25">
      <c r="B7965" s="6" t="s">
        <v>1520</v>
      </c>
      <c r="C7965" s="7" t="s">
        <v>196</v>
      </c>
      <c r="D7965" s="8" t="s">
        <v>317</v>
      </c>
      <c r="E7965" s="8" t="s">
        <v>829</v>
      </c>
      <c r="F7965" s="9">
        <f>DATE(2025,4,25)</f>
        <v>45772</v>
      </c>
      <c r="G7965" s="10">
        <f t="shared" si="718"/>
        <v>4</v>
      </c>
      <c r="H7965" s="10">
        <f t="shared" si="719"/>
        <v>2025</v>
      </c>
      <c r="I7965" s="8" t="s">
        <v>4</v>
      </c>
      <c r="J7965" s="7" t="s">
        <v>8470</v>
      </c>
      <c r="K7965" s="8" t="s">
        <v>2776</v>
      </c>
      <c r="L7965" s="8" t="s">
        <v>2777</v>
      </c>
      <c r="M7965" s="8" t="s">
        <v>119</v>
      </c>
      <c r="N7965" s="10" t="str">
        <f t="shared" si="720"/>
        <v>TON</v>
      </c>
      <c r="O7965" s="11">
        <v>2.0150000000000001</v>
      </c>
    </row>
    <row r="7966" spans="2:15" x14ac:dyDescent="0.25">
      <c r="B7966" s="6" t="s">
        <v>1520</v>
      </c>
      <c r="C7966" s="7" t="s">
        <v>196</v>
      </c>
      <c r="D7966" s="8" t="s">
        <v>215</v>
      </c>
      <c r="E7966" s="8" t="s">
        <v>4113</v>
      </c>
      <c r="F7966" s="9">
        <f>DATE(2025,4,28)</f>
        <v>45775</v>
      </c>
      <c r="G7966" s="10">
        <f t="shared" si="718"/>
        <v>4</v>
      </c>
      <c r="H7966" s="10">
        <f t="shared" si="719"/>
        <v>2025</v>
      </c>
      <c r="I7966" s="8" t="s">
        <v>4</v>
      </c>
      <c r="J7966" s="7" t="s">
        <v>8471</v>
      </c>
      <c r="K7966" s="8" t="s">
        <v>205</v>
      </c>
      <c r="L7966" s="8" t="s">
        <v>206</v>
      </c>
      <c r="M7966" s="8" t="s">
        <v>119</v>
      </c>
      <c r="N7966" s="10" t="str">
        <f t="shared" si="720"/>
        <v>TON</v>
      </c>
      <c r="O7966" s="11">
        <v>15.04</v>
      </c>
    </row>
    <row r="7967" spans="2:15" x14ac:dyDescent="0.25">
      <c r="B7967" s="6" t="s">
        <v>1520</v>
      </c>
      <c r="C7967" s="7" t="s">
        <v>196</v>
      </c>
      <c r="D7967" s="8" t="s">
        <v>1343</v>
      </c>
      <c r="E7967" s="8" t="s">
        <v>3729</v>
      </c>
      <c r="F7967" s="9">
        <f>DATE(2025,4,28)</f>
        <v>45775</v>
      </c>
      <c r="G7967" s="10">
        <f t="shared" si="718"/>
        <v>4</v>
      </c>
      <c r="H7967" s="10">
        <f t="shared" si="719"/>
        <v>2025</v>
      </c>
      <c r="I7967" s="8" t="s">
        <v>4</v>
      </c>
      <c r="J7967" s="7" t="s">
        <v>8472</v>
      </c>
      <c r="K7967" s="8" t="s">
        <v>7787</v>
      </c>
      <c r="L7967" s="8" t="s">
        <v>7788</v>
      </c>
      <c r="M7967" s="8" t="s">
        <v>119</v>
      </c>
      <c r="N7967" s="10" t="str">
        <f t="shared" si="720"/>
        <v>TON</v>
      </c>
      <c r="O7967" s="11">
        <v>15.012499999999999</v>
      </c>
    </row>
    <row r="7968" spans="2:15" x14ac:dyDescent="0.25">
      <c r="B7968" s="6" t="s">
        <v>1520</v>
      </c>
      <c r="C7968" s="7" t="s">
        <v>196</v>
      </c>
      <c r="D7968" s="8" t="s">
        <v>207</v>
      </c>
      <c r="E7968" s="8" t="s">
        <v>208</v>
      </c>
      <c r="F7968" s="9">
        <f>DATE(2025,4,28)</f>
        <v>45775</v>
      </c>
      <c r="G7968" s="10">
        <f t="shared" si="718"/>
        <v>4</v>
      </c>
      <c r="H7968" s="10">
        <f t="shared" si="719"/>
        <v>2025</v>
      </c>
      <c r="I7968" s="8" t="s">
        <v>4</v>
      </c>
      <c r="J7968" s="7" t="s">
        <v>8473</v>
      </c>
      <c r="K7968" s="8" t="s">
        <v>205</v>
      </c>
      <c r="L7968" s="8" t="s">
        <v>206</v>
      </c>
      <c r="M7968" s="8" t="s">
        <v>119</v>
      </c>
      <c r="N7968" s="10" t="str">
        <f t="shared" si="720"/>
        <v>TON</v>
      </c>
      <c r="O7968" s="11">
        <v>3.7475000000000001</v>
      </c>
    </row>
    <row r="7969" spans="2:15" x14ac:dyDescent="0.25">
      <c r="B7969" s="6" t="s">
        <v>1520</v>
      </c>
      <c r="C7969" s="7" t="s">
        <v>196</v>
      </c>
      <c r="D7969" s="8" t="s">
        <v>1343</v>
      </c>
      <c r="E7969" s="8" t="s">
        <v>7411</v>
      </c>
      <c r="F7969" s="9">
        <f>DATE(2025,4,28)</f>
        <v>45775</v>
      </c>
      <c r="G7969" s="10">
        <f t="shared" si="718"/>
        <v>4</v>
      </c>
      <c r="H7969" s="10">
        <f t="shared" si="719"/>
        <v>2025</v>
      </c>
      <c r="I7969" s="8" t="s">
        <v>4</v>
      </c>
      <c r="J7969" s="7" t="s">
        <v>8474</v>
      </c>
      <c r="K7969" s="8" t="s">
        <v>7787</v>
      </c>
      <c r="L7969" s="8" t="s">
        <v>7788</v>
      </c>
      <c r="M7969" s="8" t="s">
        <v>119</v>
      </c>
      <c r="N7969" s="10" t="str">
        <f t="shared" si="720"/>
        <v>TON</v>
      </c>
      <c r="O7969" s="11">
        <v>15.025</v>
      </c>
    </row>
    <row r="7970" spans="2:15" x14ac:dyDescent="0.25">
      <c r="B7970" s="6" t="s">
        <v>1520</v>
      </c>
      <c r="C7970" s="7" t="s">
        <v>196</v>
      </c>
      <c r="D7970" s="8" t="s">
        <v>285</v>
      </c>
      <c r="E7970" s="8" t="s">
        <v>297</v>
      </c>
      <c r="F7970" s="9">
        <f>DATE(2025,4,29)</f>
        <v>45776</v>
      </c>
      <c r="G7970" s="10">
        <f t="shared" si="718"/>
        <v>4</v>
      </c>
      <c r="H7970" s="10">
        <f t="shared" si="719"/>
        <v>2025</v>
      </c>
      <c r="I7970" s="8" t="s">
        <v>4</v>
      </c>
      <c r="J7970" s="7" t="s">
        <v>8475</v>
      </c>
      <c r="K7970" s="8" t="s">
        <v>205</v>
      </c>
      <c r="L7970" s="8" t="s">
        <v>206</v>
      </c>
      <c r="M7970" s="8" t="s">
        <v>119</v>
      </c>
      <c r="N7970" s="10" t="str">
        <f t="shared" si="720"/>
        <v>TON</v>
      </c>
      <c r="O7970" s="11">
        <v>15.015000000000001</v>
      </c>
    </row>
    <row r="7971" spans="2:15" x14ac:dyDescent="0.25">
      <c r="B7971" s="6" t="s">
        <v>1520</v>
      </c>
      <c r="C7971" s="7" t="s">
        <v>196</v>
      </c>
      <c r="D7971" s="8" t="s">
        <v>289</v>
      </c>
      <c r="E7971" s="8" t="s">
        <v>290</v>
      </c>
      <c r="F7971" s="9">
        <f>DATE(2025,4,29)</f>
        <v>45776</v>
      </c>
      <c r="G7971" s="10">
        <f t="shared" si="718"/>
        <v>4</v>
      </c>
      <c r="H7971" s="10">
        <f t="shared" si="719"/>
        <v>2025</v>
      </c>
      <c r="I7971" s="8" t="s">
        <v>4</v>
      </c>
      <c r="J7971" s="7" t="s">
        <v>8476</v>
      </c>
      <c r="K7971" s="8" t="s">
        <v>189</v>
      </c>
      <c r="L7971" s="8" t="s">
        <v>190</v>
      </c>
      <c r="M7971" s="8" t="s">
        <v>191</v>
      </c>
      <c r="N7971" s="10" t="str">
        <f t="shared" si="720"/>
        <v>GAL</v>
      </c>
      <c r="O7971" s="11">
        <v>5</v>
      </c>
    </row>
    <row r="7972" spans="2:15" x14ac:dyDescent="0.25">
      <c r="B7972" s="6" t="s">
        <v>1520</v>
      </c>
      <c r="C7972" s="7" t="s">
        <v>196</v>
      </c>
      <c r="D7972" s="8" t="s">
        <v>317</v>
      </c>
      <c r="E7972" s="8" t="s">
        <v>319</v>
      </c>
      <c r="F7972" s="9">
        <f>DATE(2025,4,29)</f>
        <v>45776</v>
      </c>
      <c r="G7972" s="10">
        <f t="shared" si="718"/>
        <v>4</v>
      </c>
      <c r="H7972" s="10">
        <f t="shared" si="719"/>
        <v>2025</v>
      </c>
      <c r="I7972" s="8" t="s">
        <v>4</v>
      </c>
      <c r="J7972" s="7" t="s">
        <v>8477</v>
      </c>
      <c r="K7972" s="8" t="s">
        <v>2776</v>
      </c>
      <c r="L7972" s="8" t="s">
        <v>2777</v>
      </c>
      <c r="M7972" s="8" t="s">
        <v>119</v>
      </c>
      <c r="N7972" s="10" t="str">
        <f t="shared" si="720"/>
        <v>TON</v>
      </c>
      <c r="O7972" s="11">
        <v>6.0225</v>
      </c>
    </row>
    <row r="7973" spans="2:15" x14ac:dyDescent="0.25">
      <c r="B7973" s="6" t="s">
        <v>1520</v>
      </c>
      <c r="C7973" s="7" t="s">
        <v>196</v>
      </c>
      <c r="D7973" s="8" t="s">
        <v>197</v>
      </c>
      <c r="E7973" s="8" t="s">
        <v>198</v>
      </c>
      <c r="F7973" s="9">
        <f>DATE(2025,4,29)</f>
        <v>45776</v>
      </c>
      <c r="G7973" s="10">
        <f t="shared" si="718"/>
        <v>4</v>
      </c>
      <c r="H7973" s="10">
        <f t="shared" si="719"/>
        <v>2025</v>
      </c>
      <c r="I7973" s="8" t="s">
        <v>4</v>
      </c>
      <c r="J7973" s="7" t="s">
        <v>8478</v>
      </c>
      <c r="K7973" s="8" t="s">
        <v>307</v>
      </c>
      <c r="L7973" s="8" t="s">
        <v>308</v>
      </c>
      <c r="M7973" s="8" t="s">
        <v>119</v>
      </c>
      <c r="N7973" s="10" t="str">
        <f t="shared" si="720"/>
        <v>TON</v>
      </c>
      <c r="O7973" s="11">
        <v>4.01</v>
      </c>
    </row>
    <row r="7974" spans="2:15" x14ac:dyDescent="0.25">
      <c r="B7974" s="6" t="s">
        <v>1520</v>
      </c>
      <c r="C7974" s="7" t="s">
        <v>196</v>
      </c>
      <c r="D7974" s="8" t="s">
        <v>280</v>
      </c>
      <c r="E7974" s="8" t="s">
        <v>254</v>
      </c>
      <c r="F7974" s="9">
        <f t="shared" ref="F7974:F7981" si="722">DATE(2025,4,30)</f>
        <v>45777</v>
      </c>
      <c r="G7974" s="10">
        <f t="shared" si="718"/>
        <v>4</v>
      </c>
      <c r="H7974" s="10">
        <f t="shared" si="719"/>
        <v>2025</v>
      </c>
      <c r="I7974" s="8" t="s">
        <v>4</v>
      </c>
      <c r="J7974" s="7" t="s">
        <v>8479</v>
      </c>
      <c r="K7974" s="8" t="s">
        <v>2776</v>
      </c>
      <c r="L7974" s="8" t="s">
        <v>2777</v>
      </c>
      <c r="M7974" s="8" t="s">
        <v>119</v>
      </c>
      <c r="N7974" s="10" t="str">
        <f t="shared" si="720"/>
        <v>TON</v>
      </c>
      <c r="O7974" s="11">
        <v>15.02</v>
      </c>
    </row>
    <row r="7975" spans="2:15" x14ac:dyDescent="0.25">
      <c r="B7975" s="6" t="s">
        <v>1520</v>
      </c>
      <c r="C7975" s="7" t="s">
        <v>196</v>
      </c>
      <c r="D7975" s="8" t="s">
        <v>4013</v>
      </c>
      <c r="E7975" s="8" t="s">
        <v>5546</v>
      </c>
      <c r="F7975" s="9">
        <f t="shared" si="722"/>
        <v>45777</v>
      </c>
      <c r="G7975" s="10">
        <f t="shared" si="718"/>
        <v>4</v>
      </c>
      <c r="H7975" s="10">
        <f t="shared" si="719"/>
        <v>2025</v>
      </c>
      <c r="I7975" s="8" t="s">
        <v>4</v>
      </c>
      <c r="J7975" s="7" t="s">
        <v>8480</v>
      </c>
      <c r="K7975" s="8" t="s">
        <v>205</v>
      </c>
      <c r="L7975" s="8" t="s">
        <v>206</v>
      </c>
      <c r="M7975" s="8" t="s">
        <v>119</v>
      </c>
      <c r="N7975" s="10" t="str">
        <f t="shared" si="720"/>
        <v>TON</v>
      </c>
      <c r="O7975" s="11">
        <v>1</v>
      </c>
    </row>
    <row r="7976" spans="2:15" x14ac:dyDescent="0.25">
      <c r="B7976" s="6" t="s">
        <v>1520</v>
      </c>
      <c r="C7976" s="7" t="s">
        <v>196</v>
      </c>
      <c r="D7976" s="8" t="s">
        <v>224</v>
      </c>
      <c r="E7976" s="8" t="s">
        <v>361</v>
      </c>
      <c r="F7976" s="9">
        <f t="shared" si="722"/>
        <v>45777</v>
      </c>
      <c r="G7976" s="10">
        <f t="shared" si="718"/>
        <v>4</v>
      </c>
      <c r="H7976" s="10">
        <f t="shared" si="719"/>
        <v>2025</v>
      </c>
      <c r="I7976" s="8" t="s">
        <v>4</v>
      </c>
      <c r="J7976" s="7" t="s">
        <v>8481</v>
      </c>
      <c r="K7976" s="8" t="s">
        <v>8387</v>
      </c>
      <c r="L7976" s="8" t="s">
        <v>8388</v>
      </c>
      <c r="M7976" s="8" t="s">
        <v>119</v>
      </c>
      <c r="N7976" s="10" t="str">
        <f t="shared" si="720"/>
        <v>TON</v>
      </c>
      <c r="O7976" s="11">
        <v>5</v>
      </c>
    </row>
    <row r="7977" spans="2:15" x14ac:dyDescent="0.25">
      <c r="B7977" s="6" t="s">
        <v>1520</v>
      </c>
      <c r="C7977" s="7" t="s">
        <v>196</v>
      </c>
      <c r="D7977" s="8" t="s">
        <v>440</v>
      </c>
      <c r="E7977" s="8" t="s">
        <v>441</v>
      </c>
      <c r="F7977" s="9">
        <f t="shared" si="722"/>
        <v>45777</v>
      </c>
      <c r="G7977" s="10">
        <f t="shared" si="718"/>
        <v>4</v>
      </c>
      <c r="H7977" s="10">
        <f t="shared" si="719"/>
        <v>2025</v>
      </c>
      <c r="I7977" s="8" t="s">
        <v>4</v>
      </c>
      <c r="J7977" s="7" t="s">
        <v>8482</v>
      </c>
      <c r="K7977" s="8" t="s">
        <v>7787</v>
      </c>
      <c r="L7977" s="8" t="s">
        <v>7788</v>
      </c>
      <c r="M7977" s="8" t="s">
        <v>119</v>
      </c>
      <c r="N7977" s="10" t="str">
        <f t="shared" si="720"/>
        <v>TON</v>
      </c>
      <c r="O7977" s="11">
        <v>10</v>
      </c>
    </row>
    <row r="7978" spans="2:15" x14ac:dyDescent="0.25">
      <c r="B7978" s="6" t="s">
        <v>1520</v>
      </c>
      <c r="C7978" s="7" t="s">
        <v>196</v>
      </c>
      <c r="D7978" s="8" t="s">
        <v>440</v>
      </c>
      <c r="E7978" s="8" t="s">
        <v>441</v>
      </c>
      <c r="F7978" s="9">
        <f t="shared" si="722"/>
        <v>45777</v>
      </c>
      <c r="G7978" s="10">
        <f t="shared" si="718"/>
        <v>4</v>
      </c>
      <c r="H7978" s="10">
        <f t="shared" si="719"/>
        <v>2025</v>
      </c>
      <c r="I7978" s="8" t="s">
        <v>4</v>
      </c>
      <c r="J7978" s="7" t="s">
        <v>8483</v>
      </c>
      <c r="K7978" s="8" t="s">
        <v>7787</v>
      </c>
      <c r="L7978" s="8" t="s">
        <v>7788</v>
      </c>
      <c r="M7978" s="8" t="s">
        <v>119</v>
      </c>
      <c r="N7978" s="10" t="str">
        <f t="shared" si="720"/>
        <v>TON</v>
      </c>
      <c r="O7978" s="11">
        <v>5</v>
      </c>
    </row>
    <row r="7979" spans="2:15" x14ac:dyDescent="0.25">
      <c r="B7979" s="6" t="s">
        <v>1520</v>
      </c>
      <c r="C7979" s="7" t="s">
        <v>196</v>
      </c>
      <c r="D7979" s="8" t="s">
        <v>387</v>
      </c>
      <c r="E7979" s="8" t="s">
        <v>797</v>
      </c>
      <c r="F7979" s="9">
        <f t="shared" si="722"/>
        <v>45777</v>
      </c>
      <c r="G7979" s="10">
        <f t="shared" si="718"/>
        <v>4</v>
      </c>
      <c r="H7979" s="10">
        <f t="shared" si="719"/>
        <v>2025</v>
      </c>
      <c r="I7979" s="8" t="s">
        <v>4</v>
      </c>
      <c r="J7979" s="7" t="s">
        <v>8484</v>
      </c>
      <c r="K7979" s="8" t="s">
        <v>7787</v>
      </c>
      <c r="L7979" s="8" t="s">
        <v>7788</v>
      </c>
      <c r="M7979" s="8" t="s">
        <v>119</v>
      </c>
      <c r="N7979" s="10" t="str">
        <f t="shared" si="720"/>
        <v>TON</v>
      </c>
      <c r="O7979" s="11">
        <v>10.01</v>
      </c>
    </row>
    <row r="7980" spans="2:15" x14ac:dyDescent="0.25">
      <c r="B7980" s="6" t="s">
        <v>1520</v>
      </c>
      <c r="C7980" s="7" t="s">
        <v>196</v>
      </c>
      <c r="D7980" s="8" t="s">
        <v>114</v>
      </c>
      <c r="E7980" s="8" t="s">
        <v>491</v>
      </c>
      <c r="F7980" s="9">
        <f t="shared" si="722"/>
        <v>45777</v>
      </c>
      <c r="G7980" s="10">
        <f t="shared" si="718"/>
        <v>4</v>
      </c>
      <c r="H7980" s="10">
        <f t="shared" si="719"/>
        <v>2025</v>
      </c>
      <c r="I7980" s="8" t="s">
        <v>4</v>
      </c>
      <c r="J7980" s="7" t="s">
        <v>8485</v>
      </c>
      <c r="K7980" s="8" t="s">
        <v>2776</v>
      </c>
      <c r="L7980" s="8" t="s">
        <v>2777</v>
      </c>
      <c r="M7980" s="8" t="s">
        <v>119</v>
      </c>
      <c r="N7980" s="10" t="str">
        <f t="shared" si="720"/>
        <v>TON</v>
      </c>
      <c r="O7980" s="11">
        <v>2.5049999999999999</v>
      </c>
    </row>
    <row r="7981" spans="2:15" x14ac:dyDescent="0.25">
      <c r="B7981" s="6" t="s">
        <v>1520</v>
      </c>
      <c r="C7981" s="7" t="s">
        <v>196</v>
      </c>
      <c r="D7981" s="8" t="s">
        <v>294</v>
      </c>
      <c r="E7981" s="8" t="s">
        <v>295</v>
      </c>
      <c r="F7981" s="9">
        <f t="shared" si="722"/>
        <v>45777</v>
      </c>
      <c r="G7981" s="10">
        <f t="shared" si="718"/>
        <v>4</v>
      </c>
      <c r="H7981" s="10">
        <f t="shared" si="719"/>
        <v>2025</v>
      </c>
      <c r="I7981" s="8" t="s">
        <v>4</v>
      </c>
      <c r="J7981" s="7" t="s">
        <v>8486</v>
      </c>
      <c r="K7981" s="8" t="s">
        <v>122</v>
      </c>
      <c r="L7981" s="8" t="s">
        <v>123</v>
      </c>
      <c r="M7981" s="8" t="s">
        <v>119</v>
      </c>
      <c r="N7981" s="10" t="str">
        <f t="shared" si="720"/>
        <v>TON</v>
      </c>
      <c r="O7981" s="11">
        <v>7.5025000000000004</v>
      </c>
    </row>
    <row r="7982" spans="2:15" x14ac:dyDescent="0.25">
      <c r="B7982" s="6" t="s">
        <v>382</v>
      </c>
      <c r="C7982" s="7" t="s">
        <v>506</v>
      </c>
      <c r="D7982" s="8" t="s">
        <v>1006</v>
      </c>
      <c r="E7982" s="8" t="s">
        <v>1007</v>
      </c>
      <c r="F7982" s="9">
        <f>DATE(2025,4,4)</f>
        <v>45751</v>
      </c>
      <c r="G7982" s="10">
        <f t="shared" si="718"/>
        <v>4</v>
      </c>
      <c r="H7982" s="10">
        <f t="shared" si="719"/>
        <v>2025</v>
      </c>
      <c r="I7982" s="8" t="s">
        <v>4</v>
      </c>
      <c r="J7982" s="7" t="s">
        <v>8487</v>
      </c>
      <c r="K7982" s="8" t="s">
        <v>25</v>
      </c>
      <c r="L7982" s="8" t="s">
        <v>541</v>
      </c>
      <c r="M7982" s="8" t="s">
        <v>27</v>
      </c>
      <c r="N7982" s="10" t="str">
        <f t="shared" si="720"/>
        <v>GAL</v>
      </c>
      <c r="O7982" s="11">
        <v>360</v>
      </c>
    </row>
    <row r="7983" spans="2:15" x14ac:dyDescent="0.25">
      <c r="B7983" s="6" t="s">
        <v>382</v>
      </c>
      <c r="C7983" s="7" t="s">
        <v>506</v>
      </c>
      <c r="D7983" s="8" t="s">
        <v>515</v>
      </c>
      <c r="E7983" s="8" t="s">
        <v>516</v>
      </c>
      <c r="F7983" s="9">
        <f>DATE(2025,4,4)</f>
        <v>45751</v>
      </c>
      <c r="G7983" s="10">
        <f t="shared" si="718"/>
        <v>4</v>
      </c>
      <c r="H7983" s="10">
        <f t="shared" si="719"/>
        <v>2025</v>
      </c>
      <c r="I7983" s="8" t="s">
        <v>4</v>
      </c>
      <c r="J7983" s="7" t="s">
        <v>8488</v>
      </c>
      <c r="K7983" s="8" t="s">
        <v>471</v>
      </c>
      <c r="L7983" s="8" t="s">
        <v>472</v>
      </c>
      <c r="M7983" s="8" t="s">
        <v>473</v>
      </c>
      <c r="N7983" s="10" t="str">
        <f t="shared" si="720"/>
        <v>GAL</v>
      </c>
      <c r="O7983" s="11">
        <v>750</v>
      </c>
    </row>
    <row r="7984" spans="2:15" x14ac:dyDescent="0.25">
      <c r="B7984" s="6" t="s">
        <v>382</v>
      </c>
      <c r="C7984" s="7" t="s">
        <v>506</v>
      </c>
      <c r="D7984" s="8" t="s">
        <v>515</v>
      </c>
      <c r="E7984" s="8" t="s">
        <v>516</v>
      </c>
      <c r="F7984" s="9">
        <f>DATE(2025,4,4)</f>
        <v>45751</v>
      </c>
      <c r="G7984" s="10">
        <f t="shared" si="718"/>
        <v>4</v>
      </c>
      <c r="H7984" s="10">
        <f t="shared" si="719"/>
        <v>2025</v>
      </c>
      <c r="I7984" s="8" t="s">
        <v>4</v>
      </c>
      <c r="J7984" s="7" t="s">
        <v>8489</v>
      </c>
      <c r="K7984" s="8" t="s">
        <v>244</v>
      </c>
      <c r="L7984" s="8" t="s">
        <v>182</v>
      </c>
      <c r="M7984" s="8" t="s">
        <v>183</v>
      </c>
      <c r="N7984" s="10" t="str">
        <f t="shared" si="720"/>
        <v>GAL</v>
      </c>
      <c r="O7984" s="11">
        <v>180</v>
      </c>
    </row>
    <row r="7985" spans="2:15" x14ac:dyDescent="0.25">
      <c r="B7985" s="6" t="s">
        <v>382</v>
      </c>
      <c r="C7985" s="7" t="s">
        <v>506</v>
      </c>
      <c r="D7985" s="8" t="s">
        <v>521</v>
      </c>
      <c r="E7985" s="8" t="s">
        <v>522</v>
      </c>
      <c r="F7985" s="9">
        <f>DATE(2025,4,11)</f>
        <v>45758</v>
      </c>
      <c r="G7985" s="10">
        <f t="shared" si="718"/>
        <v>4</v>
      </c>
      <c r="H7985" s="10">
        <f t="shared" si="719"/>
        <v>2025</v>
      </c>
      <c r="I7985" s="8" t="s">
        <v>4</v>
      </c>
      <c r="J7985" s="7" t="s">
        <v>8490</v>
      </c>
      <c r="K7985" s="8" t="s">
        <v>244</v>
      </c>
      <c r="L7985" s="8" t="s">
        <v>182</v>
      </c>
      <c r="M7985" s="8" t="s">
        <v>183</v>
      </c>
      <c r="N7985" s="10" t="str">
        <f t="shared" si="720"/>
        <v>GAL</v>
      </c>
      <c r="O7985" s="11">
        <v>180</v>
      </c>
    </row>
    <row r="7986" spans="2:15" x14ac:dyDescent="0.25">
      <c r="B7986" s="6" t="s">
        <v>382</v>
      </c>
      <c r="C7986" s="7" t="s">
        <v>506</v>
      </c>
      <c r="D7986" s="8" t="s">
        <v>515</v>
      </c>
      <c r="E7986" s="8" t="s">
        <v>516</v>
      </c>
      <c r="F7986" s="9">
        <f>DATE(2025,4,25)</f>
        <v>45772</v>
      </c>
      <c r="G7986" s="10">
        <f t="shared" si="718"/>
        <v>4</v>
      </c>
      <c r="H7986" s="10">
        <f t="shared" si="719"/>
        <v>2025</v>
      </c>
      <c r="I7986" s="8" t="s">
        <v>4</v>
      </c>
      <c r="J7986" s="7" t="s">
        <v>8491</v>
      </c>
      <c r="K7986" s="8" t="s">
        <v>8492</v>
      </c>
      <c r="L7986" s="8" t="s">
        <v>8493</v>
      </c>
      <c r="M7986" s="8" t="s">
        <v>6375</v>
      </c>
      <c r="N7986" s="10" t="str">
        <f t="shared" si="720"/>
        <v>GAL</v>
      </c>
      <c r="O7986" s="11">
        <v>60</v>
      </c>
    </row>
    <row r="7987" spans="2:15" x14ac:dyDescent="0.25">
      <c r="B7987" s="6" t="s">
        <v>782</v>
      </c>
      <c r="C7987" s="7" t="s">
        <v>1018</v>
      </c>
      <c r="D7987" s="8" t="s">
        <v>2448</v>
      </c>
      <c r="E7987" s="8" t="s">
        <v>3040</v>
      </c>
      <c r="F7987" s="9">
        <f>DATE(2025,4,28)</f>
        <v>45775</v>
      </c>
      <c r="G7987" s="10">
        <f t="shared" si="718"/>
        <v>4</v>
      </c>
      <c r="H7987" s="10">
        <f t="shared" si="719"/>
        <v>2025</v>
      </c>
      <c r="I7987" s="8" t="s">
        <v>4</v>
      </c>
      <c r="J7987" s="7" t="s">
        <v>8494</v>
      </c>
      <c r="K7987" s="8" t="s">
        <v>1501</v>
      </c>
      <c r="L7987" s="8" t="s">
        <v>602</v>
      </c>
      <c r="M7987" s="8" t="s">
        <v>41</v>
      </c>
      <c r="N7987" s="10" t="str">
        <f t="shared" si="720"/>
        <v>GAL</v>
      </c>
      <c r="O7987" s="11">
        <v>50</v>
      </c>
    </row>
    <row r="7988" spans="2:15" x14ac:dyDescent="0.25">
      <c r="B7988" s="6" t="s">
        <v>1742</v>
      </c>
      <c r="C7988" s="7" t="s">
        <v>1025</v>
      </c>
      <c r="D7988" s="8" t="s">
        <v>628</v>
      </c>
      <c r="E7988" s="8" t="s">
        <v>2145</v>
      </c>
      <c r="F7988" s="9">
        <f>DATE(2025,4,1)</f>
        <v>45748</v>
      </c>
      <c r="G7988" s="10">
        <f t="shared" si="718"/>
        <v>4</v>
      </c>
      <c r="H7988" s="10">
        <f t="shared" si="719"/>
        <v>2025</v>
      </c>
      <c r="I7988" s="8" t="s">
        <v>4</v>
      </c>
      <c r="J7988" s="7" t="s">
        <v>8495</v>
      </c>
      <c r="K7988" s="8" t="s">
        <v>2147</v>
      </c>
      <c r="L7988" s="8" t="s">
        <v>2148</v>
      </c>
      <c r="M7988" s="8" t="s">
        <v>41</v>
      </c>
      <c r="N7988" s="10" t="str">
        <f t="shared" si="720"/>
        <v>GAL</v>
      </c>
      <c r="O7988" s="11">
        <v>360</v>
      </c>
    </row>
    <row r="7989" spans="2:15" x14ac:dyDescent="0.25">
      <c r="B7989" s="6" t="s">
        <v>1742</v>
      </c>
      <c r="C7989" s="7" t="s">
        <v>1025</v>
      </c>
      <c r="D7989" s="8" t="s">
        <v>628</v>
      </c>
      <c r="E7989" s="8" t="s">
        <v>2145</v>
      </c>
      <c r="F7989" s="9">
        <f>DATE(2025,4,1)</f>
        <v>45748</v>
      </c>
      <c r="G7989" s="10">
        <f t="shared" si="718"/>
        <v>4</v>
      </c>
      <c r="H7989" s="10">
        <f t="shared" si="719"/>
        <v>2025</v>
      </c>
      <c r="I7989" s="8" t="s">
        <v>4</v>
      </c>
      <c r="J7989" s="7" t="s">
        <v>8496</v>
      </c>
      <c r="K7989" s="8" t="s">
        <v>2453</v>
      </c>
      <c r="L7989" s="8" t="s">
        <v>2454</v>
      </c>
      <c r="M7989" s="8" t="s">
        <v>2455</v>
      </c>
      <c r="N7989" s="10" t="str">
        <f t="shared" si="720"/>
        <v>GAL</v>
      </c>
      <c r="O7989" s="11">
        <v>540</v>
      </c>
    </row>
    <row r="7990" spans="2:15" x14ac:dyDescent="0.25">
      <c r="B7990" s="6" t="s">
        <v>645</v>
      </c>
      <c r="C7990" s="7" t="s">
        <v>1025</v>
      </c>
      <c r="D7990" s="8" t="s">
        <v>1401</v>
      </c>
      <c r="E7990" s="8" t="s">
        <v>1402</v>
      </c>
      <c r="F7990" s="9">
        <f>DATE(2025,4,2)</f>
        <v>45749</v>
      </c>
      <c r="G7990" s="10">
        <f t="shared" si="718"/>
        <v>4</v>
      </c>
      <c r="H7990" s="10">
        <f t="shared" si="719"/>
        <v>2025</v>
      </c>
      <c r="I7990" s="8" t="s">
        <v>4</v>
      </c>
      <c r="J7990" s="7" t="s">
        <v>8497</v>
      </c>
      <c r="K7990" s="8" t="s">
        <v>1404</v>
      </c>
      <c r="L7990" s="8" t="s">
        <v>1405</v>
      </c>
      <c r="M7990" s="8" t="s">
        <v>1397</v>
      </c>
      <c r="N7990" s="10" t="str">
        <f t="shared" si="720"/>
        <v>GAL</v>
      </c>
      <c r="O7990" s="11">
        <v>480</v>
      </c>
    </row>
    <row r="7991" spans="2:15" x14ac:dyDescent="0.25">
      <c r="B7991" s="6" t="s">
        <v>645</v>
      </c>
      <c r="C7991" s="7" t="s">
        <v>1025</v>
      </c>
      <c r="D7991" s="8" t="s">
        <v>1401</v>
      </c>
      <c r="E7991" s="8" t="s">
        <v>1402</v>
      </c>
      <c r="F7991" s="9">
        <f>DATE(2025,4,2)</f>
        <v>45749</v>
      </c>
      <c r="G7991" s="10">
        <f t="shared" si="718"/>
        <v>4</v>
      </c>
      <c r="H7991" s="10">
        <f t="shared" si="719"/>
        <v>2025</v>
      </c>
      <c r="I7991" s="8" t="s">
        <v>4</v>
      </c>
      <c r="J7991" s="7" t="s">
        <v>8497</v>
      </c>
      <c r="K7991" s="8" t="s">
        <v>2081</v>
      </c>
      <c r="L7991" s="8" t="s">
        <v>1405</v>
      </c>
      <c r="M7991" s="8" t="s">
        <v>1397</v>
      </c>
      <c r="N7991" s="10" t="str">
        <f t="shared" si="720"/>
        <v>GAL</v>
      </c>
      <c r="O7991" s="11">
        <v>750</v>
      </c>
    </row>
    <row r="7992" spans="2:15" x14ac:dyDescent="0.25">
      <c r="B7992" s="6" t="s">
        <v>645</v>
      </c>
      <c r="C7992" s="7" t="s">
        <v>1025</v>
      </c>
      <c r="D7992" s="8" t="s">
        <v>2079</v>
      </c>
      <c r="E7992" s="8" t="s">
        <v>1402</v>
      </c>
      <c r="F7992" s="9">
        <f>DATE(2025,4,3)</f>
        <v>45750</v>
      </c>
      <c r="G7992" s="10">
        <f t="shared" si="718"/>
        <v>4</v>
      </c>
      <c r="H7992" s="10">
        <f t="shared" si="719"/>
        <v>2025</v>
      </c>
      <c r="I7992" s="8" t="s">
        <v>4</v>
      </c>
      <c r="J7992" s="7" t="s">
        <v>8498</v>
      </c>
      <c r="K7992" s="8" t="s">
        <v>609</v>
      </c>
      <c r="L7992" s="8" t="s">
        <v>610</v>
      </c>
      <c r="M7992" s="8" t="s">
        <v>611</v>
      </c>
      <c r="N7992" s="10" t="str">
        <f t="shared" si="720"/>
        <v>GAL</v>
      </c>
      <c r="O7992" s="11">
        <v>70</v>
      </c>
    </row>
    <row r="7993" spans="2:15" x14ac:dyDescent="0.25">
      <c r="B7993" s="6" t="s">
        <v>645</v>
      </c>
      <c r="C7993" s="7" t="s">
        <v>1025</v>
      </c>
      <c r="D7993" s="8" t="s">
        <v>2092</v>
      </c>
      <c r="E7993" s="8" t="s">
        <v>2093</v>
      </c>
      <c r="F7993" s="9">
        <f>DATE(2025,4,3)</f>
        <v>45750</v>
      </c>
      <c r="G7993" s="10">
        <f t="shared" si="718"/>
        <v>4</v>
      </c>
      <c r="H7993" s="10">
        <f t="shared" si="719"/>
        <v>2025</v>
      </c>
      <c r="I7993" s="8" t="s">
        <v>4</v>
      </c>
      <c r="J7993" s="7" t="s">
        <v>8499</v>
      </c>
      <c r="K7993" s="8" t="s">
        <v>2095</v>
      </c>
      <c r="L7993" s="8" t="s">
        <v>2096</v>
      </c>
      <c r="M7993" s="8" t="s">
        <v>119</v>
      </c>
      <c r="N7993" s="10" t="str">
        <f t="shared" si="720"/>
        <v>TON</v>
      </c>
      <c r="O7993" s="11">
        <v>15.05</v>
      </c>
    </row>
    <row r="7994" spans="2:15" x14ac:dyDescent="0.25">
      <c r="B7994" s="6" t="s">
        <v>645</v>
      </c>
      <c r="C7994" s="7" t="s">
        <v>1025</v>
      </c>
      <c r="D7994" s="8" t="s">
        <v>2079</v>
      </c>
      <c r="E7994" s="8" t="s">
        <v>1402</v>
      </c>
      <c r="F7994" s="9">
        <f>DATE(2025,4,7)</f>
        <v>45754</v>
      </c>
      <c r="G7994" s="10">
        <f t="shared" si="718"/>
        <v>4</v>
      </c>
      <c r="H7994" s="10">
        <f t="shared" si="719"/>
        <v>2025</v>
      </c>
      <c r="I7994" s="8" t="s">
        <v>4</v>
      </c>
      <c r="J7994" s="7" t="s">
        <v>8500</v>
      </c>
      <c r="K7994" s="8" t="s">
        <v>609</v>
      </c>
      <c r="L7994" s="8" t="s">
        <v>610</v>
      </c>
      <c r="M7994" s="8" t="s">
        <v>611</v>
      </c>
      <c r="N7994" s="10" t="str">
        <f t="shared" si="720"/>
        <v>GAL</v>
      </c>
      <c r="O7994" s="11">
        <v>110</v>
      </c>
    </row>
    <row r="7995" spans="2:15" x14ac:dyDescent="0.25">
      <c r="B7995" s="6" t="s">
        <v>645</v>
      </c>
      <c r="C7995" s="7" t="s">
        <v>1025</v>
      </c>
      <c r="D7995" s="8" t="s">
        <v>124</v>
      </c>
      <c r="E7995" s="8" t="s">
        <v>2475</v>
      </c>
      <c r="F7995" s="9">
        <f>DATE(2025,4,15)</f>
        <v>45762</v>
      </c>
      <c r="G7995" s="10">
        <f t="shared" si="718"/>
        <v>4</v>
      </c>
      <c r="H7995" s="10">
        <f t="shared" si="719"/>
        <v>2025</v>
      </c>
      <c r="I7995" s="8" t="s">
        <v>4</v>
      </c>
      <c r="J7995" s="7" t="s">
        <v>8501</v>
      </c>
      <c r="K7995" s="8" t="s">
        <v>158</v>
      </c>
      <c r="L7995" s="8" t="s">
        <v>159</v>
      </c>
      <c r="M7995" s="8" t="s">
        <v>160</v>
      </c>
      <c r="N7995" s="10" t="str">
        <f t="shared" si="720"/>
        <v>GAL</v>
      </c>
      <c r="O7995" s="11">
        <v>180</v>
      </c>
    </row>
    <row r="7996" spans="2:15" x14ac:dyDescent="0.25">
      <c r="B7996" s="6" t="s">
        <v>8502</v>
      </c>
      <c r="C7996" s="7" t="s">
        <v>1025</v>
      </c>
      <c r="D7996" s="8" t="s">
        <v>8503</v>
      </c>
      <c r="E7996" s="8" t="s">
        <v>102</v>
      </c>
      <c r="F7996" s="9">
        <f>DATE(2025,4,15)</f>
        <v>45762</v>
      </c>
      <c r="G7996" s="10">
        <f t="shared" si="718"/>
        <v>4</v>
      </c>
      <c r="H7996" s="10">
        <f t="shared" si="719"/>
        <v>2025</v>
      </c>
      <c r="I7996" s="8" t="s">
        <v>4</v>
      </c>
      <c r="J7996" s="7" t="s">
        <v>8504</v>
      </c>
      <c r="K7996" s="8" t="s">
        <v>158</v>
      </c>
      <c r="L7996" s="8" t="s">
        <v>159</v>
      </c>
      <c r="M7996" s="8" t="s">
        <v>160</v>
      </c>
      <c r="N7996" s="10" t="str">
        <f t="shared" si="720"/>
        <v>GAL</v>
      </c>
      <c r="O7996" s="11">
        <v>180</v>
      </c>
    </row>
    <row r="7997" spans="2:15" x14ac:dyDescent="0.25">
      <c r="B7997" s="6" t="s">
        <v>645</v>
      </c>
      <c r="C7997" s="7" t="s">
        <v>1025</v>
      </c>
      <c r="D7997" s="8" t="s">
        <v>1401</v>
      </c>
      <c r="E7997" s="8" t="s">
        <v>1402</v>
      </c>
      <c r="F7997" s="9">
        <f>DATE(2025,4,15)</f>
        <v>45762</v>
      </c>
      <c r="G7997" s="10">
        <f t="shared" si="718"/>
        <v>4</v>
      </c>
      <c r="H7997" s="10">
        <f t="shared" si="719"/>
        <v>2025</v>
      </c>
      <c r="I7997" s="8" t="s">
        <v>4</v>
      </c>
      <c r="J7997" s="7" t="s">
        <v>8505</v>
      </c>
      <c r="K7997" s="8" t="s">
        <v>1404</v>
      </c>
      <c r="L7997" s="8" t="s">
        <v>8506</v>
      </c>
      <c r="M7997" s="8" t="s">
        <v>1397</v>
      </c>
      <c r="N7997" s="10" t="str">
        <f t="shared" si="720"/>
        <v>GAL</v>
      </c>
      <c r="O7997" s="11">
        <v>480</v>
      </c>
    </row>
    <row r="7998" spans="2:15" x14ac:dyDescent="0.25">
      <c r="B7998" s="6" t="s">
        <v>8502</v>
      </c>
      <c r="C7998" s="7" t="s">
        <v>1025</v>
      </c>
      <c r="D7998" s="8" t="s">
        <v>7593</v>
      </c>
      <c r="E7998" s="8" t="s">
        <v>8507</v>
      </c>
      <c r="F7998" s="9">
        <f>DATE(2025,4,21)</f>
        <v>45768</v>
      </c>
      <c r="G7998" s="10">
        <f t="shared" si="718"/>
        <v>4</v>
      </c>
      <c r="H7998" s="10">
        <f t="shared" si="719"/>
        <v>2025</v>
      </c>
      <c r="I7998" s="8" t="s">
        <v>4</v>
      </c>
      <c r="J7998" s="7" t="s">
        <v>8508</v>
      </c>
      <c r="K7998" s="8" t="s">
        <v>6995</v>
      </c>
      <c r="L7998" s="8" t="s">
        <v>6996</v>
      </c>
      <c r="M7998" s="8" t="s">
        <v>6997</v>
      </c>
      <c r="N7998" s="10" t="str">
        <f t="shared" si="720"/>
        <v>GAL</v>
      </c>
      <c r="O7998" s="11">
        <v>250</v>
      </c>
    </row>
    <row r="7999" spans="2:15" x14ac:dyDescent="0.25">
      <c r="B7999" s="6" t="s">
        <v>645</v>
      </c>
      <c r="C7999" s="7" t="s">
        <v>1025</v>
      </c>
      <c r="D7999" s="8" t="s">
        <v>2478</v>
      </c>
      <c r="E7999" s="8" t="s">
        <v>124</v>
      </c>
      <c r="F7999" s="9">
        <f>DATE(2025,4,21)</f>
        <v>45768</v>
      </c>
      <c r="G7999" s="10">
        <f t="shared" si="718"/>
        <v>4</v>
      </c>
      <c r="H7999" s="10">
        <f t="shared" si="719"/>
        <v>2025</v>
      </c>
      <c r="I7999" s="8" t="s">
        <v>4</v>
      </c>
      <c r="J7999" s="7" t="s">
        <v>8509</v>
      </c>
      <c r="K7999" s="8" t="s">
        <v>2486</v>
      </c>
      <c r="L7999" s="8" t="s">
        <v>2487</v>
      </c>
      <c r="M7999" s="8" t="s">
        <v>119</v>
      </c>
      <c r="N7999" s="10" t="str">
        <f t="shared" si="720"/>
        <v>TON</v>
      </c>
      <c r="O7999" s="11">
        <v>5.0125000000000002</v>
      </c>
    </row>
    <row r="8000" spans="2:15" x14ac:dyDescent="0.25">
      <c r="B8000" s="6" t="s">
        <v>8502</v>
      </c>
      <c r="C8000" s="7" t="s">
        <v>1025</v>
      </c>
      <c r="D8000" s="8" t="s">
        <v>8503</v>
      </c>
      <c r="E8000" s="8" t="s">
        <v>102</v>
      </c>
      <c r="F8000" s="9">
        <f>DATE(2025,4,23)</f>
        <v>45770</v>
      </c>
      <c r="G8000" s="10">
        <f t="shared" si="718"/>
        <v>4</v>
      </c>
      <c r="H8000" s="10">
        <f t="shared" si="719"/>
        <v>2025</v>
      </c>
      <c r="I8000" s="8" t="s">
        <v>4</v>
      </c>
      <c r="J8000" s="7" t="s">
        <v>8510</v>
      </c>
      <c r="K8000" s="8" t="s">
        <v>158</v>
      </c>
      <c r="L8000" s="8" t="s">
        <v>159</v>
      </c>
      <c r="M8000" s="8" t="s">
        <v>160</v>
      </c>
      <c r="N8000" s="10" t="str">
        <f t="shared" si="720"/>
        <v>GAL</v>
      </c>
      <c r="O8000" s="11">
        <v>180</v>
      </c>
    </row>
    <row r="8001" spans="2:15" x14ac:dyDescent="0.25">
      <c r="B8001" s="6" t="s">
        <v>645</v>
      </c>
      <c r="C8001" s="7" t="s">
        <v>1025</v>
      </c>
      <c r="D8001" s="8" t="s">
        <v>1401</v>
      </c>
      <c r="E8001" s="8" t="s">
        <v>1402</v>
      </c>
      <c r="F8001" s="9">
        <f>DATE(2025,4,25)</f>
        <v>45772</v>
      </c>
      <c r="G8001" s="10">
        <f t="shared" si="718"/>
        <v>4</v>
      </c>
      <c r="H8001" s="10">
        <f t="shared" si="719"/>
        <v>2025</v>
      </c>
      <c r="I8001" s="8" t="s">
        <v>4</v>
      </c>
      <c r="J8001" s="7" t="s">
        <v>8511</v>
      </c>
      <c r="K8001" s="8" t="s">
        <v>8512</v>
      </c>
      <c r="L8001" s="8" t="s">
        <v>8513</v>
      </c>
      <c r="M8001" s="8" t="s">
        <v>556</v>
      </c>
      <c r="N8001" s="10" t="str">
        <f t="shared" si="720"/>
        <v>GAL</v>
      </c>
      <c r="O8001" s="11">
        <v>250</v>
      </c>
    </row>
    <row r="8002" spans="2:15" x14ac:dyDescent="0.25">
      <c r="B8002" s="6" t="s">
        <v>645</v>
      </c>
      <c r="C8002" s="7" t="s">
        <v>1025</v>
      </c>
      <c r="D8002" s="8" t="s">
        <v>1401</v>
      </c>
      <c r="E8002" s="8" t="s">
        <v>1402</v>
      </c>
      <c r="F8002" s="9">
        <f>DATE(2025,4,25)</f>
        <v>45772</v>
      </c>
      <c r="G8002" s="10">
        <f t="shared" si="718"/>
        <v>4</v>
      </c>
      <c r="H8002" s="10">
        <f t="shared" si="719"/>
        <v>2025</v>
      </c>
      <c r="I8002" s="8" t="s">
        <v>4</v>
      </c>
      <c r="J8002" s="7" t="s">
        <v>8511</v>
      </c>
      <c r="K8002" s="8" t="s">
        <v>1404</v>
      </c>
      <c r="L8002" s="8" t="s">
        <v>1405</v>
      </c>
      <c r="M8002" s="8" t="s">
        <v>1397</v>
      </c>
      <c r="N8002" s="10" t="str">
        <f t="shared" si="720"/>
        <v>GAL</v>
      </c>
      <c r="O8002" s="11">
        <v>480</v>
      </c>
    </row>
    <row r="8003" spans="2:15" x14ac:dyDescent="0.25">
      <c r="B8003" s="6" t="s">
        <v>645</v>
      </c>
      <c r="C8003" s="7" t="s">
        <v>1025</v>
      </c>
      <c r="D8003" s="8" t="s">
        <v>124</v>
      </c>
      <c r="E8003" s="8" t="s">
        <v>2475</v>
      </c>
      <c r="F8003" s="9">
        <f>DATE(2025,4,29)</f>
        <v>45776</v>
      </c>
      <c r="G8003" s="10">
        <f t="shared" si="718"/>
        <v>4</v>
      </c>
      <c r="H8003" s="10">
        <f t="shared" si="719"/>
        <v>2025</v>
      </c>
      <c r="I8003" s="8" t="s">
        <v>4</v>
      </c>
      <c r="J8003" s="7" t="s">
        <v>8514</v>
      </c>
      <c r="K8003" s="8" t="s">
        <v>531</v>
      </c>
      <c r="L8003" s="8" t="s">
        <v>201</v>
      </c>
      <c r="M8003" s="8" t="s">
        <v>202</v>
      </c>
      <c r="N8003" s="10" t="str">
        <f t="shared" si="720"/>
        <v>GAL</v>
      </c>
      <c r="O8003" s="11">
        <v>30</v>
      </c>
    </row>
    <row r="8004" spans="2:15" x14ac:dyDescent="0.25">
      <c r="B8004" s="6" t="s">
        <v>645</v>
      </c>
      <c r="C8004" s="7" t="s">
        <v>1025</v>
      </c>
      <c r="D8004" s="8" t="s">
        <v>1401</v>
      </c>
      <c r="E8004" s="8" t="s">
        <v>1402</v>
      </c>
      <c r="F8004" s="9">
        <f>DATE(2025,4,30)</f>
        <v>45777</v>
      </c>
      <c r="G8004" s="10">
        <f t="shared" ref="G8004:G8067" si="723">+MONTH(F8004)</f>
        <v>4</v>
      </c>
      <c r="H8004" s="10">
        <f t="shared" ref="H8004:H8067" si="724">+YEAR(F8004)</f>
        <v>2025</v>
      </c>
      <c r="I8004" s="8" t="s">
        <v>4</v>
      </c>
      <c r="J8004" s="7" t="s">
        <v>8515</v>
      </c>
      <c r="K8004" s="8" t="s">
        <v>8512</v>
      </c>
      <c r="L8004" s="8" t="s">
        <v>8513</v>
      </c>
      <c r="M8004" s="8" t="s">
        <v>556</v>
      </c>
      <c r="N8004" s="10" t="str">
        <f t="shared" si="720"/>
        <v>GAL</v>
      </c>
      <c r="O8004" s="11">
        <v>500</v>
      </c>
    </row>
    <row r="8005" spans="2:15" x14ac:dyDescent="0.25">
      <c r="B8005" s="6" t="s">
        <v>645</v>
      </c>
      <c r="C8005" s="7" t="s">
        <v>1025</v>
      </c>
      <c r="D8005" s="8" t="s">
        <v>1401</v>
      </c>
      <c r="E8005" s="8" t="s">
        <v>1402</v>
      </c>
      <c r="F8005" s="9">
        <f>DATE(2025,4,30)</f>
        <v>45777</v>
      </c>
      <c r="G8005" s="10">
        <f t="shared" si="723"/>
        <v>4</v>
      </c>
      <c r="H8005" s="10">
        <f t="shared" si="724"/>
        <v>2025</v>
      </c>
      <c r="I8005" s="8" t="s">
        <v>4</v>
      </c>
      <c r="J8005" s="7" t="s">
        <v>8515</v>
      </c>
      <c r="K8005" s="8" t="s">
        <v>1404</v>
      </c>
      <c r="L8005" s="8" t="s">
        <v>1405</v>
      </c>
      <c r="M8005" s="8" t="s">
        <v>1397</v>
      </c>
      <c r="N8005" s="10" t="str">
        <f t="shared" ref="N8005:N8068" si="725">+LEFT(M8005,3)</f>
        <v>GAL</v>
      </c>
      <c r="O8005" s="11">
        <v>240</v>
      </c>
    </row>
    <row r="8006" spans="2:15" x14ac:dyDescent="0.25">
      <c r="B8006" s="6" t="s">
        <v>1410</v>
      </c>
      <c r="C8006" s="7" t="s">
        <v>525</v>
      </c>
      <c r="D8006" s="8" t="s">
        <v>124</v>
      </c>
      <c r="E8006" s="8" t="s">
        <v>526</v>
      </c>
      <c r="F8006" s="9">
        <f>DATE(2025,4,1)</f>
        <v>45748</v>
      </c>
      <c r="G8006" s="10">
        <f t="shared" si="723"/>
        <v>4</v>
      </c>
      <c r="H8006" s="10">
        <f t="shared" si="724"/>
        <v>2025</v>
      </c>
      <c r="I8006" s="8" t="s">
        <v>4</v>
      </c>
      <c r="J8006" s="7" t="s">
        <v>8516</v>
      </c>
      <c r="K8006" s="8" t="s">
        <v>4788</v>
      </c>
      <c r="L8006" s="8" t="s">
        <v>4789</v>
      </c>
      <c r="M8006" s="8" t="s">
        <v>119</v>
      </c>
      <c r="N8006" s="10" t="str">
        <f t="shared" si="725"/>
        <v>TON</v>
      </c>
      <c r="O8006" s="11">
        <v>11.994999999999999</v>
      </c>
    </row>
    <row r="8007" spans="2:15" x14ac:dyDescent="0.25">
      <c r="B8007" s="6" t="s">
        <v>1410</v>
      </c>
      <c r="C8007" s="7" t="s">
        <v>525</v>
      </c>
      <c r="D8007" s="8" t="s">
        <v>124</v>
      </c>
      <c r="E8007" s="8" t="s">
        <v>526</v>
      </c>
      <c r="F8007" s="9">
        <f>DATE(2025,4,7)</f>
        <v>45754</v>
      </c>
      <c r="G8007" s="10">
        <f t="shared" si="723"/>
        <v>4</v>
      </c>
      <c r="H8007" s="10">
        <f t="shared" si="724"/>
        <v>2025</v>
      </c>
      <c r="I8007" s="8" t="s">
        <v>4</v>
      </c>
      <c r="J8007" s="7" t="s">
        <v>8517</v>
      </c>
      <c r="K8007" s="8" t="s">
        <v>4788</v>
      </c>
      <c r="L8007" s="8" t="s">
        <v>4789</v>
      </c>
      <c r="M8007" s="8" t="s">
        <v>119</v>
      </c>
      <c r="N8007" s="10" t="str">
        <f t="shared" si="725"/>
        <v>TON</v>
      </c>
      <c r="O8007" s="11">
        <v>12.02</v>
      </c>
    </row>
    <row r="8008" spans="2:15" x14ac:dyDescent="0.25">
      <c r="B8008" s="6" t="s">
        <v>1410</v>
      </c>
      <c r="C8008" s="7" t="s">
        <v>525</v>
      </c>
      <c r="D8008" s="8" t="s">
        <v>507</v>
      </c>
      <c r="E8008" s="8" t="s">
        <v>508</v>
      </c>
      <c r="F8008" s="9">
        <f>DATE(2025,4,8)</f>
        <v>45755</v>
      </c>
      <c r="G8008" s="10">
        <f t="shared" si="723"/>
        <v>4</v>
      </c>
      <c r="H8008" s="10">
        <f t="shared" si="724"/>
        <v>2025</v>
      </c>
      <c r="I8008" s="8" t="s">
        <v>4</v>
      </c>
      <c r="J8008" s="7" t="s">
        <v>8518</v>
      </c>
      <c r="K8008" s="8" t="s">
        <v>1189</v>
      </c>
      <c r="L8008" s="8" t="s">
        <v>1190</v>
      </c>
      <c r="M8008" s="8" t="s">
        <v>139</v>
      </c>
      <c r="N8008" s="10" t="str">
        <f t="shared" si="725"/>
        <v>GAL</v>
      </c>
      <c r="O8008" s="11">
        <v>250</v>
      </c>
    </row>
    <row r="8009" spans="2:15" x14ac:dyDescent="0.25">
      <c r="B8009" s="6" t="s">
        <v>1410</v>
      </c>
      <c r="C8009" s="7" t="s">
        <v>525</v>
      </c>
      <c r="D8009" s="8" t="s">
        <v>124</v>
      </c>
      <c r="E8009" s="8" t="s">
        <v>526</v>
      </c>
      <c r="F8009" s="9">
        <f>DATE(2025,4,15)</f>
        <v>45762</v>
      </c>
      <c r="G8009" s="10">
        <f t="shared" si="723"/>
        <v>4</v>
      </c>
      <c r="H8009" s="10">
        <f t="shared" si="724"/>
        <v>2025</v>
      </c>
      <c r="I8009" s="8" t="s">
        <v>4</v>
      </c>
      <c r="J8009" s="7" t="s">
        <v>8519</v>
      </c>
      <c r="K8009" s="8" t="s">
        <v>4788</v>
      </c>
      <c r="L8009" s="8" t="s">
        <v>4789</v>
      </c>
      <c r="M8009" s="8" t="s">
        <v>119</v>
      </c>
      <c r="N8009" s="10" t="str">
        <f t="shared" si="725"/>
        <v>TON</v>
      </c>
      <c r="O8009" s="11">
        <v>6.01</v>
      </c>
    </row>
    <row r="8010" spans="2:15" x14ac:dyDescent="0.25">
      <c r="B8010" s="6" t="s">
        <v>1410</v>
      </c>
      <c r="C8010" s="7" t="s">
        <v>525</v>
      </c>
      <c r="D8010" s="8" t="s">
        <v>124</v>
      </c>
      <c r="E8010" s="8" t="s">
        <v>526</v>
      </c>
      <c r="F8010" s="9">
        <f>DATE(2025,4,16)</f>
        <v>45763</v>
      </c>
      <c r="G8010" s="10">
        <f t="shared" si="723"/>
        <v>4</v>
      </c>
      <c r="H8010" s="10">
        <f t="shared" si="724"/>
        <v>2025</v>
      </c>
      <c r="I8010" s="8" t="s">
        <v>4</v>
      </c>
      <c r="J8010" s="7" t="s">
        <v>8520</v>
      </c>
      <c r="K8010" s="8" t="s">
        <v>2113</v>
      </c>
      <c r="L8010" s="8" t="s">
        <v>2114</v>
      </c>
      <c r="M8010" s="8" t="s">
        <v>119</v>
      </c>
      <c r="N8010" s="10" t="str">
        <f t="shared" si="725"/>
        <v>TON</v>
      </c>
      <c r="O8010" s="11">
        <v>5.9950000000000001</v>
      </c>
    </row>
    <row r="8011" spans="2:15" x14ac:dyDescent="0.25">
      <c r="B8011" s="6" t="s">
        <v>1410</v>
      </c>
      <c r="C8011" s="7" t="s">
        <v>525</v>
      </c>
      <c r="D8011" s="8" t="s">
        <v>124</v>
      </c>
      <c r="E8011" s="8" t="s">
        <v>526</v>
      </c>
      <c r="F8011" s="9">
        <f>DATE(2025,4,22)</f>
        <v>45769</v>
      </c>
      <c r="G8011" s="10">
        <f t="shared" si="723"/>
        <v>4</v>
      </c>
      <c r="H8011" s="10">
        <f t="shared" si="724"/>
        <v>2025</v>
      </c>
      <c r="I8011" s="8" t="s">
        <v>4</v>
      </c>
      <c r="J8011" s="7" t="s">
        <v>8521</v>
      </c>
      <c r="K8011" s="8" t="s">
        <v>4788</v>
      </c>
      <c r="L8011" s="8" t="s">
        <v>4789</v>
      </c>
      <c r="M8011" s="8" t="s">
        <v>119</v>
      </c>
      <c r="N8011" s="10" t="str">
        <f t="shared" si="725"/>
        <v>TON</v>
      </c>
      <c r="O8011" s="11">
        <v>12</v>
      </c>
    </row>
    <row r="8012" spans="2:15" x14ac:dyDescent="0.25">
      <c r="B8012" s="6" t="s">
        <v>1410</v>
      </c>
      <c r="C8012" s="7" t="s">
        <v>525</v>
      </c>
      <c r="D8012" s="8" t="s">
        <v>628</v>
      </c>
      <c r="E8012" s="8" t="s">
        <v>1036</v>
      </c>
      <c r="F8012" s="9">
        <f>DATE(2025,4,24)</f>
        <v>45771</v>
      </c>
      <c r="G8012" s="10">
        <f t="shared" si="723"/>
        <v>4</v>
      </c>
      <c r="H8012" s="10">
        <f t="shared" si="724"/>
        <v>2025</v>
      </c>
      <c r="I8012" s="8" t="s">
        <v>4</v>
      </c>
      <c r="J8012" s="7" t="s">
        <v>8522</v>
      </c>
      <c r="K8012" s="8" t="s">
        <v>510</v>
      </c>
      <c r="L8012" s="8" t="s">
        <v>511</v>
      </c>
      <c r="M8012" s="8" t="s">
        <v>38</v>
      </c>
      <c r="N8012" s="10" t="str">
        <f t="shared" si="725"/>
        <v>GAL</v>
      </c>
      <c r="O8012" s="11">
        <v>250</v>
      </c>
    </row>
    <row r="8013" spans="2:15" x14ac:dyDescent="0.25">
      <c r="B8013" s="6" t="s">
        <v>1410</v>
      </c>
      <c r="C8013" s="7" t="s">
        <v>525</v>
      </c>
      <c r="D8013" s="8" t="s">
        <v>1956</v>
      </c>
      <c r="E8013" s="8" t="s">
        <v>102</v>
      </c>
      <c r="F8013" s="9">
        <f>DATE(2025,4,24)</f>
        <v>45771</v>
      </c>
      <c r="G8013" s="10">
        <f t="shared" si="723"/>
        <v>4</v>
      </c>
      <c r="H8013" s="10">
        <f t="shared" si="724"/>
        <v>2025</v>
      </c>
      <c r="I8013" s="8" t="s">
        <v>4</v>
      </c>
      <c r="J8013" s="7" t="s">
        <v>8523</v>
      </c>
      <c r="K8013" s="8" t="s">
        <v>268</v>
      </c>
      <c r="L8013" s="8" t="s">
        <v>269</v>
      </c>
      <c r="M8013" s="8" t="s">
        <v>119</v>
      </c>
      <c r="N8013" s="10" t="str">
        <f t="shared" si="725"/>
        <v>TON</v>
      </c>
      <c r="O8013" s="11">
        <v>0.15</v>
      </c>
    </row>
    <row r="8014" spans="2:15" x14ac:dyDescent="0.25">
      <c r="B8014" s="6" t="s">
        <v>1410</v>
      </c>
      <c r="C8014" s="7" t="s">
        <v>525</v>
      </c>
      <c r="D8014" s="8" t="s">
        <v>646</v>
      </c>
      <c r="E8014" s="8" t="s">
        <v>647</v>
      </c>
      <c r="F8014" s="9">
        <f>DATE(2025,4,29)</f>
        <v>45776</v>
      </c>
      <c r="G8014" s="10">
        <f t="shared" si="723"/>
        <v>4</v>
      </c>
      <c r="H8014" s="10">
        <f t="shared" si="724"/>
        <v>2025</v>
      </c>
      <c r="I8014" s="8" t="s">
        <v>4</v>
      </c>
      <c r="J8014" s="7" t="s">
        <v>8524</v>
      </c>
      <c r="K8014" s="8" t="s">
        <v>649</v>
      </c>
      <c r="L8014" s="8" t="s">
        <v>538</v>
      </c>
      <c r="M8014" s="8" t="s">
        <v>4243</v>
      </c>
      <c r="N8014" s="10" t="str">
        <f t="shared" si="725"/>
        <v>GAL</v>
      </c>
      <c r="O8014" s="11">
        <v>750</v>
      </c>
    </row>
    <row r="8015" spans="2:15" x14ac:dyDescent="0.25">
      <c r="B8015" s="6" t="s">
        <v>1410</v>
      </c>
      <c r="C8015" s="7" t="s">
        <v>525</v>
      </c>
      <c r="D8015" s="8" t="s">
        <v>124</v>
      </c>
      <c r="E8015" s="8" t="s">
        <v>526</v>
      </c>
      <c r="F8015" s="9">
        <f>DATE(2025,4,30)</f>
        <v>45777</v>
      </c>
      <c r="G8015" s="10">
        <f t="shared" si="723"/>
        <v>4</v>
      </c>
      <c r="H8015" s="10">
        <f t="shared" si="724"/>
        <v>2025</v>
      </c>
      <c r="I8015" s="8" t="s">
        <v>4</v>
      </c>
      <c r="J8015" s="7" t="s">
        <v>8525</v>
      </c>
      <c r="K8015" s="8" t="s">
        <v>2113</v>
      </c>
      <c r="L8015" s="8" t="s">
        <v>2114</v>
      </c>
      <c r="M8015" s="8" t="s">
        <v>119</v>
      </c>
      <c r="N8015" s="10" t="str">
        <f t="shared" si="725"/>
        <v>TON</v>
      </c>
      <c r="O8015" s="11">
        <v>6.0125000000000002</v>
      </c>
    </row>
    <row r="8016" spans="2:15" x14ac:dyDescent="0.25">
      <c r="B8016" s="6" t="s">
        <v>1050</v>
      </c>
      <c r="C8016" s="7" t="s">
        <v>533</v>
      </c>
      <c r="D8016" s="8" t="s">
        <v>557</v>
      </c>
      <c r="E8016" s="8" t="s">
        <v>1059</v>
      </c>
      <c r="F8016" s="9">
        <f>DATE(2025,4,7)</f>
        <v>45754</v>
      </c>
      <c r="G8016" s="10">
        <f t="shared" si="723"/>
        <v>4</v>
      </c>
      <c r="H8016" s="10">
        <f t="shared" si="724"/>
        <v>2025</v>
      </c>
      <c r="I8016" s="8" t="s">
        <v>4</v>
      </c>
      <c r="J8016" s="7" t="s">
        <v>8526</v>
      </c>
      <c r="K8016" s="8" t="s">
        <v>1056</v>
      </c>
      <c r="L8016" s="8" t="s">
        <v>1057</v>
      </c>
      <c r="M8016" s="8" t="s">
        <v>1058</v>
      </c>
      <c r="N8016" s="10" t="str">
        <f t="shared" si="725"/>
        <v>GAL</v>
      </c>
      <c r="O8016" s="11">
        <v>3710</v>
      </c>
    </row>
    <row r="8017" spans="2:15" x14ac:dyDescent="0.25">
      <c r="B8017" s="6" t="s">
        <v>1050</v>
      </c>
      <c r="C8017" s="7" t="s">
        <v>533</v>
      </c>
      <c r="D8017" s="8" t="s">
        <v>628</v>
      </c>
      <c r="E8017" s="8" t="s">
        <v>2145</v>
      </c>
      <c r="F8017" s="9">
        <f>DATE(2025,4,1)</f>
        <v>45748</v>
      </c>
      <c r="G8017" s="10">
        <f t="shared" si="723"/>
        <v>4</v>
      </c>
      <c r="H8017" s="10">
        <f t="shared" si="724"/>
        <v>2025</v>
      </c>
      <c r="I8017" s="8" t="s">
        <v>4</v>
      </c>
      <c r="J8017" s="7" t="s">
        <v>8527</v>
      </c>
      <c r="K8017" s="8" t="s">
        <v>2526</v>
      </c>
      <c r="L8017" s="8" t="s">
        <v>2527</v>
      </c>
      <c r="M8017" s="8" t="s">
        <v>1448</v>
      </c>
      <c r="N8017" s="10" t="str">
        <f t="shared" si="725"/>
        <v>GAL</v>
      </c>
      <c r="O8017" s="11">
        <v>2160</v>
      </c>
    </row>
    <row r="8018" spans="2:15" x14ac:dyDescent="0.25">
      <c r="B8018" s="6" t="s">
        <v>645</v>
      </c>
      <c r="C8018" s="7" t="s">
        <v>533</v>
      </c>
      <c r="D8018" s="8" t="s">
        <v>557</v>
      </c>
      <c r="E8018" s="8" t="s">
        <v>1421</v>
      </c>
      <c r="F8018" s="9">
        <f>DATE(2025,4,3)</f>
        <v>45750</v>
      </c>
      <c r="G8018" s="10">
        <f t="shared" si="723"/>
        <v>4</v>
      </c>
      <c r="H8018" s="10">
        <f t="shared" si="724"/>
        <v>2025</v>
      </c>
      <c r="I8018" s="8" t="s">
        <v>4</v>
      </c>
      <c r="J8018" s="7" t="s">
        <v>8528</v>
      </c>
      <c r="K8018" s="8" t="s">
        <v>1056</v>
      </c>
      <c r="L8018" s="8" t="s">
        <v>1057</v>
      </c>
      <c r="M8018" s="8" t="s">
        <v>1058</v>
      </c>
      <c r="N8018" s="10" t="str">
        <f t="shared" si="725"/>
        <v>GAL</v>
      </c>
      <c r="O8018" s="11">
        <v>3710</v>
      </c>
    </row>
    <row r="8019" spans="2:15" x14ac:dyDescent="0.25">
      <c r="B8019" s="6" t="s">
        <v>645</v>
      </c>
      <c r="C8019" s="7" t="s">
        <v>533</v>
      </c>
      <c r="D8019" s="8" t="s">
        <v>557</v>
      </c>
      <c r="E8019" s="8" t="s">
        <v>4801</v>
      </c>
      <c r="F8019" s="9">
        <f>DATE(2025,4,4)</f>
        <v>45751</v>
      </c>
      <c r="G8019" s="10">
        <f t="shared" si="723"/>
        <v>4</v>
      </c>
      <c r="H8019" s="10">
        <f t="shared" si="724"/>
        <v>2025</v>
      </c>
      <c r="I8019" s="8" t="s">
        <v>4</v>
      </c>
      <c r="J8019" s="7" t="s">
        <v>8529</v>
      </c>
      <c r="K8019" s="8" t="s">
        <v>1056</v>
      </c>
      <c r="L8019" s="8" t="s">
        <v>1057</v>
      </c>
      <c r="M8019" s="8" t="s">
        <v>1058</v>
      </c>
      <c r="N8019" s="10" t="str">
        <f t="shared" si="725"/>
        <v>GAL</v>
      </c>
      <c r="O8019" s="11">
        <v>3710</v>
      </c>
    </row>
    <row r="8020" spans="2:15" x14ac:dyDescent="0.25">
      <c r="B8020" s="6" t="s">
        <v>1050</v>
      </c>
      <c r="C8020" s="7" t="s">
        <v>533</v>
      </c>
      <c r="D8020" s="8" t="s">
        <v>628</v>
      </c>
      <c r="E8020" s="8" t="s">
        <v>2524</v>
      </c>
      <c r="F8020" s="9">
        <f>DATE(2025,4,7)</f>
        <v>45754</v>
      </c>
      <c r="G8020" s="10">
        <f t="shared" si="723"/>
        <v>4</v>
      </c>
      <c r="H8020" s="10">
        <f t="shared" si="724"/>
        <v>2025</v>
      </c>
      <c r="I8020" s="8" t="s">
        <v>4</v>
      </c>
      <c r="J8020" s="7" t="s">
        <v>8530</v>
      </c>
      <c r="K8020" s="8" t="s">
        <v>2526</v>
      </c>
      <c r="L8020" s="8" t="s">
        <v>2527</v>
      </c>
      <c r="M8020" s="8" t="s">
        <v>1448</v>
      </c>
      <c r="N8020" s="10" t="str">
        <f t="shared" si="725"/>
        <v>GAL</v>
      </c>
      <c r="O8020" s="11">
        <v>3960</v>
      </c>
    </row>
    <row r="8021" spans="2:15" x14ac:dyDescent="0.25">
      <c r="B8021" s="6" t="s">
        <v>1050</v>
      </c>
      <c r="C8021" s="7" t="s">
        <v>533</v>
      </c>
      <c r="D8021" s="8" t="s">
        <v>557</v>
      </c>
      <c r="E8021" s="8" t="s">
        <v>2826</v>
      </c>
      <c r="F8021" s="9">
        <f>DATE(2025,4,9)</f>
        <v>45756</v>
      </c>
      <c r="G8021" s="10">
        <f t="shared" si="723"/>
        <v>4</v>
      </c>
      <c r="H8021" s="10">
        <f t="shared" si="724"/>
        <v>2025</v>
      </c>
      <c r="I8021" s="8" t="s">
        <v>4</v>
      </c>
      <c r="J8021" s="7" t="s">
        <v>8531</v>
      </c>
      <c r="K8021" s="8" t="s">
        <v>817</v>
      </c>
      <c r="L8021" s="8" t="s">
        <v>818</v>
      </c>
      <c r="M8021" s="8" t="s">
        <v>556</v>
      </c>
      <c r="N8021" s="10" t="str">
        <f t="shared" si="725"/>
        <v>GAL</v>
      </c>
      <c r="O8021" s="11">
        <v>360</v>
      </c>
    </row>
    <row r="8022" spans="2:15" x14ac:dyDescent="0.25">
      <c r="B8022" s="6" t="s">
        <v>1050</v>
      </c>
      <c r="C8022" s="7" t="s">
        <v>533</v>
      </c>
      <c r="D8022" s="8" t="s">
        <v>628</v>
      </c>
      <c r="E8022" s="8" t="s">
        <v>2145</v>
      </c>
      <c r="F8022" s="9">
        <f>DATE(2025,4,9)</f>
        <v>45756</v>
      </c>
      <c r="G8022" s="10">
        <f t="shared" si="723"/>
        <v>4</v>
      </c>
      <c r="H8022" s="10">
        <f t="shared" si="724"/>
        <v>2025</v>
      </c>
      <c r="I8022" s="8" t="s">
        <v>4</v>
      </c>
      <c r="J8022" s="7" t="s">
        <v>8532</v>
      </c>
      <c r="K8022" s="8" t="s">
        <v>2526</v>
      </c>
      <c r="L8022" s="8" t="s">
        <v>2527</v>
      </c>
      <c r="M8022" s="8" t="s">
        <v>1448</v>
      </c>
      <c r="N8022" s="10" t="str">
        <f t="shared" si="725"/>
        <v>GAL</v>
      </c>
      <c r="O8022" s="11">
        <v>3960</v>
      </c>
    </row>
    <row r="8023" spans="2:15" x14ac:dyDescent="0.25">
      <c r="B8023" s="6" t="s">
        <v>645</v>
      </c>
      <c r="C8023" s="7" t="s">
        <v>533</v>
      </c>
      <c r="D8023" s="8" t="s">
        <v>1047</v>
      </c>
      <c r="E8023" s="8" t="s">
        <v>2522</v>
      </c>
      <c r="F8023" s="9">
        <f>DATE(2025,4,10)</f>
        <v>45757</v>
      </c>
      <c r="G8023" s="10">
        <f t="shared" si="723"/>
        <v>4</v>
      </c>
      <c r="H8023" s="10">
        <f t="shared" si="724"/>
        <v>2025</v>
      </c>
      <c r="I8023" s="8" t="s">
        <v>4</v>
      </c>
      <c r="J8023" s="7" t="s">
        <v>8533</v>
      </c>
      <c r="K8023" s="8" t="s">
        <v>549</v>
      </c>
      <c r="L8023" s="8" t="s">
        <v>550</v>
      </c>
      <c r="M8023" s="8" t="s">
        <v>52</v>
      </c>
      <c r="N8023" s="10" t="str">
        <f t="shared" si="725"/>
        <v>GAL</v>
      </c>
      <c r="O8023" s="11">
        <v>55</v>
      </c>
    </row>
    <row r="8024" spans="2:15" x14ac:dyDescent="0.25">
      <c r="B8024" s="6" t="s">
        <v>1050</v>
      </c>
      <c r="C8024" s="7" t="s">
        <v>533</v>
      </c>
      <c r="D8024" s="8" t="s">
        <v>557</v>
      </c>
      <c r="E8024" s="8" t="s">
        <v>5732</v>
      </c>
      <c r="F8024" s="9">
        <f>DATE(2025,4,15)</f>
        <v>45762</v>
      </c>
      <c r="G8024" s="10">
        <f t="shared" si="723"/>
        <v>4</v>
      </c>
      <c r="H8024" s="10">
        <f t="shared" si="724"/>
        <v>2025</v>
      </c>
      <c r="I8024" s="8" t="s">
        <v>4</v>
      </c>
      <c r="J8024" s="7" t="s">
        <v>8534</v>
      </c>
      <c r="K8024" s="8" t="s">
        <v>3075</v>
      </c>
      <c r="L8024" s="8" t="s">
        <v>3076</v>
      </c>
      <c r="M8024" s="8" t="s">
        <v>106</v>
      </c>
      <c r="N8024" s="10" t="str">
        <f t="shared" si="725"/>
        <v>LBS</v>
      </c>
      <c r="O8024" s="11">
        <v>7200</v>
      </c>
    </row>
    <row r="8025" spans="2:15" x14ac:dyDescent="0.25">
      <c r="B8025" s="6" t="s">
        <v>645</v>
      </c>
      <c r="C8025" s="7" t="s">
        <v>533</v>
      </c>
      <c r="D8025" s="8" t="s">
        <v>3091</v>
      </c>
      <c r="E8025" s="8" t="s">
        <v>5435</v>
      </c>
      <c r="F8025" s="9">
        <f>DATE(2025,4,17)</f>
        <v>45764</v>
      </c>
      <c r="G8025" s="10">
        <f t="shared" si="723"/>
        <v>4</v>
      </c>
      <c r="H8025" s="10">
        <f t="shared" si="724"/>
        <v>2025</v>
      </c>
      <c r="I8025" s="8" t="s">
        <v>4</v>
      </c>
      <c r="J8025" s="7" t="s">
        <v>8535</v>
      </c>
      <c r="K8025" s="8" t="s">
        <v>642</v>
      </c>
      <c r="L8025" s="8" t="s">
        <v>111</v>
      </c>
      <c r="M8025" s="8" t="s">
        <v>112</v>
      </c>
      <c r="N8025" s="10" t="str">
        <f t="shared" si="725"/>
        <v>GAL</v>
      </c>
      <c r="O8025" s="11">
        <v>360</v>
      </c>
    </row>
    <row r="8026" spans="2:15" x14ac:dyDescent="0.25">
      <c r="B8026" s="6" t="s">
        <v>645</v>
      </c>
      <c r="C8026" s="7" t="s">
        <v>533</v>
      </c>
      <c r="D8026" s="8" t="s">
        <v>557</v>
      </c>
      <c r="E8026" s="8" t="s">
        <v>2160</v>
      </c>
      <c r="F8026" s="9">
        <f>DATE(2025,4,17)</f>
        <v>45764</v>
      </c>
      <c r="G8026" s="10">
        <f t="shared" si="723"/>
        <v>4</v>
      </c>
      <c r="H8026" s="10">
        <f t="shared" si="724"/>
        <v>2025</v>
      </c>
      <c r="I8026" s="8" t="s">
        <v>4</v>
      </c>
      <c r="J8026" s="7" t="s">
        <v>8536</v>
      </c>
      <c r="K8026" s="8" t="s">
        <v>2516</v>
      </c>
      <c r="L8026" s="8" t="s">
        <v>2163</v>
      </c>
      <c r="M8026" s="8" t="s">
        <v>106</v>
      </c>
      <c r="N8026" s="10" t="str">
        <f t="shared" si="725"/>
        <v>LBS</v>
      </c>
      <c r="O8026" s="11">
        <v>7500</v>
      </c>
    </row>
    <row r="8027" spans="2:15" x14ac:dyDescent="0.25">
      <c r="B8027" s="6" t="s">
        <v>645</v>
      </c>
      <c r="C8027" s="7" t="s">
        <v>533</v>
      </c>
      <c r="D8027" s="8" t="s">
        <v>557</v>
      </c>
      <c r="E8027" s="8" t="s">
        <v>2160</v>
      </c>
      <c r="F8027" s="9">
        <f>DATE(2025,4,17)</f>
        <v>45764</v>
      </c>
      <c r="G8027" s="10">
        <f t="shared" si="723"/>
        <v>4</v>
      </c>
      <c r="H8027" s="10">
        <f t="shared" si="724"/>
        <v>2025</v>
      </c>
      <c r="I8027" s="8" t="s">
        <v>4</v>
      </c>
      <c r="J8027" s="7" t="s">
        <v>8536</v>
      </c>
      <c r="K8027" s="8" t="s">
        <v>2162</v>
      </c>
      <c r="L8027" s="8" t="s">
        <v>2163</v>
      </c>
      <c r="M8027" s="8" t="s">
        <v>106</v>
      </c>
      <c r="N8027" s="10" t="str">
        <f t="shared" si="725"/>
        <v>LBS</v>
      </c>
      <c r="O8027" s="11">
        <v>1800</v>
      </c>
    </row>
    <row r="8028" spans="2:15" x14ac:dyDescent="0.25">
      <c r="B8028" s="6" t="s">
        <v>1050</v>
      </c>
      <c r="C8028" s="7" t="s">
        <v>533</v>
      </c>
      <c r="D8028" s="8" t="s">
        <v>1047</v>
      </c>
      <c r="E8028" s="8" t="s">
        <v>8537</v>
      </c>
      <c r="F8028" s="9">
        <f>DATE(2025,4,21)</f>
        <v>45768</v>
      </c>
      <c r="G8028" s="10">
        <f t="shared" si="723"/>
        <v>4</v>
      </c>
      <c r="H8028" s="10">
        <f t="shared" si="724"/>
        <v>2025</v>
      </c>
      <c r="I8028" s="8" t="s">
        <v>4</v>
      </c>
      <c r="J8028" s="7" t="s">
        <v>8538</v>
      </c>
      <c r="K8028" s="8" t="s">
        <v>50</v>
      </c>
      <c r="L8028" s="8" t="s">
        <v>550</v>
      </c>
      <c r="M8028" s="8" t="s">
        <v>52</v>
      </c>
      <c r="N8028" s="10" t="str">
        <f t="shared" si="725"/>
        <v>GAL</v>
      </c>
      <c r="O8028" s="11">
        <v>180</v>
      </c>
    </row>
    <row r="8029" spans="2:15" x14ac:dyDescent="0.25">
      <c r="B8029" s="6" t="s">
        <v>1050</v>
      </c>
      <c r="C8029" s="7" t="s">
        <v>533</v>
      </c>
      <c r="D8029" s="8" t="s">
        <v>557</v>
      </c>
      <c r="E8029" s="8" t="s">
        <v>2509</v>
      </c>
      <c r="F8029" s="9">
        <f>DATE(2025,4,23)</f>
        <v>45770</v>
      </c>
      <c r="G8029" s="10">
        <f t="shared" si="723"/>
        <v>4</v>
      </c>
      <c r="H8029" s="10">
        <f t="shared" si="724"/>
        <v>2025</v>
      </c>
      <c r="I8029" s="8" t="s">
        <v>4</v>
      </c>
      <c r="J8029" s="7" t="s">
        <v>8539</v>
      </c>
      <c r="K8029" s="8" t="s">
        <v>2128</v>
      </c>
      <c r="L8029" s="8" t="s">
        <v>2129</v>
      </c>
      <c r="M8029" s="8" t="s">
        <v>106</v>
      </c>
      <c r="N8029" s="10" t="str">
        <f t="shared" si="725"/>
        <v>LBS</v>
      </c>
      <c r="O8029" s="11">
        <v>5000</v>
      </c>
    </row>
    <row r="8030" spans="2:15" x14ac:dyDescent="0.25">
      <c r="B8030" s="6" t="s">
        <v>645</v>
      </c>
      <c r="C8030" s="7" t="s">
        <v>533</v>
      </c>
      <c r="D8030" s="8" t="s">
        <v>557</v>
      </c>
      <c r="E8030" s="8" t="s">
        <v>8540</v>
      </c>
      <c r="F8030" s="9">
        <f>DATE(2025,4,24)</f>
        <v>45771</v>
      </c>
      <c r="G8030" s="10">
        <f t="shared" si="723"/>
        <v>4</v>
      </c>
      <c r="H8030" s="10">
        <f t="shared" si="724"/>
        <v>2025</v>
      </c>
      <c r="I8030" s="8" t="s">
        <v>4</v>
      </c>
      <c r="J8030" s="7" t="s">
        <v>8541</v>
      </c>
      <c r="K8030" s="8" t="s">
        <v>3075</v>
      </c>
      <c r="L8030" s="8" t="s">
        <v>3076</v>
      </c>
      <c r="M8030" s="8" t="s">
        <v>106</v>
      </c>
      <c r="N8030" s="10" t="str">
        <f t="shared" si="725"/>
        <v>LBS</v>
      </c>
      <c r="O8030" s="11">
        <v>1800</v>
      </c>
    </row>
    <row r="8031" spans="2:15" x14ac:dyDescent="0.25">
      <c r="B8031" s="6" t="s">
        <v>1050</v>
      </c>
      <c r="C8031" s="7" t="s">
        <v>533</v>
      </c>
      <c r="D8031" s="8" t="s">
        <v>1047</v>
      </c>
      <c r="E8031" s="8" t="s">
        <v>8542</v>
      </c>
      <c r="F8031" s="9">
        <f>DATE(2025,4,28)</f>
        <v>45775</v>
      </c>
      <c r="G8031" s="10">
        <f t="shared" si="723"/>
        <v>4</v>
      </c>
      <c r="H8031" s="10">
        <f t="shared" si="724"/>
        <v>2025</v>
      </c>
      <c r="I8031" s="8" t="s">
        <v>4</v>
      </c>
      <c r="J8031" s="7" t="s">
        <v>8543</v>
      </c>
      <c r="K8031" s="8" t="s">
        <v>5443</v>
      </c>
      <c r="L8031" s="8" t="s">
        <v>2139</v>
      </c>
      <c r="M8031" s="8" t="s">
        <v>1472</v>
      </c>
      <c r="N8031" s="10" t="str">
        <f t="shared" si="725"/>
        <v>GAL</v>
      </c>
      <c r="O8031" s="11">
        <v>10</v>
      </c>
    </row>
    <row r="8032" spans="2:15" x14ac:dyDescent="0.25">
      <c r="B8032" s="6" t="s">
        <v>1050</v>
      </c>
      <c r="C8032" s="7" t="s">
        <v>533</v>
      </c>
      <c r="D8032" s="8" t="s">
        <v>1047</v>
      </c>
      <c r="E8032" s="8" t="s">
        <v>8542</v>
      </c>
      <c r="F8032" s="9">
        <f>DATE(2025,4,28)</f>
        <v>45775</v>
      </c>
      <c r="G8032" s="10">
        <f t="shared" si="723"/>
        <v>4</v>
      </c>
      <c r="H8032" s="10">
        <f t="shared" si="724"/>
        <v>2025</v>
      </c>
      <c r="I8032" s="8" t="s">
        <v>4</v>
      </c>
      <c r="J8032" s="7" t="s">
        <v>8543</v>
      </c>
      <c r="K8032" s="8" t="s">
        <v>5430</v>
      </c>
      <c r="L8032" s="8" t="s">
        <v>5431</v>
      </c>
      <c r="M8032" s="8" t="s">
        <v>5432</v>
      </c>
      <c r="N8032" s="10" t="str">
        <f t="shared" si="725"/>
        <v>GAL</v>
      </c>
      <c r="O8032" s="11">
        <v>10</v>
      </c>
    </row>
    <row r="8033" spans="2:15" x14ac:dyDescent="0.25">
      <c r="B8033" s="6" t="s">
        <v>1050</v>
      </c>
      <c r="C8033" s="7" t="s">
        <v>533</v>
      </c>
      <c r="D8033" s="8" t="s">
        <v>1047</v>
      </c>
      <c r="E8033" s="8" t="s">
        <v>8542</v>
      </c>
      <c r="F8033" s="9">
        <f>DATE(2025,4,28)</f>
        <v>45775</v>
      </c>
      <c r="G8033" s="10">
        <f t="shared" si="723"/>
        <v>4</v>
      </c>
      <c r="H8033" s="10">
        <f t="shared" si="724"/>
        <v>2025</v>
      </c>
      <c r="I8033" s="8" t="s">
        <v>4</v>
      </c>
      <c r="J8033" s="7" t="s">
        <v>8543</v>
      </c>
      <c r="K8033" s="8" t="s">
        <v>2530</v>
      </c>
      <c r="L8033" s="8" t="s">
        <v>2531</v>
      </c>
      <c r="M8033" s="8" t="s">
        <v>2532</v>
      </c>
      <c r="N8033" s="10" t="str">
        <f t="shared" si="725"/>
        <v>GAL</v>
      </c>
      <c r="O8033" s="11">
        <v>20</v>
      </c>
    </row>
    <row r="8034" spans="2:15" x14ac:dyDescent="0.25">
      <c r="B8034" s="6" t="s">
        <v>1050</v>
      </c>
      <c r="C8034" s="7" t="s">
        <v>533</v>
      </c>
      <c r="D8034" s="8" t="s">
        <v>1047</v>
      </c>
      <c r="E8034" s="8" t="s">
        <v>8542</v>
      </c>
      <c r="F8034" s="9">
        <f>DATE(2025,4,28)</f>
        <v>45775</v>
      </c>
      <c r="G8034" s="10">
        <f t="shared" si="723"/>
        <v>4</v>
      </c>
      <c r="H8034" s="10">
        <f t="shared" si="724"/>
        <v>2025</v>
      </c>
      <c r="I8034" s="8" t="s">
        <v>4</v>
      </c>
      <c r="J8034" s="7" t="s">
        <v>8543</v>
      </c>
      <c r="K8034" s="8" t="s">
        <v>50</v>
      </c>
      <c r="L8034" s="8" t="s">
        <v>550</v>
      </c>
      <c r="M8034" s="8" t="s">
        <v>52</v>
      </c>
      <c r="N8034" s="10" t="str">
        <f t="shared" si="725"/>
        <v>GAL</v>
      </c>
      <c r="O8034" s="11">
        <v>20</v>
      </c>
    </row>
    <row r="8035" spans="2:15" x14ac:dyDescent="0.25">
      <c r="B8035" s="6" t="s">
        <v>3113</v>
      </c>
      <c r="C8035" s="7" t="s">
        <v>3114</v>
      </c>
      <c r="D8035" s="8" t="s">
        <v>5736</v>
      </c>
      <c r="E8035" s="8" t="s">
        <v>6111</v>
      </c>
      <c r="F8035" s="9">
        <f>DATE(2025,4,11)</f>
        <v>45758</v>
      </c>
      <c r="G8035" s="10">
        <f t="shared" si="723"/>
        <v>4</v>
      </c>
      <c r="H8035" s="10">
        <f t="shared" si="724"/>
        <v>2025</v>
      </c>
      <c r="I8035" s="8" t="s">
        <v>4</v>
      </c>
      <c r="J8035" s="7" t="s">
        <v>8544</v>
      </c>
      <c r="K8035" s="8" t="s">
        <v>817</v>
      </c>
      <c r="L8035" s="8" t="s">
        <v>818</v>
      </c>
      <c r="M8035" s="8" t="s">
        <v>556</v>
      </c>
      <c r="N8035" s="10" t="str">
        <f t="shared" si="725"/>
        <v>GAL</v>
      </c>
      <c r="O8035" s="11">
        <v>25</v>
      </c>
    </row>
    <row r="8036" spans="2:15" x14ac:dyDescent="0.25">
      <c r="B8036" s="6" t="s">
        <v>3113</v>
      </c>
      <c r="C8036" s="7" t="s">
        <v>3114</v>
      </c>
      <c r="D8036" s="8" t="s">
        <v>5736</v>
      </c>
      <c r="E8036" s="8" t="s">
        <v>6111</v>
      </c>
      <c r="F8036" s="9">
        <f>DATE(2025,4,11)</f>
        <v>45758</v>
      </c>
      <c r="G8036" s="10">
        <f t="shared" si="723"/>
        <v>4</v>
      </c>
      <c r="H8036" s="10">
        <f t="shared" si="724"/>
        <v>2025</v>
      </c>
      <c r="I8036" s="8" t="s">
        <v>4</v>
      </c>
      <c r="J8036" s="7" t="s">
        <v>8544</v>
      </c>
      <c r="K8036" s="8" t="s">
        <v>1643</v>
      </c>
      <c r="L8036" s="8" t="s">
        <v>1644</v>
      </c>
      <c r="M8036" s="8" t="s">
        <v>46</v>
      </c>
      <c r="N8036" s="10" t="str">
        <f t="shared" si="725"/>
        <v>GAL</v>
      </c>
      <c r="O8036" s="11">
        <v>25</v>
      </c>
    </row>
    <row r="8037" spans="2:15" x14ac:dyDescent="0.25">
      <c r="B8037" s="6" t="s">
        <v>3113</v>
      </c>
      <c r="C8037" s="7" t="s">
        <v>3114</v>
      </c>
      <c r="D8037" s="8" t="s">
        <v>5736</v>
      </c>
      <c r="E8037" s="8" t="s">
        <v>6111</v>
      </c>
      <c r="F8037" s="9">
        <f>DATE(2025,4,11)</f>
        <v>45758</v>
      </c>
      <c r="G8037" s="10">
        <f t="shared" si="723"/>
        <v>4</v>
      </c>
      <c r="H8037" s="10">
        <f t="shared" si="724"/>
        <v>2025</v>
      </c>
      <c r="I8037" s="8" t="s">
        <v>4</v>
      </c>
      <c r="J8037" s="7" t="s">
        <v>8544</v>
      </c>
      <c r="K8037" s="8" t="s">
        <v>158</v>
      </c>
      <c r="L8037" s="8" t="s">
        <v>159</v>
      </c>
      <c r="M8037" s="8" t="s">
        <v>160</v>
      </c>
      <c r="N8037" s="10" t="str">
        <f t="shared" si="725"/>
        <v>GAL</v>
      </c>
      <c r="O8037" s="11">
        <v>55</v>
      </c>
    </row>
    <row r="8038" spans="2:15" x14ac:dyDescent="0.25">
      <c r="B8038" s="6" t="s">
        <v>3113</v>
      </c>
      <c r="C8038" s="7" t="s">
        <v>3114</v>
      </c>
      <c r="D8038" s="8" t="s">
        <v>5736</v>
      </c>
      <c r="E8038" s="8" t="s">
        <v>6111</v>
      </c>
      <c r="F8038" s="9">
        <f>DATE(2025,4,11)</f>
        <v>45758</v>
      </c>
      <c r="G8038" s="10">
        <f t="shared" si="723"/>
        <v>4</v>
      </c>
      <c r="H8038" s="10">
        <f t="shared" si="724"/>
        <v>2025</v>
      </c>
      <c r="I8038" s="8" t="s">
        <v>4</v>
      </c>
      <c r="J8038" s="7" t="s">
        <v>8544</v>
      </c>
      <c r="K8038" s="8" t="s">
        <v>1496</v>
      </c>
      <c r="L8038" s="8" t="s">
        <v>159</v>
      </c>
      <c r="M8038" s="8" t="s">
        <v>160</v>
      </c>
      <c r="N8038" s="10" t="str">
        <f t="shared" si="725"/>
        <v>GAL</v>
      </c>
      <c r="O8038" s="11">
        <v>250</v>
      </c>
    </row>
    <row r="8039" spans="2:15" x14ac:dyDescent="0.25">
      <c r="B8039" s="6" t="s">
        <v>3238</v>
      </c>
      <c r="C8039" s="7" t="s">
        <v>3239</v>
      </c>
      <c r="D8039" s="8" t="s">
        <v>3240</v>
      </c>
      <c r="E8039" s="8" t="s">
        <v>3529</v>
      </c>
      <c r="F8039" s="9">
        <f>DATE(2025,4,1)</f>
        <v>45748</v>
      </c>
      <c r="G8039" s="10">
        <f t="shared" si="723"/>
        <v>4</v>
      </c>
      <c r="H8039" s="10">
        <f t="shared" si="724"/>
        <v>2025</v>
      </c>
      <c r="I8039" s="8" t="s">
        <v>4</v>
      </c>
      <c r="J8039" s="7" t="s">
        <v>8545</v>
      </c>
      <c r="K8039" s="8" t="s">
        <v>3395</v>
      </c>
      <c r="L8039" s="8" t="s">
        <v>3396</v>
      </c>
      <c r="M8039" s="8" t="s">
        <v>844</v>
      </c>
      <c r="N8039" s="10" t="str">
        <f t="shared" si="725"/>
        <v>GAL</v>
      </c>
      <c r="O8039" s="11">
        <v>275</v>
      </c>
    </row>
    <row r="8040" spans="2:15" x14ac:dyDescent="0.25">
      <c r="B8040" s="6" t="s">
        <v>3238</v>
      </c>
      <c r="C8040" s="7" t="s">
        <v>3239</v>
      </c>
      <c r="D8040" s="8" t="s">
        <v>3240</v>
      </c>
      <c r="E8040" s="8" t="s">
        <v>3923</v>
      </c>
      <c r="F8040" s="9">
        <f>DATE(2025,4,3)</f>
        <v>45750</v>
      </c>
      <c r="G8040" s="10">
        <f t="shared" si="723"/>
        <v>4</v>
      </c>
      <c r="H8040" s="10">
        <f t="shared" si="724"/>
        <v>2025</v>
      </c>
      <c r="I8040" s="8" t="s">
        <v>4</v>
      </c>
      <c r="J8040" s="7" t="s">
        <v>8546</v>
      </c>
      <c r="K8040" s="8" t="s">
        <v>3925</v>
      </c>
      <c r="L8040" s="8" t="s">
        <v>4264</v>
      </c>
      <c r="M8040" s="8" t="s">
        <v>119</v>
      </c>
      <c r="N8040" s="10" t="str">
        <f t="shared" si="725"/>
        <v>TON</v>
      </c>
      <c r="O8040" s="11">
        <v>1.26</v>
      </c>
    </row>
    <row r="8041" spans="2:15" x14ac:dyDescent="0.25">
      <c r="B8041" s="6" t="s">
        <v>3238</v>
      </c>
      <c r="C8041" s="7" t="s">
        <v>3239</v>
      </c>
      <c r="D8041" s="8" t="s">
        <v>3240</v>
      </c>
      <c r="E8041" s="8" t="s">
        <v>3499</v>
      </c>
      <c r="F8041" s="9">
        <f>DATE(2025,4,4)</f>
        <v>45751</v>
      </c>
      <c r="G8041" s="10">
        <f t="shared" si="723"/>
        <v>4</v>
      </c>
      <c r="H8041" s="10">
        <f t="shared" si="724"/>
        <v>2025</v>
      </c>
      <c r="I8041" s="8" t="s">
        <v>4</v>
      </c>
      <c r="J8041" s="7" t="s">
        <v>8547</v>
      </c>
      <c r="K8041" s="8" t="s">
        <v>3947</v>
      </c>
      <c r="L8041" s="8" t="s">
        <v>5978</v>
      </c>
      <c r="M8041" s="8" t="s">
        <v>3299</v>
      </c>
      <c r="N8041" s="10" t="str">
        <f t="shared" si="725"/>
        <v>GAL</v>
      </c>
      <c r="O8041" s="11">
        <v>250</v>
      </c>
    </row>
    <row r="8042" spans="2:15" x14ac:dyDescent="0.25">
      <c r="B8042" s="6" t="s">
        <v>3238</v>
      </c>
      <c r="C8042" s="7" t="s">
        <v>3239</v>
      </c>
      <c r="D8042" s="8" t="s">
        <v>3240</v>
      </c>
      <c r="E8042" s="8" t="s">
        <v>3499</v>
      </c>
      <c r="F8042" s="9">
        <f>DATE(2025,4,4)</f>
        <v>45751</v>
      </c>
      <c r="G8042" s="10">
        <f t="shared" si="723"/>
        <v>4</v>
      </c>
      <c r="H8042" s="10">
        <f t="shared" si="724"/>
        <v>2025</v>
      </c>
      <c r="I8042" s="8" t="s">
        <v>4</v>
      </c>
      <c r="J8042" s="7" t="s">
        <v>8547</v>
      </c>
      <c r="K8042" s="8" t="s">
        <v>998</v>
      </c>
      <c r="L8042" s="8" t="s">
        <v>3526</v>
      </c>
      <c r="M8042" s="8" t="s">
        <v>1000</v>
      </c>
      <c r="N8042" s="10" t="str">
        <f t="shared" si="725"/>
        <v>GAL</v>
      </c>
      <c r="O8042" s="11">
        <v>250</v>
      </c>
    </row>
    <row r="8043" spans="2:15" x14ac:dyDescent="0.25">
      <c r="B8043" s="6" t="s">
        <v>3238</v>
      </c>
      <c r="C8043" s="7" t="s">
        <v>3239</v>
      </c>
      <c r="D8043" s="8" t="s">
        <v>3240</v>
      </c>
      <c r="E8043" s="8" t="s">
        <v>3499</v>
      </c>
      <c r="F8043" s="9">
        <f>DATE(2025,4,4)</f>
        <v>45751</v>
      </c>
      <c r="G8043" s="10">
        <f t="shared" si="723"/>
        <v>4</v>
      </c>
      <c r="H8043" s="10">
        <f t="shared" si="724"/>
        <v>2025</v>
      </c>
      <c r="I8043" s="8" t="s">
        <v>4</v>
      </c>
      <c r="J8043" s="7" t="s">
        <v>8547</v>
      </c>
      <c r="K8043" s="8" t="s">
        <v>3390</v>
      </c>
      <c r="L8043" s="8" t="s">
        <v>3250</v>
      </c>
      <c r="M8043" s="8" t="s">
        <v>3251</v>
      </c>
      <c r="N8043" s="10" t="str">
        <f t="shared" si="725"/>
        <v>GAL</v>
      </c>
      <c r="O8043" s="11">
        <v>250</v>
      </c>
    </row>
    <row r="8044" spans="2:15" x14ac:dyDescent="0.25">
      <c r="B8044" s="6" t="s">
        <v>3238</v>
      </c>
      <c r="C8044" s="7" t="s">
        <v>3239</v>
      </c>
      <c r="D8044" s="8" t="s">
        <v>3240</v>
      </c>
      <c r="E8044" s="8" t="s">
        <v>102</v>
      </c>
      <c r="F8044" s="9">
        <f t="shared" ref="F8044:F8049" si="726">DATE(2025,4,7)</f>
        <v>45754</v>
      </c>
      <c r="G8044" s="10">
        <f t="shared" si="723"/>
        <v>4</v>
      </c>
      <c r="H8044" s="10">
        <f t="shared" si="724"/>
        <v>2025</v>
      </c>
      <c r="I8044" s="8" t="s">
        <v>4</v>
      </c>
      <c r="J8044" s="7" t="s">
        <v>8548</v>
      </c>
      <c r="K8044" s="8" t="s">
        <v>3933</v>
      </c>
      <c r="L8044" s="8" t="s">
        <v>3934</v>
      </c>
      <c r="M8044" s="8" t="s">
        <v>556</v>
      </c>
      <c r="N8044" s="10" t="str">
        <f t="shared" si="725"/>
        <v>GAL</v>
      </c>
      <c r="O8044" s="11">
        <v>55</v>
      </c>
    </row>
    <row r="8045" spans="2:15" x14ac:dyDescent="0.25">
      <c r="B8045" s="6" t="s">
        <v>3238</v>
      </c>
      <c r="C8045" s="7" t="s">
        <v>3239</v>
      </c>
      <c r="D8045" s="8" t="s">
        <v>3240</v>
      </c>
      <c r="E8045" s="8" t="s">
        <v>102</v>
      </c>
      <c r="F8045" s="9">
        <f t="shared" si="726"/>
        <v>45754</v>
      </c>
      <c r="G8045" s="10">
        <f t="shared" si="723"/>
        <v>4</v>
      </c>
      <c r="H8045" s="10">
        <f t="shared" si="724"/>
        <v>2025</v>
      </c>
      <c r="I8045" s="8" t="s">
        <v>4</v>
      </c>
      <c r="J8045" s="7" t="s">
        <v>8549</v>
      </c>
      <c r="K8045" s="8" t="s">
        <v>3930</v>
      </c>
      <c r="L8045" s="8" t="s">
        <v>3931</v>
      </c>
      <c r="M8045" s="8" t="s">
        <v>119</v>
      </c>
      <c r="N8045" s="10" t="str">
        <f t="shared" si="725"/>
        <v>TON</v>
      </c>
      <c r="O8045" s="11">
        <v>0.27500000000000002</v>
      </c>
    </row>
    <row r="8046" spans="2:15" x14ac:dyDescent="0.25">
      <c r="B8046" s="6" t="s">
        <v>3238</v>
      </c>
      <c r="C8046" s="7" t="s">
        <v>3239</v>
      </c>
      <c r="D8046" s="8" t="s">
        <v>3240</v>
      </c>
      <c r="E8046" s="8" t="s">
        <v>102</v>
      </c>
      <c r="F8046" s="9">
        <f t="shared" si="726"/>
        <v>45754</v>
      </c>
      <c r="G8046" s="10">
        <f t="shared" si="723"/>
        <v>4</v>
      </c>
      <c r="H8046" s="10">
        <f t="shared" si="724"/>
        <v>2025</v>
      </c>
      <c r="I8046" s="8" t="s">
        <v>4</v>
      </c>
      <c r="J8046" s="7" t="s">
        <v>8550</v>
      </c>
      <c r="K8046" s="8" t="s">
        <v>8551</v>
      </c>
      <c r="L8046" s="8" t="s">
        <v>8552</v>
      </c>
      <c r="M8046" s="8" t="s">
        <v>8553</v>
      </c>
      <c r="N8046" s="10" t="str">
        <f t="shared" si="725"/>
        <v>GAL</v>
      </c>
      <c r="O8046" s="11">
        <v>5</v>
      </c>
    </row>
    <row r="8047" spans="2:15" x14ac:dyDescent="0.25">
      <c r="B8047" s="6" t="s">
        <v>3238</v>
      </c>
      <c r="C8047" s="7" t="s">
        <v>3239</v>
      </c>
      <c r="D8047" s="8" t="s">
        <v>3240</v>
      </c>
      <c r="E8047" s="8" t="s">
        <v>102</v>
      </c>
      <c r="F8047" s="9">
        <f t="shared" si="726"/>
        <v>45754</v>
      </c>
      <c r="G8047" s="10">
        <f t="shared" si="723"/>
        <v>4</v>
      </c>
      <c r="H8047" s="10">
        <f t="shared" si="724"/>
        <v>2025</v>
      </c>
      <c r="I8047" s="8" t="s">
        <v>4</v>
      </c>
      <c r="J8047" s="7" t="s">
        <v>8554</v>
      </c>
      <c r="K8047" s="8" t="s">
        <v>6146</v>
      </c>
      <c r="L8047" s="8" t="s">
        <v>3660</v>
      </c>
      <c r="M8047" s="8" t="s">
        <v>3652</v>
      </c>
      <c r="N8047" s="10" t="str">
        <f t="shared" si="725"/>
        <v>GAL</v>
      </c>
      <c r="O8047" s="11">
        <v>60</v>
      </c>
    </row>
    <row r="8048" spans="2:15" x14ac:dyDescent="0.25">
      <c r="B8048" s="6" t="s">
        <v>3238</v>
      </c>
      <c r="C8048" s="7" t="s">
        <v>3239</v>
      </c>
      <c r="D8048" s="8" t="s">
        <v>3240</v>
      </c>
      <c r="E8048" s="8" t="s">
        <v>102</v>
      </c>
      <c r="F8048" s="9">
        <f t="shared" si="726"/>
        <v>45754</v>
      </c>
      <c r="G8048" s="10">
        <f t="shared" si="723"/>
        <v>4</v>
      </c>
      <c r="H8048" s="10">
        <f t="shared" si="724"/>
        <v>2025</v>
      </c>
      <c r="I8048" s="8" t="s">
        <v>4</v>
      </c>
      <c r="J8048" s="7" t="s">
        <v>8554</v>
      </c>
      <c r="K8048" s="8" t="s">
        <v>3941</v>
      </c>
      <c r="L8048" s="8" t="s">
        <v>3911</v>
      </c>
      <c r="M8048" s="8" t="s">
        <v>2100</v>
      </c>
      <c r="N8048" s="10" t="str">
        <f t="shared" si="725"/>
        <v>GAL</v>
      </c>
      <c r="O8048" s="11">
        <v>60</v>
      </c>
    </row>
    <row r="8049" spans="2:15" x14ac:dyDescent="0.25">
      <c r="B8049" s="6" t="s">
        <v>3238</v>
      </c>
      <c r="C8049" s="7" t="s">
        <v>3239</v>
      </c>
      <c r="D8049" s="8" t="s">
        <v>3240</v>
      </c>
      <c r="E8049" s="8" t="s">
        <v>102</v>
      </c>
      <c r="F8049" s="9">
        <f t="shared" si="726"/>
        <v>45754</v>
      </c>
      <c r="G8049" s="10">
        <f t="shared" si="723"/>
        <v>4</v>
      </c>
      <c r="H8049" s="10">
        <f t="shared" si="724"/>
        <v>2025</v>
      </c>
      <c r="I8049" s="8" t="s">
        <v>4</v>
      </c>
      <c r="J8049" s="7" t="s">
        <v>8554</v>
      </c>
      <c r="K8049" s="8" t="s">
        <v>3914</v>
      </c>
      <c r="L8049" s="8" t="s">
        <v>3915</v>
      </c>
      <c r="M8049" s="8" t="s">
        <v>3916</v>
      </c>
      <c r="N8049" s="10" t="str">
        <f t="shared" si="725"/>
        <v>GAL</v>
      </c>
      <c r="O8049" s="11">
        <v>60</v>
      </c>
    </row>
    <row r="8050" spans="2:15" x14ac:dyDescent="0.25">
      <c r="B8050" s="6" t="s">
        <v>3238</v>
      </c>
      <c r="C8050" s="7" t="s">
        <v>3239</v>
      </c>
      <c r="D8050" s="8" t="s">
        <v>3240</v>
      </c>
      <c r="E8050" s="8" t="s">
        <v>6382</v>
      </c>
      <c r="F8050" s="9">
        <f>DATE(2025,4,9)</f>
        <v>45756</v>
      </c>
      <c r="G8050" s="10">
        <f t="shared" si="723"/>
        <v>4</v>
      </c>
      <c r="H8050" s="10">
        <f t="shared" si="724"/>
        <v>2025</v>
      </c>
      <c r="I8050" s="8" t="s">
        <v>4</v>
      </c>
      <c r="J8050" s="7" t="s">
        <v>8555</v>
      </c>
      <c r="K8050" s="8" t="s">
        <v>3390</v>
      </c>
      <c r="L8050" s="8" t="s">
        <v>3250</v>
      </c>
      <c r="M8050" s="8" t="s">
        <v>3251</v>
      </c>
      <c r="N8050" s="10" t="str">
        <f t="shared" si="725"/>
        <v>GAL</v>
      </c>
      <c r="O8050" s="11">
        <v>250</v>
      </c>
    </row>
    <row r="8051" spans="2:15" x14ac:dyDescent="0.25">
      <c r="B8051" s="6" t="s">
        <v>3238</v>
      </c>
      <c r="C8051" s="7" t="s">
        <v>3239</v>
      </c>
      <c r="D8051" s="8" t="s">
        <v>3240</v>
      </c>
      <c r="E8051" s="8" t="s">
        <v>6382</v>
      </c>
      <c r="F8051" s="9">
        <f>DATE(2025,4,9)</f>
        <v>45756</v>
      </c>
      <c r="G8051" s="10">
        <f t="shared" si="723"/>
        <v>4</v>
      </c>
      <c r="H8051" s="10">
        <f t="shared" si="724"/>
        <v>2025</v>
      </c>
      <c r="I8051" s="8" t="s">
        <v>4</v>
      </c>
      <c r="J8051" s="7" t="s">
        <v>8555</v>
      </c>
      <c r="K8051" s="8" t="s">
        <v>3524</v>
      </c>
      <c r="L8051" s="8" t="s">
        <v>3525</v>
      </c>
      <c r="M8051" s="8" t="s">
        <v>1397</v>
      </c>
      <c r="N8051" s="10" t="str">
        <f t="shared" si="725"/>
        <v>GAL</v>
      </c>
      <c r="O8051" s="11">
        <v>250</v>
      </c>
    </row>
    <row r="8052" spans="2:15" x14ac:dyDescent="0.25">
      <c r="B8052" s="6" t="s">
        <v>3238</v>
      </c>
      <c r="C8052" s="7" t="s">
        <v>3239</v>
      </c>
      <c r="D8052" s="8" t="s">
        <v>3240</v>
      </c>
      <c r="E8052" s="8" t="s">
        <v>8556</v>
      </c>
      <c r="F8052" s="9">
        <f>DATE(2025,4,9)</f>
        <v>45756</v>
      </c>
      <c r="G8052" s="10">
        <f t="shared" si="723"/>
        <v>4</v>
      </c>
      <c r="H8052" s="10">
        <f t="shared" si="724"/>
        <v>2025</v>
      </c>
      <c r="I8052" s="8" t="s">
        <v>4</v>
      </c>
      <c r="J8052" s="7" t="s">
        <v>8557</v>
      </c>
      <c r="K8052" s="8" t="s">
        <v>4284</v>
      </c>
      <c r="L8052" s="8" t="s">
        <v>3915</v>
      </c>
      <c r="M8052" s="8" t="s">
        <v>3916</v>
      </c>
      <c r="N8052" s="10" t="str">
        <f t="shared" si="725"/>
        <v>GAL</v>
      </c>
      <c r="O8052" s="11">
        <v>55</v>
      </c>
    </row>
    <row r="8053" spans="2:15" x14ac:dyDescent="0.25">
      <c r="B8053" s="6" t="s">
        <v>3238</v>
      </c>
      <c r="C8053" s="7" t="s">
        <v>3239</v>
      </c>
      <c r="D8053" s="8" t="s">
        <v>3240</v>
      </c>
      <c r="E8053" s="8" t="s">
        <v>102</v>
      </c>
      <c r="F8053" s="9">
        <f t="shared" ref="F8053:F8058" si="727">DATE(2025,4,11)</f>
        <v>45758</v>
      </c>
      <c r="G8053" s="10">
        <f t="shared" si="723"/>
        <v>4</v>
      </c>
      <c r="H8053" s="10">
        <f t="shared" si="724"/>
        <v>2025</v>
      </c>
      <c r="I8053" s="8" t="s">
        <v>4</v>
      </c>
      <c r="J8053" s="7" t="s">
        <v>8558</v>
      </c>
      <c r="K8053" s="8" t="s">
        <v>6146</v>
      </c>
      <c r="L8053" s="8" t="s">
        <v>3660</v>
      </c>
      <c r="M8053" s="8" t="s">
        <v>3652</v>
      </c>
      <c r="N8053" s="10" t="str">
        <f t="shared" si="725"/>
        <v>GAL</v>
      </c>
      <c r="O8053" s="11">
        <v>60</v>
      </c>
    </row>
    <row r="8054" spans="2:15" x14ac:dyDescent="0.25">
      <c r="B8054" s="6" t="s">
        <v>3238</v>
      </c>
      <c r="C8054" s="7" t="s">
        <v>3239</v>
      </c>
      <c r="D8054" s="8" t="s">
        <v>3240</v>
      </c>
      <c r="E8054" s="8" t="s">
        <v>102</v>
      </c>
      <c r="F8054" s="9">
        <f t="shared" si="727"/>
        <v>45758</v>
      </c>
      <c r="G8054" s="10">
        <f t="shared" si="723"/>
        <v>4</v>
      </c>
      <c r="H8054" s="10">
        <f t="shared" si="724"/>
        <v>2025</v>
      </c>
      <c r="I8054" s="8" t="s">
        <v>4</v>
      </c>
      <c r="J8054" s="7" t="s">
        <v>8558</v>
      </c>
      <c r="K8054" s="8" t="s">
        <v>19</v>
      </c>
      <c r="L8054" s="8" t="s">
        <v>6275</v>
      </c>
      <c r="M8054" s="8" t="s">
        <v>21</v>
      </c>
      <c r="N8054" s="10" t="str">
        <f t="shared" si="725"/>
        <v>GAL</v>
      </c>
      <c r="O8054" s="11">
        <v>60</v>
      </c>
    </row>
    <row r="8055" spans="2:15" x14ac:dyDescent="0.25">
      <c r="B8055" s="6" t="s">
        <v>3238</v>
      </c>
      <c r="C8055" s="7" t="s">
        <v>3239</v>
      </c>
      <c r="D8055" s="8" t="s">
        <v>3240</v>
      </c>
      <c r="E8055" s="8" t="s">
        <v>102</v>
      </c>
      <c r="F8055" s="9">
        <f t="shared" si="727"/>
        <v>45758</v>
      </c>
      <c r="G8055" s="10">
        <f t="shared" si="723"/>
        <v>4</v>
      </c>
      <c r="H8055" s="10">
        <f t="shared" si="724"/>
        <v>2025</v>
      </c>
      <c r="I8055" s="8" t="s">
        <v>4</v>
      </c>
      <c r="J8055" s="7" t="s">
        <v>8558</v>
      </c>
      <c r="K8055" s="8" t="s">
        <v>3914</v>
      </c>
      <c r="L8055" s="8" t="s">
        <v>3915</v>
      </c>
      <c r="M8055" s="8" t="s">
        <v>3916</v>
      </c>
      <c r="N8055" s="10" t="str">
        <f t="shared" si="725"/>
        <v>GAL</v>
      </c>
      <c r="O8055" s="11">
        <v>60</v>
      </c>
    </row>
    <row r="8056" spans="2:15" x14ac:dyDescent="0.25">
      <c r="B8056" s="6" t="s">
        <v>3238</v>
      </c>
      <c r="C8056" s="7" t="s">
        <v>3239</v>
      </c>
      <c r="D8056" s="8" t="s">
        <v>3240</v>
      </c>
      <c r="E8056" s="8" t="s">
        <v>102</v>
      </c>
      <c r="F8056" s="9">
        <f t="shared" si="727"/>
        <v>45758</v>
      </c>
      <c r="G8056" s="10">
        <f t="shared" si="723"/>
        <v>4</v>
      </c>
      <c r="H8056" s="10">
        <f t="shared" si="724"/>
        <v>2025</v>
      </c>
      <c r="I8056" s="8" t="s">
        <v>4</v>
      </c>
      <c r="J8056" s="7" t="s">
        <v>8559</v>
      </c>
      <c r="K8056" s="8" t="s">
        <v>5469</v>
      </c>
      <c r="L8056" s="8" t="s">
        <v>5470</v>
      </c>
      <c r="M8056" s="8" t="s">
        <v>1046</v>
      </c>
      <c r="N8056" s="10" t="str">
        <f t="shared" si="725"/>
        <v>GAL</v>
      </c>
      <c r="O8056" s="11">
        <v>60</v>
      </c>
    </row>
    <row r="8057" spans="2:15" x14ac:dyDescent="0.25">
      <c r="B8057" s="6" t="s">
        <v>3238</v>
      </c>
      <c r="C8057" s="7" t="s">
        <v>3239</v>
      </c>
      <c r="D8057" s="8" t="s">
        <v>3240</v>
      </c>
      <c r="E8057" s="8" t="s">
        <v>102</v>
      </c>
      <c r="F8057" s="9">
        <f t="shared" si="727"/>
        <v>45758</v>
      </c>
      <c r="G8057" s="10">
        <f t="shared" si="723"/>
        <v>4</v>
      </c>
      <c r="H8057" s="10">
        <f t="shared" si="724"/>
        <v>2025</v>
      </c>
      <c r="I8057" s="8" t="s">
        <v>4</v>
      </c>
      <c r="J8057" s="7" t="s">
        <v>8559</v>
      </c>
      <c r="K8057" s="8" t="s">
        <v>3941</v>
      </c>
      <c r="L8057" s="8" t="s">
        <v>3911</v>
      </c>
      <c r="M8057" s="8" t="s">
        <v>2100</v>
      </c>
      <c r="N8057" s="10" t="str">
        <f t="shared" si="725"/>
        <v>GAL</v>
      </c>
      <c r="O8057" s="11">
        <v>60</v>
      </c>
    </row>
    <row r="8058" spans="2:15" x14ac:dyDescent="0.25">
      <c r="B8058" s="6" t="s">
        <v>3238</v>
      </c>
      <c r="C8058" s="7" t="s">
        <v>3239</v>
      </c>
      <c r="D8058" s="8" t="s">
        <v>3240</v>
      </c>
      <c r="E8058" s="8" t="s">
        <v>102</v>
      </c>
      <c r="F8058" s="9">
        <f t="shared" si="727"/>
        <v>45758</v>
      </c>
      <c r="G8058" s="10">
        <f t="shared" si="723"/>
        <v>4</v>
      </c>
      <c r="H8058" s="10">
        <f t="shared" si="724"/>
        <v>2025</v>
      </c>
      <c r="I8058" s="8" t="s">
        <v>4</v>
      </c>
      <c r="J8058" s="7" t="s">
        <v>8559</v>
      </c>
      <c r="K8058" s="8" t="s">
        <v>5968</v>
      </c>
      <c r="L8058" s="8" t="s">
        <v>5969</v>
      </c>
      <c r="M8058" s="8" t="s">
        <v>5970</v>
      </c>
      <c r="N8058" s="10" t="str">
        <f t="shared" si="725"/>
        <v>GAL</v>
      </c>
      <c r="O8058" s="11">
        <v>60</v>
      </c>
    </row>
    <row r="8059" spans="2:15" x14ac:dyDescent="0.25">
      <c r="B8059" s="6" t="s">
        <v>3238</v>
      </c>
      <c r="C8059" s="7" t="s">
        <v>3239</v>
      </c>
      <c r="D8059" s="8" t="s">
        <v>534</v>
      </c>
      <c r="E8059" s="8" t="s">
        <v>535</v>
      </c>
      <c r="F8059" s="9">
        <f t="shared" ref="F8059:F8065" si="728">DATE(2025,4,14)</f>
        <v>45761</v>
      </c>
      <c r="G8059" s="10">
        <f t="shared" si="723"/>
        <v>4</v>
      </c>
      <c r="H8059" s="10">
        <f t="shared" si="724"/>
        <v>2025</v>
      </c>
      <c r="I8059" s="8" t="s">
        <v>4</v>
      </c>
      <c r="J8059" s="7" t="s">
        <v>8560</v>
      </c>
      <c r="K8059" s="8" t="s">
        <v>1188</v>
      </c>
      <c r="L8059" s="8" t="s">
        <v>541</v>
      </c>
      <c r="M8059" s="8" t="s">
        <v>27</v>
      </c>
      <c r="N8059" s="10" t="str">
        <f t="shared" si="725"/>
        <v>GAL</v>
      </c>
      <c r="O8059" s="11">
        <v>250</v>
      </c>
    </row>
    <row r="8060" spans="2:15" x14ac:dyDescent="0.25">
      <c r="B8060" s="6" t="s">
        <v>3238</v>
      </c>
      <c r="C8060" s="7" t="s">
        <v>3239</v>
      </c>
      <c r="D8060" s="8" t="s">
        <v>534</v>
      </c>
      <c r="E8060" s="8" t="s">
        <v>535</v>
      </c>
      <c r="F8060" s="9">
        <f t="shared" si="728"/>
        <v>45761</v>
      </c>
      <c r="G8060" s="10">
        <f t="shared" si="723"/>
        <v>4</v>
      </c>
      <c r="H8060" s="10">
        <f t="shared" si="724"/>
        <v>2025</v>
      </c>
      <c r="I8060" s="8" t="s">
        <v>4</v>
      </c>
      <c r="J8060" s="7" t="s">
        <v>8560</v>
      </c>
      <c r="K8060" s="8" t="s">
        <v>2543</v>
      </c>
      <c r="L8060" s="8" t="s">
        <v>545</v>
      </c>
      <c r="M8060" s="8" t="s">
        <v>67</v>
      </c>
      <c r="N8060" s="10" t="str">
        <f t="shared" si="725"/>
        <v>GAL</v>
      </c>
      <c r="O8060" s="11">
        <v>250</v>
      </c>
    </row>
    <row r="8061" spans="2:15" x14ac:dyDescent="0.25">
      <c r="B8061" s="6" t="s">
        <v>3238</v>
      </c>
      <c r="C8061" s="7" t="s">
        <v>3239</v>
      </c>
      <c r="D8061" s="8" t="s">
        <v>534</v>
      </c>
      <c r="E8061" s="8" t="s">
        <v>535</v>
      </c>
      <c r="F8061" s="9">
        <f t="shared" si="728"/>
        <v>45761</v>
      </c>
      <c r="G8061" s="10">
        <f t="shared" si="723"/>
        <v>4</v>
      </c>
      <c r="H8061" s="10">
        <f t="shared" si="724"/>
        <v>2025</v>
      </c>
      <c r="I8061" s="8" t="s">
        <v>4</v>
      </c>
      <c r="J8061" s="7" t="s">
        <v>8560</v>
      </c>
      <c r="K8061" s="8" t="s">
        <v>2544</v>
      </c>
      <c r="L8061" s="8" t="s">
        <v>547</v>
      </c>
      <c r="M8061" s="8" t="s">
        <v>160</v>
      </c>
      <c r="N8061" s="10" t="str">
        <f t="shared" si="725"/>
        <v>GAL</v>
      </c>
      <c r="O8061" s="11">
        <v>250</v>
      </c>
    </row>
    <row r="8062" spans="2:15" x14ac:dyDescent="0.25">
      <c r="B8062" s="6" t="s">
        <v>3238</v>
      </c>
      <c r="C8062" s="7" t="s">
        <v>3239</v>
      </c>
      <c r="D8062" s="8" t="s">
        <v>534</v>
      </c>
      <c r="E8062" s="8" t="s">
        <v>535</v>
      </c>
      <c r="F8062" s="9">
        <f t="shared" si="728"/>
        <v>45761</v>
      </c>
      <c r="G8062" s="10">
        <f t="shared" si="723"/>
        <v>4</v>
      </c>
      <c r="H8062" s="10">
        <f t="shared" si="724"/>
        <v>2025</v>
      </c>
      <c r="I8062" s="8" t="s">
        <v>4</v>
      </c>
      <c r="J8062" s="7" t="s">
        <v>8560</v>
      </c>
      <c r="K8062" s="8" t="s">
        <v>554</v>
      </c>
      <c r="L8062" s="8" t="s">
        <v>555</v>
      </c>
      <c r="M8062" s="8" t="s">
        <v>556</v>
      </c>
      <c r="N8062" s="10" t="str">
        <f t="shared" si="725"/>
        <v>GAL</v>
      </c>
      <c r="O8062" s="11">
        <v>250</v>
      </c>
    </row>
    <row r="8063" spans="2:15" x14ac:dyDescent="0.25">
      <c r="B8063" s="6" t="s">
        <v>3238</v>
      </c>
      <c r="C8063" s="7" t="s">
        <v>3239</v>
      </c>
      <c r="D8063" s="8" t="s">
        <v>534</v>
      </c>
      <c r="E8063" s="8" t="s">
        <v>535</v>
      </c>
      <c r="F8063" s="9">
        <f t="shared" si="728"/>
        <v>45761</v>
      </c>
      <c r="G8063" s="10">
        <f t="shared" si="723"/>
        <v>4</v>
      </c>
      <c r="H8063" s="10">
        <f t="shared" si="724"/>
        <v>2025</v>
      </c>
      <c r="I8063" s="8" t="s">
        <v>4</v>
      </c>
      <c r="J8063" s="7" t="s">
        <v>8560</v>
      </c>
      <c r="K8063" s="8" t="s">
        <v>2548</v>
      </c>
      <c r="L8063" s="8" t="s">
        <v>5951</v>
      </c>
      <c r="M8063" s="8" t="s">
        <v>24</v>
      </c>
      <c r="N8063" s="10" t="str">
        <f t="shared" si="725"/>
        <v>GAL</v>
      </c>
      <c r="O8063" s="11">
        <v>250</v>
      </c>
    </row>
    <row r="8064" spans="2:15" x14ac:dyDescent="0.25">
      <c r="B8064" s="6" t="s">
        <v>3238</v>
      </c>
      <c r="C8064" s="7" t="s">
        <v>3239</v>
      </c>
      <c r="D8064" s="8" t="s">
        <v>534</v>
      </c>
      <c r="E8064" s="8" t="s">
        <v>535</v>
      </c>
      <c r="F8064" s="9">
        <f t="shared" si="728"/>
        <v>45761</v>
      </c>
      <c r="G8064" s="10">
        <f t="shared" si="723"/>
        <v>4</v>
      </c>
      <c r="H8064" s="10">
        <f t="shared" si="724"/>
        <v>2025</v>
      </c>
      <c r="I8064" s="8" t="s">
        <v>4</v>
      </c>
      <c r="J8064" s="7" t="s">
        <v>8560</v>
      </c>
      <c r="K8064" s="8" t="s">
        <v>1779</v>
      </c>
      <c r="L8064" s="8" t="s">
        <v>2545</v>
      </c>
      <c r="M8064" s="8" t="s">
        <v>67</v>
      </c>
      <c r="N8064" s="10" t="str">
        <f t="shared" si="725"/>
        <v>GAL</v>
      </c>
      <c r="O8064" s="11">
        <v>55</v>
      </c>
    </row>
    <row r="8065" spans="2:15" x14ac:dyDescent="0.25">
      <c r="B8065" s="6" t="s">
        <v>3238</v>
      </c>
      <c r="C8065" s="7" t="s">
        <v>3239</v>
      </c>
      <c r="D8065" s="8" t="s">
        <v>534</v>
      </c>
      <c r="E8065" s="8" t="s">
        <v>535</v>
      </c>
      <c r="F8065" s="9">
        <f t="shared" si="728"/>
        <v>45761</v>
      </c>
      <c r="G8065" s="10">
        <f t="shared" si="723"/>
        <v>4</v>
      </c>
      <c r="H8065" s="10">
        <f t="shared" si="724"/>
        <v>2025</v>
      </c>
      <c r="I8065" s="8" t="s">
        <v>4</v>
      </c>
      <c r="J8065" s="7" t="s">
        <v>8560</v>
      </c>
      <c r="K8065" s="8" t="s">
        <v>548</v>
      </c>
      <c r="L8065" s="8" t="s">
        <v>518</v>
      </c>
      <c r="M8065" s="8" t="s">
        <v>85</v>
      </c>
      <c r="N8065" s="10" t="str">
        <f t="shared" si="725"/>
        <v>GAL</v>
      </c>
      <c r="O8065" s="11">
        <v>250</v>
      </c>
    </row>
    <row r="8066" spans="2:15" x14ac:dyDescent="0.25">
      <c r="B8066" s="6" t="s">
        <v>3238</v>
      </c>
      <c r="C8066" s="7" t="s">
        <v>3239</v>
      </c>
      <c r="D8066" s="8" t="s">
        <v>6120</v>
      </c>
      <c r="E8066" s="8" t="s">
        <v>6712</v>
      </c>
      <c r="F8066" s="9">
        <f>DATE(2025,4,17)</f>
        <v>45764</v>
      </c>
      <c r="G8066" s="10">
        <f t="shared" si="723"/>
        <v>4</v>
      </c>
      <c r="H8066" s="10">
        <f t="shared" si="724"/>
        <v>2025</v>
      </c>
      <c r="I8066" s="8" t="s">
        <v>4</v>
      </c>
      <c r="J8066" s="7" t="s">
        <v>8561</v>
      </c>
      <c r="K8066" s="8" t="s">
        <v>6489</v>
      </c>
      <c r="L8066" s="8" t="s">
        <v>6490</v>
      </c>
      <c r="M8066" s="8" t="s">
        <v>2528</v>
      </c>
      <c r="N8066" s="10" t="str">
        <f t="shared" si="725"/>
        <v>GAL</v>
      </c>
      <c r="O8066" s="11">
        <v>60</v>
      </c>
    </row>
    <row r="8067" spans="2:15" x14ac:dyDescent="0.25">
      <c r="B8067" s="6" t="s">
        <v>3238</v>
      </c>
      <c r="C8067" s="7" t="s">
        <v>3239</v>
      </c>
      <c r="D8067" s="8" t="s">
        <v>6120</v>
      </c>
      <c r="E8067" s="8" t="s">
        <v>6712</v>
      </c>
      <c r="F8067" s="9">
        <f>DATE(2025,4,17)</f>
        <v>45764</v>
      </c>
      <c r="G8067" s="10">
        <f t="shared" si="723"/>
        <v>4</v>
      </c>
      <c r="H8067" s="10">
        <f t="shared" si="724"/>
        <v>2025</v>
      </c>
      <c r="I8067" s="8" t="s">
        <v>4</v>
      </c>
      <c r="J8067" s="7" t="s">
        <v>8561</v>
      </c>
      <c r="K8067" s="8" t="s">
        <v>6714</v>
      </c>
      <c r="L8067" s="8" t="s">
        <v>6715</v>
      </c>
      <c r="M8067" s="8" t="s">
        <v>3251</v>
      </c>
      <c r="N8067" s="10" t="str">
        <f t="shared" si="725"/>
        <v>GAL</v>
      </c>
      <c r="O8067" s="11">
        <v>60</v>
      </c>
    </row>
    <row r="8068" spans="2:15" x14ac:dyDescent="0.25">
      <c r="B8068" s="6" t="s">
        <v>3238</v>
      </c>
      <c r="C8068" s="7" t="s">
        <v>3239</v>
      </c>
      <c r="D8068" s="8" t="s">
        <v>3240</v>
      </c>
      <c r="E8068" s="8" t="s">
        <v>4279</v>
      </c>
      <c r="F8068" s="9">
        <f>DATE(2025,4,21)</f>
        <v>45768</v>
      </c>
      <c r="G8068" s="10">
        <f t="shared" ref="G8068:G8131" si="729">+MONTH(F8068)</f>
        <v>4</v>
      </c>
      <c r="H8068" s="10">
        <f t="shared" ref="H8068:H8084" si="730">+YEAR(F8068)</f>
        <v>2025</v>
      </c>
      <c r="I8068" s="8" t="s">
        <v>4</v>
      </c>
      <c r="J8068" s="7" t="s">
        <v>8562</v>
      </c>
      <c r="K8068" s="8" t="s">
        <v>3395</v>
      </c>
      <c r="L8068" s="8" t="s">
        <v>3396</v>
      </c>
      <c r="M8068" s="8" t="s">
        <v>844</v>
      </c>
      <c r="N8068" s="10" t="str">
        <f t="shared" si="725"/>
        <v>GAL</v>
      </c>
      <c r="O8068" s="11">
        <v>275</v>
      </c>
    </row>
    <row r="8069" spans="2:15" x14ac:dyDescent="0.25">
      <c r="B8069" s="6" t="s">
        <v>3238</v>
      </c>
      <c r="C8069" s="7" t="s">
        <v>3239</v>
      </c>
      <c r="D8069" s="8" t="s">
        <v>3240</v>
      </c>
      <c r="E8069" s="8" t="s">
        <v>102</v>
      </c>
      <c r="F8069" s="9">
        <f>DATE(2025,4,22)</f>
        <v>45769</v>
      </c>
      <c r="G8069" s="10">
        <f t="shared" si="729"/>
        <v>4</v>
      </c>
      <c r="H8069" s="10">
        <f t="shared" si="730"/>
        <v>2025</v>
      </c>
      <c r="I8069" s="8" t="s">
        <v>4</v>
      </c>
      <c r="J8069" s="7" t="s">
        <v>8563</v>
      </c>
      <c r="K8069" s="8" t="s">
        <v>6079</v>
      </c>
      <c r="L8069" s="8" t="s">
        <v>6080</v>
      </c>
      <c r="M8069" s="8" t="s">
        <v>6081</v>
      </c>
      <c r="N8069" s="10" t="str">
        <f t="shared" ref="N8069:N8084" si="731">+LEFT(M8069,3)</f>
        <v>GAL</v>
      </c>
      <c r="O8069" s="11">
        <v>5</v>
      </c>
    </row>
    <row r="8070" spans="2:15" x14ac:dyDescent="0.25">
      <c r="B8070" s="6" t="s">
        <v>3238</v>
      </c>
      <c r="C8070" s="7" t="s">
        <v>3239</v>
      </c>
      <c r="D8070" s="8" t="s">
        <v>3240</v>
      </c>
      <c r="E8070" s="8" t="s">
        <v>8564</v>
      </c>
      <c r="F8070" s="9">
        <f>DATE(2025,4,24)</f>
        <v>45771</v>
      </c>
      <c r="G8070" s="10">
        <f t="shared" si="729"/>
        <v>4</v>
      </c>
      <c r="H8070" s="10">
        <f t="shared" si="730"/>
        <v>2025</v>
      </c>
      <c r="I8070" s="8" t="s">
        <v>4</v>
      </c>
      <c r="J8070" s="7" t="s">
        <v>8565</v>
      </c>
      <c r="K8070" s="8" t="s">
        <v>5976</v>
      </c>
      <c r="L8070" s="8" t="s">
        <v>3915</v>
      </c>
      <c r="M8070" s="8" t="s">
        <v>3916</v>
      </c>
      <c r="N8070" s="10" t="str">
        <f t="shared" si="731"/>
        <v>GAL</v>
      </c>
      <c r="O8070" s="11">
        <v>275</v>
      </c>
    </row>
    <row r="8071" spans="2:15" x14ac:dyDescent="0.25">
      <c r="B8071" s="6" t="s">
        <v>3238</v>
      </c>
      <c r="C8071" s="7" t="s">
        <v>3239</v>
      </c>
      <c r="D8071" s="8" t="s">
        <v>3240</v>
      </c>
      <c r="E8071" s="8" t="s">
        <v>102</v>
      </c>
      <c r="F8071" s="9">
        <f t="shared" ref="F8071:F8076" si="732">DATE(2025,4,25)</f>
        <v>45772</v>
      </c>
      <c r="G8071" s="10">
        <f t="shared" si="729"/>
        <v>4</v>
      </c>
      <c r="H8071" s="10">
        <f t="shared" si="730"/>
        <v>2025</v>
      </c>
      <c r="I8071" s="8" t="s">
        <v>4</v>
      </c>
      <c r="J8071" s="7" t="s">
        <v>8566</v>
      </c>
      <c r="K8071" s="8" t="s">
        <v>5469</v>
      </c>
      <c r="L8071" s="8" t="s">
        <v>5470</v>
      </c>
      <c r="M8071" s="8" t="s">
        <v>1046</v>
      </c>
      <c r="N8071" s="10" t="str">
        <f t="shared" si="731"/>
        <v>GAL</v>
      </c>
      <c r="O8071" s="11">
        <v>60</v>
      </c>
    </row>
    <row r="8072" spans="2:15" x14ac:dyDescent="0.25">
      <c r="B8072" s="6" t="s">
        <v>3238</v>
      </c>
      <c r="C8072" s="7" t="s">
        <v>3239</v>
      </c>
      <c r="D8072" s="8" t="s">
        <v>3240</v>
      </c>
      <c r="E8072" s="8" t="s">
        <v>102</v>
      </c>
      <c r="F8072" s="9">
        <f t="shared" si="732"/>
        <v>45772</v>
      </c>
      <c r="G8072" s="10">
        <f t="shared" si="729"/>
        <v>4</v>
      </c>
      <c r="H8072" s="10">
        <f t="shared" si="730"/>
        <v>2025</v>
      </c>
      <c r="I8072" s="8" t="s">
        <v>4</v>
      </c>
      <c r="J8072" s="7" t="s">
        <v>8566</v>
      </c>
      <c r="K8072" s="8" t="s">
        <v>5971</v>
      </c>
      <c r="L8072" s="8" t="s">
        <v>3515</v>
      </c>
      <c r="M8072" s="8" t="s">
        <v>3516</v>
      </c>
      <c r="N8072" s="10" t="str">
        <f t="shared" si="731"/>
        <v>GAL</v>
      </c>
      <c r="O8072" s="11">
        <v>60</v>
      </c>
    </row>
    <row r="8073" spans="2:15" x14ac:dyDescent="0.25">
      <c r="B8073" s="6" t="s">
        <v>3238</v>
      </c>
      <c r="C8073" s="7" t="s">
        <v>3239</v>
      </c>
      <c r="D8073" s="8" t="s">
        <v>3240</v>
      </c>
      <c r="E8073" s="8" t="s">
        <v>102</v>
      </c>
      <c r="F8073" s="9">
        <f t="shared" si="732"/>
        <v>45772</v>
      </c>
      <c r="G8073" s="10">
        <f t="shared" si="729"/>
        <v>4</v>
      </c>
      <c r="H8073" s="10">
        <f t="shared" si="730"/>
        <v>2025</v>
      </c>
      <c r="I8073" s="8" t="s">
        <v>4</v>
      </c>
      <c r="J8073" s="7" t="s">
        <v>8566</v>
      </c>
      <c r="K8073" s="8" t="s">
        <v>3941</v>
      </c>
      <c r="L8073" s="8" t="s">
        <v>3911</v>
      </c>
      <c r="M8073" s="8" t="s">
        <v>2100</v>
      </c>
      <c r="N8073" s="10" t="str">
        <f t="shared" si="731"/>
        <v>GAL</v>
      </c>
      <c r="O8073" s="11">
        <v>60</v>
      </c>
    </row>
    <row r="8074" spans="2:15" x14ac:dyDescent="0.25">
      <c r="B8074" s="6" t="s">
        <v>3238</v>
      </c>
      <c r="C8074" s="7" t="s">
        <v>3239</v>
      </c>
      <c r="D8074" s="8" t="s">
        <v>3240</v>
      </c>
      <c r="E8074" s="8" t="s">
        <v>102</v>
      </c>
      <c r="F8074" s="9">
        <f t="shared" si="732"/>
        <v>45772</v>
      </c>
      <c r="G8074" s="10">
        <f t="shared" si="729"/>
        <v>4</v>
      </c>
      <c r="H8074" s="10">
        <f t="shared" si="730"/>
        <v>2025</v>
      </c>
      <c r="I8074" s="8" t="s">
        <v>4</v>
      </c>
      <c r="J8074" s="7" t="s">
        <v>8567</v>
      </c>
      <c r="K8074" s="8" t="s">
        <v>6708</v>
      </c>
      <c r="L8074" s="8" t="s">
        <v>5978</v>
      </c>
      <c r="M8074" s="8" t="s">
        <v>3299</v>
      </c>
      <c r="N8074" s="10" t="str">
        <f t="shared" si="731"/>
        <v>GAL</v>
      </c>
      <c r="O8074" s="11">
        <v>30</v>
      </c>
    </row>
    <row r="8075" spans="2:15" x14ac:dyDescent="0.25">
      <c r="B8075" s="6" t="s">
        <v>3238</v>
      </c>
      <c r="C8075" s="7" t="s">
        <v>3239</v>
      </c>
      <c r="D8075" s="8" t="s">
        <v>3240</v>
      </c>
      <c r="E8075" s="8" t="s">
        <v>102</v>
      </c>
      <c r="F8075" s="9">
        <f t="shared" si="732"/>
        <v>45772</v>
      </c>
      <c r="G8075" s="10">
        <f t="shared" si="729"/>
        <v>4</v>
      </c>
      <c r="H8075" s="10">
        <f t="shared" si="730"/>
        <v>2025</v>
      </c>
      <c r="I8075" s="8" t="s">
        <v>4</v>
      </c>
      <c r="J8075" s="7" t="s">
        <v>8568</v>
      </c>
      <c r="K8075" s="8" t="s">
        <v>3390</v>
      </c>
      <c r="L8075" s="8" t="s">
        <v>3250</v>
      </c>
      <c r="M8075" s="8" t="s">
        <v>3251</v>
      </c>
      <c r="N8075" s="10" t="str">
        <f t="shared" si="731"/>
        <v>GAL</v>
      </c>
      <c r="O8075" s="11">
        <v>1300</v>
      </c>
    </row>
    <row r="8076" spans="2:15" x14ac:dyDescent="0.25">
      <c r="B8076" s="6" t="s">
        <v>3238</v>
      </c>
      <c r="C8076" s="7" t="s">
        <v>3239</v>
      </c>
      <c r="D8076" s="8" t="s">
        <v>3240</v>
      </c>
      <c r="E8076" s="8" t="s">
        <v>102</v>
      </c>
      <c r="F8076" s="9">
        <f t="shared" si="732"/>
        <v>45772</v>
      </c>
      <c r="G8076" s="10">
        <f t="shared" si="729"/>
        <v>4</v>
      </c>
      <c r="H8076" s="10">
        <f t="shared" si="730"/>
        <v>2025</v>
      </c>
      <c r="I8076" s="8" t="s">
        <v>4</v>
      </c>
      <c r="J8076" s="7" t="s">
        <v>8568</v>
      </c>
      <c r="K8076" s="8" t="s">
        <v>5976</v>
      </c>
      <c r="L8076" s="8" t="s">
        <v>3915</v>
      </c>
      <c r="M8076" s="8" t="s">
        <v>3916</v>
      </c>
      <c r="N8076" s="10" t="str">
        <f t="shared" si="731"/>
        <v>GAL</v>
      </c>
      <c r="O8076" s="11">
        <v>1750</v>
      </c>
    </row>
    <row r="8077" spans="2:15" x14ac:dyDescent="0.25">
      <c r="B8077" s="6" t="s">
        <v>3238</v>
      </c>
      <c r="C8077" s="7" t="s">
        <v>3239</v>
      </c>
      <c r="D8077" s="8" t="s">
        <v>3240</v>
      </c>
      <c r="E8077" s="8" t="s">
        <v>3908</v>
      </c>
      <c r="F8077" s="9">
        <f t="shared" ref="F8077:F8083" si="733">DATE(2025,4,29)</f>
        <v>45776</v>
      </c>
      <c r="G8077" s="10">
        <f t="shared" si="729"/>
        <v>4</v>
      </c>
      <c r="H8077" s="10">
        <f t="shared" si="730"/>
        <v>2025</v>
      </c>
      <c r="I8077" s="8" t="s">
        <v>4</v>
      </c>
      <c r="J8077" s="7" t="s">
        <v>8569</v>
      </c>
      <c r="K8077" s="8" t="s">
        <v>5469</v>
      </c>
      <c r="L8077" s="8" t="s">
        <v>5470</v>
      </c>
      <c r="M8077" s="8" t="s">
        <v>1046</v>
      </c>
      <c r="N8077" s="10" t="str">
        <f t="shared" si="731"/>
        <v>GAL</v>
      </c>
      <c r="O8077" s="11">
        <v>10</v>
      </c>
    </row>
    <row r="8078" spans="2:15" x14ac:dyDescent="0.25">
      <c r="B8078" s="6" t="s">
        <v>3238</v>
      </c>
      <c r="C8078" s="7" t="s">
        <v>3239</v>
      </c>
      <c r="D8078" s="8" t="s">
        <v>3240</v>
      </c>
      <c r="E8078" s="8" t="s">
        <v>3908</v>
      </c>
      <c r="F8078" s="9">
        <f t="shared" si="733"/>
        <v>45776</v>
      </c>
      <c r="G8078" s="10">
        <f t="shared" si="729"/>
        <v>4</v>
      </c>
      <c r="H8078" s="10">
        <f t="shared" si="730"/>
        <v>2025</v>
      </c>
      <c r="I8078" s="8" t="s">
        <v>4</v>
      </c>
      <c r="J8078" s="7" t="s">
        <v>8569</v>
      </c>
      <c r="K8078" s="8" t="s">
        <v>998</v>
      </c>
      <c r="L8078" s="8" t="s">
        <v>3526</v>
      </c>
      <c r="M8078" s="8" t="s">
        <v>1000</v>
      </c>
      <c r="N8078" s="10" t="str">
        <f t="shared" si="731"/>
        <v>GAL</v>
      </c>
      <c r="O8078" s="11">
        <v>250</v>
      </c>
    </row>
    <row r="8079" spans="2:15" x14ac:dyDescent="0.25">
      <c r="B8079" s="6" t="s">
        <v>3238</v>
      </c>
      <c r="C8079" s="7" t="s">
        <v>3239</v>
      </c>
      <c r="D8079" s="8" t="s">
        <v>3240</v>
      </c>
      <c r="E8079" s="8" t="s">
        <v>3908</v>
      </c>
      <c r="F8079" s="9">
        <f t="shared" si="733"/>
        <v>45776</v>
      </c>
      <c r="G8079" s="10">
        <f t="shared" si="729"/>
        <v>4</v>
      </c>
      <c r="H8079" s="10">
        <f t="shared" si="730"/>
        <v>2025</v>
      </c>
      <c r="I8079" s="8" t="s">
        <v>4</v>
      </c>
      <c r="J8079" s="7" t="s">
        <v>8569</v>
      </c>
      <c r="K8079" s="8" t="s">
        <v>3399</v>
      </c>
      <c r="L8079" s="8" t="s">
        <v>3400</v>
      </c>
      <c r="M8079" s="8" t="s">
        <v>3401</v>
      </c>
      <c r="N8079" s="10" t="str">
        <f t="shared" si="731"/>
        <v>GAL</v>
      </c>
      <c r="O8079" s="11">
        <v>250</v>
      </c>
    </row>
    <row r="8080" spans="2:15" x14ac:dyDescent="0.25">
      <c r="B8080" s="6" t="s">
        <v>3238</v>
      </c>
      <c r="C8080" s="7" t="s">
        <v>3239</v>
      </c>
      <c r="D8080" s="8" t="s">
        <v>3240</v>
      </c>
      <c r="E8080" s="8" t="s">
        <v>3908</v>
      </c>
      <c r="F8080" s="9">
        <f t="shared" si="733"/>
        <v>45776</v>
      </c>
      <c r="G8080" s="10">
        <f t="shared" si="729"/>
        <v>4</v>
      </c>
      <c r="H8080" s="10">
        <f t="shared" si="730"/>
        <v>2025</v>
      </c>
      <c r="I8080" s="8" t="s">
        <v>4</v>
      </c>
      <c r="J8080" s="7" t="s">
        <v>8569</v>
      </c>
      <c r="K8080" s="8" t="s">
        <v>3381</v>
      </c>
      <c r="L8080" s="8" t="s">
        <v>3382</v>
      </c>
      <c r="M8080" s="8" t="s">
        <v>3383</v>
      </c>
      <c r="N8080" s="10" t="str">
        <f t="shared" si="731"/>
        <v>GAL</v>
      </c>
      <c r="O8080" s="11">
        <v>250</v>
      </c>
    </row>
    <row r="8081" spans="2:15" x14ac:dyDescent="0.25">
      <c r="B8081" s="6" t="s">
        <v>3238</v>
      </c>
      <c r="C8081" s="7" t="s">
        <v>3239</v>
      </c>
      <c r="D8081" s="8" t="s">
        <v>3240</v>
      </c>
      <c r="E8081" s="8" t="s">
        <v>3379</v>
      </c>
      <c r="F8081" s="9">
        <f t="shared" si="733"/>
        <v>45776</v>
      </c>
      <c r="G8081" s="10">
        <f t="shared" si="729"/>
        <v>4</v>
      </c>
      <c r="H8081" s="10">
        <f t="shared" si="730"/>
        <v>2025</v>
      </c>
      <c r="I8081" s="8" t="s">
        <v>4</v>
      </c>
      <c r="J8081" s="7" t="s">
        <v>8570</v>
      </c>
      <c r="K8081" s="8" t="s">
        <v>3395</v>
      </c>
      <c r="L8081" s="8" t="s">
        <v>3396</v>
      </c>
      <c r="M8081" s="8" t="s">
        <v>844</v>
      </c>
      <c r="N8081" s="10" t="str">
        <f t="shared" si="731"/>
        <v>GAL</v>
      </c>
      <c r="O8081" s="11">
        <v>250</v>
      </c>
    </row>
    <row r="8082" spans="2:15" x14ac:dyDescent="0.25">
      <c r="B8082" s="6" t="s">
        <v>3238</v>
      </c>
      <c r="C8082" s="7" t="s">
        <v>3239</v>
      </c>
      <c r="D8082" s="8" t="s">
        <v>3240</v>
      </c>
      <c r="E8082" s="8" t="s">
        <v>3379</v>
      </c>
      <c r="F8082" s="9">
        <f t="shared" si="733"/>
        <v>45776</v>
      </c>
      <c r="G8082" s="10">
        <f t="shared" si="729"/>
        <v>4</v>
      </c>
      <c r="H8082" s="10">
        <f t="shared" si="730"/>
        <v>2025</v>
      </c>
      <c r="I8082" s="8" t="s">
        <v>4</v>
      </c>
      <c r="J8082" s="7" t="s">
        <v>8570</v>
      </c>
      <c r="K8082" s="8" t="s">
        <v>3381</v>
      </c>
      <c r="L8082" s="8" t="s">
        <v>3382</v>
      </c>
      <c r="M8082" s="8" t="s">
        <v>3383</v>
      </c>
      <c r="N8082" s="10" t="str">
        <f t="shared" si="731"/>
        <v>GAL</v>
      </c>
      <c r="O8082" s="11">
        <v>250</v>
      </c>
    </row>
    <row r="8083" spans="2:15" x14ac:dyDescent="0.25">
      <c r="B8083" s="6" t="s">
        <v>3238</v>
      </c>
      <c r="C8083" s="7" t="s">
        <v>3239</v>
      </c>
      <c r="D8083" s="8" t="s">
        <v>3240</v>
      </c>
      <c r="E8083" s="8" t="s">
        <v>102</v>
      </c>
      <c r="F8083" s="9">
        <f t="shared" si="733"/>
        <v>45776</v>
      </c>
      <c r="G8083" s="10">
        <f t="shared" si="729"/>
        <v>4</v>
      </c>
      <c r="H8083" s="10">
        <f t="shared" si="730"/>
        <v>2025</v>
      </c>
      <c r="I8083" s="8" t="s">
        <v>4</v>
      </c>
      <c r="J8083" s="7" t="s">
        <v>8571</v>
      </c>
      <c r="K8083" s="8" t="s">
        <v>6516</v>
      </c>
      <c r="L8083" s="8" t="s">
        <v>3396</v>
      </c>
      <c r="M8083" s="8" t="s">
        <v>844</v>
      </c>
      <c r="N8083" s="10" t="str">
        <f t="shared" si="731"/>
        <v>GAL</v>
      </c>
      <c r="O8083" s="11">
        <v>400</v>
      </c>
    </row>
    <row r="8084" spans="2:15" x14ac:dyDescent="0.25">
      <c r="B8084" s="6" t="s">
        <v>3238</v>
      </c>
      <c r="C8084" s="7" t="s">
        <v>3239</v>
      </c>
      <c r="D8084" s="8" t="s">
        <v>3240</v>
      </c>
      <c r="E8084" s="8" t="s">
        <v>102</v>
      </c>
      <c r="F8084" s="9">
        <f>DATE(2025,4,30)</f>
        <v>45777</v>
      </c>
      <c r="G8084" s="10">
        <f t="shared" si="729"/>
        <v>4</v>
      </c>
      <c r="H8084" s="10">
        <f t="shared" si="730"/>
        <v>2025</v>
      </c>
      <c r="I8084" s="8" t="s">
        <v>4</v>
      </c>
      <c r="J8084" s="7" t="s">
        <v>8572</v>
      </c>
      <c r="K8084" s="8" t="s">
        <v>2530</v>
      </c>
      <c r="L8084" s="8" t="s">
        <v>3503</v>
      </c>
      <c r="M8084" s="8" t="s">
        <v>2532</v>
      </c>
      <c r="N8084" s="10" t="str">
        <f t="shared" si="731"/>
        <v>GAL</v>
      </c>
      <c r="O8084" s="11">
        <v>90</v>
      </c>
    </row>
    <row r="8085" spans="2:15" x14ac:dyDescent="0.25">
      <c r="B8085" s="6" t="s">
        <v>3238</v>
      </c>
      <c r="C8085" s="7" t="s">
        <v>3239</v>
      </c>
      <c r="D8085" s="8" t="s">
        <v>3240</v>
      </c>
      <c r="E8085" s="8" t="s">
        <v>102</v>
      </c>
      <c r="F8085" s="9">
        <f>DATE(2025,4,30)</f>
        <v>45777</v>
      </c>
      <c r="G8085" s="10">
        <f>+MONTH(F8085)</f>
        <v>4</v>
      </c>
      <c r="H8085" s="10">
        <f>+YEAR(F8085)</f>
        <v>2025</v>
      </c>
      <c r="I8085" s="8" t="s">
        <v>4</v>
      </c>
      <c r="J8085" s="7" t="s">
        <v>8572</v>
      </c>
      <c r="K8085" s="8" t="s">
        <v>5968</v>
      </c>
      <c r="L8085" s="8" t="s">
        <v>5969</v>
      </c>
      <c r="M8085" s="8" t="s">
        <v>5970</v>
      </c>
      <c r="N8085" s="10" t="str">
        <f>+LEFT(M8085,3)</f>
        <v>GAL</v>
      </c>
      <c r="O8085" s="11">
        <v>90</v>
      </c>
    </row>
    <row r="8086" spans="2:15" x14ac:dyDescent="0.25">
      <c r="B8086" s="16" t="s">
        <v>645</v>
      </c>
      <c r="C8086" s="17" t="s">
        <v>533</v>
      </c>
      <c r="D8086" s="17" t="s">
        <v>557</v>
      </c>
      <c r="E8086" s="17" t="s">
        <v>2160</v>
      </c>
      <c r="F8086" s="18">
        <f>DATE(2025,4,17)</f>
        <v>45764</v>
      </c>
      <c r="G8086" s="10">
        <f t="shared" si="729"/>
        <v>4</v>
      </c>
      <c r="H8086" s="10">
        <f t="shared" ref="H8086:H8149" si="734">+YEAR(F8086)</f>
        <v>2025</v>
      </c>
      <c r="I8086" s="22" t="s">
        <v>4</v>
      </c>
      <c r="J8086" s="21" t="s">
        <v>8573</v>
      </c>
      <c r="K8086" s="22" t="s">
        <v>2516</v>
      </c>
      <c r="L8086" s="22" t="s">
        <v>2163</v>
      </c>
      <c r="M8086" s="22" t="s">
        <v>106</v>
      </c>
      <c r="N8086" s="10" t="str">
        <f>+LEFT(M8086,3)</f>
        <v>LBS</v>
      </c>
      <c r="O8086" s="24">
        <v>2500</v>
      </c>
    </row>
    <row r="8087" spans="2:15" x14ac:dyDescent="0.25">
      <c r="B8087" s="6" t="s">
        <v>0</v>
      </c>
      <c r="C8087" s="7" t="s">
        <v>1</v>
      </c>
      <c r="D8087" s="8" t="s">
        <v>2</v>
      </c>
      <c r="E8087" s="8" t="s">
        <v>1790</v>
      </c>
      <c r="F8087" s="9">
        <f>DATE(2025,5,2)</f>
        <v>45779</v>
      </c>
      <c r="G8087" s="10">
        <f t="shared" si="729"/>
        <v>5</v>
      </c>
      <c r="H8087" s="10">
        <f t="shared" si="734"/>
        <v>2025</v>
      </c>
      <c r="I8087" s="8" t="s">
        <v>4</v>
      </c>
      <c r="J8087" s="7" t="s">
        <v>8574</v>
      </c>
      <c r="K8087" s="8" t="s">
        <v>19</v>
      </c>
      <c r="L8087" s="8" t="s">
        <v>6006</v>
      </c>
      <c r="M8087" s="8" t="s">
        <v>21</v>
      </c>
      <c r="N8087" s="10" t="str">
        <f t="shared" ref="N8087:N8150" si="735">+LEFT(M8087,3)</f>
        <v>GAL</v>
      </c>
      <c r="O8087" s="11">
        <v>40</v>
      </c>
    </row>
    <row r="8088" spans="2:15" x14ac:dyDescent="0.25">
      <c r="B8088" s="6" t="s">
        <v>0</v>
      </c>
      <c r="C8088" s="7" t="s">
        <v>1</v>
      </c>
      <c r="D8088" s="8" t="s">
        <v>2</v>
      </c>
      <c r="E8088" s="8" t="s">
        <v>1790</v>
      </c>
      <c r="F8088" s="9">
        <f>DATE(2025,5,2)</f>
        <v>45779</v>
      </c>
      <c r="G8088" s="10">
        <f t="shared" si="729"/>
        <v>5</v>
      </c>
      <c r="H8088" s="10">
        <f t="shared" si="734"/>
        <v>2025</v>
      </c>
      <c r="I8088" s="8" t="s">
        <v>4</v>
      </c>
      <c r="J8088" s="7" t="s">
        <v>8574</v>
      </c>
      <c r="K8088" s="8" t="s">
        <v>25</v>
      </c>
      <c r="L8088" s="8" t="s">
        <v>26</v>
      </c>
      <c r="M8088" s="8" t="s">
        <v>27</v>
      </c>
      <c r="N8088" s="10" t="str">
        <f t="shared" si="735"/>
        <v>GAL</v>
      </c>
      <c r="O8088" s="11">
        <v>40</v>
      </c>
    </row>
    <row r="8089" spans="2:15" x14ac:dyDescent="0.25">
      <c r="B8089" s="6" t="s">
        <v>0</v>
      </c>
      <c r="C8089" s="7" t="s">
        <v>1</v>
      </c>
      <c r="D8089" s="8" t="s">
        <v>2</v>
      </c>
      <c r="E8089" s="8" t="s">
        <v>1790</v>
      </c>
      <c r="F8089" s="9">
        <f>DATE(2025,5,2)</f>
        <v>45779</v>
      </c>
      <c r="G8089" s="10">
        <f t="shared" si="729"/>
        <v>5</v>
      </c>
      <c r="H8089" s="10">
        <f t="shared" si="734"/>
        <v>2025</v>
      </c>
      <c r="I8089" s="8" t="s">
        <v>4</v>
      </c>
      <c r="J8089" s="7" t="s">
        <v>8574</v>
      </c>
      <c r="K8089" s="8" t="s">
        <v>22</v>
      </c>
      <c r="L8089" s="8" t="s">
        <v>23</v>
      </c>
      <c r="M8089" s="8" t="s">
        <v>24</v>
      </c>
      <c r="N8089" s="10" t="str">
        <f t="shared" si="735"/>
        <v>GAL</v>
      </c>
      <c r="O8089" s="11">
        <v>40</v>
      </c>
    </row>
    <row r="8090" spans="2:15" x14ac:dyDescent="0.25">
      <c r="B8090" s="6" t="s">
        <v>0</v>
      </c>
      <c r="C8090" s="7" t="s">
        <v>1</v>
      </c>
      <c r="D8090" s="8" t="s">
        <v>2</v>
      </c>
      <c r="E8090" s="8" t="s">
        <v>1790</v>
      </c>
      <c r="F8090" s="9">
        <f>DATE(2025,5,2)</f>
        <v>45779</v>
      </c>
      <c r="G8090" s="10">
        <f t="shared" si="729"/>
        <v>5</v>
      </c>
      <c r="H8090" s="10">
        <f t="shared" si="734"/>
        <v>2025</v>
      </c>
      <c r="I8090" s="8" t="s">
        <v>4</v>
      </c>
      <c r="J8090" s="7" t="s">
        <v>8574</v>
      </c>
      <c r="K8090" s="8" t="s">
        <v>28</v>
      </c>
      <c r="L8090" s="8" t="s">
        <v>29</v>
      </c>
      <c r="M8090" s="8" t="s">
        <v>30</v>
      </c>
      <c r="N8090" s="10" t="str">
        <f t="shared" si="735"/>
        <v>GAL</v>
      </c>
      <c r="O8090" s="11">
        <v>40</v>
      </c>
    </row>
    <row r="8091" spans="2:15" x14ac:dyDescent="0.25">
      <c r="B8091" s="6" t="s">
        <v>0</v>
      </c>
      <c r="C8091" s="7" t="s">
        <v>1</v>
      </c>
      <c r="D8091" s="8" t="s">
        <v>2</v>
      </c>
      <c r="E8091" s="8" t="s">
        <v>1790</v>
      </c>
      <c r="F8091" s="9">
        <f>DATE(2025,5,2)</f>
        <v>45779</v>
      </c>
      <c r="G8091" s="10">
        <f t="shared" si="729"/>
        <v>5</v>
      </c>
      <c r="H8091" s="10">
        <f t="shared" si="734"/>
        <v>2025</v>
      </c>
      <c r="I8091" s="8" t="s">
        <v>4</v>
      </c>
      <c r="J8091" s="7" t="s">
        <v>8574</v>
      </c>
      <c r="K8091" s="8" t="s">
        <v>16</v>
      </c>
      <c r="L8091" s="8" t="s">
        <v>7</v>
      </c>
      <c r="M8091" s="8" t="s">
        <v>8</v>
      </c>
      <c r="N8091" s="10" t="str">
        <f t="shared" si="735"/>
        <v>GAL</v>
      </c>
      <c r="O8091" s="11">
        <v>40</v>
      </c>
    </row>
    <row r="8092" spans="2:15" x14ac:dyDescent="0.25">
      <c r="B8092" s="6" t="s">
        <v>0</v>
      </c>
      <c r="C8092" s="7" t="s">
        <v>1</v>
      </c>
      <c r="D8092" s="8" t="s">
        <v>2</v>
      </c>
      <c r="E8092" s="8" t="s">
        <v>4287</v>
      </c>
      <c r="F8092" s="9">
        <f>DATE(2025,5,9)</f>
        <v>45786</v>
      </c>
      <c r="G8092" s="10">
        <f t="shared" si="729"/>
        <v>5</v>
      </c>
      <c r="H8092" s="10">
        <f t="shared" si="734"/>
        <v>2025</v>
      </c>
      <c r="I8092" s="8" t="s">
        <v>4</v>
      </c>
      <c r="J8092" s="7" t="s">
        <v>8575</v>
      </c>
      <c r="K8092" s="8" t="s">
        <v>44</v>
      </c>
      <c r="L8092" s="8" t="s">
        <v>45</v>
      </c>
      <c r="M8092" s="8" t="s">
        <v>46</v>
      </c>
      <c r="N8092" s="10" t="str">
        <f t="shared" si="735"/>
        <v>GAL</v>
      </c>
      <c r="O8092" s="11">
        <v>60</v>
      </c>
    </row>
    <row r="8093" spans="2:15" x14ac:dyDescent="0.25">
      <c r="B8093" s="6" t="s">
        <v>0</v>
      </c>
      <c r="C8093" s="7" t="s">
        <v>1</v>
      </c>
      <c r="D8093" s="8" t="s">
        <v>2</v>
      </c>
      <c r="E8093" s="8" t="s">
        <v>4287</v>
      </c>
      <c r="F8093" s="9">
        <f>DATE(2025,5,9)</f>
        <v>45786</v>
      </c>
      <c r="G8093" s="10">
        <f t="shared" si="729"/>
        <v>5</v>
      </c>
      <c r="H8093" s="10">
        <f t="shared" si="734"/>
        <v>2025</v>
      </c>
      <c r="I8093" s="8" t="s">
        <v>4</v>
      </c>
      <c r="J8093" s="7" t="s">
        <v>8575</v>
      </c>
      <c r="K8093" s="8" t="s">
        <v>19</v>
      </c>
      <c r="L8093" s="8" t="s">
        <v>6006</v>
      </c>
      <c r="M8093" s="8" t="s">
        <v>21</v>
      </c>
      <c r="N8093" s="10" t="str">
        <f t="shared" si="735"/>
        <v>GAL</v>
      </c>
      <c r="O8093" s="11">
        <v>120</v>
      </c>
    </row>
    <row r="8094" spans="2:15" x14ac:dyDescent="0.25">
      <c r="B8094" s="6" t="s">
        <v>0</v>
      </c>
      <c r="C8094" s="7" t="s">
        <v>1</v>
      </c>
      <c r="D8094" s="8" t="s">
        <v>2</v>
      </c>
      <c r="E8094" s="8" t="s">
        <v>4287</v>
      </c>
      <c r="F8094" s="9">
        <f>DATE(2025,5,9)</f>
        <v>45786</v>
      </c>
      <c r="G8094" s="10">
        <f t="shared" si="729"/>
        <v>5</v>
      </c>
      <c r="H8094" s="10">
        <f t="shared" si="734"/>
        <v>2025</v>
      </c>
      <c r="I8094" s="8" t="s">
        <v>4</v>
      </c>
      <c r="J8094" s="7" t="s">
        <v>8575</v>
      </c>
      <c r="K8094" s="8" t="s">
        <v>28</v>
      </c>
      <c r="L8094" s="8" t="s">
        <v>29</v>
      </c>
      <c r="M8094" s="8" t="s">
        <v>30</v>
      </c>
      <c r="N8094" s="10" t="str">
        <f t="shared" si="735"/>
        <v>GAL</v>
      </c>
      <c r="O8094" s="11">
        <v>120</v>
      </c>
    </row>
    <row r="8095" spans="2:15" x14ac:dyDescent="0.25">
      <c r="B8095" s="6" t="s">
        <v>0</v>
      </c>
      <c r="C8095" s="7" t="s">
        <v>1</v>
      </c>
      <c r="D8095" s="8" t="s">
        <v>2</v>
      </c>
      <c r="E8095" s="8" t="s">
        <v>4287</v>
      </c>
      <c r="F8095" s="9">
        <f>DATE(2025,5,9)</f>
        <v>45786</v>
      </c>
      <c r="G8095" s="10">
        <f t="shared" si="729"/>
        <v>5</v>
      </c>
      <c r="H8095" s="10">
        <f t="shared" si="734"/>
        <v>2025</v>
      </c>
      <c r="I8095" s="8" t="s">
        <v>4</v>
      </c>
      <c r="J8095" s="7" t="s">
        <v>8575</v>
      </c>
      <c r="K8095" s="8" t="s">
        <v>33</v>
      </c>
      <c r="L8095" s="8" t="s">
        <v>34</v>
      </c>
      <c r="M8095" s="8" t="s">
        <v>35</v>
      </c>
      <c r="N8095" s="10" t="str">
        <f t="shared" si="735"/>
        <v>GAL</v>
      </c>
      <c r="O8095" s="11">
        <v>60</v>
      </c>
    </row>
    <row r="8096" spans="2:15" x14ac:dyDescent="0.25">
      <c r="B8096" s="6" t="s">
        <v>0</v>
      </c>
      <c r="C8096" s="7" t="s">
        <v>1</v>
      </c>
      <c r="D8096" s="8" t="s">
        <v>2</v>
      </c>
      <c r="E8096" s="8" t="s">
        <v>4287</v>
      </c>
      <c r="F8096" s="9">
        <f>DATE(2025,5,9)</f>
        <v>45786</v>
      </c>
      <c r="G8096" s="10">
        <f t="shared" si="729"/>
        <v>5</v>
      </c>
      <c r="H8096" s="10">
        <f t="shared" si="734"/>
        <v>2025</v>
      </c>
      <c r="I8096" s="8" t="s">
        <v>4</v>
      </c>
      <c r="J8096" s="7" t="s">
        <v>8575</v>
      </c>
      <c r="K8096" s="8" t="s">
        <v>83</v>
      </c>
      <c r="L8096" s="8" t="s">
        <v>84</v>
      </c>
      <c r="M8096" s="8" t="s">
        <v>85</v>
      </c>
      <c r="N8096" s="10" t="str">
        <f t="shared" si="735"/>
        <v>GAL</v>
      </c>
      <c r="O8096" s="11">
        <v>120</v>
      </c>
    </row>
    <row r="8097" spans="2:15" x14ac:dyDescent="0.25">
      <c r="B8097" s="6" t="s">
        <v>0</v>
      </c>
      <c r="C8097" s="7" t="s">
        <v>1</v>
      </c>
      <c r="D8097" s="8" t="s">
        <v>55</v>
      </c>
      <c r="E8097" s="8" t="s">
        <v>56</v>
      </c>
      <c r="F8097" s="9">
        <f>DATE(2025,5,12)</f>
        <v>45789</v>
      </c>
      <c r="G8097" s="10">
        <f t="shared" si="729"/>
        <v>5</v>
      </c>
      <c r="H8097" s="10">
        <f t="shared" si="734"/>
        <v>2025</v>
      </c>
      <c r="I8097" s="8" t="s">
        <v>4</v>
      </c>
      <c r="J8097" s="7" t="s">
        <v>8576</v>
      </c>
      <c r="K8097" s="8" t="s">
        <v>585</v>
      </c>
      <c r="L8097" s="8" t="s">
        <v>586</v>
      </c>
      <c r="M8097" s="8" t="s">
        <v>587</v>
      </c>
      <c r="N8097" s="10" t="str">
        <f t="shared" si="735"/>
        <v>GAL</v>
      </c>
      <c r="O8097" s="11">
        <v>55</v>
      </c>
    </row>
    <row r="8098" spans="2:15" x14ac:dyDescent="0.25">
      <c r="B8098" s="6" t="s">
        <v>0</v>
      </c>
      <c r="C8098" s="7" t="s">
        <v>1</v>
      </c>
      <c r="D8098" s="8" t="s">
        <v>55</v>
      </c>
      <c r="E8098" s="8" t="s">
        <v>56</v>
      </c>
      <c r="F8098" s="9">
        <f>DATE(2025,5,12)</f>
        <v>45789</v>
      </c>
      <c r="G8098" s="10">
        <f t="shared" si="729"/>
        <v>5</v>
      </c>
      <c r="H8098" s="10">
        <f t="shared" si="734"/>
        <v>2025</v>
      </c>
      <c r="I8098" s="8" t="s">
        <v>4</v>
      </c>
      <c r="J8098" s="7" t="s">
        <v>8576</v>
      </c>
      <c r="K8098" s="8" t="s">
        <v>83</v>
      </c>
      <c r="L8098" s="8" t="s">
        <v>584</v>
      </c>
      <c r="M8098" s="8" t="s">
        <v>85</v>
      </c>
      <c r="N8098" s="10" t="str">
        <f t="shared" si="735"/>
        <v>GAL</v>
      </c>
      <c r="O8098" s="11">
        <v>55</v>
      </c>
    </row>
    <row r="8099" spans="2:15" x14ac:dyDescent="0.25">
      <c r="B8099" s="6" t="s">
        <v>0</v>
      </c>
      <c r="C8099" s="7" t="s">
        <v>1</v>
      </c>
      <c r="D8099" s="8" t="s">
        <v>2</v>
      </c>
      <c r="E8099" s="8" t="s">
        <v>4287</v>
      </c>
      <c r="F8099" s="9">
        <f t="shared" ref="F8099:F8104" si="736">DATE(2025,5,23)</f>
        <v>45800</v>
      </c>
      <c r="G8099" s="10">
        <f t="shared" si="729"/>
        <v>5</v>
      </c>
      <c r="H8099" s="10">
        <f t="shared" si="734"/>
        <v>2025</v>
      </c>
      <c r="I8099" s="8" t="s">
        <v>4</v>
      </c>
      <c r="J8099" s="7" t="s">
        <v>8577</v>
      </c>
      <c r="K8099" s="8" t="s">
        <v>25</v>
      </c>
      <c r="L8099" s="8" t="s">
        <v>26</v>
      </c>
      <c r="M8099" s="8" t="s">
        <v>27</v>
      </c>
      <c r="N8099" s="10" t="str">
        <f t="shared" si="735"/>
        <v>GAL</v>
      </c>
      <c r="O8099" s="11">
        <v>120</v>
      </c>
    </row>
    <row r="8100" spans="2:15" x14ac:dyDescent="0.25">
      <c r="B8100" s="6" t="s">
        <v>0</v>
      </c>
      <c r="C8100" s="7" t="s">
        <v>1</v>
      </c>
      <c r="D8100" s="8" t="s">
        <v>2</v>
      </c>
      <c r="E8100" s="8" t="s">
        <v>4287</v>
      </c>
      <c r="F8100" s="9">
        <f t="shared" si="736"/>
        <v>45800</v>
      </c>
      <c r="G8100" s="10">
        <f t="shared" si="729"/>
        <v>5</v>
      </c>
      <c r="H8100" s="10">
        <f t="shared" si="734"/>
        <v>2025</v>
      </c>
      <c r="I8100" s="8" t="s">
        <v>4</v>
      </c>
      <c r="J8100" s="7" t="s">
        <v>8577</v>
      </c>
      <c r="K8100" s="8" t="s">
        <v>22</v>
      </c>
      <c r="L8100" s="8" t="s">
        <v>23</v>
      </c>
      <c r="M8100" s="8" t="s">
        <v>24</v>
      </c>
      <c r="N8100" s="10" t="str">
        <f t="shared" si="735"/>
        <v>GAL</v>
      </c>
      <c r="O8100" s="11">
        <v>60</v>
      </c>
    </row>
    <row r="8101" spans="2:15" x14ac:dyDescent="0.25">
      <c r="B8101" s="6" t="s">
        <v>0</v>
      </c>
      <c r="C8101" s="7" t="s">
        <v>1</v>
      </c>
      <c r="D8101" s="8" t="s">
        <v>2</v>
      </c>
      <c r="E8101" s="8" t="s">
        <v>4287</v>
      </c>
      <c r="F8101" s="9">
        <f t="shared" si="736"/>
        <v>45800</v>
      </c>
      <c r="G8101" s="10">
        <f t="shared" si="729"/>
        <v>5</v>
      </c>
      <c r="H8101" s="10">
        <f t="shared" si="734"/>
        <v>2025</v>
      </c>
      <c r="I8101" s="8" t="s">
        <v>4</v>
      </c>
      <c r="J8101" s="7" t="s">
        <v>8577</v>
      </c>
      <c r="K8101" s="8" t="s">
        <v>47</v>
      </c>
      <c r="L8101" s="8" t="s">
        <v>48</v>
      </c>
      <c r="M8101" s="8" t="s">
        <v>49</v>
      </c>
      <c r="N8101" s="10" t="str">
        <f t="shared" si="735"/>
        <v>GAL</v>
      </c>
      <c r="O8101" s="11">
        <v>60</v>
      </c>
    </row>
    <row r="8102" spans="2:15" x14ac:dyDescent="0.25">
      <c r="B8102" s="6" t="s">
        <v>0</v>
      </c>
      <c r="C8102" s="7" t="s">
        <v>1</v>
      </c>
      <c r="D8102" s="8" t="s">
        <v>2</v>
      </c>
      <c r="E8102" s="8" t="s">
        <v>4287</v>
      </c>
      <c r="F8102" s="9">
        <f t="shared" si="736"/>
        <v>45800</v>
      </c>
      <c r="G8102" s="10">
        <f t="shared" si="729"/>
        <v>5</v>
      </c>
      <c r="H8102" s="10">
        <f t="shared" si="734"/>
        <v>2025</v>
      </c>
      <c r="I8102" s="8" t="s">
        <v>4</v>
      </c>
      <c r="J8102" s="7" t="s">
        <v>8577</v>
      </c>
      <c r="K8102" s="8" t="s">
        <v>578</v>
      </c>
      <c r="L8102" s="8" t="s">
        <v>72</v>
      </c>
      <c r="M8102" s="8" t="s">
        <v>73</v>
      </c>
      <c r="N8102" s="10" t="str">
        <f t="shared" si="735"/>
        <v>GAL</v>
      </c>
      <c r="O8102" s="11">
        <v>30</v>
      </c>
    </row>
    <row r="8103" spans="2:15" x14ac:dyDescent="0.25">
      <c r="B8103" s="6" t="s">
        <v>0</v>
      </c>
      <c r="C8103" s="7" t="s">
        <v>1</v>
      </c>
      <c r="D8103" s="8" t="s">
        <v>2</v>
      </c>
      <c r="E8103" s="8" t="s">
        <v>4287</v>
      </c>
      <c r="F8103" s="9">
        <f t="shared" si="736"/>
        <v>45800</v>
      </c>
      <c r="G8103" s="10">
        <f t="shared" si="729"/>
        <v>5</v>
      </c>
      <c r="H8103" s="10">
        <f t="shared" si="734"/>
        <v>2025</v>
      </c>
      <c r="I8103" s="8" t="s">
        <v>4</v>
      </c>
      <c r="J8103" s="7" t="s">
        <v>8577</v>
      </c>
      <c r="K8103" s="8" t="s">
        <v>16</v>
      </c>
      <c r="L8103" s="8" t="s">
        <v>7</v>
      </c>
      <c r="M8103" s="8" t="s">
        <v>8</v>
      </c>
      <c r="N8103" s="10" t="str">
        <f t="shared" si="735"/>
        <v>GAL</v>
      </c>
      <c r="O8103" s="11">
        <v>120</v>
      </c>
    </row>
    <row r="8104" spans="2:15" x14ac:dyDescent="0.25">
      <c r="B8104" s="6" t="s">
        <v>0</v>
      </c>
      <c r="C8104" s="7" t="s">
        <v>1</v>
      </c>
      <c r="D8104" s="8" t="s">
        <v>2</v>
      </c>
      <c r="E8104" s="8" t="s">
        <v>4287</v>
      </c>
      <c r="F8104" s="9">
        <f t="shared" si="736"/>
        <v>45800</v>
      </c>
      <c r="G8104" s="10">
        <f t="shared" si="729"/>
        <v>5</v>
      </c>
      <c r="H8104" s="10">
        <f t="shared" si="734"/>
        <v>2025</v>
      </c>
      <c r="I8104" s="8" t="s">
        <v>4</v>
      </c>
      <c r="J8104" s="7" t="s">
        <v>8577</v>
      </c>
      <c r="K8104" s="8" t="s">
        <v>80</v>
      </c>
      <c r="L8104" s="8" t="s">
        <v>81</v>
      </c>
      <c r="M8104" s="8" t="s">
        <v>82</v>
      </c>
      <c r="N8104" s="10" t="str">
        <f t="shared" si="735"/>
        <v>GAL</v>
      </c>
      <c r="O8104" s="11">
        <v>60</v>
      </c>
    </row>
    <row r="8105" spans="2:15" x14ac:dyDescent="0.25">
      <c r="B8105" s="6" t="s">
        <v>88</v>
      </c>
      <c r="C8105" s="7" t="s">
        <v>89</v>
      </c>
      <c r="D8105" s="8" t="s">
        <v>1026</v>
      </c>
      <c r="E8105" s="8" t="s">
        <v>3262</v>
      </c>
      <c r="F8105" s="9">
        <f>DATE(2025,5,5)</f>
        <v>45782</v>
      </c>
      <c r="G8105" s="10">
        <f t="shared" si="729"/>
        <v>5</v>
      </c>
      <c r="H8105" s="10">
        <f t="shared" si="734"/>
        <v>2025</v>
      </c>
      <c r="I8105" s="8" t="s">
        <v>4</v>
      </c>
      <c r="J8105" s="7" t="s">
        <v>8578</v>
      </c>
      <c r="K8105" s="8" t="s">
        <v>1028</v>
      </c>
      <c r="L8105" s="8" t="s">
        <v>1029</v>
      </c>
      <c r="M8105" s="8" t="s">
        <v>106</v>
      </c>
      <c r="N8105" s="10" t="str">
        <f t="shared" si="735"/>
        <v>LBS</v>
      </c>
      <c r="O8105" s="11">
        <v>20780</v>
      </c>
    </row>
    <row r="8106" spans="2:15" x14ac:dyDescent="0.25">
      <c r="B8106" s="6" t="s">
        <v>88</v>
      </c>
      <c r="C8106" s="7" t="s">
        <v>89</v>
      </c>
      <c r="D8106" s="8" t="s">
        <v>1444</v>
      </c>
      <c r="E8106" s="8" t="s">
        <v>2864</v>
      </c>
      <c r="F8106" s="9">
        <f>DATE(2025,5,6)</f>
        <v>45783</v>
      </c>
      <c r="G8106" s="10">
        <f t="shared" si="729"/>
        <v>5</v>
      </c>
      <c r="H8106" s="10">
        <f t="shared" si="734"/>
        <v>2025</v>
      </c>
      <c r="I8106" s="8" t="s">
        <v>4</v>
      </c>
      <c r="J8106" s="7" t="s">
        <v>8579</v>
      </c>
      <c r="K8106" s="8" t="s">
        <v>1446</v>
      </c>
      <c r="L8106" s="8" t="s">
        <v>2581</v>
      </c>
      <c r="M8106" s="8" t="s">
        <v>1448</v>
      </c>
      <c r="N8106" s="10" t="str">
        <f t="shared" si="735"/>
        <v>GAL</v>
      </c>
      <c r="O8106" s="11">
        <v>360</v>
      </c>
    </row>
    <row r="8107" spans="2:15" x14ac:dyDescent="0.25">
      <c r="B8107" s="6" t="s">
        <v>88</v>
      </c>
      <c r="C8107" s="7" t="s">
        <v>89</v>
      </c>
      <c r="D8107" s="8" t="s">
        <v>6019</v>
      </c>
      <c r="E8107" s="8" t="s">
        <v>8580</v>
      </c>
      <c r="F8107" s="9">
        <f>DATE(2025,5,13)</f>
        <v>45790</v>
      </c>
      <c r="G8107" s="10">
        <f t="shared" si="729"/>
        <v>5</v>
      </c>
      <c r="H8107" s="10">
        <f t="shared" si="734"/>
        <v>2025</v>
      </c>
      <c r="I8107" s="8" t="s">
        <v>4</v>
      </c>
      <c r="J8107" s="7" t="s">
        <v>8581</v>
      </c>
      <c r="K8107" s="8" t="s">
        <v>7630</v>
      </c>
      <c r="L8107" s="8" t="s">
        <v>7631</v>
      </c>
      <c r="M8107" s="8" t="s">
        <v>4204</v>
      </c>
      <c r="N8107" s="10" t="str">
        <f t="shared" si="735"/>
        <v>GAL</v>
      </c>
      <c r="O8107" s="11">
        <v>6949</v>
      </c>
    </row>
    <row r="8108" spans="2:15" x14ac:dyDescent="0.25">
      <c r="B8108" s="6" t="s">
        <v>88</v>
      </c>
      <c r="C8108" s="7" t="s">
        <v>89</v>
      </c>
      <c r="D8108" s="8" t="s">
        <v>6019</v>
      </c>
      <c r="E8108" s="8" t="s">
        <v>7633</v>
      </c>
      <c r="F8108" s="9">
        <f>DATE(2025,5,14)</f>
        <v>45791</v>
      </c>
      <c r="G8108" s="10">
        <f t="shared" si="729"/>
        <v>5</v>
      </c>
      <c r="H8108" s="10">
        <f t="shared" si="734"/>
        <v>2025</v>
      </c>
      <c r="I8108" s="8" t="s">
        <v>4</v>
      </c>
      <c r="J8108" s="7" t="s">
        <v>8582</v>
      </c>
      <c r="K8108" s="8" t="s">
        <v>7630</v>
      </c>
      <c r="L8108" s="8" t="s">
        <v>7631</v>
      </c>
      <c r="M8108" s="8" t="s">
        <v>4204</v>
      </c>
      <c r="N8108" s="10" t="str">
        <f t="shared" si="735"/>
        <v>GAL</v>
      </c>
      <c r="O8108" s="11">
        <v>6963</v>
      </c>
    </row>
    <row r="8109" spans="2:15" x14ac:dyDescent="0.25">
      <c r="B8109" s="6" t="s">
        <v>88</v>
      </c>
      <c r="C8109" s="7" t="s">
        <v>89</v>
      </c>
      <c r="D8109" s="8" t="s">
        <v>3265</v>
      </c>
      <c r="E8109" s="8" t="s">
        <v>3266</v>
      </c>
      <c r="F8109" s="9">
        <f>DATE(2025,5,15)</f>
        <v>45792</v>
      </c>
      <c r="G8109" s="10">
        <f t="shared" si="729"/>
        <v>5</v>
      </c>
      <c r="H8109" s="10">
        <f t="shared" si="734"/>
        <v>2025</v>
      </c>
      <c r="I8109" s="8" t="s">
        <v>4</v>
      </c>
      <c r="J8109" s="7" t="s">
        <v>8583</v>
      </c>
      <c r="K8109" s="8" t="s">
        <v>3268</v>
      </c>
      <c r="L8109" s="8" t="s">
        <v>3269</v>
      </c>
      <c r="M8109" s="8" t="s">
        <v>2576</v>
      </c>
      <c r="N8109" s="10" t="str">
        <f t="shared" si="735"/>
        <v>GAL</v>
      </c>
      <c r="O8109" s="11">
        <v>250</v>
      </c>
    </row>
    <row r="8110" spans="2:15" x14ac:dyDescent="0.25">
      <c r="B8110" s="6" t="s">
        <v>88</v>
      </c>
      <c r="C8110" s="7" t="s">
        <v>89</v>
      </c>
      <c r="D8110" s="8" t="s">
        <v>6019</v>
      </c>
      <c r="E8110" s="8" t="s">
        <v>7633</v>
      </c>
      <c r="F8110" s="9">
        <f>DATE(2025,5,19)</f>
        <v>45796</v>
      </c>
      <c r="G8110" s="10">
        <f t="shared" si="729"/>
        <v>5</v>
      </c>
      <c r="H8110" s="10">
        <f t="shared" si="734"/>
        <v>2025</v>
      </c>
      <c r="I8110" s="8" t="s">
        <v>4</v>
      </c>
      <c r="J8110" s="7" t="s">
        <v>8584</v>
      </c>
      <c r="K8110" s="8" t="s">
        <v>7630</v>
      </c>
      <c r="L8110" s="8" t="s">
        <v>7631</v>
      </c>
      <c r="M8110" s="8" t="s">
        <v>4204</v>
      </c>
      <c r="N8110" s="10" t="str">
        <f t="shared" si="735"/>
        <v>GAL</v>
      </c>
      <c r="O8110" s="11">
        <v>6969</v>
      </c>
    </row>
    <row r="8111" spans="2:15" x14ac:dyDescent="0.25">
      <c r="B8111" s="6" t="s">
        <v>88</v>
      </c>
      <c r="C8111" s="7" t="s">
        <v>89</v>
      </c>
      <c r="D8111" s="8" t="s">
        <v>1103</v>
      </c>
      <c r="E8111" s="8" t="s">
        <v>1104</v>
      </c>
      <c r="F8111" s="9">
        <f>DATE(2025,5,20)</f>
        <v>45797</v>
      </c>
      <c r="G8111" s="10">
        <f t="shared" si="729"/>
        <v>5</v>
      </c>
      <c r="H8111" s="10">
        <f t="shared" si="734"/>
        <v>2025</v>
      </c>
      <c r="I8111" s="8" t="s">
        <v>4</v>
      </c>
      <c r="J8111" s="7" t="s">
        <v>8585</v>
      </c>
      <c r="K8111" s="8" t="s">
        <v>126</v>
      </c>
      <c r="L8111" s="8" t="s">
        <v>127</v>
      </c>
      <c r="M8111" s="8" t="s">
        <v>106</v>
      </c>
      <c r="N8111" s="10" t="str">
        <f t="shared" si="735"/>
        <v>LBS</v>
      </c>
      <c r="O8111" s="11">
        <v>16437.5</v>
      </c>
    </row>
    <row r="8112" spans="2:15" x14ac:dyDescent="0.25">
      <c r="B8112" s="6" t="s">
        <v>88</v>
      </c>
      <c r="C8112" s="7" t="s">
        <v>89</v>
      </c>
      <c r="D8112" s="8" t="s">
        <v>8503</v>
      </c>
      <c r="E8112" s="8" t="s">
        <v>102</v>
      </c>
      <c r="F8112" s="9">
        <f>DATE(2025,5,20)</f>
        <v>45797</v>
      </c>
      <c r="G8112" s="10">
        <f t="shared" si="729"/>
        <v>5</v>
      </c>
      <c r="H8112" s="10">
        <f t="shared" si="734"/>
        <v>2025</v>
      </c>
      <c r="I8112" s="8" t="s">
        <v>4</v>
      </c>
      <c r="J8112" s="7" t="s">
        <v>8586</v>
      </c>
      <c r="K8112" s="8" t="s">
        <v>2620</v>
      </c>
      <c r="L8112" s="8" t="s">
        <v>2617</v>
      </c>
      <c r="M8112" s="8" t="s">
        <v>2618</v>
      </c>
      <c r="N8112" s="10" t="str">
        <f t="shared" si="735"/>
        <v>GAL</v>
      </c>
      <c r="O8112" s="11">
        <v>500</v>
      </c>
    </row>
    <row r="8113" spans="2:15" x14ac:dyDescent="0.25">
      <c r="B8113" s="6" t="s">
        <v>88</v>
      </c>
      <c r="C8113" s="7" t="s">
        <v>89</v>
      </c>
      <c r="D8113" s="8" t="s">
        <v>7024</v>
      </c>
      <c r="E8113" s="8" t="s">
        <v>7346</v>
      </c>
      <c r="F8113" s="9">
        <f>DATE(2025,5,20)</f>
        <v>45797</v>
      </c>
      <c r="G8113" s="10">
        <f t="shared" si="729"/>
        <v>5</v>
      </c>
      <c r="H8113" s="10">
        <f t="shared" si="734"/>
        <v>2025</v>
      </c>
      <c r="I8113" s="8" t="s">
        <v>4</v>
      </c>
      <c r="J8113" s="7" t="s">
        <v>8587</v>
      </c>
      <c r="K8113" s="8" t="s">
        <v>7027</v>
      </c>
      <c r="L8113" s="8" t="s">
        <v>7028</v>
      </c>
      <c r="M8113" s="8" t="s">
        <v>106</v>
      </c>
      <c r="N8113" s="10" t="str">
        <f t="shared" si="735"/>
        <v>LBS</v>
      </c>
      <c r="O8113" s="11">
        <v>45571</v>
      </c>
    </row>
    <row r="8114" spans="2:15" x14ac:dyDescent="0.25">
      <c r="B8114" s="6" t="s">
        <v>88</v>
      </c>
      <c r="C8114" s="7" t="s">
        <v>89</v>
      </c>
      <c r="D8114" s="8" t="s">
        <v>1444</v>
      </c>
      <c r="E8114" s="8" t="s">
        <v>102</v>
      </c>
      <c r="F8114" s="9">
        <f>DATE(2025,5,21)</f>
        <v>45798</v>
      </c>
      <c r="G8114" s="10">
        <f t="shared" si="729"/>
        <v>5</v>
      </c>
      <c r="H8114" s="10">
        <f t="shared" si="734"/>
        <v>2025</v>
      </c>
      <c r="I8114" s="8" t="s">
        <v>4</v>
      </c>
      <c r="J8114" s="7" t="s">
        <v>8588</v>
      </c>
      <c r="K8114" s="8" t="s">
        <v>1446</v>
      </c>
      <c r="L8114" s="8" t="s">
        <v>2581</v>
      </c>
      <c r="M8114" s="8" t="s">
        <v>1448</v>
      </c>
      <c r="N8114" s="10" t="str">
        <f t="shared" si="735"/>
        <v>GAL</v>
      </c>
      <c r="O8114" s="11">
        <v>360</v>
      </c>
    </row>
    <row r="8115" spans="2:15" x14ac:dyDescent="0.25">
      <c r="B8115" s="6" t="s">
        <v>88</v>
      </c>
      <c r="C8115" s="7" t="s">
        <v>89</v>
      </c>
      <c r="D8115" s="8" t="s">
        <v>6019</v>
      </c>
      <c r="E8115" s="8" t="s">
        <v>7633</v>
      </c>
      <c r="F8115" s="9">
        <f>DATE(2025,5,27)</f>
        <v>45804</v>
      </c>
      <c r="G8115" s="10">
        <f t="shared" si="729"/>
        <v>5</v>
      </c>
      <c r="H8115" s="10">
        <f t="shared" si="734"/>
        <v>2025</v>
      </c>
      <c r="I8115" s="8" t="s">
        <v>4</v>
      </c>
      <c r="J8115" s="7" t="s">
        <v>8589</v>
      </c>
      <c r="K8115" s="8" t="s">
        <v>7630</v>
      </c>
      <c r="L8115" s="8" t="s">
        <v>7631</v>
      </c>
      <c r="M8115" s="8" t="s">
        <v>4204</v>
      </c>
      <c r="N8115" s="10" t="str">
        <f t="shared" si="735"/>
        <v>GAL</v>
      </c>
      <c r="O8115" s="11">
        <v>7000</v>
      </c>
    </row>
    <row r="8116" spans="2:15" x14ac:dyDescent="0.25">
      <c r="B8116" s="6" t="s">
        <v>88</v>
      </c>
      <c r="C8116" s="7" t="s">
        <v>89</v>
      </c>
      <c r="D8116" s="8" t="s">
        <v>3962</v>
      </c>
      <c r="E8116" s="8" t="s">
        <v>102</v>
      </c>
      <c r="F8116" s="9">
        <f>DATE(2025,5,28)</f>
        <v>45805</v>
      </c>
      <c r="G8116" s="10">
        <f t="shared" si="729"/>
        <v>5</v>
      </c>
      <c r="H8116" s="10">
        <f t="shared" si="734"/>
        <v>2025</v>
      </c>
      <c r="I8116" s="8" t="s">
        <v>4</v>
      </c>
      <c r="J8116" s="7" t="s">
        <v>8590</v>
      </c>
      <c r="K8116" s="8" t="s">
        <v>1853</v>
      </c>
      <c r="L8116" s="8" t="s">
        <v>1854</v>
      </c>
      <c r="M8116" s="8" t="s">
        <v>1816</v>
      </c>
      <c r="N8116" s="10" t="str">
        <f t="shared" si="735"/>
        <v>GAL</v>
      </c>
      <c r="O8116" s="11">
        <v>2.5</v>
      </c>
    </row>
    <row r="8117" spans="2:15" x14ac:dyDescent="0.25">
      <c r="B8117" s="6" t="s">
        <v>88</v>
      </c>
      <c r="C8117" s="7" t="s">
        <v>89</v>
      </c>
      <c r="D8117" s="8" t="s">
        <v>6019</v>
      </c>
      <c r="E8117" s="8" t="s">
        <v>7633</v>
      </c>
      <c r="F8117" s="9">
        <f>DATE(2025,5,30)</f>
        <v>45807</v>
      </c>
      <c r="G8117" s="10">
        <f t="shared" si="729"/>
        <v>5</v>
      </c>
      <c r="H8117" s="10">
        <f t="shared" si="734"/>
        <v>2025</v>
      </c>
      <c r="I8117" s="8" t="s">
        <v>4</v>
      </c>
      <c r="J8117" s="7" t="s">
        <v>8591</v>
      </c>
      <c r="K8117" s="8" t="s">
        <v>7630</v>
      </c>
      <c r="L8117" s="8" t="s">
        <v>7631</v>
      </c>
      <c r="M8117" s="8" t="s">
        <v>4204</v>
      </c>
      <c r="N8117" s="10" t="str">
        <f t="shared" si="735"/>
        <v>GAL</v>
      </c>
      <c r="O8117" s="11">
        <v>7073</v>
      </c>
    </row>
    <row r="8118" spans="2:15" x14ac:dyDescent="0.25">
      <c r="B8118" s="6" t="s">
        <v>88</v>
      </c>
      <c r="C8118" s="7" t="s">
        <v>89</v>
      </c>
      <c r="D8118" s="8" t="s">
        <v>515</v>
      </c>
      <c r="E8118" s="8" t="s">
        <v>516</v>
      </c>
      <c r="F8118" s="9">
        <f>DATE(2025,5,30)</f>
        <v>45807</v>
      </c>
      <c r="G8118" s="10">
        <f t="shared" si="729"/>
        <v>5</v>
      </c>
      <c r="H8118" s="10">
        <f t="shared" si="734"/>
        <v>2025</v>
      </c>
      <c r="I8118" s="8" t="s">
        <v>4</v>
      </c>
      <c r="J8118" s="7" t="s">
        <v>8592</v>
      </c>
      <c r="K8118" s="8" t="s">
        <v>110</v>
      </c>
      <c r="L8118" s="8" t="s">
        <v>111</v>
      </c>
      <c r="M8118" s="8" t="s">
        <v>112</v>
      </c>
      <c r="N8118" s="10" t="str">
        <f t="shared" si="735"/>
        <v>GAL</v>
      </c>
      <c r="O8118" s="11">
        <v>1644</v>
      </c>
    </row>
    <row r="8119" spans="2:15" x14ac:dyDescent="0.25">
      <c r="B8119" s="6" t="s">
        <v>154</v>
      </c>
      <c r="C8119" s="7" t="s">
        <v>155</v>
      </c>
      <c r="D8119" s="8" t="s">
        <v>161</v>
      </c>
      <c r="E8119" s="8" t="s">
        <v>162</v>
      </c>
      <c r="F8119" s="9">
        <f>DATE(2025,5,2)</f>
        <v>45779</v>
      </c>
      <c r="G8119" s="10">
        <f t="shared" si="729"/>
        <v>5</v>
      </c>
      <c r="H8119" s="10">
        <f t="shared" si="734"/>
        <v>2025</v>
      </c>
      <c r="I8119" s="8" t="s">
        <v>4</v>
      </c>
      <c r="J8119" s="7" t="s">
        <v>8593</v>
      </c>
      <c r="K8119" s="8" t="s">
        <v>5212</v>
      </c>
      <c r="L8119" s="8" t="s">
        <v>190</v>
      </c>
      <c r="M8119" s="8" t="s">
        <v>191</v>
      </c>
      <c r="N8119" s="10" t="str">
        <f t="shared" si="735"/>
        <v>GAL</v>
      </c>
      <c r="O8119" s="11">
        <v>750</v>
      </c>
    </row>
    <row r="8120" spans="2:15" x14ac:dyDescent="0.25">
      <c r="B8120" s="6" t="s">
        <v>154</v>
      </c>
      <c r="C8120" s="7" t="s">
        <v>155</v>
      </c>
      <c r="D8120" s="8" t="s">
        <v>167</v>
      </c>
      <c r="E8120" s="8" t="s">
        <v>168</v>
      </c>
      <c r="F8120" s="9">
        <f>DATE(2025,5,6)</f>
        <v>45783</v>
      </c>
      <c r="G8120" s="10">
        <f t="shared" si="729"/>
        <v>5</v>
      </c>
      <c r="H8120" s="10">
        <f t="shared" si="734"/>
        <v>2025</v>
      </c>
      <c r="I8120" s="8" t="s">
        <v>4</v>
      </c>
      <c r="J8120" s="7" t="s">
        <v>8594</v>
      </c>
      <c r="K8120" s="8" t="s">
        <v>1814</v>
      </c>
      <c r="L8120" s="8" t="s">
        <v>1815</v>
      </c>
      <c r="M8120" s="8" t="s">
        <v>1816</v>
      </c>
      <c r="N8120" s="10" t="str">
        <f t="shared" si="735"/>
        <v>GAL</v>
      </c>
      <c r="O8120" s="11">
        <v>180</v>
      </c>
    </row>
    <row r="8121" spans="2:15" x14ac:dyDescent="0.25">
      <c r="B8121" s="6" t="s">
        <v>154</v>
      </c>
      <c r="C8121" s="7" t="s">
        <v>155</v>
      </c>
      <c r="D8121" s="8" t="s">
        <v>167</v>
      </c>
      <c r="E8121" s="8" t="s">
        <v>168</v>
      </c>
      <c r="F8121" s="9">
        <f>DATE(2025,5,6)</f>
        <v>45783</v>
      </c>
      <c r="G8121" s="10">
        <f t="shared" si="729"/>
        <v>5</v>
      </c>
      <c r="H8121" s="10">
        <f t="shared" si="734"/>
        <v>2025</v>
      </c>
      <c r="I8121" s="8" t="s">
        <v>4</v>
      </c>
      <c r="J8121" s="7" t="s">
        <v>8595</v>
      </c>
      <c r="K8121" s="8" t="s">
        <v>609</v>
      </c>
      <c r="L8121" s="8" t="s">
        <v>610</v>
      </c>
      <c r="M8121" s="8" t="s">
        <v>611</v>
      </c>
      <c r="N8121" s="10" t="str">
        <f t="shared" si="735"/>
        <v>GAL</v>
      </c>
      <c r="O8121" s="11">
        <v>120</v>
      </c>
    </row>
    <row r="8122" spans="2:15" x14ac:dyDescent="0.25">
      <c r="B8122" s="6" t="s">
        <v>154</v>
      </c>
      <c r="C8122" s="7" t="s">
        <v>155</v>
      </c>
      <c r="D8122" s="8" t="s">
        <v>178</v>
      </c>
      <c r="E8122" s="8" t="s">
        <v>179</v>
      </c>
      <c r="F8122" s="9">
        <f>DATE(2025,5,6)</f>
        <v>45783</v>
      </c>
      <c r="G8122" s="10">
        <f t="shared" si="729"/>
        <v>5</v>
      </c>
      <c r="H8122" s="10">
        <f t="shared" si="734"/>
        <v>2025</v>
      </c>
      <c r="I8122" s="8" t="s">
        <v>4</v>
      </c>
      <c r="J8122" s="7" t="s">
        <v>8596</v>
      </c>
      <c r="K8122" s="8" t="s">
        <v>189</v>
      </c>
      <c r="L8122" s="8" t="s">
        <v>190</v>
      </c>
      <c r="M8122" s="8" t="s">
        <v>191</v>
      </c>
      <c r="N8122" s="10" t="str">
        <f t="shared" si="735"/>
        <v>GAL</v>
      </c>
      <c r="O8122" s="11">
        <v>180</v>
      </c>
    </row>
    <row r="8123" spans="2:15" x14ac:dyDescent="0.25">
      <c r="B8123" s="6" t="s">
        <v>154</v>
      </c>
      <c r="C8123" s="7" t="s">
        <v>155</v>
      </c>
      <c r="D8123" s="8" t="s">
        <v>1111</v>
      </c>
      <c r="E8123" s="8" t="s">
        <v>1112</v>
      </c>
      <c r="F8123" s="9">
        <f>DATE(2025,5,7)</f>
        <v>45784</v>
      </c>
      <c r="G8123" s="10">
        <f t="shared" si="729"/>
        <v>5</v>
      </c>
      <c r="H8123" s="10">
        <f t="shared" si="734"/>
        <v>2025</v>
      </c>
      <c r="I8123" s="8" t="s">
        <v>4</v>
      </c>
      <c r="J8123" s="7" t="s">
        <v>8597</v>
      </c>
      <c r="K8123" s="8" t="s">
        <v>171</v>
      </c>
      <c r="L8123" s="8" t="s">
        <v>172</v>
      </c>
      <c r="M8123" s="8" t="s">
        <v>27</v>
      </c>
      <c r="N8123" s="10" t="str">
        <f t="shared" si="735"/>
        <v>GAL</v>
      </c>
      <c r="O8123" s="11">
        <v>180</v>
      </c>
    </row>
    <row r="8124" spans="2:15" x14ac:dyDescent="0.25">
      <c r="B8124" s="6" t="s">
        <v>154</v>
      </c>
      <c r="C8124" s="7" t="s">
        <v>155</v>
      </c>
      <c r="D8124" s="8" t="s">
        <v>178</v>
      </c>
      <c r="E8124" s="8" t="s">
        <v>179</v>
      </c>
      <c r="F8124" s="9">
        <f>DATE(2025,5,8)</f>
        <v>45785</v>
      </c>
      <c r="G8124" s="10">
        <f t="shared" si="729"/>
        <v>5</v>
      </c>
      <c r="H8124" s="10">
        <f t="shared" si="734"/>
        <v>2025</v>
      </c>
      <c r="I8124" s="8" t="s">
        <v>4</v>
      </c>
      <c r="J8124" s="7" t="s">
        <v>8598</v>
      </c>
      <c r="K8124" s="8" t="s">
        <v>189</v>
      </c>
      <c r="L8124" s="8" t="s">
        <v>190</v>
      </c>
      <c r="M8124" s="8" t="s">
        <v>191</v>
      </c>
      <c r="N8124" s="10" t="str">
        <f t="shared" si="735"/>
        <v>GAL</v>
      </c>
      <c r="O8124" s="11">
        <v>180</v>
      </c>
    </row>
    <row r="8125" spans="2:15" x14ac:dyDescent="0.25">
      <c r="B8125" s="6" t="s">
        <v>154</v>
      </c>
      <c r="C8125" s="7" t="s">
        <v>155</v>
      </c>
      <c r="D8125" s="8" t="s">
        <v>3962</v>
      </c>
      <c r="E8125" s="8" t="s">
        <v>8599</v>
      </c>
      <c r="F8125" s="9">
        <f>DATE(2025,5,9)</f>
        <v>45786</v>
      </c>
      <c r="G8125" s="10">
        <f t="shared" si="729"/>
        <v>5</v>
      </c>
      <c r="H8125" s="10">
        <f t="shared" si="734"/>
        <v>2025</v>
      </c>
      <c r="I8125" s="8" t="s">
        <v>4</v>
      </c>
      <c r="J8125" s="7" t="s">
        <v>8600</v>
      </c>
      <c r="K8125" s="8" t="s">
        <v>2493</v>
      </c>
      <c r="L8125" s="8" t="s">
        <v>2494</v>
      </c>
      <c r="M8125" s="8" t="s">
        <v>119</v>
      </c>
      <c r="N8125" s="10" t="str">
        <f t="shared" si="735"/>
        <v>TON</v>
      </c>
      <c r="O8125" s="11">
        <v>1.25</v>
      </c>
    </row>
    <row r="8126" spans="2:15" x14ac:dyDescent="0.25">
      <c r="B8126" s="6" t="s">
        <v>645</v>
      </c>
      <c r="C8126" s="7" t="s">
        <v>155</v>
      </c>
      <c r="D8126" s="8" t="s">
        <v>646</v>
      </c>
      <c r="E8126" s="8" t="s">
        <v>647</v>
      </c>
      <c r="F8126" s="9">
        <f>DATE(2025,5,9)</f>
        <v>45786</v>
      </c>
      <c r="G8126" s="10">
        <f t="shared" si="729"/>
        <v>5</v>
      </c>
      <c r="H8126" s="10">
        <f t="shared" si="734"/>
        <v>2025</v>
      </c>
      <c r="I8126" s="8" t="s">
        <v>4</v>
      </c>
      <c r="J8126" s="7" t="s">
        <v>8601</v>
      </c>
      <c r="K8126" s="8" t="s">
        <v>631</v>
      </c>
      <c r="L8126" s="8" t="s">
        <v>632</v>
      </c>
      <c r="M8126" s="8" t="s">
        <v>633</v>
      </c>
      <c r="N8126" s="10" t="str">
        <f t="shared" si="735"/>
        <v>GAL</v>
      </c>
      <c r="O8126" s="11">
        <v>250</v>
      </c>
    </row>
    <row r="8127" spans="2:15" x14ac:dyDescent="0.25">
      <c r="B8127" s="6" t="s">
        <v>154</v>
      </c>
      <c r="C8127" s="7" t="s">
        <v>155</v>
      </c>
      <c r="D8127" s="8" t="s">
        <v>167</v>
      </c>
      <c r="E8127" s="8" t="s">
        <v>168</v>
      </c>
      <c r="F8127" s="9">
        <f>DATE(2025,5,12)</f>
        <v>45789</v>
      </c>
      <c r="G8127" s="10">
        <f t="shared" si="729"/>
        <v>5</v>
      </c>
      <c r="H8127" s="10">
        <f t="shared" si="734"/>
        <v>2025</v>
      </c>
      <c r="I8127" s="8" t="s">
        <v>4</v>
      </c>
      <c r="J8127" s="7" t="s">
        <v>8602</v>
      </c>
      <c r="K8127" s="8" t="s">
        <v>158</v>
      </c>
      <c r="L8127" s="8" t="s">
        <v>159</v>
      </c>
      <c r="M8127" s="8" t="s">
        <v>160</v>
      </c>
      <c r="N8127" s="10" t="str">
        <f t="shared" si="735"/>
        <v>GAL</v>
      </c>
      <c r="O8127" s="11">
        <v>180</v>
      </c>
    </row>
    <row r="8128" spans="2:15" x14ac:dyDescent="0.25">
      <c r="B8128" s="6" t="s">
        <v>154</v>
      </c>
      <c r="C8128" s="7" t="s">
        <v>155</v>
      </c>
      <c r="D8128" s="8" t="s">
        <v>167</v>
      </c>
      <c r="E8128" s="8" t="s">
        <v>168</v>
      </c>
      <c r="F8128" s="9">
        <f>DATE(2025,5,12)</f>
        <v>45789</v>
      </c>
      <c r="G8128" s="10">
        <f t="shared" si="729"/>
        <v>5</v>
      </c>
      <c r="H8128" s="10">
        <f t="shared" si="734"/>
        <v>2025</v>
      </c>
      <c r="I8128" s="8" t="s">
        <v>4</v>
      </c>
      <c r="J8128" s="7" t="s">
        <v>8602</v>
      </c>
      <c r="K8128" s="8" t="s">
        <v>171</v>
      </c>
      <c r="L8128" s="8" t="s">
        <v>172</v>
      </c>
      <c r="M8128" s="8" t="s">
        <v>27</v>
      </c>
      <c r="N8128" s="10" t="str">
        <f t="shared" si="735"/>
        <v>GAL</v>
      </c>
      <c r="O8128" s="11">
        <v>180</v>
      </c>
    </row>
    <row r="8129" spans="2:15" x14ac:dyDescent="0.25">
      <c r="B8129" s="6" t="s">
        <v>154</v>
      </c>
      <c r="C8129" s="7" t="s">
        <v>155</v>
      </c>
      <c r="D8129" s="8" t="s">
        <v>507</v>
      </c>
      <c r="E8129" s="8" t="s">
        <v>508</v>
      </c>
      <c r="F8129" s="9">
        <f>DATE(2025,5,14)</f>
        <v>45791</v>
      </c>
      <c r="G8129" s="10">
        <f t="shared" si="729"/>
        <v>5</v>
      </c>
      <c r="H8129" s="10">
        <f t="shared" si="734"/>
        <v>2025</v>
      </c>
      <c r="I8129" s="8" t="s">
        <v>4</v>
      </c>
      <c r="J8129" s="7" t="s">
        <v>8603</v>
      </c>
      <c r="K8129" s="8" t="s">
        <v>2098</v>
      </c>
      <c r="L8129" s="8" t="s">
        <v>2099</v>
      </c>
      <c r="M8129" s="8" t="s">
        <v>2100</v>
      </c>
      <c r="N8129" s="10" t="str">
        <f t="shared" si="735"/>
        <v>GAL</v>
      </c>
      <c r="O8129" s="11">
        <v>180</v>
      </c>
    </row>
    <row r="8130" spans="2:15" x14ac:dyDescent="0.25">
      <c r="B8130" s="6" t="s">
        <v>154</v>
      </c>
      <c r="C8130" s="7" t="s">
        <v>155</v>
      </c>
      <c r="D8130" s="8" t="s">
        <v>167</v>
      </c>
      <c r="E8130" s="8" t="s">
        <v>168</v>
      </c>
      <c r="F8130" s="9">
        <f>DATE(2025,5,14)</f>
        <v>45791</v>
      </c>
      <c r="G8130" s="10">
        <f t="shared" si="729"/>
        <v>5</v>
      </c>
      <c r="H8130" s="10">
        <f t="shared" si="734"/>
        <v>2025</v>
      </c>
      <c r="I8130" s="8" t="s">
        <v>4</v>
      </c>
      <c r="J8130" s="7" t="s">
        <v>8604</v>
      </c>
      <c r="K8130" s="8" t="s">
        <v>158</v>
      </c>
      <c r="L8130" s="8" t="s">
        <v>159</v>
      </c>
      <c r="M8130" s="8" t="s">
        <v>160</v>
      </c>
      <c r="N8130" s="10" t="str">
        <f t="shared" si="735"/>
        <v>GAL</v>
      </c>
      <c r="O8130" s="11">
        <v>180</v>
      </c>
    </row>
    <row r="8131" spans="2:15" x14ac:dyDescent="0.25">
      <c r="B8131" s="6" t="s">
        <v>154</v>
      </c>
      <c r="C8131" s="7" t="s">
        <v>155</v>
      </c>
      <c r="D8131" s="8" t="s">
        <v>1838</v>
      </c>
      <c r="E8131" s="8" t="s">
        <v>1839</v>
      </c>
      <c r="F8131" s="9">
        <f>DATE(2025,5,14)</f>
        <v>45791</v>
      </c>
      <c r="G8131" s="10">
        <f t="shared" si="729"/>
        <v>5</v>
      </c>
      <c r="H8131" s="10">
        <f t="shared" si="734"/>
        <v>2025</v>
      </c>
      <c r="I8131" s="8" t="s">
        <v>4</v>
      </c>
      <c r="J8131" s="7" t="s">
        <v>8605</v>
      </c>
      <c r="K8131" s="8" t="s">
        <v>8606</v>
      </c>
      <c r="L8131" s="8" t="s">
        <v>8607</v>
      </c>
      <c r="M8131" s="8" t="s">
        <v>73</v>
      </c>
      <c r="N8131" s="10" t="str">
        <f t="shared" si="735"/>
        <v>GAL</v>
      </c>
      <c r="O8131" s="11">
        <v>900</v>
      </c>
    </row>
    <row r="8132" spans="2:15" x14ac:dyDescent="0.25">
      <c r="B8132" s="6" t="s">
        <v>154</v>
      </c>
      <c r="C8132" s="7" t="s">
        <v>155</v>
      </c>
      <c r="D8132" s="8" t="s">
        <v>167</v>
      </c>
      <c r="E8132" s="8" t="s">
        <v>168</v>
      </c>
      <c r="F8132" s="9">
        <f>DATE(2025,5,14)</f>
        <v>45791</v>
      </c>
      <c r="G8132" s="10">
        <f t="shared" ref="G8132:G8195" si="737">+MONTH(F8132)</f>
        <v>5</v>
      </c>
      <c r="H8132" s="10">
        <f t="shared" si="734"/>
        <v>2025</v>
      </c>
      <c r="I8132" s="8" t="s">
        <v>4</v>
      </c>
      <c r="J8132" s="7" t="s">
        <v>8608</v>
      </c>
      <c r="K8132" s="8" t="s">
        <v>25</v>
      </c>
      <c r="L8132" s="8" t="s">
        <v>541</v>
      </c>
      <c r="M8132" s="8" t="s">
        <v>27</v>
      </c>
      <c r="N8132" s="10" t="str">
        <f t="shared" si="735"/>
        <v>GAL</v>
      </c>
      <c r="O8132" s="11">
        <v>120</v>
      </c>
    </row>
    <row r="8133" spans="2:15" x14ac:dyDescent="0.25">
      <c r="B8133" s="6" t="s">
        <v>154</v>
      </c>
      <c r="C8133" s="7" t="s">
        <v>155</v>
      </c>
      <c r="D8133" s="8" t="s">
        <v>1838</v>
      </c>
      <c r="E8133" s="8" t="s">
        <v>1839</v>
      </c>
      <c r="F8133" s="9">
        <f>DATE(2025,5,15)</f>
        <v>45792</v>
      </c>
      <c r="G8133" s="10">
        <f t="shared" si="737"/>
        <v>5</v>
      </c>
      <c r="H8133" s="10">
        <f t="shared" si="734"/>
        <v>2025</v>
      </c>
      <c r="I8133" s="8" t="s">
        <v>4</v>
      </c>
      <c r="J8133" s="7" t="s">
        <v>8609</v>
      </c>
      <c r="K8133" s="8" t="s">
        <v>8606</v>
      </c>
      <c r="L8133" s="8" t="s">
        <v>8607</v>
      </c>
      <c r="M8133" s="8" t="s">
        <v>73</v>
      </c>
      <c r="N8133" s="10" t="str">
        <f t="shared" si="735"/>
        <v>GAL</v>
      </c>
      <c r="O8133" s="11">
        <v>1080</v>
      </c>
    </row>
    <row r="8134" spans="2:15" x14ac:dyDescent="0.25">
      <c r="B8134" s="6" t="s">
        <v>154</v>
      </c>
      <c r="C8134" s="7" t="s">
        <v>155</v>
      </c>
      <c r="D8134" s="8" t="s">
        <v>1838</v>
      </c>
      <c r="E8134" s="8" t="s">
        <v>1839</v>
      </c>
      <c r="F8134" s="9">
        <f>DATE(2025,5,15)</f>
        <v>45792</v>
      </c>
      <c r="G8134" s="10">
        <f t="shared" si="737"/>
        <v>5</v>
      </c>
      <c r="H8134" s="10">
        <f t="shared" si="734"/>
        <v>2025</v>
      </c>
      <c r="I8134" s="8" t="s">
        <v>4</v>
      </c>
      <c r="J8134" s="7" t="s">
        <v>8610</v>
      </c>
      <c r="K8134" s="8" t="s">
        <v>8606</v>
      </c>
      <c r="L8134" s="8" t="s">
        <v>8607</v>
      </c>
      <c r="M8134" s="8" t="s">
        <v>73</v>
      </c>
      <c r="N8134" s="10" t="str">
        <f t="shared" si="735"/>
        <v>GAL</v>
      </c>
      <c r="O8134" s="11">
        <v>1800</v>
      </c>
    </row>
    <row r="8135" spans="2:15" x14ac:dyDescent="0.25">
      <c r="B8135" s="6" t="s">
        <v>154</v>
      </c>
      <c r="C8135" s="7" t="s">
        <v>155</v>
      </c>
      <c r="D8135" s="8" t="s">
        <v>1103</v>
      </c>
      <c r="E8135" s="8" t="s">
        <v>1104</v>
      </c>
      <c r="F8135" s="9">
        <f>DATE(2025,5,20)</f>
        <v>45797</v>
      </c>
      <c r="G8135" s="10">
        <f t="shared" si="737"/>
        <v>5</v>
      </c>
      <c r="H8135" s="10">
        <f t="shared" si="734"/>
        <v>2025</v>
      </c>
      <c r="I8135" s="8" t="s">
        <v>4</v>
      </c>
      <c r="J8135" s="7" t="s">
        <v>8611</v>
      </c>
      <c r="K8135" s="8" t="s">
        <v>1106</v>
      </c>
      <c r="L8135" s="8" t="s">
        <v>1107</v>
      </c>
      <c r="M8135" s="8" t="s">
        <v>1108</v>
      </c>
      <c r="N8135" s="10" t="str">
        <f t="shared" si="735"/>
        <v>GAL</v>
      </c>
      <c r="O8135" s="11">
        <v>1000</v>
      </c>
    </row>
    <row r="8136" spans="2:15" x14ac:dyDescent="0.25">
      <c r="B8136" s="6" t="s">
        <v>154</v>
      </c>
      <c r="C8136" s="7" t="s">
        <v>155</v>
      </c>
      <c r="D8136" s="8" t="s">
        <v>1838</v>
      </c>
      <c r="E8136" s="8" t="s">
        <v>1839</v>
      </c>
      <c r="F8136" s="9">
        <f>DATE(2025,5,20)</f>
        <v>45797</v>
      </c>
      <c r="G8136" s="10">
        <f t="shared" si="737"/>
        <v>5</v>
      </c>
      <c r="H8136" s="10">
        <f t="shared" si="734"/>
        <v>2025</v>
      </c>
      <c r="I8136" s="8" t="s">
        <v>4</v>
      </c>
      <c r="J8136" s="7" t="s">
        <v>8612</v>
      </c>
      <c r="K8136" s="8" t="s">
        <v>8606</v>
      </c>
      <c r="L8136" s="8" t="s">
        <v>8607</v>
      </c>
      <c r="M8136" s="8" t="s">
        <v>73</v>
      </c>
      <c r="N8136" s="10" t="str">
        <f t="shared" si="735"/>
        <v>GAL</v>
      </c>
      <c r="O8136" s="11">
        <v>1260</v>
      </c>
    </row>
    <row r="8137" spans="2:15" x14ac:dyDescent="0.25">
      <c r="B8137" s="6" t="s">
        <v>154</v>
      </c>
      <c r="C8137" s="7" t="s">
        <v>155</v>
      </c>
      <c r="D8137" s="8" t="s">
        <v>1838</v>
      </c>
      <c r="E8137" s="8" t="s">
        <v>1839</v>
      </c>
      <c r="F8137" s="9">
        <f>DATE(2025,5,20)</f>
        <v>45797</v>
      </c>
      <c r="G8137" s="10">
        <f t="shared" si="737"/>
        <v>5</v>
      </c>
      <c r="H8137" s="10">
        <f t="shared" si="734"/>
        <v>2025</v>
      </c>
      <c r="I8137" s="8" t="s">
        <v>4</v>
      </c>
      <c r="J8137" s="7" t="s">
        <v>8613</v>
      </c>
      <c r="K8137" s="8" t="s">
        <v>8606</v>
      </c>
      <c r="L8137" s="8" t="s">
        <v>8607</v>
      </c>
      <c r="M8137" s="8" t="s">
        <v>73</v>
      </c>
      <c r="N8137" s="10" t="str">
        <f t="shared" si="735"/>
        <v>GAL</v>
      </c>
      <c r="O8137" s="11">
        <v>445</v>
      </c>
    </row>
    <row r="8138" spans="2:15" x14ac:dyDescent="0.25">
      <c r="B8138" s="6" t="s">
        <v>154</v>
      </c>
      <c r="C8138" s="7" t="s">
        <v>155</v>
      </c>
      <c r="D8138" s="8" t="s">
        <v>178</v>
      </c>
      <c r="E8138" s="8" t="s">
        <v>179</v>
      </c>
      <c r="F8138" s="9">
        <f>DATE(2025,5,21)</f>
        <v>45798</v>
      </c>
      <c r="G8138" s="10">
        <f t="shared" si="737"/>
        <v>5</v>
      </c>
      <c r="H8138" s="10">
        <f t="shared" si="734"/>
        <v>2025</v>
      </c>
      <c r="I8138" s="8" t="s">
        <v>4</v>
      </c>
      <c r="J8138" s="7" t="s">
        <v>8614</v>
      </c>
      <c r="K8138" s="8" t="s">
        <v>189</v>
      </c>
      <c r="L8138" s="8" t="s">
        <v>190</v>
      </c>
      <c r="M8138" s="8" t="s">
        <v>191</v>
      </c>
      <c r="N8138" s="10" t="str">
        <f t="shared" si="735"/>
        <v>GAL</v>
      </c>
      <c r="O8138" s="11">
        <v>180</v>
      </c>
    </row>
    <row r="8139" spans="2:15" x14ac:dyDescent="0.25">
      <c r="B8139" s="6" t="s">
        <v>154</v>
      </c>
      <c r="C8139" s="7" t="s">
        <v>155</v>
      </c>
      <c r="D8139" s="8" t="s">
        <v>628</v>
      </c>
      <c r="E8139" s="8" t="s">
        <v>629</v>
      </c>
      <c r="F8139" s="9">
        <f>DATE(2025,5,22)</f>
        <v>45799</v>
      </c>
      <c r="G8139" s="10">
        <f t="shared" si="737"/>
        <v>5</v>
      </c>
      <c r="H8139" s="10">
        <f t="shared" si="734"/>
        <v>2025</v>
      </c>
      <c r="I8139" s="8" t="s">
        <v>4</v>
      </c>
      <c r="J8139" s="7" t="s">
        <v>8615</v>
      </c>
      <c r="K8139" s="8" t="s">
        <v>1119</v>
      </c>
      <c r="L8139" s="8" t="s">
        <v>1023</v>
      </c>
      <c r="M8139" s="8" t="s">
        <v>1024</v>
      </c>
      <c r="N8139" s="10" t="str">
        <f t="shared" si="735"/>
        <v>GAL</v>
      </c>
      <c r="O8139" s="11">
        <v>720</v>
      </c>
    </row>
    <row r="8140" spans="2:15" x14ac:dyDescent="0.25">
      <c r="B8140" s="6" t="s">
        <v>154</v>
      </c>
      <c r="C8140" s="7" t="s">
        <v>155</v>
      </c>
      <c r="D8140" s="8" t="s">
        <v>507</v>
      </c>
      <c r="E8140" s="8" t="s">
        <v>508</v>
      </c>
      <c r="F8140" s="9">
        <f>DATE(2025,5,22)</f>
        <v>45799</v>
      </c>
      <c r="G8140" s="10">
        <f t="shared" si="737"/>
        <v>5</v>
      </c>
      <c r="H8140" s="10">
        <f t="shared" si="734"/>
        <v>2025</v>
      </c>
      <c r="I8140" s="8" t="s">
        <v>4</v>
      </c>
      <c r="J8140" s="7" t="s">
        <v>8616</v>
      </c>
      <c r="K8140" s="8" t="s">
        <v>164</v>
      </c>
      <c r="L8140" s="8" t="s">
        <v>165</v>
      </c>
      <c r="M8140" s="8" t="s">
        <v>166</v>
      </c>
      <c r="N8140" s="10" t="str">
        <f t="shared" si="735"/>
        <v>GAL</v>
      </c>
      <c r="O8140" s="11">
        <v>360</v>
      </c>
    </row>
    <row r="8141" spans="2:15" x14ac:dyDescent="0.25">
      <c r="B8141" s="6" t="s">
        <v>154</v>
      </c>
      <c r="C8141" s="7" t="s">
        <v>155</v>
      </c>
      <c r="D8141" s="8" t="s">
        <v>1111</v>
      </c>
      <c r="E8141" s="8" t="s">
        <v>1112</v>
      </c>
      <c r="F8141" s="9">
        <f>DATE(2025,5,23)</f>
        <v>45800</v>
      </c>
      <c r="G8141" s="10">
        <f t="shared" si="737"/>
        <v>5</v>
      </c>
      <c r="H8141" s="10">
        <f t="shared" si="734"/>
        <v>2025</v>
      </c>
      <c r="I8141" s="8" t="s">
        <v>4</v>
      </c>
      <c r="J8141" s="7" t="s">
        <v>8617</v>
      </c>
      <c r="K8141" s="8" t="s">
        <v>8618</v>
      </c>
      <c r="L8141" s="8" t="s">
        <v>1735</v>
      </c>
      <c r="M8141" s="8" t="s">
        <v>1736</v>
      </c>
      <c r="N8141" s="10" t="str">
        <f t="shared" si="735"/>
        <v>GAL</v>
      </c>
      <c r="O8141" s="11">
        <v>250</v>
      </c>
    </row>
    <row r="8142" spans="2:15" x14ac:dyDescent="0.25">
      <c r="B8142" s="6" t="s">
        <v>154</v>
      </c>
      <c r="C8142" s="7" t="s">
        <v>155</v>
      </c>
      <c r="D8142" s="8" t="s">
        <v>161</v>
      </c>
      <c r="E8142" s="8" t="s">
        <v>162</v>
      </c>
      <c r="F8142" s="9">
        <f>DATE(2025,5,23)</f>
        <v>45800</v>
      </c>
      <c r="G8142" s="10">
        <f t="shared" si="737"/>
        <v>5</v>
      </c>
      <c r="H8142" s="10">
        <f t="shared" si="734"/>
        <v>2025</v>
      </c>
      <c r="I8142" s="8" t="s">
        <v>4</v>
      </c>
      <c r="J8142" s="7" t="s">
        <v>8619</v>
      </c>
      <c r="K8142" s="8" t="s">
        <v>171</v>
      </c>
      <c r="L8142" s="8" t="s">
        <v>172</v>
      </c>
      <c r="M8142" s="8" t="s">
        <v>27</v>
      </c>
      <c r="N8142" s="10" t="str">
        <f t="shared" si="735"/>
        <v>GAL</v>
      </c>
      <c r="O8142" s="11">
        <v>180</v>
      </c>
    </row>
    <row r="8143" spans="2:15" x14ac:dyDescent="0.25">
      <c r="B8143" s="6" t="s">
        <v>154</v>
      </c>
      <c r="C8143" s="7" t="s">
        <v>155</v>
      </c>
      <c r="D8143" s="8" t="s">
        <v>161</v>
      </c>
      <c r="E8143" s="8" t="s">
        <v>162</v>
      </c>
      <c r="F8143" s="9">
        <f>DATE(2025,5,23)</f>
        <v>45800</v>
      </c>
      <c r="G8143" s="10">
        <f t="shared" si="737"/>
        <v>5</v>
      </c>
      <c r="H8143" s="10">
        <f t="shared" si="734"/>
        <v>2025</v>
      </c>
      <c r="I8143" s="8" t="s">
        <v>4</v>
      </c>
      <c r="J8143" s="7" t="s">
        <v>8619</v>
      </c>
      <c r="K8143" s="8" t="s">
        <v>189</v>
      </c>
      <c r="L8143" s="8" t="s">
        <v>190</v>
      </c>
      <c r="M8143" s="8" t="s">
        <v>191</v>
      </c>
      <c r="N8143" s="10" t="str">
        <f t="shared" si="735"/>
        <v>GAL</v>
      </c>
      <c r="O8143" s="11">
        <v>180</v>
      </c>
    </row>
    <row r="8144" spans="2:15" x14ac:dyDescent="0.25">
      <c r="B8144" s="6" t="s">
        <v>154</v>
      </c>
      <c r="C8144" s="7" t="s">
        <v>155</v>
      </c>
      <c r="D8144" s="8" t="s">
        <v>161</v>
      </c>
      <c r="E8144" s="8" t="s">
        <v>162</v>
      </c>
      <c r="F8144" s="9">
        <f>DATE(2025,5,23)</f>
        <v>45800</v>
      </c>
      <c r="G8144" s="10">
        <f t="shared" si="737"/>
        <v>5</v>
      </c>
      <c r="H8144" s="10">
        <f t="shared" si="734"/>
        <v>2025</v>
      </c>
      <c r="I8144" s="8" t="s">
        <v>4</v>
      </c>
      <c r="J8144" s="7" t="s">
        <v>8619</v>
      </c>
      <c r="K8144" s="8" t="s">
        <v>5212</v>
      </c>
      <c r="L8144" s="8" t="s">
        <v>190</v>
      </c>
      <c r="M8144" s="8" t="s">
        <v>191</v>
      </c>
      <c r="N8144" s="10" t="str">
        <f t="shared" si="735"/>
        <v>GAL</v>
      </c>
      <c r="O8144" s="11">
        <v>500</v>
      </c>
    </row>
    <row r="8145" spans="2:15" x14ac:dyDescent="0.25">
      <c r="B8145" s="6" t="s">
        <v>154</v>
      </c>
      <c r="C8145" s="7" t="s">
        <v>155</v>
      </c>
      <c r="D8145" s="8" t="s">
        <v>167</v>
      </c>
      <c r="E8145" s="8" t="s">
        <v>168</v>
      </c>
      <c r="F8145" s="9">
        <f>DATE(2025,5,23)</f>
        <v>45800</v>
      </c>
      <c r="G8145" s="10">
        <f t="shared" si="737"/>
        <v>5</v>
      </c>
      <c r="H8145" s="10">
        <f t="shared" si="734"/>
        <v>2025</v>
      </c>
      <c r="I8145" s="8" t="s">
        <v>4</v>
      </c>
      <c r="J8145" s="7" t="s">
        <v>8620</v>
      </c>
      <c r="K8145" s="8" t="s">
        <v>1734</v>
      </c>
      <c r="L8145" s="8" t="s">
        <v>1735</v>
      </c>
      <c r="M8145" s="8" t="s">
        <v>1736</v>
      </c>
      <c r="N8145" s="10" t="str">
        <f t="shared" si="735"/>
        <v>GAL</v>
      </c>
      <c r="O8145" s="11">
        <v>70</v>
      </c>
    </row>
    <row r="8146" spans="2:15" x14ac:dyDescent="0.25">
      <c r="B8146" s="6" t="s">
        <v>154</v>
      </c>
      <c r="C8146" s="7" t="s">
        <v>155</v>
      </c>
      <c r="D8146" s="8" t="s">
        <v>161</v>
      </c>
      <c r="E8146" s="8" t="s">
        <v>162</v>
      </c>
      <c r="F8146" s="9">
        <f>DATE(2025,5,27)</f>
        <v>45804</v>
      </c>
      <c r="G8146" s="10">
        <f t="shared" si="737"/>
        <v>5</v>
      </c>
      <c r="H8146" s="10">
        <f t="shared" si="734"/>
        <v>2025</v>
      </c>
      <c r="I8146" s="8" t="s">
        <v>4</v>
      </c>
      <c r="J8146" s="7" t="s">
        <v>8621</v>
      </c>
      <c r="K8146" s="8" t="s">
        <v>1734</v>
      </c>
      <c r="L8146" s="8" t="s">
        <v>1735</v>
      </c>
      <c r="M8146" s="8" t="s">
        <v>1736</v>
      </c>
      <c r="N8146" s="10" t="str">
        <f t="shared" si="735"/>
        <v>GAL</v>
      </c>
      <c r="O8146" s="11">
        <v>180</v>
      </c>
    </row>
    <row r="8147" spans="2:15" x14ac:dyDescent="0.25">
      <c r="B8147" s="6" t="s">
        <v>154</v>
      </c>
      <c r="C8147" s="7" t="s">
        <v>155</v>
      </c>
      <c r="D8147" s="8" t="s">
        <v>161</v>
      </c>
      <c r="E8147" s="8" t="s">
        <v>162</v>
      </c>
      <c r="F8147" s="9">
        <f>DATE(2025,5,27)</f>
        <v>45804</v>
      </c>
      <c r="G8147" s="10">
        <f t="shared" si="737"/>
        <v>5</v>
      </c>
      <c r="H8147" s="10">
        <f t="shared" si="734"/>
        <v>2025</v>
      </c>
      <c r="I8147" s="8" t="s">
        <v>4</v>
      </c>
      <c r="J8147" s="7" t="s">
        <v>8622</v>
      </c>
      <c r="K8147" s="8" t="s">
        <v>5212</v>
      </c>
      <c r="L8147" s="8" t="s">
        <v>190</v>
      </c>
      <c r="M8147" s="8" t="s">
        <v>191</v>
      </c>
      <c r="N8147" s="10" t="str">
        <f t="shared" si="735"/>
        <v>GAL</v>
      </c>
      <c r="O8147" s="11">
        <v>250</v>
      </c>
    </row>
    <row r="8148" spans="2:15" x14ac:dyDescent="0.25">
      <c r="B8148" s="6" t="s">
        <v>154</v>
      </c>
      <c r="C8148" s="7" t="s">
        <v>155</v>
      </c>
      <c r="D8148" s="8" t="s">
        <v>167</v>
      </c>
      <c r="E8148" s="8" t="s">
        <v>168</v>
      </c>
      <c r="F8148" s="9">
        <f t="shared" ref="F8148:F8154" si="738">DATE(2025,5,28)</f>
        <v>45805</v>
      </c>
      <c r="G8148" s="10">
        <f t="shared" si="737"/>
        <v>5</v>
      </c>
      <c r="H8148" s="10">
        <f t="shared" si="734"/>
        <v>2025</v>
      </c>
      <c r="I8148" s="8" t="s">
        <v>4</v>
      </c>
      <c r="J8148" s="7" t="s">
        <v>8623</v>
      </c>
      <c r="K8148" s="8" t="s">
        <v>1734</v>
      </c>
      <c r="L8148" s="8" t="s">
        <v>1735</v>
      </c>
      <c r="M8148" s="8" t="s">
        <v>1736</v>
      </c>
      <c r="N8148" s="10" t="str">
        <f t="shared" si="735"/>
        <v>GAL</v>
      </c>
      <c r="O8148" s="11">
        <v>120</v>
      </c>
    </row>
    <row r="8149" spans="2:15" x14ac:dyDescent="0.25">
      <c r="B8149" s="6" t="s">
        <v>154</v>
      </c>
      <c r="C8149" s="7" t="s">
        <v>155</v>
      </c>
      <c r="D8149" s="8" t="s">
        <v>167</v>
      </c>
      <c r="E8149" s="8" t="s">
        <v>168</v>
      </c>
      <c r="F8149" s="9">
        <f t="shared" si="738"/>
        <v>45805</v>
      </c>
      <c r="G8149" s="10">
        <f t="shared" si="737"/>
        <v>5</v>
      </c>
      <c r="H8149" s="10">
        <f t="shared" si="734"/>
        <v>2025</v>
      </c>
      <c r="I8149" s="8" t="s">
        <v>4</v>
      </c>
      <c r="J8149" s="7" t="s">
        <v>8623</v>
      </c>
      <c r="K8149" s="8" t="s">
        <v>171</v>
      </c>
      <c r="L8149" s="8" t="s">
        <v>172</v>
      </c>
      <c r="M8149" s="8" t="s">
        <v>27</v>
      </c>
      <c r="N8149" s="10" t="str">
        <f t="shared" si="735"/>
        <v>GAL</v>
      </c>
      <c r="O8149" s="11">
        <v>180</v>
      </c>
    </row>
    <row r="8150" spans="2:15" x14ac:dyDescent="0.25">
      <c r="B8150" s="6" t="s">
        <v>154</v>
      </c>
      <c r="C8150" s="7" t="s">
        <v>155</v>
      </c>
      <c r="D8150" s="8" t="s">
        <v>628</v>
      </c>
      <c r="E8150" s="8" t="s">
        <v>629</v>
      </c>
      <c r="F8150" s="9">
        <f t="shared" si="738"/>
        <v>45805</v>
      </c>
      <c r="G8150" s="10">
        <f t="shared" si="737"/>
        <v>5</v>
      </c>
      <c r="H8150" s="10">
        <f t="shared" ref="H8150:H8213" si="739">+YEAR(F8150)</f>
        <v>2025</v>
      </c>
      <c r="I8150" s="8" t="s">
        <v>4</v>
      </c>
      <c r="J8150" s="7" t="s">
        <v>8624</v>
      </c>
      <c r="K8150" s="8" t="s">
        <v>8348</v>
      </c>
      <c r="L8150" s="8" t="s">
        <v>1854</v>
      </c>
      <c r="M8150" s="8" t="s">
        <v>1816</v>
      </c>
      <c r="N8150" s="10" t="str">
        <f t="shared" si="735"/>
        <v>GAL</v>
      </c>
      <c r="O8150" s="11">
        <v>750</v>
      </c>
    </row>
    <row r="8151" spans="2:15" x14ac:dyDescent="0.25">
      <c r="B8151" s="6" t="s">
        <v>154</v>
      </c>
      <c r="C8151" s="7" t="s">
        <v>155</v>
      </c>
      <c r="D8151" s="8" t="s">
        <v>628</v>
      </c>
      <c r="E8151" s="8" t="s">
        <v>629</v>
      </c>
      <c r="F8151" s="9">
        <f t="shared" si="738"/>
        <v>45805</v>
      </c>
      <c r="G8151" s="10">
        <f t="shared" si="737"/>
        <v>5</v>
      </c>
      <c r="H8151" s="10">
        <f t="shared" si="739"/>
        <v>2025</v>
      </c>
      <c r="I8151" s="8" t="s">
        <v>4</v>
      </c>
      <c r="J8151" s="7" t="s">
        <v>8625</v>
      </c>
      <c r="K8151" s="8" t="s">
        <v>1869</v>
      </c>
      <c r="L8151" s="8" t="s">
        <v>172</v>
      </c>
      <c r="M8151" s="8" t="s">
        <v>27</v>
      </c>
      <c r="N8151" s="10" t="str">
        <f t="shared" ref="N8151:N8214" si="740">+LEFT(M8151,3)</f>
        <v>GAL</v>
      </c>
      <c r="O8151" s="11">
        <v>500</v>
      </c>
    </row>
    <row r="8152" spans="2:15" x14ac:dyDescent="0.25">
      <c r="B8152" s="6" t="s">
        <v>154</v>
      </c>
      <c r="C8152" s="7" t="s">
        <v>155</v>
      </c>
      <c r="D8152" s="8" t="s">
        <v>628</v>
      </c>
      <c r="E8152" s="8" t="s">
        <v>629</v>
      </c>
      <c r="F8152" s="9">
        <f t="shared" si="738"/>
        <v>45805</v>
      </c>
      <c r="G8152" s="10">
        <f t="shared" si="737"/>
        <v>5</v>
      </c>
      <c r="H8152" s="10">
        <f t="shared" si="739"/>
        <v>2025</v>
      </c>
      <c r="I8152" s="8" t="s">
        <v>4</v>
      </c>
      <c r="J8152" s="7" t="s">
        <v>8626</v>
      </c>
      <c r="K8152" s="8" t="s">
        <v>1119</v>
      </c>
      <c r="L8152" s="8" t="s">
        <v>1023</v>
      </c>
      <c r="M8152" s="8" t="s">
        <v>1024</v>
      </c>
      <c r="N8152" s="10" t="str">
        <f t="shared" si="740"/>
        <v>GAL</v>
      </c>
      <c r="O8152" s="11">
        <v>720</v>
      </c>
    </row>
    <row r="8153" spans="2:15" x14ac:dyDescent="0.25">
      <c r="B8153" s="6" t="s">
        <v>154</v>
      </c>
      <c r="C8153" s="7" t="s">
        <v>155</v>
      </c>
      <c r="D8153" s="8" t="s">
        <v>628</v>
      </c>
      <c r="E8153" s="8" t="s">
        <v>629</v>
      </c>
      <c r="F8153" s="9">
        <f t="shared" si="738"/>
        <v>45805</v>
      </c>
      <c r="G8153" s="10">
        <f t="shared" si="737"/>
        <v>5</v>
      </c>
      <c r="H8153" s="10">
        <f t="shared" si="739"/>
        <v>2025</v>
      </c>
      <c r="I8153" s="8" t="s">
        <v>4</v>
      </c>
      <c r="J8153" s="7" t="s">
        <v>8627</v>
      </c>
      <c r="K8153" s="8" t="s">
        <v>171</v>
      </c>
      <c r="L8153" s="8" t="s">
        <v>172</v>
      </c>
      <c r="M8153" s="8" t="s">
        <v>27</v>
      </c>
      <c r="N8153" s="10" t="str">
        <f t="shared" si="740"/>
        <v>GAL</v>
      </c>
      <c r="O8153" s="11">
        <v>180</v>
      </c>
    </row>
    <row r="8154" spans="2:15" x14ac:dyDescent="0.25">
      <c r="B8154" s="6" t="s">
        <v>154</v>
      </c>
      <c r="C8154" s="7" t="s">
        <v>155</v>
      </c>
      <c r="D8154" s="8" t="s">
        <v>507</v>
      </c>
      <c r="E8154" s="8" t="s">
        <v>508</v>
      </c>
      <c r="F8154" s="9">
        <f t="shared" si="738"/>
        <v>45805</v>
      </c>
      <c r="G8154" s="10">
        <f t="shared" si="737"/>
        <v>5</v>
      </c>
      <c r="H8154" s="10">
        <f t="shared" si="739"/>
        <v>2025</v>
      </c>
      <c r="I8154" s="8" t="s">
        <v>4</v>
      </c>
      <c r="J8154" s="7" t="s">
        <v>8628</v>
      </c>
      <c r="K8154" s="8" t="s">
        <v>513</v>
      </c>
      <c r="L8154" s="8" t="s">
        <v>514</v>
      </c>
      <c r="M8154" s="8" t="s">
        <v>119</v>
      </c>
      <c r="N8154" s="10" t="str">
        <f t="shared" si="740"/>
        <v>TON</v>
      </c>
      <c r="O8154" s="11">
        <v>1.25</v>
      </c>
    </row>
    <row r="8155" spans="2:15" x14ac:dyDescent="0.25">
      <c r="B8155" s="6" t="s">
        <v>154</v>
      </c>
      <c r="C8155" s="7" t="s">
        <v>155</v>
      </c>
      <c r="D8155" s="8" t="s">
        <v>591</v>
      </c>
      <c r="E8155" s="8" t="s">
        <v>592</v>
      </c>
      <c r="F8155" s="9">
        <f>DATE(2025,5,29)</f>
        <v>45806</v>
      </c>
      <c r="G8155" s="10">
        <f t="shared" si="737"/>
        <v>5</v>
      </c>
      <c r="H8155" s="10">
        <f t="shared" si="739"/>
        <v>2025</v>
      </c>
      <c r="I8155" s="8" t="s">
        <v>4</v>
      </c>
      <c r="J8155" s="7" t="s">
        <v>8629</v>
      </c>
      <c r="K8155" s="8" t="s">
        <v>1098</v>
      </c>
      <c r="L8155" s="8" t="s">
        <v>632</v>
      </c>
      <c r="M8155" s="8" t="s">
        <v>633</v>
      </c>
      <c r="N8155" s="10" t="str">
        <f t="shared" si="740"/>
        <v>GAL</v>
      </c>
      <c r="O8155" s="11">
        <v>2483</v>
      </c>
    </row>
    <row r="8156" spans="2:15" x14ac:dyDescent="0.25">
      <c r="B8156" s="6" t="s">
        <v>154</v>
      </c>
      <c r="C8156" s="7" t="s">
        <v>155</v>
      </c>
      <c r="D8156" s="8" t="s">
        <v>1111</v>
      </c>
      <c r="E8156" s="8" t="s">
        <v>1112</v>
      </c>
      <c r="F8156" s="9">
        <f>DATE(2025,5,30)</f>
        <v>45807</v>
      </c>
      <c r="G8156" s="10">
        <f t="shared" si="737"/>
        <v>5</v>
      </c>
      <c r="H8156" s="10">
        <f t="shared" si="739"/>
        <v>2025</v>
      </c>
      <c r="I8156" s="8" t="s">
        <v>4</v>
      </c>
      <c r="J8156" s="7" t="s">
        <v>8630</v>
      </c>
      <c r="K8156" s="8" t="s">
        <v>1869</v>
      </c>
      <c r="L8156" s="8" t="s">
        <v>172</v>
      </c>
      <c r="M8156" s="8" t="s">
        <v>27</v>
      </c>
      <c r="N8156" s="10" t="str">
        <f t="shared" si="740"/>
        <v>GAL</v>
      </c>
      <c r="O8156" s="11">
        <v>750</v>
      </c>
    </row>
    <row r="8157" spans="2:15" x14ac:dyDescent="0.25">
      <c r="B8157" s="6" t="s">
        <v>154</v>
      </c>
      <c r="C8157" s="7" t="s">
        <v>155</v>
      </c>
      <c r="D8157" s="8" t="s">
        <v>167</v>
      </c>
      <c r="E8157" s="8" t="s">
        <v>168</v>
      </c>
      <c r="F8157" s="9">
        <f>DATE(2025,5,30)</f>
        <v>45807</v>
      </c>
      <c r="G8157" s="10">
        <f t="shared" si="737"/>
        <v>5</v>
      </c>
      <c r="H8157" s="10">
        <f t="shared" si="739"/>
        <v>2025</v>
      </c>
      <c r="I8157" s="8" t="s">
        <v>4</v>
      </c>
      <c r="J8157" s="7" t="s">
        <v>8631</v>
      </c>
      <c r="K8157" s="8" t="s">
        <v>171</v>
      </c>
      <c r="L8157" s="8" t="s">
        <v>172</v>
      </c>
      <c r="M8157" s="8" t="s">
        <v>27</v>
      </c>
      <c r="N8157" s="10" t="str">
        <f t="shared" si="740"/>
        <v>GAL</v>
      </c>
      <c r="O8157" s="11">
        <v>180</v>
      </c>
    </row>
    <row r="8158" spans="2:15" x14ac:dyDescent="0.25">
      <c r="B8158" s="6" t="s">
        <v>1520</v>
      </c>
      <c r="C8158" s="7" t="s">
        <v>196</v>
      </c>
      <c r="D8158" s="8" t="s">
        <v>114</v>
      </c>
      <c r="E8158" s="8" t="s">
        <v>5054</v>
      </c>
      <c r="F8158" s="9">
        <f t="shared" ref="F8158:F8164" si="741">DATE(2025,5,1)</f>
        <v>45778</v>
      </c>
      <c r="G8158" s="10">
        <f t="shared" si="737"/>
        <v>5</v>
      </c>
      <c r="H8158" s="10">
        <f t="shared" si="739"/>
        <v>2025</v>
      </c>
      <c r="I8158" s="8" t="s">
        <v>4</v>
      </c>
      <c r="J8158" s="7" t="s">
        <v>8632</v>
      </c>
      <c r="K8158" s="8" t="s">
        <v>2776</v>
      </c>
      <c r="L8158" s="8" t="s">
        <v>2777</v>
      </c>
      <c r="M8158" s="8" t="s">
        <v>119</v>
      </c>
      <c r="N8158" s="10" t="str">
        <f t="shared" si="740"/>
        <v>TON</v>
      </c>
      <c r="O8158" s="11">
        <v>10.515000000000001</v>
      </c>
    </row>
    <row r="8159" spans="2:15" x14ac:dyDescent="0.25">
      <c r="B8159" s="6" t="s">
        <v>1520</v>
      </c>
      <c r="C8159" s="7" t="s">
        <v>196</v>
      </c>
      <c r="D8159" s="8" t="s">
        <v>215</v>
      </c>
      <c r="E8159" s="8" t="s">
        <v>315</v>
      </c>
      <c r="F8159" s="9">
        <f t="shared" si="741"/>
        <v>45778</v>
      </c>
      <c r="G8159" s="10">
        <f t="shared" si="737"/>
        <v>5</v>
      </c>
      <c r="H8159" s="10">
        <f t="shared" si="739"/>
        <v>2025</v>
      </c>
      <c r="I8159" s="8" t="s">
        <v>4</v>
      </c>
      <c r="J8159" s="7" t="s">
        <v>8633</v>
      </c>
      <c r="K8159" s="8" t="s">
        <v>205</v>
      </c>
      <c r="L8159" s="8" t="s">
        <v>206</v>
      </c>
      <c r="M8159" s="8" t="s">
        <v>119</v>
      </c>
      <c r="N8159" s="10" t="str">
        <f t="shared" si="740"/>
        <v>TON</v>
      </c>
      <c r="O8159" s="11">
        <v>4.0075000000000003</v>
      </c>
    </row>
    <row r="8160" spans="2:15" x14ac:dyDescent="0.25">
      <c r="B8160" s="6" t="s">
        <v>1520</v>
      </c>
      <c r="C8160" s="7" t="s">
        <v>196</v>
      </c>
      <c r="D8160" s="8" t="s">
        <v>317</v>
      </c>
      <c r="E8160" s="8" t="s">
        <v>677</v>
      </c>
      <c r="F8160" s="9">
        <f t="shared" si="741"/>
        <v>45778</v>
      </c>
      <c r="G8160" s="10">
        <f t="shared" si="737"/>
        <v>5</v>
      </c>
      <c r="H8160" s="10">
        <f t="shared" si="739"/>
        <v>2025</v>
      </c>
      <c r="I8160" s="8" t="s">
        <v>4</v>
      </c>
      <c r="J8160" s="7" t="s">
        <v>8634</v>
      </c>
      <c r="K8160" s="8" t="s">
        <v>2776</v>
      </c>
      <c r="L8160" s="8" t="s">
        <v>2777</v>
      </c>
      <c r="M8160" s="8" t="s">
        <v>119</v>
      </c>
      <c r="N8160" s="10" t="str">
        <f t="shared" si="740"/>
        <v>TON</v>
      </c>
      <c r="O8160" s="11">
        <v>3.5024999999999999</v>
      </c>
    </row>
    <row r="8161" spans="2:15" x14ac:dyDescent="0.25">
      <c r="B8161" s="6" t="s">
        <v>1520</v>
      </c>
      <c r="C8161" s="7" t="s">
        <v>196</v>
      </c>
      <c r="D8161" s="8" t="s">
        <v>241</v>
      </c>
      <c r="E8161" s="8" t="s">
        <v>258</v>
      </c>
      <c r="F8161" s="9">
        <f t="shared" si="741"/>
        <v>45778</v>
      </c>
      <c r="G8161" s="10">
        <f t="shared" si="737"/>
        <v>5</v>
      </c>
      <c r="H8161" s="10">
        <f t="shared" si="739"/>
        <v>2025</v>
      </c>
      <c r="I8161" s="8" t="s">
        <v>4</v>
      </c>
      <c r="J8161" s="7" t="s">
        <v>8635</v>
      </c>
      <c r="K8161" s="8" t="s">
        <v>3458</v>
      </c>
      <c r="L8161" s="8" t="s">
        <v>3459</v>
      </c>
      <c r="M8161" s="8" t="s">
        <v>119</v>
      </c>
      <c r="N8161" s="10" t="str">
        <f t="shared" si="740"/>
        <v>TON</v>
      </c>
      <c r="O8161" s="11">
        <v>2.2625000000000002</v>
      </c>
    </row>
    <row r="8162" spans="2:15" x14ac:dyDescent="0.25">
      <c r="B8162" s="6" t="s">
        <v>645</v>
      </c>
      <c r="C8162" s="7" t="s">
        <v>196</v>
      </c>
      <c r="D8162" s="8" t="s">
        <v>884</v>
      </c>
      <c r="E8162" s="8" t="s">
        <v>141</v>
      </c>
      <c r="F8162" s="9">
        <f t="shared" si="741"/>
        <v>45778</v>
      </c>
      <c r="G8162" s="10">
        <f t="shared" si="737"/>
        <v>5</v>
      </c>
      <c r="H8162" s="10">
        <f t="shared" si="739"/>
        <v>2025</v>
      </c>
      <c r="I8162" s="8" t="s">
        <v>4</v>
      </c>
      <c r="J8162" s="7" t="s">
        <v>8636</v>
      </c>
      <c r="K8162" s="8" t="s">
        <v>384</v>
      </c>
      <c r="L8162" s="8" t="s">
        <v>385</v>
      </c>
      <c r="M8162" s="8" t="s">
        <v>119</v>
      </c>
      <c r="N8162" s="10" t="str">
        <f t="shared" si="740"/>
        <v>TON</v>
      </c>
      <c r="O8162" s="11">
        <v>2</v>
      </c>
    </row>
    <row r="8163" spans="2:15" x14ac:dyDescent="0.25">
      <c r="B8163" s="6" t="s">
        <v>1520</v>
      </c>
      <c r="C8163" s="7" t="s">
        <v>196</v>
      </c>
      <c r="D8163" s="8" t="s">
        <v>232</v>
      </c>
      <c r="E8163" s="8" t="s">
        <v>6657</v>
      </c>
      <c r="F8163" s="9">
        <f t="shared" si="741"/>
        <v>45778</v>
      </c>
      <c r="G8163" s="10">
        <f t="shared" si="737"/>
        <v>5</v>
      </c>
      <c r="H8163" s="10">
        <f t="shared" si="739"/>
        <v>2025</v>
      </c>
      <c r="I8163" s="8" t="s">
        <v>4</v>
      </c>
      <c r="J8163" s="7" t="s">
        <v>8637</v>
      </c>
      <c r="K8163" s="8" t="s">
        <v>205</v>
      </c>
      <c r="L8163" s="8" t="s">
        <v>206</v>
      </c>
      <c r="M8163" s="8" t="s">
        <v>119</v>
      </c>
      <c r="N8163" s="10" t="str">
        <f t="shared" si="740"/>
        <v>TON</v>
      </c>
      <c r="O8163" s="11">
        <v>3.75</v>
      </c>
    </row>
    <row r="8164" spans="2:15" x14ac:dyDescent="0.25">
      <c r="B8164" s="6" t="s">
        <v>1520</v>
      </c>
      <c r="C8164" s="7" t="s">
        <v>196</v>
      </c>
      <c r="D8164" s="8" t="s">
        <v>374</v>
      </c>
      <c r="E8164" s="8" t="s">
        <v>717</v>
      </c>
      <c r="F8164" s="9">
        <f t="shared" si="741"/>
        <v>45778</v>
      </c>
      <c r="G8164" s="10">
        <f t="shared" si="737"/>
        <v>5</v>
      </c>
      <c r="H8164" s="10">
        <f t="shared" si="739"/>
        <v>2025</v>
      </c>
      <c r="I8164" s="8" t="s">
        <v>4</v>
      </c>
      <c r="J8164" s="7" t="s">
        <v>8638</v>
      </c>
      <c r="K8164" s="8" t="s">
        <v>1301</v>
      </c>
      <c r="L8164" s="8" t="s">
        <v>1302</v>
      </c>
      <c r="M8164" s="8" t="s">
        <v>119</v>
      </c>
      <c r="N8164" s="10" t="str">
        <f t="shared" si="740"/>
        <v>TON</v>
      </c>
      <c r="O8164" s="11">
        <v>15.022500000000001</v>
      </c>
    </row>
    <row r="8165" spans="2:15" x14ac:dyDescent="0.25">
      <c r="B8165" s="6" t="s">
        <v>1520</v>
      </c>
      <c r="C8165" s="7" t="s">
        <v>196</v>
      </c>
      <c r="D8165" s="8" t="s">
        <v>331</v>
      </c>
      <c r="E8165" s="8" t="s">
        <v>332</v>
      </c>
      <c r="F8165" s="9">
        <f>DATE(2025,5,2)</f>
        <v>45779</v>
      </c>
      <c r="G8165" s="10">
        <f t="shared" si="737"/>
        <v>5</v>
      </c>
      <c r="H8165" s="10">
        <f t="shared" si="739"/>
        <v>2025</v>
      </c>
      <c r="I8165" s="8" t="s">
        <v>4</v>
      </c>
      <c r="J8165" s="7" t="s">
        <v>8639</v>
      </c>
      <c r="K8165" s="8" t="s">
        <v>499</v>
      </c>
      <c r="L8165" s="8" t="s">
        <v>500</v>
      </c>
      <c r="M8165" s="8" t="s">
        <v>119</v>
      </c>
      <c r="N8165" s="10" t="str">
        <f t="shared" si="740"/>
        <v>TON</v>
      </c>
      <c r="O8165" s="11">
        <v>10</v>
      </c>
    </row>
    <row r="8166" spans="2:15" x14ac:dyDescent="0.25">
      <c r="B8166" s="6" t="s">
        <v>1520</v>
      </c>
      <c r="C8166" s="7" t="s">
        <v>196</v>
      </c>
      <c r="D8166" s="8" t="s">
        <v>289</v>
      </c>
      <c r="E8166" s="8" t="s">
        <v>290</v>
      </c>
      <c r="F8166" s="9">
        <f>DATE(2025,5,2)</f>
        <v>45779</v>
      </c>
      <c r="G8166" s="10">
        <f t="shared" si="737"/>
        <v>5</v>
      </c>
      <c r="H8166" s="10">
        <f t="shared" si="739"/>
        <v>2025</v>
      </c>
      <c r="I8166" s="8" t="s">
        <v>4</v>
      </c>
      <c r="J8166" s="7" t="s">
        <v>8640</v>
      </c>
      <c r="K8166" s="8" t="s">
        <v>268</v>
      </c>
      <c r="L8166" s="8" t="s">
        <v>269</v>
      </c>
      <c r="M8166" s="8" t="s">
        <v>119</v>
      </c>
      <c r="N8166" s="10" t="str">
        <f t="shared" si="740"/>
        <v>TON</v>
      </c>
      <c r="O8166" s="11">
        <v>1</v>
      </c>
    </row>
    <row r="8167" spans="2:15" x14ac:dyDescent="0.25">
      <c r="B8167" s="6" t="s">
        <v>1520</v>
      </c>
      <c r="C8167" s="7" t="s">
        <v>196</v>
      </c>
      <c r="D8167" s="8" t="s">
        <v>440</v>
      </c>
      <c r="E8167" s="8" t="s">
        <v>441</v>
      </c>
      <c r="F8167" s="9">
        <f t="shared" ref="F8167:F8173" si="742">DATE(2025,5,5)</f>
        <v>45782</v>
      </c>
      <c r="G8167" s="10">
        <f t="shared" si="737"/>
        <v>5</v>
      </c>
      <c r="H8167" s="10">
        <f t="shared" si="739"/>
        <v>2025</v>
      </c>
      <c r="I8167" s="8" t="s">
        <v>4</v>
      </c>
      <c r="J8167" s="7" t="s">
        <v>8641</v>
      </c>
      <c r="K8167" s="8" t="s">
        <v>7787</v>
      </c>
      <c r="L8167" s="8" t="s">
        <v>7788</v>
      </c>
      <c r="M8167" s="8" t="s">
        <v>119</v>
      </c>
      <c r="N8167" s="10" t="str">
        <f t="shared" si="740"/>
        <v>TON</v>
      </c>
      <c r="O8167" s="11">
        <v>10</v>
      </c>
    </row>
    <row r="8168" spans="2:15" x14ac:dyDescent="0.25">
      <c r="B8168" s="6" t="s">
        <v>1520</v>
      </c>
      <c r="C8168" s="7" t="s">
        <v>196</v>
      </c>
      <c r="D8168" s="8" t="s">
        <v>440</v>
      </c>
      <c r="E8168" s="8" t="s">
        <v>1369</v>
      </c>
      <c r="F8168" s="9">
        <f t="shared" si="742"/>
        <v>45782</v>
      </c>
      <c r="G8168" s="10">
        <f t="shared" si="737"/>
        <v>5</v>
      </c>
      <c r="H8168" s="10">
        <f t="shared" si="739"/>
        <v>2025</v>
      </c>
      <c r="I8168" s="8" t="s">
        <v>4</v>
      </c>
      <c r="J8168" s="7" t="s">
        <v>8642</v>
      </c>
      <c r="K8168" s="8" t="s">
        <v>7787</v>
      </c>
      <c r="L8168" s="8" t="s">
        <v>7788</v>
      </c>
      <c r="M8168" s="8" t="s">
        <v>119</v>
      </c>
      <c r="N8168" s="10" t="str">
        <f t="shared" si="740"/>
        <v>TON</v>
      </c>
      <c r="O8168" s="11">
        <v>5</v>
      </c>
    </row>
    <row r="8169" spans="2:15" x14ac:dyDescent="0.25">
      <c r="B8169" s="6" t="s">
        <v>1520</v>
      </c>
      <c r="C8169" s="7" t="s">
        <v>196</v>
      </c>
      <c r="D8169" s="8" t="s">
        <v>280</v>
      </c>
      <c r="E8169" s="8" t="s">
        <v>254</v>
      </c>
      <c r="F8169" s="9">
        <f t="shared" si="742"/>
        <v>45782</v>
      </c>
      <c r="G8169" s="10">
        <f t="shared" si="737"/>
        <v>5</v>
      </c>
      <c r="H8169" s="10">
        <f t="shared" si="739"/>
        <v>2025</v>
      </c>
      <c r="I8169" s="8" t="s">
        <v>4</v>
      </c>
      <c r="J8169" s="7" t="s">
        <v>8643</v>
      </c>
      <c r="K8169" s="8" t="s">
        <v>2776</v>
      </c>
      <c r="L8169" s="8" t="s">
        <v>2777</v>
      </c>
      <c r="M8169" s="8" t="s">
        <v>119</v>
      </c>
      <c r="N8169" s="10" t="str">
        <f t="shared" si="740"/>
        <v>TON</v>
      </c>
      <c r="O8169" s="11">
        <v>15</v>
      </c>
    </row>
    <row r="8170" spans="2:15" x14ac:dyDescent="0.25">
      <c r="B8170" s="6" t="s">
        <v>1520</v>
      </c>
      <c r="C8170" s="7" t="s">
        <v>196</v>
      </c>
      <c r="D8170" s="8" t="s">
        <v>331</v>
      </c>
      <c r="E8170" s="8" t="s">
        <v>332</v>
      </c>
      <c r="F8170" s="9">
        <f t="shared" si="742"/>
        <v>45782</v>
      </c>
      <c r="G8170" s="10">
        <f t="shared" si="737"/>
        <v>5</v>
      </c>
      <c r="H8170" s="10">
        <f t="shared" si="739"/>
        <v>2025</v>
      </c>
      <c r="I8170" s="8" t="s">
        <v>4</v>
      </c>
      <c r="J8170" s="7" t="s">
        <v>8644</v>
      </c>
      <c r="K8170" s="8" t="s">
        <v>7415</v>
      </c>
      <c r="L8170" s="8" t="s">
        <v>7416</v>
      </c>
      <c r="M8170" s="8" t="s">
        <v>160</v>
      </c>
      <c r="N8170" s="10" t="str">
        <f t="shared" si="740"/>
        <v>GAL</v>
      </c>
      <c r="O8170" s="11">
        <v>60</v>
      </c>
    </row>
    <row r="8171" spans="2:15" x14ac:dyDescent="0.25">
      <c r="B8171" s="6" t="s">
        <v>1520</v>
      </c>
      <c r="C8171" s="7" t="s">
        <v>196</v>
      </c>
      <c r="D8171" s="8" t="s">
        <v>387</v>
      </c>
      <c r="E8171" s="8" t="s">
        <v>797</v>
      </c>
      <c r="F8171" s="9">
        <f t="shared" si="742"/>
        <v>45782</v>
      </c>
      <c r="G8171" s="10">
        <f t="shared" si="737"/>
        <v>5</v>
      </c>
      <c r="H8171" s="10">
        <f t="shared" si="739"/>
        <v>2025</v>
      </c>
      <c r="I8171" s="8" t="s">
        <v>4</v>
      </c>
      <c r="J8171" s="7" t="s">
        <v>8645</v>
      </c>
      <c r="K8171" s="8" t="s">
        <v>7787</v>
      </c>
      <c r="L8171" s="8" t="s">
        <v>7788</v>
      </c>
      <c r="M8171" s="8" t="s">
        <v>119</v>
      </c>
      <c r="N8171" s="10" t="str">
        <f t="shared" si="740"/>
        <v>TON</v>
      </c>
      <c r="O8171" s="11">
        <v>10</v>
      </c>
    </row>
    <row r="8172" spans="2:15" x14ac:dyDescent="0.25">
      <c r="B8172" s="6" t="s">
        <v>1520</v>
      </c>
      <c r="C8172" s="7" t="s">
        <v>196</v>
      </c>
      <c r="D8172" s="8" t="s">
        <v>224</v>
      </c>
      <c r="E8172" s="8" t="s">
        <v>895</v>
      </c>
      <c r="F8172" s="9">
        <f t="shared" si="742"/>
        <v>45782</v>
      </c>
      <c r="G8172" s="10">
        <f t="shared" si="737"/>
        <v>5</v>
      </c>
      <c r="H8172" s="10">
        <f t="shared" si="739"/>
        <v>2025</v>
      </c>
      <c r="I8172" s="8" t="s">
        <v>4</v>
      </c>
      <c r="J8172" s="7" t="s">
        <v>8646</v>
      </c>
      <c r="K8172" s="8" t="s">
        <v>8387</v>
      </c>
      <c r="L8172" s="8" t="s">
        <v>8388</v>
      </c>
      <c r="M8172" s="8" t="s">
        <v>119</v>
      </c>
      <c r="N8172" s="10" t="str">
        <f t="shared" si="740"/>
        <v>TON</v>
      </c>
      <c r="O8172" s="11">
        <v>5</v>
      </c>
    </row>
    <row r="8173" spans="2:15" x14ac:dyDescent="0.25">
      <c r="B8173" s="6" t="s">
        <v>1520</v>
      </c>
      <c r="C8173" s="7" t="s">
        <v>196</v>
      </c>
      <c r="D8173" s="8" t="s">
        <v>1343</v>
      </c>
      <c r="E8173" s="8" t="s">
        <v>3729</v>
      </c>
      <c r="F8173" s="9">
        <f t="shared" si="742"/>
        <v>45782</v>
      </c>
      <c r="G8173" s="10">
        <f t="shared" si="737"/>
        <v>5</v>
      </c>
      <c r="H8173" s="10">
        <f t="shared" si="739"/>
        <v>2025</v>
      </c>
      <c r="I8173" s="8" t="s">
        <v>4</v>
      </c>
      <c r="J8173" s="7" t="s">
        <v>8647</v>
      </c>
      <c r="K8173" s="8" t="s">
        <v>5874</v>
      </c>
      <c r="L8173" s="8" t="s">
        <v>5875</v>
      </c>
      <c r="M8173" s="8" t="s">
        <v>119</v>
      </c>
      <c r="N8173" s="10" t="str">
        <f t="shared" si="740"/>
        <v>TON</v>
      </c>
      <c r="O8173" s="11">
        <v>15.025</v>
      </c>
    </row>
    <row r="8174" spans="2:15" x14ac:dyDescent="0.25">
      <c r="B8174" s="6" t="s">
        <v>645</v>
      </c>
      <c r="C8174" s="7" t="s">
        <v>196</v>
      </c>
      <c r="D8174" s="8" t="s">
        <v>8648</v>
      </c>
      <c r="E8174" s="8" t="s">
        <v>8649</v>
      </c>
      <c r="F8174" s="9">
        <f t="shared" ref="F8174:F8181" si="743">DATE(2025,5,6)</f>
        <v>45783</v>
      </c>
      <c r="G8174" s="10">
        <f t="shared" si="737"/>
        <v>5</v>
      </c>
      <c r="H8174" s="10">
        <f t="shared" si="739"/>
        <v>2025</v>
      </c>
      <c r="I8174" s="8" t="s">
        <v>4</v>
      </c>
      <c r="J8174" s="7" t="s">
        <v>8650</v>
      </c>
      <c r="K8174" s="8" t="s">
        <v>551</v>
      </c>
      <c r="L8174" s="8" t="s">
        <v>2426</v>
      </c>
      <c r="M8174" s="8" t="s">
        <v>553</v>
      </c>
      <c r="N8174" s="10" t="str">
        <f t="shared" si="740"/>
        <v>GAL</v>
      </c>
      <c r="O8174" s="11">
        <v>2.5</v>
      </c>
    </row>
    <row r="8175" spans="2:15" x14ac:dyDescent="0.25">
      <c r="B8175" s="6" t="s">
        <v>1520</v>
      </c>
      <c r="C8175" s="7" t="s">
        <v>196</v>
      </c>
      <c r="D8175" s="8" t="s">
        <v>663</v>
      </c>
      <c r="E8175" s="8" t="s">
        <v>222</v>
      </c>
      <c r="F8175" s="9">
        <f t="shared" si="743"/>
        <v>45783</v>
      </c>
      <c r="G8175" s="10">
        <f t="shared" si="737"/>
        <v>5</v>
      </c>
      <c r="H8175" s="10">
        <f t="shared" si="739"/>
        <v>2025</v>
      </c>
      <c r="I8175" s="8" t="s">
        <v>4</v>
      </c>
      <c r="J8175" s="7" t="s">
        <v>8651</v>
      </c>
      <c r="K8175" s="8" t="s">
        <v>531</v>
      </c>
      <c r="L8175" s="8" t="s">
        <v>201</v>
      </c>
      <c r="M8175" s="8" t="s">
        <v>202</v>
      </c>
      <c r="N8175" s="10" t="str">
        <f t="shared" si="740"/>
        <v>GAL</v>
      </c>
      <c r="O8175" s="11">
        <v>30</v>
      </c>
    </row>
    <row r="8176" spans="2:15" x14ac:dyDescent="0.25">
      <c r="B8176" s="6" t="s">
        <v>1520</v>
      </c>
      <c r="C8176" s="7" t="s">
        <v>196</v>
      </c>
      <c r="D8176" s="8" t="s">
        <v>663</v>
      </c>
      <c r="E8176" s="8" t="s">
        <v>222</v>
      </c>
      <c r="F8176" s="9">
        <f t="shared" si="743"/>
        <v>45783</v>
      </c>
      <c r="G8176" s="10">
        <f t="shared" si="737"/>
        <v>5</v>
      </c>
      <c r="H8176" s="10">
        <f t="shared" si="739"/>
        <v>2025</v>
      </c>
      <c r="I8176" s="8" t="s">
        <v>4</v>
      </c>
      <c r="J8176" s="7" t="s">
        <v>8651</v>
      </c>
      <c r="K8176" s="8" t="s">
        <v>816</v>
      </c>
      <c r="L8176" s="8" t="s">
        <v>545</v>
      </c>
      <c r="M8176" s="8" t="s">
        <v>67</v>
      </c>
      <c r="N8176" s="10" t="str">
        <f t="shared" si="740"/>
        <v>GAL</v>
      </c>
      <c r="O8176" s="11">
        <v>5</v>
      </c>
    </row>
    <row r="8177" spans="2:15" x14ac:dyDescent="0.25">
      <c r="B8177" s="6" t="s">
        <v>1520</v>
      </c>
      <c r="C8177" s="7" t="s">
        <v>196</v>
      </c>
      <c r="D8177" s="8" t="s">
        <v>1343</v>
      </c>
      <c r="E8177" s="8" t="s">
        <v>4151</v>
      </c>
      <c r="F8177" s="9">
        <f t="shared" si="743"/>
        <v>45783</v>
      </c>
      <c r="G8177" s="10">
        <f t="shared" si="737"/>
        <v>5</v>
      </c>
      <c r="H8177" s="10">
        <f t="shared" si="739"/>
        <v>2025</v>
      </c>
      <c r="I8177" s="8" t="s">
        <v>4</v>
      </c>
      <c r="J8177" s="7" t="s">
        <v>8652</v>
      </c>
      <c r="K8177" s="8" t="s">
        <v>5874</v>
      </c>
      <c r="L8177" s="8" t="s">
        <v>5875</v>
      </c>
      <c r="M8177" s="8" t="s">
        <v>119</v>
      </c>
      <c r="N8177" s="10" t="str">
        <f t="shared" si="740"/>
        <v>TON</v>
      </c>
      <c r="O8177" s="11">
        <v>15.005000000000001</v>
      </c>
    </row>
    <row r="8178" spans="2:15" x14ac:dyDescent="0.25">
      <c r="B8178" s="6" t="s">
        <v>1520</v>
      </c>
      <c r="C8178" s="7" t="s">
        <v>196</v>
      </c>
      <c r="D8178" s="8" t="s">
        <v>215</v>
      </c>
      <c r="E8178" s="8" t="s">
        <v>4113</v>
      </c>
      <c r="F8178" s="9">
        <f t="shared" si="743"/>
        <v>45783</v>
      </c>
      <c r="G8178" s="10">
        <f t="shared" si="737"/>
        <v>5</v>
      </c>
      <c r="H8178" s="10">
        <f t="shared" si="739"/>
        <v>2025</v>
      </c>
      <c r="I8178" s="8" t="s">
        <v>4</v>
      </c>
      <c r="J8178" s="7" t="s">
        <v>8653</v>
      </c>
      <c r="K8178" s="8" t="s">
        <v>8387</v>
      </c>
      <c r="L8178" s="8" t="s">
        <v>8388</v>
      </c>
      <c r="M8178" s="8" t="s">
        <v>119</v>
      </c>
      <c r="N8178" s="10" t="str">
        <f t="shared" si="740"/>
        <v>TON</v>
      </c>
      <c r="O8178" s="11">
        <v>15.012499999999999</v>
      </c>
    </row>
    <row r="8179" spans="2:15" x14ac:dyDescent="0.25">
      <c r="B8179" s="6" t="s">
        <v>645</v>
      </c>
      <c r="C8179" s="7" t="s">
        <v>196</v>
      </c>
      <c r="D8179" s="8" t="s">
        <v>8648</v>
      </c>
      <c r="E8179" s="8" t="s">
        <v>8649</v>
      </c>
      <c r="F8179" s="9">
        <f t="shared" si="743"/>
        <v>45783</v>
      </c>
      <c r="G8179" s="10">
        <f t="shared" si="737"/>
        <v>5</v>
      </c>
      <c r="H8179" s="10">
        <f t="shared" si="739"/>
        <v>2025</v>
      </c>
      <c r="I8179" s="8" t="s">
        <v>4</v>
      </c>
      <c r="J8179" s="7" t="s">
        <v>8654</v>
      </c>
      <c r="K8179" s="8" t="s">
        <v>2635</v>
      </c>
      <c r="L8179" s="8" t="s">
        <v>2636</v>
      </c>
      <c r="M8179" s="8" t="s">
        <v>119</v>
      </c>
      <c r="N8179" s="10" t="str">
        <f t="shared" si="740"/>
        <v>TON</v>
      </c>
      <c r="O8179" s="11">
        <v>1</v>
      </c>
    </row>
    <row r="8180" spans="2:15" x14ac:dyDescent="0.25">
      <c r="B8180" s="6" t="s">
        <v>1520</v>
      </c>
      <c r="C8180" s="7" t="s">
        <v>196</v>
      </c>
      <c r="D8180" s="8" t="s">
        <v>114</v>
      </c>
      <c r="E8180" s="8" t="s">
        <v>927</v>
      </c>
      <c r="F8180" s="9">
        <f t="shared" si="743"/>
        <v>45783</v>
      </c>
      <c r="G8180" s="10">
        <f t="shared" si="737"/>
        <v>5</v>
      </c>
      <c r="H8180" s="10">
        <f t="shared" si="739"/>
        <v>2025</v>
      </c>
      <c r="I8180" s="8" t="s">
        <v>4</v>
      </c>
      <c r="J8180" s="7" t="s">
        <v>8655</v>
      </c>
      <c r="K8180" s="8" t="s">
        <v>2776</v>
      </c>
      <c r="L8180" s="8" t="s">
        <v>2777</v>
      </c>
      <c r="M8180" s="8" t="s">
        <v>119</v>
      </c>
      <c r="N8180" s="10" t="str">
        <f t="shared" si="740"/>
        <v>TON</v>
      </c>
      <c r="O8180" s="11">
        <v>3.2650000000000001</v>
      </c>
    </row>
    <row r="8181" spans="2:15" x14ac:dyDescent="0.25">
      <c r="B8181" s="6" t="s">
        <v>1520</v>
      </c>
      <c r="C8181" s="7" t="s">
        <v>196</v>
      </c>
      <c r="D8181" s="8" t="s">
        <v>3767</v>
      </c>
      <c r="E8181" s="8" t="s">
        <v>4219</v>
      </c>
      <c r="F8181" s="9">
        <f t="shared" si="743"/>
        <v>45783</v>
      </c>
      <c r="G8181" s="10">
        <f t="shared" si="737"/>
        <v>5</v>
      </c>
      <c r="H8181" s="10">
        <f t="shared" si="739"/>
        <v>2025</v>
      </c>
      <c r="I8181" s="8" t="s">
        <v>4</v>
      </c>
      <c r="J8181" s="7" t="s">
        <v>8656</v>
      </c>
      <c r="K8181" s="8" t="s">
        <v>205</v>
      </c>
      <c r="L8181" s="8" t="s">
        <v>206</v>
      </c>
      <c r="M8181" s="8" t="s">
        <v>119</v>
      </c>
      <c r="N8181" s="10" t="str">
        <f t="shared" si="740"/>
        <v>TON</v>
      </c>
      <c r="O8181" s="11">
        <v>2.5049999999999999</v>
      </c>
    </row>
    <row r="8182" spans="2:15" x14ac:dyDescent="0.25">
      <c r="B8182" s="6" t="s">
        <v>1520</v>
      </c>
      <c r="C8182" s="7" t="s">
        <v>196</v>
      </c>
      <c r="D8182" s="8" t="s">
        <v>663</v>
      </c>
      <c r="E8182" s="8" t="s">
        <v>2660</v>
      </c>
      <c r="F8182" s="9">
        <f>DATE(2025,5,7)</f>
        <v>45784</v>
      </c>
      <c r="G8182" s="10">
        <f t="shared" si="737"/>
        <v>5</v>
      </c>
      <c r="H8182" s="10">
        <f t="shared" si="739"/>
        <v>2025</v>
      </c>
      <c r="I8182" s="8" t="s">
        <v>4</v>
      </c>
      <c r="J8182" s="7" t="s">
        <v>8657</v>
      </c>
      <c r="K8182" s="8" t="s">
        <v>384</v>
      </c>
      <c r="L8182" s="8" t="s">
        <v>385</v>
      </c>
      <c r="M8182" s="8" t="s">
        <v>119</v>
      </c>
      <c r="N8182" s="10" t="str">
        <f t="shared" si="740"/>
        <v>TON</v>
      </c>
      <c r="O8182" s="11">
        <v>1.25</v>
      </c>
    </row>
    <row r="8183" spans="2:15" x14ac:dyDescent="0.25">
      <c r="B8183" s="6" t="s">
        <v>1520</v>
      </c>
      <c r="C8183" s="7" t="s">
        <v>196</v>
      </c>
      <c r="D8183" s="8" t="s">
        <v>283</v>
      </c>
      <c r="E8183" s="8" t="s">
        <v>699</v>
      </c>
      <c r="F8183" s="9">
        <f>DATE(2025,5,7)</f>
        <v>45784</v>
      </c>
      <c r="G8183" s="10">
        <f t="shared" si="737"/>
        <v>5</v>
      </c>
      <c r="H8183" s="10">
        <f t="shared" si="739"/>
        <v>2025</v>
      </c>
      <c r="I8183" s="8" t="s">
        <v>4</v>
      </c>
      <c r="J8183" s="7" t="s">
        <v>8658</v>
      </c>
      <c r="K8183" s="8" t="s">
        <v>384</v>
      </c>
      <c r="L8183" s="8" t="s">
        <v>385</v>
      </c>
      <c r="M8183" s="8" t="s">
        <v>119</v>
      </c>
      <c r="N8183" s="10" t="str">
        <f t="shared" si="740"/>
        <v>TON</v>
      </c>
      <c r="O8183" s="11">
        <v>1</v>
      </c>
    </row>
    <row r="8184" spans="2:15" x14ac:dyDescent="0.25">
      <c r="B8184" s="6" t="s">
        <v>1520</v>
      </c>
      <c r="C8184" s="7" t="s">
        <v>196</v>
      </c>
      <c r="D8184" s="8" t="s">
        <v>317</v>
      </c>
      <c r="E8184" s="8" t="s">
        <v>677</v>
      </c>
      <c r="F8184" s="9">
        <f>DATE(2025,5,8)</f>
        <v>45785</v>
      </c>
      <c r="G8184" s="10">
        <f t="shared" si="737"/>
        <v>5</v>
      </c>
      <c r="H8184" s="10">
        <f t="shared" si="739"/>
        <v>2025</v>
      </c>
      <c r="I8184" s="8" t="s">
        <v>4</v>
      </c>
      <c r="J8184" s="7" t="s">
        <v>8659</v>
      </c>
      <c r="K8184" s="8" t="s">
        <v>2776</v>
      </c>
      <c r="L8184" s="8" t="s">
        <v>2777</v>
      </c>
      <c r="M8184" s="8" t="s">
        <v>119</v>
      </c>
      <c r="N8184" s="10" t="str">
        <f t="shared" si="740"/>
        <v>TON</v>
      </c>
      <c r="O8184" s="11">
        <v>9.0225000000000009</v>
      </c>
    </row>
    <row r="8185" spans="2:15" x14ac:dyDescent="0.25">
      <c r="B8185" s="6" t="s">
        <v>1520</v>
      </c>
      <c r="C8185" s="7" t="s">
        <v>196</v>
      </c>
      <c r="D8185" s="8" t="s">
        <v>440</v>
      </c>
      <c r="E8185" s="8" t="s">
        <v>441</v>
      </c>
      <c r="F8185" s="9">
        <f>DATE(2025,5,8)</f>
        <v>45785</v>
      </c>
      <c r="G8185" s="10">
        <f t="shared" si="737"/>
        <v>5</v>
      </c>
      <c r="H8185" s="10">
        <f t="shared" si="739"/>
        <v>2025</v>
      </c>
      <c r="I8185" s="8" t="s">
        <v>4</v>
      </c>
      <c r="J8185" s="7" t="s">
        <v>8660</v>
      </c>
      <c r="K8185" s="8" t="s">
        <v>7787</v>
      </c>
      <c r="L8185" s="8" t="s">
        <v>7788</v>
      </c>
      <c r="M8185" s="8" t="s">
        <v>119</v>
      </c>
      <c r="N8185" s="10" t="str">
        <f t="shared" si="740"/>
        <v>TON</v>
      </c>
      <c r="O8185" s="11">
        <v>12.51</v>
      </c>
    </row>
    <row r="8186" spans="2:15" x14ac:dyDescent="0.25">
      <c r="B8186" s="6" t="s">
        <v>1520</v>
      </c>
      <c r="C8186" s="7" t="s">
        <v>196</v>
      </c>
      <c r="D8186" s="8" t="s">
        <v>800</v>
      </c>
      <c r="E8186" s="8" t="s">
        <v>907</v>
      </c>
      <c r="F8186" s="9">
        <f>DATE(2025,5,8)</f>
        <v>45785</v>
      </c>
      <c r="G8186" s="10">
        <f t="shared" si="737"/>
        <v>5</v>
      </c>
      <c r="H8186" s="10">
        <f t="shared" si="739"/>
        <v>2025</v>
      </c>
      <c r="I8186" s="8" t="s">
        <v>4</v>
      </c>
      <c r="J8186" s="7" t="s">
        <v>8661</v>
      </c>
      <c r="K8186" s="8" t="s">
        <v>447</v>
      </c>
      <c r="L8186" s="8" t="s">
        <v>448</v>
      </c>
      <c r="M8186" s="8" t="s">
        <v>119</v>
      </c>
      <c r="N8186" s="10" t="str">
        <f t="shared" si="740"/>
        <v>TON</v>
      </c>
      <c r="O8186" s="11">
        <v>2.5125000000000002</v>
      </c>
    </row>
    <row r="8187" spans="2:15" x14ac:dyDescent="0.25">
      <c r="B8187" s="6" t="s">
        <v>1520</v>
      </c>
      <c r="C8187" s="7" t="s">
        <v>196</v>
      </c>
      <c r="D8187" s="8" t="s">
        <v>215</v>
      </c>
      <c r="E8187" s="8" t="s">
        <v>315</v>
      </c>
      <c r="F8187" s="9">
        <f>DATE(2025,5,9)</f>
        <v>45786</v>
      </c>
      <c r="G8187" s="10">
        <f t="shared" si="737"/>
        <v>5</v>
      </c>
      <c r="H8187" s="10">
        <f t="shared" si="739"/>
        <v>2025</v>
      </c>
      <c r="I8187" s="8" t="s">
        <v>4</v>
      </c>
      <c r="J8187" s="7" t="s">
        <v>8662</v>
      </c>
      <c r="K8187" s="8" t="s">
        <v>205</v>
      </c>
      <c r="L8187" s="8" t="s">
        <v>206</v>
      </c>
      <c r="M8187" s="8" t="s">
        <v>119</v>
      </c>
      <c r="N8187" s="10" t="str">
        <f t="shared" si="740"/>
        <v>TON</v>
      </c>
      <c r="O8187" s="11">
        <v>4.0075000000000003</v>
      </c>
    </row>
    <row r="8188" spans="2:15" x14ac:dyDescent="0.25">
      <c r="B8188" s="6" t="s">
        <v>1520</v>
      </c>
      <c r="C8188" s="7" t="s">
        <v>196</v>
      </c>
      <c r="D8188" s="8" t="s">
        <v>114</v>
      </c>
      <c r="E8188" s="8" t="s">
        <v>491</v>
      </c>
      <c r="F8188" s="9">
        <f>DATE(2025,5,9)</f>
        <v>45786</v>
      </c>
      <c r="G8188" s="10">
        <f t="shared" si="737"/>
        <v>5</v>
      </c>
      <c r="H8188" s="10">
        <f t="shared" si="739"/>
        <v>2025</v>
      </c>
      <c r="I8188" s="8" t="s">
        <v>4</v>
      </c>
      <c r="J8188" s="7" t="s">
        <v>8663</v>
      </c>
      <c r="K8188" s="8" t="s">
        <v>2776</v>
      </c>
      <c r="L8188" s="8" t="s">
        <v>2777</v>
      </c>
      <c r="M8188" s="8" t="s">
        <v>119</v>
      </c>
      <c r="N8188" s="10" t="str">
        <f t="shared" si="740"/>
        <v>TON</v>
      </c>
      <c r="O8188" s="11">
        <v>5.7649999999999997</v>
      </c>
    </row>
    <row r="8189" spans="2:15" x14ac:dyDescent="0.25">
      <c r="B8189" s="6" t="s">
        <v>1520</v>
      </c>
      <c r="C8189" s="7" t="s">
        <v>196</v>
      </c>
      <c r="D8189" s="8" t="s">
        <v>3764</v>
      </c>
      <c r="E8189" s="8" t="s">
        <v>3765</v>
      </c>
      <c r="F8189" s="9">
        <f>DATE(2025,5,9)</f>
        <v>45786</v>
      </c>
      <c r="G8189" s="10">
        <f t="shared" si="737"/>
        <v>5</v>
      </c>
      <c r="H8189" s="10">
        <f t="shared" si="739"/>
        <v>2025</v>
      </c>
      <c r="I8189" s="8" t="s">
        <v>4</v>
      </c>
      <c r="J8189" s="7" t="s">
        <v>8664</v>
      </c>
      <c r="K8189" s="8" t="s">
        <v>329</v>
      </c>
      <c r="L8189" s="8" t="s">
        <v>330</v>
      </c>
      <c r="M8189" s="8" t="s">
        <v>119</v>
      </c>
      <c r="N8189" s="10" t="str">
        <f t="shared" si="740"/>
        <v>TON</v>
      </c>
      <c r="O8189" s="11">
        <v>1.2649999999999999</v>
      </c>
    </row>
    <row r="8190" spans="2:15" x14ac:dyDescent="0.25">
      <c r="B8190" s="6" t="s">
        <v>1520</v>
      </c>
      <c r="C8190" s="7" t="s">
        <v>196</v>
      </c>
      <c r="D8190" s="8" t="s">
        <v>387</v>
      </c>
      <c r="E8190" s="8" t="s">
        <v>797</v>
      </c>
      <c r="F8190" s="9">
        <f>DATE(2025,5,9)</f>
        <v>45786</v>
      </c>
      <c r="G8190" s="10">
        <f t="shared" si="737"/>
        <v>5</v>
      </c>
      <c r="H8190" s="10">
        <f t="shared" si="739"/>
        <v>2025</v>
      </c>
      <c r="I8190" s="8" t="s">
        <v>4</v>
      </c>
      <c r="J8190" s="7" t="s">
        <v>8665</v>
      </c>
      <c r="K8190" s="8" t="s">
        <v>7787</v>
      </c>
      <c r="L8190" s="8" t="s">
        <v>7788</v>
      </c>
      <c r="M8190" s="8" t="s">
        <v>119</v>
      </c>
      <c r="N8190" s="10" t="str">
        <f t="shared" si="740"/>
        <v>TON</v>
      </c>
      <c r="O8190" s="11">
        <v>13.0525</v>
      </c>
    </row>
    <row r="8191" spans="2:15" x14ac:dyDescent="0.25">
      <c r="B8191" s="6" t="s">
        <v>1520</v>
      </c>
      <c r="C8191" s="7" t="s">
        <v>196</v>
      </c>
      <c r="D8191" s="8" t="s">
        <v>241</v>
      </c>
      <c r="E8191" s="8" t="s">
        <v>258</v>
      </c>
      <c r="F8191" s="9">
        <f>DATE(2025,5,9)</f>
        <v>45786</v>
      </c>
      <c r="G8191" s="10">
        <f t="shared" si="737"/>
        <v>5</v>
      </c>
      <c r="H8191" s="10">
        <f t="shared" si="739"/>
        <v>2025</v>
      </c>
      <c r="I8191" s="8" t="s">
        <v>4</v>
      </c>
      <c r="J8191" s="7" t="s">
        <v>8666</v>
      </c>
      <c r="K8191" s="8" t="s">
        <v>3458</v>
      </c>
      <c r="L8191" s="8" t="s">
        <v>3459</v>
      </c>
      <c r="M8191" s="8" t="s">
        <v>119</v>
      </c>
      <c r="N8191" s="10" t="str">
        <f t="shared" si="740"/>
        <v>TON</v>
      </c>
      <c r="O8191" s="11">
        <v>2.2625000000000002</v>
      </c>
    </row>
    <row r="8192" spans="2:15" x14ac:dyDescent="0.25">
      <c r="B8192" s="6" t="s">
        <v>1520</v>
      </c>
      <c r="C8192" s="7" t="s">
        <v>196</v>
      </c>
      <c r="D8192" s="8" t="s">
        <v>1343</v>
      </c>
      <c r="E8192" s="8" t="s">
        <v>3729</v>
      </c>
      <c r="F8192" s="9">
        <f>DATE(2025,5,13)</f>
        <v>45790</v>
      </c>
      <c r="G8192" s="10">
        <f t="shared" si="737"/>
        <v>5</v>
      </c>
      <c r="H8192" s="10">
        <f t="shared" si="739"/>
        <v>2025</v>
      </c>
      <c r="I8192" s="8" t="s">
        <v>4</v>
      </c>
      <c r="J8192" s="7" t="s">
        <v>8667</v>
      </c>
      <c r="K8192" s="8" t="s">
        <v>2776</v>
      </c>
      <c r="L8192" s="8" t="s">
        <v>2777</v>
      </c>
      <c r="M8192" s="8" t="s">
        <v>119</v>
      </c>
      <c r="N8192" s="10" t="str">
        <f t="shared" si="740"/>
        <v>TON</v>
      </c>
      <c r="O8192" s="11">
        <v>15.0025</v>
      </c>
    </row>
    <row r="8193" spans="2:15" x14ac:dyDescent="0.25">
      <c r="B8193" s="6" t="s">
        <v>1520</v>
      </c>
      <c r="C8193" s="7" t="s">
        <v>196</v>
      </c>
      <c r="D8193" s="8" t="s">
        <v>449</v>
      </c>
      <c r="E8193" s="8" t="s">
        <v>8668</v>
      </c>
      <c r="F8193" s="9">
        <f>DATE(2025,5,13)</f>
        <v>45790</v>
      </c>
      <c r="G8193" s="10">
        <f t="shared" si="737"/>
        <v>5</v>
      </c>
      <c r="H8193" s="10">
        <f t="shared" si="739"/>
        <v>2025</v>
      </c>
      <c r="I8193" s="8" t="s">
        <v>4</v>
      </c>
      <c r="J8193" s="7" t="s">
        <v>8669</v>
      </c>
      <c r="K8193" s="8" t="s">
        <v>205</v>
      </c>
      <c r="L8193" s="8" t="s">
        <v>206</v>
      </c>
      <c r="M8193" s="8" t="s">
        <v>119</v>
      </c>
      <c r="N8193" s="10" t="str">
        <f t="shared" si="740"/>
        <v>TON</v>
      </c>
      <c r="O8193" s="11">
        <v>2.5175000000000001</v>
      </c>
    </row>
    <row r="8194" spans="2:15" x14ac:dyDescent="0.25">
      <c r="B8194" s="6" t="s">
        <v>1520</v>
      </c>
      <c r="C8194" s="7" t="s">
        <v>196</v>
      </c>
      <c r="D8194" s="8" t="s">
        <v>1343</v>
      </c>
      <c r="E8194" s="8" t="s">
        <v>7411</v>
      </c>
      <c r="F8194" s="9">
        <f>DATE(2025,5,13)</f>
        <v>45790</v>
      </c>
      <c r="G8194" s="10">
        <f t="shared" si="737"/>
        <v>5</v>
      </c>
      <c r="H8194" s="10">
        <f t="shared" si="739"/>
        <v>2025</v>
      </c>
      <c r="I8194" s="8" t="s">
        <v>4</v>
      </c>
      <c r="J8194" s="7" t="s">
        <v>8670</v>
      </c>
      <c r="K8194" s="8" t="s">
        <v>2776</v>
      </c>
      <c r="L8194" s="8" t="s">
        <v>2777</v>
      </c>
      <c r="M8194" s="8" t="s">
        <v>119</v>
      </c>
      <c r="N8194" s="10" t="str">
        <f t="shared" si="740"/>
        <v>TON</v>
      </c>
      <c r="O8194" s="11">
        <v>15.0425</v>
      </c>
    </row>
    <row r="8195" spans="2:15" x14ac:dyDescent="0.25">
      <c r="B8195" s="6" t="s">
        <v>1520</v>
      </c>
      <c r="C8195" s="7" t="s">
        <v>196</v>
      </c>
      <c r="D8195" s="8" t="s">
        <v>265</v>
      </c>
      <c r="E8195" s="8" t="s">
        <v>266</v>
      </c>
      <c r="F8195" s="9">
        <f>DATE(2025,5,14)</f>
        <v>45791</v>
      </c>
      <c r="G8195" s="10">
        <f t="shared" si="737"/>
        <v>5</v>
      </c>
      <c r="H8195" s="10">
        <f t="shared" si="739"/>
        <v>2025</v>
      </c>
      <c r="I8195" s="8" t="s">
        <v>4</v>
      </c>
      <c r="J8195" s="7" t="s">
        <v>8671</v>
      </c>
      <c r="K8195" s="8" t="s">
        <v>268</v>
      </c>
      <c r="L8195" s="8" t="s">
        <v>269</v>
      </c>
      <c r="M8195" s="8" t="s">
        <v>119</v>
      </c>
      <c r="N8195" s="10" t="str">
        <f t="shared" si="740"/>
        <v>TON</v>
      </c>
      <c r="O8195" s="11">
        <v>0.3</v>
      </c>
    </row>
    <row r="8196" spans="2:15" x14ac:dyDescent="0.25">
      <c r="B8196" s="6" t="s">
        <v>1520</v>
      </c>
      <c r="C8196" s="7" t="s">
        <v>196</v>
      </c>
      <c r="D8196" s="8" t="s">
        <v>114</v>
      </c>
      <c r="E8196" s="8" t="s">
        <v>5054</v>
      </c>
      <c r="F8196" s="9">
        <f>DATE(2025,5,14)</f>
        <v>45791</v>
      </c>
      <c r="G8196" s="10">
        <f t="shared" ref="G8196:G8259" si="744">+MONTH(F8196)</f>
        <v>5</v>
      </c>
      <c r="H8196" s="10">
        <f t="shared" si="739"/>
        <v>2025</v>
      </c>
      <c r="I8196" s="8" t="s">
        <v>4</v>
      </c>
      <c r="J8196" s="7" t="s">
        <v>8672</v>
      </c>
      <c r="K8196" s="8" t="s">
        <v>2776</v>
      </c>
      <c r="L8196" s="8" t="s">
        <v>2777</v>
      </c>
      <c r="M8196" s="8" t="s">
        <v>119</v>
      </c>
      <c r="N8196" s="10" t="str">
        <f t="shared" si="740"/>
        <v>TON</v>
      </c>
      <c r="O8196" s="11">
        <v>7.0175000000000001</v>
      </c>
    </row>
    <row r="8197" spans="2:15" x14ac:dyDescent="0.25">
      <c r="B8197" s="6" t="s">
        <v>1520</v>
      </c>
      <c r="C8197" s="7" t="s">
        <v>196</v>
      </c>
      <c r="D8197" s="8" t="s">
        <v>280</v>
      </c>
      <c r="E8197" s="8" t="s">
        <v>254</v>
      </c>
      <c r="F8197" s="9">
        <f>DATE(2025,5,15)</f>
        <v>45792</v>
      </c>
      <c r="G8197" s="10">
        <f t="shared" si="744"/>
        <v>5</v>
      </c>
      <c r="H8197" s="10">
        <f t="shared" si="739"/>
        <v>2025</v>
      </c>
      <c r="I8197" s="8" t="s">
        <v>4</v>
      </c>
      <c r="J8197" s="7" t="s">
        <v>8673</v>
      </c>
      <c r="K8197" s="8" t="s">
        <v>2776</v>
      </c>
      <c r="L8197" s="8" t="s">
        <v>2777</v>
      </c>
      <c r="M8197" s="8" t="s">
        <v>119</v>
      </c>
      <c r="N8197" s="10" t="str">
        <f t="shared" si="740"/>
        <v>TON</v>
      </c>
      <c r="O8197" s="11">
        <v>12.5175</v>
      </c>
    </row>
    <row r="8198" spans="2:15" x14ac:dyDescent="0.25">
      <c r="B8198" s="6" t="s">
        <v>1520</v>
      </c>
      <c r="C8198" s="7" t="s">
        <v>196</v>
      </c>
      <c r="D8198" s="8" t="s">
        <v>721</v>
      </c>
      <c r="E8198" s="8" t="s">
        <v>721</v>
      </c>
      <c r="F8198" s="9">
        <f>DATE(2025,5,15)</f>
        <v>45792</v>
      </c>
      <c r="G8198" s="10">
        <f t="shared" si="744"/>
        <v>5</v>
      </c>
      <c r="H8198" s="10">
        <f t="shared" si="739"/>
        <v>2025</v>
      </c>
      <c r="I8198" s="8" t="s">
        <v>4</v>
      </c>
      <c r="J8198" s="7" t="s">
        <v>8674</v>
      </c>
      <c r="K8198" s="8" t="s">
        <v>205</v>
      </c>
      <c r="L8198" s="8" t="s">
        <v>206</v>
      </c>
      <c r="M8198" s="8" t="s">
        <v>119</v>
      </c>
      <c r="N8198" s="10" t="str">
        <f t="shared" si="740"/>
        <v>TON</v>
      </c>
      <c r="O8198" s="11">
        <v>2.5</v>
      </c>
    </row>
    <row r="8199" spans="2:15" x14ac:dyDescent="0.25">
      <c r="B8199" s="6" t="s">
        <v>1520</v>
      </c>
      <c r="C8199" s="7" t="s">
        <v>196</v>
      </c>
      <c r="D8199" s="8" t="s">
        <v>276</v>
      </c>
      <c r="E8199" s="8" t="s">
        <v>878</v>
      </c>
      <c r="F8199" s="9">
        <f>DATE(2025,5,15)</f>
        <v>45792</v>
      </c>
      <c r="G8199" s="10">
        <f t="shared" si="744"/>
        <v>5</v>
      </c>
      <c r="H8199" s="10">
        <f t="shared" si="739"/>
        <v>2025</v>
      </c>
      <c r="I8199" s="8" t="s">
        <v>4</v>
      </c>
      <c r="J8199" s="7" t="s">
        <v>8675</v>
      </c>
      <c r="K8199" s="8" t="s">
        <v>329</v>
      </c>
      <c r="L8199" s="8" t="s">
        <v>330</v>
      </c>
      <c r="M8199" s="8" t="s">
        <v>119</v>
      </c>
      <c r="N8199" s="10" t="str">
        <f t="shared" si="740"/>
        <v>TON</v>
      </c>
      <c r="O8199" s="11">
        <v>3.03</v>
      </c>
    </row>
    <row r="8200" spans="2:15" x14ac:dyDescent="0.25">
      <c r="B8200" s="6" t="s">
        <v>1520</v>
      </c>
      <c r="C8200" s="7" t="s">
        <v>196</v>
      </c>
      <c r="D8200" s="8" t="s">
        <v>289</v>
      </c>
      <c r="E8200" s="8" t="s">
        <v>2380</v>
      </c>
      <c r="F8200" s="9">
        <f>DATE(2025,5,15)</f>
        <v>45792</v>
      </c>
      <c r="G8200" s="10">
        <f t="shared" si="744"/>
        <v>5</v>
      </c>
      <c r="H8200" s="10">
        <f t="shared" si="739"/>
        <v>2025</v>
      </c>
      <c r="I8200" s="8" t="s">
        <v>4</v>
      </c>
      <c r="J8200" s="7" t="s">
        <v>8676</v>
      </c>
      <c r="K8200" s="8" t="s">
        <v>292</v>
      </c>
      <c r="L8200" s="8" t="s">
        <v>293</v>
      </c>
      <c r="M8200" s="8" t="s">
        <v>119</v>
      </c>
      <c r="N8200" s="10" t="str">
        <f t="shared" si="740"/>
        <v>TON</v>
      </c>
      <c r="O8200" s="11">
        <v>0.75</v>
      </c>
    </row>
    <row r="8201" spans="2:15" x14ac:dyDescent="0.25">
      <c r="B8201" s="6" t="s">
        <v>1520</v>
      </c>
      <c r="C8201" s="7" t="s">
        <v>196</v>
      </c>
      <c r="D8201" s="8" t="s">
        <v>114</v>
      </c>
      <c r="E8201" s="8" t="s">
        <v>927</v>
      </c>
      <c r="F8201" s="9">
        <f>DATE(2025,5,16)</f>
        <v>45793</v>
      </c>
      <c r="G8201" s="10">
        <f t="shared" si="744"/>
        <v>5</v>
      </c>
      <c r="H8201" s="10">
        <f t="shared" si="739"/>
        <v>2025</v>
      </c>
      <c r="I8201" s="8" t="s">
        <v>4</v>
      </c>
      <c r="J8201" s="7" t="s">
        <v>8677</v>
      </c>
      <c r="K8201" s="8" t="s">
        <v>2776</v>
      </c>
      <c r="L8201" s="8" t="s">
        <v>2777</v>
      </c>
      <c r="M8201" s="8" t="s">
        <v>119</v>
      </c>
      <c r="N8201" s="10" t="str">
        <f t="shared" si="740"/>
        <v>TON</v>
      </c>
      <c r="O8201" s="11">
        <v>2.5225</v>
      </c>
    </row>
    <row r="8202" spans="2:15" x14ac:dyDescent="0.25">
      <c r="B8202" s="6" t="s">
        <v>1520</v>
      </c>
      <c r="C8202" s="7" t="s">
        <v>196</v>
      </c>
      <c r="D8202" s="8" t="s">
        <v>440</v>
      </c>
      <c r="E8202" s="8" t="s">
        <v>1369</v>
      </c>
      <c r="F8202" s="9">
        <f>DATE(2025,5,16)</f>
        <v>45793</v>
      </c>
      <c r="G8202" s="10">
        <f t="shared" si="744"/>
        <v>5</v>
      </c>
      <c r="H8202" s="10">
        <f t="shared" si="739"/>
        <v>2025</v>
      </c>
      <c r="I8202" s="8" t="s">
        <v>4</v>
      </c>
      <c r="J8202" s="7" t="s">
        <v>8678</v>
      </c>
      <c r="K8202" s="8" t="s">
        <v>7787</v>
      </c>
      <c r="L8202" s="8" t="s">
        <v>7788</v>
      </c>
      <c r="M8202" s="8" t="s">
        <v>119</v>
      </c>
      <c r="N8202" s="10" t="str">
        <f t="shared" si="740"/>
        <v>TON</v>
      </c>
      <c r="O8202" s="11">
        <v>5.01</v>
      </c>
    </row>
    <row r="8203" spans="2:15" x14ac:dyDescent="0.25">
      <c r="B8203" s="6" t="s">
        <v>1520</v>
      </c>
      <c r="C8203" s="7" t="s">
        <v>196</v>
      </c>
      <c r="D8203" s="8" t="s">
        <v>280</v>
      </c>
      <c r="E8203" s="8" t="s">
        <v>811</v>
      </c>
      <c r="F8203" s="9">
        <f>DATE(2025,5,16)</f>
        <v>45793</v>
      </c>
      <c r="G8203" s="10">
        <f t="shared" si="744"/>
        <v>5</v>
      </c>
      <c r="H8203" s="10">
        <f t="shared" si="739"/>
        <v>2025</v>
      </c>
      <c r="I8203" s="8" t="s">
        <v>4</v>
      </c>
      <c r="J8203" s="7" t="s">
        <v>8679</v>
      </c>
      <c r="K8203" s="8" t="s">
        <v>2776</v>
      </c>
      <c r="L8203" s="8" t="s">
        <v>2777</v>
      </c>
      <c r="M8203" s="8" t="s">
        <v>119</v>
      </c>
      <c r="N8203" s="10" t="str">
        <f t="shared" si="740"/>
        <v>TON</v>
      </c>
      <c r="O8203" s="11">
        <v>2.5</v>
      </c>
    </row>
    <row r="8204" spans="2:15" x14ac:dyDescent="0.25">
      <c r="B8204" s="6" t="s">
        <v>1520</v>
      </c>
      <c r="C8204" s="7" t="s">
        <v>196</v>
      </c>
      <c r="D8204" s="8" t="s">
        <v>317</v>
      </c>
      <c r="E8204" s="8" t="s">
        <v>677</v>
      </c>
      <c r="F8204" s="9">
        <f>DATE(2025,5,16)</f>
        <v>45793</v>
      </c>
      <c r="G8204" s="10">
        <f t="shared" si="744"/>
        <v>5</v>
      </c>
      <c r="H8204" s="10">
        <f t="shared" si="739"/>
        <v>2025</v>
      </c>
      <c r="I8204" s="8" t="s">
        <v>4</v>
      </c>
      <c r="J8204" s="7" t="s">
        <v>8680</v>
      </c>
      <c r="K8204" s="8" t="s">
        <v>2776</v>
      </c>
      <c r="L8204" s="8" t="s">
        <v>2777</v>
      </c>
      <c r="M8204" s="8" t="s">
        <v>119</v>
      </c>
      <c r="N8204" s="10" t="str">
        <f t="shared" si="740"/>
        <v>TON</v>
      </c>
      <c r="O8204" s="11">
        <v>4.5149999999999997</v>
      </c>
    </row>
    <row r="8205" spans="2:15" x14ac:dyDescent="0.25">
      <c r="B8205" s="6" t="s">
        <v>1520</v>
      </c>
      <c r="C8205" s="7" t="s">
        <v>196</v>
      </c>
      <c r="D8205" s="8" t="s">
        <v>294</v>
      </c>
      <c r="E8205" s="8" t="s">
        <v>295</v>
      </c>
      <c r="F8205" s="9">
        <f>DATE(2025,5,19)</f>
        <v>45796</v>
      </c>
      <c r="G8205" s="10">
        <f t="shared" si="744"/>
        <v>5</v>
      </c>
      <c r="H8205" s="10">
        <f t="shared" si="739"/>
        <v>2025</v>
      </c>
      <c r="I8205" s="8" t="s">
        <v>4</v>
      </c>
      <c r="J8205" s="7" t="s">
        <v>8681</v>
      </c>
      <c r="K8205" s="8" t="s">
        <v>122</v>
      </c>
      <c r="L8205" s="8" t="s">
        <v>123</v>
      </c>
      <c r="M8205" s="8" t="s">
        <v>119</v>
      </c>
      <c r="N8205" s="10" t="str">
        <f t="shared" si="740"/>
        <v>TON</v>
      </c>
      <c r="O8205" s="11">
        <v>7.4974999999999996</v>
      </c>
    </row>
    <row r="8206" spans="2:15" x14ac:dyDescent="0.25">
      <c r="B8206" s="6" t="s">
        <v>1520</v>
      </c>
      <c r="C8206" s="7" t="s">
        <v>196</v>
      </c>
      <c r="D8206" s="8" t="s">
        <v>215</v>
      </c>
      <c r="E8206" s="8" t="s">
        <v>315</v>
      </c>
      <c r="F8206" s="9">
        <f>DATE(2025,5,20)</f>
        <v>45797</v>
      </c>
      <c r="G8206" s="10">
        <f t="shared" si="744"/>
        <v>5</v>
      </c>
      <c r="H8206" s="10">
        <f t="shared" si="739"/>
        <v>2025</v>
      </c>
      <c r="I8206" s="8" t="s">
        <v>4</v>
      </c>
      <c r="J8206" s="7" t="s">
        <v>8682</v>
      </c>
      <c r="K8206" s="8" t="s">
        <v>205</v>
      </c>
      <c r="L8206" s="8" t="s">
        <v>206</v>
      </c>
      <c r="M8206" s="8" t="s">
        <v>119</v>
      </c>
      <c r="N8206" s="10" t="str">
        <f t="shared" si="740"/>
        <v>TON</v>
      </c>
      <c r="O8206" s="11">
        <v>4.01</v>
      </c>
    </row>
    <row r="8207" spans="2:15" x14ac:dyDescent="0.25">
      <c r="B8207" s="6" t="s">
        <v>645</v>
      </c>
      <c r="C8207" s="7" t="s">
        <v>196</v>
      </c>
      <c r="D8207" s="8" t="s">
        <v>884</v>
      </c>
      <c r="E8207" s="8" t="s">
        <v>141</v>
      </c>
      <c r="F8207" s="9">
        <f>DATE(2025,5,20)</f>
        <v>45797</v>
      </c>
      <c r="G8207" s="10">
        <f t="shared" si="744"/>
        <v>5</v>
      </c>
      <c r="H8207" s="10">
        <f t="shared" si="739"/>
        <v>2025</v>
      </c>
      <c r="I8207" s="8" t="s">
        <v>4</v>
      </c>
      <c r="J8207" s="7" t="s">
        <v>8683</v>
      </c>
      <c r="K8207" s="8" t="s">
        <v>384</v>
      </c>
      <c r="L8207" s="8" t="s">
        <v>385</v>
      </c>
      <c r="M8207" s="8" t="s">
        <v>119</v>
      </c>
      <c r="N8207" s="10" t="str">
        <f t="shared" si="740"/>
        <v>TON</v>
      </c>
      <c r="O8207" s="11">
        <v>2</v>
      </c>
    </row>
    <row r="8208" spans="2:15" x14ac:dyDescent="0.25">
      <c r="B8208" s="6" t="s">
        <v>1520</v>
      </c>
      <c r="C8208" s="7" t="s">
        <v>196</v>
      </c>
      <c r="D8208" s="8" t="s">
        <v>241</v>
      </c>
      <c r="E8208" s="8" t="s">
        <v>258</v>
      </c>
      <c r="F8208" s="9">
        <f>DATE(2025,5,20)</f>
        <v>45797</v>
      </c>
      <c r="G8208" s="10">
        <f t="shared" si="744"/>
        <v>5</v>
      </c>
      <c r="H8208" s="10">
        <f t="shared" si="739"/>
        <v>2025</v>
      </c>
      <c r="I8208" s="8" t="s">
        <v>4</v>
      </c>
      <c r="J8208" s="7" t="s">
        <v>8684</v>
      </c>
      <c r="K8208" s="8" t="s">
        <v>3458</v>
      </c>
      <c r="L8208" s="8" t="s">
        <v>3459</v>
      </c>
      <c r="M8208" s="8" t="s">
        <v>119</v>
      </c>
      <c r="N8208" s="10" t="str">
        <f t="shared" si="740"/>
        <v>TON</v>
      </c>
      <c r="O8208" s="11">
        <v>2.27</v>
      </c>
    </row>
    <row r="8209" spans="2:15" x14ac:dyDescent="0.25">
      <c r="B8209" s="6" t="s">
        <v>645</v>
      </c>
      <c r="C8209" s="7" t="s">
        <v>196</v>
      </c>
      <c r="D8209" s="8" t="s">
        <v>884</v>
      </c>
      <c r="E8209" s="8" t="s">
        <v>141</v>
      </c>
      <c r="F8209" s="9">
        <f>DATE(2025,5,21)</f>
        <v>45798</v>
      </c>
      <c r="G8209" s="10">
        <f t="shared" si="744"/>
        <v>5</v>
      </c>
      <c r="H8209" s="10">
        <f t="shared" si="739"/>
        <v>2025</v>
      </c>
      <c r="I8209" s="8" t="s">
        <v>4</v>
      </c>
      <c r="J8209" s="7" t="s">
        <v>8685</v>
      </c>
      <c r="K8209" s="8" t="s">
        <v>200</v>
      </c>
      <c r="L8209" s="8" t="s">
        <v>201</v>
      </c>
      <c r="M8209" s="8" t="s">
        <v>202</v>
      </c>
      <c r="N8209" s="10" t="str">
        <f t="shared" si="740"/>
        <v>GAL</v>
      </c>
      <c r="O8209" s="11">
        <v>7.5</v>
      </c>
    </row>
    <row r="8210" spans="2:15" x14ac:dyDescent="0.25">
      <c r="B8210" s="6" t="s">
        <v>645</v>
      </c>
      <c r="C8210" s="7" t="s">
        <v>196</v>
      </c>
      <c r="D8210" s="8" t="s">
        <v>884</v>
      </c>
      <c r="E8210" s="8" t="s">
        <v>141</v>
      </c>
      <c r="F8210" s="9">
        <f>DATE(2025,5,21)</f>
        <v>45798</v>
      </c>
      <c r="G8210" s="10">
        <f t="shared" si="744"/>
        <v>5</v>
      </c>
      <c r="H8210" s="10">
        <f t="shared" si="739"/>
        <v>2025</v>
      </c>
      <c r="I8210" s="8" t="s">
        <v>4</v>
      </c>
      <c r="J8210" s="7" t="s">
        <v>8685</v>
      </c>
      <c r="K8210" s="8" t="s">
        <v>158</v>
      </c>
      <c r="L8210" s="8" t="s">
        <v>159</v>
      </c>
      <c r="M8210" s="8" t="s">
        <v>160</v>
      </c>
      <c r="N8210" s="10" t="str">
        <f t="shared" si="740"/>
        <v>GAL</v>
      </c>
      <c r="O8210" s="11">
        <v>5</v>
      </c>
    </row>
    <row r="8211" spans="2:15" x14ac:dyDescent="0.25">
      <c r="B8211" s="6" t="s">
        <v>1520</v>
      </c>
      <c r="C8211" s="7" t="s">
        <v>196</v>
      </c>
      <c r="D8211" s="8" t="s">
        <v>262</v>
      </c>
      <c r="E8211" s="8" t="s">
        <v>1170</v>
      </c>
      <c r="F8211" s="9">
        <f>DATE(2025,5,22)</f>
        <v>45799</v>
      </c>
      <c r="G8211" s="10">
        <f t="shared" si="744"/>
        <v>5</v>
      </c>
      <c r="H8211" s="10">
        <f t="shared" si="739"/>
        <v>2025</v>
      </c>
      <c r="I8211" s="8" t="s">
        <v>4</v>
      </c>
      <c r="J8211" s="7" t="s">
        <v>8686</v>
      </c>
      <c r="K8211" s="8" t="s">
        <v>329</v>
      </c>
      <c r="L8211" s="8" t="s">
        <v>330</v>
      </c>
      <c r="M8211" s="8" t="s">
        <v>119</v>
      </c>
      <c r="N8211" s="10" t="str">
        <f t="shared" si="740"/>
        <v>TON</v>
      </c>
      <c r="O8211" s="11">
        <v>2.5024999999999999</v>
      </c>
    </row>
    <row r="8212" spans="2:15" x14ac:dyDescent="0.25">
      <c r="B8212" s="6" t="s">
        <v>1520</v>
      </c>
      <c r="C8212" s="7" t="s">
        <v>196</v>
      </c>
      <c r="D8212" s="8" t="s">
        <v>253</v>
      </c>
      <c r="E8212" s="8" t="s">
        <v>922</v>
      </c>
      <c r="F8212" s="9">
        <f>DATE(2025,5,22)</f>
        <v>45799</v>
      </c>
      <c r="G8212" s="10">
        <f t="shared" si="744"/>
        <v>5</v>
      </c>
      <c r="H8212" s="10">
        <f t="shared" si="739"/>
        <v>2025</v>
      </c>
      <c r="I8212" s="8" t="s">
        <v>4</v>
      </c>
      <c r="J8212" s="7" t="s">
        <v>8687</v>
      </c>
      <c r="K8212" s="8" t="s">
        <v>256</v>
      </c>
      <c r="L8212" s="8" t="s">
        <v>257</v>
      </c>
      <c r="M8212" s="8" t="s">
        <v>119</v>
      </c>
      <c r="N8212" s="10" t="str">
        <f t="shared" si="740"/>
        <v>TON</v>
      </c>
      <c r="O8212" s="11">
        <v>2.5325000000000002</v>
      </c>
    </row>
    <row r="8213" spans="2:15" x14ac:dyDescent="0.25">
      <c r="B8213" s="6" t="s">
        <v>1520</v>
      </c>
      <c r="C8213" s="7" t="s">
        <v>196</v>
      </c>
      <c r="D8213" s="8" t="s">
        <v>215</v>
      </c>
      <c r="E8213" s="8" t="s">
        <v>315</v>
      </c>
      <c r="F8213" s="9">
        <f>DATE(2025,5,27)</f>
        <v>45804</v>
      </c>
      <c r="G8213" s="10">
        <f t="shared" si="744"/>
        <v>5</v>
      </c>
      <c r="H8213" s="10">
        <f t="shared" si="739"/>
        <v>2025</v>
      </c>
      <c r="I8213" s="8" t="s">
        <v>4</v>
      </c>
      <c r="J8213" s="7" t="s">
        <v>8688</v>
      </c>
      <c r="K8213" s="8" t="s">
        <v>499</v>
      </c>
      <c r="L8213" s="8" t="s">
        <v>500</v>
      </c>
      <c r="M8213" s="8" t="s">
        <v>119</v>
      </c>
      <c r="N8213" s="10" t="str">
        <f t="shared" si="740"/>
        <v>TON</v>
      </c>
      <c r="O8213" s="11">
        <v>3.0449999999999999</v>
      </c>
    </row>
    <row r="8214" spans="2:15" x14ac:dyDescent="0.25">
      <c r="B8214" s="6" t="s">
        <v>645</v>
      </c>
      <c r="C8214" s="7" t="s">
        <v>196</v>
      </c>
      <c r="D8214" s="8" t="s">
        <v>3450</v>
      </c>
      <c r="E8214" s="8" t="s">
        <v>91</v>
      </c>
      <c r="F8214" s="9">
        <f>DATE(2025,5,28)</f>
        <v>45805</v>
      </c>
      <c r="G8214" s="10">
        <f t="shared" si="744"/>
        <v>5</v>
      </c>
      <c r="H8214" s="10">
        <f t="shared" ref="H8214:H8277" si="745">+YEAR(F8214)</f>
        <v>2025</v>
      </c>
      <c r="I8214" s="8" t="s">
        <v>4</v>
      </c>
      <c r="J8214" s="7" t="s">
        <v>8689</v>
      </c>
      <c r="K8214" s="8" t="s">
        <v>25</v>
      </c>
      <c r="L8214" s="8" t="s">
        <v>541</v>
      </c>
      <c r="M8214" s="8" t="s">
        <v>27</v>
      </c>
      <c r="N8214" s="10" t="str">
        <f t="shared" si="740"/>
        <v>GAL</v>
      </c>
      <c r="O8214" s="11">
        <v>2.5</v>
      </c>
    </row>
    <row r="8215" spans="2:15" x14ac:dyDescent="0.25">
      <c r="B8215" s="6" t="s">
        <v>1520</v>
      </c>
      <c r="C8215" s="7" t="s">
        <v>196</v>
      </c>
      <c r="D8215" s="8" t="s">
        <v>321</v>
      </c>
      <c r="E8215" s="8" t="s">
        <v>392</v>
      </c>
      <c r="F8215" s="9">
        <f>DATE(2025,5,28)</f>
        <v>45805</v>
      </c>
      <c r="G8215" s="10">
        <f t="shared" si="744"/>
        <v>5</v>
      </c>
      <c r="H8215" s="10">
        <f t="shared" si="745"/>
        <v>2025</v>
      </c>
      <c r="I8215" s="8" t="s">
        <v>4</v>
      </c>
      <c r="J8215" s="7" t="s">
        <v>8690</v>
      </c>
      <c r="K8215" s="8" t="s">
        <v>447</v>
      </c>
      <c r="L8215" s="8" t="s">
        <v>448</v>
      </c>
      <c r="M8215" s="8" t="s">
        <v>119</v>
      </c>
      <c r="N8215" s="10" t="str">
        <f t="shared" ref="N8215:N8278" si="746">+LEFT(M8215,3)</f>
        <v>TON</v>
      </c>
      <c r="O8215" s="11">
        <v>1.27</v>
      </c>
    </row>
    <row r="8216" spans="2:15" x14ac:dyDescent="0.25">
      <c r="B8216" s="6" t="s">
        <v>1520</v>
      </c>
      <c r="C8216" s="7" t="s">
        <v>196</v>
      </c>
      <c r="D8216" s="8" t="s">
        <v>2755</v>
      </c>
      <c r="E8216" s="8" t="s">
        <v>141</v>
      </c>
      <c r="F8216" s="9">
        <f>DATE(2025,5,30)</f>
        <v>45807</v>
      </c>
      <c r="G8216" s="10">
        <f t="shared" si="744"/>
        <v>5</v>
      </c>
      <c r="H8216" s="10">
        <f t="shared" si="745"/>
        <v>2025</v>
      </c>
      <c r="I8216" s="8" t="s">
        <v>4</v>
      </c>
      <c r="J8216" s="7" t="s">
        <v>8691</v>
      </c>
      <c r="K8216" s="8" t="s">
        <v>25</v>
      </c>
      <c r="L8216" s="8" t="s">
        <v>541</v>
      </c>
      <c r="M8216" s="8" t="s">
        <v>27</v>
      </c>
      <c r="N8216" s="10" t="str">
        <f t="shared" si="746"/>
        <v>GAL</v>
      </c>
      <c r="O8216" s="11">
        <v>2.5</v>
      </c>
    </row>
    <row r="8217" spans="2:15" x14ac:dyDescent="0.25">
      <c r="B8217" s="6" t="s">
        <v>1520</v>
      </c>
      <c r="C8217" s="7" t="s">
        <v>196</v>
      </c>
      <c r="D8217" s="8" t="s">
        <v>6049</v>
      </c>
      <c r="E8217" s="8" t="s">
        <v>141</v>
      </c>
      <c r="F8217" s="9">
        <f>DATE(2025,5,30)</f>
        <v>45807</v>
      </c>
      <c r="G8217" s="10">
        <f t="shared" si="744"/>
        <v>5</v>
      </c>
      <c r="H8217" s="10">
        <f t="shared" si="745"/>
        <v>2025</v>
      </c>
      <c r="I8217" s="8" t="s">
        <v>4</v>
      </c>
      <c r="J8217" s="7" t="s">
        <v>8692</v>
      </c>
      <c r="K8217" s="8" t="s">
        <v>39</v>
      </c>
      <c r="L8217" s="8" t="s">
        <v>932</v>
      </c>
      <c r="M8217" s="8" t="s">
        <v>41</v>
      </c>
      <c r="N8217" s="10" t="str">
        <f t="shared" si="746"/>
        <v>GAL</v>
      </c>
      <c r="O8217" s="11">
        <v>20</v>
      </c>
    </row>
    <row r="8218" spans="2:15" x14ac:dyDescent="0.25">
      <c r="B8218" s="6" t="s">
        <v>382</v>
      </c>
      <c r="C8218" s="7" t="s">
        <v>506</v>
      </c>
      <c r="D8218" s="8" t="s">
        <v>515</v>
      </c>
      <c r="E8218" s="8" t="s">
        <v>516</v>
      </c>
      <c r="F8218" s="9">
        <f>DATE(2025,5,2)</f>
        <v>45779</v>
      </c>
      <c r="G8218" s="10">
        <f t="shared" si="744"/>
        <v>5</v>
      </c>
      <c r="H8218" s="10">
        <f t="shared" si="745"/>
        <v>2025</v>
      </c>
      <c r="I8218" s="8" t="s">
        <v>4</v>
      </c>
      <c r="J8218" s="7" t="s">
        <v>8693</v>
      </c>
      <c r="K8218" s="8" t="s">
        <v>1814</v>
      </c>
      <c r="L8218" s="8" t="s">
        <v>1815</v>
      </c>
      <c r="M8218" s="8" t="s">
        <v>1816</v>
      </c>
      <c r="N8218" s="10" t="str">
        <f t="shared" si="746"/>
        <v>GAL</v>
      </c>
      <c r="O8218" s="11">
        <v>5</v>
      </c>
    </row>
    <row r="8219" spans="2:15" x14ac:dyDescent="0.25">
      <c r="B8219" s="6" t="s">
        <v>382</v>
      </c>
      <c r="C8219" s="7" t="s">
        <v>506</v>
      </c>
      <c r="D8219" s="8" t="s">
        <v>1006</v>
      </c>
      <c r="E8219" s="8" t="s">
        <v>1007</v>
      </c>
      <c r="F8219" s="9">
        <f>DATE(2025,5,7)</f>
        <v>45784</v>
      </c>
      <c r="G8219" s="10">
        <f t="shared" si="744"/>
        <v>5</v>
      </c>
      <c r="H8219" s="10">
        <f t="shared" si="745"/>
        <v>2025</v>
      </c>
      <c r="I8219" s="8" t="s">
        <v>4</v>
      </c>
      <c r="J8219" s="7" t="s">
        <v>8694</v>
      </c>
      <c r="K8219" s="8" t="s">
        <v>25</v>
      </c>
      <c r="L8219" s="8" t="s">
        <v>541</v>
      </c>
      <c r="M8219" s="8" t="s">
        <v>27</v>
      </c>
      <c r="N8219" s="10" t="str">
        <f t="shared" si="746"/>
        <v>GAL</v>
      </c>
      <c r="O8219" s="11">
        <v>360</v>
      </c>
    </row>
    <row r="8220" spans="2:15" x14ac:dyDescent="0.25">
      <c r="B8220" s="6" t="s">
        <v>382</v>
      </c>
      <c r="C8220" s="7" t="s">
        <v>506</v>
      </c>
      <c r="D8220" s="8" t="s">
        <v>995</v>
      </c>
      <c r="E8220" s="8" t="s">
        <v>8695</v>
      </c>
      <c r="F8220" s="9">
        <f>DATE(2025,5,16)</f>
        <v>45793</v>
      </c>
      <c r="G8220" s="10">
        <f t="shared" si="744"/>
        <v>5</v>
      </c>
      <c r="H8220" s="10">
        <f t="shared" si="745"/>
        <v>2025</v>
      </c>
      <c r="I8220" s="8" t="s">
        <v>4</v>
      </c>
      <c r="J8220" s="7" t="s">
        <v>8696</v>
      </c>
      <c r="K8220" s="8" t="s">
        <v>1723</v>
      </c>
      <c r="L8220" s="8" t="s">
        <v>1724</v>
      </c>
      <c r="M8220" s="8" t="s">
        <v>13</v>
      </c>
      <c r="N8220" s="10" t="str">
        <f t="shared" si="746"/>
        <v>GAL</v>
      </c>
      <c r="O8220" s="11">
        <v>250</v>
      </c>
    </row>
    <row r="8221" spans="2:15" x14ac:dyDescent="0.25">
      <c r="B8221" s="6" t="s">
        <v>382</v>
      </c>
      <c r="C8221" s="7" t="s">
        <v>506</v>
      </c>
      <c r="D8221" s="8" t="s">
        <v>995</v>
      </c>
      <c r="E8221" s="8" t="s">
        <v>3327</v>
      </c>
      <c r="F8221" s="9">
        <f>DATE(2025,5,28)</f>
        <v>45805</v>
      </c>
      <c r="G8221" s="10">
        <f t="shared" si="744"/>
        <v>5</v>
      </c>
      <c r="H8221" s="10">
        <f t="shared" si="745"/>
        <v>2025</v>
      </c>
      <c r="I8221" s="8" t="s">
        <v>4</v>
      </c>
      <c r="J8221" s="7" t="s">
        <v>8697</v>
      </c>
      <c r="K8221" s="8" t="s">
        <v>3329</v>
      </c>
      <c r="L8221" s="8" t="s">
        <v>1471</v>
      </c>
      <c r="M8221" s="8" t="s">
        <v>1472</v>
      </c>
      <c r="N8221" s="10" t="str">
        <f t="shared" si="746"/>
        <v>GAL</v>
      </c>
      <c r="O8221" s="11">
        <v>250</v>
      </c>
    </row>
    <row r="8222" spans="2:15" x14ac:dyDescent="0.25">
      <c r="B8222" s="6" t="s">
        <v>382</v>
      </c>
      <c r="C8222" s="7" t="s">
        <v>506</v>
      </c>
      <c r="D8222" s="8" t="s">
        <v>515</v>
      </c>
      <c r="E8222" s="8" t="s">
        <v>516</v>
      </c>
      <c r="F8222" s="9">
        <f>DATE(2025,5,30)</f>
        <v>45807</v>
      </c>
      <c r="G8222" s="10">
        <f t="shared" si="744"/>
        <v>5</v>
      </c>
      <c r="H8222" s="10">
        <f t="shared" si="745"/>
        <v>2025</v>
      </c>
      <c r="I8222" s="8" t="s">
        <v>4</v>
      </c>
      <c r="J8222" s="7" t="s">
        <v>8698</v>
      </c>
      <c r="K8222" s="8" t="s">
        <v>149</v>
      </c>
      <c r="L8222" s="8" t="s">
        <v>150</v>
      </c>
      <c r="M8222" s="8" t="s">
        <v>21</v>
      </c>
      <c r="N8222" s="10" t="str">
        <f t="shared" si="746"/>
        <v>GAL</v>
      </c>
      <c r="O8222" s="11">
        <v>180</v>
      </c>
    </row>
    <row r="8223" spans="2:15" x14ac:dyDescent="0.25">
      <c r="B8223" s="6" t="s">
        <v>382</v>
      </c>
      <c r="C8223" s="7" t="s">
        <v>506</v>
      </c>
      <c r="D8223" s="8" t="s">
        <v>515</v>
      </c>
      <c r="E8223" s="8" t="s">
        <v>516</v>
      </c>
      <c r="F8223" s="9">
        <f>DATE(2025,5,30)</f>
        <v>45807</v>
      </c>
      <c r="G8223" s="10">
        <f t="shared" si="744"/>
        <v>5</v>
      </c>
      <c r="H8223" s="10">
        <f t="shared" si="745"/>
        <v>2025</v>
      </c>
      <c r="I8223" s="8" t="s">
        <v>4</v>
      </c>
      <c r="J8223" s="7" t="s">
        <v>8698</v>
      </c>
      <c r="K8223" s="8" t="s">
        <v>2447</v>
      </c>
      <c r="L8223" s="8" t="s">
        <v>547</v>
      </c>
      <c r="M8223" s="8" t="s">
        <v>160</v>
      </c>
      <c r="N8223" s="10" t="str">
        <f t="shared" si="746"/>
        <v>GAL</v>
      </c>
      <c r="O8223" s="11">
        <v>180</v>
      </c>
    </row>
    <row r="8224" spans="2:15" x14ac:dyDescent="0.25">
      <c r="B8224" s="6" t="s">
        <v>8502</v>
      </c>
      <c r="C8224" s="7" t="s">
        <v>1025</v>
      </c>
      <c r="D8224" s="8" t="s">
        <v>124</v>
      </c>
      <c r="E8224" s="8" t="s">
        <v>2475</v>
      </c>
      <c r="F8224" s="9">
        <f>DATE(2025,5,1)</f>
        <v>45778</v>
      </c>
      <c r="G8224" s="10">
        <f t="shared" si="744"/>
        <v>5</v>
      </c>
      <c r="H8224" s="10">
        <f t="shared" si="745"/>
        <v>2025</v>
      </c>
      <c r="I8224" s="8" t="s">
        <v>4</v>
      </c>
      <c r="J8224" s="7" t="s">
        <v>8699</v>
      </c>
      <c r="K8224" s="8" t="s">
        <v>158</v>
      </c>
      <c r="L8224" s="8" t="s">
        <v>159</v>
      </c>
      <c r="M8224" s="8" t="s">
        <v>160</v>
      </c>
      <c r="N8224" s="10" t="str">
        <f t="shared" si="746"/>
        <v>GAL</v>
      </c>
      <c r="O8224" s="11">
        <v>180</v>
      </c>
    </row>
    <row r="8225" spans="2:15" x14ac:dyDescent="0.25">
      <c r="B8225" s="6" t="s">
        <v>8502</v>
      </c>
      <c r="C8225" s="7" t="s">
        <v>1025</v>
      </c>
      <c r="D8225" s="8" t="s">
        <v>2478</v>
      </c>
      <c r="E8225" s="8" t="s">
        <v>8700</v>
      </c>
      <c r="F8225" s="9">
        <f>DATE(2025,5,1)</f>
        <v>45778</v>
      </c>
      <c r="G8225" s="10">
        <f t="shared" si="744"/>
        <v>5</v>
      </c>
      <c r="H8225" s="10">
        <f t="shared" si="745"/>
        <v>2025</v>
      </c>
      <c r="I8225" s="8" t="s">
        <v>4</v>
      </c>
      <c r="J8225" s="7" t="s">
        <v>8701</v>
      </c>
      <c r="K8225" s="8" t="s">
        <v>822</v>
      </c>
      <c r="L8225" s="8" t="s">
        <v>565</v>
      </c>
      <c r="M8225" s="8" t="s">
        <v>21</v>
      </c>
      <c r="N8225" s="10" t="str">
        <f t="shared" si="746"/>
        <v>GAL</v>
      </c>
      <c r="O8225" s="11">
        <v>250</v>
      </c>
    </row>
    <row r="8226" spans="2:15" x14ac:dyDescent="0.25">
      <c r="B8226" s="6" t="s">
        <v>645</v>
      </c>
      <c r="C8226" s="7" t="s">
        <v>1025</v>
      </c>
      <c r="D8226" s="8" t="s">
        <v>2478</v>
      </c>
      <c r="E8226" s="8" t="s">
        <v>124</v>
      </c>
      <c r="F8226" s="9">
        <f>DATE(2025,5,2)</f>
        <v>45779</v>
      </c>
      <c r="G8226" s="10">
        <f t="shared" si="744"/>
        <v>5</v>
      </c>
      <c r="H8226" s="10">
        <f t="shared" si="745"/>
        <v>2025</v>
      </c>
      <c r="I8226" s="8" t="s">
        <v>4</v>
      </c>
      <c r="J8226" s="7" t="s">
        <v>8702</v>
      </c>
      <c r="K8226" s="8" t="s">
        <v>8703</v>
      </c>
      <c r="L8226" s="8" t="s">
        <v>8704</v>
      </c>
      <c r="M8226" s="8" t="s">
        <v>119</v>
      </c>
      <c r="N8226" s="10" t="str">
        <f t="shared" si="746"/>
        <v>TON</v>
      </c>
      <c r="O8226" s="11">
        <v>3.97</v>
      </c>
    </row>
    <row r="8227" spans="2:15" x14ac:dyDescent="0.25">
      <c r="B8227" s="6" t="s">
        <v>782</v>
      </c>
      <c r="C8227" s="7" t="s">
        <v>1025</v>
      </c>
      <c r="D8227" s="8" t="s">
        <v>628</v>
      </c>
      <c r="E8227" s="8" t="s">
        <v>3046</v>
      </c>
      <c r="F8227" s="9">
        <f>DATE(2025,5,9)</f>
        <v>45786</v>
      </c>
      <c r="G8227" s="10">
        <f t="shared" si="744"/>
        <v>5</v>
      </c>
      <c r="H8227" s="10">
        <f t="shared" si="745"/>
        <v>2025</v>
      </c>
      <c r="I8227" s="8" t="s">
        <v>4</v>
      </c>
      <c r="J8227" s="7" t="s">
        <v>8705</v>
      </c>
      <c r="K8227" s="8" t="s">
        <v>8706</v>
      </c>
      <c r="L8227" s="8" t="s">
        <v>8707</v>
      </c>
      <c r="M8227" s="8" t="s">
        <v>2455</v>
      </c>
      <c r="N8227" s="10" t="str">
        <f t="shared" si="746"/>
        <v>GAL</v>
      </c>
      <c r="O8227" s="11">
        <v>180</v>
      </c>
    </row>
    <row r="8228" spans="2:15" x14ac:dyDescent="0.25">
      <c r="B8228" s="6" t="s">
        <v>782</v>
      </c>
      <c r="C8228" s="7" t="s">
        <v>1025</v>
      </c>
      <c r="D8228" s="8" t="s">
        <v>628</v>
      </c>
      <c r="E8228" s="8" t="s">
        <v>3046</v>
      </c>
      <c r="F8228" s="9">
        <f>DATE(2025,5,9)</f>
        <v>45786</v>
      </c>
      <c r="G8228" s="10">
        <f t="shared" si="744"/>
        <v>5</v>
      </c>
      <c r="H8228" s="10">
        <f t="shared" si="745"/>
        <v>2025</v>
      </c>
      <c r="I8228" s="8" t="s">
        <v>4</v>
      </c>
      <c r="J8228" s="7" t="s">
        <v>8705</v>
      </c>
      <c r="K8228" s="8" t="s">
        <v>560</v>
      </c>
      <c r="L8228" s="8" t="s">
        <v>602</v>
      </c>
      <c r="M8228" s="8" t="s">
        <v>41</v>
      </c>
      <c r="N8228" s="10" t="str">
        <f t="shared" si="746"/>
        <v>GAL</v>
      </c>
      <c r="O8228" s="11">
        <v>2000</v>
      </c>
    </row>
    <row r="8229" spans="2:15" x14ac:dyDescent="0.25">
      <c r="B8229" s="6" t="s">
        <v>645</v>
      </c>
      <c r="C8229" s="7" t="s">
        <v>1025</v>
      </c>
      <c r="D8229" s="8" t="s">
        <v>496</v>
      </c>
      <c r="E8229" s="8" t="s">
        <v>497</v>
      </c>
      <c r="F8229" s="9">
        <f>DATE(2025,5,9)</f>
        <v>45786</v>
      </c>
      <c r="G8229" s="10">
        <f t="shared" si="744"/>
        <v>5</v>
      </c>
      <c r="H8229" s="10">
        <f t="shared" si="745"/>
        <v>2025</v>
      </c>
      <c r="I8229" s="8" t="s">
        <v>4</v>
      </c>
      <c r="J8229" s="7" t="s">
        <v>8708</v>
      </c>
      <c r="K8229" s="8" t="s">
        <v>8709</v>
      </c>
      <c r="L8229" s="8" t="s">
        <v>8710</v>
      </c>
      <c r="M8229" s="8" t="s">
        <v>119</v>
      </c>
      <c r="N8229" s="10" t="str">
        <f t="shared" si="746"/>
        <v>TON</v>
      </c>
      <c r="O8229" s="11">
        <v>1.25</v>
      </c>
    </row>
    <row r="8230" spans="2:15" x14ac:dyDescent="0.25">
      <c r="B8230" s="6" t="s">
        <v>645</v>
      </c>
      <c r="C8230" s="7" t="s">
        <v>1025</v>
      </c>
      <c r="D8230" s="8" t="s">
        <v>496</v>
      </c>
      <c r="E8230" s="8" t="s">
        <v>497</v>
      </c>
      <c r="F8230" s="9">
        <f>DATE(2025,5,9)</f>
        <v>45786</v>
      </c>
      <c r="G8230" s="10">
        <f t="shared" si="744"/>
        <v>5</v>
      </c>
      <c r="H8230" s="10">
        <f t="shared" si="745"/>
        <v>2025</v>
      </c>
      <c r="I8230" s="8" t="s">
        <v>4</v>
      </c>
      <c r="J8230" s="7" t="s">
        <v>8711</v>
      </c>
      <c r="K8230" s="8" t="s">
        <v>8210</v>
      </c>
      <c r="L8230" s="8" t="s">
        <v>8211</v>
      </c>
      <c r="M8230" s="8" t="s">
        <v>119</v>
      </c>
      <c r="N8230" s="10" t="str">
        <f t="shared" si="746"/>
        <v>TON</v>
      </c>
      <c r="O8230" s="11">
        <v>2.5</v>
      </c>
    </row>
    <row r="8231" spans="2:15" x14ac:dyDescent="0.25">
      <c r="B8231" s="6" t="s">
        <v>645</v>
      </c>
      <c r="C8231" s="7" t="s">
        <v>1025</v>
      </c>
      <c r="D8231" s="8" t="s">
        <v>496</v>
      </c>
      <c r="E8231" s="8" t="s">
        <v>497</v>
      </c>
      <c r="F8231" s="9">
        <f>DATE(2025,5,20)</f>
        <v>45797</v>
      </c>
      <c r="G8231" s="10">
        <f t="shared" si="744"/>
        <v>5</v>
      </c>
      <c r="H8231" s="10">
        <f t="shared" si="745"/>
        <v>2025</v>
      </c>
      <c r="I8231" s="8" t="s">
        <v>4</v>
      </c>
      <c r="J8231" s="7" t="s">
        <v>8712</v>
      </c>
      <c r="K8231" s="8" t="s">
        <v>499</v>
      </c>
      <c r="L8231" s="8" t="s">
        <v>500</v>
      </c>
      <c r="M8231" s="8" t="s">
        <v>119</v>
      </c>
      <c r="N8231" s="10" t="str">
        <f t="shared" si="746"/>
        <v>TON</v>
      </c>
      <c r="O8231" s="11">
        <v>2.5049999999999999</v>
      </c>
    </row>
    <row r="8232" spans="2:15" x14ac:dyDescent="0.25">
      <c r="B8232" s="6" t="s">
        <v>8502</v>
      </c>
      <c r="C8232" s="7" t="s">
        <v>1025</v>
      </c>
      <c r="D8232" s="8" t="s">
        <v>628</v>
      </c>
      <c r="E8232" s="8" t="s">
        <v>3046</v>
      </c>
      <c r="F8232" s="9">
        <f>DATE(2025,5,20)</f>
        <v>45797</v>
      </c>
      <c r="G8232" s="10">
        <f t="shared" si="744"/>
        <v>5</v>
      </c>
      <c r="H8232" s="10">
        <f t="shared" si="745"/>
        <v>2025</v>
      </c>
      <c r="I8232" s="8" t="s">
        <v>4</v>
      </c>
      <c r="J8232" s="7" t="s">
        <v>8713</v>
      </c>
      <c r="K8232" s="8" t="s">
        <v>8706</v>
      </c>
      <c r="L8232" s="8" t="s">
        <v>8707</v>
      </c>
      <c r="M8232" s="8" t="s">
        <v>2455</v>
      </c>
      <c r="N8232" s="10" t="str">
        <f t="shared" si="746"/>
        <v>GAL</v>
      </c>
      <c r="O8232" s="11">
        <v>540</v>
      </c>
    </row>
    <row r="8233" spans="2:15" x14ac:dyDescent="0.25">
      <c r="B8233" s="6" t="s">
        <v>8502</v>
      </c>
      <c r="C8233" s="7" t="s">
        <v>1025</v>
      </c>
      <c r="D8233" s="8" t="s">
        <v>628</v>
      </c>
      <c r="E8233" s="8" t="s">
        <v>8206</v>
      </c>
      <c r="F8233" s="9">
        <f>DATE(2025,5,22)</f>
        <v>45799</v>
      </c>
      <c r="G8233" s="10">
        <f t="shared" si="744"/>
        <v>5</v>
      </c>
      <c r="H8233" s="10">
        <f t="shared" si="745"/>
        <v>2025</v>
      </c>
      <c r="I8233" s="8" t="s">
        <v>4</v>
      </c>
      <c r="J8233" s="7" t="s">
        <v>8714</v>
      </c>
      <c r="K8233" s="8" t="s">
        <v>171</v>
      </c>
      <c r="L8233" s="8" t="s">
        <v>172</v>
      </c>
      <c r="M8233" s="8" t="s">
        <v>27</v>
      </c>
      <c r="N8233" s="10" t="str">
        <f t="shared" si="746"/>
        <v>GAL</v>
      </c>
      <c r="O8233" s="11">
        <v>180</v>
      </c>
    </row>
    <row r="8234" spans="2:15" x14ac:dyDescent="0.25">
      <c r="B8234" s="6" t="s">
        <v>645</v>
      </c>
      <c r="C8234" s="7" t="s">
        <v>1025</v>
      </c>
      <c r="D8234" s="8" t="s">
        <v>2478</v>
      </c>
      <c r="E8234" s="8" t="s">
        <v>124</v>
      </c>
      <c r="F8234" s="9">
        <f>DATE(2025,5,23)</f>
        <v>45800</v>
      </c>
      <c r="G8234" s="10">
        <f t="shared" si="744"/>
        <v>5</v>
      </c>
      <c r="H8234" s="10">
        <f t="shared" si="745"/>
        <v>2025</v>
      </c>
      <c r="I8234" s="8" t="s">
        <v>4</v>
      </c>
      <c r="J8234" s="7" t="s">
        <v>8715</v>
      </c>
      <c r="K8234" s="8" t="s">
        <v>3344</v>
      </c>
      <c r="L8234" s="8" t="s">
        <v>3345</v>
      </c>
      <c r="M8234" s="8" t="s">
        <v>119</v>
      </c>
      <c r="N8234" s="10" t="str">
        <f t="shared" si="746"/>
        <v>TON</v>
      </c>
      <c r="O8234" s="11">
        <v>4.5225</v>
      </c>
    </row>
    <row r="8235" spans="2:15" x14ac:dyDescent="0.25">
      <c r="B8235" s="6" t="s">
        <v>645</v>
      </c>
      <c r="C8235" s="7" t="s">
        <v>1025</v>
      </c>
      <c r="D8235" s="8" t="s">
        <v>1401</v>
      </c>
      <c r="E8235" s="8" t="s">
        <v>1402</v>
      </c>
      <c r="F8235" s="9">
        <f>DATE(2025,5,29)</f>
        <v>45806</v>
      </c>
      <c r="G8235" s="10">
        <f t="shared" si="744"/>
        <v>5</v>
      </c>
      <c r="H8235" s="10">
        <f t="shared" si="745"/>
        <v>2025</v>
      </c>
      <c r="I8235" s="8" t="s">
        <v>4</v>
      </c>
      <c r="J8235" s="7" t="s">
        <v>8716</v>
      </c>
      <c r="K8235" s="8" t="s">
        <v>8512</v>
      </c>
      <c r="L8235" s="8" t="s">
        <v>8513</v>
      </c>
      <c r="M8235" s="8" t="s">
        <v>556</v>
      </c>
      <c r="N8235" s="10" t="str">
        <f t="shared" si="746"/>
        <v>GAL</v>
      </c>
      <c r="O8235" s="11">
        <v>250</v>
      </c>
    </row>
    <row r="8236" spans="2:15" x14ac:dyDescent="0.25">
      <c r="B8236" s="6" t="s">
        <v>645</v>
      </c>
      <c r="C8236" s="7" t="s">
        <v>1025</v>
      </c>
      <c r="D8236" s="8" t="s">
        <v>2079</v>
      </c>
      <c r="E8236" s="8" t="s">
        <v>1402</v>
      </c>
      <c r="F8236" s="9">
        <f>DATE(2025,5,29)</f>
        <v>45806</v>
      </c>
      <c r="G8236" s="10">
        <f t="shared" si="744"/>
        <v>5</v>
      </c>
      <c r="H8236" s="10">
        <f t="shared" si="745"/>
        <v>2025</v>
      </c>
      <c r="I8236" s="8" t="s">
        <v>4</v>
      </c>
      <c r="J8236" s="7" t="s">
        <v>8717</v>
      </c>
      <c r="K8236" s="8" t="s">
        <v>609</v>
      </c>
      <c r="L8236" s="8" t="s">
        <v>610</v>
      </c>
      <c r="M8236" s="8" t="s">
        <v>611</v>
      </c>
      <c r="N8236" s="10" t="str">
        <f t="shared" si="746"/>
        <v>GAL</v>
      </c>
      <c r="O8236" s="11">
        <v>180</v>
      </c>
    </row>
    <row r="8237" spans="2:15" x14ac:dyDescent="0.25">
      <c r="B8237" s="6" t="s">
        <v>645</v>
      </c>
      <c r="C8237" s="7" t="s">
        <v>1025</v>
      </c>
      <c r="D8237" s="8" t="s">
        <v>2478</v>
      </c>
      <c r="E8237" s="8" t="s">
        <v>124</v>
      </c>
      <c r="F8237" s="9">
        <f>DATE(2025,5,30)</f>
        <v>45807</v>
      </c>
      <c r="G8237" s="10">
        <f t="shared" si="744"/>
        <v>5</v>
      </c>
      <c r="H8237" s="10">
        <f t="shared" si="745"/>
        <v>2025</v>
      </c>
      <c r="I8237" s="8" t="s">
        <v>4</v>
      </c>
      <c r="J8237" s="7" t="s">
        <v>8718</v>
      </c>
      <c r="K8237" s="8" t="s">
        <v>6065</v>
      </c>
      <c r="L8237" s="8" t="s">
        <v>6066</v>
      </c>
      <c r="M8237" s="8" t="s">
        <v>1731</v>
      </c>
      <c r="N8237" s="10" t="str">
        <f t="shared" si="746"/>
        <v>GAL</v>
      </c>
      <c r="O8237" s="11">
        <v>45</v>
      </c>
    </row>
    <row r="8238" spans="2:15" x14ac:dyDescent="0.25">
      <c r="B8238" s="6" t="s">
        <v>645</v>
      </c>
      <c r="C8238" s="7" t="s">
        <v>1025</v>
      </c>
      <c r="D8238" s="8" t="s">
        <v>2478</v>
      </c>
      <c r="E8238" s="8" t="s">
        <v>124</v>
      </c>
      <c r="F8238" s="9">
        <f>DATE(2025,5,30)</f>
        <v>45807</v>
      </c>
      <c r="G8238" s="10">
        <f t="shared" si="744"/>
        <v>5</v>
      </c>
      <c r="H8238" s="10">
        <f t="shared" si="745"/>
        <v>2025</v>
      </c>
      <c r="I8238" s="8" t="s">
        <v>4</v>
      </c>
      <c r="J8238" s="7" t="s">
        <v>8718</v>
      </c>
      <c r="K8238" s="8" t="s">
        <v>822</v>
      </c>
      <c r="L8238" s="8" t="s">
        <v>565</v>
      </c>
      <c r="M8238" s="8" t="s">
        <v>21</v>
      </c>
      <c r="N8238" s="10" t="str">
        <f t="shared" si="746"/>
        <v>GAL</v>
      </c>
      <c r="O8238" s="11">
        <v>500</v>
      </c>
    </row>
    <row r="8239" spans="2:15" x14ac:dyDescent="0.25">
      <c r="B8239" s="6" t="s">
        <v>8502</v>
      </c>
      <c r="C8239" s="7" t="s">
        <v>1025</v>
      </c>
      <c r="D8239" s="8" t="s">
        <v>628</v>
      </c>
      <c r="E8239" s="8" t="s">
        <v>3046</v>
      </c>
      <c r="F8239" s="9">
        <f>DATE(2025,5,30)</f>
        <v>45807</v>
      </c>
      <c r="G8239" s="10">
        <f t="shared" si="744"/>
        <v>5</v>
      </c>
      <c r="H8239" s="10">
        <f t="shared" si="745"/>
        <v>2025</v>
      </c>
      <c r="I8239" s="8" t="s">
        <v>4</v>
      </c>
      <c r="J8239" s="7" t="s">
        <v>8719</v>
      </c>
      <c r="K8239" s="8" t="s">
        <v>8706</v>
      </c>
      <c r="L8239" s="8" t="s">
        <v>8707</v>
      </c>
      <c r="M8239" s="8" t="s">
        <v>2455</v>
      </c>
      <c r="N8239" s="10" t="str">
        <f t="shared" si="746"/>
        <v>GAL</v>
      </c>
      <c r="O8239" s="11">
        <v>720</v>
      </c>
    </row>
    <row r="8240" spans="2:15" x14ac:dyDescent="0.25">
      <c r="B8240" s="6" t="s">
        <v>1410</v>
      </c>
      <c r="C8240" s="7" t="s">
        <v>525</v>
      </c>
      <c r="D8240" s="8" t="s">
        <v>124</v>
      </c>
      <c r="E8240" s="8" t="s">
        <v>526</v>
      </c>
      <c r="F8240" s="9">
        <f>DATE(2025,5,1)</f>
        <v>45778</v>
      </c>
      <c r="G8240" s="10">
        <f t="shared" si="744"/>
        <v>5</v>
      </c>
      <c r="H8240" s="10">
        <f t="shared" si="745"/>
        <v>2025</v>
      </c>
      <c r="I8240" s="8" t="s">
        <v>4</v>
      </c>
      <c r="J8240" s="7" t="s">
        <v>8720</v>
      </c>
      <c r="K8240" s="8" t="s">
        <v>2113</v>
      </c>
      <c r="L8240" s="8" t="s">
        <v>2114</v>
      </c>
      <c r="M8240" s="8" t="s">
        <v>119</v>
      </c>
      <c r="N8240" s="10" t="str">
        <f t="shared" si="746"/>
        <v>TON</v>
      </c>
      <c r="O8240" s="11">
        <v>11.9825</v>
      </c>
    </row>
    <row r="8241" spans="2:15" x14ac:dyDescent="0.25">
      <c r="B8241" s="6" t="s">
        <v>1410</v>
      </c>
      <c r="C8241" s="7" t="s">
        <v>525</v>
      </c>
      <c r="D8241" s="8" t="s">
        <v>124</v>
      </c>
      <c r="E8241" s="8" t="s">
        <v>526</v>
      </c>
      <c r="F8241" s="9">
        <f>DATE(2025,5,9)</f>
        <v>45786</v>
      </c>
      <c r="G8241" s="10">
        <f t="shared" si="744"/>
        <v>5</v>
      </c>
      <c r="H8241" s="10">
        <f t="shared" si="745"/>
        <v>2025</v>
      </c>
      <c r="I8241" s="8" t="s">
        <v>4</v>
      </c>
      <c r="J8241" s="7" t="s">
        <v>8721</v>
      </c>
      <c r="K8241" s="8" t="s">
        <v>531</v>
      </c>
      <c r="L8241" s="8" t="s">
        <v>201</v>
      </c>
      <c r="M8241" s="8" t="s">
        <v>202</v>
      </c>
      <c r="N8241" s="10" t="str">
        <f t="shared" si="746"/>
        <v>GAL</v>
      </c>
      <c r="O8241" s="11">
        <v>30</v>
      </c>
    </row>
    <row r="8242" spans="2:15" x14ac:dyDescent="0.25">
      <c r="B8242" s="6" t="s">
        <v>1410</v>
      </c>
      <c r="C8242" s="7" t="s">
        <v>525</v>
      </c>
      <c r="D8242" s="8" t="s">
        <v>507</v>
      </c>
      <c r="E8242" s="8" t="s">
        <v>508</v>
      </c>
      <c r="F8242" s="9">
        <f>DATE(2025,5,14)</f>
        <v>45791</v>
      </c>
      <c r="G8242" s="10">
        <f t="shared" si="744"/>
        <v>5</v>
      </c>
      <c r="H8242" s="10">
        <f t="shared" si="745"/>
        <v>2025</v>
      </c>
      <c r="I8242" s="8" t="s">
        <v>4</v>
      </c>
      <c r="J8242" s="7" t="s">
        <v>8722</v>
      </c>
      <c r="K8242" s="8" t="s">
        <v>329</v>
      </c>
      <c r="L8242" s="8" t="s">
        <v>330</v>
      </c>
      <c r="M8242" s="8" t="s">
        <v>119</v>
      </c>
      <c r="N8242" s="10" t="str">
        <f t="shared" si="746"/>
        <v>TON</v>
      </c>
      <c r="O8242" s="11">
        <v>2.5150000000000001</v>
      </c>
    </row>
    <row r="8243" spans="2:15" x14ac:dyDescent="0.25">
      <c r="B8243" s="6" t="s">
        <v>1410</v>
      </c>
      <c r="C8243" s="7" t="s">
        <v>525</v>
      </c>
      <c r="D8243" s="8" t="s">
        <v>124</v>
      </c>
      <c r="E8243" s="8" t="s">
        <v>526</v>
      </c>
      <c r="F8243" s="9">
        <f>DATE(2025,5,16)</f>
        <v>45793</v>
      </c>
      <c r="G8243" s="10">
        <f t="shared" si="744"/>
        <v>5</v>
      </c>
      <c r="H8243" s="10">
        <f t="shared" si="745"/>
        <v>2025</v>
      </c>
      <c r="I8243" s="8" t="s">
        <v>4</v>
      </c>
      <c r="J8243" s="7" t="s">
        <v>8723</v>
      </c>
      <c r="K8243" s="8" t="s">
        <v>4788</v>
      </c>
      <c r="L8243" s="8" t="s">
        <v>4789</v>
      </c>
      <c r="M8243" s="8" t="s">
        <v>119</v>
      </c>
      <c r="N8243" s="10" t="str">
        <f t="shared" si="746"/>
        <v>TON</v>
      </c>
      <c r="O8243" s="11">
        <v>2.5</v>
      </c>
    </row>
    <row r="8244" spans="2:15" x14ac:dyDescent="0.25">
      <c r="B8244" s="6" t="s">
        <v>1410</v>
      </c>
      <c r="C8244" s="7" t="s">
        <v>525</v>
      </c>
      <c r="D8244" s="8" t="s">
        <v>1956</v>
      </c>
      <c r="E8244" s="8" t="s">
        <v>102</v>
      </c>
      <c r="F8244" s="9">
        <f>DATE(2025,5,21)</f>
        <v>45798</v>
      </c>
      <c r="G8244" s="10">
        <f t="shared" si="744"/>
        <v>5</v>
      </c>
      <c r="H8244" s="10">
        <f t="shared" si="745"/>
        <v>2025</v>
      </c>
      <c r="I8244" s="8" t="s">
        <v>4</v>
      </c>
      <c r="J8244" s="7" t="s">
        <v>8724</v>
      </c>
      <c r="K8244" s="8" t="s">
        <v>268</v>
      </c>
      <c r="L8244" s="8" t="s">
        <v>269</v>
      </c>
      <c r="M8244" s="8" t="s">
        <v>119</v>
      </c>
      <c r="N8244" s="10" t="str">
        <f t="shared" si="746"/>
        <v>TON</v>
      </c>
      <c r="O8244" s="11">
        <v>0.15</v>
      </c>
    </row>
    <row r="8245" spans="2:15" x14ac:dyDescent="0.25">
      <c r="B8245" s="6" t="s">
        <v>1410</v>
      </c>
      <c r="C8245" s="7" t="s">
        <v>525</v>
      </c>
      <c r="D8245" s="8" t="s">
        <v>124</v>
      </c>
      <c r="E8245" s="8" t="s">
        <v>526</v>
      </c>
      <c r="F8245" s="9">
        <f>DATE(2025,5,30)</f>
        <v>45807</v>
      </c>
      <c r="G8245" s="10">
        <f t="shared" si="744"/>
        <v>5</v>
      </c>
      <c r="H8245" s="10">
        <f t="shared" si="745"/>
        <v>2025</v>
      </c>
      <c r="I8245" s="8" t="s">
        <v>4</v>
      </c>
      <c r="J8245" s="7" t="s">
        <v>8725</v>
      </c>
      <c r="K8245" s="8" t="s">
        <v>8726</v>
      </c>
      <c r="L8245" s="8" t="s">
        <v>8727</v>
      </c>
      <c r="M8245" s="8" t="s">
        <v>119</v>
      </c>
      <c r="N8245" s="10" t="str">
        <f t="shared" si="746"/>
        <v>TON</v>
      </c>
      <c r="O8245" s="11">
        <v>11.502000000000001</v>
      </c>
    </row>
    <row r="8246" spans="2:15" x14ac:dyDescent="0.25">
      <c r="B8246" s="6" t="s">
        <v>1410</v>
      </c>
      <c r="C8246" s="7" t="s">
        <v>525</v>
      </c>
      <c r="D8246" s="8" t="s">
        <v>124</v>
      </c>
      <c r="E8246" s="8" t="s">
        <v>526</v>
      </c>
      <c r="F8246" s="9">
        <f>DATE(2025,5,30)</f>
        <v>45807</v>
      </c>
      <c r="G8246" s="10">
        <f t="shared" si="744"/>
        <v>5</v>
      </c>
      <c r="H8246" s="10">
        <f t="shared" si="745"/>
        <v>2025</v>
      </c>
      <c r="I8246" s="8" t="s">
        <v>4</v>
      </c>
      <c r="J8246" s="7" t="s">
        <v>8728</v>
      </c>
      <c r="K8246" s="8" t="s">
        <v>220</v>
      </c>
      <c r="L8246" s="8" t="s">
        <v>201</v>
      </c>
      <c r="M8246" s="8" t="s">
        <v>202</v>
      </c>
      <c r="N8246" s="10" t="str">
        <f t="shared" si="746"/>
        <v>GAL</v>
      </c>
      <c r="O8246" s="11">
        <v>250</v>
      </c>
    </row>
    <row r="8247" spans="2:15" x14ac:dyDescent="0.25">
      <c r="B8247" s="6" t="s">
        <v>645</v>
      </c>
      <c r="C8247" s="7" t="s">
        <v>533</v>
      </c>
      <c r="D8247" s="8" t="s">
        <v>557</v>
      </c>
      <c r="E8247" s="8" t="s">
        <v>1090</v>
      </c>
      <c r="F8247" s="9">
        <f>DATE(2025,5,5)</f>
        <v>45782</v>
      </c>
      <c r="G8247" s="10">
        <f t="shared" si="744"/>
        <v>5</v>
      </c>
      <c r="H8247" s="10">
        <f t="shared" si="745"/>
        <v>2025</v>
      </c>
      <c r="I8247" s="8" t="s">
        <v>4</v>
      </c>
      <c r="J8247" s="7" t="s">
        <v>8729</v>
      </c>
      <c r="K8247" s="8" t="s">
        <v>2127</v>
      </c>
      <c r="L8247" s="8" t="s">
        <v>2126</v>
      </c>
      <c r="M8247" s="8" t="s">
        <v>106</v>
      </c>
      <c r="N8247" s="10" t="str">
        <f t="shared" si="746"/>
        <v>LBS</v>
      </c>
      <c r="O8247" s="11">
        <v>1800</v>
      </c>
    </row>
    <row r="8248" spans="2:15" x14ac:dyDescent="0.25">
      <c r="B8248" s="6" t="s">
        <v>1050</v>
      </c>
      <c r="C8248" s="7" t="s">
        <v>533</v>
      </c>
      <c r="D8248" s="8" t="s">
        <v>1047</v>
      </c>
      <c r="E8248" s="8" t="s">
        <v>8730</v>
      </c>
      <c r="F8248" s="9">
        <f>DATE(2025,5,8)</f>
        <v>45785</v>
      </c>
      <c r="G8248" s="10">
        <f t="shared" si="744"/>
        <v>5</v>
      </c>
      <c r="H8248" s="10">
        <f t="shared" si="745"/>
        <v>2025</v>
      </c>
      <c r="I8248" s="8" t="s">
        <v>4</v>
      </c>
      <c r="J8248" s="7" t="s">
        <v>8731</v>
      </c>
      <c r="K8248" s="8" t="s">
        <v>2530</v>
      </c>
      <c r="L8248" s="8" t="s">
        <v>2531</v>
      </c>
      <c r="M8248" s="8" t="s">
        <v>2532</v>
      </c>
      <c r="N8248" s="10" t="str">
        <f t="shared" si="746"/>
        <v>GAL</v>
      </c>
      <c r="O8248" s="11">
        <v>20</v>
      </c>
    </row>
    <row r="8249" spans="2:15" x14ac:dyDescent="0.25">
      <c r="B8249" s="6" t="s">
        <v>1050</v>
      </c>
      <c r="C8249" s="7" t="s">
        <v>533</v>
      </c>
      <c r="D8249" s="8" t="s">
        <v>557</v>
      </c>
      <c r="E8249" s="8" t="s">
        <v>8732</v>
      </c>
      <c r="F8249" s="9">
        <f>DATE(2025,5,8)</f>
        <v>45785</v>
      </c>
      <c r="G8249" s="10">
        <f t="shared" si="744"/>
        <v>5</v>
      </c>
      <c r="H8249" s="10">
        <f t="shared" si="745"/>
        <v>2025</v>
      </c>
      <c r="I8249" s="8" t="s">
        <v>4</v>
      </c>
      <c r="J8249" s="7" t="s">
        <v>8733</v>
      </c>
      <c r="K8249" s="8" t="s">
        <v>2832</v>
      </c>
      <c r="L8249" s="8" t="s">
        <v>1773</v>
      </c>
      <c r="M8249" s="8" t="s">
        <v>166</v>
      </c>
      <c r="N8249" s="10" t="str">
        <f t="shared" si="746"/>
        <v>GAL</v>
      </c>
      <c r="O8249" s="11">
        <v>360</v>
      </c>
    </row>
    <row r="8250" spans="2:15" x14ac:dyDescent="0.25">
      <c r="B8250" s="6" t="s">
        <v>645</v>
      </c>
      <c r="C8250" s="7" t="s">
        <v>533</v>
      </c>
      <c r="D8250" s="8" t="s">
        <v>1047</v>
      </c>
      <c r="E8250" s="8" t="s">
        <v>2136</v>
      </c>
      <c r="F8250" s="9">
        <f>DATE(2025,5,13)</f>
        <v>45790</v>
      </c>
      <c r="G8250" s="10">
        <f t="shared" si="744"/>
        <v>5</v>
      </c>
      <c r="H8250" s="10">
        <f t="shared" si="745"/>
        <v>2025</v>
      </c>
      <c r="I8250" s="8" t="s">
        <v>4</v>
      </c>
      <c r="J8250" s="7" t="s">
        <v>8734</v>
      </c>
      <c r="K8250" s="8" t="s">
        <v>2138</v>
      </c>
      <c r="L8250" s="8" t="s">
        <v>2139</v>
      </c>
      <c r="M8250" s="8" t="s">
        <v>1472</v>
      </c>
      <c r="N8250" s="10" t="str">
        <f t="shared" si="746"/>
        <v>GAL</v>
      </c>
      <c r="O8250" s="11">
        <v>500</v>
      </c>
    </row>
    <row r="8251" spans="2:15" x14ac:dyDescent="0.25">
      <c r="B8251" s="6" t="s">
        <v>1050</v>
      </c>
      <c r="C8251" s="7" t="s">
        <v>533</v>
      </c>
      <c r="D8251" s="8" t="s">
        <v>1047</v>
      </c>
      <c r="E8251" s="8" t="s">
        <v>8735</v>
      </c>
      <c r="F8251" s="9">
        <f>DATE(2025,5,16)</f>
        <v>45793</v>
      </c>
      <c r="G8251" s="10">
        <f t="shared" si="744"/>
        <v>5</v>
      </c>
      <c r="H8251" s="10">
        <f t="shared" si="745"/>
        <v>2025</v>
      </c>
      <c r="I8251" s="8" t="s">
        <v>4</v>
      </c>
      <c r="J8251" s="7" t="s">
        <v>8736</v>
      </c>
      <c r="K8251" s="8" t="s">
        <v>1470</v>
      </c>
      <c r="L8251" s="8" t="s">
        <v>2558</v>
      </c>
      <c r="M8251" s="8" t="s">
        <v>1472</v>
      </c>
      <c r="N8251" s="10" t="str">
        <f t="shared" si="746"/>
        <v>GAL</v>
      </c>
      <c r="O8251" s="11">
        <v>20</v>
      </c>
    </row>
    <row r="8252" spans="2:15" x14ac:dyDescent="0.25">
      <c r="B8252" s="6" t="s">
        <v>645</v>
      </c>
      <c r="C8252" s="7" t="s">
        <v>533</v>
      </c>
      <c r="D8252" s="8" t="s">
        <v>557</v>
      </c>
      <c r="E8252" s="8" t="s">
        <v>3099</v>
      </c>
      <c r="F8252" s="9">
        <f>DATE(2025,5,19)</f>
        <v>45796</v>
      </c>
      <c r="G8252" s="10">
        <f t="shared" si="744"/>
        <v>5</v>
      </c>
      <c r="H8252" s="10">
        <f t="shared" si="745"/>
        <v>2025</v>
      </c>
      <c r="I8252" s="8" t="s">
        <v>4</v>
      </c>
      <c r="J8252" s="7" t="s">
        <v>8737</v>
      </c>
      <c r="K8252" s="8" t="s">
        <v>3101</v>
      </c>
      <c r="L8252" s="8" t="s">
        <v>3102</v>
      </c>
      <c r="M8252" s="8" t="s">
        <v>1024</v>
      </c>
      <c r="N8252" s="10" t="str">
        <f t="shared" si="746"/>
        <v>GAL</v>
      </c>
      <c r="O8252" s="11">
        <v>3780</v>
      </c>
    </row>
    <row r="8253" spans="2:15" x14ac:dyDescent="0.25">
      <c r="B8253" s="6" t="s">
        <v>3238</v>
      </c>
      <c r="C8253" s="7" t="s">
        <v>533</v>
      </c>
      <c r="D8253" s="8" t="s">
        <v>562</v>
      </c>
      <c r="E8253" s="8" t="s">
        <v>2118</v>
      </c>
      <c r="F8253" s="9">
        <f>DATE(2025,5,20)</f>
        <v>45797</v>
      </c>
      <c r="G8253" s="10">
        <f t="shared" si="744"/>
        <v>5</v>
      </c>
      <c r="H8253" s="10">
        <f t="shared" si="745"/>
        <v>2025</v>
      </c>
      <c r="I8253" s="8" t="s">
        <v>4</v>
      </c>
      <c r="J8253" s="7" t="s">
        <v>8738</v>
      </c>
      <c r="K8253" s="8" t="s">
        <v>19</v>
      </c>
      <c r="L8253" s="8" t="s">
        <v>565</v>
      </c>
      <c r="M8253" s="8" t="s">
        <v>21</v>
      </c>
      <c r="N8253" s="10" t="str">
        <f t="shared" si="746"/>
        <v>GAL</v>
      </c>
      <c r="O8253" s="11">
        <v>360</v>
      </c>
    </row>
    <row r="8254" spans="2:15" x14ac:dyDescent="0.25">
      <c r="B8254" s="6" t="s">
        <v>1050</v>
      </c>
      <c r="C8254" s="7" t="s">
        <v>533</v>
      </c>
      <c r="D8254" s="8" t="s">
        <v>628</v>
      </c>
      <c r="E8254" s="8" t="s">
        <v>2524</v>
      </c>
      <c r="F8254" s="9">
        <f>DATE(2025,5,21)</f>
        <v>45798</v>
      </c>
      <c r="G8254" s="10">
        <f t="shared" si="744"/>
        <v>5</v>
      </c>
      <c r="H8254" s="10">
        <f t="shared" si="745"/>
        <v>2025</v>
      </c>
      <c r="I8254" s="8" t="s">
        <v>4</v>
      </c>
      <c r="J8254" s="7" t="s">
        <v>8739</v>
      </c>
      <c r="K8254" s="8" t="s">
        <v>2553</v>
      </c>
      <c r="L8254" s="8" t="s">
        <v>2527</v>
      </c>
      <c r="M8254" s="8" t="s">
        <v>1448</v>
      </c>
      <c r="N8254" s="10" t="str">
        <f t="shared" si="746"/>
        <v>GAL</v>
      </c>
      <c r="O8254" s="11">
        <v>4000</v>
      </c>
    </row>
    <row r="8255" spans="2:15" x14ac:dyDescent="0.25">
      <c r="B8255" s="6" t="s">
        <v>1050</v>
      </c>
      <c r="C8255" s="7" t="s">
        <v>533</v>
      </c>
      <c r="D8255" s="8" t="s">
        <v>1047</v>
      </c>
      <c r="E8255" s="8" t="s">
        <v>5441</v>
      </c>
      <c r="F8255" s="9">
        <f>DATE(2025,5,21)</f>
        <v>45798</v>
      </c>
      <c r="G8255" s="10">
        <f t="shared" si="744"/>
        <v>5</v>
      </c>
      <c r="H8255" s="10">
        <f t="shared" si="745"/>
        <v>2025</v>
      </c>
      <c r="I8255" s="8" t="s">
        <v>4</v>
      </c>
      <c r="J8255" s="7" t="s">
        <v>8740</v>
      </c>
      <c r="K8255" s="8" t="s">
        <v>2138</v>
      </c>
      <c r="L8255" s="8" t="s">
        <v>2139</v>
      </c>
      <c r="M8255" s="8" t="s">
        <v>1472</v>
      </c>
      <c r="N8255" s="10" t="str">
        <f t="shared" si="746"/>
        <v>GAL</v>
      </c>
      <c r="O8255" s="11">
        <v>250</v>
      </c>
    </row>
    <row r="8256" spans="2:15" x14ac:dyDescent="0.25">
      <c r="B8256" s="6" t="s">
        <v>645</v>
      </c>
      <c r="C8256" s="7" t="s">
        <v>533</v>
      </c>
      <c r="D8256" s="8" t="s">
        <v>557</v>
      </c>
      <c r="E8256" s="8" t="s">
        <v>3096</v>
      </c>
      <c r="F8256" s="9">
        <f>DATE(2025,5,21)</f>
        <v>45798</v>
      </c>
      <c r="G8256" s="10">
        <f t="shared" si="744"/>
        <v>5</v>
      </c>
      <c r="H8256" s="10">
        <f t="shared" si="745"/>
        <v>2025</v>
      </c>
      <c r="I8256" s="8" t="s">
        <v>4</v>
      </c>
      <c r="J8256" s="7" t="s">
        <v>8741</v>
      </c>
      <c r="K8256" s="8" t="s">
        <v>2164</v>
      </c>
      <c r="L8256" s="8" t="s">
        <v>2156</v>
      </c>
      <c r="M8256" s="8" t="s">
        <v>106</v>
      </c>
      <c r="N8256" s="10" t="str">
        <f t="shared" si="746"/>
        <v>LBS</v>
      </c>
      <c r="O8256" s="11">
        <v>2500</v>
      </c>
    </row>
    <row r="8257" spans="2:15" x14ac:dyDescent="0.25">
      <c r="B8257" s="6" t="s">
        <v>1050</v>
      </c>
      <c r="C8257" s="7" t="s">
        <v>533</v>
      </c>
      <c r="D8257" s="8" t="s">
        <v>628</v>
      </c>
      <c r="E8257" s="8" t="s">
        <v>2145</v>
      </c>
      <c r="F8257" s="9">
        <f>DATE(2025,5,22)</f>
        <v>45799</v>
      </c>
      <c r="G8257" s="10">
        <f t="shared" si="744"/>
        <v>5</v>
      </c>
      <c r="H8257" s="10">
        <f t="shared" si="745"/>
        <v>2025</v>
      </c>
      <c r="I8257" s="8" t="s">
        <v>4</v>
      </c>
      <c r="J8257" s="7" t="s">
        <v>8742</v>
      </c>
      <c r="K8257" s="8" t="s">
        <v>2553</v>
      </c>
      <c r="L8257" s="8" t="s">
        <v>2527</v>
      </c>
      <c r="M8257" s="8" t="s">
        <v>1448</v>
      </c>
      <c r="N8257" s="10" t="str">
        <f t="shared" si="746"/>
        <v>GAL</v>
      </c>
      <c r="O8257" s="11">
        <v>4000</v>
      </c>
    </row>
    <row r="8258" spans="2:15" x14ac:dyDescent="0.25">
      <c r="B8258" s="6" t="s">
        <v>1050</v>
      </c>
      <c r="C8258" s="7" t="s">
        <v>533</v>
      </c>
      <c r="D8258" s="8" t="s">
        <v>628</v>
      </c>
      <c r="E8258" s="8" t="s">
        <v>2149</v>
      </c>
      <c r="F8258" s="9">
        <f>DATE(2025,5,23)</f>
        <v>45800</v>
      </c>
      <c r="G8258" s="10">
        <f t="shared" si="744"/>
        <v>5</v>
      </c>
      <c r="H8258" s="10">
        <f t="shared" si="745"/>
        <v>2025</v>
      </c>
      <c r="I8258" s="8" t="s">
        <v>4</v>
      </c>
      <c r="J8258" s="7" t="s">
        <v>8743</v>
      </c>
      <c r="K8258" s="8" t="s">
        <v>2553</v>
      </c>
      <c r="L8258" s="8" t="s">
        <v>2527</v>
      </c>
      <c r="M8258" s="8" t="s">
        <v>1448</v>
      </c>
      <c r="N8258" s="10" t="str">
        <f t="shared" si="746"/>
        <v>GAL</v>
      </c>
      <c r="O8258" s="11">
        <v>4000</v>
      </c>
    </row>
    <row r="8259" spans="2:15" x14ac:dyDescent="0.25">
      <c r="B8259" s="6" t="s">
        <v>1050</v>
      </c>
      <c r="C8259" s="7" t="s">
        <v>533</v>
      </c>
      <c r="D8259" s="8" t="s">
        <v>628</v>
      </c>
      <c r="E8259" s="8" t="s">
        <v>3232</v>
      </c>
      <c r="F8259" s="9">
        <f>DATE(2025,5,27)</f>
        <v>45804</v>
      </c>
      <c r="G8259" s="10">
        <f t="shared" si="744"/>
        <v>5</v>
      </c>
      <c r="H8259" s="10">
        <f t="shared" si="745"/>
        <v>2025</v>
      </c>
      <c r="I8259" s="8" t="s">
        <v>4</v>
      </c>
      <c r="J8259" s="7" t="s">
        <v>8744</v>
      </c>
      <c r="K8259" s="8" t="s">
        <v>1734</v>
      </c>
      <c r="L8259" s="8" t="s">
        <v>2521</v>
      </c>
      <c r="M8259" s="8" t="s">
        <v>1736</v>
      </c>
      <c r="N8259" s="10" t="str">
        <f t="shared" si="746"/>
        <v>GAL</v>
      </c>
      <c r="O8259" s="11">
        <v>1440</v>
      </c>
    </row>
    <row r="8260" spans="2:15" x14ac:dyDescent="0.25">
      <c r="B8260" s="6" t="s">
        <v>3113</v>
      </c>
      <c r="C8260" s="7" t="s">
        <v>3114</v>
      </c>
      <c r="D8260" s="8" t="s">
        <v>3025</v>
      </c>
      <c r="E8260" s="8" t="s">
        <v>102</v>
      </c>
      <c r="F8260" s="9">
        <f>DATE(2025,5,1)</f>
        <v>45778</v>
      </c>
      <c r="G8260" s="10">
        <f t="shared" ref="G8260:G8305" si="747">+MONTH(F8260)</f>
        <v>5</v>
      </c>
      <c r="H8260" s="10">
        <f t="shared" si="745"/>
        <v>2025</v>
      </c>
      <c r="I8260" s="8" t="s">
        <v>4</v>
      </c>
      <c r="J8260" s="7" t="s">
        <v>8745</v>
      </c>
      <c r="K8260" s="8" t="s">
        <v>3029</v>
      </c>
      <c r="L8260" s="8" t="s">
        <v>2454</v>
      </c>
      <c r="M8260" s="8" t="s">
        <v>2455</v>
      </c>
      <c r="N8260" s="10" t="str">
        <f t="shared" si="746"/>
        <v>GAL</v>
      </c>
      <c r="O8260" s="11">
        <v>1250</v>
      </c>
    </row>
    <row r="8261" spans="2:15" x14ac:dyDescent="0.25">
      <c r="B8261" s="6" t="s">
        <v>3238</v>
      </c>
      <c r="C8261" s="7" t="s">
        <v>3239</v>
      </c>
      <c r="D8261" s="8" t="s">
        <v>3240</v>
      </c>
      <c r="E8261" s="8" t="s">
        <v>102</v>
      </c>
      <c r="F8261" s="9">
        <f>DATE(2025,5,2)</f>
        <v>45779</v>
      </c>
      <c r="G8261" s="10">
        <f t="shared" si="747"/>
        <v>5</v>
      </c>
      <c r="H8261" s="10">
        <f t="shared" si="745"/>
        <v>2025</v>
      </c>
      <c r="I8261" s="8" t="s">
        <v>4</v>
      </c>
      <c r="J8261" s="7" t="s">
        <v>8746</v>
      </c>
      <c r="K8261" s="8" t="s">
        <v>36</v>
      </c>
      <c r="L8261" s="8" t="s">
        <v>6154</v>
      </c>
      <c r="M8261" s="8" t="s">
        <v>38</v>
      </c>
      <c r="N8261" s="10" t="str">
        <f t="shared" si="746"/>
        <v>GAL</v>
      </c>
      <c r="O8261" s="11">
        <v>60</v>
      </c>
    </row>
    <row r="8262" spans="2:15" x14ac:dyDescent="0.25">
      <c r="B8262" s="6" t="s">
        <v>3238</v>
      </c>
      <c r="C8262" s="7" t="s">
        <v>3239</v>
      </c>
      <c r="D8262" s="8" t="s">
        <v>3240</v>
      </c>
      <c r="E8262" s="8" t="s">
        <v>102</v>
      </c>
      <c r="F8262" s="9">
        <f>DATE(2025,5,2)</f>
        <v>45779</v>
      </c>
      <c r="G8262" s="10">
        <f t="shared" si="747"/>
        <v>5</v>
      </c>
      <c r="H8262" s="10">
        <f t="shared" si="745"/>
        <v>2025</v>
      </c>
      <c r="I8262" s="8" t="s">
        <v>4</v>
      </c>
      <c r="J8262" s="7" t="s">
        <v>8746</v>
      </c>
      <c r="K8262" s="8" t="s">
        <v>5971</v>
      </c>
      <c r="L8262" s="8" t="s">
        <v>3515</v>
      </c>
      <c r="M8262" s="8" t="s">
        <v>3516</v>
      </c>
      <c r="N8262" s="10" t="str">
        <f t="shared" si="746"/>
        <v>GAL</v>
      </c>
      <c r="O8262" s="11">
        <v>60</v>
      </c>
    </row>
    <row r="8263" spans="2:15" x14ac:dyDescent="0.25">
      <c r="B8263" s="6" t="s">
        <v>3238</v>
      </c>
      <c r="C8263" s="7" t="s">
        <v>3239</v>
      </c>
      <c r="D8263" s="8" t="s">
        <v>3240</v>
      </c>
      <c r="E8263" s="8" t="s">
        <v>102</v>
      </c>
      <c r="F8263" s="9">
        <f>DATE(2025,5,2)</f>
        <v>45779</v>
      </c>
      <c r="G8263" s="10">
        <f t="shared" si="747"/>
        <v>5</v>
      </c>
      <c r="H8263" s="10">
        <f t="shared" si="745"/>
        <v>2025</v>
      </c>
      <c r="I8263" s="8" t="s">
        <v>4</v>
      </c>
      <c r="J8263" s="7" t="s">
        <v>8746</v>
      </c>
      <c r="K8263" s="8" t="s">
        <v>2098</v>
      </c>
      <c r="L8263" s="8" t="s">
        <v>7318</v>
      </c>
      <c r="M8263" s="8" t="s">
        <v>2100</v>
      </c>
      <c r="N8263" s="10" t="str">
        <f t="shared" si="746"/>
        <v>GAL</v>
      </c>
      <c r="O8263" s="11">
        <v>60</v>
      </c>
    </row>
    <row r="8264" spans="2:15" x14ac:dyDescent="0.25">
      <c r="B8264" s="6" t="s">
        <v>3238</v>
      </c>
      <c r="C8264" s="7" t="s">
        <v>3239</v>
      </c>
      <c r="D8264" s="8" t="s">
        <v>3240</v>
      </c>
      <c r="E8264" s="8" t="s">
        <v>8747</v>
      </c>
      <c r="F8264" s="9">
        <f t="shared" ref="F8264:F8270" si="748">DATE(2025,5,7)</f>
        <v>45784</v>
      </c>
      <c r="G8264" s="10">
        <f t="shared" si="747"/>
        <v>5</v>
      </c>
      <c r="H8264" s="10">
        <f t="shared" si="745"/>
        <v>2025</v>
      </c>
      <c r="I8264" s="8" t="s">
        <v>4</v>
      </c>
      <c r="J8264" s="7" t="s">
        <v>8748</v>
      </c>
      <c r="K8264" s="8" t="s">
        <v>4284</v>
      </c>
      <c r="L8264" s="8" t="s">
        <v>3915</v>
      </c>
      <c r="M8264" s="8" t="s">
        <v>3916</v>
      </c>
      <c r="N8264" s="10" t="str">
        <f t="shared" si="746"/>
        <v>GAL</v>
      </c>
      <c r="O8264" s="11">
        <v>55</v>
      </c>
    </row>
    <row r="8265" spans="2:15" x14ac:dyDescent="0.25">
      <c r="B8265" s="6" t="s">
        <v>3238</v>
      </c>
      <c r="C8265" s="7" t="s">
        <v>3239</v>
      </c>
      <c r="D8265" s="8" t="s">
        <v>3240</v>
      </c>
      <c r="E8265" s="8" t="s">
        <v>8747</v>
      </c>
      <c r="F8265" s="9">
        <f t="shared" si="748"/>
        <v>45784</v>
      </c>
      <c r="G8265" s="10">
        <f t="shared" si="747"/>
        <v>5</v>
      </c>
      <c r="H8265" s="10">
        <f t="shared" si="745"/>
        <v>2025</v>
      </c>
      <c r="I8265" s="8" t="s">
        <v>4</v>
      </c>
      <c r="J8265" s="7" t="s">
        <v>8748</v>
      </c>
      <c r="K8265" s="8" t="s">
        <v>8749</v>
      </c>
      <c r="L8265" s="8" t="s">
        <v>4258</v>
      </c>
      <c r="M8265" s="8" t="s">
        <v>3251</v>
      </c>
      <c r="N8265" s="10" t="str">
        <f t="shared" si="746"/>
        <v>GAL</v>
      </c>
      <c r="O8265" s="11">
        <v>55</v>
      </c>
    </row>
    <row r="8266" spans="2:15" x14ac:dyDescent="0.25">
      <c r="B8266" s="6" t="s">
        <v>3238</v>
      </c>
      <c r="C8266" s="7" t="s">
        <v>3239</v>
      </c>
      <c r="D8266" s="8" t="s">
        <v>3240</v>
      </c>
      <c r="E8266" s="8" t="s">
        <v>8750</v>
      </c>
      <c r="F8266" s="9">
        <f t="shared" si="748"/>
        <v>45784</v>
      </c>
      <c r="G8266" s="10">
        <f t="shared" si="747"/>
        <v>5</v>
      </c>
      <c r="H8266" s="10">
        <f t="shared" si="745"/>
        <v>2025</v>
      </c>
      <c r="I8266" s="8" t="s">
        <v>4</v>
      </c>
      <c r="J8266" s="7" t="s">
        <v>8751</v>
      </c>
      <c r="K8266" s="8" t="s">
        <v>3188</v>
      </c>
      <c r="L8266" s="8" t="s">
        <v>3526</v>
      </c>
      <c r="M8266" s="8" t="s">
        <v>1000</v>
      </c>
      <c r="N8266" s="10" t="str">
        <f t="shared" si="746"/>
        <v>GAL</v>
      </c>
      <c r="O8266" s="11">
        <v>55</v>
      </c>
    </row>
    <row r="8267" spans="2:15" x14ac:dyDescent="0.25">
      <c r="B8267" s="6" t="s">
        <v>3238</v>
      </c>
      <c r="C8267" s="7" t="s">
        <v>3239</v>
      </c>
      <c r="D8267" s="8" t="s">
        <v>3240</v>
      </c>
      <c r="E8267" s="8" t="s">
        <v>102</v>
      </c>
      <c r="F8267" s="9">
        <f t="shared" si="748"/>
        <v>45784</v>
      </c>
      <c r="G8267" s="10">
        <f t="shared" si="747"/>
        <v>5</v>
      </c>
      <c r="H8267" s="10">
        <f t="shared" si="745"/>
        <v>2025</v>
      </c>
      <c r="I8267" s="8" t="s">
        <v>4</v>
      </c>
      <c r="J8267" s="7" t="s">
        <v>8752</v>
      </c>
      <c r="K8267" s="8" t="s">
        <v>1470</v>
      </c>
      <c r="L8267" s="8" t="s">
        <v>7002</v>
      </c>
      <c r="M8267" s="8" t="s">
        <v>1472</v>
      </c>
      <c r="N8267" s="10" t="str">
        <f t="shared" si="746"/>
        <v>GAL</v>
      </c>
      <c r="O8267" s="11">
        <v>60</v>
      </c>
    </row>
    <row r="8268" spans="2:15" x14ac:dyDescent="0.25">
      <c r="B8268" s="6" t="s">
        <v>3238</v>
      </c>
      <c r="C8268" s="7" t="s">
        <v>3239</v>
      </c>
      <c r="D8268" s="8" t="s">
        <v>3240</v>
      </c>
      <c r="E8268" s="8" t="s">
        <v>102</v>
      </c>
      <c r="F8268" s="9">
        <f t="shared" si="748"/>
        <v>45784</v>
      </c>
      <c r="G8268" s="10">
        <f t="shared" si="747"/>
        <v>5</v>
      </c>
      <c r="H8268" s="10">
        <f t="shared" si="745"/>
        <v>2025</v>
      </c>
      <c r="I8268" s="8" t="s">
        <v>4</v>
      </c>
      <c r="J8268" s="7" t="s">
        <v>8752</v>
      </c>
      <c r="K8268" s="8" t="s">
        <v>5968</v>
      </c>
      <c r="L8268" s="8" t="s">
        <v>5969</v>
      </c>
      <c r="M8268" s="8" t="s">
        <v>5970</v>
      </c>
      <c r="N8268" s="10" t="str">
        <f t="shared" si="746"/>
        <v>GAL</v>
      </c>
      <c r="O8268" s="11">
        <v>60</v>
      </c>
    </row>
    <row r="8269" spans="2:15" x14ac:dyDescent="0.25">
      <c r="B8269" s="6" t="s">
        <v>3238</v>
      </c>
      <c r="C8269" s="7" t="s">
        <v>3239</v>
      </c>
      <c r="D8269" s="8" t="s">
        <v>3240</v>
      </c>
      <c r="E8269" s="8" t="s">
        <v>102</v>
      </c>
      <c r="F8269" s="9">
        <f t="shared" si="748"/>
        <v>45784</v>
      </c>
      <c r="G8269" s="10">
        <f t="shared" si="747"/>
        <v>5</v>
      </c>
      <c r="H8269" s="10">
        <f t="shared" si="745"/>
        <v>2025</v>
      </c>
      <c r="I8269" s="8" t="s">
        <v>4</v>
      </c>
      <c r="J8269" s="7" t="s">
        <v>8752</v>
      </c>
      <c r="K8269" s="8" t="s">
        <v>1502</v>
      </c>
      <c r="L8269" s="8" t="s">
        <v>8753</v>
      </c>
      <c r="M8269" s="8" t="s">
        <v>8</v>
      </c>
      <c r="N8269" s="10" t="str">
        <f t="shared" si="746"/>
        <v>GAL</v>
      </c>
      <c r="O8269" s="11">
        <v>60</v>
      </c>
    </row>
    <row r="8270" spans="2:15" x14ac:dyDescent="0.25">
      <c r="B8270" s="6" t="s">
        <v>3238</v>
      </c>
      <c r="C8270" s="7" t="s">
        <v>3239</v>
      </c>
      <c r="D8270" s="8" t="s">
        <v>3240</v>
      </c>
      <c r="E8270" s="8" t="s">
        <v>102</v>
      </c>
      <c r="F8270" s="9">
        <f t="shared" si="748"/>
        <v>45784</v>
      </c>
      <c r="G8270" s="10">
        <f t="shared" si="747"/>
        <v>5</v>
      </c>
      <c r="H8270" s="10">
        <f t="shared" si="745"/>
        <v>2025</v>
      </c>
      <c r="I8270" s="8" t="s">
        <v>4</v>
      </c>
      <c r="J8270" s="7" t="s">
        <v>8754</v>
      </c>
      <c r="K8270" s="8" t="s">
        <v>6069</v>
      </c>
      <c r="L8270" s="8" t="s">
        <v>6070</v>
      </c>
      <c r="M8270" s="8" t="s">
        <v>1472</v>
      </c>
      <c r="N8270" s="10" t="str">
        <f t="shared" si="746"/>
        <v>GAL</v>
      </c>
      <c r="O8270" s="11">
        <v>20</v>
      </c>
    </row>
    <row r="8271" spans="2:15" x14ac:dyDescent="0.25">
      <c r="B8271" s="6" t="s">
        <v>3238</v>
      </c>
      <c r="C8271" s="7" t="s">
        <v>3239</v>
      </c>
      <c r="D8271" s="8" t="s">
        <v>3240</v>
      </c>
      <c r="E8271" s="8" t="s">
        <v>102</v>
      </c>
      <c r="F8271" s="9">
        <f>DATE(2025,5,9)</f>
        <v>45786</v>
      </c>
      <c r="G8271" s="10">
        <f t="shared" si="747"/>
        <v>5</v>
      </c>
      <c r="H8271" s="10">
        <f t="shared" si="745"/>
        <v>2025</v>
      </c>
      <c r="I8271" s="8" t="s">
        <v>4</v>
      </c>
      <c r="J8271" s="7" t="s">
        <v>8755</v>
      </c>
      <c r="K8271" s="8" t="s">
        <v>6079</v>
      </c>
      <c r="L8271" s="8" t="s">
        <v>6080</v>
      </c>
      <c r="M8271" s="8" t="s">
        <v>6081</v>
      </c>
      <c r="N8271" s="10" t="str">
        <f t="shared" si="746"/>
        <v>GAL</v>
      </c>
      <c r="O8271" s="11">
        <v>20</v>
      </c>
    </row>
    <row r="8272" spans="2:15" x14ac:dyDescent="0.25">
      <c r="B8272" s="6" t="s">
        <v>3238</v>
      </c>
      <c r="C8272" s="7" t="s">
        <v>3239</v>
      </c>
      <c r="D8272" s="8" t="s">
        <v>3240</v>
      </c>
      <c r="E8272" s="8" t="s">
        <v>102</v>
      </c>
      <c r="F8272" s="9">
        <f>DATE(2025,5,9)</f>
        <v>45786</v>
      </c>
      <c r="G8272" s="10">
        <f t="shared" si="747"/>
        <v>5</v>
      </c>
      <c r="H8272" s="10">
        <f t="shared" si="745"/>
        <v>2025</v>
      </c>
      <c r="I8272" s="8" t="s">
        <v>4</v>
      </c>
      <c r="J8272" s="7" t="s">
        <v>8756</v>
      </c>
      <c r="K8272" s="8" t="s">
        <v>3188</v>
      </c>
      <c r="L8272" s="8" t="s">
        <v>3526</v>
      </c>
      <c r="M8272" s="8" t="s">
        <v>1000</v>
      </c>
      <c r="N8272" s="10" t="str">
        <f t="shared" si="746"/>
        <v>GAL</v>
      </c>
      <c r="O8272" s="11">
        <v>55</v>
      </c>
    </row>
    <row r="8273" spans="2:15" x14ac:dyDescent="0.25">
      <c r="B8273" s="6" t="s">
        <v>3238</v>
      </c>
      <c r="C8273" s="7" t="s">
        <v>3239</v>
      </c>
      <c r="D8273" s="8" t="s">
        <v>3240</v>
      </c>
      <c r="E8273" s="8" t="s">
        <v>3529</v>
      </c>
      <c r="F8273" s="9">
        <f t="shared" ref="F8273:F8280" si="749">DATE(2025,5,14)</f>
        <v>45791</v>
      </c>
      <c r="G8273" s="10">
        <f t="shared" si="747"/>
        <v>5</v>
      </c>
      <c r="H8273" s="10">
        <f t="shared" si="745"/>
        <v>2025</v>
      </c>
      <c r="I8273" s="8" t="s">
        <v>4</v>
      </c>
      <c r="J8273" s="7" t="s">
        <v>8757</v>
      </c>
      <c r="K8273" s="8" t="s">
        <v>8758</v>
      </c>
      <c r="L8273" s="8" t="s">
        <v>8759</v>
      </c>
      <c r="M8273" s="8" t="s">
        <v>119</v>
      </c>
      <c r="N8273" s="10" t="str">
        <f t="shared" si="746"/>
        <v>TON</v>
      </c>
      <c r="O8273" s="11">
        <v>1.5455000000000001</v>
      </c>
    </row>
    <row r="8274" spans="2:15" x14ac:dyDescent="0.25">
      <c r="B8274" s="6" t="s">
        <v>3238</v>
      </c>
      <c r="C8274" s="7" t="s">
        <v>3239</v>
      </c>
      <c r="D8274" s="8" t="s">
        <v>3240</v>
      </c>
      <c r="E8274" s="8" t="s">
        <v>3529</v>
      </c>
      <c r="F8274" s="9">
        <f t="shared" si="749"/>
        <v>45791</v>
      </c>
      <c r="G8274" s="10">
        <f t="shared" si="747"/>
        <v>5</v>
      </c>
      <c r="H8274" s="10">
        <f t="shared" si="745"/>
        <v>2025</v>
      </c>
      <c r="I8274" s="8" t="s">
        <v>4</v>
      </c>
      <c r="J8274" s="7" t="s">
        <v>8760</v>
      </c>
      <c r="K8274" s="8" t="s">
        <v>1239</v>
      </c>
      <c r="L8274" s="8" t="s">
        <v>3506</v>
      </c>
      <c r="M8274" s="8" t="s">
        <v>917</v>
      </c>
      <c r="N8274" s="10" t="str">
        <f t="shared" si="746"/>
        <v>GAL</v>
      </c>
      <c r="O8274" s="11">
        <v>275</v>
      </c>
    </row>
    <row r="8275" spans="2:15" x14ac:dyDescent="0.25">
      <c r="B8275" s="6" t="s">
        <v>3238</v>
      </c>
      <c r="C8275" s="7" t="s">
        <v>3239</v>
      </c>
      <c r="D8275" s="8" t="s">
        <v>3240</v>
      </c>
      <c r="E8275" s="8" t="s">
        <v>102</v>
      </c>
      <c r="F8275" s="9">
        <f t="shared" si="749"/>
        <v>45791</v>
      </c>
      <c r="G8275" s="10">
        <f t="shared" si="747"/>
        <v>5</v>
      </c>
      <c r="H8275" s="10">
        <f t="shared" si="745"/>
        <v>2025</v>
      </c>
      <c r="I8275" s="8" t="s">
        <v>4</v>
      </c>
      <c r="J8275" s="7" t="s">
        <v>8761</v>
      </c>
      <c r="K8275" s="8" t="s">
        <v>6142</v>
      </c>
      <c r="L8275" s="8" t="s">
        <v>8762</v>
      </c>
      <c r="M8275" s="8" t="s">
        <v>1472</v>
      </c>
      <c r="N8275" s="10" t="str">
        <f t="shared" si="746"/>
        <v>GAL</v>
      </c>
      <c r="O8275" s="11">
        <v>15</v>
      </c>
    </row>
    <row r="8276" spans="2:15" x14ac:dyDescent="0.25">
      <c r="B8276" s="6" t="s">
        <v>3238</v>
      </c>
      <c r="C8276" s="7" t="s">
        <v>3239</v>
      </c>
      <c r="D8276" s="8" t="s">
        <v>3240</v>
      </c>
      <c r="E8276" s="8" t="s">
        <v>102</v>
      </c>
      <c r="F8276" s="9">
        <f t="shared" si="749"/>
        <v>45791</v>
      </c>
      <c r="G8276" s="10">
        <f t="shared" si="747"/>
        <v>5</v>
      </c>
      <c r="H8276" s="10">
        <f t="shared" si="745"/>
        <v>2025</v>
      </c>
      <c r="I8276" s="8" t="s">
        <v>4</v>
      </c>
      <c r="J8276" s="7" t="s">
        <v>8763</v>
      </c>
      <c r="K8276" s="8" t="s">
        <v>2530</v>
      </c>
      <c r="L8276" s="8" t="s">
        <v>3503</v>
      </c>
      <c r="M8276" s="8" t="s">
        <v>2532</v>
      </c>
      <c r="N8276" s="10" t="str">
        <f t="shared" si="746"/>
        <v>GAL</v>
      </c>
      <c r="O8276" s="11">
        <v>60</v>
      </c>
    </row>
    <row r="8277" spans="2:15" x14ac:dyDescent="0.25">
      <c r="B8277" s="6" t="s">
        <v>3238</v>
      </c>
      <c r="C8277" s="7" t="s">
        <v>3239</v>
      </c>
      <c r="D8277" s="8" t="s">
        <v>3240</v>
      </c>
      <c r="E8277" s="8" t="s">
        <v>102</v>
      </c>
      <c r="F8277" s="9">
        <f t="shared" si="749"/>
        <v>45791</v>
      </c>
      <c r="G8277" s="10">
        <f t="shared" si="747"/>
        <v>5</v>
      </c>
      <c r="H8277" s="10">
        <f t="shared" si="745"/>
        <v>2025</v>
      </c>
      <c r="I8277" s="8" t="s">
        <v>4</v>
      </c>
      <c r="J8277" s="7" t="s">
        <v>8763</v>
      </c>
      <c r="K8277" s="8" t="s">
        <v>1239</v>
      </c>
      <c r="L8277" s="8" t="s">
        <v>3506</v>
      </c>
      <c r="M8277" s="8" t="s">
        <v>917</v>
      </c>
      <c r="N8277" s="10" t="str">
        <f t="shared" si="746"/>
        <v>GAL</v>
      </c>
      <c r="O8277" s="11">
        <v>60</v>
      </c>
    </row>
    <row r="8278" spans="2:15" x14ac:dyDescent="0.25">
      <c r="B8278" s="6" t="s">
        <v>3238</v>
      </c>
      <c r="C8278" s="7" t="s">
        <v>3239</v>
      </c>
      <c r="D8278" s="8" t="s">
        <v>3240</v>
      </c>
      <c r="E8278" s="8" t="s">
        <v>102</v>
      </c>
      <c r="F8278" s="9">
        <f t="shared" si="749"/>
        <v>45791</v>
      </c>
      <c r="G8278" s="10">
        <f t="shared" si="747"/>
        <v>5</v>
      </c>
      <c r="H8278" s="10">
        <f t="shared" ref="H8278:H8305" si="750">+YEAR(F8278)</f>
        <v>2025</v>
      </c>
      <c r="I8278" s="8" t="s">
        <v>4</v>
      </c>
      <c r="J8278" s="7" t="s">
        <v>8763</v>
      </c>
      <c r="K8278" s="8" t="s">
        <v>3917</v>
      </c>
      <c r="L8278" s="8" t="s">
        <v>3525</v>
      </c>
      <c r="M8278" s="8" t="s">
        <v>1397</v>
      </c>
      <c r="N8278" s="10" t="str">
        <f t="shared" si="746"/>
        <v>GAL</v>
      </c>
      <c r="O8278" s="11">
        <v>60</v>
      </c>
    </row>
    <row r="8279" spans="2:15" x14ac:dyDescent="0.25">
      <c r="B8279" s="6" t="s">
        <v>3238</v>
      </c>
      <c r="C8279" s="7" t="s">
        <v>3239</v>
      </c>
      <c r="D8279" s="8" t="s">
        <v>3240</v>
      </c>
      <c r="E8279" s="8" t="s">
        <v>102</v>
      </c>
      <c r="F8279" s="9">
        <f t="shared" si="749"/>
        <v>45791</v>
      </c>
      <c r="G8279" s="10">
        <f t="shared" si="747"/>
        <v>5</v>
      </c>
      <c r="H8279" s="10">
        <f t="shared" si="750"/>
        <v>2025</v>
      </c>
      <c r="I8279" s="8" t="s">
        <v>4</v>
      </c>
      <c r="J8279" s="7" t="s">
        <v>8764</v>
      </c>
      <c r="K8279" s="8" t="s">
        <v>6708</v>
      </c>
      <c r="L8279" s="8" t="s">
        <v>5978</v>
      </c>
      <c r="M8279" s="8" t="s">
        <v>3299</v>
      </c>
      <c r="N8279" s="10" t="str">
        <f t="shared" ref="N8279:N8305" si="751">+LEFT(M8279,3)</f>
        <v>GAL</v>
      </c>
      <c r="O8279" s="11">
        <v>90</v>
      </c>
    </row>
    <row r="8280" spans="2:15" x14ac:dyDescent="0.25">
      <c r="B8280" s="6" t="s">
        <v>3238</v>
      </c>
      <c r="C8280" s="7" t="s">
        <v>3239</v>
      </c>
      <c r="D8280" s="8" t="s">
        <v>3240</v>
      </c>
      <c r="E8280" s="8" t="s">
        <v>102</v>
      </c>
      <c r="F8280" s="9">
        <f t="shared" si="749"/>
        <v>45791</v>
      </c>
      <c r="G8280" s="10">
        <f t="shared" si="747"/>
        <v>5</v>
      </c>
      <c r="H8280" s="10">
        <f t="shared" si="750"/>
        <v>2025</v>
      </c>
      <c r="I8280" s="8" t="s">
        <v>4</v>
      </c>
      <c r="J8280" s="7" t="s">
        <v>8764</v>
      </c>
      <c r="K8280" s="8" t="s">
        <v>3914</v>
      </c>
      <c r="L8280" s="8" t="s">
        <v>3915</v>
      </c>
      <c r="M8280" s="8" t="s">
        <v>3916</v>
      </c>
      <c r="N8280" s="10" t="str">
        <f t="shared" si="751"/>
        <v>GAL</v>
      </c>
      <c r="O8280" s="11">
        <v>90</v>
      </c>
    </row>
    <row r="8281" spans="2:15" x14ac:dyDescent="0.25">
      <c r="B8281" s="6" t="s">
        <v>3238</v>
      </c>
      <c r="C8281" s="7" t="s">
        <v>3239</v>
      </c>
      <c r="D8281" s="8" t="s">
        <v>3240</v>
      </c>
      <c r="E8281" s="8" t="s">
        <v>3657</v>
      </c>
      <c r="F8281" s="9">
        <f>DATE(2025,5,15)</f>
        <v>45792</v>
      </c>
      <c r="G8281" s="10">
        <f t="shared" si="747"/>
        <v>5</v>
      </c>
      <c r="H8281" s="10">
        <f t="shared" si="750"/>
        <v>2025</v>
      </c>
      <c r="I8281" s="8" t="s">
        <v>4</v>
      </c>
      <c r="J8281" s="7" t="s">
        <v>8765</v>
      </c>
      <c r="K8281" s="8" t="s">
        <v>998</v>
      </c>
      <c r="L8281" s="8" t="s">
        <v>3526</v>
      </c>
      <c r="M8281" s="8" t="s">
        <v>1000</v>
      </c>
      <c r="N8281" s="10" t="str">
        <f t="shared" si="751"/>
        <v>GAL</v>
      </c>
      <c r="O8281" s="11">
        <v>250</v>
      </c>
    </row>
    <row r="8282" spans="2:15" x14ac:dyDescent="0.25">
      <c r="B8282" s="6" t="s">
        <v>3238</v>
      </c>
      <c r="C8282" s="7" t="s">
        <v>3239</v>
      </c>
      <c r="D8282" s="8" t="s">
        <v>3240</v>
      </c>
      <c r="E8282" s="8" t="s">
        <v>102</v>
      </c>
      <c r="F8282" s="9">
        <f>DATE(2025,5,19)</f>
        <v>45796</v>
      </c>
      <c r="G8282" s="10">
        <f t="shared" si="747"/>
        <v>5</v>
      </c>
      <c r="H8282" s="10">
        <f t="shared" si="750"/>
        <v>2025</v>
      </c>
      <c r="I8282" s="8" t="s">
        <v>4</v>
      </c>
      <c r="J8282" s="7" t="s">
        <v>8766</v>
      </c>
      <c r="K8282" s="8" t="s">
        <v>2530</v>
      </c>
      <c r="L8282" s="8" t="s">
        <v>3503</v>
      </c>
      <c r="M8282" s="8" t="s">
        <v>2532</v>
      </c>
      <c r="N8282" s="10" t="str">
        <f t="shared" si="751"/>
        <v>GAL</v>
      </c>
      <c r="O8282" s="11">
        <v>40</v>
      </c>
    </row>
    <row r="8283" spans="2:15" x14ac:dyDescent="0.25">
      <c r="B8283" s="6" t="s">
        <v>3238</v>
      </c>
      <c r="C8283" s="7" t="s">
        <v>3239</v>
      </c>
      <c r="D8283" s="8" t="s">
        <v>3240</v>
      </c>
      <c r="E8283" s="8" t="s">
        <v>4822</v>
      </c>
      <c r="F8283" s="9">
        <f>DATE(2025,5,19)</f>
        <v>45796</v>
      </c>
      <c r="G8283" s="10">
        <f t="shared" si="747"/>
        <v>5</v>
      </c>
      <c r="H8283" s="10">
        <f t="shared" si="750"/>
        <v>2025</v>
      </c>
      <c r="I8283" s="8" t="s">
        <v>4</v>
      </c>
      <c r="J8283" s="7" t="s">
        <v>8767</v>
      </c>
      <c r="K8283" s="8" t="s">
        <v>3925</v>
      </c>
      <c r="L8283" s="8" t="s">
        <v>4264</v>
      </c>
      <c r="M8283" s="8" t="s">
        <v>119</v>
      </c>
      <c r="N8283" s="10" t="str">
        <f t="shared" si="751"/>
        <v>TON</v>
      </c>
      <c r="O8283" s="11">
        <v>5.0250000000000004</v>
      </c>
    </row>
    <row r="8284" spans="2:15" x14ac:dyDescent="0.25">
      <c r="B8284" s="6" t="s">
        <v>3238</v>
      </c>
      <c r="C8284" s="7" t="s">
        <v>3239</v>
      </c>
      <c r="D8284" s="8" t="s">
        <v>3240</v>
      </c>
      <c r="E8284" s="8" t="s">
        <v>3379</v>
      </c>
      <c r="F8284" s="9">
        <f>DATE(2025,5,21)</f>
        <v>45798</v>
      </c>
      <c r="G8284" s="10">
        <f t="shared" si="747"/>
        <v>5</v>
      </c>
      <c r="H8284" s="10">
        <f t="shared" si="750"/>
        <v>2025</v>
      </c>
      <c r="I8284" s="8" t="s">
        <v>4</v>
      </c>
      <c r="J8284" s="7" t="s">
        <v>8768</v>
      </c>
      <c r="K8284" s="8" t="s">
        <v>3381</v>
      </c>
      <c r="L8284" s="8" t="s">
        <v>3382</v>
      </c>
      <c r="M8284" s="8" t="s">
        <v>3383</v>
      </c>
      <c r="N8284" s="10" t="str">
        <f t="shared" si="751"/>
        <v>GAL</v>
      </c>
      <c r="O8284" s="11">
        <v>250</v>
      </c>
    </row>
    <row r="8285" spans="2:15" x14ac:dyDescent="0.25">
      <c r="B8285" s="6" t="s">
        <v>3238</v>
      </c>
      <c r="C8285" s="7" t="s">
        <v>3239</v>
      </c>
      <c r="D8285" s="8" t="s">
        <v>6120</v>
      </c>
      <c r="E8285" s="8" t="s">
        <v>141</v>
      </c>
      <c r="F8285" s="9">
        <f>DATE(2025,5,20)</f>
        <v>45797</v>
      </c>
      <c r="G8285" s="10">
        <f t="shared" si="747"/>
        <v>5</v>
      </c>
      <c r="H8285" s="10">
        <f t="shared" si="750"/>
        <v>2025</v>
      </c>
      <c r="I8285" s="8" t="s">
        <v>4</v>
      </c>
      <c r="J8285" s="7" t="s">
        <v>8769</v>
      </c>
      <c r="K8285" s="8" t="s">
        <v>6079</v>
      </c>
      <c r="L8285" s="8" t="s">
        <v>6080</v>
      </c>
      <c r="M8285" s="8" t="s">
        <v>6081</v>
      </c>
      <c r="N8285" s="10" t="str">
        <f t="shared" si="751"/>
        <v>GAL</v>
      </c>
      <c r="O8285" s="11">
        <v>120</v>
      </c>
    </row>
    <row r="8286" spans="2:15" x14ac:dyDescent="0.25">
      <c r="B8286" s="6" t="s">
        <v>3238</v>
      </c>
      <c r="C8286" s="7" t="s">
        <v>3239</v>
      </c>
      <c r="D8286" s="8" t="s">
        <v>6120</v>
      </c>
      <c r="E8286" s="8" t="s">
        <v>6182</v>
      </c>
      <c r="F8286" s="9">
        <f>DATE(2025,5,20)</f>
        <v>45797</v>
      </c>
      <c r="G8286" s="10">
        <f t="shared" si="747"/>
        <v>5</v>
      </c>
      <c r="H8286" s="10">
        <f t="shared" si="750"/>
        <v>2025</v>
      </c>
      <c r="I8286" s="8" t="s">
        <v>4</v>
      </c>
      <c r="J8286" s="7" t="s">
        <v>8770</v>
      </c>
      <c r="K8286" s="8" t="s">
        <v>6079</v>
      </c>
      <c r="L8286" s="8" t="s">
        <v>6080</v>
      </c>
      <c r="M8286" s="8" t="s">
        <v>6081</v>
      </c>
      <c r="N8286" s="10" t="str">
        <f t="shared" si="751"/>
        <v>GAL</v>
      </c>
      <c r="O8286" s="11">
        <v>30</v>
      </c>
    </row>
    <row r="8287" spans="2:15" x14ac:dyDescent="0.25">
      <c r="B8287" s="6" t="s">
        <v>3238</v>
      </c>
      <c r="C8287" s="7" t="s">
        <v>3239</v>
      </c>
      <c r="D8287" s="8" t="s">
        <v>3240</v>
      </c>
      <c r="E8287" s="8" t="s">
        <v>102</v>
      </c>
      <c r="F8287" s="9">
        <f>DATE(2025,5,22)</f>
        <v>45799</v>
      </c>
      <c r="G8287" s="10">
        <f t="shared" si="747"/>
        <v>5</v>
      </c>
      <c r="H8287" s="10">
        <f t="shared" si="750"/>
        <v>2025</v>
      </c>
      <c r="I8287" s="8" t="s">
        <v>4</v>
      </c>
      <c r="J8287" s="7" t="s">
        <v>8771</v>
      </c>
      <c r="K8287" s="8" t="s">
        <v>19</v>
      </c>
      <c r="L8287" s="8" t="s">
        <v>6275</v>
      </c>
      <c r="M8287" s="8" t="s">
        <v>21</v>
      </c>
      <c r="N8287" s="10" t="str">
        <f t="shared" si="751"/>
        <v>GAL</v>
      </c>
      <c r="O8287" s="11">
        <v>90</v>
      </c>
    </row>
    <row r="8288" spans="2:15" x14ac:dyDescent="0.25">
      <c r="B8288" s="6" t="s">
        <v>3238</v>
      </c>
      <c r="C8288" s="7" t="s">
        <v>3239</v>
      </c>
      <c r="D8288" s="8" t="s">
        <v>3240</v>
      </c>
      <c r="E8288" s="8" t="s">
        <v>102</v>
      </c>
      <c r="F8288" s="9">
        <f>DATE(2025,5,22)</f>
        <v>45799</v>
      </c>
      <c r="G8288" s="10">
        <f t="shared" si="747"/>
        <v>5</v>
      </c>
      <c r="H8288" s="10">
        <f t="shared" si="750"/>
        <v>2025</v>
      </c>
      <c r="I8288" s="8" t="s">
        <v>4</v>
      </c>
      <c r="J8288" s="7" t="s">
        <v>8771</v>
      </c>
      <c r="K8288" s="8" t="s">
        <v>5971</v>
      </c>
      <c r="L8288" s="8" t="s">
        <v>3515</v>
      </c>
      <c r="M8288" s="8" t="s">
        <v>3516</v>
      </c>
      <c r="N8288" s="10" t="str">
        <f t="shared" si="751"/>
        <v>GAL</v>
      </c>
      <c r="O8288" s="11">
        <v>90</v>
      </c>
    </row>
    <row r="8289" spans="2:15" x14ac:dyDescent="0.25">
      <c r="B8289" s="6" t="s">
        <v>3238</v>
      </c>
      <c r="C8289" s="7" t="s">
        <v>3239</v>
      </c>
      <c r="D8289" s="8" t="s">
        <v>3240</v>
      </c>
      <c r="E8289" s="8" t="s">
        <v>4279</v>
      </c>
      <c r="F8289" s="9">
        <f>DATE(2025,5,27)</f>
        <v>45804</v>
      </c>
      <c r="G8289" s="10">
        <f t="shared" si="747"/>
        <v>5</v>
      </c>
      <c r="H8289" s="10">
        <f t="shared" si="750"/>
        <v>2025</v>
      </c>
      <c r="I8289" s="8" t="s">
        <v>4</v>
      </c>
      <c r="J8289" s="7" t="s">
        <v>8772</v>
      </c>
      <c r="K8289" s="8" t="s">
        <v>998</v>
      </c>
      <c r="L8289" s="8" t="s">
        <v>3526</v>
      </c>
      <c r="M8289" s="8" t="s">
        <v>1000</v>
      </c>
      <c r="N8289" s="10" t="str">
        <f t="shared" si="751"/>
        <v>GAL</v>
      </c>
      <c r="O8289" s="11">
        <v>250</v>
      </c>
    </row>
    <row r="8290" spans="2:15" x14ac:dyDescent="0.25">
      <c r="B8290" s="6" t="s">
        <v>3238</v>
      </c>
      <c r="C8290" s="7" t="s">
        <v>3239</v>
      </c>
      <c r="D8290" s="8" t="s">
        <v>3240</v>
      </c>
      <c r="E8290" s="8" t="s">
        <v>3379</v>
      </c>
      <c r="F8290" s="9">
        <f t="shared" ref="F8290:F8295" si="752">DATE(2025,5,28)</f>
        <v>45805</v>
      </c>
      <c r="G8290" s="10">
        <f t="shared" si="747"/>
        <v>5</v>
      </c>
      <c r="H8290" s="10">
        <f t="shared" si="750"/>
        <v>2025</v>
      </c>
      <c r="I8290" s="8" t="s">
        <v>4</v>
      </c>
      <c r="J8290" s="7" t="s">
        <v>8773</v>
      </c>
      <c r="K8290" s="8" t="s">
        <v>3395</v>
      </c>
      <c r="L8290" s="8" t="s">
        <v>3396</v>
      </c>
      <c r="M8290" s="8" t="s">
        <v>844</v>
      </c>
      <c r="N8290" s="10" t="str">
        <f t="shared" si="751"/>
        <v>GAL</v>
      </c>
      <c r="O8290" s="11">
        <v>250</v>
      </c>
    </row>
    <row r="8291" spans="2:15" x14ac:dyDescent="0.25">
      <c r="B8291" s="6" t="s">
        <v>3238</v>
      </c>
      <c r="C8291" s="7" t="s">
        <v>3239</v>
      </c>
      <c r="D8291" s="8" t="s">
        <v>3240</v>
      </c>
      <c r="E8291" s="8" t="s">
        <v>8774</v>
      </c>
      <c r="F8291" s="9">
        <f t="shared" si="752"/>
        <v>45805</v>
      </c>
      <c r="G8291" s="10">
        <f t="shared" si="747"/>
        <v>5</v>
      </c>
      <c r="H8291" s="10">
        <f t="shared" si="750"/>
        <v>2025</v>
      </c>
      <c r="I8291" s="8" t="s">
        <v>4</v>
      </c>
      <c r="J8291" s="7" t="s">
        <v>8775</v>
      </c>
      <c r="K8291" s="8" t="s">
        <v>3395</v>
      </c>
      <c r="L8291" s="8" t="s">
        <v>3396</v>
      </c>
      <c r="M8291" s="8" t="s">
        <v>844</v>
      </c>
      <c r="N8291" s="10" t="str">
        <f t="shared" si="751"/>
        <v>GAL</v>
      </c>
      <c r="O8291" s="11">
        <v>250</v>
      </c>
    </row>
    <row r="8292" spans="2:15" x14ac:dyDescent="0.25">
      <c r="B8292" s="6" t="s">
        <v>3238</v>
      </c>
      <c r="C8292" s="7" t="s">
        <v>3239</v>
      </c>
      <c r="D8292" s="8" t="s">
        <v>3240</v>
      </c>
      <c r="E8292" s="8" t="s">
        <v>8776</v>
      </c>
      <c r="F8292" s="9">
        <f t="shared" si="752"/>
        <v>45805</v>
      </c>
      <c r="G8292" s="10">
        <f t="shared" si="747"/>
        <v>5</v>
      </c>
      <c r="H8292" s="10">
        <f t="shared" si="750"/>
        <v>2025</v>
      </c>
      <c r="I8292" s="8" t="s">
        <v>4</v>
      </c>
      <c r="J8292" s="7" t="s">
        <v>8777</v>
      </c>
      <c r="K8292" s="8" t="s">
        <v>5976</v>
      </c>
      <c r="L8292" s="8" t="s">
        <v>3915</v>
      </c>
      <c r="M8292" s="8" t="s">
        <v>3916</v>
      </c>
      <c r="N8292" s="10" t="str">
        <f t="shared" si="751"/>
        <v>GAL</v>
      </c>
      <c r="O8292" s="11">
        <v>250</v>
      </c>
    </row>
    <row r="8293" spans="2:15" x14ac:dyDescent="0.25">
      <c r="B8293" s="6" t="s">
        <v>3238</v>
      </c>
      <c r="C8293" s="7" t="s">
        <v>3239</v>
      </c>
      <c r="D8293" s="8" t="s">
        <v>3240</v>
      </c>
      <c r="E8293" s="8" t="s">
        <v>102</v>
      </c>
      <c r="F8293" s="9">
        <f t="shared" si="752"/>
        <v>45805</v>
      </c>
      <c r="G8293" s="10">
        <f t="shared" si="747"/>
        <v>5</v>
      </c>
      <c r="H8293" s="10">
        <f t="shared" si="750"/>
        <v>2025</v>
      </c>
      <c r="I8293" s="8" t="s">
        <v>4</v>
      </c>
      <c r="J8293" s="7" t="s">
        <v>8778</v>
      </c>
      <c r="K8293" s="8" t="s">
        <v>5994</v>
      </c>
      <c r="L8293" s="8" t="s">
        <v>5995</v>
      </c>
      <c r="M8293" s="8" t="s">
        <v>5996</v>
      </c>
      <c r="N8293" s="10" t="str">
        <f t="shared" si="751"/>
        <v>GAL</v>
      </c>
      <c r="O8293" s="11">
        <v>200</v>
      </c>
    </row>
    <row r="8294" spans="2:15" x14ac:dyDescent="0.25">
      <c r="B8294" s="6" t="s">
        <v>3238</v>
      </c>
      <c r="C8294" s="7" t="s">
        <v>3239</v>
      </c>
      <c r="D8294" s="8" t="s">
        <v>3240</v>
      </c>
      <c r="E8294" s="8" t="s">
        <v>102</v>
      </c>
      <c r="F8294" s="9">
        <f t="shared" si="752"/>
        <v>45805</v>
      </c>
      <c r="G8294" s="10">
        <f t="shared" si="747"/>
        <v>5</v>
      </c>
      <c r="H8294" s="10">
        <f t="shared" si="750"/>
        <v>2025</v>
      </c>
      <c r="I8294" s="8" t="s">
        <v>4</v>
      </c>
      <c r="J8294" s="7" t="s">
        <v>8779</v>
      </c>
      <c r="K8294" s="8" t="s">
        <v>548</v>
      </c>
      <c r="L8294" s="8" t="s">
        <v>518</v>
      </c>
      <c r="M8294" s="8" t="s">
        <v>85</v>
      </c>
      <c r="N8294" s="10" t="str">
        <f t="shared" si="751"/>
        <v>GAL</v>
      </c>
      <c r="O8294" s="11">
        <v>1750</v>
      </c>
    </row>
    <row r="8295" spans="2:15" x14ac:dyDescent="0.25">
      <c r="B8295" s="6" t="s">
        <v>3238</v>
      </c>
      <c r="C8295" s="7" t="s">
        <v>3239</v>
      </c>
      <c r="D8295" s="8" t="s">
        <v>3240</v>
      </c>
      <c r="E8295" s="8" t="s">
        <v>102</v>
      </c>
      <c r="F8295" s="9">
        <f t="shared" si="752"/>
        <v>45805</v>
      </c>
      <c r="G8295" s="10">
        <f t="shared" si="747"/>
        <v>5</v>
      </c>
      <c r="H8295" s="10">
        <f t="shared" si="750"/>
        <v>2025</v>
      </c>
      <c r="I8295" s="8" t="s">
        <v>4</v>
      </c>
      <c r="J8295" s="7" t="s">
        <v>8780</v>
      </c>
      <c r="K8295" s="8" t="s">
        <v>3399</v>
      </c>
      <c r="L8295" s="8" t="s">
        <v>3400</v>
      </c>
      <c r="M8295" s="8" t="s">
        <v>3401</v>
      </c>
      <c r="N8295" s="10" t="str">
        <f t="shared" si="751"/>
        <v>GAL</v>
      </c>
      <c r="O8295" s="11">
        <v>1300</v>
      </c>
    </row>
    <row r="8296" spans="2:15" x14ac:dyDescent="0.25">
      <c r="B8296" s="6" t="s">
        <v>3238</v>
      </c>
      <c r="C8296" s="7" t="s">
        <v>3239</v>
      </c>
      <c r="D8296" s="8" t="s">
        <v>534</v>
      </c>
      <c r="E8296" s="8" t="s">
        <v>535</v>
      </c>
      <c r="F8296" s="9">
        <f t="shared" ref="F8296:F8305" si="753">DATE(2025,5,29)</f>
        <v>45806</v>
      </c>
      <c r="G8296" s="10">
        <f t="shared" si="747"/>
        <v>5</v>
      </c>
      <c r="H8296" s="10">
        <f t="shared" si="750"/>
        <v>2025</v>
      </c>
      <c r="I8296" s="8" t="s">
        <v>4</v>
      </c>
      <c r="J8296" s="7" t="s">
        <v>8781</v>
      </c>
      <c r="K8296" s="8" t="s">
        <v>2546</v>
      </c>
      <c r="L8296" s="8" t="s">
        <v>6161</v>
      </c>
      <c r="M8296" s="8" t="s">
        <v>553</v>
      </c>
      <c r="N8296" s="10" t="str">
        <f t="shared" si="751"/>
        <v>GAL</v>
      </c>
      <c r="O8296" s="11">
        <v>500</v>
      </c>
    </row>
    <row r="8297" spans="2:15" x14ac:dyDescent="0.25">
      <c r="B8297" s="6" t="s">
        <v>3238</v>
      </c>
      <c r="C8297" s="7" t="s">
        <v>3239</v>
      </c>
      <c r="D8297" s="8" t="s">
        <v>534</v>
      </c>
      <c r="E8297" s="8" t="s">
        <v>535</v>
      </c>
      <c r="F8297" s="9">
        <f t="shared" si="753"/>
        <v>45806</v>
      </c>
      <c r="G8297" s="10">
        <f t="shared" si="747"/>
        <v>5</v>
      </c>
      <c r="H8297" s="10">
        <f t="shared" si="750"/>
        <v>2025</v>
      </c>
      <c r="I8297" s="8" t="s">
        <v>4</v>
      </c>
      <c r="J8297" s="7" t="s">
        <v>8781</v>
      </c>
      <c r="K8297" s="8" t="s">
        <v>540</v>
      </c>
      <c r="L8297" s="8" t="s">
        <v>541</v>
      </c>
      <c r="M8297" s="8" t="s">
        <v>27</v>
      </c>
      <c r="N8297" s="10" t="str">
        <f t="shared" si="751"/>
        <v>GAL</v>
      </c>
      <c r="O8297" s="11">
        <v>165</v>
      </c>
    </row>
    <row r="8298" spans="2:15" x14ac:dyDescent="0.25">
      <c r="B8298" s="6" t="s">
        <v>3238</v>
      </c>
      <c r="C8298" s="7" t="s">
        <v>3239</v>
      </c>
      <c r="D8298" s="8" t="s">
        <v>534</v>
      </c>
      <c r="E8298" s="8" t="s">
        <v>535</v>
      </c>
      <c r="F8298" s="9">
        <f t="shared" si="753"/>
        <v>45806</v>
      </c>
      <c r="G8298" s="10">
        <f t="shared" si="747"/>
        <v>5</v>
      </c>
      <c r="H8298" s="10">
        <f t="shared" si="750"/>
        <v>2025</v>
      </c>
      <c r="I8298" s="8" t="s">
        <v>4</v>
      </c>
      <c r="J8298" s="7" t="s">
        <v>8781</v>
      </c>
      <c r="K8298" s="8" t="s">
        <v>542</v>
      </c>
      <c r="L8298" s="8" t="s">
        <v>543</v>
      </c>
      <c r="M8298" s="8" t="s">
        <v>27</v>
      </c>
      <c r="N8298" s="10" t="str">
        <f t="shared" si="751"/>
        <v>GAL</v>
      </c>
      <c r="O8298" s="11">
        <v>55</v>
      </c>
    </row>
    <row r="8299" spans="2:15" x14ac:dyDescent="0.25">
      <c r="B8299" s="6" t="s">
        <v>3238</v>
      </c>
      <c r="C8299" s="7" t="s">
        <v>3239</v>
      </c>
      <c r="D8299" s="8" t="s">
        <v>534</v>
      </c>
      <c r="E8299" s="8" t="s">
        <v>535</v>
      </c>
      <c r="F8299" s="9">
        <f t="shared" si="753"/>
        <v>45806</v>
      </c>
      <c r="G8299" s="10">
        <f t="shared" si="747"/>
        <v>5</v>
      </c>
      <c r="H8299" s="10">
        <f t="shared" si="750"/>
        <v>2025</v>
      </c>
      <c r="I8299" s="8" t="s">
        <v>4</v>
      </c>
      <c r="J8299" s="7" t="s">
        <v>8781</v>
      </c>
      <c r="K8299" s="8" t="s">
        <v>8782</v>
      </c>
      <c r="L8299" s="8" t="s">
        <v>1023</v>
      </c>
      <c r="M8299" s="8" t="s">
        <v>1024</v>
      </c>
      <c r="N8299" s="10" t="str">
        <f t="shared" si="751"/>
        <v>GAL</v>
      </c>
      <c r="O8299" s="11">
        <v>110</v>
      </c>
    </row>
    <row r="8300" spans="2:15" x14ac:dyDescent="0.25">
      <c r="B8300" s="6" t="s">
        <v>3238</v>
      </c>
      <c r="C8300" s="7" t="s">
        <v>3239</v>
      </c>
      <c r="D8300" s="8" t="s">
        <v>534</v>
      </c>
      <c r="E8300" s="8" t="s">
        <v>535</v>
      </c>
      <c r="F8300" s="9">
        <f t="shared" si="753"/>
        <v>45806</v>
      </c>
      <c r="G8300" s="10">
        <f t="shared" si="747"/>
        <v>5</v>
      </c>
      <c r="H8300" s="10">
        <f t="shared" si="750"/>
        <v>2025</v>
      </c>
      <c r="I8300" s="8" t="s">
        <v>4</v>
      </c>
      <c r="J8300" s="7" t="s">
        <v>8781</v>
      </c>
      <c r="K8300" s="8" t="s">
        <v>2540</v>
      </c>
      <c r="L8300" s="8" t="s">
        <v>2541</v>
      </c>
      <c r="M8300" s="8" t="s">
        <v>2542</v>
      </c>
      <c r="N8300" s="10" t="str">
        <f t="shared" si="751"/>
        <v>GAL</v>
      </c>
      <c r="O8300" s="11">
        <v>110</v>
      </c>
    </row>
    <row r="8301" spans="2:15" x14ac:dyDescent="0.25">
      <c r="B8301" s="6" t="s">
        <v>3238</v>
      </c>
      <c r="C8301" s="7" t="s">
        <v>3239</v>
      </c>
      <c r="D8301" s="8" t="s">
        <v>534</v>
      </c>
      <c r="E8301" s="8" t="s">
        <v>535</v>
      </c>
      <c r="F8301" s="9">
        <f t="shared" si="753"/>
        <v>45806</v>
      </c>
      <c r="G8301" s="10">
        <f t="shared" si="747"/>
        <v>5</v>
      </c>
      <c r="H8301" s="10">
        <f t="shared" si="750"/>
        <v>2025</v>
      </c>
      <c r="I8301" s="8" t="s">
        <v>4</v>
      </c>
      <c r="J8301" s="7" t="s">
        <v>8781</v>
      </c>
      <c r="K8301" s="8" t="s">
        <v>554</v>
      </c>
      <c r="L8301" s="8" t="s">
        <v>555</v>
      </c>
      <c r="M8301" s="8" t="s">
        <v>556</v>
      </c>
      <c r="N8301" s="10" t="str">
        <f t="shared" si="751"/>
        <v>GAL</v>
      </c>
      <c r="O8301" s="11">
        <v>500</v>
      </c>
    </row>
    <row r="8302" spans="2:15" x14ac:dyDescent="0.25">
      <c r="B8302" s="6" t="s">
        <v>3238</v>
      </c>
      <c r="C8302" s="7" t="s">
        <v>3239</v>
      </c>
      <c r="D8302" s="8" t="s">
        <v>534</v>
      </c>
      <c r="E8302" s="8" t="s">
        <v>535</v>
      </c>
      <c r="F8302" s="9">
        <f t="shared" si="753"/>
        <v>45806</v>
      </c>
      <c r="G8302" s="10">
        <f t="shared" si="747"/>
        <v>5</v>
      </c>
      <c r="H8302" s="10">
        <f t="shared" si="750"/>
        <v>2025</v>
      </c>
      <c r="I8302" s="8" t="s">
        <v>4</v>
      </c>
      <c r="J8302" s="7" t="s">
        <v>8781</v>
      </c>
      <c r="K8302" s="8" t="s">
        <v>5421</v>
      </c>
      <c r="L8302" s="8" t="s">
        <v>5951</v>
      </c>
      <c r="M8302" s="8" t="s">
        <v>24</v>
      </c>
      <c r="N8302" s="10" t="str">
        <f t="shared" si="751"/>
        <v>GAL</v>
      </c>
      <c r="O8302" s="11">
        <v>165</v>
      </c>
    </row>
    <row r="8303" spans="2:15" x14ac:dyDescent="0.25">
      <c r="B8303" s="6" t="s">
        <v>3238</v>
      </c>
      <c r="C8303" s="7" t="s">
        <v>3239</v>
      </c>
      <c r="D8303" s="8" t="s">
        <v>534</v>
      </c>
      <c r="E8303" s="8" t="s">
        <v>535</v>
      </c>
      <c r="F8303" s="9">
        <f t="shared" si="753"/>
        <v>45806</v>
      </c>
      <c r="G8303" s="10">
        <f t="shared" si="747"/>
        <v>5</v>
      </c>
      <c r="H8303" s="10">
        <f t="shared" si="750"/>
        <v>2025</v>
      </c>
      <c r="I8303" s="8" t="s">
        <v>4</v>
      </c>
      <c r="J8303" s="7" t="s">
        <v>8781</v>
      </c>
      <c r="K8303" s="8" t="s">
        <v>649</v>
      </c>
      <c r="L8303" s="8" t="s">
        <v>538</v>
      </c>
      <c r="M8303" s="8" t="s">
        <v>4243</v>
      </c>
      <c r="N8303" s="10" t="str">
        <f t="shared" si="751"/>
        <v>GAL</v>
      </c>
      <c r="O8303" s="11">
        <v>250</v>
      </c>
    </row>
    <row r="8304" spans="2:15" x14ac:dyDescent="0.25">
      <c r="B8304" s="6" t="s">
        <v>3238</v>
      </c>
      <c r="C8304" s="7" t="s">
        <v>3239</v>
      </c>
      <c r="D8304" s="8" t="s">
        <v>534</v>
      </c>
      <c r="E8304" s="8" t="s">
        <v>535</v>
      </c>
      <c r="F8304" s="9">
        <f t="shared" si="753"/>
        <v>45806</v>
      </c>
      <c r="G8304" s="10">
        <f t="shared" si="747"/>
        <v>5</v>
      </c>
      <c r="H8304" s="10">
        <f t="shared" si="750"/>
        <v>2025</v>
      </c>
      <c r="I8304" s="8" t="s">
        <v>4</v>
      </c>
      <c r="J8304" s="7" t="s">
        <v>8781</v>
      </c>
      <c r="K8304" s="8" t="s">
        <v>548</v>
      </c>
      <c r="L8304" s="8" t="s">
        <v>518</v>
      </c>
      <c r="M8304" s="8" t="s">
        <v>85</v>
      </c>
      <c r="N8304" s="10" t="str">
        <f t="shared" si="751"/>
        <v>GAL</v>
      </c>
      <c r="O8304" s="11">
        <v>500</v>
      </c>
    </row>
    <row r="8305" spans="2:15" x14ac:dyDescent="0.25">
      <c r="B8305" s="6" t="s">
        <v>3238</v>
      </c>
      <c r="C8305" s="7" t="s">
        <v>3239</v>
      </c>
      <c r="D8305" s="8" t="s">
        <v>534</v>
      </c>
      <c r="E8305" s="8" t="s">
        <v>535</v>
      </c>
      <c r="F8305" s="9">
        <f t="shared" si="753"/>
        <v>45806</v>
      </c>
      <c r="G8305" s="10">
        <f t="shared" si="747"/>
        <v>5</v>
      </c>
      <c r="H8305" s="10">
        <f t="shared" si="750"/>
        <v>2025</v>
      </c>
      <c r="I8305" s="8" t="s">
        <v>4</v>
      </c>
      <c r="J8305" s="7" t="s">
        <v>8781</v>
      </c>
      <c r="K8305" s="8" t="s">
        <v>2519</v>
      </c>
      <c r="L8305" s="8" t="s">
        <v>550</v>
      </c>
      <c r="M8305" s="8" t="s">
        <v>52</v>
      </c>
      <c r="N8305" s="10" t="str">
        <f t="shared" si="751"/>
        <v>GAL</v>
      </c>
      <c r="O8305" s="11">
        <v>250</v>
      </c>
    </row>
    <row r="8306" spans="2:15" x14ac:dyDescent="0.25">
      <c r="B8306" s="6" t="s">
        <v>3238</v>
      </c>
      <c r="C8306" s="7" t="s">
        <v>3239</v>
      </c>
      <c r="D8306" s="8" t="s">
        <v>3240</v>
      </c>
      <c r="E8306" s="8" t="s">
        <v>8783</v>
      </c>
      <c r="F8306" s="9">
        <f>DATE(2025,5,30)</f>
        <v>45807</v>
      </c>
      <c r="G8306" s="10">
        <f>+MONTH(F8306)</f>
        <v>5</v>
      </c>
      <c r="H8306" s="10">
        <f>+YEAR(F8306)</f>
        <v>2025</v>
      </c>
      <c r="I8306" s="8" t="s">
        <v>4</v>
      </c>
      <c r="J8306" s="7" t="s">
        <v>8784</v>
      </c>
      <c r="K8306" s="8" t="s">
        <v>3188</v>
      </c>
      <c r="L8306" s="8" t="s">
        <v>3526</v>
      </c>
      <c r="M8306" s="8" t="s">
        <v>1000</v>
      </c>
      <c r="N8306" s="10" t="str">
        <f>+LEFT(M8306,3)</f>
        <v>GAL</v>
      </c>
      <c r="O8306" s="11">
        <v>55</v>
      </c>
    </row>
    <row r="8307" spans="2:15" x14ac:dyDescent="0.25">
      <c r="B8307" s="6" t="s">
        <v>0</v>
      </c>
      <c r="C8307" s="7" t="s">
        <v>1</v>
      </c>
      <c r="D8307" s="8" t="s">
        <v>55</v>
      </c>
      <c r="E8307" s="8" t="s">
        <v>56</v>
      </c>
      <c r="F8307" s="9">
        <f>DATE(2025,6,25)</f>
        <v>45833</v>
      </c>
      <c r="G8307" s="10">
        <f t="shared" ref="G8307:G8370" si="754">+MONTH(F8307)</f>
        <v>6</v>
      </c>
      <c r="H8307" s="10">
        <f t="shared" ref="H8307:H8370" si="755">+YEAR(F8307)</f>
        <v>2025</v>
      </c>
      <c r="I8307" s="8" t="s">
        <v>4</v>
      </c>
      <c r="J8307" s="7" t="s">
        <v>8785</v>
      </c>
      <c r="K8307" s="8" t="s">
        <v>582</v>
      </c>
      <c r="L8307" s="8" t="s">
        <v>583</v>
      </c>
      <c r="M8307" s="8" t="s">
        <v>553</v>
      </c>
      <c r="N8307" s="10" t="str">
        <f t="shared" ref="N8307:N8370" si="756">+LEFT(M8307,3)</f>
        <v>GAL</v>
      </c>
      <c r="O8307" s="11">
        <v>55</v>
      </c>
    </row>
    <row r="8308" spans="2:15" x14ac:dyDescent="0.25">
      <c r="B8308" s="6" t="s">
        <v>0</v>
      </c>
      <c r="C8308" s="7" t="s">
        <v>1</v>
      </c>
      <c r="D8308" s="8" t="s">
        <v>55</v>
      </c>
      <c r="E8308" s="8" t="s">
        <v>56</v>
      </c>
      <c r="F8308" s="9">
        <f>DATE(2025,6,25)</f>
        <v>45833</v>
      </c>
      <c r="G8308" s="10">
        <f t="shared" si="754"/>
        <v>6</v>
      </c>
      <c r="H8308" s="10">
        <f t="shared" si="755"/>
        <v>2025</v>
      </c>
      <c r="I8308" s="8" t="s">
        <v>4</v>
      </c>
      <c r="J8308" s="7" t="s">
        <v>8785</v>
      </c>
      <c r="K8308" s="8" t="s">
        <v>585</v>
      </c>
      <c r="L8308" s="8" t="s">
        <v>586</v>
      </c>
      <c r="M8308" s="8" t="s">
        <v>587</v>
      </c>
      <c r="N8308" s="10" t="str">
        <f t="shared" si="756"/>
        <v>GAL</v>
      </c>
      <c r="O8308" s="11">
        <v>55</v>
      </c>
    </row>
    <row r="8309" spans="2:15" x14ac:dyDescent="0.25">
      <c r="B8309" s="6" t="s">
        <v>0</v>
      </c>
      <c r="C8309" s="7" t="s">
        <v>1</v>
      </c>
      <c r="D8309" s="8" t="s">
        <v>2</v>
      </c>
      <c r="E8309" s="8" t="s">
        <v>4287</v>
      </c>
      <c r="F8309" s="9">
        <f>DATE(2025,6,20)</f>
        <v>45828</v>
      </c>
      <c r="G8309" s="10">
        <f t="shared" si="754"/>
        <v>6</v>
      </c>
      <c r="H8309" s="10">
        <f t="shared" si="755"/>
        <v>2025</v>
      </c>
      <c r="I8309" s="8" t="s">
        <v>4</v>
      </c>
      <c r="J8309" s="7" t="s">
        <v>8786</v>
      </c>
      <c r="K8309" s="8" t="s">
        <v>19</v>
      </c>
      <c r="L8309" s="8" t="s">
        <v>6006</v>
      </c>
      <c r="M8309" s="8" t="s">
        <v>21</v>
      </c>
      <c r="N8309" s="10" t="str">
        <f t="shared" si="756"/>
        <v>GAL</v>
      </c>
      <c r="O8309" s="11">
        <v>120</v>
      </c>
    </row>
    <row r="8310" spans="2:15" x14ac:dyDescent="0.25">
      <c r="B8310" s="6" t="s">
        <v>0</v>
      </c>
      <c r="C8310" s="7" t="s">
        <v>1</v>
      </c>
      <c r="D8310" s="8" t="s">
        <v>2</v>
      </c>
      <c r="E8310" s="8" t="s">
        <v>1784</v>
      </c>
      <c r="F8310" s="9">
        <f>DATE(2025,6,9)</f>
        <v>45817</v>
      </c>
      <c r="G8310" s="10">
        <f t="shared" si="754"/>
        <v>6</v>
      </c>
      <c r="H8310" s="10">
        <f t="shared" si="755"/>
        <v>2025</v>
      </c>
      <c r="I8310" s="8" t="s">
        <v>4</v>
      </c>
      <c r="J8310" s="7" t="s">
        <v>8787</v>
      </c>
      <c r="K8310" s="8" t="s">
        <v>566</v>
      </c>
      <c r="L8310" s="8" t="s">
        <v>20</v>
      </c>
      <c r="M8310" s="8" t="s">
        <v>21</v>
      </c>
      <c r="N8310" s="10" t="str">
        <f t="shared" si="756"/>
        <v>GAL</v>
      </c>
      <c r="O8310" s="11">
        <v>55</v>
      </c>
    </row>
    <row r="8311" spans="2:15" x14ac:dyDescent="0.25">
      <c r="B8311" s="6" t="s">
        <v>0</v>
      </c>
      <c r="C8311" s="7" t="s">
        <v>1</v>
      </c>
      <c r="D8311" s="8" t="s">
        <v>2</v>
      </c>
      <c r="E8311" s="8" t="s">
        <v>8788</v>
      </c>
      <c r="F8311" s="9">
        <f>DATE(2025,6,13)</f>
        <v>45821</v>
      </c>
      <c r="G8311" s="10">
        <f t="shared" si="754"/>
        <v>6</v>
      </c>
      <c r="H8311" s="10">
        <f t="shared" si="755"/>
        <v>2025</v>
      </c>
      <c r="I8311" s="8" t="s">
        <v>4</v>
      </c>
      <c r="J8311" s="7" t="s">
        <v>8789</v>
      </c>
      <c r="K8311" s="8" t="s">
        <v>5421</v>
      </c>
      <c r="L8311" s="8" t="s">
        <v>23</v>
      </c>
      <c r="M8311" s="8" t="s">
        <v>24</v>
      </c>
      <c r="N8311" s="10" t="str">
        <f t="shared" si="756"/>
        <v>GAL</v>
      </c>
      <c r="O8311" s="11">
        <v>55</v>
      </c>
    </row>
    <row r="8312" spans="2:15" x14ac:dyDescent="0.25">
      <c r="B8312" s="6" t="s">
        <v>0</v>
      </c>
      <c r="C8312" s="7" t="s">
        <v>1</v>
      </c>
      <c r="D8312" s="8" t="s">
        <v>2</v>
      </c>
      <c r="E8312" s="8" t="s">
        <v>4287</v>
      </c>
      <c r="F8312" s="9">
        <f>DATE(2025,6,20)</f>
        <v>45828</v>
      </c>
      <c r="G8312" s="10">
        <f t="shared" si="754"/>
        <v>6</v>
      </c>
      <c r="H8312" s="10">
        <f t="shared" si="755"/>
        <v>2025</v>
      </c>
      <c r="I8312" s="8" t="s">
        <v>4</v>
      </c>
      <c r="J8312" s="7" t="s">
        <v>8786</v>
      </c>
      <c r="K8312" s="8" t="s">
        <v>574</v>
      </c>
      <c r="L8312" s="8" t="s">
        <v>66</v>
      </c>
      <c r="M8312" s="8" t="s">
        <v>67</v>
      </c>
      <c r="N8312" s="10" t="str">
        <f t="shared" si="756"/>
        <v>GAL</v>
      </c>
      <c r="O8312" s="11">
        <v>120</v>
      </c>
    </row>
    <row r="8313" spans="2:15" x14ac:dyDescent="0.25">
      <c r="B8313" s="6" t="s">
        <v>0</v>
      </c>
      <c r="C8313" s="7" t="s">
        <v>1</v>
      </c>
      <c r="D8313" s="8" t="s">
        <v>2</v>
      </c>
      <c r="E8313" s="8" t="s">
        <v>4287</v>
      </c>
      <c r="F8313" s="9">
        <f>DATE(2025,6,20)</f>
        <v>45828</v>
      </c>
      <c r="G8313" s="10">
        <f t="shared" si="754"/>
        <v>6</v>
      </c>
      <c r="H8313" s="10">
        <f t="shared" si="755"/>
        <v>2025</v>
      </c>
      <c r="I8313" s="8" t="s">
        <v>4</v>
      </c>
      <c r="J8313" s="7" t="s">
        <v>8786</v>
      </c>
      <c r="K8313" s="8" t="s">
        <v>28</v>
      </c>
      <c r="L8313" s="8" t="s">
        <v>29</v>
      </c>
      <c r="M8313" s="8" t="s">
        <v>30</v>
      </c>
      <c r="N8313" s="10" t="str">
        <f t="shared" si="756"/>
        <v>GAL</v>
      </c>
      <c r="O8313" s="11">
        <v>120</v>
      </c>
    </row>
    <row r="8314" spans="2:15" x14ac:dyDescent="0.25">
      <c r="B8314" s="6" t="s">
        <v>0</v>
      </c>
      <c r="C8314" s="7" t="s">
        <v>1</v>
      </c>
      <c r="D8314" s="8" t="s">
        <v>2</v>
      </c>
      <c r="E8314" s="8" t="s">
        <v>4287</v>
      </c>
      <c r="F8314" s="9">
        <f>DATE(2025,6,20)</f>
        <v>45828</v>
      </c>
      <c r="G8314" s="10">
        <f t="shared" si="754"/>
        <v>6</v>
      </c>
      <c r="H8314" s="10">
        <f t="shared" si="755"/>
        <v>2025</v>
      </c>
      <c r="I8314" s="8" t="s">
        <v>4</v>
      </c>
      <c r="J8314" s="7" t="s">
        <v>8786</v>
      </c>
      <c r="K8314" s="8" t="s">
        <v>16</v>
      </c>
      <c r="L8314" s="8" t="s">
        <v>7</v>
      </c>
      <c r="M8314" s="8" t="s">
        <v>8</v>
      </c>
      <c r="N8314" s="10" t="str">
        <f t="shared" si="756"/>
        <v>GAL</v>
      </c>
      <c r="O8314" s="11">
        <v>120</v>
      </c>
    </row>
    <row r="8315" spans="2:15" x14ac:dyDescent="0.25">
      <c r="B8315" s="6" t="s">
        <v>0</v>
      </c>
      <c r="C8315" s="7" t="s">
        <v>1</v>
      </c>
      <c r="D8315" s="8" t="s">
        <v>2</v>
      </c>
      <c r="E8315" s="8" t="s">
        <v>4287</v>
      </c>
      <c r="F8315" s="9">
        <f>DATE(2025,6,20)</f>
        <v>45828</v>
      </c>
      <c r="G8315" s="10">
        <f t="shared" si="754"/>
        <v>6</v>
      </c>
      <c r="H8315" s="10">
        <f t="shared" si="755"/>
        <v>2025</v>
      </c>
      <c r="I8315" s="8" t="s">
        <v>4</v>
      </c>
      <c r="J8315" s="7" t="s">
        <v>8786</v>
      </c>
      <c r="K8315" s="8" t="s">
        <v>80</v>
      </c>
      <c r="L8315" s="8" t="s">
        <v>81</v>
      </c>
      <c r="M8315" s="8" t="s">
        <v>82</v>
      </c>
      <c r="N8315" s="10" t="str">
        <f t="shared" si="756"/>
        <v>GAL</v>
      </c>
      <c r="O8315" s="11">
        <v>60</v>
      </c>
    </row>
    <row r="8316" spans="2:15" x14ac:dyDescent="0.25">
      <c r="B8316" s="6" t="s">
        <v>0</v>
      </c>
      <c r="C8316" s="7" t="s">
        <v>1</v>
      </c>
      <c r="D8316" s="8" t="s">
        <v>2</v>
      </c>
      <c r="E8316" s="8" t="s">
        <v>4287</v>
      </c>
      <c r="F8316" s="9">
        <f>DATE(2025,6,20)</f>
        <v>45828</v>
      </c>
      <c r="G8316" s="10">
        <f t="shared" si="754"/>
        <v>6</v>
      </c>
      <c r="H8316" s="10">
        <f t="shared" si="755"/>
        <v>2025</v>
      </c>
      <c r="I8316" s="8" t="s">
        <v>4</v>
      </c>
      <c r="J8316" s="7" t="s">
        <v>8786</v>
      </c>
      <c r="K8316" s="8" t="s">
        <v>33</v>
      </c>
      <c r="L8316" s="8" t="s">
        <v>34</v>
      </c>
      <c r="M8316" s="8" t="s">
        <v>35</v>
      </c>
      <c r="N8316" s="10" t="str">
        <f t="shared" si="756"/>
        <v>GAL</v>
      </c>
      <c r="O8316" s="11">
        <v>60</v>
      </c>
    </row>
    <row r="8317" spans="2:15" x14ac:dyDescent="0.25">
      <c r="B8317" s="6" t="s">
        <v>0</v>
      </c>
      <c r="C8317" s="7" t="s">
        <v>1</v>
      </c>
      <c r="D8317" s="8" t="s">
        <v>55</v>
      </c>
      <c r="E8317" s="8" t="s">
        <v>56</v>
      </c>
      <c r="F8317" s="9">
        <f>DATE(2025,6,25)</f>
        <v>45833</v>
      </c>
      <c r="G8317" s="10">
        <f t="shared" si="754"/>
        <v>6</v>
      </c>
      <c r="H8317" s="10">
        <f t="shared" si="755"/>
        <v>2025</v>
      </c>
      <c r="I8317" s="8" t="s">
        <v>4</v>
      </c>
      <c r="J8317" s="7" t="s">
        <v>8785</v>
      </c>
      <c r="K8317" s="8" t="s">
        <v>83</v>
      </c>
      <c r="L8317" s="8" t="s">
        <v>584</v>
      </c>
      <c r="M8317" s="8" t="s">
        <v>85</v>
      </c>
      <c r="N8317" s="10" t="str">
        <f t="shared" si="756"/>
        <v>GAL</v>
      </c>
      <c r="O8317" s="11">
        <v>55</v>
      </c>
    </row>
    <row r="8318" spans="2:15" x14ac:dyDescent="0.25">
      <c r="B8318" s="6" t="s">
        <v>88</v>
      </c>
      <c r="C8318" s="7" t="s">
        <v>89</v>
      </c>
      <c r="D8318" s="8" t="s">
        <v>7024</v>
      </c>
      <c r="E8318" s="8" t="s">
        <v>7025</v>
      </c>
      <c r="F8318" s="9">
        <f>DATE(2025,6,2)</f>
        <v>45810</v>
      </c>
      <c r="G8318" s="10">
        <f t="shared" si="754"/>
        <v>6</v>
      </c>
      <c r="H8318" s="10">
        <f t="shared" si="755"/>
        <v>2025</v>
      </c>
      <c r="I8318" s="8" t="s">
        <v>4</v>
      </c>
      <c r="J8318" s="7" t="s">
        <v>8790</v>
      </c>
      <c r="K8318" s="8" t="s">
        <v>7027</v>
      </c>
      <c r="L8318" s="8" t="s">
        <v>7028</v>
      </c>
      <c r="M8318" s="8" t="s">
        <v>106</v>
      </c>
      <c r="N8318" s="10" t="str">
        <f t="shared" si="756"/>
        <v>LBS</v>
      </c>
      <c r="O8318" s="11">
        <v>40720</v>
      </c>
    </row>
    <row r="8319" spans="2:15" x14ac:dyDescent="0.25">
      <c r="B8319" s="6" t="s">
        <v>88</v>
      </c>
      <c r="C8319" s="7" t="s">
        <v>89</v>
      </c>
      <c r="D8319" s="8" t="s">
        <v>1026</v>
      </c>
      <c r="E8319" s="8" t="s">
        <v>3262</v>
      </c>
      <c r="F8319" s="9">
        <f>DATE(2025,6,27)</f>
        <v>45835</v>
      </c>
      <c r="G8319" s="10">
        <f t="shared" si="754"/>
        <v>6</v>
      </c>
      <c r="H8319" s="10">
        <f t="shared" si="755"/>
        <v>2025</v>
      </c>
      <c r="I8319" s="8" t="s">
        <v>4</v>
      </c>
      <c r="J8319" s="7" t="s">
        <v>8791</v>
      </c>
      <c r="K8319" s="8" t="s">
        <v>1028</v>
      </c>
      <c r="L8319" s="8" t="s">
        <v>1029</v>
      </c>
      <c r="M8319" s="8" t="s">
        <v>106</v>
      </c>
      <c r="N8319" s="10" t="str">
        <f t="shared" si="756"/>
        <v>LBS</v>
      </c>
      <c r="O8319" s="11">
        <v>23060</v>
      </c>
    </row>
    <row r="8320" spans="2:15" x14ac:dyDescent="0.25">
      <c r="B8320" s="6" t="s">
        <v>88</v>
      </c>
      <c r="C8320" s="7" t="s">
        <v>89</v>
      </c>
      <c r="D8320" s="8" t="s">
        <v>1444</v>
      </c>
      <c r="E8320" s="8" t="s">
        <v>8792</v>
      </c>
      <c r="F8320" s="9">
        <f>DATE(2025,6,30)</f>
        <v>45838</v>
      </c>
      <c r="G8320" s="10">
        <f t="shared" si="754"/>
        <v>6</v>
      </c>
      <c r="H8320" s="10">
        <f t="shared" si="755"/>
        <v>2025</v>
      </c>
      <c r="I8320" s="8" t="s">
        <v>4</v>
      </c>
      <c r="J8320" s="7" t="s">
        <v>8793</v>
      </c>
      <c r="K8320" s="8" t="s">
        <v>1446</v>
      </c>
      <c r="L8320" s="8" t="s">
        <v>2581</v>
      </c>
      <c r="M8320" s="8" t="s">
        <v>1448</v>
      </c>
      <c r="N8320" s="10" t="str">
        <f t="shared" si="756"/>
        <v>GAL</v>
      </c>
      <c r="O8320" s="11">
        <v>360</v>
      </c>
    </row>
    <row r="8321" spans="2:15" x14ac:dyDescent="0.25">
      <c r="B8321" s="6" t="s">
        <v>88</v>
      </c>
      <c r="C8321" s="7" t="s">
        <v>89</v>
      </c>
      <c r="D8321" s="8" t="s">
        <v>1444</v>
      </c>
      <c r="E8321" s="8" t="s">
        <v>3965</v>
      </c>
      <c r="F8321" s="9">
        <f>DATE(2025,6,19)</f>
        <v>45827</v>
      </c>
      <c r="G8321" s="10">
        <f t="shared" si="754"/>
        <v>6</v>
      </c>
      <c r="H8321" s="10">
        <f t="shared" si="755"/>
        <v>2025</v>
      </c>
      <c r="I8321" s="8" t="s">
        <v>4</v>
      </c>
      <c r="J8321" s="7" t="s">
        <v>8794</v>
      </c>
      <c r="K8321" s="8" t="s">
        <v>3136</v>
      </c>
      <c r="L8321" s="8" t="s">
        <v>2581</v>
      </c>
      <c r="M8321" s="8" t="s">
        <v>1448</v>
      </c>
      <c r="N8321" s="10" t="str">
        <f t="shared" si="756"/>
        <v>GAL</v>
      </c>
      <c r="O8321" s="11">
        <v>150</v>
      </c>
    </row>
    <row r="8322" spans="2:15" x14ac:dyDescent="0.25">
      <c r="B8322" s="6" t="s">
        <v>88</v>
      </c>
      <c r="C8322" s="7" t="s">
        <v>89</v>
      </c>
      <c r="D8322" s="8" t="s">
        <v>90</v>
      </c>
      <c r="E8322" s="8" t="s">
        <v>91</v>
      </c>
      <c r="F8322" s="9">
        <f>DATE(2025,6,12)</f>
        <v>45820</v>
      </c>
      <c r="G8322" s="10">
        <f t="shared" si="754"/>
        <v>6</v>
      </c>
      <c r="H8322" s="10">
        <f t="shared" si="755"/>
        <v>2025</v>
      </c>
      <c r="I8322" s="8" t="s">
        <v>4</v>
      </c>
      <c r="J8322" s="7" t="s">
        <v>8795</v>
      </c>
      <c r="K8322" s="8" t="s">
        <v>614</v>
      </c>
      <c r="L8322" s="8" t="s">
        <v>615</v>
      </c>
      <c r="M8322" s="8" t="s">
        <v>41</v>
      </c>
      <c r="N8322" s="10" t="str">
        <f t="shared" si="756"/>
        <v>GAL</v>
      </c>
      <c r="O8322" s="11">
        <v>250</v>
      </c>
    </row>
    <row r="8323" spans="2:15" x14ac:dyDescent="0.25">
      <c r="B8323" s="6" t="s">
        <v>88</v>
      </c>
      <c r="C8323" s="7" t="s">
        <v>89</v>
      </c>
      <c r="D8323" s="8" t="s">
        <v>3962</v>
      </c>
      <c r="E8323" s="8" t="s">
        <v>102</v>
      </c>
      <c r="F8323" s="9">
        <f>DATE(2025,6,26)</f>
        <v>45834</v>
      </c>
      <c r="G8323" s="10">
        <f t="shared" si="754"/>
        <v>6</v>
      </c>
      <c r="H8323" s="10">
        <f t="shared" si="755"/>
        <v>2025</v>
      </c>
      <c r="I8323" s="8" t="s">
        <v>4</v>
      </c>
      <c r="J8323" s="7" t="s">
        <v>8796</v>
      </c>
      <c r="K8323" s="8" t="s">
        <v>25</v>
      </c>
      <c r="L8323" s="8" t="s">
        <v>541</v>
      </c>
      <c r="M8323" s="8" t="s">
        <v>27</v>
      </c>
      <c r="N8323" s="10" t="str">
        <f t="shared" si="756"/>
        <v>GAL</v>
      </c>
      <c r="O8323" s="11">
        <v>2.5</v>
      </c>
    </row>
    <row r="8324" spans="2:15" x14ac:dyDescent="0.25">
      <c r="B8324" s="6" t="s">
        <v>88</v>
      </c>
      <c r="C8324" s="7" t="s">
        <v>89</v>
      </c>
      <c r="D8324" s="8" t="s">
        <v>3962</v>
      </c>
      <c r="E8324" s="8" t="s">
        <v>102</v>
      </c>
      <c r="F8324" s="9">
        <f>DATE(2025,6,26)</f>
        <v>45834</v>
      </c>
      <c r="G8324" s="10">
        <f t="shared" si="754"/>
        <v>6</v>
      </c>
      <c r="H8324" s="10">
        <f t="shared" si="755"/>
        <v>2025</v>
      </c>
      <c r="I8324" s="8" t="s">
        <v>4</v>
      </c>
      <c r="J8324" s="7" t="s">
        <v>8796</v>
      </c>
      <c r="K8324" s="8" t="s">
        <v>816</v>
      </c>
      <c r="L8324" s="8" t="s">
        <v>545</v>
      </c>
      <c r="M8324" s="8" t="s">
        <v>67</v>
      </c>
      <c r="N8324" s="10" t="str">
        <f t="shared" si="756"/>
        <v>GAL</v>
      </c>
      <c r="O8324" s="11">
        <v>2.5</v>
      </c>
    </row>
    <row r="8325" spans="2:15" x14ac:dyDescent="0.25">
      <c r="B8325" s="6" t="s">
        <v>88</v>
      </c>
      <c r="C8325" s="7" t="s">
        <v>89</v>
      </c>
      <c r="D8325" s="8" t="s">
        <v>515</v>
      </c>
      <c r="E8325" s="8" t="s">
        <v>516</v>
      </c>
      <c r="F8325" s="9">
        <f>DATE(2025,6,9)</f>
        <v>45817</v>
      </c>
      <c r="G8325" s="10">
        <f t="shared" si="754"/>
        <v>6</v>
      </c>
      <c r="H8325" s="10">
        <f t="shared" si="755"/>
        <v>2025</v>
      </c>
      <c r="I8325" s="8" t="s">
        <v>4</v>
      </c>
      <c r="J8325" s="7" t="s">
        <v>8797</v>
      </c>
      <c r="K8325" s="8" t="s">
        <v>110</v>
      </c>
      <c r="L8325" s="8" t="s">
        <v>111</v>
      </c>
      <c r="M8325" s="8" t="s">
        <v>112</v>
      </c>
      <c r="N8325" s="10" t="str">
        <f t="shared" si="756"/>
        <v>GAL</v>
      </c>
      <c r="O8325" s="11">
        <v>3288</v>
      </c>
    </row>
    <row r="8326" spans="2:15" x14ac:dyDescent="0.25">
      <c r="B8326" s="6" t="s">
        <v>88</v>
      </c>
      <c r="C8326" s="7" t="s">
        <v>89</v>
      </c>
      <c r="D8326" s="8" t="s">
        <v>6019</v>
      </c>
      <c r="E8326" s="8" t="s">
        <v>6020</v>
      </c>
      <c r="F8326" s="9">
        <f>DATE(2025,6,9)</f>
        <v>45817</v>
      </c>
      <c r="G8326" s="10">
        <f t="shared" si="754"/>
        <v>6</v>
      </c>
      <c r="H8326" s="10">
        <f t="shared" si="755"/>
        <v>2025</v>
      </c>
      <c r="I8326" s="8" t="s">
        <v>4</v>
      </c>
      <c r="J8326" s="7" t="s">
        <v>8798</v>
      </c>
      <c r="K8326" s="8" t="s">
        <v>7630</v>
      </c>
      <c r="L8326" s="8" t="s">
        <v>7631</v>
      </c>
      <c r="M8326" s="8" t="s">
        <v>4204</v>
      </c>
      <c r="N8326" s="10" t="str">
        <f t="shared" si="756"/>
        <v>GAL</v>
      </c>
      <c r="O8326" s="11">
        <v>7110</v>
      </c>
    </row>
    <row r="8327" spans="2:15" x14ac:dyDescent="0.25">
      <c r="B8327" s="6" t="s">
        <v>88</v>
      </c>
      <c r="C8327" s="7" t="s">
        <v>89</v>
      </c>
      <c r="D8327" s="8" t="s">
        <v>6019</v>
      </c>
      <c r="E8327" s="8" t="s">
        <v>7633</v>
      </c>
      <c r="F8327" s="9">
        <f>DATE(2025,6,10)</f>
        <v>45818</v>
      </c>
      <c r="G8327" s="10">
        <f t="shared" si="754"/>
        <v>6</v>
      </c>
      <c r="H8327" s="10">
        <f t="shared" si="755"/>
        <v>2025</v>
      </c>
      <c r="I8327" s="8" t="s">
        <v>4</v>
      </c>
      <c r="J8327" s="7" t="s">
        <v>8799</v>
      </c>
      <c r="K8327" s="8" t="s">
        <v>7630</v>
      </c>
      <c r="L8327" s="8" t="s">
        <v>7631</v>
      </c>
      <c r="M8327" s="8" t="s">
        <v>4204</v>
      </c>
      <c r="N8327" s="10" t="str">
        <f t="shared" si="756"/>
        <v>GAL</v>
      </c>
      <c r="O8327" s="11">
        <v>7073</v>
      </c>
    </row>
    <row r="8328" spans="2:15" x14ac:dyDescent="0.25">
      <c r="B8328" s="6" t="s">
        <v>88</v>
      </c>
      <c r="C8328" s="7" t="s">
        <v>89</v>
      </c>
      <c r="D8328" s="8" t="s">
        <v>6019</v>
      </c>
      <c r="E8328" s="8" t="s">
        <v>7633</v>
      </c>
      <c r="F8328" s="9">
        <f>DATE(2025,6,24)</f>
        <v>45832</v>
      </c>
      <c r="G8328" s="10">
        <f t="shared" si="754"/>
        <v>6</v>
      </c>
      <c r="H8328" s="10">
        <f t="shared" si="755"/>
        <v>2025</v>
      </c>
      <c r="I8328" s="8" t="s">
        <v>4</v>
      </c>
      <c r="J8328" s="7" t="s">
        <v>8800</v>
      </c>
      <c r="K8328" s="8" t="s">
        <v>7630</v>
      </c>
      <c r="L8328" s="8" t="s">
        <v>7631</v>
      </c>
      <c r="M8328" s="8" t="s">
        <v>4204</v>
      </c>
      <c r="N8328" s="10" t="str">
        <f t="shared" si="756"/>
        <v>GAL</v>
      </c>
      <c r="O8328" s="11">
        <v>6014</v>
      </c>
    </row>
    <row r="8329" spans="2:15" x14ac:dyDescent="0.25">
      <c r="B8329" s="6" t="s">
        <v>88</v>
      </c>
      <c r="C8329" s="7" t="s">
        <v>89</v>
      </c>
      <c r="D8329" s="8" t="s">
        <v>146</v>
      </c>
      <c r="E8329" s="8" t="s">
        <v>147</v>
      </c>
      <c r="F8329" s="9">
        <f>DATE(2025,6,16)</f>
        <v>45824</v>
      </c>
      <c r="G8329" s="10">
        <f t="shared" si="754"/>
        <v>6</v>
      </c>
      <c r="H8329" s="10">
        <f t="shared" si="755"/>
        <v>2025</v>
      </c>
      <c r="I8329" s="8" t="s">
        <v>4</v>
      </c>
      <c r="J8329" s="7" t="s">
        <v>8801</v>
      </c>
      <c r="K8329" s="8" t="s">
        <v>609</v>
      </c>
      <c r="L8329" s="8" t="s">
        <v>610</v>
      </c>
      <c r="M8329" s="8" t="s">
        <v>611</v>
      </c>
      <c r="N8329" s="10" t="str">
        <f t="shared" si="756"/>
        <v>GAL</v>
      </c>
      <c r="O8329" s="11">
        <v>5</v>
      </c>
    </row>
    <row r="8330" spans="2:15" x14ac:dyDescent="0.25">
      <c r="B8330" s="6" t="s">
        <v>88</v>
      </c>
      <c r="C8330" s="7" t="s">
        <v>89</v>
      </c>
      <c r="D8330" s="8" t="s">
        <v>1111</v>
      </c>
      <c r="E8330" s="8" t="s">
        <v>1112</v>
      </c>
      <c r="F8330" s="9">
        <f>DATE(2025,6,9)</f>
        <v>45817</v>
      </c>
      <c r="G8330" s="10">
        <f t="shared" si="754"/>
        <v>6</v>
      </c>
      <c r="H8330" s="10">
        <f t="shared" si="755"/>
        <v>2025</v>
      </c>
      <c r="I8330" s="8" t="s">
        <v>4</v>
      </c>
      <c r="J8330" s="7" t="s">
        <v>8802</v>
      </c>
      <c r="K8330" s="8" t="s">
        <v>2629</v>
      </c>
      <c r="L8330" s="8" t="s">
        <v>2630</v>
      </c>
      <c r="M8330" s="8" t="s">
        <v>2631</v>
      </c>
      <c r="N8330" s="10" t="str">
        <f t="shared" si="756"/>
        <v>GAL</v>
      </c>
      <c r="O8330" s="11">
        <v>70</v>
      </c>
    </row>
    <row r="8331" spans="2:15" x14ac:dyDescent="0.25">
      <c r="B8331" s="6" t="s">
        <v>88</v>
      </c>
      <c r="C8331" s="7" t="s">
        <v>89</v>
      </c>
      <c r="D8331" s="8" t="s">
        <v>90</v>
      </c>
      <c r="E8331" s="8" t="s">
        <v>91</v>
      </c>
      <c r="F8331" s="9">
        <f>DATE(2025,6,12)</f>
        <v>45820</v>
      </c>
      <c r="G8331" s="10">
        <f t="shared" si="754"/>
        <v>6</v>
      </c>
      <c r="H8331" s="10">
        <f t="shared" si="755"/>
        <v>2025</v>
      </c>
      <c r="I8331" s="8" t="s">
        <v>4</v>
      </c>
      <c r="J8331" s="7" t="s">
        <v>8795</v>
      </c>
      <c r="K8331" s="8" t="s">
        <v>2519</v>
      </c>
      <c r="L8331" s="8" t="s">
        <v>550</v>
      </c>
      <c r="M8331" s="8" t="s">
        <v>52</v>
      </c>
      <c r="N8331" s="10" t="str">
        <f t="shared" si="756"/>
        <v>GAL</v>
      </c>
      <c r="O8331" s="11">
        <v>250</v>
      </c>
    </row>
    <row r="8332" spans="2:15" x14ac:dyDescent="0.25">
      <c r="B8332" s="6" t="s">
        <v>154</v>
      </c>
      <c r="C8332" s="7" t="s">
        <v>155</v>
      </c>
      <c r="D8332" s="8" t="s">
        <v>8803</v>
      </c>
      <c r="E8332" s="8" t="s">
        <v>102</v>
      </c>
      <c r="F8332" s="9">
        <f>DATE(2025,6,16)</f>
        <v>45824</v>
      </c>
      <c r="G8332" s="10">
        <f t="shared" si="754"/>
        <v>6</v>
      </c>
      <c r="H8332" s="10">
        <f t="shared" si="755"/>
        <v>2025</v>
      </c>
      <c r="I8332" s="8" t="s">
        <v>4</v>
      </c>
      <c r="J8332" s="7" t="s">
        <v>8804</v>
      </c>
      <c r="K8332" s="8" t="s">
        <v>551</v>
      </c>
      <c r="L8332" s="8" t="s">
        <v>6161</v>
      </c>
      <c r="M8332" s="8" t="s">
        <v>553</v>
      </c>
      <c r="N8332" s="10" t="str">
        <f t="shared" si="756"/>
        <v>GAL</v>
      </c>
      <c r="O8332" s="11">
        <v>10</v>
      </c>
    </row>
    <row r="8333" spans="2:15" x14ac:dyDescent="0.25">
      <c r="B8333" s="6" t="s">
        <v>154</v>
      </c>
      <c r="C8333" s="7" t="s">
        <v>155</v>
      </c>
      <c r="D8333" s="8" t="s">
        <v>8805</v>
      </c>
      <c r="E8333" s="8" t="s">
        <v>8806</v>
      </c>
      <c r="F8333" s="9">
        <f>DATE(2025,6,16)</f>
        <v>45824</v>
      </c>
      <c r="G8333" s="10">
        <f t="shared" si="754"/>
        <v>6</v>
      </c>
      <c r="H8333" s="10">
        <f t="shared" si="755"/>
        <v>2025</v>
      </c>
      <c r="I8333" s="8" t="s">
        <v>4</v>
      </c>
      <c r="J8333" s="7" t="s">
        <v>8807</v>
      </c>
      <c r="K8333" s="8" t="s">
        <v>551</v>
      </c>
      <c r="L8333" s="8" t="s">
        <v>6161</v>
      </c>
      <c r="M8333" s="8" t="s">
        <v>553</v>
      </c>
      <c r="N8333" s="10" t="str">
        <f t="shared" si="756"/>
        <v>GAL</v>
      </c>
      <c r="O8333" s="11">
        <v>20</v>
      </c>
    </row>
    <row r="8334" spans="2:15" x14ac:dyDescent="0.25">
      <c r="B8334" s="6" t="s">
        <v>154</v>
      </c>
      <c r="C8334" s="7" t="s">
        <v>155</v>
      </c>
      <c r="D8334" s="8" t="s">
        <v>8805</v>
      </c>
      <c r="E8334" s="8" t="s">
        <v>8806</v>
      </c>
      <c r="F8334" s="9">
        <f>DATE(2025,6,27)</f>
        <v>45835</v>
      </c>
      <c r="G8334" s="10">
        <f t="shared" si="754"/>
        <v>6</v>
      </c>
      <c r="H8334" s="10">
        <f t="shared" si="755"/>
        <v>2025</v>
      </c>
      <c r="I8334" s="8" t="s">
        <v>4</v>
      </c>
      <c r="J8334" s="7" t="s">
        <v>8808</v>
      </c>
      <c r="K8334" s="8" t="s">
        <v>551</v>
      </c>
      <c r="L8334" s="8" t="s">
        <v>6161</v>
      </c>
      <c r="M8334" s="8" t="s">
        <v>553</v>
      </c>
      <c r="N8334" s="10" t="str">
        <f t="shared" si="756"/>
        <v>GAL</v>
      </c>
      <c r="O8334" s="11">
        <v>5</v>
      </c>
    </row>
    <row r="8335" spans="2:15" x14ac:dyDescent="0.25">
      <c r="B8335" s="6" t="s">
        <v>154</v>
      </c>
      <c r="C8335" s="7" t="s">
        <v>155</v>
      </c>
      <c r="D8335" s="8" t="s">
        <v>8805</v>
      </c>
      <c r="E8335" s="8" t="s">
        <v>8806</v>
      </c>
      <c r="F8335" s="9">
        <f>DATE(2025,6,27)</f>
        <v>45835</v>
      </c>
      <c r="G8335" s="10">
        <f t="shared" si="754"/>
        <v>6</v>
      </c>
      <c r="H8335" s="10">
        <f t="shared" si="755"/>
        <v>2025</v>
      </c>
      <c r="I8335" s="8" t="s">
        <v>4</v>
      </c>
      <c r="J8335" s="7" t="s">
        <v>8808</v>
      </c>
      <c r="K8335" s="8" t="s">
        <v>551</v>
      </c>
      <c r="L8335" s="8" t="s">
        <v>6161</v>
      </c>
      <c r="M8335" s="8" t="s">
        <v>553</v>
      </c>
      <c r="N8335" s="10" t="str">
        <f t="shared" si="756"/>
        <v>GAL</v>
      </c>
      <c r="O8335" s="11">
        <v>5</v>
      </c>
    </row>
    <row r="8336" spans="2:15" x14ac:dyDescent="0.25">
      <c r="B8336" s="6" t="s">
        <v>154</v>
      </c>
      <c r="C8336" s="7" t="s">
        <v>155</v>
      </c>
      <c r="D8336" s="8" t="s">
        <v>507</v>
      </c>
      <c r="E8336" s="8" t="s">
        <v>993</v>
      </c>
      <c r="F8336" s="9">
        <f>DATE(2025,6,17)</f>
        <v>45825</v>
      </c>
      <c r="G8336" s="10">
        <f t="shared" si="754"/>
        <v>6</v>
      </c>
      <c r="H8336" s="10">
        <f t="shared" si="755"/>
        <v>2025</v>
      </c>
      <c r="I8336" s="8" t="s">
        <v>4</v>
      </c>
      <c r="J8336" s="7" t="s">
        <v>8809</v>
      </c>
      <c r="K8336" s="8" t="s">
        <v>4226</v>
      </c>
      <c r="L8336" s="8" t="s">
        <v>4227</v>
      </c>
      <c r="M8336" s="8" t="s">
        <v>24</v>
      </c>
      <c r="N8336" s="10" t="str">
        <f t="shared" si="756"/>
        <v>GAL</v>
      </c>
      <c r="O8336" s="11">
        <v>360</v>
      </c>
    </row>
    <row r="8337" spans="2:15" x14ac:dyDescent="0.25">
      <c r="B8337" s="6" t="s">
        <v>154</v>
      </c>
      <c r="C8337" s="7" t="s">
        <v>155</v>
      </c>
      <c r="D8337" s="8" t="s">
        <v>161</v>
      </c>
      <c r="E8337" s="8" t="s">
        <v>162</v>
      </c>
      <c r="F8337" s="9">
        <f>DATE(2025,6,20)</f>
        <v>45828</v>
      </c>
      <c r="G8337" s="10">
        <f t="shared" si="754"/>
        <v>6</v>
      </c>
      <c r="H8337" s="10">
        <f t="shared" si="755"/>
        <v>2025</v>
      </c>
      <c r="I8337" s="8" t="s">
        <v>4</v>
      </c>
      <c r="J8337" s="7" t="s">
        <v>8810</v>
      </c>
      <c r="K8337" s="8" t="s">
        <v>1119</v>
      </c>
      <c r="L8337" s="8" t="s">
        <v>1023</v>
      </c>
      <c r="M8337" s="8" t="s">
        <v>1024</v>
      </c>
      <c r="N8337" s="10" t="str">
        <f t="shared" si="756"/>
        <v>GAL</v>
      </c>
      <c r="O8337" s="11">
        <v>180</v>
      </c>
    </row>
    <row r="8338" spans="2:15" x14ac:dyDescent="0.25">
      <c r="B8338" s="6" t="s">
        <v>154</v>
      </c>
      <c r="C8338" s="7" t="s">
        <v>155</v>
      </c>
      <c r="D8338" s="8" t="s">
        <v>628</v>
      </c>
      <c r="E8338" s="8" t="s">
        <v>629</v>
      </c>
      <c r="F8338" s="9">
        <f>DATE(2025,6,5)</f>
        <v>45813</v>
      </c>
      <c r="G8338" s="10">
        <f t="shared" si="754"/>
        <v>6</v>
      </c>
      <c r="H8338" s="10">
        <f t="shared" si="755"/>
        <v>2025</v>
      </c>
      <c r="I8338" s="8" t="s">
        <v>4</v>
      </c>
      <c r="J8338" s="7" t="s">
        <v>8811</v>
      </c>
      <c r="K8338" s="8" t="s">
        <v>1119</v>
      </c>
      <c r="L8338" s="8" t="s">
        <v>1023</v>
      </c>
      <c r="M8338" s="8" t="s">
        <v>1024</v>
      </c>
      <c r="N8338" s="10" t="str">
        <f t="shared" si="756"/>
        <v>GAL</v>
      </c>
      <c r="O8338" s="11">
        <v>720</v>
      </c>
    </row>
    <row r="8339" spans="2:15" x14ac:dyDescent="0.25">
      <c r="B8339" s="6" t="s">
        <v>154</v>
      </c>
      <c r="C8339" s="7" t="s">
        <v>155</v>
      </c>
      <c r="D8339" s="8" t="s">
        <v>161</v>
      </c>
      <c r="E8339" s="8" t="s">
        <v>162</v>
      </c>
      <c r="F8339" s="9">
        <f>DATE(2025,6,5)</f>
        <v>45813</v>
      </c>
      <c r="G8339" s="10">
        <f t="shared" si="754"/>
        <v>6</v>
      </c>
      <c r="H8339" s="10">
        <f t="shared" si="755"/>
        <v>2025</v>
      </c>
      <c r="I8339" s="8" t="s">
        <v>4</v>
      </c>
      <c r="J8339" s="7" t="s">
        <v>8812</v>
      </c>
      <c r="K8339" s="8" t="s">
        <v>164</v>
      </c>
      <c r="L8339" s="8" t="s">
        <v>165</v>
      </c>
      <c r="M8339" s="8" t="s">
        <v>166</v>
      </c>
      <c r="N8339" s="10" t="str">
        <f t="shared" si="756"/>
        <v>GAL</v>
      </c>
      <c r="O8339" s="11">
        <v>180</v>
      </c>
    </row>
    <row r="8340" spans="2:15" x14ac:dyDescent="0.25">
      <c r="B8340" s="6" t="s">
        <v>154</v>
      </c>
      <c r="C8340" s="7" t="s">
        <v>155</v>
      </c>
      <c r="D8340" s="8" t="s">
        <v>628</v>
      </c>
      <c r="E8340" s="8" t="s">
        <v>629</v>
      </c>
      <c r="F8340" s="9">
        <f>DATE(2025,6,2)</f>
        <v>45810</v>
      </c>
      <c r="G8340" s="10">
        <f t="shared" si="754"/>
        <v>6</v>
      </c>
      <c r="H8340" s="10">
        <f t="shared" si="755"/>
        <v>2025</v>
      </c>
      <c r="I8340" s="8" t="s">
        <v>4</v>
      </c>
      <c r="J8340" s="7" t="s">
        <v>8813</v>
      </c>
      <c r="K8340" s="8" t="s">
        <v>631</v>
      </c>
      <c r="L8340" s="8" t="s">
        <v>632</v>
      </c>
      <c r="M8340" s="8" t="s">
        <v>633</v>
      </c>
      <c r="N8340" s="10" t="str">
        <f t="shared" si="756"/>
        <v>GAL</v>
      </c>
      <c r="O8340" s="11">
        <v>500</v>
      </c>
    </row>
    <row r="8341" spans="2:15" x14ac:dyDescent="0.25">
      <c r="B8341" s="6" t="s">
        <v>154</v>
      </c>
      <c r="C8341" s="7" t="s">
        <v>155</v>
      </c>
      <c r="D8341" s="8" t="s">
        <v>628</v>
      </c>
      <c r="E8341" s="8" t="s">
        <v>629</v>
      </c>
      <c r="F8341" s="9">
        <f>DATE(2025,6,20)</f>
        <v>45828</v>
      </c>
      <c r="G8341" s="10">
        <f t="shared" si="754"/>
        <v>6</v>
      </c>
      <c r="H8341" s="10">
        <f t="shared" si="755"/>
        <v>2025</v>
      </c>
      <c r="I8341" s="8" t="s">
        <v>4</v>
      </c>
      <c r="J8341" s="7" t="s">
        <v>8814</v>
      </c>
      <c r="K8341" s="8" t="s">
        <v>631</v>
      </c>
      <c r="L8341" s="8" t="s">
        <v>632</v>
      </c>
      <c r="M8341" s="8" t="s">
        <v>633</v>
      </c>
      <c r="N8341" s="10" t="str">
        <f t="shared" si="756"/>
        <v>GAL</v>
      </c>
      <c r="O8341" s="11">
        <v>2750</v>
      </c>
    </row>
    <row r="8342" spans="2:15" x14ac:dyDescent="0.25">
      <c r="B8342" s="6" t="s">
        <v>154</v>
      </c>
      <c r="C8342" s="7" t="s">
        <v>155</v>
      </c>
      <c r="D8342" s="8" t="s">
        <v>628</v>
      </c>
      <c r="E8342" s="8" t="s">
        <v>629</v>
      </c>
      <c r="F8342" s="9">
        <f>DATE(2025,6,24)</f>
        <v>45832</v>
      </c>
      <c r="G8342" s="10">
        <f t="shared" si="754"/>
        <v>6</v>
      </c>
      <c r="H8342" s="10">
        <f t="shared" si="755"/>
        <v>2025</v>
      </c>
      <c r="I8342" s="8" t="s">
        <v>4</v>
      </c>
      <c r="J8342" s="7" t="s">
        <v>8815</v>
      </c>
      <c r="K8342" s="8" t="s">
        <v>631</v>
      </c>
      <c r="L8342" s="8" t="s">
        <v>632</v>
      </c>
      <c r="M8342" s="8" t="s">
        <v>633</v>
      </c>
      <c r="N8342" s="10" t="str">
        <f t="shared" si="756"/>
        <v>GAL</v>
      </c>
      <c r="O8342" s="11">
        <v>250</v>
      </c>
    </row>
    <row r="8343" spans="2:15" x14ac:dyDescent="0.25">
      <c r="B8343" s="6" t="s">
        <v>154</v>
      </c>
      <c r="C8343" s="7" t="s">
        <v>155</v>
      </c>
      <c r="D8343" s="8" t="s">
        <v>161</v>
      </c>
      <c r="E8343" s="8" t="s">
        <v>162</v>
      </c>
      <c r="F8343" s="9">
        <f>DATE(2025,6,11)</f>
        <v>45819</v>
      </c>
      <c r="G8343" s="10">
        <f t="shared" si="754"/>
        <v>6</v>
      </c>
      <c r="H8343" s="10">
        <f t="shared" si="755"/>
        <v>2025</v>
      </c>
      <c r="I8343" s="8" t="s">
        <v>4</v>
      </c>
      <c r="J8343" s="7" t="s">
        <v>8816</v>
      </c>
      <c r="K8343" s="8" t="s">
        <v>8348</v>
      </c>
      <c r="L8343" s="8" t="s">
        <v>1854</v>
      </c>
      <c r="M8343" s="8" t="s">
        <v>1816</v>
      </c>
      <c r="N8343" s="10" t="str">
        <f t="shared" si="756"/>
        <v>GAL</v>
      </c>
      <c r="O8343" s="11">
        <v>250</v>
      </c>
    </row>
    <row r="8344" spans="2:15" x14ac:dyDescent="0.25">
      <c r="B8344" s="6" t="s">
        <v>154</v>
      </c>
      <c r="C8344" s="7" t="s">
        <v>155</v>
      </c>
      <c r="D8344" s="8" t="s">
        <v>628</v>
      </c>
      <c r="E8344" s="8" t="s">
        <v>629</v>
      </c>
      <c r="F8344" s="9">
        <f>DATE(2025,6,17)</f>
        <v>45825</v>
      </c>
      <c r="G8344" s="10">
        <f t="shared" si="754"/>
        <v>6</v>
      </c>
      <c r="H8344" s="10">
        <f t="shared" si="755"/>
        <v>2025</v>
      </c>
      <c r="I8344" s="8" t="s">
        <v>4</v>
      </c>
      <c r="J8344" s="7" t="s">
        <v>8817</v>
      </c>
      <c r="K8344" s="8" t="s">
        <v>8348</v>
      </c>
      <c r="L8344" s="8" t="s">
        <v>1854</v>
      </c>
      <c r="M8344" s="8" t="s">
        <v>1816</v>
      </c>
      <c r="N8344" s="10" t="str">
        <f t="shared" si="756"/>
        <v>GAL</v>
      </c>
      <c r="O8344" s="11">
        <v>500</v>
      </c>
    </row>
    <row r="8345" spans="2:15" x14ac:dyDescent="0.25">
      <c r="B8345" s="6" t="s">
        <v>154</v>
      </c>
      <c r="C8345" s="7" t="s">
        <v>155</v>
      </c>
      <c r="D8345" s="8" t="s">
        <v>628</v>
      </c>
      <c r="E8345" s="8" t="s">
        <v>629</v>
      </c>
      <c r="F8345" s="9">
        <f>DATE(2025,6,25)</f>
        <v>45833</v>
      </c>
      <c r="G8345" s="10">
        <f t="shared" si="754"/>
        <v>6</v>
      </c>
      <c r="H8345" s="10">
        <f t="shared" si="755"/>
        <v>2025</v>
      </c>
      <c r="I8345" s="8" t="s">
        <v>4</v>
      </c>
      <c r="J8345" s="7" t="s">
        <v>8818</v>
      </c>
      <c r="K8345" s="8" t="s">
        <v>8348</v>
      </c>
      <c r="L8345" s="8" t="s">
        <v>1854</v>
      </c>
      <c r="M8345" s="8" t="s">
        <v>1816</v>
      </c>
      <c r="N8345" s="10" t="str">
        <f t="shared" si="756"/>
        <v>GAL</v>
      </c>
      <c r="O8345" s="11">
        <v>500</v>
      </c>
    </row>
    <row r="8346" spans="2:15" x14ac:dyDescent="0.25">
      <c r="B8346" s="6" t="s">
        <v>154</v>
      </c>
      <c r="C8346" s="7" t="s">
        <v>155</v>
      </c>
      <c r="D8346" s="8" t="s">
        <v>167</v>
      </c>
      <c r="E8346" s="8" t="s">
        <v>168</v>
      </c>
      <c r="F8346" s="9">
        <f>DATE(2025,6,18)</f>
        <v>45826</v>
      </c>
      <c r="G8346" s="10">
        <f t="shared" si="754"/>
        <v>6</v>
      </c>
      <c r="H8346" s="10">
        <f t="shared" si="755"/>
        <v>2025</v>
      </c>
      <c r="I8346" s="8" t="s">
        <v>4</v>
      </c>
      <c r="J8346" s="7" t="s">
        <v>8819</v>
      </c>
      <c r="K8346" s="8" t="s">
        <v>1814</v>
      </c>
      <c r="L8346" s="8" t="s">
        <v>1815</v>
      </c>
      <c r="M8346" s="8" t="s">
        <v>1816</v>
      </c>
      <c r="N8346" s="10" t="str">
        <f t="shared" si="756"/>
        <v>GAL</v>
      </c>
      <c r="O8346" s="11">
        <v>180</v>
      </c>
    </row>
    <row r="8347" spans="2:15" x14ac:dyDescent="0.25">
      <c r="B8347" s="6" t="s">
        <v>154</v>
      </c>
      <c r="C8347" s="7" t="s">
        <v>155</v>
      </c>
      <c r="D8347" s="8" t="s">
        <v>161</v>
      </c>
      <c r="E8347" s="8" t="s">
        <v>162</v>
      </c>
      <c r="F8347" s="9">
        <f>DATE(2025,6,11)</f>
        <v>45819</v>
      </c>
      <c r="G8347" s="10">
        <f t="shared" si="754"/>
        <v>6</v>
      </c>
      <c r="H8347" s="10">
        <f t="shared" si="755"/>
        <v>2025</v>
      </c>
      <c r="I8347" s="8" t="s">
        <v>4</v>
      </c>
      <c r="J8347" s="7" t="s">
        <v>8816</v>
      </c>
      <c r="K8347" s="8" t="s">
        <v>8349</v>
      </c>
      <c r="L8347" s="8" t="s">
        <v>1267</v>
      </c>
      <c r="M8347" s="8" t="s">
        <v>191</v>
      </c>
      <c r="N8347" s="10" t="str">
        <f t="shared" si="756"/>
        <v>GAL</v>
      </c>
      <c r="O8347" s="11">
        <v>250</v>
      </c>
    </row>
    <row r="8348" spans="2:15" x14ac:dyDescent="0.25">
      <c r="B8348" s="6" t="s">
        <v>154</v>
      </c>
      <c r="C8348" s="7" t="s">
        <v>155</v>
      </c>
      <c r="D8348" s="8" t="s">
        <v>161</v>
      </c>
      <c r="E8348" s="8" t="s">
        <v>162</v>
      </c>
      <c r="F8348" s="9">
        <f>DATE(2025,6,11)</f>
        <v>45819</v>
      </c>
      <c r="G8348" s="10">
        <f t="shared" si="754"/>
        <v>6</v>
      </c>
      <c r="H8348" s="10">
        <f t="shared" si="755"/>
        <v>2025</v>
      </c>
      <c r="I8348" s="8" t="s">
        <v>4</v>
      </c>
      <c r="J8348" s="7" t="s">
        <v>8820</v>
      </c>
      <c r="K8348" s="8" t="s">
        <v>1734</v>
      </c>
      <c r="L8348" s="8" t="s">
        <v>1735</v>
      </c>
      <c r="M8348" s="8" t="s">
        <v>1736</v>
      </c>
      <c r="N8348" s="10" t="str">
        <f t="shared" si="756"/>
        <v>GAL</v>
      </c>
      <c r="O8348" s="11">
        <v>180</v>
      </c>
    </row>
    <row r="8349" spans="2:15" x14ac:dyDescent="0.25">
      <c r="B8349" s="6" t="s">
        <v>154</v>
      </c>
      <c r="C8349" s="7" t="s">
        <v>155</v>
      </c>
      <c r="D8349" s="8" t="s">
        <v>1111</v>
      </c>
      <c r="E8349" s="8" t="s">
        <v>1112</v>
      </c>
      <c r="F8349" s="9">
        <f>DATE(2025,6,20)</f>
        <v>45828</v>
      </c>
      <c r="G8349" s="10">
        <f t="shared" si="754"/>
        <v>6</v>
      </c>
      <c r="H8349" s="10">
        <f t="shared" si="755"/>
        <v>2025</v>
      </c>
      <c r="I8349" s="8" t="s">
        <v>4</v>
      </c>
      <c r="J8349" s="7" t="s">
        <v>8821</v>
      </c>
      <c r="K8349" s="8" t="s">
        <v>8618</v>
      </c>
      <c r="L8349" s="8" t="s">
        <v>1735</v>
      </c>
      <c r="M8349" s="8" t="s">
        <v>1736</v>
      </c>
      <c r="N8349" s="10" t="str">
        <f t="shared" si="756"/>
        <v>GAL</v>
      </c>
      <c r="O8349" s="11">
        <v>250</v>
      </c>
    </row>
    <row r="8350" spans="2:15" x14ac:dyDescent="0.25">
      <c r="B8350" s="6" t="s">
        <v>154</v>
      </c>
      <c r="C8350" s="7" t="s">
        <v>155</v>
      </c>
      <c r="D8350" s="8" t="s">
        <v>1111</v>
      </c>
      <c r="E8350" s="8" t="s">
        <v>1112</v>
      </c>
      <c r="F8350" s="9">
        <f>DATE(2025,6,25)</f>
        <v>45833</v>
      </c>
      <c r="G8350" s="10">
        <f t="shared" si="754"/>
        <v>6</v>
      </c>
      <c r="H8350" s="10">
        <f t="shared" si="755"/>
        <v>2025</v>
      </c>
      <c r="I8350" s="8" t="s">
        <v>4</v>
      </c>
      <c r="J8350" s="7" t="s">
        <v>8822</v>
      </c>
      <c r="K8350" s="8" t="s">
        <v>8618</v>
      </c>
      <c r="L8350" s="8" t="s">
        <v>1735</v>
      </c>
      <c r="M8350" s="8" t="s">
        <v>1736</v>
      </c>
      <c r="N8350" s="10" t="str">
        <f t="shared" si="756"/>
        <v>GAL</v>
      </c>
      <c r="O8350" s="11">
        <v>250</v>
      </c>
    </row>
    <row r="8351" spans="2:15" x14ac:dyDescent="0.25">
      <c r="B8351" s="6" t="s">
        <v>154</v>
      </c>
      <c r="C8351" s="7" t="s">
        <v>155</v>
      </c>
      <c r="D8351" s="8" t="s">
        <v>628</v>
      </c>
      <c r="E8351" s="8" t="s">
        <v>629</v>
      </c>
      <c r="F8351" s="9">
        <f>DATE(2025,6,2)</f>
        <v>45810</v>
      </c>
      <c r="G8351" s="10">
        <f t="shared" si="754"/>
        <v>6</v>
      </c>
      <c r="H8351" s="10">
        <f t="shared" si="755"/>
        <v>2025</v>
      </c>
      <c r="I8351" s="8" t="s">
        <v>4</v>
      </c>
      <c r="J8351" s="7" t="s">
        <v>8823</v>
      </c>
      <c r="K8351" s="8" t="s">
        <v>3436</v>
      </c>
      <c r="L8351" s="8" t="s">
        <v>3437</v>
      </c>
      <c r="M8351" s="8" t="s">
        <v>67</v>
      </c>
      <c r="N8351" s="10" t="str">
        <f t="shared" si="756"/>
        <v>GAL</v>
      </c>
      <c r="O8351" s="11">
        <v>750</v>
      </c>
    </row>
    <row r="8352" spans="2:15" x14ac:dyDescent="0.25">
      <c r="B8352" s="6" t="s">
        <v>154</v>
      </c>
      <c r="C8352" s="7" t="s">
        <v>155</v>
      </c>
      <c r="D8352" s="8" t="s">
        <v>1838</v>
      </c>
      <c r="E8352" s="8" t="s">
        <v>1839</v>
      </c>
      <c r="F8352" s="9">
        <f>DATE(2025,6,27)</f>
        <v>45835</v>
      </c>
      <c r="G8352" s="10">
        <f t="shared" si="754"/>
        <v>6</v>
      </c>
      <c r="H8352" s="10">
        <f t="shared" si="755"/>
        <v>2025</v>
      </c>
      <c r="I8352" s="8" t="s">
        <v>4</v>
      </c>
      <c r="J8352" s="7" t="s">
        <v>8824</v>
      </c>
      <c r="K8352" s="8" t="s">
        <v>609</v>
      </c>
      <c r="L8352" s="8" t="s">
        <v>610</v>
      </c>
      <c r="M8352" s="8" t="s">
        <v>611</v>
      </c>
      <c r="N8352" s="10" t="str">
        <f t="shared" si="756"/>
        <v>GAL</v>
      </c>
      <c r="O8352" s="11">
        <v>180</v>
      </c>
    </row>
    <row r="8353" spans="2:15" x14ac:dyDescent="0.25">
      <c r="B8353" s="6" t="s">
        <v>154</v>
      </c>
      <c r="C8353" s="7" t="s">
        <v>155</v>
      </c>
      <c r="D8353" s="8" t="s">
        <v>167</v>
      </c>
      <c r="E8353" s="8" t="s">
        <v>168</v>
      </c>
      <c r="F8353" s="9">
        <f>DATE(2025,6,16)</f>
        <v>45824</v>
      </c>
      <c r="G8353" s="10">
        <f t="shared" si="754"/>
        <v>6</v>
      </c>
      <c r="H8353" s="10">
        <f t="shared" si="755"/>
        <v>2025</v>
      </c>
      <c r="I8353" s="8" t="s">
        <v>4</v>
      </c>
      <c r="J8353" s="7" t="s">
        <v>8825</v>
      </c>
      <c r="K8353" s="8" t="s">
        <v>171</v>
      </c>
      <c r="L8353" s="8" t="s">
        <v>172</v>
      </c>
      <c r="M8353" s="8" t="s">
        <v>27</v>
      </c>
      <c r="N8353" s="10" t="str">
        <f t="shared" si="756"/>
        <v>GAL</v>
      </c>
      <c r="O8353" s="11">
        <v>180</v>
      </c>
    </row>
    <row r="8354" spans="2:15" x14ac:dyDescent="0.25">
      <c r="B8354" s="6" t="s">
        <v>154</v>
      </c>
      <c r="C8354" s="7" t="s">
        <v>155</v>
      </c>
      <c r="D8354" s="8" t="s">
        <v>161</v>
      </c>
      <c r="E8354" s="8" t="s">
        <v>162</v>
      </c>
      <c r="F8354" s="9">
        <f>DATE(2025,6,6)</f>
        <v>45814</v>
      </c>
      <c r="G8354" s="10">
        <f t="shared" si="754"/>
        <v>6</v>
      </c>
      <c r="H8354" s="10">
        <f t="shared" si="755"/>
        <v>2025</v>
      </c>
      <c r="I8354" s="8" t="s">
        <v>4</v>
      </c>
      <c r="J8354" s="7" t="s">
        <v>8826</v>
      </c>
      <c r="K8354" s="8" t="s">
        <v>171</v>
      </c>
      <c r="L8354" s="8" t="s">
        <v>172</v>
      </c>
      <c r="M8354" s="8" t="s">
        <v>27</v>
      </c>
      <c r="N8354" s="10" t="str">
        <f t="shared" si="756"/>
        <v>GAL</v>
      </c>
      <c r="O8354" s="11">
        <v>180</v>
      </c>
    </row>
    <row r="8355" spans="2:15" x14ac:dyDescent="0.25">
      <c r="B8355" s="6" t="s">
        <v>154</v>
      </c>
      <c r="C8355" s="7" t="s">
        <v>155</v>
      </c>
      <c r="D8355" s="8" t="s">
        <v>1838</v>
      </c>
      <c r="E8355" s="8" t="s">
        <v>1839</v>
      </c>
      <c r="F8355" s="9">
        <f>DATE(2025,6,25)</f>
        <v>45833</v>
      </c>
      <c r="G8355" s="10">
        <f t="shared" si="754"/>
        <v>6</v>
      </c>
      <c r="H8355" s="10">
        <f t="shared" si="755"/>
        <v>2025</v>
      </c>
      <c r="I8355" s="8" t="s">
        <v>4</v>
      </c>
      <c r="J8355" s="7" t="s">
        <v>8827</v>
      </c>
      <c r="K8355" s="8" t="s">
        <v>171</v>
      </c>
      <c r="L8355" s="8" t="s">
        <v>172</v>
      </c>
      <c r="M8355" s="8" t="s">
        <v>27</v>
      </c>
      <c r="N8355" s="10" t="str">
        <f t="shared" si="756"/>
        <v>GAL</v>
      </c>
      <c r="O8355" s="11">
        <v>1620</v>
      </c>
    </row>
    <row r="8356" spans="2:15" x14ac:dyDescent="0.25">
      <c r="B8356" s="6" t="s">
        <v>154</v>
      </c>
      <c r="C8356" s="7" t="s">
        <v>155</v>
      </c>
      <c r="D8356" s="8" t="s">
        <v>1838</v>
      </c>
      <c r="E8356" s="8" t="s">
        <v>1839</v>
      </c>
      <c r="F8356" s="9">
        <f>DATE(2025,6,27)</f>
        <v>45835</v>
      </c>
      <c r="G8356" s="10">
        <f t="shared" si="754"/>
        <v>6</v>
      </c>
      <c r="H8356" s="10">
        <f t="shared" si="755"/>
        <v>2025</v>
      </c>
      <c r="I8356" s="8" t="s">
        <v>4</v>
      </c>
      <c r="J8356" s="7" t="s">
        <v>8828</v>
      </c>
      <c r="K8356" s="8" t="s">
        <v>171</v>
      </c>
      <c r="L8356" s="8" t="s">
        <v>172</v>
      </c>
      <c r="M8356" s="8" t="s">
        <v>27</v>
      </c>
      <c r="N8356" s="10" t="str">
        <f t="shared" si="756"/>
        <v>GAL</v>
      </c>
      <c r="O8356" s="11">
        <v>2880</v>
      </c>
    </row>
    <row r="8357" spans="2:15" x14ac:dyDescent="0.25">
      <c r="B8357" s="6" t="s">
        <v>154</v>
      </c>
      <c r="C8357" s="7" t="s">
        <v>155</v>
      </c>
      <c r="D8357" s="8" t="s">
        <v>628</v>
      </c>
      <c r="E8357" s="8" t="s">
        <v>629</v>
      </c>
      <c r="F8357" s="9">
        <f>DATE(2025,6,17)</f>
        <v>45825</v>
      </c>
      <c r="G8357" s="10">
        <f t="shared" si="754"/>
        <v>6</v>
      </c>
      <c r="H8357" s="10">
        <f t="shared" si="755"/>
        <v>2025</v>
      </c>
      <c r="I8357" s="8" t="s">
        <v>4</v>
      </c>
      <c r="J8357" s="7" t="s">
        <v>8817</v>
      </c>
      <c r="K8357" s="8" t="s">
        <v>171</v>
      </c>
      <c r="L8357" s="8" t="s">
        <v>172</v>
      </c>
      <c r="M8357" s="8" t="s">
        <v>27</v>
      </c>
      <c r="N8357" s="10" t="str">
        <f t="shared" si="756"/>
        <v>GAL</v>
      </c>
      <c r="O8357" s="11">
        <v>180</v>
      </c>
    </row>
    <row r="8358" spans="2:15" x14ac:dyDescent="0.25">
      <c r="B8358" s="6" t="s">
        <v>154</v>
      </c>
      <c r="C8358" s="7" t="s">
        <v>155</v>
      </c>
      <c r="D8358" s="8" t="s">
        <v>1111</v>
      </c>
      <c r="E8358" s="8" t="s">
        <v>1112</v>
      </c>
      <c r="F8358" s="9">
        <f>DATE(2025,6,25)</f>
        <v>45833</v>
      </c>
      <c r="G8358" s="10">
        <f t="shared" si="754"/>
        <v>6</v>
      </c>
      <c r="H8358" s="10">
        <f t="shared" si="755"/>
        <v>2025</v>
      </c>
      <c r="I8358" s="8" t="s">
        <v>4</v>
      </c>
      <c r="J8358" s="7" t="s">
        <v>8829</v>
      </c>
      <c r="K8358" s="8" t="s">
        <v>1869</v>
      </c>
      <c r="L8358" s="8" t="s">
        <v>172</v>
      </c>
      <c r="M8358" s="8" t="s">
        <v>27</v>
      </c>
      <c r="N8358" s="10" t="str">
        <f t="shared" si="756"/>
        <v>GAL</v>
      </c>
      <c r="O8358" s="11">
        <v>750</v>
      </c>
    </row>
    <row r="8359" spans="2:15" x14ac:dyDescent="0.25">
      <c r="B8359" s="6" t="s">
        <v>1520</v>
      </c>
      <c r="C8359" s="7" t="s">
        <v>196</v>
      </c>
      <c r="D8359" s="8" t="s">
        <v>663</v>
      </c>
      <c r="E8359" s="8" t="s">
        <v>2660</v>
      </c>
      <c r="F8359" s="9">
        <f>DATE(2025,6,20)</f>
        <v>45828</v>
      </c>
      <c r="G8359" s="10">
        <f t="shared" si="754"/>
        <v>6</v>
      </c>
      <c r="H8359" s="10">
        <f t="shared" si="755"/>
        <v>2025</v>
      </c>
      <c r="I8359" s="8" t="s">
        <v>4</v>
      </c>
      <c r="J8359" s="7" t="s">
        <v>8830</v>
      </c>
      <c r="K8359" s="8" t="s">
        <v>531</v>
      </c>
      <c r="L8359" s="8" t="s">
        <v>201</v>
      </c>
      <c r="M8359" s="8" t="s">
        <v>202</v>
      </c>
      <c r="N8359" s="10" t="str">
        <f t="shared" si="756"/>
        <v>GAL</v>
      </c>
      <c r="O8359" s="11">
        <v>30</v>
      </c>
    </row>
    <row r="8360" spans="2:15" x14ac:dyDescent="0.25">
      <c r="B8360" s="6" t="s">
        <v>1520</v>
      </c>
      <c r="C8360" s="7" t="s">
        <v>196</v>
      </c>
      <c r="D8360" s="8" t="s">
        <v>2755</v>
      </c>
      <c r="E8360" s="8" t="s">
        <v>141</v>
      </c>
      <c r="F8360" s="9">
        <f>DATE(2025,6,16)</f>
        <v>45824</v>
      </c>
      <c r="G8360" s="10">
        <f t="shared" si="754"/>
        <v>6</v>
      </c>
      <c r="H8360" s="10">
        <f t="shared" si="755"/>
        <v>2025</v>
      </c>
      <c r="I8360" s="8" t="s">
        <v>4</v>
      </c>
      <c r="J8360" s="7" t="s">
        <v>8831</v>
      </c>
      <c r="K8360" s="8" t="s">
        <v>244</v>
      </c>
      <c r="L8360" s="8" t="s">
        <v>182</v>
      </c>
      <c r="M8360" s="8" t="s">
        <v>183</v>
      </c>
      <c r="N8360" s="10" t="str">
        <f t="shared" si="756"/>
        <v>GAL</v>
      </c>
      <c r="O8360" s="11">
        <v>2.5</v>
      </c>
    </row>
    <row r="8361" spans="2:15" x14ac:dyDescent="0.25">
      <c r="B8361" s="6" t="s">
        <v>1520</v>
      </c>
      <c r="C8361" s="7" t="s">
        <v>196</v>
      </c>
      <c r="D8361" s="8" t="s">
        <v>663</v>
      </c>
      <c r="E8361" s="8" t="s">
        <v>8832</v>
      </c>
      <c r="F8361" s="9">
        <f>DATE(2025,6,2)</f>
        <v>45810</v>
      </c>
      <c r="G8361" s="10">
        <f t="shared" si="754"/>
        <v>6</v>
      </c>
      <c r="H8361" s="10">
        <f t="shared" si="755"/>
        <v>2025</v>
      </c>
      <c r="I8361" s="8" t="s">
        <v>4</v>
      </c>
      <c r="J8361" s="7" t="s">
        <v>8833</v>
      </c>
      <c r="K8361" s="8" t="s">
        <v>25</v>
      </c>
      <c r="L8361" s="8" t="s">
        <v>541</v>
      </c>
      <c r="M8361" s="8" t="s">
        <v>27</v>
      </c>
      <c r="N8361" s="10" t="str">
        <f t="shared" si="756"/>
        <v>GAL</v>
      </c>
      <c r="O8361" s="11">
        <v>5</v>
      </c>
    </row>
    <row r="8362" spans="2:15" x14ac:dyDescent="0.25">
      <c r="B8362" s="6" t="s">
        <v>1520</v>
      </c>
      <c r="C8362" s="7" t="s">
        <v>196</v>
      </c>
      <c r="D8362" s="8" t="s">
        <v>2755</v>
      </c>
      <c r="E8362" s="8" t="s">
        <v>141</v>
      </c>
      <c r="F8362" s="9">
        <f>DATE(2025,6,23)</f>
        <v>45831</v>
      </c>
      <c r="G8362" s="10">
        <f t="shared" si="754"/>
        <v>6</v>
      </c>
      <c r="H8362" s="10">
        <f t="shared" si="755"/>
        <v>2025</v>
      </c>
      <c r="I8362" s="8" t="s">
        <v>4</v>
      </c>
      <c r="J8362" s="7" t="s">
        <v>8834</v>
      </c>
      <c r="K8362" s="8" t="s">
        <v>4873</v>
      </c>
      <c r="L8362" s="8" t="s">
        <v>555</v>
      </c>
      <c r="M8362" s="8" t="s">
        <v>556</v>
      </c>
      <c r="N8362" s="10" t="str">
        <f t="shared" si="756"/>
        <v>GAL</v>
      </c>
      <c r="O8362" s="11">
        <v>2.5</v>
      </c>
    </row>
    <row r="8363" spans="2:15" x14ac:dyDescent="0.25">
      <c r="B8363" s="6" t="s">
        <v>1520</v>
      </c>
      <c r="C8363" s="7" t="s">
        <v>196</v>
      </c>
      <c r="D8363" s="8" t="s">
        <v>2755</v>
      </c>
      <c r="E8363" s="8" t="s">
        <v>141</v>
      </c>
      <c r="F8363" s="9">
        <f>DATE(2025,6,23)</f>
        <v>45831</v>
      </c>
      <c r="G8363" s="10">
        <f t="shared" si="754"/>
        <v>6</v>
      </c>
      <c r="H8363" s="10">
        <f t="shared" si="755"/>
        <v>2025</v>
      </c>
      <c r="I8363" s="8" t="s">
        <v>4</v>
      </c>
      <c r="J8363" s="7" t="s">
        <v>8834</v>
      </c>
      <c r="K8363" s="8" t="s">
        <v>1395</v>
      </c>
      <c r="L8363" s="8" t="s">
        <v>1396</v>
      </c>
      <c r="M8363" s="8" t="s">
        <v>1397</v>
      </c>
      <c r="N8363" s="10" t="str">
        <f t="shared" si="756"/>
        <v>GAL</v>
      </c>
      <c r="O8363" s="11">
        <v>2.5</v>
      </c>
    </row>
    <row r="8364" spans="2:15" x14ac:dyDescent="0.25">
      <c r="B8364" s="6" t="s">
        <v>1520</v>
      </c>
      <c r="C8364" s="7" t="s">
        <v>196</v>
      </c>
      <c r="D8364" s="8" t="s">
        <v>241</v>
      </c>
      <c r="E8364" s="8" t="s">
        <v>258</v>
      </c>
      <c r="F8364" s="9">
        <f>DATE(2025,6,2)</f>
        <v>45810</v>
      </c>
      <c r="G8364" s="10">
        <f t="shared" si="754"/>
        <v>6</v>
      </c>
      <c r="H8364" s="10">
        <f t="shared" si="755"/>
        <v>2025</v>
      </c>
      <c r="I8364" s="8" t="s">
        <v>4</v>
      </c>
      <c r="J8364" s="7" t="s">
        <v>8835</v>
      </c>
      <c r="K8364" s="8" t="s">
        <v>3458</v>
      </c>
      <c r="L8364" s="8" t="s">
        <v>3459</v>
      </c>
      <c r="M8364" s="8" t="s">
        <v>119</v>
      </c>
      <c r="N8364" s="10" t="str">
        <f t="shared" si="756"/>
        <v>TON</v>
      </c>
      <c r="O8364" s="11">
        <v>2.2675000000000001</v>
      </c>
    </row>
    <row r="8365" spans="2:15" x14ac:dyDescent="0.25">
      <c r="B8365" s="6" t="s">
        <v>1520</v>
      </c>
      <c r="C8365" s="7" t="s">
        <v>196</v>
      </c>
      <c r="D8365" s="8" t="s">
        <v>241</v>
      </c>
      <c r="E8365" s="8" t="s">
        <v>258</v>
      </c>
      <c r="F8365" s="9">
        <f>DATE(2025,6,10)</f>
        <v>45818</v>
      </c>
      <c r="G8365" s="10">
        <f t="shared" si="754"/>
        <v>6</v>
      </c>
      <c r="H8365" s="10">
        <f t="shared" si="755"/>
        <v>2025</v>
      </c>
      <c r="I8365" s="8" t="s">
        <v>4</v>
      </c>
      <c r="J8365" s="7" t="s">
        <v>8836</v>
      </c>
      <c r="K8365" s="8" t="s">
        <v>3458</v>
      </c>
      <c r="L8365" s="8" t="s">
        <v>3459</v>
      </c>
      <c r="M8365" s="8" t="s">
        <v>119</v>
      </c>
      <c r="N8365" s="10" t="str">
        <f t="shared" si="756"/>
        <v>TON</v>
      </c>
      <c r="O8365" s="11">
        <v>2.25</v>
      </c>
    </row>
    <row r="8366" spans="2:15" x14ac:dyDescent="0.25">
      <c r="B8366" s="6" t="s">
        <v>1520</v>
      </c>
      <c r="C8366" s="7" t="s">
        <v>196</v>
      </c>
      <c r="D8366" s="8" t="s">
        <v>241</v>
      </c>
      <c r="E8366" s="8" t="s">
        <v>258</v>
      </c>
      <c r="F8366" s="9">
        <f>DATE(2025,6,18)</f>
        <v>45826</v>
      </c>
      <c r="G8366" s="10">
        <f t="shared" si="754"/>
        <v>6</v>
      </c>
      <c r="H8366" s="10">
        <f t="shared" si="755"/>
        <v>2025</v>
      </c>
      <c r="I8366" s="8" t="s">
        <v>4</v>
      </c>
      <c r="J8366" s="7" t="s">
        <v>8837</v>
      </c>
      <c r="K8366" s="8" t="s">
        <v>3458</v>
      </c>
      <c r="L8366" s="8" t="s">
        <v>3459</v>
      </c>
      <c r="M8366" s="8" t="s">
        <v>119</v>
      </c>
      <c r="N8366" s="10" t="str">
        <f t="shared" si="756"/>
        <v>TON</v>
      </c>
      <c r="O8366" s="11">
        <v>2.2549999999999999</v>
      </c>
    </row>
    <row r="8367" spans="2:15" x14ac:dyDescent="0.25">
      <c r="B8367" s="6" t="s">
        <v>1520</v>
      </c>
      <c r="C8367" s="7" t="s">
        <v>196</v>
      </c>
      <c r="D8367" s="8" t="s">
        <v>294</v>
      </c>
      <c r="E8367" s="8" t="s">
        <v>295</v>
      </c>
      <c r="F8367" s="9">
        <f>DATE(2025,6,6)</f>
        <v>45814</v>
      </c>
      <c r="G8367" s="10">
        <f t="shared" si="754"/>
        <v>6</v>
      </c>
      <c r="H8367" s="10">
        <f t="shared" si="755"/>
        <v>2025</v>
      </c>
      <c r="I8367" s="8" t="s">
        <v>4</v>
      </c>
      <c r="J8367" s="7" t="s">
        <v>8838</v>
      </c>
      <c r="K8367" s="8" t="s">
        <v>122</v>
      </c>
      <c r="L8367" s="8" t="s">
        <v>123</v>
      </c>
      <c r="M8367" s="8" t="s">
        <v>119</v>
      </c>
      <c r="N8367" s="10" t="str">
        <f t="shared" si="756"/>
        <v>TON</v>
      </c>
      <c r="O8367" s="11">
        <v>7.49</v>
      </c>
    </row>
    <row r="8368" spans="2:15" x14ac:dyDescent="0.25">
      <c r="B8368" s="6" t="s">
        <v>1520</v>
      </c>
      <c r="C8368" s="7" t="s">
        <v>196</v>
      </c>
      <c r="D8368" s="8" t="s">
        <v>3764</v>
      </c>
      <c r="E8368" s="8" t="s">
        <v>3797</v>
      </c>
      <c r="F8368" s="9">
        <f>DATE(2025,6,4)</f>
        <v>45812</v>
      </c>
      <c r="G8368" s="10">
        <f t="shared" si="754"/>
        <v>6</v>
      </c>
      <c r="H8368" s="10">
        <f t="shared" si="755"/>
        <v>2025</v>
      </c>
      <c r="I8368" s="8" t="s">
        <v>4</v>
      </c>
      <c r="J8368" s="7" t="s">
        <v>8839</v>
      </c>
      <c r="K8368" s="8" t="s">
        <v>8840</v>
      </c>
      <c r="L8368" s="8" t="s">
        <v>8841</v>
      </c>
      <c r="M8368" s="8" t="s">
        <v>119</v>
      </c>
      <c r="N8368" s="10" t="str">
        <f t="shared" si="756"/>
        <v>TON</v>
      </c>
      <c r="O8368" s="11">
        <v>1.2524999999999999</v>
      </c>
    </row>
    <row r="8369" spans="2:15" x14ac:dyDescent="0.25">
      <c r="B8369" s="6" t="s">
        <v>1520</v>
      </c>
      <c r="C8369" s="7" t="s">
        <v>196</v>
      </c>
      <c r="D8369" s="8" t="s">
        <v>210</v>
      </c>
      <c r="E8369" s="8" t="s">
        <v>827</v>
      </c>
      <c r="F8369" s="9">
        <f>DATE(2025,6,19)</f>
        <v>45827</v>
      </c>
      <c r="G8369" s="10">
        <f t="shared" si="754"/>
        <v>6</v>
      </c>
      <c r="H8369" s="10">
        <f t="shared" si="755"/>
        <v>2025</v>
      </c>
      <c r="I8369" s="8" t="s">
        <v>4</v>
      </c>
      <c r="J8369" s="7" t="s">
        <v>8842</v>
      </c>
      <c r="K8369" s="8" t="s">
        <v>351</v>
      </c>
      <c r="L8369" s="8" t="s">
        <v>352</v>
      </c>
      <c r="M8369" s="8" t="s">
        <v>119</v>
      </c>
      <c r="N8369" s="10" t="str">
        <f t="shared" si="756"/>
        <v>TON</v>
      </c>
      <c r="O8369" s="11">
        <v>10.0025</v>
      </c>
    </row>
    <row r="8370" spans="2:15" x14ac:dyDescent="0.25">
      <c r="B8370" s="6" t="s">
        <v>1520</v>
      </c>
      <c r="C8370" s="7" t="s">
        <v>196</v>
      </c>
      <c r="D8370" s="8" t="s">
        <v>253</v>
      </c>
      <c r="E8370" s="8" t="s">
        <v>922</v>
      </c>
      <c r="F8370" s="9">
        <f>DATE(2025,6,13)</f>
        <v>45821</v>
      </c>
      <c r="G8370" s="10">
        <f t="shared" si="754"/>
        <v>6</v>
      </c>
      <c r="H8370" s="10">
        <f t="shared" si="755"/>
        <v>2025</v>
      </c>
      <c r="I8370" s="8" t="s">
        <v>4</v>
      </c>
      <c r="J8370" s="7" t="s">
        <v>8843</v>
      </c>
      <c r="K8370" s="8" t="s">
        <v>256</v>
      </c>
      <c r="L8370" s="8" t="s">
        <v>257</v>
      </c>
      <c r="M8370" s="8" t="s">
        <v>119</v>
      </c>
      <c r="N8370" s="10" t="str">
        <f t="shared" si="756"/>
        <v>TON</v>
      </c>
      <c r="O8370" s="11">
        <v>2.5</v>
      </c>
    </row>
    <row r="8371" spans="2:15" x14ac:dyDescent="0.25">
      <c r="B8371" s="6" t="s">
        <v>1520</v>
      </c>
      <c r="C8371" s="7" t="s">
        <v>196</v>
      </c>
      <c r="D8371" s="8" t="s">
        <v>837</v>
      </c>
      <c r="E8371" s="8" t="s">
        <v>102</v>
      </c>
      <c r="F8371" s="9">
        <f>DATE(2025,6,30)</f>
        <v>45838</v>
      </c>
      <c r="G8371" s="10">
        <f t="shared" ref="G8371:G8429" si="757">+MONTH(F8371)</f>
        <v>6</v>
      </c>
      <c r="H8371" s="10">
        <f t="shared" ref="H8371:H8429" si="758">+YEAR(F8371)</f>
        <v>2025</v>
      </c>
      <c r="I8371" s="8" t="s">
        <v>4</v>
      </c>
      <c r="J8371" s="7" t="s">
        <v>8844</v>
      </c>
      <c r="K8371" s="8" t="s">
        <v>268</v>
      </c>
      <c r="L8371" s="8" t="s">
        <v>269</v>
      </c>
      <c r="M8371" s="8" t="s">
        <v>119</v>
      </c>
      <c r="N8371" s="10" t="str">
        <f t="shared" ref="N8371:N8429" si="759">+LEFT(M8371,3)</f>
        <v>TON</v>
      </c>
      <c r="O8371" s="11">
        <v>0.15</v>
      </c>
    </row>
    <row r="8372" spans="2:15" x14ac:dyDescent="0.25">
      <c r="B8372" s="6" t="s">
        <v>1520</v>
      </c>
      <c r="C8372" s="7" t="s">
        <v>196</v>
      </c>
      <c r="D8372" s="8" t="s">
        <v>888</v>
      </c>
      <c r="E8372" s="8" t="s">
        <v>888</v>
      </c>
      <c r="F8372" s="9">
        <f>DATE(2025,6,27)</f>
        <v>45835</v>
      </c>
      <c r="G8372" s="10">
        <f t="shared" si="757"/>
        <v>6</v>
      </c>
      <c r="H8372" s="10">
        <f t="shared" si="758"/>
        <v>2025</v>
      </c>
      <c r="I8372" s="8" t="s">
        <v>4</v>
      </c>
      <c r="J8372" s="7" t="s">
        <v>8845</v>
      </c>
      <c r="K8372" s="8" t="s">
        <v>268</v>
      </c>
      <c r="L8372" s="8" t="s">
        <v>269</v>
      </c>
      <c r="M8372" s="8" t="s">
        <v>119</v>
      </c>
      <c r="N8372" s="10" t="str">
        <f t="shared" si="759"/>
        <v>TON</v>
      </c>
      <c r="O8372" s="11">
        <v>0.3</v>
      </c>
    </row>
    <row r="8373" spans="2:15" x14ac:dyDescent="0.25">
      <c r="B8373" s="6" t="s">
        <v>1520</v>
      </c>
      <c r="C8373" s="7" t="s">
        <v>196</v>
      </c>
      <c r="D8373" s="8" t="s">
        <v>207</v>
      </c>
      <c r="E8373" s="8" t="s">
        <v>208</v>
      </c>
      <c r="F8373" s="9">
        <f>DATE(2025,6,5)</f>
        <v>45813</v>
      </c>
      <c r="G8373" s="10">
        <f t="shared" si="757"/>
        <v>6</v>
      </c>
      <c r="H8373" s="10">
        <f t="shared" si="758"/>
        <v>2025</v>
      </c>
      <c r="I8373" s="8" t="s">
        <v>4</v>
      </c>
      <c r="J8373" s="7" t="s">
        <v>8846</v>
      </c>
      <c r="K8373" s="8" t="s">
        <v>205</v>
      </c>
      <c r="L8373" s="8" t="s">
        <v>206</v>
      </c>
      <c r="M8373" s="8" t="s">
        <v>119</v>
      </c>
      <c r="N8373" s="10" t="str">
        <f t="shared" si="759"/>
        <v>TON</v>
      </c>
      <c r="O8373" s="11">
        <v>3.7524999999999999</v>
      </c>
    </row>
    <row r="8374" spans="2:15" x14ac:dyDescent="0.25">
      <c r="B8374" s="6" t="s">
        <v>1520</v>
      </c>
      <c r="C8374" s="7" t="s">
        <v>196</v>
      </c>
      <c r="D8374" s="8" t="s">
        <v>663</v>
      </c>
      <c r="E8374" s="8" t="s">
        <v>8832</v>
      </c>
      <c r="F8374" s="9">
        <f>DATE(2025,6,2)</f>
        <v>45810</v>
      </c>
      <c r="G8374" s="10">
        <f t="shared" si="757"/>
        <v>6</v>
      </c>
      <c r="H8374" s="10">
        <f t="shared" si="758"/>
        <v>2025</v>
      </c>
      <c r="I8374" s="8" t="s">
        <v>4</v>
      </c>
      <c r="J8374" s="7" t="s">
        <v>8847</v>
      </c>
      <c r="K8374" s="8" t="s">
        <v>384</v>
      </c>
      <c r="L8374" s="8" t="s">
        <v>385</v>
      </c>
      <c r="M8374" s="8" t="s">
        <v>119</v>
      </c>
      <c r="N8374" s="10" t="str">
        <f t="shared" si="759"/>
        <v>TON</v>
      </c>
      <c r="O8374" s="11">
        <v>1</v>
      </c>
    </row>
    <row r="8375" spans="2:15" x14ac:dyDescent="0.25">
      <c r="B8375" s="6" t="s">
        <v>1520</v>
      </c>
      <c r="C8375" s="7" t="s">
        <v>196</v>
      </c>
      <c r="D8375" s="8" t="s">
        <v>663</v>
      </c>
      <c r="E8375" s="8" t="s">
        <v>2660</v>
      </c>
      <c r="F8375" s="9">
        <f>DATE(2025,6,20)</f>
        <v>45828</v>
      </c>
      <c r="G8375" s="10">
        <f t="shared" si="757"/>
        <v>6</v>
      </c>
      <c r="H8375" s="10">
        <f t="shared" si="758"/>
        <v>2025</v>
      </c>
      <c r="I8375" s="8" t="s">
        <v>4</v>
      </c>
      <c r="J8375" s="7" t="s">
        <v>8848</v>
      </c>
      <c r="K8375" s="8" t="s">
        <v>384</v>
      </c>
      <c r="L8375" s="8" t="s">
        <v>385</v>
      </c>
      <c r="M8375" s="8" t="s">
        <v>119</v>
      </c>
      <c r="N8375" s="10" t="str">
        <f t="shared" si="759"/>
        <v>TON</v>
      </c>
      <c r="O8375" s="11">
        <v>1.5</v>
      </c>
    </row>
    <row r="8376" spans="2:15" x14ac:dyDescent="0.25">
      <c r="B8376" s="6" t="s">
        <v>1520</v>
      </c>
      <c r="C8376" s="7" t="s">
        <v>196</v>
      </c>
      <c r="D8376" s="8" t="s">
        <v>663</v>
      </c>
      <c r="E8376" s="8" t="s">
        <v>2660</v>
      </c>
      <c r="F8376" s="9">
        <f>DATE(2025,6,20)</f>
        <v>45828</v>
      </c>
      <c r="G8376" s="10">
        <f t="shared" si="757"/>
        <v>6</v>
      </c>
      <c r="H8376" s="10">
        <f t="shared" si="758"/>
        <v>2025</v>
      </c>
      <c r="I8376" s="8" t="s">
        <v>4</v>
      </c>
      <c r="J8376" s="7" t="s">
        <v>8830</v>
      </c>
      <c r="K8376" s="8" t="s">
        <v>5808</v>
      </c>
      <c r="L8376" s="8" t="s">
        <v>538</v>
      </c>
      <c r="M8376" s="8" t="s">
        <v>4243</v>
      </c>
      <c r="N8376" s="10" t="str">
        <f t="shared" si="759"/>
        <v>GAL</v>
      </c>
      <c r="O8376" s="11">
        <v>30</v>
      </c>
    </row>
    <row r="8377" spans="2:15" x14ac:dyDescent="0.25">
      <c r="B8377" s="6" t="s">
        <v>382</v>
      </c>
      <c r="C8377" s="7" t="s">
        <v>506</v>
      </c>
      <c r="D8377" s="8" t="s">
        <v>995</v>
      </c>
      <c r="E8377" s="8" t="s">
        <v>4496</v>
      </c>
      <c r="F8377" s="9">
        <f>DATE(2025,6,19)</f>
        <v>45827</v>
      </c>
      <c r="G8377" s="10">
        <f t="shared" si="757"/>
        <v>6</v>
      </c>
      <c r="H8377" s="10">
        <f t="shared" si="758"/>
        <v>2025</v>
      </c>
      <c r="I8377" s="8" t="s">
        <v>4</v>
      </c>
      <c r="J8377" s="7" t="s">
        <v>8849</v>
      </c>
      <c r="K8377" s="8" t="s">
        <v>4498</v>
      </c>
      <c r="L8377" s="8" t="s">
        <v>4499</v>
      </c>
      <c r="M8377" s="8" t="s">
        <v>2565</v>
      </c>
      <c r="N8377" s="10" t="str">
        <f t="shared" si="759"/>
        <v>GAL</v>
      </c>
      <c r="O8377" s="11">
        <v>250</v>
      </c>
    </row>
    <row r="8378" spans="2:15" x14ac:dyDescent="0.25">
      <c r="B8378" s="6" t="s">
        <v>382</v>
      </c>
      <c r="C8378" s="7" t="s">
        <v>506</v>
      </c>
      <c r="D8378" s="8" t="s">
        <v>521</v>
      </c>
      <c r="E8378" s="8" t="s">
        <v>522</v>
      </c>
      <c r="F8378" s="9">
        <f>DATE(2025,6,18)</f>
        <v>45826</v>
      </c>
      <c r="G8378" s="10">
        <f t="shared" si="757"/>
        <v>6</v>
      </c>
      <c r="H8378" s="10">
        <f t="shared" si="758"/>
        <v>2025</v>
      </c>
      <c r="I8378" s="8" t="s">
        <v>4</v>
      </c>
      <c r="J8378" s="7" t="s">
        <v>8850</v>
      </c>
      <c r="K8378" s="8" t="s">
        <v>1395</v>
      </c>
      <c r="L8378" s="8" t="s">
        <v>1396</v>
      </c>
      <c r="M8378" s="8" t="s">
        <v>1397</v>
      </c>
      <c r="N8378" s="10" t="str">
        <f t="shared" si="759"/>
        <v>GAL</v>
      </c>
      <c r="O8378" s="11">
        <v>360</v>
      </c>
    </row>
    <row r="8379" spans="2:15" x14ac:dyDescent="0.25">
      <c r="B8379" s="6" t="s">
        <v>382</v>
      </c>
      <c r="C8379" s="7" t="s">
        <v>506</v>
      </c>
      <c r="D8379" s="8" t="s">
        <v>521</v>
      </c>
      <c r="E8379" s="8" t="s">
        <v>522</v>
      </c>
      <c r="F8379" s="9">
        <f>DATE(2025,6,18)</f>
        <v>45826</v>
      </c>
      <c r="G8379" s="10">
        <f t="shared" si="757"/>
        <v>6</v>
      </c>
      <c r="H8379" s="10">
        <f t="shared" si="758"/>
        <v>2025</v>
      </c>
      <c r="I8379" s="8" t="s">
        <v>4</v>
      </c>
      <c r="J8379" s="7" t="s">
        <v>8850</v>
      </c>
      <c r="K8379" s="8" t="s">
        <v>5684</v>
      </c>
      <c r="L8379" s="8" t="s">
        <v>1267</v>
      </c>
      <c r="M8379" s="8" t="s">
        <v>191</v>
      </c>
      <c r="N8379" s="10" t="str">
        <f t="shared" si="759"/>
        <v>GAL</v>
      </c>
      <c r="O8379" s="11">
        <v>120</v>
      </c>
    </row>
    <row r="8380" spans="2:15" x14ac:dyDescent="0.25">
      <c r="B8380" s="6" t="s">
        <v>382</v>
      </c>
      <c r="C8380" s="7" t="s">
        <v>506</v>
      </c>
      <c r="D8380" s="8" t="s">
        <v>515</v>
      </c>
      <c r="E8380" s="8" t="s">
        <v>516</v>
      </c>
      <c r="F8380" s="9">
        <f>DATE(2025,6,25)</f>
        <v>45833</v>
      </c>
      <c r="G8380" s="10">
        <f t="shared" si="757"/>
        <v>6</v>
      </c>
      <c r="H8380" s="10">
        <f t="shared" si="758"/>
        <v>2025</v>
      </c>
      <c r="I8380" s="8" t="s">
        <v>4</v>
      </c>
      <c r="J8380" s="7" t="s">
        <v>8851</v>
      </c>
      <c r="K8380" s="8" t="s">
        <v>642</v>
      </c>
      <c r="L8380" s="8" t="s">
        <v>111</v>
      </c>
      <c r="M8380" s="8" t="s">
        <v>112</v>
      </c>
      <c r="N8380" s="10" t="str">
        <f t="shared" si="759"/>
        <v>GAL</v>
      </c>
      <c r="O8380" s="11">
        <v>180</v>
      </c>
    </row>
    <row r="8381" spans="2:15" x14ac:dyDescent="0.25">
      <c r="B8381" s="6" t="s">
        <v>382</v>
      </c>
      <c r="C8381" s="7" t="s">
        <v>506</v>
      </c>
      <c r="D8381" s="8" t="s">
        <v>515</v>
      </c>
      <c r="E8381" s="8" t="s">
        <v>516</v>
      </c>
      <c r="F8381" s="9">
        <f>DATE(2025,6,4)</f>
        <v>45812</v>
      </c>
      <c r="G8381" s="10">
        <f t="shared" si="757"/>
        <v>6</v>
      </c>
      <c r="H8381" s="10">
        <f t="shared" si="758"/>
        <v>2025</v>
      </c>
      <c r="I8381" s="8" t="s">
        <v>4</v>
      </c>
      <c r="J8381" s="7" t="s">
        <v>8852</v>
      </c>
      <c r="K8381" s="8" t="s">
        <v>1014</v>
      </c>
      <c r="L8381" s="8" t="s">
        <v>472</v>
      </c>
      <c r="M8381" s="8" t="s">
        <v>473</v>
      </c>
      <c r="N8381" s="10" t="str">
        <f t="shared" si="759"/>
        <v>GAL</v>
      </c>
      <c r="O8381" s="11">
        <v>180</v>
      </c>
    </row>
    <row r="8382" spans="2:15" x14ac:dyDescent="0.25">
      <c r="B8382" s="6" t="s">
        <v>382</v>
      </c>
      <c r="C8382" s="7" t="s">
        <v>506</v>
      </c>
      <c r="D8382" s="8" t="s">
        <v>146</v>
      </c>
      <c r="E8382" s="8" t="s">
        <v>8853</v>
      </c>
      <c r="F8382" s="9">
        <f>DATE(2025,6,23)</f>
        <v>45831</v>
      </c>
      <c r="G8382" s="10">
        <f t="shared" si="757"/>
        <v>6</v>
      </c>
      <c r="H8382" s="10">
        <f t="shared" si="758"/>
        <v>2025</v>
      </c>
      <c r="I8382" s="8" t="s">
        <v>4</v>
      </c>
      <c r="J8382" s="7" t="s">
        <v>8854</v>
      </c>
      <c r="K8382" s="8" t="s">
        <v>609</v>
      </c>
      <c r="L8382" s="8" t="s">
        <v>610</v>
      </c>
      <c r="M8382" s="8" t="s">
        <v>611</v>
      </c>
      <c r="N8382" s="10" t="str">
        <f t="shared" si="759"/>
        <v>GAL</v>
      </c>
      <c r="O8382" s="11">
        <v>5</v>
      </c>
    </row>
    <row r="8383" spans="2:15" x14ac:dyDescent="0.25">
      <c r="B8383" s="6" t="s">
        <v>782</v>
      </c>
      <c r="C8383" s="7" t="s">
        <v>1018</v>
      </c>
      <c r="D8383" s="8" t="s">
        <v>2448</v>
      </c>
      <c r="E8383" s="8" t="s">
        <v>3040</v>
      </c>
      <c r="F8383" s="9">
        <f>DATE(2025,6,9)</f>
        <v>45817</v>
      </c>
      <c r="G8383" s="10">
        <f t="shared" si="757"/>
        <v>6</v>
      </c>
      <c r="H8383" s="10">
        <f t="shared" si="758"/>
        <v>2025</v>
      </c>
      <c r="I8383" s="8" t="s">
        <v>4</v>
      </c>
      <c r="J8383" s="7" t="s">
        <v>8855</v>
      </c>
      <c r="K8383" s="8" t="s">
        <v>560</v>
      </c>
      <c r="L8383" s="8" t="s">
        <v>602</v>
      </c>
      <c r="M8383" s="8" t="s">
        <v>41</v>
      </c>
      <c r="N8383" s="10" t="str">
        <f t="shared" si="759"/>
        <v>GAL</v>
      </c>
      <c r="O8383" s="11">
        <v>250</v>
      </c>
    </row>
    <row r="8384" spans="2:15" x14ac:dyDescent="0.25">
      <c r="B8384" s="6" t="s">
        <v>782</v>
      </c>
      <c r="C8384" s="7" t="s">
        <v>1018</v>
      </c>
      <c r="D8384" s="8" t="s">
        <v>3198</v>
      </c>
      <c r="E8384" s="8" t="s">
        <v>3337</v>
      </c>
      <c r="F8384" s="9">
        <f>DATE(2025,6,11)</f>
        <v>45819</v>
      </c>
      <c r="G8384" s="10">
        <f t="shared" si="757"/>
        <v>6</v>
      </c>
      <c r="H8384" s="10">
        <f t="shared" si="758"/>
        <v>2025</v>
      </c>
      <c r="I8384" s="8" t="s">
        <v>4</v>
      </c>
      <c r="J8384" s="7" t="s">
        <v>8856</v>
      </c>
      <c r="K8384" s="8" t="s">
        <v>171</v>
      </c>
      <c r="L8384" s="8" t="s">
        <v>8857</v>
      </c>
      <c r="M8384" s="8" t="s">
        <v>27</v>
      </c>
      <c r="N8384" s="10" t="str">
        <f t="shared" si="759"/>
        <v>GAL</v>
      </c>
      <c r="O8384" s="11">
        <v>180</v>
      </c>
    </row>
    <row r="8385" spans="2:15" x14ac:dyDescent="0.25">
      <c r="B8385" s="6" t="s">
        <v>8502</v>
      </c>
      <c r="C8385" s="7" t="s">
        <v>1025</v>
      </c>
      <c r="D8385" s="8" t="s">
        <v>628</v>
      </c>
      <c r="E8385" s="8" t="s">
        <v>3046</v>
      </c>
      <c r="F8385" s="9">
        <f>DATE(2025,6,13)</f>
        <v>45821</v>
      </c>
      <c r="G8385" s="10">
        <f t="shared" si="757"/>
        <v>6</v>
      </c>
      <c r="H8385" s="10">
        <f t="shared" si="758"/>
        <v>2025</v>
      </c>
      <c r="I8385" s="8" t="s">
        <v>4</v>
      </c>
      <c r="J8385" s="7" t="s">
        <v>8858</v>
      </c>
      <c r="K8385" s="8" t="s">
        <v>8706</v>
      </c>
      <c r="L8385" s="8" t="s">
        <v>8707</v>
      </c>
      <c r="M8385" s="8" t="s">
        <v>2455</v>
      </c>
      <c r="N8385" s="10" t="str">
        <f t="shared" si="759"/>
        <v>GAL</v>
      </c>
      <c r="O8385" s="11">
        <v>540</v>
      </c>
    </row>
    <row r="8386" spans="2:15" x14ac:dyDescent="0.25">
      <c r="B8386" s="6" t="s">
        <v>8502</v>
      </c>
      <c r="C8386" s="7" t="s">
        <v>1025</v>
      </c>
      <c r="D8386" s="8" t="s">
        <v>628</v>
      </c>
      <c r="E8386" s="8" t="s">
        <v>3046</v>
      </c>
      <c r="F8386" s="9">
        <f>DATE(2025,6,24)</f>
        <v>45832</v>
      </c>
      <c r="G8386" s="10">
        <f t="shared" si="757"/>
        <v>6</v>
      </c>
      <c r="H8386" s="10">
        <f t="shared" si="758"/>
        <v>2025</v>
      </c>
      <c r="I8386" s="8" t="s">
        <v>4</v>
      </c>
      <c r="J8386" s="7" t="s">
        <v>8859</v>
      </c>
      <c r="K8386" s="8" t="s">
        <v>8706</v>
      </c>
      <c r="L8386" s="8" t="s">
        <v>8707</v>
      </c>
      <c r="M8386" s="8" t="s">
        <v>2455</v>
      </c>
      <c r="N8386" s="10" t="str">
        <f t="shared" si="759"/>
        <v>GAL</v>
      </c>
      <c r="O8386" s="11">
        <v>360</v>
      </c>
    </row>
    <row r="8387" spans="2:15" x14ac:dyDescent="0.25">
      <c r="B8387" s="6" t="s">
        <v>645</v>
      </c>
      <c r="C8387" s="7" t="s">
        <v>1025</v>
      </c>
      <c r="D8387" s="8" t="s">
        <v>2092</v>
      </c>
      <c r="E8387" s="8" t="s">
        <v>2093</v>
      </c>
      <c r="F8387" s="9">
        <f>DATE(2025,6,17)</f>
        <v>45825</v>
      </c>
      <c r="G8387" s="10">
        <f t="shared" si="757"/>
        <v>6</v>
      </c>
      <c r="H8387" s="10">
        <f t="shared" si="758"/>
        <v>2025</v>
      </c>
      <c r="I8387" s="8" t="s">
        <v>4</v>
      </c>
      <c r="J8387" s="7" t="s">
        <v>8860</v>
      </c>
      <c r="K8387" s="8" t="s">
        <v>2095</v>
      </c>
      <c r="L8387" s="8" t="s">
        <v>2096</v>
      </c>
      <c r="M8387" s="8" t="s">
        <v>119</v>
      </c>
      <c r="N8387" s="10" t="str">
        <f t="shared" si="759"/>
        <v>TON</v>
      </c>
      <c r="O8387" s="11">
        <v>15.065</v>
      </c>
    </row>
    <row r="8388" spans="2:15" x14ac:dyDescent="0.25">
      <c r="B8388" s="6" t="s">
        <v>645</v>
      </c>
      <c r="C8388" s="7" t="s">
        <v>1025</v>
      </c>
      <c r="D8388" s="8" t="s">
        <v>496</v>
      </c>
      <c r="E8388" s="8" t="s">
        <v>497</v>
      </c>
      <c r="F8388" s="9">
        <f>DATE(2025,6,18)</f>
        <v>45826</v>
      </c>
      <c r="G8388" s="10">
        <f t="shared" si="757"/>
        <v>6</v>
      </c>
      <c r="H8388" s="10">
        <f t="shared" si="758"/>
        <v>2025</v>
      </c>
      <c r="I8388" s="8" t="s">
        <v>4</v>
      </c>
      <c r="J8388" s="7" t="s">
        <v>8861</v>
      </c>
      <c r="K8388" s="8" t="s">
        <v>499</v>
      </c>
      <c r="L8388" s="8" t="s">
        <v>500</v>
      </c>
      <c r="M8388" s="8" t="s">
        <v>119</v>
      </c>
      <c r="N8388" s="10" t="str">
        <f t="shared" si="759"/>
        <v>TON</v>
      </c>
      <c r="O8388" s="11">
        <v>2.5</v>
      </c>
    </row>
    <row r="8389" spans="2:15" x14ac:dyDescent="0.25">
      <c r="B8389" s="6" t="s">
        <v>645</v>
      </c>
      <c r="C8389" s="7" t="s">
        <v>1025</v>
      </c>
      <c r="D8389" s="8" t="s">
        <v>1401</v>
      </c>
      <c r="E8389" s="8" t="s">
        <v>1402</v>
      </c>
      <c r="F8389" s="9">
        <f>DATE(2025,6,26)</f>
        <v>45834</v>
      </c>
      <c r="G8389" s="10">
        <f t="shared" si="757"/>
        <v>6</v>
      </c>
      <c r="H8389" s="10">
        <f t="shared" si="758"/>
        <v>2025</v>
      </c>
      <c r="I8389" s="8" t="s">
        <v>4</v>
      </c>
      <c r="J8389" s="7" t="s">
        <v>8862</v>
      </c>
      <c r="K8389" s="8" t="s">
        <v>2083</v>
      </c>
      <c r="L8389" s="8" t="s">
        <v>2084</v>
      </c>
      <c r="M8389" s="8" t="s">
        <v>119</v>
      </c>
      <c r="N8389" s="10" t="str">
        <f t="shared" si="759"/>
        <v>TON</v>
      </c>
      <c r="O8389" s="11">
        <v>1.2649999999999999</v>
      </c>
    </row>
    <row r="8390" spans="2:15" x14ac:dyDescent="0.25">
      <c r="B8390" s="6" t="s">
        <v>1410</v>
      </c>
      <c r="C8390" s="7" t="s">
        <v>525</v>
      </c>
      <c r="D8390" s="8" t="s">
        <v>628</v>
      </c>
      <c r="E8390" s="8" t="s">
        <v>1036</v>
      </c>
      <c r="F8390" s="9">
        <f>DATE(2025,6,20)</f>
        <v>45828</v>
      </c>
      <c r="G8390" s="10">
        <f t="shared" si="757"/>
        <v>6</v>
      </c>
      <c r="H8390" s="10">
        <f t="shared" si="758"/>
        <v>2025</v>
      </c>
      <c r="I8390" s="8" t="s">
        <v>4</v>
      </c>
      <c r="J8390" s="7" t="s">
        <v>8863</v>
      </c>
      <c r="K8390" s="8" t="s">
        <v>164</v>
      </c>
      <c r="L8390" s="8" t="s">
        <v>165</v>
      </c>
      <c r="M8390" s="8" t="s">
        <v>166</v>
      </c>
      <c r="N8390" s="10" t="str">
        <f t="shared" si="759"/>
        <v>GAL</v>
      </c>
      <c r="O8390" s="11">
        <v>60</v>
      </c>
    </row>
    <row r="8391" spans="2:15" x14ac:dyDescent="0.25">
      <c r="B8391" s="6" t="s">
        <v>1410</v>
      </c>
      <c r="C8391" s="7" t="s">
        <v>525</v>
      </c>
      <c r="D8391" s="8" t="s">
        <v>1956</v>
      </c>
      <c r="E8391" s="8" t="s">
        <v>102</v>
      </c>
      <c r="F8391" s="9">
        <f>DATE(2025,6,5)</f>
        <v>45813</v>
      </c>
      <c r="G8391" s="10">
        <f t="shared" si="757"/>
        <v>6</v>
      </c>
      <c r="H8391" s="10">
        <f t="shared" si="758"/>
        <v>2025</v>
      </c>
      <c r="I8391" s="8" t="s">
        <v>4</v>
      </c>
      <c r="J8391" s="7" t="s">
        <v>8864</v>
      </c>
      <c r="K8391" s="8" t="s">
        <v>268</v>
      </c>
      <c r="L8391" s="8" t="s">
        <v>269</v>
      </c>
      <c r="M8391" s="8" t="s">
        <v>119</v>
      </c>
      <c r="N8391" s="10" t="str">
        <f t="shared" si="759"/>
        <v>TON</v>
      </c>
      <c r="O8391" s="11">
        <v>0.15</v>
      </c>
    </row>
    <row r="8392" spans="2:15" x14ac:dyDescent="0.25">
      <c r="B8392" s="6" t="s">
        <v>645</v>
      </c>
      <c r="C8392" s="7" t="s">
        <v>533</v>
      </c>
      <c r="D8392" s="8" t="s">
        <v>557</v>
      </c>
      <c r="E8392" s="8" t="s">
        <v>2534</v>
      </c>
      <c r="F8392" s="9">
        <f>DATE(2025,6,2)</f>
        <v>45810</v>
      </c>
      <c r="G8392" s="10">
        <f t="shared" si="757"/>
        <v>6</v>
      </c>
      <c r="H8392" s="10">
        <f t="shared" si="758"/>
        <v>2025</v>
      </c>
      <c r="I8392" s="8" t="s">
        <v>4</v>
      </c>
      <c r="J8392" s="7" t="s">
        <v>8865</v>
      </c>
      <c r="K8392" s="8" t="s">
        <v>2536</v>
      </c>
      <c r="L8392" s="8" t="s">
        <v>2537</v>
      </c>
      <c r="M8392" s="8" t="s">
        <v>131</v>
      </c>
      <c r="N8392" s="10" t="str">
        <f t="shared" si="759"/>
        <v>GAL</v>
      </c>
      <c r="O8392" s="11">
        <v>2340</v>
      </c>
    </row>
    <row r="8393" spans="2:15" x14ac:dyDescent="0.25">
      <c r="B8393" s="6" t="s">
        <v>1050</v>
      </c>
      <c r="C8393" s="7" t="s">
        <v>533</v>
      </c>
      <c r="D8393" s="8" t="s">
        <v>557</v>
      </c>
      <c r="E8393" s="8" t="s">
        <v>8866</v>
      </c>
      <c r="F8393" s="9">
        <f>DATE(2025,6,18)</f>
        <v>45826</v>
      </c>
      <c r="G8393" s="10">
        <f t="shared" si="757"/>
        <v>6</v>
      </c>
      <c r="H8393" s="10">
        <f t="shared" si="758"/>
        <v>2025</v>
      </c>
      <c r="I8393" s="8" t="s">
        <v>4</v>
      </c>
      <c r="J8393" s="7" t="s">
        <v>8867</v>
      </c>
      <c r="K8393" s="8" t="s">
        <v>2536</v>
      </c>
      <c r="L8393" s="8" t="s">
        <v>2537</v>
      </c>
      <c r="M8393" s="8" t="s">
        <v>131</v>
      </c>
      <c r="N8393" s="10" t="str">
        <f t="shared" si="759"/>
        <v>GAL</v>
      </c>
      <c r="O8393" s="11">
        <v>540</v>
      </c>
    </row>
    <row r="8394" spans="2:15" x14ac:dyDescent="0.25">
      <c r="B8394" s="6" t="s">
        <v>1050</v>
      </c>
      <c r="C8394" s="7" t="s">
        <v>533</v>
      </c>
      <c r="D8394" s="8" t="s">
        <v>1047</v>
      </c>
      <c r="E8394" s="8" t="s">
        <v>8868</v>
      </c>
      <c r="F8394" s="9">
        <f>DATE(2025,6,30)</f>
        <v>45838</v>
      </c>
      <c r="G8394" s="10">
        <f t="shared" si="757"/>
        <v>6</v>
      </c>
      <c r="H8394" s="10">
        <f t="shared" si="758"/>
        <v>2025</v>
      </c>
      <c r="I8394" s="8" t="s">
        <v>4</v>
      </c>
      <c r="J8394" s="7" t="s">
        <v>8869</v>
      </c>
      <c r="K8394" s="8" t="s">
        <v>2556</v>
      </c>
      <c r="L8394" s="8" t="s">
        <v>2557</v>
      </c>
      <c r="M8394" s="8" t="s">
        <v>5714</v>
      </c>
      <c r="N8394" s="10" t="str">
        <f t="shared" si="759"/>
        <v>GAL</v>
      </c>
      <c r="O8394" s="11">
        <v>5</v>
      </c>
    </row>
    <row r="8395" spans="2:15" x14ac:dyDescent="0.25">
      <c r="B8395" s="6" t="s">
        <v>1050</v>
      </c>
      <c r="C8395" s="7" t="s">
        <v>533</v>
      </c>
      <c r="D8395" s="8" t="s">
        <v>1047</v>
      </c>
      <c r="E8395" s="8" t="s">
        <v>3223</v>
      </c>
      <c r="F8395" s="9">
        <f>DATE(2025,6,12)</f>
        <v>45820</v>
      </c>
      <c r="G8395" s="10">
        <f t="shared" si="757"/>
        <v>6</v>
      </c>
      <c r="H8395" s="10">
        <f t="shared" si="758"/>
        <v>2025</v>
      </c>
      <c r="I8395" s="8" t="s">
        <v>4</v>
      </c>
      <c r="J8395" s="7" t="s">
        <v>8870</v>
      </c>
      <c r="K8395" s="8" t="s">
        <v>1470</v>
      </c>
      <c r="L8395" s="8" t="s">
        <v>2558</v>
      </c>
      <c r="M8395" s="8" t="s">
        <v>1472</v>
      </c>
      <c r="N8395" s="10" t="str">
        <f t="shared" si="759"/>
        <v>GAL</v>
      </c>
      <c r="O8395" s="11">
        <v>55</v>
      </c>
    </row>
    <row r="8396" spans="2:15" x14ac:dyDescent="0.25">
      <c r="B8396" s="6" t="s">
        <v>645</v>
      </c>
      <c r="C8396" s="7" t="s">
        <v>533</v>
      </c>
      <c r="D8396" s="8" t="s">
        <v>3091</v>
      </c>
      <c r="E8396" s="8" t="s">
        <v>3092</v>
      </c>
      <c r="F8396" s="9">
        <f>DATE(2025,6,19)</f>
        <v>45827</v>
      </c>
      <c r="G8396" s="10">
        <f t="shared" si="757"/>
        <v>6</v>
      </c>
      <c r="H8396" s="10">
        <f t="shared" si="758"/>
        <v>2025</v>
      </c>
      <c r="I8396" s="8" t="s">
        <v>4</v>
      </c>
      <c r="J8396" s="7" t="s">
        <v>8871</v>
      </c>
      <c r="K8396" s="8" t="s">
        <v>25</v>
      </c>
      <c r="L8396" s="8" t="s">
        <v>541</v>
      </c>
      <c r="M8396" s="8" t="s">
        <v>27</v>
      </c>
      <c r="N8396" s="10" t="str">
        <f t="shared" si="759"/>
        <v>GAL</v>
      </c>
      <c r="O8396" s="11">
        <v>180</v>
      </c>
    </row>
    <row r="8397" spans="2:15" x14ac:dyDescent="0.25">
      <c r="B8397" s="6" t="s">
        <v>1050</v>
      </c>
      <c r="C8397" s="7" t="s">
        <v>533</v>
      </c>
      <c r="D8397" s="8" t="s">
        <v>1047</v>
      </c>
      <c r="E8397" s="8" t="s">
        <v>8868</v>
      </c>
      <c r="F8397" s="9">
        <f>DATE(2025,6,30)</f>
        <v>45838</v>
      </c>
      <c r="G8397" s="10">
        <f t="shared" si="757"/>
        <v>6</v>
      </c>
      <c r="H8397" s="10">
        <f t="shared" si="758"/>
        <v>2025</v>
      </c>
      <c r="I8397" s="8" t="s">
        <v>4</v>
      </c>
      <c r="J8397" s="7" t="s">
        <v>8869</v>
      </c>
      <c r="K8397" s="8" t="s">
        <v>2530</v>
      </c>
      <c r="L8397" s="8" t="s">
        <v>2531</v>
      </c>
      <c r="M8397" s="8" t="s">
        <v>2532</v>
      </c>
      <c r="N8397" s="10" t="str">
        <f t="shared" si="759"/>
        <v>GAL</v>
      </c>
      <c r="O8397" s="11">
        <v>10</v>
      </c>
    </row>
    <row r="8398" spans="2:15" x14ac:dyDescent="0.25">
      <c r="B8398" s="6" t="s">
        <v>1050</v>
      </c>
      <c r="C8398" s="7" t="s">
        <v>533</v>
      </c>
      <c r="D8398" s="8" t="s">
        <v>1047</v>
      </c>
      <c r="E8398" s="8" t="s">
        <v>6109</v>
      </c>
      <c r="F8398" s="9">
        <f>DATE(2025,6,30)</f>
        <v>45838</v>
      </c>
      <c r="G8398" s="10">
        <f t="shared" si="757"/>
        <v>6</v>
      </c>
      <c r="H8398" s="10">
        <f t="shared" si="758"/>
        <v>2025</v>
      </c>
      <c r="I8398" s="8" t="s">
        <v>4</v>
      </c>
      <c r="J8398" s="7" t="s">
        <v>8872</v>
      </c>
      <c r="K8398" s="8" t="s">
        <v>2530</v>
      </c>
      <c r="L8398" s="8" t="s">
        <v>2531</v>
      </c>
      <c r="M8398" s="8" t="s">
        <v>2532</v>
      </c>
      <c r="N8398" s="10" t="str">
        <f t="shared" si="759"/>
        <v>GAL</v>
      </c>
      <c r="O8398" s="11">
        <v>55</v>
      </c>
    </row>
    <row r="8399" spans="2:15" x14ac:dyDescent="0.25">
      <c r="B8399" s="6" t="s">
        <v>1050</v>
      </c>
      <c r="C8399" s="7" t="s">
        <v>533</v>
      </c>
      <c r="D8399" s="8" t="s">
        <v>628</v>
      </c>
      <c r="E8399" s="8" t="s">
        <v>2524</v>
      </c>
      <c r="F8399" s="9">
        <f>DATE(2025,6,9)</f>
        <v>45817</v>
      </c>
      <c r="G8399" s="10">
        <f t="shared" si="757"/>
        <v>6</v>
      </c>
      <c r="H8399" s="10">
        <f t="shared" si="758"/>
        <v>2025</v>
      </c>
      <c r="I8399" s="8" t="s">
        <v>4</v>
      </c>
      <c r="J8399" s="7" t="s">
        <v>8873</v>
      </c>
      <c r="K8399" s="8" t="s">
        <v>2553</v>
      </c>
      <c r="L8399" s="8" t="s">
        <v>2527</v>
      </c>
      <c r="M8399" s="8" t="s">
        <v>1448</v>
      </c>
      <c r="N8399" s="10" t="str">
        <f t="shared" si="759"/>
        <v>GAL</v>
      </c>
      <c r="O8399" s="11">
        <v>4000</v>
      </c>
    </row>
    <row r="8400" spans="2:15" x14ac:dyDescent="0.25">
      <c r="B8400" s="6" t="s">
        <v>1050</v>
      </c>
      <c r="C8400" s="7" t="s">
        <v>533</v>
      </c>
      <c r="D8400" s="8" t="s">
        <v>628</v>
      </c>
      <c r="E8400" s="8" t="s">
        <v>2145</v>
      </c>
      <c r="F8400" s="9">
        <f>DATE(2025,6,24)</f>
        <v>45832</v>
      </c>
      <c r="G8400" s="10">
        <f t="shared" si="757"/>
        <v>6</v>
      </c>
      <c r="H8400" s="10">
        <f t="shared" si="758"/>
        <v>2025</v>
      </c>
      <c r="I8400" s="8" t="s">
        <v>4</v>
      </c>
      <c r="J8400" s="7" t="s">
        <v>8874</v>
      </c>
      <c r="K8400" s="8" t="s">
        <v>2553</v>
      </c>
      <c r="L8400" s="8" t="s">
        <v>2527</v>
      </c>
      <c r="M8400" s="8" t="s">
        <v>1448</v>
      </c>
      <c r="N8400" s="10" t="str">
        <f t="shared" si="759"/>
        <v>GAL</v>
      </c>
      <c r="O8400" s="11">
        <v>4000</v>
      </c>
    </row>
    <row r="8401" spans="2:15" x14ac:dyDescent="0.25">
      <c r="B8401" s="6" t="s">
        <v>1050</v>
      </c>
      <c r="C8401" s="7" t="s">
        <v>533</v>
      </c>
      <c r="D8401" s="8" t="s">
        <v>2133</v>
      </c>
      <c r="E8401" s="8" t="s">
        <v>4296</v>
      </c>
      <c r="F8401" s="9">
        <f>DATE(2025,6,30)</f>
        <v>45838</v>
      </c>
      <c r="G8401" s="10">
        <f t="shared" si="757"/>
        <v>6</v>
      </c>
      <c r="H8401" s="10">
        <f t="shared" si="758"/>
        <v>2025</v>
      </c>
      <c r="I8401" s="8" t="s">
        <v>4</v>
      </c>
      <c r="J8401" s="7" t="s">
        <v>8875</v>
      </c>
      <c r="K8401" s="8" t="s">
        <v>33</v>
      </c>
      <c r="L8401" s="8" t="s">
        <v>2786</v>
      </c>
      <c r="M8401" s="8" t="s">
        <v>35</v>
      </c>
      <c r="N8401" s="10" t="str">
        <f t="shared" si="759"/>
        <v>GAL</v>
      </c>
      <c r="O8401" s="11">
        <v>180</v>
      </c>
    </row>
    <row r="8402" spans="2:15" x14ac:dyDescent="0.25">
      <c r="B8402" s="6" t="s">
        <v>3238</v>
      </c>
      <c r="C8402" s="7" t="s">
        <v>3239</v>
      </c>
      <c r="D8402" s="8" t="s">
        <v>3240</v>
      </c>
      <c r="E8402" s="8" t="s">
        <v>102</v>
      </c>
      <c r="F8402" s="9">
        <f>DATE(2025,6,2)</f>
        <v>45810</v>
      </c>
      <c r="G8402" s="10">
        <f t="shared" si="757"/>
        <v>6</v>
      </c>
      <c r="H8402" s="10">
        <f t="shared" si="758"/>
        <v>2025</v>
      </c>
      <c r="I8402" s="8" t="s">
        <v>4</v>
      </c>
      <c r="J8402" s="7" t="s">
        <v>8876</v>
      </c>
      <c r="K8402" s="8" t="s">
        <v>5469</v>
      </c>
      <c r="L8402" s="8" t="s">
        <v>5470</v>
      </c>
      <c r="M8402" s="8" t="s">
        <v>1046</v>
      </c>
      <c r="N8402" s="10" t="str">
        <f t="shared" si="759"/>
        <v>GAL</v>
      </c>
      <c r="O8402" s="11">
        <v>60</v>
      </c>
    </row>
    <row r="8403" spans="2:15" x14ac:dyDescent="0.25">
      <c r="B8403" s="6" t="s">
        <v>3238</v>
      </c>
      <c r="C8403" s="7" t="s">
        <v>3239</v>
      </c>
      <c r="D8403" s="8" t="s">
        <v>3240</v>
      </c>
      <c r="E8403" s="8" t="s">
        <v>102</v>
      </c>
      <c r="F8403" s="9">
        <f>DATE(2025,6,13)</f>
        <v>45821</v>
      </c>
      <c r="G8403" s="10">
        <f t="shared" si="757"/>
        <v>6</v>
      </c>
      <c r="H8403" s="10">
        <f t="shared" si="758"/>
        <v>2025</v>
      </c>
      <c r="I8403" s="8" t="s">
        <v>4</v>
      </c>
      <c r="J8403" s="7" t="s">
        <v>8877</v>
      </c>
      <c r="K8403" s="8" t="s">
        <v>6708</v>
      </c>
      <c r="L8403" s="8" t="s">
        <v>5978</v>
      </c>
      <c r="M8403" s="8" t="s">
        <v>3299</v>
      </c>
      <c r="N8403" s="10" t="str">
        <f t="shared" si="759"/>
        <v>GAL</v>
      </c>
      <c r="O8403" s="11">
        <v>60</v>
      </c>
    </row>
    <row r="8404" spans="2:15" x14ac:dyDescent="0.25">
      <c r="B8404" s="6" t="s">
        <v>3238</v>
      </c>
      <c r="C8404" s="7" t="s">
        <v>3239</v>
      </c>
      <c r="D8404" s="8" t="s">
        <v>3240</v>
      </c>
      <c r="E8404" s="8" t="s">
        <v>102</v>
      </c>
      <c r="F8404" s="9">
        <f>DATE(2025,6,2)</f>
        <v>45810</v>
      </c>
      <c r="G8404" s="10">
        <f t="shared" si="757"/>
        <v>6</v>
      </c>
      <c r="H8404" s="10">
        <f t="shared" si="758"/>
        <v>2025</v>
      </c>
      <c r="I8404" s="8" t="s">
        <v>4</v>
      </c>
      <c r="J8404" s="7" t="s">
        <v>8878</v>
      </c>
      <c r="K8404" s="8" t="s">
        <v>5994</v>
      </c>
      <c r="L8404" s="8" t="s">
        <v>5995</v>
      </c>
      <c r="M8404" s="8" t="s">
        <v>5996</v>
      </c>
      <c r="N8404" s="10" t="str">
        <f t="shared" si="759"/>
        <v>GAL</v>
      </c>
      <c r="O8404" s="11">
        <v>50</v>
      </c>
    </row>
    <row r="8405" spans="2:15" x14ac:dyDescent="0.25">
      <c r="B8405" s="6" t="s">
        <v>3238</v>
      </c>
      <c r="C8405" s="7" t="s">
        <v>3239</v>
      </c>
      <c r="D8405" s="8" t="s">
        <v>3240</v>
      </c>
      <c r="E8405" s="8" t="s">
        <v>3908</v>
      </c>
      <c r="F8405" s="9">
        <f>DATE(2025,6,25)</f>
        <v>45833</v>
      </c>
      <c r="G8405" s="10">
        <f t="shared" si="757"/>
        <v>6</v>
      </c>
      <c r="H8405" s="10">
        <f t="shared" si="758"/>
        <v>2025</v>
      </c>
      <c r="I8405" s="8" t="s">
        <v>4</v>
      </c>
      <c r="J8405" s="7" t="s">
        <v>8879</v>
      </c>
      <c r="K8405" s="8" t="s">
        <v>8880</v>
      </c>
      <c r="L8405" s="8" t="s">
        <v>8881</v>
      </c>
      <c r="M8405" s="8" t="s">
        <v>2631</v>
      </c>
      <c r="N8405" s="10" t="str">
        <f t="shared" si="759"/>
        <v>GAL</v>
      </c>
      <c r="O8405" s="11">
        <v>150</v>
      </c>
    </row>
    <row r="8406" spans="2:15" x14ac:dyDescent="0.25">
      <c r="B8406" s="6" t="s">
        <v>3238</v>
      </c>
      <c r="C8406" s="7" t="s">
        <v>3239</v>
      </c>
      <c r="D8406" s="8" t="s">
        <v>562</v>
      </c>
      <c r="E8406" s="8" t="s">
        <v>8882</v>
      </c>
      <c r="F8406" s="9">
        <f>DATE(2025,6,5)</f>
        <v>45813</v>
      </c>
      <c r="G8406" s="10">
        <f t="shared" si="757"/>
        <v>6</v>
      </c>
      <c r="H8406" s="10">
        <f t="shared" si="758"/>
        <v>2025</v>
      </c>
      <c r="I8406" s="8" t="s">
        <v>4</v>
      </c>
      <c r="J8406" s="7" t="s">
        <v>8883</v>
      </c>
      <c r="K8406" s="8" t="s">
        <v>822</v>
      </c>
      <c r="L8406" s="8" t="s">
        <v>565</v>
      </c>
      <c r="M8406" s="8" t="s">
        <v>21</v>
      </c>
      <c r="N8406" s="10" t="str">
        <f t="shared" si="759"/>
        <v>GAL</v>
      </c>
      <c r="O8406" s="11">
        <v>275</v>
      </c>
    </row>
    <row r="8407" spans="2:15" x14ac:dyDescent="0.25">
      <c r="B8407" s="6" t="s">
        <v>3238</v>
      </c>
      <c r="C8407" s="7" t="s">
        <v>3239</v>
      </c>
      <c r="D8407" s="8" t="s">
        <v>3240</v>
      </c>
      <c r="E8407" s="8" t="s">
        <v>8884</v>
      </c>
      <c r="F8407" s="9">
        <f>DATE(2025,6,5)</f>
        <v>45813</v>
      </c>
      <c r="G8407" s="10">
        <f t="shared" si="757"/>
        <v>6</v>
      </c>
      <c r="H8407" s="10">
        <f t="shared" si="758"/>
        <v>2025</v>
      </c>
      <c r="I8407" s="8" t="s">
        <v>4</v>
      </c>
      <c r="J8407" s="7" t="s">
        <v>8885</v>
      </c>
      <c r="K8407" s="8" t="s">
        <v>69</v>
      </c>
      <c r="L8407" s="8" t="s">
        <v>6275</v>
      </c>
      <c r="M8407" s="8" t="s">
        <v>21</v>
      </c>
      <c r="N8407" s="10" t="str">
        <f t="shared" si="759"/>
        <v>GAL</v>
      </c>
      <c r="O8407" s="11">
        <v>60</v>
      </c>
    </row>
    <row r="8408" spans="2:15" x14ac:dyDescent="0.25">
      <c r="B8408" s="6" t="s">
        <v>3238</v>
      </c>
      <c r="C8408" s="7" t="s">
        <v>3239</v>
      </c>
      <c r="D8408" s="8" t="s">
        <v>3240</v>
      </c>
      <c r="E8408" s="8" t="s">
        <v>8783</v>
      </c>
      <c r="F8408" s="9">
        <f>DATE(2025,6,24)</f>
        <v>45832</v>
      </c>
      <c r="G8408" s="10">
        <f t="shared" si="757"/>
        <v>6</v>
      </c>
      <c r="H8408" s="10">
        <f t="shared" si="758"/>
        <v>2025</v>
      </c>
      <c r="I8408" s="8" t="s">
        <v>4</v>
      </c>
      <c r="J8408" s="7" t="s">
        <v>8886</v>
      </c>
      <c r="K8408" s="8" t="s">
        <v>998</v>
      </c>
      <c r="L8408" s="8" t="s">
        <v>3526</v>
      </c>
      <c r="M8408" s="8" t="s">
        <v>1000</v>
      </c>
      <c r="N8408" s="10" t="str">
        <f t="shared" si="759"/>
        <v>GAL</v>
      </c>
      <c r="O8408" s="11">
        <v>250</v>
      </c>
    </row>
    <row r="8409" spans="2:15" x14ac:dyDescent="0.25">
      <c r="B8409" s="6" t="s">
        <v>3238</v>
      </c>
      <c r="C8409" s="7" t="s">
        <v>3239</v>
      </c>
      <c r="D8409" s="8" t="s">
        <v>3240</v>
      </c>
      <c r="E8409" s="8" t="s">
        <v>3657</v>
      </c>
      <c r="F8409" s="9">
        <f>DATE(2025,6,25)</f>
        <v>45833</v>
      </c>
      <c r="G8409" s="10">
        <f t="shared" si="757"/>
        <v>6</v>
      </c>
      <c r="H8409" s="10">
        <f t="shared" si="758"/>
        <v>2025</v>
      </c>
      <c r="I8409" s="8" t="s">
        <v>4</v>
      </c>
      <c r="J8409" s="7" t="s">
        <v>8887</v>
      </c>
      <c r="K8409" s="8" t="s">
        <v>998</v>
      </c>
      <c r="L8409" s="8" t="s">
        <v>3526</v>
      </c>
      <c r="M8409" s="8" t="s">
        <v>1000</v>
      </c>
      <c r="N8409" s="10" t="str">
        <f t="shared" si="759"/>
        <v>GAL</v>
      </c>
      <c r="O8409" s="11">
        <v>250</v>
      </c>
    </row>
    <row r="8410" spans="2:15" x14ac:dyDescent="0.25">
      <c r="B8410" s="6" t="s">
        <v>3238</v>
      </c>
      <c r="C8410" s="7" t="s">
        <v>3239</v>
      </c>
      <c r="D8410" s="8" t="s">
        <v>6120</v>
      </c>
      <c r="E8410" s="8" t="s">
        <v>6503</v>
      </c>
      <c r="F8410" s="9">
        <f>DATE(2025,6,26)</f>
        <v>45834</v>
      </c>
      <c r="G8410" s="10">
        <f t="shared" si="757"/>
        <v>6</v>
      </c>
      <c r="H8410" s="10">
        <f t="shared" si="758"/>
        <v>2025</v>
      </c>
      <c r="I8410" s="8" t="s">
        <v>4</v>
      </c>
      <c r="J8410" s="7" t="s">
        <v>8888</v>
      </c>
      <c r="K8410" s="8" t="s">
        <v>998</v>
      </c>
      <c r="L8410" s="8" t="s">
        <v>999</v>
      </c>
      <c r="M8410" s="8" t="s">
        <v>1000</v>
      </c>
      <c r="N8410" s="10" t="str">
        <f t="shared" si="759"/>
        <v>GAL</v>
      </c>
      <c r="O8410" s="11">
        <v>250</v>
      </c>
    </row>
    <row r="8411" spans="2:15" x14ac:dyDescent="0.25">
      <c r="B8411" s="6" t="s">
        <v>3238</v>
      </c>
      <c r="C8411" s="7" t="s">
        <v>3239</v>
      </c>
      <c r="D8411" s="8" t="s">
        <v>6120</v>
      </c>
      <c r="E8411" s="8" t="s">
        <v>141</v>
      </c>
      <c r="F8411" s="9">
        <f>DATE(2025,6,2)</f>
        <v>45810</v>
      </c>
      <c r="G8411" s="10">
        <f t="shared" si="757"/>
        <v>6</v>
      </c>
      <c r="H8411" s="10">
        <f t="shared" si="758"/>
        <v>2025</v>
      </c>
      <c r="I8411" s="8" t="s">
        <v>4</v>
      </c>
      <c r="J8411" s="7" t="s">
        <v>8889</v>
      </c>
      <c r="K8411" s="8" t="s">
        <v>4253</v>
      </c>
      <c r="L8411" s="8" t="s">
        <v>999</v>
      </c>
      <c r="M8411" s="8" t="s">
        <v>1000</v>
      </c>
      <c r="N8411" s="10" t="str">
        <f t="shared" si="759"/>
        <v>GAL</v>
      </c>
      <c r="O8411" s="11">
        <v>30</v>
      </c>
    </row>
    <row r="8412" spans="2:15" x14ac:dyDescent="0.25">
      <c r="B8412" s="6" t="s">
        <v>3238</v>
      </c>
      <c r="C8412" s="7" t="s">
        <v>3239</v>
      </c>
      <c r="D8412" s="8" t="s">
        <v>3240</v>
      </c>
      <c r="E8412" s="8" t="s">
        <v>8890</v>
      </c>
      <c r="F8412" s="9">
        <f>DATE(2025,6,11)</f>
        <v>45819</v>
      </c>
      <c r="G8412" s="10">
        <f t="shared" si="757"/>
        <v>6</v>
      </c>
      <c r="H8412" s="10">
        <f t="shared" si="758"/>
        <v>2025</v>
      </c>
      <c r="I8412" s="8" t="s">
        <v>4</v>
      </c>
      <c r="J8412" s="7" t="s">
        <v>8891</v>
      </c>
      <c r="K8412" s="8" t="s">
        <v>6166</v>
      </c>
      <c r="L8412" s="8" t="s">
        <v>3244</v>
      </c>
      <c r="M8412" s="8" t="s">
        <v>3245</v>
      </c>
      <c r="N8412" s="10" t="str">
        <f t="shared" si="759"/>
        <v>GAL</v>
      </c>
      <c r="O8412" s="11">
        <v>50</v>
      </c>
    </row>
    <row r="8413" spans="2:15" x14ac:dyDescent="0.25">
      <c r="B8413" s="6" t="s">
        <v>3238</v>
      </c>
      <c r="C8413" s="7" t="s">
        <v>3239</v>
      </c>
      <c r="D8413" s="8" t="s">
        <v>3240</v>
      </c>
      <c r="E8413" s="8" t="s">
        <v>8890</v>
      </c>
      <c r="F8413" s="9">
        <f>DATE(2025,6,30)</f>
        <v>45838</v>
      </c>
      <c r="G8413" s="10">
        <f t="shared" si="757"/>
        <v>6</v>
      </c>
      <c r="H8413" s="10">
        <f t="shared" si="758"/>
        <v>2025</v>
      </c>
      <c r="I8413" s="8" t="s">
        <v>4</v>
      </c>
      <c r="J8413" s="7" t="s">
        <v>8892</v>
      </c>
      <c r="K8413" s="8" t="s">
        <v>6166</v>
      </c>
      <c r="L8413" s="8" t="s">
        <v>3244</v>
      </c>
      <c r="M8413" s="8" t="s">
        <v>3245</v>
      </c>
      <c r="N8413" s="10" t="str">
        <f t="shared" si="759"/>
        <v>GAL</v>
      </c>
      <c r="O8413" s="11">
        <v>180</v>
      </c>
    </row>
    <row r="8414" spans="2:15" x14ac:dyDescent="0.25">
      <c r="B8414" s="6" t="s">
        <v>3238</v>
      </c>
      <c r="C8414" s="7" t="s">
        <v>3239</v>
      </c>
      <c r="D8414" s="8" t="s">
        <v>3240</v>
      </c>
      <c r="E8414" s="8" t="s">
        <v>8774</v>
      </c>
      <c r="F8414" s="9">
        <f>DATE(2025,6,11)</f>
        <v>45819</v>
      </c>
      <c r="G8414" s="10">
        <f t="shared" si="757"/>
        <v>6</v>
      </c>
      <c r="H8414" s="10">
        <f t="shared" si="758"/>
        <v>2025</v>
      </c>
      <c r="I8414" s="8" t="s">
        <v>4</v>
      </c>
      <c r="J8414" s="7" t="s">
        <v>8893</v>
      </c>
      <c r="K8414" s="8" t="s">
        <v>3502</v>
      </c>
      <c r="L8414" s="8" t="s">
        <v>3503</v>
      </c>
      <c r="M8414" s="8" t="s">
        <v>2532</v>
      </c>
      <c r="N8414" s="10" t="str">
        <f t="shared" si="759"/>
        <v>GAL</v>
      </c>
      <c r="O8414" s="11">
        <v>250</v>
      </c>
    </row>
    <row r="8415" spans="2:15" x14ac:dyDescent="0.25">
      <c r="B8415" s="6" t="s">
        <v>3238</v>
      </c>
      <c r="C8415" s="7" t="s">
        <v>3239</v>
      </c>
      <c r="D8415" s="8" t="s">
        <v>3240</v>
      </c>
      <c r="E8415" s="8" t="s">
        <v>3379</v>
      </c>
      <c r="F8415" s="9">
        <f>DATE(2025,6,27)</f>
        <v>45835</v>
      </c>
      <c r="G8415" s="10">
        <f t="shared" si="757"/>
        <v>6</v>
      </c>
      <c r="H8415" s="10">
        <f t="shared" si="758"/>
        <v>2025</v>
      </c>
      <c r="I8415" s="8" t="s">
        <v>4</v>
      </c>
      <c r="J8415" s="7" t="s">
        <v>8894</v>
      </c>
      <c r="K8415" s="8" t="s">
        <v>3653</v>
      </c>
      <c r="L8415" s="8" t="s">
        <v>3654</v>
      </c>
      <c r="M8415" s="8" t="s">
        <v>1071</v>
      </c>
      <c r="N8415" s="10" t="str">
        <f t="shared" si="759"/>
        <v>GAL</v>
      </c>
      <c r="O8415" s="11">
        <v>250</v>
      </c>
    </row>
    <row r="8416" spans="2:15" x14ac:dyDescent="0.25">
      <c r="B8416" s="6" t="s">
        <v>3238</v>
      </c>
      <c r="C8416" s="7" t="s">
        <v>3239</v>
      </c>
      <c r="D8416" s="8" t="s">
        <v>3240</v>
      </c>
      <c r="E8416" s="8" t="s">
        <v>102</v>
      </c>
      <c r="F8416" s="9">
        <f>DATE(2025,6,24)</f>
        <v>45832</v>
      </c>
      <c r="G8416" s="10">
        <f t="shared" si="757"/>
        <v>6</v>
      </c>
      <c r="H8416" s="10">
        <f t="shared" si="758"/>
        <v>2025</v>
      </c>
      <c r="I8416" s="8" t="s">
        <v>4</v>
      </c>
      <c r="J8416" s="7" t="s">
        <v>8895</v>
      </c>
      <c r="K8416" s="8" t="s">
        <v>6516</v>
      </c>
      <c r="L8416" s="8" t="s">
        <v>3396</v>
      </c>
      <c r="M8416" s="8" t="s">
        <v>844</v>
      </c>
      <c r="N8416" s="10" t="str">
        <f t="shared" si="759"/>
        <v>GAL</v>
      </c>
      <c r="O8416" s="11">
        <v>400</v>
      </c>
    </row>
    <row r="8417" spans="2:15" x14ac:dyDescent="0.25">
      <c r="B8417" s="6" t="s">
        <v>3238</v>
      </c>
      <c r="C8417" s="7" t="s">
        <v>3239</v>
      </c>
      <c r="D8417" s="8" t="s">
        <v>3240</v>
      </c>
      <c r="E8417" s="8" t="s">
        <v>8747</v>
      </c>
      <c r="F8417" s="9">
        <f>DATE(2025,6,30)</f>
        <v>45838</v>
      </c>
      <c r="G8417" s="10">
        <f t="shared" si="757"/>
        <v>6</v>
      </c>
      <c r="H8417" s="10">
        <f t="shared" si="758"/>
        <v>2025</v>
      </c>
      <c r="I8417" s="8" t="s">
        <v>4</v>
      </c>
      <c r="J8417" s="7" t="s">
        <v>8896</v>
      </c>
      <c r="K8417" s="8" t="s">
        <v>8897</v>
      </c>
      <c r="L8417" s="8" t="s">
        <v>3405</v>
      </c>
      <c r="M8417" s="8" t="s">
        <v>3406</v>
      </c>
      <c r="N8417" s="10" t="str">
        <f t="shared" si="759"/>
        <v>GAL</v>
      </c>
      <c r="O8417" s="11">
        <v>110</v>
      </c>
    </row>
    <row r="8418" spans="2:15" x14ac:dyDescent="0.25">
      <c r="B8418" s="6" t="s">
        <v>3238</v>
      </c>
      <c r="C8418" s="7" t="s">
        <v>3239</v>
      </c>
      <c r="D8418" s="8" t="s">
        <v>3240</v>
      </c>
      <c r="E8418" s="8" t="s">
        <v>102</v>
      </c>
      <c r="F8418" s="9">
        <f>DATE(2025,6,2)</f>
        <v>45810</v>
      </c>
      <c r="G8418" s="10">
        <f t="shared" si="757"/>
        <v>6</v>
      </c>
      <c r="H8418" s="10">
        <f t="shared" si="758"/>
        <v>2025</v>
      </c>
      <c r="I8418" s="8" t="s">
        <v>4</v>
      </c>
      <c r="J8418" s="7" t="s">
        <v>8876</v>
      </c>
      <c r="K8418" s="8" t="s">
        <v>3941</v>
      </c>
      <c r="L8418" s="8" t="s">
        <v>3911</v>
      </c>
      <c r="M8418" s="8" t="s">
        <v>2100</v>
      </c>
      <c r="N8418" s="10" t="str">
        <f t="shared" si="759"/>
        <v>GAL</v>
      </c>
      <c r="O8418" s="11">
        <v>60</v>
      </c>
    </row>
    <row r="8419" spans="2:15" x14ac:dyDescent="0.25">
      <c r="B8419" s="6" t="s">
        <v>3238</v>
      </c>
      <c r="C8419" s="7" t="s">
        <v>3239</v>
      </c>
      <c r="D8419" s="8" t="s">
        <v>3240</v>
      </c>
      <c r="E8419" s="8" t="s">
        <v>8884</v>
      </c>
      <c r="F8419" s="9">
        <f>DATE(2025,6,5)</f>
        <v>45813</v>
      </c>
      <c r="G8419" s="10">
        <f t="shared" si="757"/>
        <v>6</v>
      </c>
      <c r="H8419" s="10">
        <f t="shared" si="758"/>
        <v>2025</v>
      </c>
      <c r="I8419" s="8" t="s">
        <v>4</v>
      </c>
      <c r="J8419" s="7" t="s">
        <v>8885</v>
      </c>
      <c r="K8419" s="8" t="s">
        <v>4271</v>
      </c>
      <c r="L8419" s="8" t="s">
        <v>3911</v>
      </c>
      <c r="M8419" s="8" t="s">
        <v>2100</v>
      </c>
      <c r="N8419" s="10" t="str">
        <f t="shared" si="759"/>
        <v>GAL</v>
      </c>
      <c r="O8419" s="11">
        <v>30</v>
      </c>
    </row>
    <row r="8420" spans="2:15" x14ac:dyDescent="0.25">
      <c r="B8420" s="6" t="s">
        <v>3238</v>
      </c>
      <c r="C8420" s="7" t="s">
        <v>3239</v>
      </c>
      <c r="D8420" s="8" t="s">
        <v>3240</v>
      </c>
      <c r="E8420" s="8" t="s">
        <v>102</v>
      </c>
      <c r="F8420" s="9">
        <f>DATE(2025,6,13)</f>
        <v>45821</v>
      </c>
      <c r="G8420" s="10">
        <f t="shared" si="757"/>
        <v>6</v>
      </c>
      <c r="H8420" s="10">
        <f t="shared" si="758"/>
        <v>2025</v>
      </c>
      <c r="I8420" s="8" t="s">
        <v>4</v>
      </c>
      <c r="J8420" s="7" t="s">
        <v>8877</v>
      </c>
      <c r="K8420" s="8" t="s">
        <v>3914</v>
      </c>
      <c r="L8420" s="8" t="s">
        <v>3915</v>
      </c>
      <c r="M8420" s="8" t="s">
        <v>3916</v>
      </c>
      <c r="N8420" s="10" t="str">
        <f t="shared" si="759"/>
        <v>GAL</v>
      </c>
      <c r="O8420" s="11">
        <v>60</v>
      </c>
    </row>
    <row r="8421" spans="2:15" x14ac:dyDescent="0.25">
      <c r="B8421" s="6" t="s">
        <v>3238</v>
      </c>
      <c r="C8421" s="7" t="s">
        <v>3239</v>
      </c>
      <c r="D8421" s="8" t="s">
        <v>3240</v>
      </c>
      <c r="E8421" s="8" t="s">
        <v>8747</v>
      </c>
      <c r="F8421" s="9">
        <f>DATE(2025,6,11)</f>
        <v>45819</v>
      </c>
      <c r="G8421" s="10">
        <f t="shared" si="757"/>
        <v>6</v>
      </c>
      <c r="H8421" s="10">
        <f t="shared" si="758"/>
        <v>2025</v>
      </c>
      <c r="I8421" s="8" t="s">
        <v>4</v>
      </c>
      <c r="J8421" s="7" t="s">
        <v>8898</v>
      </c>
      <c r="K8421" s="8" t="s">
        <v>4284</v>
      </c>
      <c r="L8421" s="8" t="s">
        <v>3915</v>
      </c>
      <c r="M8421" s="8" t="s">
        <v>3916</v>
      </c>
      <c r="N8421" s="10" t="str">
        <f t="shared" si="759"/>
        <v>GAL</v>
      </c>
      <c r="O8421" s="11">
        <v>110</v>
      </c>
    </row>
    <row r="8422" spans="2:15" x14ac:dyDescent="0.25">
      <c r="B8422" s="6" t="s">
        <v>3238</v>
      </c>
      <c r="C8422" s="7" t="s">
        <v>3239</v>
      </c>
      <c r="D8422" s="8" t="s">
        <v>3240</v>
      </c>
      <c r="E8422" s="8" t="s">
        <v>8556</v>
      </c>
      <c r="F8422" s="9">
        <f>DATE(2025,6,16)</f>
        <v>45824</v>
      </c>
      <c r="G8422" s="10">
        <f t="shared" si="757"/>
        <v>6</v>
      </c>
      <c r="H8422" s="10">
        <f t="shared" si="758"/>
        <v>2025</v>
      </c>
      <c r="I8422" s="8" t="s">
        <v>4</v>
      </c>
      <c r="J8422" s="7" t="s">
        <v>8899</v>
      </c>
      <c r="K8422" s="8" t="s">
        <v>4284</v>
      </c>
      <c r="L8422" s="8" t="s">
        <v>3915</v>
      </c>
      <c r="M8422" s="8" t="s">
        <v>3916</v>
      </c>
      <c r="N8422" s="10" t="str">
        <f t="shared" si="759"/>
        <v>GAL</v>
      </c>
      <c r="O8422" s="11">
        <v>55</v>
      </c>
    </row>
    <row r="8423" spans="2:15" x14ac:dyDescent="0.25">
      <c r="B8423" s="6" t="s">
        <v>3238</v>
      </c>
      <c r="C8423" s="7" t="s">
        <v>3239</v>
      </c>
      <c r="D8423" s="8" t="s">
        <v>3240</v>
      </c>
      <c r="E8423" s="8" t="s">
        <v>102</v>
      </c>
      <c r="F8423" s="9">
        <f>DATE(2025,6,2)</f>
        <v>45810</v>
      </c>
      <c r="G8423" s="10">
        <f t="shared" si="757"/>
        <v>6</v>
      </c>
      <c r="H8423" s="10">
        <f t="shared" si="758"/>
        <v>2025</v>
      </c>
      <c r="I8423" s="8" t="s">
        <v>4</v>
      </c>
      <c r="J8423" s="7" t="s">
        <v>8876</v>
      </c>
      <c r="K8423" s="8" t="s">
        <v>5968</v>
      </c>
      <c r="L8423" s="8" t="s">
        <v>5969</v>
      </c>
      <c r="M8423" s="8" t="s">
        <v>5970</v>
      </c>
      <c r="N8423" s="10" t="str">
        <f t="shared" si="759"/>
        <v>GAL</v>
      </c>
      <c r="O8423" s="11">
        <v>60</v>
      </c>
    </row>
    <row r="8424" spans="2:15" x14ac:dyDescent="0.25">
      <c r="B8424" s="6" t="s">
        <v>3238</v>
      </c>
      <c r="C8424" s="7" t="s">
        <v>3239</v>
      </c>
      <c r="D8424" s="8" t="s">
        <v>3240</v>
      </c>
      <c r="E8424" s="8" t="s">
        <v>8890</v>
      </c>
      <c r="F8424" s="9">
        <f>DATE(2025,6,11)</f>
        <v>45819</v>
      </c>
      <c r="G8424" s="10">
        <f t="shared" si="757"/>
        <v>6</v>
      </c>
      <c r="H8424" s="10">
        <f t="shared" si="758"/>
        <v>2025</v>
      </c>
      <c r="I8424" s="8" t="s">
        <v>4</v>
      </c>
      <c r="J8424" s="7" t="s">
        <v>8891</v>
      </c>
      <c r="K8424" s="8" t="s">
        <v>5998</v>
      </c>
      <c r="L8424" s="8" t="s">
        <v>4258</v>
      </c>
      <c r="M8424" s="8" t="s">
        <v>3251</v>
      </c>
      <c r="N8424" s="10" t="str">
        <f t="shared" si="759"/>
        <v>GAL</v>
      </c>
      <c r="O8424" s="11">
        <v>180</v>
      </c>
    </row>
    <row r="8425" spans="2:15" x14ac:dyDescent="0.25">
      <c r="B8425" s="6" t="s">
        <v>3238</v>
      </c>
      <c r="C8425" s="7" t="s">
        <v>3239</v>
      </c>
      <c r="D8425" s="8" t="s">
        <v>3240</v>
      </c>
      <c r="E8425" s="8" t="s">
        <v>8890</v>
      </c>
      <c r="F8425" s="9">
        <f>DATE(2025,6,30)</f>
        <v>45838</v>
      </c>
      <c r="G8425" s="10">
        <f t="shared" si="757"/>
        <v>6</v>
      </c>
      <c r="H8425" s="10">
        <f t="shared" si="758"/>
        <v>2025</v>
      </c>
      <c r="I8425" s="8" t="s">
        <v>4</v>
      </c>
      <c r="J8425" s="7" t="s">
        <v>8892</v>
      </c>
      <c r="K8425" s="8" t="s">
        <v>5998</v>
      </c>
      <c r="L8425" s="8" t="s">
        <v>4258</v>
      </c>
      <c r="M8425" s="8" t="s">
        <v>3251</v>
      </c>
      <c r="N8425" s="10" t="str">
        <f t="shared" si="759"/>
        <v>GAL</v>
      </c>
      <c r="O8425" s="11">
        <v>720</v>
      </c>
    </row>
    <row r="8426" spans="2:15" x14ac:dyDescent="0.25">
      <c r="B8426" s="6" t="s">
        <v>3238</v>
      </c>
      <c r="C8426" s="7" t="s">
        <v>3239</v>
      </c>
      <c r="D8426" s="8" t="s">
        <v>6120</v>
      </c>
      <c r="E8426" s="8" t="s">
        <v>8900</v>
      </c>
      <c r="F8426" s="9">
        <f>DATE(2025,6,4)</f>
        <v>45812</v>
      </c>
      <c r="G8426" s="10">
        <f t="shared" si="757"/>
        <v>6</v>
      </c>
      <c r="H8426" s="10">
        <f t="shared" si="758"/>
        <v>2025</v>
      </c>
      <c r="I8426" s="8" t="s">
        <v>4</v>
      </c>
      <c r="J8426" s="7" t="s">
        <v>8901</v>
      </c>
      <c r="K8426" s="8" t="s">
        <v>6133</v>
      </c>
      <c r="L8426" s="8" t="s">
        <v>6134</v>
      </c>
      <c r="M8426" s="8" t="s">
        <v>6135</v>
      </c>
      <c r="N8426" s="10" t="str">
        <f t="shared" si="759"/>
        <v>GAL</v>
      </c>
      <c r="O8426" s="11">
        <v>20</v>
      </c>
    </row>
    <row r="8427" spans="2:15" x14ac:dyDescent="0.25">
      <c r="B8427" s="6" t="s">
        <v>3238</v>
      </c>
      <c r="C8427" s="7" t="s">
        <v>3239</v>
      </c>
      <c r="D8427" s="8" t="s">
        <v>6120</v>
      </c>
      <c r="E8427" s="8" t="s">
        <v>8900</v>
      </c>
      <c r="F8427" s="9">
        <f>DATE(2025,6,4)</f>
        <v>45812</v>
      </c>
      <c r="G8427" s="10">
        <f t="shared" si="757"/>
        <v>6</v>
      </c>
      <c r="H8427" s="10">
        <f t="shared" si="758"/>
        <v>2025</v>
      </c>
      <c r="I8427" s="8" t="s">
        <v>4</v>
      </c>
      <c r="J8427" s="7" t="s">
        <v>8901</v>
      </c>
      <c r="K8427" s="8" t="s">
        <v>6172</v>
      </c>
      <c r="L8427" s="8" t="s">
        <v>6173</v>
      </c>
      <c r="M8427" s="8" t="s">
        <v>6174</v>
      </c>
      <c r="N8427" s="10" t="str">
        <f t="shared" si="759"/>
        <v>GAL</v>
      </c>
      <c r="O8427" s="11">
        <v>30</v>
      </c>
    </row>
    <row r="8428" spans="2:15" x14ac:dyDescent="0.25">
      <c r="B8428" s="6" t="s">
        <v>3238</v>
      </c>
      <c r="C8428" s="7" t="s">
        <v>3239</v>
      </c>
      <c r="D8428" s="8" t="s">
        <v>6120</v>
      </c>
      <c r="E8428" s="8" t="s">
        <v>8900</v>
      </c>
      <c r="F8428" s="9">
        <f>DATE(2025,6,4)</f>
        <v>45812</v>
      </c>
      <c r="G8428" s="10">
        <f t="shared" si="757"/>
        <v>6</v>
      </c>
      <c r="H8428" s="10">
        <f t="shared" si="758"/>
        <v>2025</v>
      </c>
      <c r="I8428" s="8" t="s">
        <v>4</v>
      </c>
      <c r="J8428" s="7" t="s">
        <v>8901</v>
      </c>
      <c r="K8428" s="8" t="s">
        <v>6136</v>
      </c>
      <c r="L8428" s="8" t="s">
        <v>6137</v>
      </c>
      <c r="M8428" s="8" t="s">
        <v>30</v>
      </c>
      <c r="N8428" s="10" t="str">
        <f t="shared" si="759"/>
        <v>GAL</v>
      </c>
      <c r="O8428" s="11">
        <v>10</v>
      </c>
    </row>
    <row r="8429" spans="2:15" x14ac:dyDescent="0.25">
      <c r="B8429" s="6" t="s">
        <v>3238</v>
      </c>
      <c r="C8429" s="7" t="s">
        <v>3239</v>
      </c>
      <c r="D8429" s="8" t="s">
        <v>6120</v>
      </c>
      <c r="E8429" s="8" t="s">
        <v>8900</v>
      </c>
      <c r="F8429" s="9">
        <f>DATE(2025,6,4)</f>
        <v>45812</v>
      </c>
      <c r="G8429" s="10">
        <f t="shared" si="757"/>
        <v>6</v>
      </c>
      <c r="H8429" s="10">
        <f t="shared" si="758"/>
        <v>2025</v>
      </c>
      <c r="I8429" s="8" t="s">
        <v>4</v>
      </c>
      <c r="J8429" s="7" t="s">
        <v>8901</v>
      </c>
      <c r="K8429" s="8" t="s">
        <v>6138</v>
      </c>
      <c r="L8429" s="8" t="s">
        <v>6139</v>
      </c>
      <c r="M8429" s="8" t="s">
        <v>6140</v>
      </c>
      <c r="N8429" s="10" t="str">
        <f t="shared" si="759"/>
        <v>GAL</v>
      </c>
      <c r="O8429" s="11">
        <v>10</v>
      </c>
    </row>
    <row r="8430" spans="2:15" x14ac:dyDescent="0.25">
      <c r="B8430" s="6" t="s">
        <v>3238</v>
      </c>
      <c r="C8430" s="7" t="s">
        <v>3239</v>
      </c>
      <c r="D8430" s="8" t="s">
        <v>3240</v>
      </c>
      <c r="E8430" s="8" t="s">
        <v>3908</v>
      </c>
      <c r="F8430" s="9">
        <f>DATE(2025,6,25)</f>
        <v>45833</v>
      </c>
      <c r="G8430" s="10">
        <f>+MONTH(F8430)</f>
        <v>6</v>
      </c>
      <c r="H8430" s="10">
        <f>+YEAR(F8430)</f>
        <v>2025</v>
      </c>
      <c r="I8430" s="8" t="s">
        <v>4</v>
      </c>
      <c r="J8430" s="7" t="s">
        <v>8902</v>
      </c>
      <c r="K8430" s="8" t="s">
        <v>3925</v>
      </c>
      <c r="L8430" s="8" t="s">
        <v>4264</v>
      </c>
      <c r="M8430" s="8" t="s">
        <v>119</v>
      </c>
      <c r="N8430" s="10" t="str">
        <f>+LEFT(M8430,3)</f>
        <v>TON</v>
      </c>
      <c r="O8430" s="11">
        <v>3.02</v>
      </c>
    </row>
    <row r="8431" spans="2:15" x14ac:dyDescent="0.25">
      <c r="B8431" s="6" t="s">
        <v>3238</v>
      </c>
      <c r="C8431" s="7" t="s">
        <v>3239</v>
      </c>
      <c r="D8431" s="8" t="s">
        <v>3240</v>
      </c>
      <c r="E8431" s="8" t="s">
        <v>102</v>
      </c>
      <c r="F8431" s="9">
        <f>DATE(2025,6,13)</f>
        <v>45821</v>
      </c>
      <c r="G8431" s="10">
        <f>+MONTH(F8431)</f>
        <v>6</v>
      </c>
      <c r="H8431" s="10">
        <f>+YEAR(F8431)</f>
        <v>2025</v>
      </c>
      <c r="I8431" s="8" t="s">
        <v>4</v>
      </c>
      <c r="J8431" s="7" t="s">
        <v>8877</v>
      </c>
      <c r="K8431" s="8" t="s">
        <v>1502</v>
      </c>
      <c r="L8431" s="8" t="s">
        <v>8903</v>
      </c>
      <c r="M8431" s="8" t="s">
        <v>8</v>
      </c>
      <c r="N8431" s="10" t="str">
        <f>+LEFT(M8431,3)</f>
        <v>GAL</v>
      </c>
      <c r="O8431" s="11">
        <v>60</v>
      </c>
    </row>
    <row r="8432" spans="2:15" x14ac:dyDescent="0.25">
      <c r="B8432" s="6" t="s">
        <v>3238</v>
      </c>
      <c r="C8432" s="7" t="s">
        <v>3239</v>
      </c>
      <c r="D8432" s="8" t="s">
        <v>6120</v>
      </c>
      <c r="E8432" s="8" t="s">
        <v>8900</v>
      </c>
      <c r="F8432" s="9">
        <f>DATE(2025,6,4)</f>
        <v>45812</v>
      </c>
      <c r="G8432" s="10">
        <f>+MONTH(F8432)</f>
        <v>6</v>
      </c>
      <c r="H8432" s="10">
        <f>+YEAR(F8432)</f>
        <v>2025</v>
      </c>
      <c r="I8432" s="8" t="s">
        <v>4</v>
      </c>
      <c r="J8432" s="7" t="s">
        <v>8901</v>
      </c>
      <c r="K8432" s="8" t="s">
        <v>6144</v>
      </c>
      <c r="L8432" s="8" t="s">
        <v>6145</v>
      </c>
      <c r="M8432" s="8" t="s">
        <v>49</v>
      </c>
      <c r="N8432" s="10" t="str">
        <f>+LEFT(M8432,3)</f>
        <v>GAL</v>
      </c>
      <c r="O8432" s="11">
        <v>20</v>
      </c>
    </row>
    <row r="8433" spans="2:15" x14ac:dyDescent="0.25">
      <c r="B8433" s="6" t="s">
        <v>3238</v>
      </c>
      <c r="C8433" s="7" t="s">
        <v>3239</v>
      </c>
      <c r="D8433" s="8" t="s">
        <v>6120</v>
      </c>
      <c r="E8433" s="8" t="s">
        <v>8900</v>
      </c>
      <c r="F8433" s="9">
        <f>DATE(2025,6,4)</f>
        <v>45812</v>
      </c>
      <c r="G8433" s="10">
        <f>+MONTH(F8433)</f>
        <v>6</v>
      </c>
      <c r="H8433" s="10">
        <f>+YEAR(F8433)</f>
        <v>2025</v>
      </c>
      <c r="I8433" s="8" t="s">
        <v>4</v>
      </c>
      <c r="J8433" s="7" t="s">
        <v>8901</v>
      </c>
      <c r="K8433" s="8" t="s">
        <v>2098</v>
      </c>
      <c r="L8433" s="8" t="s">
        <v>6164</v>
      </c>
      <c r="M8433" s="8" t="s">
        <v>2100</v>
      </c>
      <c r="N8433" s="10" t="str">
        <f>+LEFT(M8433,3)</f>
        <v>GAL</v>
      </c>
      <c r="O8433" s="11">
        <v>30</v>
      </c>
    </row>
    <row r="8434" spans="2:15" x14ac:dyDescent="0.25">
      <c r="B8434" s="6" t="s">
        <v>3238</v>
      </c>
      <c r="C8434" s="7" t="s">
        <v>3239</v>
      </c>
      <c r="D8434" s="8" t="s">
        <v>3240</v>
      </c>
      <c r="E8434" s="8" t="s">
        <v>3379</v>
      </c>
      <c r="F8434" s="9">
        <f>DATE(2025,6,11)</f>
        <v>45819</v>
      </c>
      <c r="G8434" s="10">
        <f>+MONTH(F8434)</f>
        <v>6</v>
      </c>
      <c r="H8434" s="10">
        <f>+YEAR(F8434)</f>
        <v>2025</v>
      </c>
      <c r="I8434" s="8" t="s">
        <v>4</v>
      </c>
      <c r="J8434" s="7" t="s">
        <v>8904</v>
      </c>
      <c r="K8434" s="8" t="s">
        <v>3381</v>
      </c>
      <c r="L8434" s="8" t="s">
        <v>3382</v>
      </c>
      <c r="M8434" s="8" t="s">
        <v>3383</v>
      </c>
      <c r="N8434" s="10" t="str">
        <f>+LEFT(M8434,3)</f>
        <v>GAL</v>
      </c>
      <c r="O8434" s="11">
        <v>250</v>
      </c>
    </row>
    <row r="8435" spans="2:15" x14ac:dyDescent="0.25">
      <c r="B8435" s="16" t="s">
        <v>0</v>
      </c>
      <c r="C8435" s="17" t="s">
        <v>1</v>
      </c>
      <c r="D8435" s="17" t="s">
        <v>2</v>
      </c>
      <c r="E8435" s="17" t="s">
        <v>1787</v>
      </c>
      <c r="F8435" s="18">
        <f>DATE(2025,7,3)</f>
        <v>45841</v>
      </c>
      <c r="G8435" s="22">
        <f t="shared" ref="G8435:G8498" si="760">MONTH(F8435)</f>
        <v>7</v>
      </c>
      <c r="H8435" s="22">
        <f t="shared" ref="H8435:H8498" si="761">YEAR(F8435)</f>
        <v>2025</v>
      </c>
      <c r="I8435" s="17" t="s">
        <v>4</v>
      </c>
      <c r="J8435" s="17" t="s">
        <v>8905</v>
      </c>
      <c r="K8435" s="17" t="s">
        <v>11</v>
      </c>
      <c r="L8435" s="17" t="s">
        <v>12</v>
      </c>
      <c r="M8435" s="17" t="s">
        <v>13</v>
      </c>
      <c r="N8435" s="22" t="str">
        <f t="shared" ref="N8435:N8498" si="762">LEFT(M8435,3)</f>
        <v>GAL</v>
      </c>
      <c r="O8435" s="19">
        <v>220</v>
      </c>
    </row>
    <row r="8436" spans="2:15" x14ac:dyDescent="0.25">
      <c r="B8436" s="16" t="s">
        <v>0</v>
      </c>
      <c r="C8436" s="17" t="s">
        <v>1</v>
      </c>
      <c r="D8436" s="17" t="s">
        <v>2</v>
      </c>
      <c r="E8436" s="17" t="s">
        <v>6413</v>
      </c>
      <c r="F8436" s="18">
        <f>DATE(2025,7,3)</f>
        <v>45841</v>
      </c>
      <c r="G8436" s="22">
        <f t="shared" si="760"/>
        <v>7</v>
      </c>
      <c r="H8436" s="22">
        <f t="shared" si="761"/>
        <v>2025</v>
      </c>
      <c r="I8436" s="17" t="s">
        <v>4</v>
      </c>
      <c r="J8436" s="17" t="s">
        <v>8906</v>
      </c>
      <c r="K8436" s="17" t="s">
        <v>80</v>
      </c>
      <c r="L8436" s="17" t="s">
        <v>81</v>
      </c>
      <c r="M8436" s="17" t="s">
        <v>82</v>
      </c>
      <c r="N8436" s="22" t="str">
        <f t="shared" si="762"/>
        <v>GAL</v>
      </c>
      <c r="O8436" s="19">
        <v>10</v>
      </c>
    </row>
    <row r="8437" spans="2:15" x14ac:dyDescent="0.25">
      <c r="B8437" s="16" t="s">
        <v>0</v>
      </c>
      <c r="C8437" s="17" t="s">
        <v>1</v>
      </c>
      <c r="D8437" s="17" t="s">
        <v>2</v>
      </c>
      <c r="E8437" s="17" t="s">
        <v>6413</v>
      </c>
      <c r="F8437" s="18">
        <f>DATE(2025,7,3)</f>
        <v>45841</v>
      </c>
      <c r="G8437" s="22">
        <f t="shared" si="760"/>
        <v>7</v>
      </c>
      <c r="H8437" s="22">
        <f t="shared" si="761"/>
        <v>2025</v>
      </c>
      <c r="I8437" s="17" t="s">
        <v>4</v>
      </c>
      <c r="J8437" s="17" t="s">
        <v>8906</v>
      </c>
      <c r="K8437" s="17" t="s">
        <v>2166</v>
      </c>
      <c r="L8437" s="17" t="s">
        <v>2167</v>
      </c>
      <c r="M8437" s="17" t="s">
        <v>2168</v>
      </c>
      <c r="N8437" s="22" t="str">
        <f t="shared" si="762"/>
        <v>GAL</v>
      </c>
      <c r="O8437" s="19">
        <v>10</v>
      </c>
    </row>
    <row r="8438" spans="2:15" x14ac:dyDescent="0.25">
      <c r="B8438" s="16" t="s">
        <v>0</v>
      </c>
      <c r="C8438" s="17" t="s">
        <v>1</v>
      </c>
      <c r="D8438" s="17" t="s">
        <v>2</v>
      </c>
      <c r="E8438" s="17" t="s">
        <v>1784</v>
      </c>
      <c r="F8438" s="18">
        <f>DATE(2025,7,14)</f>
        <v>45852</v>
      </c>
      <c r="G8438" s="22">
        <f t="shared" si="760"/>
        <v>7</v>
      </c>
      <c r="H8438" s="22">
        <f t="shared" si="761"/>
        <v>2025</v>
      </c>
      <c r="I8438" s="17" t="s">
        <v>4</v>
      </c>
      <c r="J8438" s="17" t="s">
        <v>8907</v>
      </c>
      <c r="K8438" s="17" t="s">
        <v>28</v>
      </c>
      <c r="L8438" s="17" t="s">
        <v>29</v>
      </c>
      <c r="M8438" s="17" t="s">
        <v>30</v>
      </c>
      <c r="N8438" s="22" t="str">
        <f t="shared" si="762"/>
        <v>GAL</v>
      </c>
      <c r="O8438" s="19">
        <v>30</v>
      </c>
    </row>
    <row r="8439" spans="2:15" x14ac:dyDescent="0.25">
      <c r="B8439" s="16" t="s">
        <v>0</v>
      </c>
      <c r="C8439" s="17" t="s">
        <v>1</v>
      </c>
      <c r="D8439" s="17" t="s">
        <v>2</v>
      </c>
      <c r="E8439" s="17" t="s">
        <v>1784</v>
      </c>
      <c r="F8439" s="18">
        <f>DATE(2025,7,14)</f>
        <v>45852</v>
      </c>
      <c r="G8439" s="22">
        <f t="shared" si="760"/>
        <v>7</v>
      </c>
      <c r="H8439" s="22">
        <f t="shared" si="761"/>
        <v>2025</v>
      </c>
      <c r="I8439" s="17" t="s">
        <v>4</v>
      </c>
      <c r="J8439" s="17" t="s">
        <v>8907</v>
      </c>
      <c r="K8439" s="17" t="s">
        <v>1786</v>
      </c>
      <c r="L8439" s="17" t="s">
        <v>84</v>
      </c>
      <c r="M8439" s="17" t="s">
        <v>85</v>
      </c>
      <c r="N8439" s="22" t="str">
        <f t="shared" si="762"/>
        <v>GAL</v>
      </c>
      <c r="O8439" s="19">
        <v>55</v>
      </c>
    </row>
    <row r="8440" spans="2:15" x14ac:dyDescent="0.25">
      <c r="B8440" s="16" t="s">
        <v>0</v>
      </c>
      <c r="C8440" s="17" t="s">
        <v>1</v>
      </c>
      <c r="D8440" s="17" t="s">
        <v>2</v>
      </c>
      <c r="E8440" s="17" t="s">
        <v>1784</v>
      </c>
      <c r="F8440" s="18">
        <f>DATE(2025,7,14)</f>
        <v>45852</v>
      </c>
      <c r="G8440" s="22">
        <f t="shared" si="760"/>
        <v>7</v>
      </c>
      <c r="H8440" s="22">
        <f t="shared" si="761"/>
        <v>2025</v>
      </c>
      <c r="I8440" s="17" t="s">
        <v>4</v>
      </c>
      <c r="J8440" s="17" t="s">
        <v>8907</v>
      </c>
      <c r="K8440" s="17" t="s">
        <v>6</v>
      </c>
      <c r="L8440" s="17" t="s">
        <v>7</v>
      </c>
      <c r="M8440" s="17" t="s">
        <v>8</v>
      </c>
      <c r="N8440" s="22" t="str">
        <f t="shared" si="762"/>
        <v>GAL</v>
      </c>
      <c r="O8440" s="19">
        <v>55</v>
      </c>
    </row>
    <row r="8441" spans="2:15" x14ac:dyDescent="0.25">
      <c r="B8441" s="16" t="s">
        <v>0</v>
      </c>
      <c r="C8441" s="17" t="s">
        <v>1</v>
      </c>
      <c r="D8441" s="17" t="s">
        <v>2</v>
      </c>
      <c r="E8441" s="17" t="s">
        <v>8908</v>
      </c>
      <c r="F8441" s="18">
        <f t="shared" ref="F8441:F8451" si="763">DATE(2025,7,15)</f>
        <v>45853</v>
      </c>
      <c r="G8441" s="22">
        <f t="shared" si="760"/>
        <v>7</v>
      </c>
      <c r="H8441" s="22">
        <f t="shared" si="761"/>
        <v>2025</v>
      </c>
      <c r="I8441" s="17" t="s">
        <v>4</v>
      </c>
      <c r="J8441" s="17" t="s">
        <v>8909</v>
      </c>
      <c r="K8441" s="17" t="s">
        <v>28</v>
      </c>
      <c r="L8441" s="17" t="s">
        <v>29</v>
      </c>
      <c r="M8441" s="17" t="s">
        <v>30</v>
      </c>
      <c r="N8441" s="22" t="str">
        <f t="shared" si="762"/>
        <v>GAL</v>
      </c>
      <c r="O8441" s="19">
        <v>20</v>
      </c>
    </row>
    <row r="8442" spans="2:15" x14ac:dyDescent="0.25">
      <c r="B8442" s="16" t="s">
        <v>0</v>
      </c>
      <c r="C8442" s="17" t="s">
        <v>1</v>
      </c>
      <c r="D8442" s="17" t="s">
        <v>2</v>
      </c>
      <c r="E8442" s="17" t="s">
        <v>8908</v>
      </c>
      <c r="F8442" s="18">
        <f t="shared" si="763"/>
        <v>45853</v>
      </c>
      <c r="G8442" s="22">
        <f t="shared" si="760"/>
        <v>7</v>
      </c>
      <c r="H8442" s="22">
        <f t="shared" si="761"/>
        <v>2025</v>
      </c>
      <c r="I8442" s="17" t="s">
        <v>4</v>
      </c>
      <c r="J8442" s="17" t="s">
        <v>8909</v>
      </c>
      <c r="K8442" s="17" t="s">
        <v>83</v>
      </c>
      <c r="L8442" s="17" t="s">
        <v>84</v>
      </c>
      <c r="M8442" s="17" t="s">
        <v>85</v>
      </c>
      <c r="N8442" s="22" t="str">
        <f t="shared" si="762"/>
        <v>GAL</v>
      </c>
      <c r="O8442" s="19">
        <v>20</v>
      </c>
    </row>
    <row r="8443" spans="2:15" x14ac:dyDescent="0.25">
      <c r="B8443" s="16" t="s">
        <v>0</v>
      </c>
      <c r="C8443" s="17" t="s">
        <v>1</v>
      </c>
      <c r="D8443" s="17" t="s">
        <v>2</v>
      </c>
      <c r="E8443" s="17" t="s">
        <v>8908</v>
      </c>
      <c r="F8443" s="18">
        <f t="shared" si="763"/>
        <v>45853</v>
      </c>
      <c r="G8443" s="22">
        <f t="shared" si="760"/>
        <v>7</v>
      </c>
      <c r="H8443" s="22">
        <f t="shared" si="761"/>
        <v>2025</v>
      </c>
      <c r="I8443" s="17" t="s">
        <v>4</v>
      </c>
      <c r="J8443" s="17" t="s">
        <v>8909</v>
      </c>
      <c r="K8443" s="17" t="s">
        <v>574</v>
      </c>
      <c r="L8443" s="17" t="s">
        <v>66</v>
      </c>
      <c r="M8443" s="17" t="s">
        <v>67</v>
      </c>
      <c r="N8443" s="22" t="str">
        <f t="shared" si="762"/>
        <v>GAL</v>
      </c>
      <c r="O8443" s="19">
        <v>5</v>
      </c>
    </row>
    <row r="8444" spans="2:15" x14ac:dyDescent="0.25">
      <c r="B8444" s="16" t="s">
        <v>0</v>
      </c>
      <c r="C8444" s="17" t="s">
        <v>1</v>
      </c>
      <c r="D8444" s="17" t="s">
        <v>2</v>
      </c>
      <c r="E8444" s="17" t="s">
        <v>8908</v>
      </c>
      <c r="F8444" s="18">
        <f t="shared" si="763"/>
        <v>45853</v>
      </c>
      <c r="G8444" s="22">
        <f t="shared" si="760"/>
        <v>7</v>
      </c>
      <c r="H8444" s="22">
        <f t="shared" si="761"/>
        <v>2025</v>
      </c>
      <c r="I8444" s="17" t="s">
        <v>4</v>
      </c>
      <c r="J8444" s="17" t="s">
        <v>8909</v>
      </c>
      <c r="K8444" s="17" t="s">
        <v>25</v>
      </c>
      <c r="L8444" s="17" t="s">
        <v>26</v>
      </c>
      <c r="M8444" s="17" t="s">
        <v>27</v>
      </c>
      <c r="N8444" s="22" t="str">
        <f t="shared" si="762"/>
        <v>GAL</v>
      </c>
      <c r="O8444" s="19">
        <v>15</v>
      </c>
    </row>
    <row r="8445" spans="2:15" x14ac:dyDescent="0.25">
      <c r="B8445" s="16" t="s">
        <v>0</v>
      </c>
      <c r="C8445" s="17" t="s">
        <v>1</v>
      </c>
      <c r="D8445" s="17" t="s">
        <v>2</v>
      </c>
      <c r="E8445" s="17" t="s">
        <v>8908</v>
      </c>
      <c r="F8445" s="18">
        <f t="shared" si="763"/>
        <v>45853</v>
      </c>
      <c r="G8445" s="22">
        <f t="shared" si="760"/>
        <v>7</v>
      </c>
      <c r="H8445" s="22">
        <f t="shared" si="761"/>
        <v>2025</v>
      </c>
      <c r="I8445" s="17" t="s">
        <v>4</v>
      </c>
      <c r="J8445" s="17" t="s">
        <v>8909</v>
      </c>
      <c r="K8445" s="17" t="s">
        <v>36</v>
      </c>
      <c r="L8445" s="17" t="s">
        <v>37</v>
      </c>
      <c r="M8445" s="17" t="s">
        <v>38</v>
      </c>
      <c r="N8445" s="22" t="str">
        <f t="shared" si="762"/>
        <v>GAL</v>
      </c>
      <c r="O8445" s="19">
        <v>5</v>
      </c>
    </row>
    <row r="8446" spans="2:15" x14ac:dyDescent="0.25">
      <c r="B8446" s="16" t="s">
        <v>0</v>
      </c>
      <c r="C8446" s="17" t="s">
        <v>1</v>
      </c>
      <c r="D8446" s="17" t="s">
        <v>2</v>
      </c>
      <c r="E8446" s="17" t="s">
        <v>8908</v>
      </c>
      <c r="F8446" s="18">
        <f t="shared" si="763"/>
        <v>45853</v>
      </c>
      <c r="G8446" s="22">
        <f t="shared" si="760"/>
        <v>7</v>
      </c>
      <c r="H8446" s="22">
        <f t="shared" si="761"/>
        <v>2025</v>
      </c>
      <c r="I8446" s="17" t="s">
        <v>4</v>
      </c>
      <c r="J8446" s="17" t="s">
        <v>8909</v>
      </c>
      <c r="K8446" s="17" t="s">
        <v>16</v>
      </c>
      <c r="L8446" s="17" t="s">
        <v>7</v>
      </c>
      <c r="M8446" s="17" t="s">
        <v>8</v>
      </c>
      <c r="N8446" s="22" t="str">
        <f t="shared" si="762"/>
        <v>GAL</v>
      </c>
      <c r="O8446" s="19">
        <v>20</v>
      </c>
    </row>
    <row r="8447" spans="2:15" x14ac:dyDescent="0.25">
      <c r="B8447" s="16" t="s">
        <v>0</v>
      </c>
      <c r="C8447" s="17" t="s">
        <v>1</v>
      </c>
      <c r="D8447" s="17" t="s">
        <v>2</v>
      </c>
      <c r="E8447" s="17" t="s">
        <v>8908</v>
      </c>
      <c r="F8447" s="18">
        <f t="shared" si="763"/>
        <v>45853</v>
      </c>
      <c r="G8447" s="22">
        <f t="shared" si="760"/>
        <v>7</v>
      </c>
      <c r="H8447" s="22">
        <f t="shared" si="761"/>
        <v>2025</v>
      </c>
      <c r="I8447" s="17" t="s">
        <v>4</v>
      </c>
      <c r="J8447" s="17" t="s">
        <v>8909</v>
      </c>
      <c r="K8447" s="17" t="s">
        <v>19</v>
      </c>
      <c r="L8447" s="17" t="s">
        <v>6006</v>
      </c>
      <c r="M8447" s="17" t="s">
        <v>21</v>
      </c>
      <c r="N8447" s="22" t="str">
        <f t="shared" si="762"/>
        <v>GAL</v>
      </c>
      <c r="O8447" s="19">
        <v>20</v>
      </c>
    </row>
    <row r="8448" spans="2:15" x14ac:dyDescent="0.25">
      <c r="B8448" s="16" t="s">
        <v>0</v>
      </c>
      <c r="C8448" s="17" t="s">
        <v>1</v>
      </c>
      <c r="D8448" s="17" t="s">
        <v>2</v>
      </c>
      <c r="E8448" s="17" t="s">
        <v>61</v>
      </c>
      <c r="F8448" s="18">
        <f t="shared" si="763"/>
        <v>45853</v>
      </c>
      <c r="G8448" s="22">
        <f t="shared" si="760"/>
        <v>7</v>
      </c>
      <c r="H8448" s="22">
        <f t="shared" si="761"/>
        <v>2025</v>
      </c>
      <c r="I8448" s="17" t="s">
        <v>4</v>
      </c>
      <c r="J8448" s="17" t="s">
        <v>8910</v>
      </c>
      <c r="K8448" s="17" t="s">
        <v>28</v>
      </c>
      <c r="L8448" s="17" t="s">
        <v>29</v>
      </c>
      <c r="M8448" s="17" t="s">
        <v>30</v>
      </c>
      <c r="N8448" s="22" t="str">
        <f t="shared" si="762"/>
        <v>GAL</v>
      </c>
      <c r="O8448" s="19">
        <v>50</v>
      </c>
    </row>
    <row r="8449" spans="2:15" x14ac:dyDescent="0.25">
      <c r="B8449" s="16" t="s">
        <v>0</v>
      </c>
      <c r="C8449" s="17" t="s">
        <v>1</v>
      </c>
      <c r="D8449" s="17" t="s">
        <v>2</v>
      </c>
      <c r="E8449" s="17" t="s">
        <v>61</v>
      </c>
      <c r="F8449" s="18">
        <f t="shared" si="763"/>
        <v>45853</v>
      </c>
      <c r="G8449" s="22">
        <f t="shared" si="760"/>
        <v>7</v>
      </c>
      <c r="H8449" s="22">
        <f t="shared" si="761"/>
        <v>2025</v>
      </c>
      <c r="I8449" s="17" t="s">
        <v>4</v>
      </c>
      <c r="J8449" s="17" t="s">
        <v>8910</v>
      </c>
      <c r="K8449" s="17" t="s">
        <v>25</v>
      </c>
      <c r="L8449" s="17" t="s">
        <v>26</v>
      </c>
      <c r="M8449" s="17" t="s">
        <v>27</v>
      </c>
      <c r="N8449" s="22" t="str">
        <f t="shared" si="762"/>
        <v>GAL</v>
      </c>
      <c r="O8449" s="19">
        <v>100</v>
      </c>
    </row>
    <row r="8450" spans="2:15" x14ac:dyDescent="0.25">
      <c r="B8450" s="16" t="s">
        <v>0</v>
      </c>
      <c r="C8450" s="17" t="s">
        <v>1</v>
      </c>
      <c r="D8450" s="17" t="s">
        <v>2</v>
      </c>
      <c r="E8450" s="17" t="s">
        <v>61</v>
      </c>
      <c r="F8450" s="18">
        <f t="shared" si="763"/>
        <v>45853</v>
      </c>
      <c r="G8450" s="22">
        <f t="shared" si="760"/>
        <v>7</v>
      </c>
      <c r="H8450" s="22">
        <f t="shared" si="761"/>
        <v>2025</v>
      </c>
      <c r="I8450" s="17" t="s">
        <v>4</v>
      </c>
      <c r="J8450" s="17" t="s">
        <v>8910</v>
      </c>
      <c r="K8450" s="17" t="s">
        <v>16</v>
      </c>
      <c r="L8450" s="17" t="s">
        <v>7</v>
      </c>
      <c r="M8450" s="17" t="s">
        <v>8</v>
      </c>
      <c r="N8450" s="22" t="str">
        <f t="shared" si="762"/>
        <v>GAL</v>
      </c>
      <c r="O8450" s="19">
        <v>100</v>
      </c>
    </row>
    <row r="8451" spans="2:15" x14ac:dyDescent="0.25">
      <c r="B8451" s="16" t="s">
        <v>0</v>
      </c>
      <c r="C8451" s="17" t="s">
        <v>1</v>
      </c>
      <c r="D8451" s="17" t="s">
        <v>2</v>
      </c>
      <c r="E8451" s="17" t="s">
        <v>61</v>
      </c>
      <c r="F8451" s="18">
        <f t="shared" si="763"/>
        <v>45853</v>
      </c>
      <c r="G8451" s="22">
        <f t="shared" si="760"/>
        <v>7</v>
      </c>
      <c r="H8451" s="22">
        <f t="shared" si="761"/>
        <v>2025</v>
      </c>
      <c r="I8451" s="17" t="s">
        <v>4</v>
      </c>
      <c r="J8451" s="17" t="s">
        <v>8910</v>
      </c>
      <c r="K8451" s="17" t="s">
        <v>19</v>
      </c>
      <c r="L8451" s="17" t="s">
        <v>6006</v>
      </c>
      <c r="M8451" s="17" t="s">
        <v>21</v>
      </c>
      <c r="N8451" s="22" t="str">
        <f t="shared" si="762"/>
        <v>GAL</v>
      </c>
      <c r="O8451" s="19">
        <v>50</v>
      </c>
    </row>
    <row r="8452" spans="2:15" x14ac:dyDescent="0.25">
      <c r="B8452" s="16" t="s">
        <v>0</v>
      </c>
      <c r="C8452" s="17" t="s">
        <v>1</v>
      </c>
      <c r="D8452" s="17" t="s">
        <v>2</v>
      </c>
      <c r="E8452" s="17" t="s">
        <v>1790</v>
      </c>
      <c r="F8452" s="18">
        <f t="shared" ref="F8452:F8459" si="764">DATE(2025,7,24)</f>
        <v>45862</v>
      </c>
      <c r="G8452" s="22">
        <f t="shared" si="760"/>
        <v>7</v>
      </c>
      <c r="H8452" s="22">
        <f t="shared" si="761"/>
        <v>2025</v>
      </c>
      <c r="I8452" s="17" t="s">
        <v>4</v>
      </c>
      <c r="J8452" s="17" t="s">
        <v>8911</v>
      </c>
      <c r="K8452" s="17" t="s">
        <v>22</v>
      </c>
      <c r="L8452" s="17" t="s">
        <v>23</v>
      </c>
      <c r="M8452" s="17" t="s">
        <v>24</v>
      </c>
      <c r="N8452" s="22" t="str">
        <f t="shared" si="762"/>
        <v>GAL</v>
      </c>
      <c r="O8452" s="19">
        <v>40</v>
      </c>
    </row>
    <row r="8453" spans="2:15" x14ac:dyDescent="0.25">
      <c r="B8453" s="16" t="s">
        <v>0</v>
      </c>
      <c r="C8453" s="17" t="s">
        <v>1</v>
      </c>
      <c r="D8453" s="17" t="s">
        <v>2</v>
      </c>
      <c r="E8453" s="17" t="s">
        <v>1790</v>
      </c>
      <c r="F8453" s="18">
        <f t="shared" si="764"/>
        <v>45862</v>
      </c>
      <c r="G8453" s="22">
        <f t="shared" si="760"/>
        <v>7</v>
      </c>
      <c r="H8453" s="22">
        <f t="shared" si="761"/>
        <v>2025</v>
      </c>
      <c r="I8453" s="17" t="s">
        <v>4</v>
      </c>
      <c r="J8453" s="17" t="s">
        <v>8911</v>
      </c>
      <c r="K8453" s="17" t="s">
        <v>28</v>
      </c>
      <c r="L8453" s="17" t="s">
        <v>29</v>
      </c>
      <c r="M8453" s="17" t="s">
        <v>30</v>
      </c>
      <c r="N8453" s="22" t="str">
        <f t="shared" si="762"/>
        <v>GAL</v>
      </c>
      <c r="O8453" s="19">
        <v>40</v>
      </c>
    </row>
    <row r="8454" spans="2:15" x14ac:dyDescent="0.25">
      <c r="B8454" s="16" t="s">
        <v>0</v>
      </c>
      <c r="C8454" s="17" t="s">
        <v>1</v>
      </c>
      <c r="D8454" s="17" t="s">
        <v>2</v>
      </c>
      <c r="E8454" s="17" t="s">
        <v>1790</v>
      </c>
      <c r="F8454" s="18">
        <f t="shared" si="764"/>
        <v>45862</v>
      </c>
      <c r="G8454" s="22">
        <f t="shared" si="760"/>
        <v>7</v>
      </c>
      <c r="H8454" s="22">
        <f t="shared" si="761"/>
        <v>2025</v>
      </c>
      <c r="I8454" s="17" t="s">
        <v>4</v>
      </c>
      <c r="J8454" s="17" t="s">
        <v>8911</v>
      </c>
      <c r="K8454" s="17" t="s">
        <v>25</v>
      </c>
      <c r="L8454" s="17" t="s">
        <v>26</v>
      </c>
      <c r="M8454" s="17" t="s">
        <v>27</v>
      </c>
      <c r="N8454" s="22" t="str">
        <f t="shared" si="762"/>
        <v>GAL</v>
      </c>
      <c r="O8454" s="19">
        <v>40</v>
      </c>
    </row>
    <row r="8455" spans="2:15" x14ac:dyDescent="0.25">
      <c r="B8455" s="16" t="s">
        <v>0</v>
      </c>
      <c r="C8455" s="17" t="s">
        <v>1</v>
      </c>
      <c r="D8455" s="17" t="s">
        <v>2</v>
      </c>
      <c r="E8455" s="17" t="s">
        <v>1790</v>
      </c>
      <c r="F8455" s="18">
        <f t="shared" si="764"/>
        <v>45862</v>
      </c>
      <c r="G8455" s="22">
        <f t="shared" si="760"/>
        <v>7</v>
      </c>
      <c r="H8455" s="22">
        <f t="shared" si="761"/>
        <v>2025</v>
      </c>
      <c r="I8455" s="17" t="s">
        <v>4</v>
      </c>
      <c r="J8455" s="17" t="s">
        <v>8911</v>
      </c>
      <c r="K8455" s="17" t="s">
        <v>16</v>
      </c>
      <c r="L8455" s="17" t="s">
        <v>7</v>
      </c>
      <c r="M8455" s="17" t="s">
        <v>8</v>
      </c>
      <c r="N8455" s="22" t="str">
        <f t="shared" si="762"/>
        <v>GAL</v>
      </c>
      <c r="O8455" s="19">
        <v>40</v>
      </c>
    </row>
    <row r="8456" spans="2:15" x14ac:dyDescent="0.25">
      <c r="B8456" s="16" t="s">
        <v>0</v>
      </c>
      <c r="C8456" s="17" t="s">
        <v>1</v>
      </c>
      <c r="D8456" s="17" t="s">
        <v>2</v>
      </c>
      <c r="E8456" s="17" t="s">
        <v>1790</v>
      </c>
      <c r="F8456" s="18">
        <f t="shared" si="764"/>
        <v>45862</v>
      </c>
      <c r="G8456" s="22">
        <f t="shared" si="760"/>
        <v>7</v>
      </c>
      <c r="H8456" s="22">
        <f t="shared" si="761"/>
        <v>2025</v>
      </c>
      <c r="I8456" s="17" t="s">
        <v>4</v>
      </c>
      <c r="J8456" s="17" t="s">
        <v>8911</v>
      </c>
      <c r="K8456" s="17" t="s">
        <v>19</v>
      </c>
      <c r="L8456" s="17" t="s">
        <v>6006</v>
      </c>
      <c r="M8456" s="17" t="s">
        <v>21</v>
      </c>
      <c r="N8456" s="22" t="str">
        <f t="shared" si="762"/>
        <v>GAL</v>
      </c>
      <c r="O8456" s="19">
        <v>40</v>
      </c>
    </row>
    <row r="8457" spans="2:15" x14ac:dyDescent="0.25">
      <c r="B8457" s="16" t="s">
        <v>0</v>
      </c>
      <c r="C8457" s="17" t="s">
        <v>1</v>
      </c>
      <c r="D8457" s="17" t="s">
        <v>2</v>
      </c>
      <c r="E8457" s="17" t="s">
        <v>4287</v>
      </c>
      <c r="F8457" s="18">
        <f t="shared" si="764"/>
        <v>45862</v>
      </c>
      <c r="G8457" s="22">
        <f t="shared" si="760"/>
        <v>7</v>
      </c>
      <c r="H8457" s="22">
        <f t="shared" si="761"/>
        <v>2025</v>
      </c>
      <c r="I8457" s="17" t="s">
        <v>4</v>
      </c>
      <c r="J8457" s="17" t="s">
        <v>8912</v>
      </c>
      <c r="K8457" s="17" t="s">
        <v>28</v>
      </c>
      <c r="L8457" s="17" t="s">
        <v>29</v>
      </c>
      <c r="M8457" s="17" t="s">
        <v>30</v>
      </c>
      <c r="N8457" s="22" t="str">
        <f t="shared" si="762"/>
        <v>GAL</v>
      </c>
      <c r="O8457" s="19">
        <v>120</v>
      </c>
    </row>
    <row r="8458" spans="2:15" x14ac:dyDescent="0.25">
      <c r="B8458" s="16" t="s">
        <v>0</v>
      </c>
      <c r="C8458" s="17" t="s">
        <v>1</v>
      </c>
      <c r="D8458" s="17" t="s">
        <v>2</v>
      </c>
      <c r="E8458" s="17" t="s">
        <v>4287</v>
      </c>
      <c r="F8458" s="18">
        <f t="shared" si="764"/>
        <v>45862</v>
      </c>
      <c r="G8458" s="22">
        <f t="shared" si="760"/>
        <v>7</v>
      </c>
      <c r="H8458" s="22">
        <f t="shared" si="761"/>
        <v>2025</v>
      </c>
      <c r="I8458" s="17" t="s">
        <v>4</v>
      </c>
      <c r="J8458" s="17" t="s">
        <v>8912</v>
      </c>
      <c r="K8458" s="17" t="s">
        <v>50</v>
      </c>
      <c r="L8458" s="17" t="s">
        <v>51</v>
      </c>
      <c r="M8458" s="17" t="s">
        <v>52</v>
      </c>
      <c r="N8458" s="22" t="str">
        <f t="shared" si="762"/>
        <v>GAL</v>
      </c>
      <c r="O8458" s="19">
        <v>120</v>
      </c>
    </row>
    <row r="8459" spans="2:15" x14ac:dyDescent="0.25">
      <c r="B8459" s="16" t="s">
        <v>0</v>
      </c>
      <c r="C8459" s="17" t="s">
        <v>1</v>
      </c>
      <c r="D8459" s="17" t="s">
        <v>2</v>
      </c>
      <c r="E8459" s="17" t="s">
        <v>4287</v>
      </c>
      <c r="F8459" s="18">
        <f t="shared" si="764"/>
        <v>45862</v>
      </c>
      <c r="G8459" s="22">
        <f t="shared" si="760"/>
        <v>7</v>
      </c>
      <c r="H8459" s="22">
        <f t="shared" si="761"/>
        <v>2025</v>
      </c>
      <c r="I8459" s="17" t="s">
        <v>4</v>
      </c>
      <c r="J8459" s="17" t="s">
        <v>8912</v>
      </c>
      <c r="K8459" s="17" t="s">
        <v>25</v>
      </c>
      <c r="L8459" s="17" t="s">
        <v>26</v>
      </c>
      <c r="M8459" s="17" t="s">
        <v>27</v>
      </c>
      <c r="N8459" s="22" t="str">
        <f t="shared" si="762"/>
        <v>GAL</v>
      </c>
      <c r="O8459" s="19">
        <v>120</v>
      </c>
    </row>
    <row r="8460" spans="2:15" x14ac:dyDescent="0.25">
      <c r="B8460" s="16" t="s">
        <v>88</v>
      </c>
      <c r="C8460" s="17" t="s">
        <v>89</v>
      </c>
      <c r="D8460" s="17" t="s">
        <v>1444</v>
      </c>
      <c r="E8460" s="17" t="s">
        <v>102</v>
      </c>
      <c r="F8460" s="18">
        <f>DATE(2025,7,1)</f>
        <v>45839</v>
      </c>
      <c r="G8460" s="22">
        <f t="shared" si="760"/>
        <v>7</v>
      </c>
      <c r="H8460" s="22">
        <f t="shared" si="761"/>
        <v>2025</v>
      </c>
      <c r="I8460" s="17" t="s">
        <v>4</v>
      </c>
      <c r="J8460" s="17" t="s">
        <v>8913</v>
      </c>
      <c r="K8460" s="17" t="s">
        <v>1446</v>
      </c>
      <c r="L8460" s="17" t="s">
        <v>2581</v>
      </c>
      <c r="M8460" s="17" t="s">
        <v>1448</v>
      </c>
      <c r="N8460" s="22" t="str">
        <f t="shared" si="762"/>
        <v>GAL</v>
      </c>
      <c r="O8460" s="19">
        <v>360</v>
      </c>
    </row>
    <row r="8461" spans="2:15" x14ac:dyDescent="0.25">
      <c r="B8461" s="16" t="s">
        <v>88</v>
      </c>
      <c r="C8461" s="17" t="s">
        <v>89</v>
      </c>
      <c r="D8461" s="17" t="s">
        <v>7024</v>
      </c>
      <c r="E8461" s="17" t="s">
        <v>8914</v>
      </c>
      <c r="F8461" s="18">
        <f>DATE(2025,7,2)</f>
        <v>45840</v>
      </c>
      <c r="G8461" s="22">
        <f t="shared" si="760"/>
        <v>7</v>
      </c>
      <c r="H8461" s="22">
        <f t="shared" si="761"/>
        <v>2025</v>
      </c>
      <c r="I8461" s="17" t="s">
        <v>4</v>
      </c>
      <c r="J8461" s="17" t="s">
        <v>8915</v>
      </c>
      <c r="K8461" s="17" t="s">
        <v>7027</v>
      </c>
      <c r="L8461" s="17" t="s">
        <v>8916</v>
      </c>
      <c r="M8461" s="17" t="s">
        <v>106</v>
      </c>
      <c r="N8461" s="22" t="str">
        <f t="shared" si="762"/>
        <v>LBS</v>
      </c>
      <c r="O8461" s="19">
        <v>49080</v>
      </c>
    </row>
    <row r="8462" spans="2:15" x14ac:dyDescent="0.25">
      <c r="B8462" s="16" t="s">
        <v>88</v>
      </c>
      <c r="C8462" s="17" t="s">
        <v>89</v>
      </c>
      <c r="D8462" s="17" t="s">
        <v>2195</v>
      </c>
      <c r="E8462" s="17" t="s">
        <v>2196</v>
      </c>
      <c r="F8462" s="18">
        <f>DATE(2025,7,3)</f>
        <v>45841</v>
      </c>
      <c r="G8462" s="22">
        <f t="shared" si="760"/>
        <v>7</v>
      </c>
      <c r="H8462" s="22">
        <f t="shared" si="761"/>
        <v>2025</v>
      </c>
      <c r="I8462" s="17" t="s">
        <v>4</v>
      </c>
      <c r="J8462" s="17" t="s">
        <v>8917</v>
      </c>
      <c r="K8462" s="17" t="s">
        <v>1028</v>
      </c>
      <c r="L8462" s="17" t="s">
        <v>1029</v>
      </c>
      <c r="M8462" s="17" t="s">
        <v>106</v>
      </c>
      <c r="N8462" s="22" t="str">
        <f t="shared" si="762"/>
        <v>LBS</v>
      </c>
      <c r="O8462" s="19">
        <v>46780</v>
      </c>
    </row>
    <row r="8463" spans="2:15" x14ac:dyDescent="0.25">
      <c r="B8463" s="16" t="s">
        <v>88</v>
      </c>
      <c r="C8463" s="17" t="s">
        <v>89</v>
      </c>
      <c r="D8463" s="17" t="s">
        <v>6019</v>
      </c>
      <c r="E8463" s="17" t="s">
        <v>7633</v>
      </c>
      <c r="F8463" s="18">
        <f>DATE(2025,7,7)</f>
        <v>45845</v>
      </c>
      <c r="G8463" s="22">
        <f t="shared" si="760"/>
        <v>7</v>
      </c>
      <c r="H8463" s="22">
        <f t="shared" si="761"/>
        <v>2025</v>
      </c>
      <c r="I8463" s="17" t="s">
        <v>4</v>
      </c>
      <c r="J8463" s="17" t="s">
        <v>8918</v>
      </c>
      <c r="K8463" s="17" t="s">
        <v>7630</v>
      </c>
      <c r="L8463" s="17" t="s">
        <v>7631</v>
      </c>
      <c r="M8463" s="17" t="s">
        <v>4204</v>
      </c>
      <c r="N8463" s="22" t="str">
        <f t="shared" si="762"/>
        <v>GAL</v>
      </c>
      <c r="O8463" s="19">
        <v>6969</v>
      </c>
    </row>
    <row r="8464" spans="2:15" x14ac:dyDescent="0.25">
      <c r="B8464" s="16" t="s">
        <v>88</v>
      </c>
      <c r="C8464" s="17" t="s">
        <v>89</v>
      </c>
      <c r="D8464" s="17" t="s">
        <v>1444</v>
      </c>
      <c r="E8464" s="17" t="s">
        <v>2864</v>
      </c>
      <c r="F8464" s="18">
        <f>DATE(2025,7,9)</f>
        <v>45847</v>
      </c>
      <c r="G8464" s="22">
        <f t="shared" si="760"/>
        <v>7</v>
      </c>
      <c r="H8464" s="22">
        <f t="shared" si="761"/>
        <v>2025</v>
      </c>
      <c r="I8464" s="17" t="s">
        <v>4</v>
      </c>
      <c r="J8464" s="17" t="s">
        <v>8919</v>
      </c>
      <c r="K8464" s="17" t="s">
        <v>1446</v>
      </c>
      <c r="L8464" s="17" t="s">
        <v>2581</v>
      </c>
      <c r="M8464" s="17" t="s">
        <v>1448</v>
      </c>
      <c r="N8464" s="22" t="str">
        <f t="shared" si="762"/>
        <v>GAL</v>
      </c>
      <c r="O8464" s="19">
        <v>360</v>
      </c>
    </row>
    <row r="8465" spans="2:15" x14ac:dyDescent="0.25">
      <c r="B8465" s="16" t="s">
        <v>88</v>
      </c>
      <c r="C8465" s="17" t="s">
        <v>89</v>
      </c>
      <c r="D8465" s="17" t="s">
        <v>6019</v>
      </c>
      <c r="E8465" s="17" t="s">
        <v>7633</v>
      </c>
      <c r="F8465" s="18">
        <f>DATE(2025,7,9)</f>
        <v>45847</v>
      </c>
      <c r="G8465" s="22">
        <f t="shared" si="760"/>
        <v>7</v>
      </c>
      <c r="H8465" s="22">
        <f t="shared" si="761"/>
        <v>2025</v>
      </c>
      <c r="I8465" s="17" t="s">
        <v>4</v>
      </c>
      <c r="J8465" s="17" t="s">
        <v>8920</v>
      </c>
      <c r="K8465" s="17" t="s">
        <v>7630</v>
      </c>
      <c r="L8465" s="17" t="s">
        <v>7631</v>
      </c>
      <c r="M8465" s="17" t="s">
        <v>4204</v>
      </c>
      <c r="N8465" s="22" t="str">
        <f t="shared" si="762"/>
        <v>GAL</v>
      </c>
      <c r="O8465" s="19">
        <v>7014</v>
      </c>
    </row>
    <row r="8466" spans="2:15" x14ac:dyDescent="0.25">
      <c r="B8466" s="16" t="s">
        <v>88</v>
      </c>
      <c r="C8466" s="17" t="s">
        <v>89</v>
      </c>
      <c r="D8466" s="17" t="s">
        <v>1444</v>
      </c>
      <c r="E8466" s="17" t="s">
        <v>102</v>
      </c>
      <c r="F8466" s="18">
        <f>DATE(2025,7,10)</f>
        <v>45848</v>
      </c>
      <c r="G8466" s="22">
        <f t="shared" si="760"/>
        <v>7</v>
      </c>
      <c r="H8466" s="22">
        <f t="shared" si="761"/>
        <v>2025</v>
      </c>
      <c r="I8466" s="17" t="s">
        <v>4</v>
      </c>
      <c r="J8466" s="17" t="s">
        <v>8921</v>
      </c>
      <c r="K8466" s="17" t="s">
        <v>1446</v>
      </c>
      <c r="L8466" s="17" t="s">
        <v>2581</v>
      </c>
      <c r="M8466" s="17" t="s">
        <v>1448</v>
      </c>
      <c r="N8466" s="22" t="str">
        <f t="shared" si="762"/>
        <v>GAL</v>
      </c>
      <c r="O8466" s="19">
        <v>360</v>
      </c>
    </row>
    <row r="8467" spans="2:15" x14ac:dyDescent="0.25">
      <c r="B8467" s="16" t="s">
        <v>88</v>
      </c>
      <c r="C8467" s="17" t="s">
        <v>89</v>
      </c>
      <c r="D8467" s="17" t="s">
        <v>6019</v>
      </c>
      <c r="E8467" s="17" t="s">
        <v>8580</v>
      </c>
      <c r="F8467" s="18">
        <f>DATE(2025,7,10)</f>
        <v>45848</v>
      </c>
      <c r="G8467" s="22">
        <f t="shared" si="760"/>
        <v>7</v>
      </c>
      <c r="H8467" s="22">
        <f t="shared" si="761"/>
        <v>2025</v>
      </c>
      <c r="I8467" s="17" t="s">
        <v>4</v>
      </c>
      <c r="J8467" s="17" t="s">
        <v>8922</v>
      </c>
      <c r="K8467" s="17" t="s">
        <v>7630</v>
      </c>
      <c r="L8467" s="17" t="s">
        <v>7631</v>
      </c>
      <c r="M8467" s="17" t="s">
        <v>4204</v>
      </c>
      <c r="N8467" s="22" t="str">
        <f t="shared" si="762"/>
        <v>GAL</v>
      </c>
      <c r="O8467" s="19">
        <v>7011</v>
      </c>
    </row>
    <row r="8468" spans="2:15" x14ac:dyDescent="0.25">
      <c r="B8468" s="16" t="s">
        <v>88</v>
      </c>
      <c r="C8468" s="17" t="s">
        <v>89</v>
      </c>
      <c r="D8468" s="17" t="s">
        <v>167</v>
      </c>
      <c r="E8468" s="17" t="s">
        <v>168</v>
      </c>
      <c r="F8468" s="18">
        <f>DATE(2025,7,10)</f>
        <v>45848</v>
      </c>
      <c r="G8468" s="22">
        <f t="shared" si="760"/>
        <v>7</v>
      </c>
      <c r="H8468" s="22">
        <f t="shared" si="761"/>
        <v>2025</v>
      </c>
      <c r="I8468" s="17" t="s">
        <v>4</v>
      </c>
      <c r="J8468" s="17" t="s">
        <v>8923</v>
      </c>
      <c r="K8468" s="17" t="s">
        <v>2629</v>
      </c>
      <c r="L8468" s="17" t="s">
        <v>2630</v>
      </c>
      <c r="M8468" s="17" t="s">
        <v>2631</v>
      </c>
      <c r="N8468" s="22" t="str">
        <f t="shared" si="762"/>
        <v>GAL</v>
      </c>
      <c r="O8468" s="19">
        <v>70</v>
      </c>
    </row>
    <row r="8469" spans="2:15" x14ac:dyDescent="0.25">
      <c r="B8469" s="16" t="s">
        <v>88</v>
      </c>
      <c r="C8469" s="17" t="s">
        <v>89</v>
      </c>
      <c r="D8469" s="17" t="s">
        <v>134</v>
      </c>
      <c r="E8469" s="17" t="s">
        <v>135</v>
      </c>
      <c r="F8469" s="18">
        <f>DATE(2025,7,14)</f>
        <v>45852</v>
      </c>
      <c r="G8469" s="22">
        <f t="shared" si="760"/>
        <v>7</v>
      </c>
      <c r="H8469" s="22">
        <f t="shared" si="761"/>
        <v>2025</v>
      </c>
      <c r="I8469" s="17" t="s">
        <v>4</v>
      </c>
      <c r="J8469" s="17" t="s">
        <v>8924</v>
      </c>
      <c r="K8469" s="17" t="s">
        <v>1189</v>
      </c>
      <c r="L8469" s="17" t="s">
        <v>138</v>
      </c>
      <c r="M8469" s="17" t="s">
        <v>139</v>
      </c>
      <c r="N8469" s="22" t="str">
        <f t="shared" si="762"/>
        <v>GAL</v>
      </c>
      <c r="O8469" s="19">
        <v>270</v>
      </c>
    </row>
    <row r="8470" spans="2:15" x14ac:dyDescent="0.25">
      <c r="B8470" s="16" t="s">
        <v>88</v>
      </c>
      <c r="C8470" s="17" t="s">
        <v>89</v>
      </c>
      <c r="D8470" s="17" t="s">
        <v>7638</v>
      </c>
      <c r="E8470" s="17" t="s">
        <v>102</v>
      </c>
      <c r="F8470" s="18">
        <f>DATE(2025,7,16)</f>
        <v>45854</v>
      </c>
      <c r="G8470" s="22">
        <f t="shared" si="760"/>
        <v>7</v>
      </c>
      <c r="H8470" s="22">
        <f t="shared" si="761"/>
        <v>2025</v>
      </c>
      <c r="I8470" s="17" t="s">
        <v>4</v>
      </c>
      <c r="J8470" s="17" t="s">
        <v>8925</v>
      </c>
      <c r="K8470" s="17" t="s">
        <v>1501</v>
      </c>
      <c r="L8470" s="17" t="s">
        <v>602</v>
      </c>
      <c r="M8470" s="17" t="s">
        <v>41</v>
      </c>
      <c r="N8470" s="22" t="str">
        <f t="shared" si="762"/>
        <v>GAL</v>
      </c>
      <c r="O8470" s="19">
        <v>60</v>
      </c>
    </row>
    <row r="8471" spans="2:15" x14ac:dyDescent="0.25">
      <c r="B8471" s="16" t="s">
        <v>88</v>
      </c>
      <c r="C8471" s="17" t="s">
        <v>89</v>
      </c>
      <c r="D8471" s="17" t="s">
        <v>7638</v>
      </c>
      <c r="E8471" s="17" t="s">
        <v>102</v>
      </c>
      <c r="F8471" s="18">
        <f>DATE(2025,7,18)</f>
        <v>45856</v>
      </c>
      <c r="G8471" s="22">
        <f t="shared" si="760"/>
        <v>7</v>
      </c>
      <c r="H8471" s="22">
        <f t="shared" si="761"/>
        <v>2025</v>
      </c>
      <c r="I8471" s="17" t="s">
        <v>4</v>
      </c>
      <c r="J8471" s="17" t="s">
        <v>8926</v>
      </c>
      <c r="K8471" s="17" t="s">
        <v>7643</v>
      </c>
      <c r="L8471" s="17" t="s">
        <v>7644</v>
      </c>
      <c r="M8471" s="17" t="s">
        <v>3649</v>
      </c>
      <c r="N8471" s="22" t="str">
        <f t="shared" si="762"/>
        <v>GAL</v>
      </c>
      <c r="O8471" s="19">
        <v>550</v>
      </c>
    </row>
    <row r="8472" spans="2:15" x14ac:dyDescent="0.25">
      <c r="B8472" s="16" t="s">
        <v>88</v>
      </c>
      <c r="C8472" s="17" t="s">
        <v>89</v>
      </c>
      <c r="D8472" s="17" t="s">
        <v>1082</v>
      </c>
      <c r="E8472" s="17" t="s">
        <v>1083</v>
      </c>
      <c r="F8472" s="18">
        <f>DATE(2025,7,31)</f>
        <v>45869</v>
      </c>
      <c r="G8472" s="22">
        <f t="shared" si="760"/>
        <v>7</v>
      </c>
      <c r="H8472" s="22">
        <f t="shared" si="761"/>
        <v>2025</v>
      </c>
      <c r="I8472" s="17" t="s">
        <v>4</v>
      </c>
      <c r="J8472" s="17" t="s">
        <v>8927</v>
      </c>
      <c r="K8472" s="17" t="s">
        <v>244</v>
      </c>
      <c r="L8472" s="17" t="s">
        <v>182</v>
      </c>
      <c r="M8472" s="17" t="s">
        <v>183</v>
      </c>
      <c r="N8472" s="22" t="str">
        <f t="shared" si="762"/>
        <v>GAL</v>
      </c>
      <c r="O8472" s="19">
        <v>25</v>
      </c>
    </row>
    <row r="8473" spans="2:15" x14ac:dyDescent="0.25">
      <c r="B8473" s="16" t="s">
        <v>154</v>
      </c>
      <c r="C8473" s="17" t="s">
        <v>155</v>
      </c>
      <c r="D8473" s="17" t="s">
        <v>167</v>
      </c>
      <c r="E8473" s="17" t="s">
        <v>168</v>
      </c>
      <c r="F8473" s="18">
        <f>DATE(2025,7,1)</f>
        <v>45839</v>
      </c>
      <c r="G8473" s="22">
        <f t="shared" si="760"/>
        <v>7</v>
      </c>
      <c r="H8473" s="22">
        <f t="shared" si="761"/>
        <v>2025</v>
      </c>
      <c r="I8473" s="17" t="s">
        <v>4</v>
      </c>
      <c r="J8473" s="17" t="s">
        <v>8928</v>
      </c>
      <c r="K8473" s="17" t="s">
        <v>1734</v>
      </c>
      <c r="L8473" s="17" t="s">
        <v>1735</v>
      </c>
      <c r="M8473" s="17" t="s">
        <v>1736</v>
      </c>
      <c r="N8473" s="22" t="str">
        <f t="shared" si="762"/>
        <v>GAL</v>
      </c>
      <c r="O8473" s="19">
        <v>180</v>
      </c>
    </row>
    <row r="8474" spans="2:15" x14ac:dyDescent="0.25">
      <c r="B8474" s="16" t="s">
        <v>154</v>
      </c>
      <c r="C8474" s="17" t="s">
        <v>155</v>
      </c>
      <c r="D8474" s="17" t="s">
        <v>628</v>
      </c>
      <c r="E8474" s="17" t="s">
        <v>629</v>
      </c>
      <c r="F8474" s="18">
        <f>DATE(2025,7,2)</f>
        <v>45840</v>
      </c>
      <c r="G8474" s="22">
        <f t="shared" si="760"/>
        <v>7</v>
      </c>
      <c r="H8474" s="22">
        <f t="shared" si="761"/>
        <v>2025</v>
      </c>
      <c r="I8474" s="17" t="s">
        <v>4</v>
      </c>
      <c r="J8474" s="17" t="s">
        <v>8929</v>
      </c>
      <c r="K8474" s="17" t="s">
        <v>3436</v>
      </c>
      <c r="L8474" s="17" t="s">
        <v>3437</v>
      </c>
      <c r="M8474" s="17" t="s">
        <v>67</v>
      </c>
      <c r="N8474" s="22" t="str">
        <f t="shared" si="762"/>
        <v>GAL</v>
      </c>
      <c r="O8474" s="19">
        <v>750</v>
      </c>
    </row>
    <row r="8475" spans="2:15" x14ac:dyDescent="0.25">
      <c r="B8475" s="16" t="s">
        <v>154</v>
      </c>
      <c r="C8475" s="17" t="s">
        <v>155</v>
      </c>
      <c r="D8475" s="17" t="s">
        <v>161</v>
      </c>
      <c r="E8475" s="17" t="s">
        <v>162</v>
      </c>
      <c r="F8475" s="18">
        <f>DATE(2025,7,2)</f>
        <v>45840</v>
      </c>
      <c r="G8475" s="22">
        <f t="shared" si="760"/>
        <v>7</v>
      </c>
      <c r="H8475" s="22">
        <f t="shared" si="761"/>
        <v>2025</v>
      </c>
      <c r="I8475" s="17" t="s">
        <v>4</v>
      </c>
      <c r="J8475" s="17" t="s">
        <v>8930</v>
      </c>
      <c r="K8475" s="17" t="s">
        <v>5212</v>
      </c>
      <c r="L8475" s="17" t="s">
        <v>190</v>
      </c>
      <c r="M8475" s="17" t="s">
        <v>191</v>
      </c>
      <c r="N8475" s="22" t="str">
        <f t="shared" si="762"/>
        <v>GAL</v>
      </c>
      <c r="O8475" s="19">
        <v>250</v>
      </c>
    </row>
    <row r="8476" spans="2:15" x14ac:dyDescent="0.25">
      <c r="B8476" s="16" t="s">
        <v>154</v>
      </c>
      <c r="C8476" s="17" t="s">
        <v>155</v>
      </c>
      <c r="D8476" s="17" t="s">
        <v>167</v>
      </c>
      <c r="E8476" s="17" t="s">
        <v>168</v>
      </c>
      <c r="F8476" s="18">
        <f>DATE(2025,7,3)</f>
        <v>45841</v>
      </c>
      <c r="G8476" s="22">
        <f t="shared" si="760"/>
        <v>7</v>
      </c>
      <c r="H8476" s="22">
        <f t="shared" si="761"/>
        <v>2025</v>
      </c>
      <c r="I8476" s="17" t="s">
        <v>4</v>
      </c>
      <c r="J8476" s="17" t="s">
        <v>8931</v>
      </c>
      <c r="K8476" s="17" t="s">
        <v>171</v>
      </c>
      <c r="L8476" s="17" t="s">
        <v>172</v>
      </c>
      <c r="M8476" s="17" t="s">
        <v>27</v>
      </c>
      <c r="N8476" s="22" t="str">
        <f t="shared" si="762"/>
        <v>GAL</v>
      </c>
      <c r="O8476" s="19">
        <v>180</v>
      </c>
    </row>
    <row r="8477" spans="2:15" x14ac:dyDescent="0.25">
      <c r="B8477" s="16" t="s">
        <v>154</v>
      </c>
      <c r="C8477" s="17" t="s">
        <v>155</v>
      </c>
      <c r="D8477" s="17" t="s">
        <v>591</v>
      </c>
      <c r="E8477" s="17" t="s">
        <v>592</v>
      </c>
      <c r="F8477" s="18">
        <f>DATE(2025,7,7)</f>
        <v>45845</v>
      </c>
      <c r="G8477" s="22">
        <f t="shared" si="760"/>
        <v>7</v>
      </c>
      <c r="H8477" s="22">
        <f t="shared" si="761"/>
        <v>2025</v>
      </c>
      <c r="I8477" s="17" t="s">
        <v>4</v>
      </c>
      <c r="J8477" s="17" t="s">
        <v>8932</v>
      </c>
      <c r="K8477" s="17" t="s">
        <v>1098</v>
      </c>
      <c r="L8477" s="17" t="s">
        <v>632</v>
      </c>
      <c r="M8477" s="17" t="s">
        <v>633</v>
      </c>
      <c r="N8477" s="22" t="str">
        <f t="shared" si="762"/>
        <v>GAL</v>
      </c>
      <c r="O8477" s="19">
        <v>2031</v>
      </c>
    </row>
    <row r="8478" spans="2:15" x14ac:dyDescent="0.25">
      <c r="B8478" s="16" t="s">
        <v>154</v>
      </c>
      <c r="C8478" s="17" t="s">
        <v>155</v>
      </c>
      <c r="D8478" s="17" t="s">
        <v>507</v>
      </c>
      <c r="E8478" s="17" t="s">
        <v>508</v>
      </c>
      <c r="F8478" s="18">
        <f>DATE(2025,7,9)</f>
        <v>45847</v>
      </c>
      <c r="G8478" s="22">
        <f t="shared" si="760"/>
        <v>7</v>
      </c>
      <c r="H8478" s="22">
        <f t="shared" si="761"/>
        <v>2025</v>
      </c>
      <c r="I8478" s="17" t="s">
        <v>4</v>
      </c>
      <c r="J8478" s="17" t="s">
        <v>8933</v>
      </c>
      <c r="K8478" s="17" t="s">
        <v>4226</v>
      </c>
      <c r="L8478" s="17" t="s">
        <v>4227</v>
      </c>
      <c r="M8478" s="17" t="s">
        <v>24</v>
      </c>
      <c r="N8478" s="22" t="str">
        <f t="shared" si="762"/>
        <v>GAL</v>
      </c>
      <c r="O8478" s="19">
        <v>180</v>
      </c>
    </row>
    <row r="8479" spans="2:15" x14ac:dyDescent="0.25">
      <c r="B8479" s="16" t="s">
        <v>154</v>
      </c>
      <c r="C8479" s="17" t="s">
        <v>155</v>
      </c>
      <c r="D8479" s="17" t="s">
        <v>507</v>
      </c>
      <c r="E8479" s="17" t="s">
        <v>508</v>
      </c>
      <c r="F8479" s="18">
        <f>DATE(2025,7,9)</f>
        <v>45847</v>
      </c>
      <c r="G8479" s="22">
        <f t="shared" si="760"/>
        <v>7</v>
      </c>
      <c r="H8479" s="22">
        <f t="shared" si="761"/>
        <v>2025</v>
      </c>
      <c r="I8479" s="17" t="s">
        <v>4</v>
      </c>
      <c r="J8479" s="17" t="s">
        <v>8933</v>
      </c>
      <c r="K8479" s="17" t="s">
        <v>164</v>
      </c>
      <c r="L8479" s="17" t="s">
        <v>165</v>
      </c>
      <c r="M8479" s="17" t="s">
        <v>166</v>
      </c>
      <c r="N8479" s="22" t="str">
        <f t="shared" si="762"/>
        <v>GAL</v>
      </c>
      <c r="O8479" s="19">
        <v>180</v>
      </c>
    </row>
    <row r="8480" spans="2:15" x14ac:dyDescent="0.25">
      <c r="B8480" s="16" t="s">
        <v>154</v>
      </c>
      <c r="C8480" s="17" t="s">
        <v>155</v>
      </c>
      <c r="D8480" s="17" t="s">
        <v>628</v>
      </c>
      <c r="E8480" s="17" t="s">
        <v>629</v>
      </c>
      <c r="F8480" s="18">
        <f>DATE(2025,7,10)</f>
        <v>45848</v>
      </c>
      <c r="G8480" s="22">
        <f t="shared" si="760"/>
        <v>7</v>
      </c>
      <c r="H8480" s="22">
        <f t="shared" si="761"/>
        <v>2025</v>
      </c>
      <c r="I8480" s="17" t="s">
        <v>4</v>
      </c>
      <c r="J8480" s="17" t="s">
        <v>8934</v>
      </c>
      <c r="K8480" s="17" t="s">
        <v>8348</v>
      </c>
      <c r="L8480" s="17" t="s">
        <v>1854</v>
      </c>
      <c r="M8480" s="17" t="s">
        <v>1816</v>
      </c>
      <c r="N8480" s="22" t="str">
        <f t="shared" si="762"/>
        <v>GAL</v>
      </c>
      <c r="O8480" s="19">
        <v>250</v>
      </c>
    </row>
    <row r="8481" spans="2:15" x14ac:dyDescent="0.25">
      <c r="B8481" s="16" t="s">
        <v>154</v>
      </c>
      <c r="C8481" s="17" t="s">
        <v>155</v>
      </c>
      <c r="D8481" s="17" t="s">
        <v>628</v>
      </c>
      <c r="E8481" s="17" t="s">
        <v>629</v>
      </c>
      <c r="F8481" s="18">
        <f>DATE(2025,7,10)</f>
        <v>45848</v>
      </c>
      <c r="G8481" s="22">
        <f t="shared" si="760"/>
        <v>7</v>
      </c>
      <c r="H8481" s="22">
        <f t="shared" si="761"/>
        <v>2025</v>
      </c>
      <c r="I8481" s="17" t="s">
        <v>4</v>
      </c>
      <c r="J8481" s="17" t="s">
        <v>8934</v>
      </c>
      <c r="K8481" s="17" t="s">
        <v>1853</v>
      </c>
      <c r="L8481" s="17" t="s">
        <v>1854</v>
      </c>
      <c r="M8481" s="17" t="s">
        <v>1816</v>
      </c>
      <c r="N8481" s="22" t="str">
        <f t="shared" si="762"/>
        <v>GAL</v>
      </c>
      <c r="O8481" s="19">
        <v>120</v>
      </c>
    </row>
    <row r="8482" spans="2:15" x14ac:dyDescent="0.25">
      <c r="B8482" s="16" t="s">
        <v>154</v>
      </c>
      <c r="C8482" s="17" t="s">
        <v>155</v>
      </c>
      <c r="D8482" s="17" t="s">
        <v>161</v>
      </c>
      <c r="E8482" s="17" t="s">
        <v>162</v>
      </c>
      <c r="F8482" s="18">
        <f>DATE(2025,7,10)</f>
        <v>45848</v>
      </c>
      <c r="G8482" s="22">
        <f t="shared" si="760"/>
        <v>7</v>
      </c>
      <c r="H8482" s="22">
        <f t="shared" si="761"/>
        <v>2025</v>
      </c>
      <c r="I8482" s="17" t="s">
        <v>4</v>
      </c>
      <c r="J8482" s="17" t="s">
        <v>8935</v>
      </c>
      <c r="K8482" s="17" t="s">
        <v>164</v>
      </c>
      <c r="L8482" s="17" t="s">
        <v>165</v>
      </c>
      <c r="M8482" s="17" t="s">
        <v>166</v>
      </c>
      <c r="N8482" s="22" t="str">
        <f t="shared" si="762"/>
        <v>GAL</v>
      </c>
      <c r="O8482" s="19">
        <v>180</v>
      </c>
    </row>
    <row r="8483" spans="2:15" x14ac:dyDescent="0.25">
      <c r="B8483" s="16" t="s">
        <v>154</v>
      </c>
      <c r="C8483" s="17" t="s">
        <v>155</v>
      </c>
      <c r="D8483" s="17" t="s">
        <v>161</v>
      </c>
      <c r="E8483" s="17" t="s">
        <v>162</v>
      </c>
      <c r="F8483" s="18">
        <f>DATE(2025,7,14)</f>
        <v>45852</v>
      </c>
      <c r="G8483" s="22">
        <f t="shared" si="760"/>
        <v>7</v>
      </c>
      <c r="H8483" s="22">
        <f t="shared" si="761"/>
        <v>2025</v>
      </c>
      <c r="I8483" s="17" t="s">
        <v>4</v>
      </c>
      <c r="J8483" s="17" t="s">
        <v>8936</v>
      </c>
      <c r="K8483" s="17" t="s">
        <v>171</v>
      </c>
      <c r="L8483" s="17" t="s">
        <v>172</v>
      </c>
      <c r="M8483" s="17" t="s">
        <v>27</v>
      </c>
      <c r="N8483" s="22" t="str">
        <f t="shared" si="762"/>
        <v>GAL</v>
      </c>
      <c r="O8483" s="19">
        <v>180</v>
      </c>
    </row>
    <row r="8484" spans="2:15" x14ac:dyDescent="0.25">
      <c r="B8484" s="16" t="s">
        <v>154</v>
      </c>
      <c r="C8484" s="17" t="s">
        <v>155</v>
      </c>
      <c r="D8484" s="17" t="s">
        <v>178</v>
      </c>
      <c r="E8484" s="17" t="s">
        <v>179</v>
      </c>
      <c r="F8484" s="18">
        <f>DATE(2025,7,15)</f>
        <v>45853</v>
      </c>
      <c r="G8484" s="22">
        <f t="shared" si="760"/>
        <v>7</v>
      </c>
      <c r="H8484" s="22">
        <f t="shared" si="761"/>
        <v>2025</v>
      </c>
      <c r="I8484" s="17" t="s">
        <v>4</v>
      </c>
      <c r="J8484" s="17" t="s">
        <v>8937</v>
      </c>
      <c r="K8484" s="17" t="s">
        <v>609</v>
      </c>
      <c r="L8484" s="17" t="s">
        <v>610</v>
      </c>
      <c r="M8484" s="17" t="s">
        <v>611</v>
      </c>
      <c r="N8484" s="22" t="str">
        <f t="shared" si="762"/>
        <v>GAL</v>
      </c>
      <c r="O8484" s="19">
        <v>120</v>
      </c>
    </row>
    <row r="8485" spans="2:15" x14ac:dyDescent="0.25">
      <c r="B8485" s="16" t="s">
        <v>154</v>
      </c>
      <c r="C8485" s="17" t="s">
        <v>155</v>
      </c>
      <c r="D8485" s="17" t="s">
        <v>178</v>
      </c>
      <c r="E8485" s="17" t="s">
        <v>179</v>
      </c>
      <c r="F8485" s="18">
        <f>DATE(2025,7,15)</f>
        <v>45853</v>
      </c>
      <c r="G8485" s="22">
        <f t="shared" si="760"/>
        <v>7</v>
      </c>
      <c r="H8485" s="22">
        <f t="shared" si="761"/>
        <v>2025</v>
      </c>
      <c r="I8485" s="17" t="s">
        <v>4</v>
      </c>
      <c r="J8485" s="17" t="s">
        <v>8937</v>
      </c>
      <c r="K8485" s="17" t="s">
        <v>164</v>
      </c>
      <c r="L8485" s="17" t="s">
        <v>165</v>
      </c>
      <c r="M8485" s="17" t="s">
        <v>166</v>
      </c>
      <c r="N8485" s="22" t="str">
        <f t="shared" si="762"/>
        <v>GAL</v>
      </c>
      <c r="O8485" s="19">
        <v>100</v>
      </c>
    </row>
    <row r="8486" spans="2:15" x14ac:dyDescent="0.25">
      <c r="B8486" s="16" t="s">
        <v>154</v>
      </c>
      <c r="C8486" s="17" t="s">
        <v>155</v>
      </c>
      <c r="D8486" s="17" t="s">
        <v>1111</v>
      </c>
      <c r="E8486" s="17" t="s">
        <v>1112</v>
      </c>
      <c r="F8486" s="18">
        <f>DATE(2025,7,16)</f>
        <v>45854</v>
      </c>
      <c r="G8486" s="22">
        <f t="shared" si="760"/>
        <v>7</v>
      </c>
      <c r="H8486" s="22">
        <f t="shared" si="761"/>
        <v>2025</v>
      </c>
      <c r="I8486" s="17" t="s">
        <v>4</v>
      </c>
      <c r="J8486" s="17" t="s">
        <v>8938</v>
      </c>
      <c r="K8486" s="17" t="s">
        <v>1869</v>
      </c>
      <c r="L8486" s="17" t="s">
        <v>172</v>
      </c>
      <c r="M8486" s="17" t="s">
        <v>27</v>
      </c>
      <c r="N8486" s="22" t="str">
        <f t="shared" si="762"/>
        <v>GAL</v>
      </c>
      <c r="O8486" s="19">
        <v>500</v>
      </c>
    </row>
    <row r="8487" spans="2:15" x14ac:dyDescent="0.25">
      <c r="B8487" s="16" t="s">
        <v>154</v>
      </c>
      <c r="C8487" s="17" t="s">
        <v>155</v>
      </c>
      <c r="D8487" s="17" t="s">
        <v>628</v>
      </c>
      <c r="E8487" s="17" t="s">
        <v>629</v>
      </c>
      <c r="F8487" s="18">
        <f>DATE(2025,7,17)</f>
        <v>45855</v>
      </c>
      <c r="G8487" s="22">
        <f t="shared" si="760"/>
        <v>7</v>
      </c>
      <c r="H8487" s="22">
        <f t="shared" si="761"/>
        <v>2025</v>
      </c>
      <c r="I8487" s="17" t="s">
        <v>4</v>
      </c>
      <c r="J8487" s="17" t="s">
        <v>8939</v>
      </c>
      <c r="K8487" s="17" t="s">
        <v>631</v>
      </c>
      <c r="L8487" s="17" t="s">
        <v>632</v>
      </c>
      <c r="M8487" s="17" t="s">
        <v>633</v>
      </c>
      <c r="N8487" s="22" t="str">
        <f t="shared" si="762"/>
        <v>GAL</v>
      </c>
      <c r="O8487" s="19">
        <v>500</v>
      </c>
    </row>
    <row r="8488" spans="2:15" x14ac:dyDescent="0.25">
      <c r="B8488" s="16" t="s">
        <v>154</v>
      </c>
      <c r="C8488" s="17" t="s">
        <v>155</v>
      </c>
      <c r="D8488" s="17" t="s">
        <v>161</v>
      </c>
      <c r="E8488" s="17" t="s">
        <v>162</v>
      </c>
      <c r="F8488" s="18">
        <f>DATE(2025,7,22)</f>
        <v>45860</v>
      </c>
      <c r="G8488" s="22">
        <f t="shared" si="760"/>
        <v>7</v>
      </c>
      <c r="H8488" s="22">
        <f t="shared" si="761"/>
        <v>2025</v>
      </c>
      <c r="I8488" s="17" t="s">
        <v>4</v>
      </c>
      <c r="J8488" s="17" t="s">
        <v>8940</v>
      </c>
      <c r="K8488" s="17" t="s">
        <v>1869</v>
      </c>
      <c r="L8488" s="17" t="s">
        <v>172</v>
      </c>
      <c r="M8488" s="17" t="s">
        <v>27</v>
      </c>
      <c r="N8488" s="22" t="str">
        <f t="shared" si="762"/>
        <v>GAL</v>
      </c>
      <c r="O8488" s="19">
        <v>500</v>
      </c>
    </row>
    <row r="8489" spans="2:15" x14ac:dyDescent="0.25">
      <c r="B8489" s="16" t="s">
        <v>154</v>
      </c>
      <c r="C8489" s="17" t="s">
        <v>155</v>
      </c>
      <c r="D8489" s="17" t="s">
        <v>507</v>
      </c>
      <c r="E8489" s="17" t="s">
        <v>508</v>
      </c>
      <c r="F8489" s="18">
        <f>DATE(2025,7,23)</f>
        <v>45861</v>
      </c>
      <c r="G8489" s="22">
        <f t="shared" si="760"/>
        <v>7</v>
      </c>
      <c r="H8489" s="22">
        <f t="shared" si="761"/>
        <v>2025</v>
      </c>
      <c r="I8489" s="17" t="s">
        <v>4</v>
      </c>
      <c r="J8489" s="17" t="s">
        <v>8941</v>
      </c>
      <c r="K8489" s="17" t="s">
        <v>164</v>
      </c>
      <c r="L8489" s="17" t="s">
        <v>165</v>
      </c>
      <c r="M8489" s="17" t="s">
        <v>166</v>
      </c>
      <c r="N8489" s="22" t="str">
        <f t="shared" si="762"/>
        <v>GAL</v>
      </c>
      <c r="O8489" s="19">
        <v>360</v>
      </c>
    </row>
    <row r="8490" spans="2:15" x14ac:dyDescent="0.25">
      <c r="B8490" s="16" t="s">
        <v>154</v>
      </c>
      <c r="C8490" s="17" t="s">
        <v>155</v>
      </c>
      <c r="D8490" s="17" t="s">
        <v>161</v>
      </c>
      <c r="E8490" s="17" t="s">
        <v>162</v>
      </c>
      <c r="F8490" s="18">
        <f>DATE(2025,7,23)</f>
        <v>45861</v>
      </c>
      <c r="G8490" s="22">
        <f t="shared" si="760"/>
        <v>7</v>
      </c>
      <c r="H8490" s="22">
        <f t="shared" si="761"/>
        <v>2025</v>
      </c>
      <c r="I8490" s="17" t="s">
        <v>4</v>
      </c>
      <c r="J8490" s="17" t="s">
        <v>8942</v>
      </c>
      <c r="K8490" s="17" t="s">
        <v>171</v>
      </c>
      <c r="L8490" s="17" t="s">
        <v>172</v>
      </c>
      <c r="M8490" s="17" t="s">
        <v>27</v>
      </c>
      <c r="N8490" s="22" t="str">
        <f t="shared" si="762"/>
        <v>GAL</v>
      </c>
      <c r="O8490" s="19">
        <v>360</v>
      </c>
    </row>
    <row r="8491" spans="2:15" x14ac:dyDescent="0.25">
      <c r="B8491" s="16" t="s">
        <v>154</v>
      </c>
      <c r="C8491" s="17" t="s">
        <v>155</v>
      </c>
      <c r="D8491" s="17" t="s">
        <v>161</v>
      </c>
      <c r="E8491" s="17" t="s">
        <v>162</v>
      </c>
      <c r="F8491" s="18">
        <f>DATE(2025,7,23)</f>
        <v>45861</v>
      </c>
      <c r="G8491" s="22">
        <f t="shared" si="760"/>
        <v>7</v>
      </c>
      <c r="H8491" s="22">
        <f t="shared" si="761"/>
        <v>2025</v>
      </c>
      <c r="I8491" s="17" t="s">
        <v>4</v>
      </c>
      <c r="J8491" s="17" t="s">
        <v>8943</v>
      </c>
      <c r="K8491" s="17" t="s">
        <v>1734</v>
      </c>
      <c r="L8491" s="17" t="s">
        <v>1735</v>
      </c>
      <c r="M8491" s="17" t="s">
        <v>1736</v>
      </c>
      <c r="N8491" s="22" t="str">
        <f t="shared" si="762"/>
        <v>GAL</v>
      </c>
      <c r="O8491" s="19">
        <v>180</v>
      </c>
    </row>
    <row r="8492" spans="2:15" x14ac:dyDescent="0.25">
      <c r="B8492" s="16" t="s">
        <v>154</v>
      </c>
      <c r="C8492" s="17" t="s">
        <v>155</v>
      </c>
      <c r="D8492" s="17" t="s">
        <v>3962</v>
      </c>
      <c r="E8492" s="17" t="s">
        <v>8599</v>
      </c>
      <c r="F8492" s="18">
        <f>DATE(2025,7,29)</f>
        <v>45867</v>
      </c>
      <c r="G8492" s="22">
        <f t="shared" si="760"/>
        <v>7</v>
      </c>
      <c r="H8492" s="22">
        <f t="shared" si="761"/>
        <v>2025</v>
      </c>
      <c r="I8492" s="17" t="s">
        <v>4</v>
      </c>
      <c r="J8492" s="17" t="s">
        <v>8944</v>
      </c>
      <c r="K8492" s="17" t="s">
        <v>2493</v>
      </c>
      <c r="L8492" s="17" t="s">
        <v>2494</v>
      </c>
      <c r="M8492" s="17" t="s">
        <v>119</v>
      </c>
      <c r="N8492" s="22" t="str">
        <f t="shared" si="762"/>
        <v>TON</v>
      </c>
      <c r="O8492" s="19">
        <v>1.27</v>
      </c>
    </row>
    <row r="8493" spans="2:15" x14ac:dyDescent="0.25">
      <c r="B8493" s="16" t="s">
        <v>1520</v>
      </c>
      <c r="C8493" s="17" t="s">
        <v>196</v>
      </c>
      <c r="D8493" s="17" t="s">
        <v>241</v>
      </c>
      <c r="E8493" s="17" t="s">
        <v>258</v>
      </c>
      <c r="F8493" s="18">
        <f>DATE(2025,7,16)</f>
        <v>45854</v>
      </c>
      <c r="G8493" s="22">
        <f t="shared" si="760"/>
        <v>7</v>
      </c>
      <c r="H8493" s="22">
        <f t="shared" si="761"/>
        <v>2025</v>
      </c>
      <c r="I8493" s="17" t="s">
        <v>4</v>
      </c>
      <c r="J8493" s="17" t="s">
        <v>8945</v>
      </c>
      <c r="K8493" s="17" t="s">
        <v>3458</v>
      </c>
      <c r="L8493" s="17" t="s">
        <v>3459</v>
      </c>
      <c r="M8493" s="17" t="s">
        <v>119</v>
      </c>
      <c r="N8493" s="22" t="str">
        <f t="shared" si="762"/>
        <v>TON</v>
      </c>
      <c r="O8493" s="19">
        <v>2.2625000000000002</v>
      </c>
    </row>
    <row r="8494" spans="2:15" x14ac:dyDescent="0.25">
      <c r="B8494" s="16" t="s">
        <v>1520</v>
      </c>
      <c r="C8494" s="17" t="s">
        <v>196</v>
      </c>
      <c r="D8494" s="17" t="s">
        <v>2764</v>
      </c>
      <c r="E8494" s="17" t="s">
        <v>102</v>
      </c>
      <c r="F8494" s="18">
        <f>DATE(2025,7,18)</f>
        <v>45856</v>
      </c>
      <c r="G8494" s="22">
        <f t="shared" si="760"/>
        <v>7</v>
      </c>
      <c r="H8494" s="22">
        <f t="shared" si="761"/>
        <v>2025</v>
      </c>
      <c r="I8494" s="17" t="s">
        <v>4</v>
      </c>
      <c r="J8494" s="17" t="s">
        <v>8946</v>
      </c>
      <c r="K8494" s="17" t="s">
        <v>865</v>
      </c>
      <c r="L8494" s="17" t="s">
        <v>866</v>
      </c>
      <c r="M8494" s="17" t="s">
        <v>119</v>
      </c>
      <c r="N8494" s="22" t="str">
        <f t="shared" si="762"/>
        <v>TON</v>
      </c>
      <c r="O8494" s="19">
        <v>2.5024999999999999</v>
      </c>
    </row>
    <row r="8495" spans="2:15" x14ac:dyDescent="0.25">
      <c r="B8495" s="16" t="s">
        <v>1520</v>
      </c>
      <c r="C8495" s="17" t="s">
        <v>196</v>
      </c>
      <c r="D8495" s="17" t="s">
        <v>253</v>
      </c>
      <c r="E8495" s="17" t="s">
        <v>8947</v>
      </c>
      <c r="F8495" s="18">
        <f>DATE(2025,7,21)</f>
        <v>45859</v>
      </c>
      <c r="G8495" s="22">
        <f t="shared" si="760"/>
        <v>7</v>
      </c>
      <c r="H8495" s="22">
        <f t="shared" si="761"/>
        <v>2025</v>
      </c>
      <c r="I8495" s="17" t="s">
        <v>4</v>
      </c>
      <c r="J8495" s="17" t="s">
        <v>8948</v>
      </c>
      <c r="K8495" s="17" t="s">
        <v>256</v>
      </c>
      <c r="L8495" s="17" t="s">
        <v>257</v>
      </c>
      <c r="M8495" s="17" t="s">
        <v>119</v>
      </c>
      <c r="N8495" s="22" t="str">
        <f t="shared" si="762"/>
        <v>TON</v>
      </c>
      <c r="O8495" s="19">
        <v>2.4975000000000001</v>
      </c>
    </row>
    <row r="8496" spans="2:15" x14ac:dyDescent="0.25">
      <c r="B8496" s="16" t="s">
        <v>1520</v>
      </c>
      <c r="C8496" s="17" t="s">
        <v>196</v>
      </c>
      <c r="D8496" s="17" t="s">
        <v>1375</v>
      </c>
      <c r="E8496" s="17" t="s">
        <v>102</v>
      </c>
      <c r="F8496" s="18">
        <f>DATE(2025,7,22)</f>
        <v>45860</v>
      </c>
      <c r="G8496" s="22">
        <f t="shared" si="760"/>
        <v>7</v>
      </c>
      <c r="H8496" s="22">
        <f t="shared" si="761"/>
        <v>2025</v>
      </c>
      <c r="I8496" s="17" t="s">
        <v>4</v>
      </c>
      <c r="J8496" s="17" t="s">
        <v>8949</v>
      </c>
      <c r="K8496" s="17" t="s">
        <v>8093</v>
      </c>
      <c r="L8496" s="17" t="s">
        <v>99</v>
      </c>
      <c r="M8496" s="17" t="s">
        <v>100</v>
      </c>
      <c r="N8496" s="22" t="str">
        <f t="shared" si="762"/>
        <v>GAL</v>
      </c>
      <c r="O8496" s="19">
        <v>20</v>
      </c>
    </row>
    <row r="8497" spans="2:15" x14ac:dyDescent="0.25">
      <c r="B8497" s="16" t="s">
        <v>1520</v>
      </c>
      <c r="C8497" s="17" t="s">
        <v>196</v>
      </c>
      <c r="D8497" s="17" t="s">
        <v>321</v>
      </c>
      <c r="E8497" s="17" t="s">
        <v>392</v>
      </c>
      <c r="F8497" s="18">
        <f>DATE(2025,7,23)</f>
        <v>45861</v>
      </c>
      <c r="G8497" s="22">
        <f t="shared" si="760"/>
        <v>7</v>
      </c>
      <c r="H8497" s="22">
        <f t="shared" si="761"/>
        <v>2025</v>
      </c>
      <c r="I8497" s="17" t="s">
        <v>4</v>
      </c>
      <c r="J8497" s="17" t="s">
        <v>8950</v>
      </c>
      <c r="K8497" s="17" t="s">
        <v>447</v>
      </c>
      <c r="L8497" s="17" t="s">
        <v>448</v>
      </c>
      <c r="M8497" s="17" t="s">
        <v>119</v>
      </c>
      <c r="N8497" s="22" t="str">
        <f t="shared" si="762"/>
        <v>TON</v>
      </c>
      <c r="O8497" s="19">
        <v>1.25</v>
      </c>
    </row>
    <row r="8498" spans="2:15" x14ac:dyDescent="0.25">
      <c r="B8498" s="16" t="s">
        <v>1520</v>
      </c>
      <c r="C8498" s="17" t="s">
        <v>196</v>
      </c>
      <c r="D8498" s="17" t="s">
        <v>253</v>
      </c>
      <c r="E8498" s="17" t="s">
        <v>922</v>
      </c>
      <c r="F8498" s="18">
        <f>DATE(2025,7,29)</f>
        <v>45867</v>
      </c>
      <c r="G8498" s="22">
        <f t="shared" si="760"/>
        <v>7</v>
      </c>
      <c r="H8498" s="22">
        <f t="shared" si="761"/>
        <v>2025</v>
      </c>
      <c r="I8498" s="17" t="s">
        <v>4</v>
      </c>
      <c r="J8498" s="17" t="s">
        <v>8951</v>
      </c>
      <c r="K8498" s="17" t="s">
        <v>256</v>
      </c>
      <c r="L8498" s="17" t="s">
        <v>257</v>
      </c>
      <c r="M8498" s="17" t="s">
        <v>119</v>
      </c>
      <c r="N8498" s="22" t="str">
        <f t="shared" si="762"/>
        <v>TON</v>
      </c>
      <c r="O8498" s="19">
        <v>2.52</v>
      </c>
    </row>
    <row r="8499" spans="2:15" x14ac:dyDescent="0.25">
      <c r="B8499" s="16" t="s">
        <v>1520</v>
      </c>
      <c r="C8499" s="17" t="s">
        <v>196</v>
      </c>
      <c r="D8499" s="17" t="s">
        <v>837</v>
      </c>
      <c r="E8499" s="17" t="s">
        <v>102</v>
      </c>
      <c r="F8499" s="18">
        <f>DATE(2025,7,30)</f>
        <v>45868</v>
      </c>
      <c r="G8499" s="22">
        <f t="shared" ref="G8499:G8562" si="765">MONTH(F8499)</f>
        <v>7</v>
      </c>
      <c r="H8499" s="22">
        <f t="shared" ref="H8499:H8562" si="766">YEAR(F8499)</f>
        <v>2025</v>
      </c>
      <c r="I8499" s="17" t="s">
        <v>4</v>
      </c>
      <c r="J8499" s="17" t="s">
        <v>8952</v>
      </c>
      <c r="K8499" s="17" t="s">
        <v>268</v>
      </c>
      <c r="L8499" s="17" t="s">
        <v>269</v>
      </c>
      <c r="M8499" s="17" t="s">
        <v>119</v>
      </c>
      <c r="N8499" s="22" t="str">
        <f t="shared" ref="N8499:N8562" si="767">LEFT(M8499,3)</f>
        <v>TON</v>
      </c>
      <c r="O8499" s="19">
        <v>0.15</v>
      </c>
    </row>
    <row r="8500" spans="2:15" x14ac:dyDescent="0.25">
      <c r="B8500" s="16" t="s">
        <v>382</v>
      </c>
      <c r="C8500" s="17" t="s">
        <v>506</v>
      </c>
      <c r="D8500" s="17" t="s">
        <v>1001</v>
      </c>
      <c r="E8500" s="17" t="s">
        <v>1002</v>
      </c>
      <c r="F8500" s="18">
        <f>DATE(2025,7,10)</f>
        <v>45848</v>
      </c>
      <c r="G8500" s="22">
        <f t="shared" si="765"/>
        <v>7</v>
      </c>
      <c r="H8500" s="22">
        <f t="shared" si="766"/>
        <v>2025</v>
      </c>
      <c r="I8500" s="17" t="s">
        <v>4</v>
      </c>
      <c r="J8500" s="17" t="s">
        <v>8953</v>
      </c>
      <c r="K8500" s="17" t="s">
        <v>36</v>
      </c>
      <c r="L8500" s="17" t="s">
        <v>511</v>
      </c>
      <c r="M8500" s="17" t="s">
        <v>38</v>
      </c>
      <c r="N8500" s="22" t="str">
        <f t="shared" si="767"/>
        <v>GAL</v>
      </c>
      <c r="O8500" s="19">
        <v>30</v>
      </c>
    </row>
    <row r="8501" spans="2:15" x14ac:dyDescent="0.25">
      <c r="B8501" s="16" t="s">
        <v>382</v>
      </c>
      <c r="C8501" s="17" t="s">
        <v>506</v>
      </c>
      <c r="D8501" s="17" t="s">
        <v>515</v>
      </c>
      <c r="E8501" s="17" t="s">
        <v>516</v>
      </c>
      <c r="F8501" s="18">
        <f>DATE(2025,7,11)</f>
        <v>45849</v>
      </c>
      <c r="G8501" s="22">
        <f t="shared" si="765"/>
        <v>7</v>
      </c>
      <c r="H8501" s="22">
        <f t="shared" si="766"/>
        <v>2025</v>
      </c>
      <c r="I8501" s="17" t="s">
        <v>4</v>
      </c>
      <c r="J8501" s="17" t="s">
        <v>8954</v>
      </c>
      <c r="K8501" s="17" t="s">
        <v>642</v>
      </c>
      <c r="L8501" s="17" t="s">
        <v>111</v>
      </c>
      <c r="M8501" s="17" t="s">
        <v>112</v>
      </c>
      <c r="N8501" s="22" t="str">
        <f t="shared" si="767"/>
        <v>GAL</v>
      </c>
      <c r="O8501" s="19">
        <v>180</v>
      </c>
    </row>
    <row r="8502" spans="2:15" x14ac:dyDescent="0.25">
      <c r="B8502" s="16" t="s">
        <v>382</v>
      </c>
      <c r="C8502" s="17" t="s">
        <v>506</v>
      </c>
      <c r="D8502" s="17" t="s">
        <v>521</v>
      </c>
      <c r="E8502" s="17" t="s">
        <v>522</v>
      </c>
      <c r="F8502" s="18">
        <f>DATE(2025,7,23)</f>
        <v>45861</v>
      </c>
      <c r="G8502" s="22">
        <f t="shared" si="765"/>
        <v>7</v>
      </c>
      <c r="H8502" s="22">
        <f t="shared" si="766"/>
        <v>2025</v>
      </c>
      <c r="I8502" s="17" t="s">
        <v>4</v>
      </c>
      <c r="J8502" s="17" t="s">
        <v>8955</v>
      </c>
      <c r="K8502" s="17" t="s">
        <v>1395</v>
      </c>
      <c r="L8502" s="17" t="s">
        <v>1396</v>
      </c>
      <c r="M8502" s="17" t="s">
        <v>1397</v>
      </c>
      <c r="N8502" s="22" t="str">
        <f t="shared" si="767"/>
        <v>GAL</v>
      </c>
      <c r="O8502" s="19">
        <v>360</v>
      </c>
    </row>
    <row r="8503" spans="2:15" x14ac:dyDescent="0.25">
      <c r="B8503" s="16" t="s">
        <v>8502</v>
      </c>
      <c r="C8503" s="17" t="s">
        <v>1025</v>
      </c>
      <c r="D8503" s="17" t="s">
        <v>628</v>
      </c>
      <c r="E8503" s="17" t="s">
        <v>3046</v>
      </c>
      <c r="F8503" s="18">
        <f>DATE(2025,7,7)</f>
        <v>45845</v>
      </c>
      <c r="G8503" s="22">
        <f t="shared" si="765"/>
        <v>7</v>
      </c>
      <c r="H8503" s="22">
        <f t="shared" si="766"/>
        <v>2025</v>
      </c>
      <c r="I8503" s="17" t="s">
        <v>4</v>
      </c>
      <c r="J8503" s="17" t="s">
        <v>8956</v>
      </c>
      <c r="K8503" s="17" t="s">
        <v>560</v>
      </c>
      <c r="L8503" s="17" t="s">
        <v>602</v>
      </c>
      <c r="M8503" s="17" t="s">
        <v>41</v>
      </c>
      <c r="N8503" s="22" t="str">
        <f t="shared" si="767"/>
        <v>GAL</v>
      </c>
      <c r="O8503" s="19">
        <v>500</v>
      </c>
    </row>
    <row r="8504" spans="2:15" x14ac:dyDescent="0.25">
      <c r="B8504" s="16" t="s">
        <v>645</v>
      </c>
      <c r="C8504" s="17" t="s">
        <v>1025</v>
      </c>
      <c r="D8504" s="17" t="s">
        <v>2092</v>
      </c>
      <c r="E8504" s="17" t="s">
        <v>2093</v>
      </c>
      <c r="F8504" s="18">
        <f>DATE(2025,7,9)</f>
        <v>45847</v>
      </c>
      <c r="G8504" s="22">
        <f t="shared" si="765"/>
        <v>7</v>
      </c>
      <c r="H8504" s="22">
        <f t="shared" si="766"/>
        <v>2025</v>
      </c>
      <c r="I8504" s="17" t="s">
        <v>4</v>
      </c>
      <c r="J8504" s="17" t="s">
        <v>8957</v>
      </c>
      <c r="K8504" s="17" t="s">
        <v>2095</v>
      </c>
      <c r="L8504" s="17" t="s">
        <v>2096</v>
      </c>
      <c r="M8504" s="17" t="s">
        <v>119</v>
      </c>
      <c r="N8504" s="22" t="str">
        <f t="shared" si="767"/>
        <v>TON</v>
      </c>
      <c r="O8504" s="19">
        <v>15.01</v>
      </c>
    </row>
    <row r="8505" spans="2:15" x14ac:dyDescent="0.25">
      <c r="B8505" s="16" t="s">
        <v>645</v>
      </c>
      <c r="C8505" s="17" t="s">
        <v>1025</v>
      </c>
      <c r="D8505" s="17" t="s">
        <v>2478</v>
      </c>
      <c r="E8505" s="17" t="s">
        <v>124</v>
      </c>
      <c r="F8505" s="18">
        <f>DATE(2025,7,11)</f>
        <v>45849</v>
      </c>
      <c r="G8505" s="22">
        <f t="shared" si="765"/>
        <v>7</v>
      </c>
      <c r="H8505" s="22">
        <f t="shared" si="766"/>
        <v>2025</v>
      </c>
      <c r="I8505" s="17" t="s">
        <v>4</v>
      </c>
      <c r="J8505" s="17" t="s">
        <v>8958</v>
      </c>
      <c r="K8505" s="17" t="s">
        <v>3344</v>
      </c>
      <c r="L8505" s="17" t="s">
        <v>3345</v>
      </c>
      <c r="M8505" s="17" t="s">
        <v>119</v>
      </c>
      <c r="N8505" s="22" t="str">
        <f t="shared" si="767"/>
        <v>TON</v>
      </c>
      <c r="O8505" s="19">
        <v>4</v>
      </c>
    </row>
    <row r="8506" spans="2:15" x14ac:dyDescent="0.25">
      <c r="B8506" s="16" t="s">
        <v>645</v>
      </c>
      <c r="C8506" s="17" t="s">
        <v>1025</v>
      </c>
      <c r="D8506" s="17" t="s">
        <v>496</v>
      </c>
      <c r="E8506" s="17" t="s">
        <v>497</v>
      </c>
      <c r="F8506" s="18">
        <f>DATE(2025,7,22)</f>
        <v>45860</v>
      </c>
      <c r="G8506" s="22">
        <f t="shared" si="765"/>
        <v>7</v>
      </c>
      <c r="H8506" s="22">
        <f t="shared" si="766"/>
        <v>2025</v>
      </c>
      <c r="I8506" s="17" t="s">
        <v>4</v>
      </c>
      <c r="J8506" s="17" t="s">
        <v>8959</v>
      </c>
      <c r="K8506" s="17" t="s">
        <v>499</v>
      </c>
      <c r="L8506" s="17" t="s">
        <v>500</v>
      </c>
      <c r="M8506" s="17" t="s">
        <v>119</v>
      </c>
      <c r="N8506" s="22" t="str">
        <f t="shared" si="767"/>
        <v>TON</v>
      </c>
      <c r="O8506" s="19">
        <v>2.5074999999999998</v>
      </c>
    </row>
    <row r="8507" spans="2:15" x14ac:dyDescent="0.25">
      <c r="B8507" s="16" t="s">
        <v>645</v>
      </c>
      <c r="C8507" s="17" t="s">
        <v>1025</v>
      </c>
      <c r="D8507" s="17" t="s">
        <v>496</v>
      </c>
      <c r="E8507" s="17" t="s">
        <v>497</v>
      </c>
      <c r="F8507" s="18">
        <f>DATE(2025,7,22)</f>
        <v>45860</v>
      </c>
      <c r="G8507" s="22">
        <f t="shared" si="765"/>
        <v>7</v>
      </c>
      <c r="H8507" s="22">
        <f t="shared" si="766"/>
        <v>2025</v>
      </c>
      <c r="I8507" s="17" t="s">
        <v>4</v>
      </c>
      <c r="J8507" s="17" t="s">
        <v>8960</v>
      </c>
      <c r="K8507" s="17" t="s">
        <v>6082</v>
      </c>
      <c r="L8507" s="17" t="s">
        <v>6083</v>
      </c>
      <c r="M8507" s="17" t="s">
        <v>6084</v>
      </c>
      <c r="N8507" s="22" t="str">
        <f t="shared" si="767"/>
        <v>GAL</v>
      </c>
      <c r="O8507" s="19">
        <v>25</v>
      </c>
    </row>
    <row r="8508" spans="2:15" x14ac:dyDescent="0.25">
      <c r="B8508" s="16" t="s">
        <v>8502</v>
      </c>
      <c r="C8508" s="17" t="s">
        <v>1025</v>
      </c>
      <c r="D8508" s="17" t="s">
        <v>628</v>
      </c>
      <c r="E8508" s="17" t="s">
        <v>3046</v>
      </c>
      <c r="F8508" s="18">
        <f>DATE(2025,7,29)</f>
        <v>45867</v>
      </c>
      <c r="G8508" s="22">
        <f t="shared" si="765"/>
        <v>7</v>
      </c>
      <c r="H8508" s="22">
        <f t="shared" si="766"/>
        <v>2025</v>
      </c>
      <c r="I8508" s="17" t="s">
        <v>4</v>
      </c>
      <c r="J8508" s="17" t="s">
        <v>8961</v>
      </c>
      <c r="K8508" s="17" t="s">
        <v>8706</v>
      </c>
      <c r="L8508" s="17" t="s">
        <v>8707</v>
      </c>
      <c r="M8508" s="17" t="s">
        <v>2455</v>
      </c>
      <c r="N8508" s="22" t="str">
        <f t="shared" si="767"/>
        <v>GAL</v>
      </c>
      <c r="O8508" s="19">
        <v>360</v>
      </c>
    </row>
    <row r="8509" spans="2:15" x14ac:dyDescent="0.25">
      <c r="B8509" s="16" t="s">
        <v>1410</v>
      </c>
      <c r="C8509" s="17" t="s">
        <v>525</v>
      </c>
      <c r="D8509" s="17" t="s">
        <v>124</v>
      </c>
      <c r="E8509" s="17" t="s">
        <v>526</v>
      </c>
      <c r="F8509" s="18">
        <f>DATE(2025,7,14)</f>
        <v>45852</v>
      </c>
      <c r="G8509" s="22">
        <f t="shared" si="765"/>
        <v>7</v>
      </c>
      <c r="H8509" s="22">
        <f t="shared" si="766"/>
        <v>2025</v>
      </c>
      <c r="I8509" s="17" t="s">
        <v>4</v>
      </c>
      <c r="J8509" s="17" t="s">
        <v>8962</v>
      </c>
      <c r="K8509" s="17" t="s">
        <v>200</v>
      </c>
      <c r="L8509" s="17" t="s">
        <v>201</v>
      </c>
      <c r="M8509" s="17" t="s">
        <v>202</v>
      </c>
      <c r="N8509" s="22" t="str">
        <f t="shared" si="767"/>
        <v>GAL</v>
      </c>
      <c r="O8509" s="19">
        <v>10</v>
      </c>
    </row>
    <row r="8510" spans="2:15" x14ac:dyDescent="0.25">
      <c r="B8510" s="16" t="s">
        <v>1410</v>
      </c>
      <c r="C8510" s="17" t="s">
        <v>525</v>
      </c>
      <c r="D8510" s="17" t="s">
        <v>1956</v>
      </c>
      <c r="E8510" s="17" t="s">
        <v>102</v>
      </c>
      <c r="F8510" s="18">
        <f>DATE(2025,7,14)</f>
        <v>45852</v>
      </c>
      <c r="G8510" s="22">
        <f t="shared" si="765"/>
        <v>7</v>
      </c>
      <c r="H8510" s="22">
        <f t="shared" si="766"/>
        <v>2025</v>
      </c>
      <c r="I8510" s="17" t="s">
        <v>4</v>
      </c>
      <c r="J8510" s="17" t="s">
        <v>8963</v>
      </c>
      <c r="K8510" s="17" t="s">
        <v>268</v>
      </c>
      <c r="L8510" s="17" t="s">
        <v>269</v>
      </c>
      <c r="M8510" s="17" t="s">
        <v>119</v>
      </c>
      <c r="N8510" s="22" t="str">
        <f t="shared" si="767"/>
        <v>TON</v>
      </c>
      <c r="O8510" s="19">
        <v>0.15</v>
      </c>
    </row>
    <row r="8511" spans="2:15" x14ac:dyDescent="0.25">
      <c r="B8511" s="16" t="s">
        <v>1410</v>
      </c>
      <c r="C8511" s="17" t="s">
        <v>525</v>
      </c>
      <c r="D8511" s="17" t="s">
        <v>124</v>
      </c>
      <c r="E8511" s="17" t="s">
        <v>526</v>
      </c>
      <c r="F8511" s="18">
        <f>DATE(2025,7,23)</f>
        <v>45861</v>
      </c>
      <c r="G8511" s="22">
        <f t="shared" si="765"/>
        <v>7</v>
      </c>
      <c r="H8511" s="22">
        <f t="shared" si="766"/>
        <v>2025</v>
      </c>
      <c r="I8511" s="17" t="s">
        <v>4</v>
      </c>
      <c r="J8511" s="17" t="s">
        <v>8964</v>
      </c>
      <c r="K8511" s="17" t="s">
        <v>220</v>
      </c>
      <c r="L8511" s="17" t="s">
        <v>201</v>
      </c>
      <c r="M8511" s="17" t="s">
        <v>202</v>
      </c>
      <c r="N8511" s="22" t="str">
        <f t="shared" si="767"/>
        <v>GAL</v>
      </c>
      <c r="O8511" s="19">
        <v>250</v>
      </c>
    </row>
    <row r="8512" spans="2:15" x14ac:dyDescent="0.25">
      <c r="B8512" s="16" t="s">
        <v>1410</v>
      </c>
      <c r="C8512" s="17" t="s">
        <v>525</v>
      </c>
      <c r="D8512" s="17" t="s">
        <v>124</v>
      </c>
      <c r="E8512" s="17" t="s">
        <v>526</v>
      </c>
      <c r="F8512" s="18">
        <f>DATE(2025,7,25)</f>
        <v>45863</v>
      </c>
      <c r="G8512" s="22">
        <f t="shared" si="765"/>
        <v>7</v>
      </c>
      <c r="H8512" s="22">
        <f t="shared" si="766"/>
        <v>2025</v>
      </c>
      <c r="I8512" s="17" t="s">
        <v>4</v>
      </c>
      <c r="J8512" s="17" t="s">
        <v>8965</v>
      </c>
      <c r="K8512" s="17" t="s">
        <v>1031</v>
      </c>
      <c r="L8512" s="17" t="s">
        <v>1032</v>
      </c>
      <c r="M8512" s="17" t="s">
        <v>119</v>
      </c>
      <c r="N8512" s="22" t="str">
        <f t="shared" si="767"/>
        <v>TON</v>
      </c>
      <c r="O8512" s="19">
        <v>5</v>
      </c>
    </row>
    <row r="8513" spans="2:15" x14ac:dyDescent="0.25">
      <c r="B8513" s="16" t="s">
        <v>1050</v>
      </c>
      <c r="C8513" s="17" t="s">
        <v>533</v>
      </c>
      <c r="D8513" s="17" t="s">
        <v>628</v>
      </c>
      <c r="E8513" s="17" t="s">
        <v>2524</v>
      </c>
      <c r="F8513" s="18">
        <f>DATE(2025,7,3)</f>
        <v>45841</v>
      </c>
      <c r="G8513" s="22">
        <f t="shared" si="765"/>
        <v>7</v>
      </c>
      <c r="H8513" s="22">
        <f t="shared" si="766"/>
        <v>2025</v>
      </c>
      <c r="I8513" s="17" t="s">
        <v>4</v>
      </c>
      <c r="J8513" s="17" t="s">
        <v>8966</v>
      </c>
      <c r="K8513" s="17" t="s">
        <v>2553</v>
      </c>
      <c r="L8513" s="17" t="s">
        <v>2527</v>
      </c>
      <c r="M8513" s="17" t="s">
        <v>1448</v>
      </c>
      <c r="N8513" s="22" t="str">
        <f t="shared" si="767"/>
        <v>GAL</v>
      </c>
      <c r="O8513" s="19">
        <v>4000</v>
      </c>
    </row>
    <row r="8514" spans="2:15" x14ac:dyDescent="0.25">
      <c r="B8514" s="16" t="s">
        <v>1050</v>
      </c>
      <c r="C8514" s="17" t="s">
        <v>533</v>
      </c>
      <c r="D8514" s="17" t="s">
        <v>628</v>
      </c>
      <c r="E8514" s="17" t="s">
        <v>2149</v>
      </c>
      <c r="F8514" s="18">
        <f>DATE(2025,7,8)</f>
        <v>45846</v>
      </c>
      <c r="G8514" s="22">
        <f t="shared" si="765"/>
        <v>7</v>
      </c>
      <c r="H8514" s="22">
        <f t="shared" si="766"/>
        <v>2025</v>
      </c>
      <c r="I8514" s="17" t="s">
        <v>4</v>
      </c>
      <c r="J8514" s="17" t="s">
        <v>8967</v>
      </c>
      <c r="K8514" s="17" t="s">
        <v>2553</v>
      </c>
      <c r="L8514" s="17" t="s">
        <v>2527</v>
      </c>
      <c r="M8514" s="17" t="s">
        <v>1448</v>
      </c>
      <c r="N8514" s="22" t="str">
        <f t="shared" si="767"/>
        <v>GAL</v>
      </c>
      <c r="O8514" s="19">
        <v>4000</v>
      </c>
    </row>
    <row r="8515" spans="2:15" x14ac:dyDescent="0.25">
      <c r="B8515" s="16" t="s">
        <v>3238</v>
      </c>
      <c r="C8515" s="17" t="s">
        <v>533</v>
      </c>
      <c r="D8515" s="17" t="s">
        <v>562</v>
      </c>
      <c r="E8515" s="17" t="s">
        <v>563</v>
      </c>
      <c r="F8515" s="18">
        <f>DATE(2025,7,11)</f>
        <v>45849</v>
      </c>
      <c r="G8515" s="22">
        <f t="shared" si="765"/>
        <v>7</v>
      </c>
      <c r="H8515" s="22">
        <f t="shared" si="766"/>
        <v>2025</v>
      </c>
      <c r="I8515" s="17" t="s">
        <v>4</v>
      </c>
      <c r="J8515" s="17" t="s">
        <v>8968</v>
      </c>
      <c r="K8515" s="17" t="s">
        <v>19</v>
      </c>
      <c r="L8515" s="17" t="s">
        <v>565</v>
      </c>
      <c r="M8515" s="17" t="s">
        <v>21</v>
      </c>
      <c r="N8515" s="22" t="str">
        <f t="shared" si="767"/>
        <v>GAL</v>
      </c>
      <c r="O8515" s="19">
        <v>180</v>
      </c>
    </row>
    <row r="8516" spans="2:15" x14ac:dyDescent="0.25">
      <c r="B8516" s="16" t="s">
        <v>1050</v>
      </c>
      <c r="C8516" s="17" t="s">
        <v>533</v>
      </c>
      <c r="D8516" s="17" t="s">
        <v>628</v>
      </c>
      <c r="E8516" s="17" t="s">
        <v>2145</v>
      </c>
      <c r="F8516" s="18">
        <f>DATE(2025,7,11)</f>
        <v>45849</v>
      </c>
      <c r="G8516" s="22">
        <f t="shared" si="765"/>
        <v>7</v>
      </c>
      <c r="H8516" s="22">
        <f t="shared" si="766"/>
        <v>2025</v>
      </c>
      <c r="I8516" s="17" t="s">
        <v>4</v>
      </c>
      <c r="J8516" s="17" t="s">
        <v>8969</v>
      </c>
      <c r="K8516" s="17" t="s">
        <v>2526</v>
      </c>
      <c r="L8516" s="17" t="s">
        <v>2527</v>
      </c>
      <c r="M8516" s="17" t="s">
        <v>1448</v>
      </c>
      <c r="N8516" s="22" t="str">
        <f t="shared" si="767"/>
        <v>GAL</v>
      </c>
      <c r="O8516" s="19">
        <v>3960</v>
      </c>
    </row>
    <row r="8517" spans="2:15" x14ac:dyDescent="0.25">
      <c r="B8517" s="16" t="s">
        <v>1050</v>
      </c>
      <c r="C8517" s="17" t="s">
        <v>533</v>
      </c>
      <c r="D8517" s="17" t="s">
        <v>628</v>
      </c>
      <c r="E8517" s="17" t="s">
        <v>2145</v>
      </c>
      <c r="F8517" s="18">
        <f>DATE(2025,7,17)</f>
        <v>45855</v>
      </c>
      <c r="G8517" s="22">
        <f t="shared" si="765"/>
        <v>7</v>
      </c>
      <c r="H8517" s="22">
        <f t="shared" si="766"/>
        <v>2025</v>
      </c>
      <c r="I8517" s="17" t="s">
        <v>4</v>
      </c>
      <c r="J8517" s="17" t="s">
        <v>8970</v>
      </c>
      <c r="K8517" s="17" t="s">
        <v>2553</v>
      </c>
      <c r="L8517" s="17" t="s">
        <v>2527</v>
      </c>
      <c r="M8517" s="17" t="s">
        <v>1448</v>
      </c>
      <c r="N8517" s="22" t="str">
        <f t="shared" si="767"/>
        <v>GAL</v>
      </c>
      <c r="O8517" s="19">
        <v>4000</v>
      </c>
    </row>
    <row r="8518" spans="2:15" x14ac:dyDescent="0.25">
      <c r="B8518" s="16" t="s">
        <v>1050</v>
      </c>
      <c r="C8518" s="17" t="s">
        <v>533</v>
      </c>
      <c r="D8518" s="17" t="s">
        <v>628</v>
      </c>
      <c r="E8518" s="17" t="s">
        <v>2524</v>
      </c>
      <c r="F8518" s="18">
        <f>DATE(2025,7,29)</f>
        <v>45867</v>
      </c>
      <c r="G8518" s="22">
        <f t="shared" si="765"/>
        <v>7</v>
      </c>
      <c r="H8518" s="22">
        <f t="shared" si="766"/>
        <v>2025</v>
      </c>
      <c r="I8518" s="17" t="s">
        <v>4</v>
      </c>
      <c r="J8518" s="17" t="s">
        <v>8971</v>
      </c>
      <c r="K8518" s="17" t="s">
        <v>2553</v>
      </c>
      <c r="L8518" s="17" t="s">
        <v>2527</v>
      </c>
      <c r="M8518" s="17" t="s">
        <v>1448</v>
      </c>
      <c r="N8518" s="22" t="str">
        <f t="shared" si="767"/>
        <v>GAL</v>
      </c>
      <c r="O8518" s="19">
        <v>4000</v>
      </c>
    </row>
    <row r="8519" spans="2:15" x14ac:dyDescent="0.25">
      <c r="B8519" s="16" t="s">
        <v>1050</v>
      </c>
      <c r="C8519" s="17" t="s">
        <v>533</v>
      </c>
      <c r="D8519" s="17" t="s">
        <v>628</v>
      </c>
      <c r="E8519" s="17" t="s">
        <v>2145</v>
      </c>
      <c r="F8519" s="18">
        <f>DATE(2025,7,30)</f>
        <v>45868</v>
      </c>
      <c r="G8519" s="22">
        <f t="shared" si="765"/>
        <v>7</v>
      </c>
      <c r="H8519" s="22">
        <f t="shared" si="766"/>
        <v>2025</v>
      </c>
      <c r="I8519" s="17" t="s">
        <v>4</v>
      </c>
      <c r="J8519" s="17" t="s">
        <v>8972</v>
      </c>
      <c r="K8519" s="17" t="s">
        <v>2526</v>
      </c>
      <c r="L8519" s="17" t="s">
        <v>2527</v>
      </c>
      <c r="M8519" s="17" t="s">
        <v>1448</v>
      </c>
      <c r="N8519" s="22" t="str">
        <f t="shared" si="767"/>
        <v>GAL</v>
      </c>
      <c r="O8519" s="19">
        <v>3960</v>
      </c>
    </row>
    <row r="8520" spans="2:15" x14ac:dyDescent="0.25">
      <c r="B8520" s="16" t="s">
        <v>1050</v>
      </c>
      <c r="C8520" s="17" t="s">
        <v>533</v>
      </c>
      <c r="D8520" s="17" t="s">
        <v>628</v>
      </c>
      <c r="E8520" s="17" t="s">
        <v>2145</v>
      </c>
      <c r="F8520" s="18">
        <f>DATE(2025,7,31)</f>
        <v>45869</v>
      </c>
      <c r="G8520" s="22">
        <f t="shared" si="765"/>
        <v>7</v>
      </c>
      <c r="H8520" s="22">
        <f t="shared" si="766"/>
        <v>2025</v>
      </c>
      <c r="I8520" s="17" t="s">
        <v>4</v>
      </c>
      <c r="J8520" s="17" t="s">
        <v>8973</v>
      </c>
      <c r="K8520" s="17" t="s">
        <v>2526</v>
      </c>
      <c r="L8520" s="17" t="s">
        <v>2527</v>
      </c>
      <c r="M8520" s="17" t="s">
        <v>1448</v>
      </c>
      <c r="N8520" s="22" t="str">
        <f t="shared" si="767"/>
        <v>GAL</v>
      </c>
      <c r="O8520" s="19">
        <v>3960</v>
      </c>
    </row>
    <row r="8521" spans="2:15" x14ac:dyDescent="0.25">
      <c r="B8521" s="16" t="s">
        <v>3238</v>
      </c>
      <c r="C8521" s="17" t="s">
        <v>3239</v>
      </c>
      <c r="D8521" s="17" t="s">
        <v>3240</v>
      </c>
      <c r="E8521" s="17" t="s">
        <v>4251</v>
      </c>
      <c r="F8521" s="18">
        <f>DATE(2025,7,1)</f>
        <v>45839</v>
      </c>
      <c r="G8521" s="22">
        <f t="shared" si="765"/>
        <v>7</v>
      </c>
      <c r="H8521" s="22">
        <f t="shared" si="766"/>
        <v>2025</v>
      </c>
      <c r="I8521" s="17" t="s">
        <v>4</v>
      </c>
      <c r="J8521" s="17" t="s">
        <v>8974</v>
      </c>
      <c r="K8521" s="17" t="s">
        <v>4284</v>
      </c>
      <c r="L8521" s="17" t="s">
        <v>3915</v>
      </c>
      <c r="M8521" s="17" t="s">
        <v>3916</v>
      </c>
      <c r="N8521" s="22" t="str">
        <f t="shared" si="767"/>
        <v>GAL</v>
      </c>
      <c r="O8521" s="19">
        <v>55</v>
      </c>
    </row>
    <row r="8522" spans="2:15" x14ac:dyDescent="0.25">
      <c r="B8522" s="16" t="s">
        <v>3238</v>
      </c>
      <c r="C8522" s="17" t="s">
        <v>3239</v>
      </c>
      <c r="D8522" s="17" t="s">
        <v>3240</v>
      </c>
      <c r="E8522" s="17" t="s">
        <v>8564</v>
      </c>
      <c r="F8522" s="18">
        <f>DATE(2025,7,1)</f>
        <v>45839</v>
      </c>
      <c r="G8522" s="22">
        <f t="shared" si="765"/>
        <v>7</v>
      </c>
      <c r="H8522" s="22">
        <f t="shared" si="766"/>
        <v>2025</v>
      </c>
      <c r="I8522" s="17" t="s">
        <v>4</v>
      </c>
      <c r="J8522" s="17" t="s">
        <v>8975</v>
      </c>
      <c r="K8522" s="17" t="s">
        <v>5976</v>
      </c>
      <c r="L8522" s="17" t="s">
        <v>3915</v>
      </c>
      <c r="M8522" s="17" t="s">
        <v>3916</v>
      </c>
      <c r="N8522" s="22" t="str">
        <f t="shared" si="767"/>
        <v>GAL</v>
      </c>
      <c r="O8522" s="19">
        <v>275</v>
      </c>
    </row>
    <row r="8523" spans="2:15" x14ac:dyDescent="0.25">
      <c r="B8523" s="16" t="s">
        <v>3238</v>
      </c>
      <c r="C8523" s="17" t="s">
        <v>3239</v>
      </c>
      <c r="D8523" s="17" t="s">
        <v>3240</v>
      </c>
      <c r="E8523" s="17" t="s">
        <v>102</v>
      </c>
      <c r="F8523" s="18">
        <f>DATE(2025,7,1)</f>
        <v>45839</v>
      </c>
      <c r="G8523" s="22">
        <f t="shared" si="765"/>
        <v>7</v>
      </c>
      <c r="H8523" s="22">
        <f t="shared" si="766"/>
        <v>2025</v>
      </c>
      <c r="I8523" s="17" t="s">
        <v>4</v>
      </c>
      <c r="J8523" s="17" t="s">
        <v>8976</v>
      </c>
      <c r="K8523" s="17" t="s">
        <v>3917</v>
      </c>
      <c r="L8523" s="17" t="s">
        <v>3525</v>
      </c>
      <c r="M8523" s="17" t="s">
        <v>1397</v>
      </c>
      <c r="N8523" s="22" t="str">
        <f t="shared" si="767"/>
        <v>GAL</v>
      </c>
      <c r="O8523" s="19">
        <v>60</v>
      </c>
    </row>
    <row r="8524" spans="2:15" x14ac:dyDescent="0.25">
      <c r="B8524" s="16" t="s">
        <v>3238</v>
      </c>
      <c r="C8524" s="17" t="s">
        <v>3239</v>
      </c>
      <c r="D8524" s="17" t="s">
        <v>3240</v>
      </c>
      <c r="E8524" s="17" t="s">
        <v>102</v>
      </c>
      <c r="F8524" s="18">
        <f>DATE(2025,7,1)</f>
        <v>45839</v>
      </c>
      <c r="G8524" s="22">
        <f t="shared" si="765"/>
        <v>7</v>
      </c>
      <c r="H8524" s="22">
        <f t="shared" si="766"/>
        <v>2025</v>
      </c>
      <c r="I8524" s="17" t="s">
        <v>4</v>
      </c>
      <c r="J8524" s="17" t="s">
        <v>8976</v>
      </c>
      <c r="K8524" s="17" t="s">
        <v>5469</v>
      </c>
      <c r="L8524" s="17" t="s">
        <v>5470</v>
      </c>
      <c r="M8524" s="17" t="s">
        <v>1046</v>
      </c>
      <c r="N8524" s="22" t="str">
        <f t="shared" si="767"/>
        <v>GAL</v>
      </c>
      <c r="O8524" s="19">
        <v>60</v>
      </c>
    </row>
    <row r="8525" spans="2:15" x14ac:dyDescent="0.25">
      <c r="B8525" s="16" t="s">
        <v>3238</v>
      </c>
      <c r="C8525" s="17" t="s">
        <v>3239</v>
      </c>
      <c r="D8525" s="17" t="s">
        <v>3240</v>
      </c>
      <c r="E8525" s="17" t="s">
        <v>102</v>
      </c>
      <c r="F8525" s="18">
        <f>DATE(2025,7,1)</f>
        <v>45839</v>
      </c>
      <c r="G8525" s="22">
        <f t="shared" si="765"/>
        <v>7</v>
      </c>
      <c r="H8525" s="22">
        <f t="shared" si="766"/>
        <v>2025</v>
      </c>
      <c r="I8525" s="17" t="s">
        <v>4</v>
      </c>
      <c r="J8525" s="17" t="s">
        <v>8976</v>
      </c>
      <c r="K8525" s="17" t="s">
        <v>5971</v>
      </c>
      <c r="L8525" s="17" t="s">
        <v>3515</v>
      </c>
      <c r="M8525" s="17" t="s">
        <v>3516</v>
      </c>
      <c r="N8525" s="22" t="str">
        <f t="shared" si="767"/>
        <v>GAL</v>
      </c>
      <c r="O8525" s="19">
        <v>60</v>
      </c>
    </row>
    <row r="8526" spans="2:15" x14ac:dyDescent="0.25">
      <c r="B8526" s="16" t="s">
        <v>3238</v>
      </c>
      <c r="C8526" s="17" t="s">
        <v>3239</v>
      </c>
      <c r="D8526" s="17" t="s">
        <v>3240</v>
      </c>
      <c r="E8526" s="17" t="s">
        <v>8977</v>
      </c>
      <c r="F8526" s="18">
        <f t="shared" ref="F8526:F8537" si="768">DATE(2025,7,3)</f>
        <v>45841</v>
      </c>
      <c r="G8526" s="22">
        <f t="shared" si="765"/>
        <v>7</v>
      </c>
      <c r="H8526" s="22">
        <f t="shared" si="766"/>
        <v>2025</v>
      </c>
      <c r="I8526" s="17" t="s">
        <v>4</v>
      </c>
      <c r="J8526" s="17" t="s">
        <v>8978</v>
      </c>
      <c r="K8526" s="17" t="s">
        <v>8979</v>
      </c>
      <c r="L8526" s="17" t="s">
        <v>3515</v>
      </c>
      <c r="M8526" s="17" t="s">
        <v>3516</v>
      </c>
      <c r="N8526" s="22" t="str">
        <f t="shared" si="767"/>
        <v>GAL</v>
      </c>
      <c r="O8526" s="19">
        <v>55</v>
      </c>
    </row>
    <row r="8527" spans="2:15" x14ac:dyDescent="0.25">
      <c r="B8527" s="16" t="s">
        <v>3238</v>
      </c>
      <c r="C8527" s="17" t="s">
        <v>3239</v>
      </c>
      <c r="D8527" s="17" t="s">
        <v>6120</v>
      </c>
      <c r="E8527" s="17" t="s">
        <v>3407</v>
      </c>
      <c r="F8527" s="18">
        <f t="shared" si="768"/>
        <v>45841</v>
      </c>
      <c r="G8527" s="22">
        <f t="shared" si="765"/>
        <v>7</v>
      </c>
      <c r="H8527" s="22">
        <f t="shared" si="766"/>
        <v>2025</v>
      </c>
      <c r="I8527" s="17" t="s">
        <v>4</v>
      </c>
      <c r="J8527" s="17" t="s">
        <v>8980</v>
      </c>
      <c r="K8527" s="17" t="s">
        <v>8981</v>
      </c>
      <c r="L8527" s="17" t="s">
        <v>6401</v>
      </c>
      <c r="M8527" s="17" t="s">
        <v>6402</v>
      </c>
      <c r="N8527" s="22" t="str">
        <f t="shared" si="767"/>
        <v>GAL</v>
      </c>
      <c r="O8527" s="19">
        <v>55</v>
      </c>
    </row>
    <row r="8528" spans="2:15" x14ac:dyDescent="0.25">
      <c r="B8528" s="16" t="s">
        <v>3238</v>
      </c>
      <c r="C8528" s="17" t="s">
        <v>3239</v>
      </c>
      <c r="D8528" s="17" t="s">
        <v>6120</v>
      </c>
      <c r="E8528" s="17" t="s">
        <v>6712</v>
      </c>
      <c r="F8528" s="18">
        <f t="shared" si="768"/>
        <v>45841</v>
      </c>
      <c r="G8528" s="22">
        <f t="shared" si="765"/>
        <v>7</v>
      </c>
      <c r="H8528" s="22">
        <f t="shared" si="766"/>
        <v>2025</v>
      </c>
      <c r="I8528" s="17" t="s">
        <v>4</v>
      </c>
      <c r="J8528" s="17" t="s">
        <v>8982</v>
      </c>
      <c r="K8528" s="17" t="s">
        <v>6400</v>
      </c>
      <c r="L8528" s="17" t="s">
        <v>6401</v>
      </c>
      <c r="M8528" s="17" t="s">
        <v>6402</v>
      </c>
      <c r="N8528" s="22" t="str">
        <f t="shared" si="767"/>
        <v>GAL</v>
      </c>
      <c r="O8528" s="19">
        <v>90</v>
      </c>
    </row>
    <row r="8529" spans="2:15" x14ac:dyDescent="0.25">
      <c r="B8529" s="16" t="s">
        <v>3238</v>
      </c>
      <c r="C8529" s="17" t="s">
        <v>3239</v>
      </c>
      <c r="D8529" s="17" t="s">
        <v>6120</v>
      </c>
      <c r="E8529" s="17" t="s">
        <v>6712</v>
      </c>
      <c r="F8529" s="18">
        <f t="shared" si="768"/>
        <v>45841</v>
      </c>
      <c r="G8529" s="22">
        <f t="shared" si="765"/>
        <v>7</v>
      </c>
      <c r="H8529" s="22">
        <f t="shared" si="766"/>
        <v>2025</v>
      </c>
      <c r="I8529" s="17" t="s">
        <v>4</v>
      </c>
      <c r="J8529" s="17" t="s">
        <v>8982</v>
      </c>
      <c r="K8529" s="17" t="s">
        <v>2098</v>
      </c>
      <c r="L8529" s="17" t="s">
        <v>6164</v>
      </c>
      <c r="M8529" s="17" t="s">
        <v>2100</v>
      </c>
      <c r="N8529" s="22" t="str">
        <f t="shared" si="767"/>
        <v>GAL</v>
      </c>
      <c r="O8529" s="19">
        <v>90</v>
      </c>
    </row>
    <row r="8530" spans="2:15" x14ac:dyDescent="0.25">
      <c r="B8530" s="16" t="s">
        <v>3238</v>
      </c>
      <c r="C8530" s="17" t="s">
        <v>3239</v>
      </c>
      <c r="D8530" s="17" t="s">
        <v>6120</v>
      </c>
      <c r="E8530" s="17" t="s">
        <v>6712</v>
      </c>
      <c r="F8530" s="18">
        <f t="shared" si="768"/>
        <v>45841</v>
      </c>
      <c r="G8530" s="22">
        <f t="shared" si="765"/>
        <v>7</v>
      </c>
      <c r="H8530" s="22">
        <f t="shared" si="766"/>
        <v>2025</v>
      </c>
      <c r="I8530" s="17" t="s">
        <v>4</v>
      </c>
      <c r="J8530" s="17" t="s">
        <v>8982</v>
      </c>
      <c r="K8530" s="17" t="s">
        <v>6491</v>
      </c>
      <c r="L8530" s="17" t="s">
        <v>6492</v>
      </c>
      <c r="M8530" s="17" t="s">
        <v>2455</v>
      </c>
      <c r="N8530" s="22" t="str">
        <f t="shared" si="767"/>
        <v>GAL</v>
      </c>
      <c r="O8530" s="19">
        <v>90</v>
      </c>
    </row>
    <row r="8531" spans="2:15" x14ac:dyDescent="0.25">
      <c r="B8531" s="16" t="s">
        <v>3238</v>
      </c>
      <c r="C8531" s="17" t="s">
        <v>3239</v>
      </c>
      <c r="D8531" s="17" t="s">
        <v>6120</v>
      </c>
      <c r="E8531" s="17" t="s">
        <v>6712</v>
      </c>
      <c r="F8531" s="18">
        <f t="shared" si="768"/>
        <v>45841</v>
      </c>
      <c r="G8531" s="22">
        <f t="shared" si="765"/>
        <v>7</v>
      </c>
      <c r="H8531" s="22">
        <f t="shared" si="766"/>
        <v>2025</v>
      </c>
      <c r="I8531" s="17" t="s">
        <v>4</v>
      </c>
      <c r="J8531" s="17" t="s">
        <v>8982</v>
      </c>
      <c r="K8531" s="17" t="s">
        <v>6172</v>
      </c>
      <c r="L8531" s="17" t="s">
        <v>6173</v>
      </c>
      <c r="M8531" s="17" t="s">
        <v>6174</v>
      </c>
      <c r="N8531" s="22" t="str">
        <f t="shared" si="767"/>
        <v>GAL</v>
      </c>
      <c r="O8531" s="19">
        <v>90</v>
      </c>
    </row>
    <row r="8532" spans="2:15" x14ac:dyDescent="0.25">
      <c r="B8532" s="16" t="s">
        <v>3238</v>
      </c>
      <c r="C8532" s="17" t="s">
        <v>3239</v>
      </c>
      <c r="D8532" s="17" t="s">
        <v>6120</v>
      </c>
      <c r="E8532" s="17" t="s">
        <v>141</v>
      </c>
      <c r="F8532" s="18">
        <f t="shared" si="768"/>
        <v>45841</v>
      </c>
      <c r="G8532" s="22">
        <f t="shared" si="765"/>
        <v>7</v>
      </c>
      <c r="H8532" s="22">
        <f t="shared" si="766"/>
        <v>2025</v>
      </c>
      <c r="I8532" s="17" t="s">
        <v>4</v>
      </c>
      <c r="J8532" s="17" t="s">
        <v>8983</v>
      </c>
      <c r="K8532" s="17" t="s">
        <v>6489</v>
      </c>
      <c r="L8532" s="17" t="s">
        <v>6490</v>
      </c>
      <c r="M8532" s="17" t="s">
        <v>2528</v>
      </c>
      <c r="N8532" s="22" t="str">
        <f t="shared" si="767"/>
        <v>GAL</v>
      </c>
      <c r="O8532" s="19">
        <v>90</v>
      </c>
    </row>
    <row r="8533" spans="2:15" x14ac:dyDescent="0.25">
      <c r="B8533" s="16" t="s">
        <v>3238</v>
      </c>
      <c r="C8533" s="17" t="s">
        <v>3239</v>
      </c>
      <c r="D8533" s="17" t="s">
        <v>6120</v>
      </c>
      <c r="E8533" s="17" t="s">
        <v>141</v>
      </c>
      <c r="F8533" s="18">
        <f t="shared" si="768"/>
        <v>45841</v>
      </c>
      <c r="G8533" s="22">
        <f t="shared" si="765"/>
        <v>7</v>
      </c>
      <c r="H8533" s="22">
        <f t="shared" si="766"/>
        <v>2025</v>
      </c>
      <c r="I8533" s="17" t="s">
        <v>4</v>
      </c>
      <c r="J8533" s="17" t="s">
        <v>8983</v>
      </c>
      <c r="K8533" s="17" t="s">
        <v>5469</v>
      </c>
      <c r="L8533" s="17" t="s">
        <v>5470</v>
      </c>
      <c r="M8533" s="17" t="s">
        <v>1046</v>
      </c>
      <c r="N8533" s="22" t="str">
        <f t="shared" si="767"/>
        <v>GAL</v>
      </c>
      <c r="O8533" s="19">
        <v>90</v>
      </c>
    </row>
    <row r="8534" spans="2:15" x14ac:dyDescent="0.25">
      <c r="B8534" s="16" t="s">
        <v>3238</v>
      </c>
      <c r="C8534" s="17" t="s">
        <v>3239</v>
      </c>
      <c r="D8534" s="17" t="s">
        <v>6120</v>
      </c>
      <c r="E8534" s="17" t="s">
        <v>141</v>
      </c>
      <c r="F8534" s="18">
        <f t="shared" si="768"/>
        <v>45841</v>
      </c>
      <c r="G8534" s="22">
        <f t="shared" si="765"/>
        <v>7</v>
      </c>
      <c r="H8534" s="22">
        <f t="shared" si="766"/>
        <v>2025</v>
      </c>
      <c r="I8534" s="17" t="s">
        <v>4</v>
      </c>
      <c r="J8534" s="17" t="s">
        <v>8983</v>
      </c>
      <c r="K8534" s="17" t="s">
        <v>6175</v>
      </c>
      <c r="L8534" s="17" t="s">
        <v>6176</v>
      </c>
      <c r="M8534" s="17" t="s">
        <v>3652</v>
      </c>
      <c r="N8534" s="22" t="str">
        <f t="shared" si="767"/>
        <v>GAL</v>
      </c>
      <c r="O8534" s="19">
        <v>180</v>
      </c>
    </row>
    <row r="8535" spans="2:15" x14ac:dyDescent="0.25">
      <c r="B8535" s="16" t="s">
        <v>3238</v>
      </c>
      <c r="C8535" s="17" t="s">
        <v>3239</v>
      </c>
      <c r="D8535" s="17" t="s">
        <v>6120</v>
      </c>
      <c r="E8535" s="17" t="s">
        <v>141</v>
      </c>
      <c r="F8535" s="18">
        <f t="shared" si="768"/>
        <v>45841</v>
      </c>
      <c r="G8535" s="22">
        <f t="shared" si="765"/>
        <v>7</v>
      </c>
      <c r="H8535" s="22">
        <f t="shared" si="766"/>
        <v>2025</v>
      </c>
      <c r="I8535" s="17" t="s">
        <v>4</v>
      </c>
      <c r="J8535" s="17" t="s">
        <v>8983</v>
      </c>
      <c r="K8535" s="17" t="s">
        <v>6133</v>
      </c>
      <c r="L8535" s="17" t="s">
        <v>6134</v>
      </c>
      <c r="M8535" s="17" t="s">
        <v>6135</v>
      </c>
      <c r="N8535" s="22" t="str">
        <f t="shared" si="767"/>
        <v>GAL</v>
      </c>
      <c r="O8535" s="19">
        <v>180</v>
      </c>
    </row>
    <row r="8536" spans="2:15" x14ac:dyDescent="0.25">
      <c r="B8536" s="16" t="s">
        <v>3238</v>
      </c>
      <c r="C8536" s="17" t="s">
        <v>3239</v>
      </c>
      <c r="D8536" s="17" t="s">
        <v>6120</v>
      </c>
      <c r="E8536" s="17" t="s">
        <v>141</v>
      </c>
      <c r="F8536" s="18">
        <f t="shared" si="768"/>
        <v>45841</v>
      </c>
      <c r="G8536" s="22">
        <f t="shared" si="765"/>
        <v>7</v>
      </c>
      <c r="H8536" s="22">
        <f t="shared" si="766"/>
        <v>2025</v>
      </c>
      <c r="I8536" s="17" t="s">
        <v>4</v>
      </c>
      <c r="J8536" s="17" t="s">
        <v>8983</v>
      </c>
      <c r="K8536" s="17" t="s">
        <v>6491</v>
      </c>
      <c r="L8536" s="17" t="s">
        <v>6492</v>
      </c>
      <c r="M8536" s="17" t="s">
        <v>2455</v>
      </c>
      <c r="N8536" s="22" t="str">
        <f t="shared" si="767"/>
        <v>GAL</v>
      </c>
      <c r="O8536" s="19">
        <v>180</v>
      </c>
    </row>
    <row r="8537" spans="2:15" x14ac:dyDescent="0.25">
      <c r="B8537" s="16" t="s">
        <v>3238</v>
      </c>
      <c r="C8537" s="17" t="s">
        <v>3239</v>
      </c>
      <c r="D8537" s="17" t="s">
        <v>6120</v>
      </c>
      <c r="E8537" s="17" t="s">
        <v>141</v>
      </c>
      <c r="F8537" s="18">
        <f t="shared" si="768"/>
        <v>45841</v>
      </c>
      <c r="G8537" s="22">
        <f t="shared" si="765"/>
        <v>7</v>
      </c>
      <c r="H8537" s="22">
        <f t="shared" si="766"/>
        <v>2025</v>
      </c>
      <c r="I8537" s="17" t="s">
        <v>4</v>
      </c>
      <c r="J8537" s="17" t="s">
        <v>8983</v>
      </c>
      <c r="K8537" s="17" t="s">
        <v>6142</v>
      </c>
      <c r="L8537" s="17" t="s">
        <v>6143</v>
      </c>
      <c r="M8537" s="17" t="s">
        <v>1472</v>
      </c>
      <c r="N8537" s="22" t="str">
        <f t="shared" si="767"/>
        <v>GAL</v>
      </c>
      <c r="O8537" s="19">
        <v>90</v>
      </c>
    </row>
    <row r="8538" spans="2:15" x14ac:dyDescent="0.25">
      <c r="B8538" s="16" t="s">
        <v>3238</v>
      </c>
      <c r="C8538" s="17" t="s">
        <v>3239</v>
      </c>
      <c r="D8538" s="17" t="s">
        <v>3240</v>
      </c>
      <c r="E8538" s="17" t="s">
        <v>8984</v>
      </c>
      <c r="F8538" s="18">
        <f>DATE(2025,7,9)</f>
        <v>45847</v>
      </c>
      <c r="G8538" s="22">
        <f t="shared" si="765"/>
        <v>7</v>
      </c>
      <c r="H8538" s="22">
        <f t="shared" si="766"/>
        <v>2025</v>
      </c>
      <c r="I8538" s="17" t="s">
        <v>4</v>
      </c>
      <c r="J8538" s="17" t="s">
        <v>8985</v>
      </c>
      <c r="K8538" s="17" t="s">
        <v>3249</v>
      </c>
      <c r="L8538" s="17" t="s">
        <v>3250</v>
      </c>
      <c r="M8538" s="17" t="s">
        <v>3251</v>
      </c>
      <c r="N8538" s="22" t="str">
        <f t="shared" si="767"/>
        <v>GAL</v>
      </c>
      <c r="O8538" s="19">
        <v>50</v>
      </c>
    </row>
    <row r="8539" spans="2:15" x14ac:dyDescent="0.25">
      <c r="B8539" s="16" t="s">
        <v>3238</v>
      </c>
      <c r="C8539" s="17" t="s">
        <v>3239</v>
      </c>
      <c r="D8539" s="17" t="s">
        <v>6120</v>
      </c>
      <c r="E8539" s="17" t="s">
        <v>8986</v>
      </c>
      <c r="F8539" s="18">
        <f>DATE(2025,7,9)</f>
        <v>45847</v>
      </c>
      <c r="G8539" s="22">
        <f t="shared" si="765"/>
        <v>7</v>
      </c>
      <c r="H8539" s="22">
        <f t="shared" si="766"/>
        <v>2025</v>
      </c>
      <c r="I8539" s="17" t="s">
        <v>4</v>
      </c>
      <c r="J8539" s="17" t="s">
        <v>8987</v>
      </c>
      <c r="K8539" s="17" t="s">
        <v>8988</v>
      </c>
      <c r="L8539" s="17" t="s">
        <v>8989</v>
      </c>
      <c r="M8539" s="17" t="s">
        <v>8990</v>
      </c>
      <c r="N8539" s="22" t="str">
        <f t="shared" si="767"/>
        <v>GAL</v>
      </c>
      <c r="O8539" s="19">
        <v>60</v>
      </c>
    </row>
    <row r="8540" spans="2:15" x14ac:dyDescent="0.25">
      <c r="B8540" s="16" t="s">
        <v>3238</v>
      </c>
      <c r="C8540" s="17" t="s">
        <v>3239</v>
      </c>
      <c r="D8540" s="17" t="s">
        <v>6120</v>
      </c>
      <c r="E8540" s="17" t="s">
        <v>8986</v>
      </c>
      <c r="F8540" s="18">
        <f>DATE(2025,7,9)</f>
        <v>45847</v>
      </c>
      <c r="G8540" s="22">
        <f t="shared" si="765"/>
        <v>7</v>
      </c>
      <c r="H8540" s="22">
        <f t="shared" si="766"/>
        <v>2025</v>
      </c>
      <c r="I8540" s="17" t="s">
        <v>4</v>
      </c>
      <c r="J8540" s="17" t="s">
        <v>8987</v>
      </c>
      <c r="K8540" s="17" t="s">
        <v>6175</v>
      </c>
      <c r="L8540" s="17" t="s">
        <v>6176</v>
      </c>
      <c r="M8540" s="17" t="s">
        <v>3652</v>
      </c>
      <c r="N8540" s="22" t="str">
        <f t="shared" si="767"/>
        <v>GAL</v>
      </c>
      <c r="O8540" s="19">
        <v>60</v>
      </c>
    </row>
    <row r="8541" spans="2:15" x14ac:dyDescent="0.25">
      <c r="B8541" s="16" t="s">
        <v>3238</v>
      </c>
      <c r="C8541" s="17" t="s">
        <v>3239</v>
      </c>
      <c r="D8541" s="17" t="s">
        <v>6120</v>
      </c>
      <c r="E8541" s="17" t="s">
        <v>8986</v>
      </c>
      <c r="F8541" s="18">
        <f>DATE(2025,7,9)</f>
        <v>45847</v>
      </c>
      <c r="G8541" s="22">
        <f t="shared" si="765"/>
        <v>7</v>
      </c>
      <c r="H8541" s="22">
        <f t="shared" si="766"/>
        <v>2025</v>
      </c>
      <c r="I8541" s="17" t="s">
        <v>4</v>
      </c>
      <c r="J8541" s="17" t="s">
        <v>8987</v>
      </c>
      <c r="K8541" s="17" t="s">
        <v>7306</v>
      </c>
      <c r="L8541" s="17" t="s">
        <v>7307</v>
      </c>
      <c r="M8541" s="17" t="s">
        <v>7308</v>
      </c>
      <c r="N8541" s="22" t="str">
        <f t="shared" si="767"/>
        <v>GAL</v>
      </c>
      <c r="O8541" s="19">
        <v>60</v>
      </c>
    </row>
    <row r="8542" spans="2:15" x14ac:dyDescent="0.25">
      <c r="B8542" s="16" t="s">
        <v>3238</v>
      </c>
      <c r="C8542" s="17" t="s">
        <v>3239</v>
      </c>
      <c r="D8542" s="17" t="s">
        <v>3240</v>
      </c>
      <c r="E8542" s="17" t="s">
        <v>5963</v>
      </c>
      <c r="F8542" s="18">
        <f>DATE(2025,7,10)</f>
        <v>45848</v>
      </c>
      <c r="G8542" s="22">
        <f t="shared" si="765"/>
        <v>7</v>
      </c>
      <c r="H8542" s="22">
        <f t="shared" si="766"/>
        <v>2025</v>
      </c>
      <c r="I8542" s="17" t="s">
        <v>4</v>
      </c>
      <c r="J8542" s="17" t="s">
        <v>8991</v>
      </c>
      <c r="K8542" s="17" t="s">
        <v>5965</v>
      </c>
      <c r="L8542" s="17" t="s">
        <v>5966</v>
      </c>
      <c r="M8542" s="17" t="s">
        <v>119</v>
      </c>
      <c r="N8542" s="22" t="str">
        <f t="shared" si="767"/>
        <v>TON</v>
      </c>
      <c r="O8542" s="19">
        <v>1.3049999999999999</v>
      </c>
    </row>
    <row r="8543" spans="2:15" x14ac:dyDescent="0.25">
      <c r="B8543" s="16" t="s">
        <v>3238</v>
      </c>
      <c r="C8543" s="17" t="s">
        <v>3239</v>
      </c>
      <c r="D8543" s="17" t="s">
        <v>3240</v>
      </c>
      <c r="E8543" s="17" t="s">
        <v>8992</v>
      </c>
      <c r="F8543" s="18">
        <f>DATE(2025,7,11)</f>
        <v>45849</v>
      </c>
      <c r="G8543" s="22">
        <f t="shared" si="765"/>
        <v>7</v>
      </c>
      <c r="H8543" s="22">
        <f t="shared" si="766"/>
        <v>2025</v>
      </c>
      <c r="I8543" s="17" t="s">
        <v>4</v>
      </c>
      <c r="J8543" s="17" t="s">
        <v>8993</v>
      </c>
      <c r="K8543" s="17" t="s">
        <v>3390</v>
      </c>
      <c r="L8543" s="17" t="s">
        <v>3250</v>
      </c>
      <c r="M8543" s="17" t="s">
        <v>3251</v>
      </c>
      <c r="N8543" s="22" t="str">
        <f t="shared" si="767"/>
        <v>GAL</v>
      </c>
      <c r="O8543" s="19">
        <v>260</v>
      </c>
    </row>
    <row r="8544" spans="2:15" x14ac:dyDescent="0.25">
      <c r="B8544" s="16" t="s">
        <v>3238</v>
      </c>
      <c r="C8544" s="17" t="s">
        <v>3239</v>
      </c>
      <c r="D8544" s="17" t="s">
        <v>3240</v>
      </c>
      <c r="E8544" s="17" t="s">
        <v>102</v>
      </c>
      <c r="F8544" s="18">
        <f>DATE(2025,7,11)</f>
        <v>45849</v>
      </c>
      <c r="G8544" s="22">
        <f t="shared" si="765"/>
        <v>7</v>
      </c>
      <c r="H8544" s="22">
        <f t="shared" si="766"/>
        <v>2025</v>
      </c>
      <c r="I8544" s="17" t="s">
        <v>4</v>
      </c>
      <c r="J8544" s="17" t="s">
        <v>8994</v>
      </c>
      <c r="K8544" s="17" t="s">
        <v>5968</v>
      </c>
      <c r="L8544" s="17" t="s">
        <v>5969</v>
      </c>
      <c r="M8544" s="17" t="s">
        <v>5970</v>
      </c>
      <c r="N8544" s="22" t="str">
        <f t="shared" si="767"/>
        <v>GAL</v>
      </c>
      <c r="O8544" s="19">
        <v>90</v>
      </c>
    </row>
    <row r="8545" spans="2:15" x14ac:dyDescent="0.25">
      <c r="B8545" s="16" t="s">
        <v>3238</v>
      </c>
      <c r="C8545" s="17" t="s">
        <v>3239</v>
      </c>
      <c r="D8545" s="17" t="s">
        <v>3240</v>
      </c>
      <c r="E8545" s="17" t="s">
        <v>102</v>
      </c>
      <c r="F8545" s="18">
        <f>DATE(2025,7,11)</f>
        <v>45849</v>
      </c>
      <c r="G8545" s="22">
        <f t="shared" si="765"/>
        <v>7</v>
      </c>
      <c r="H8545" s="22">
        <f t="shared" si="766"/>
        <v>2025</v>
      </c>
      <c r="I8545" s="17" t="s">
        <v>4</v>
      </c>
      <c r="J8545" s="17" t="s">
        <v>8994</v>
      </c>
      <c r="K8545" s="17" t="s">
        <v>19</v>
      </c>
      <c r="L8545" s="17" t="s">
        <v>6275</v>
      </c>
      <c r="M8545" s="17" t="s">
        <v>21</v>
      </c>
      <c r="N8545" s="22" t="str">
        <f t="shared" si="767"/>
        <v>GAL</v>
      </c>
      <c r="O8545" s="19">
        <v>90</v>
      </c>
    </row>
    <row r="8546" spans="2:15" x14ac:dyDescent="0.25">
      <c r="B8546" s="16" t="s">
        <v>3238</v>
      </c>
      <c r="C8546" s="17" t="s">
        <v>3239</v>
      </c>
      <c r="D8546" s="17" t="s">
        <v>3240</v>
      </c>
      <c r="E8546" s="17" t="s">
        <v>3657</v>
      </c>
      <c r="F8546" s="18">
        <f>DATE(2025,7,14)</f>
        <v>45852</v>
      </c>
      <c r="G8546" s="22">
        <f t="shared" si="765"/>
        <v>7</v>
      </c>
      <c r="H8546" s="22">
        <f t="shared" si="766"/>
        <v>2025</v>
      </c>
      <c r="I8546" s="17" t="s">
        <v>4</v>
      </c>
      <c r="J8546" s="17" t="s">
        <v>8995</v>
      </c>
      <c r="K8546" s="17" t="s">
        <v>3659</v>
      </c>
      <c r="L8546" s="17" t="s">
        <v>3660</v>
      </c>
      <c r="M8546" s="17" t="s">
        <v>3652</v>
      </c>
      <c r="N8546" s="22" t="str">
        <f t="shared" si="767"/>
        <v>GAL</v>
      </c>
      <c r="O8546" s="19">
        <v>250</v>
      </c>
    </row>
    <row r="8547" spans="2:15" x14ac:dyDescent="0.25">
      <c r="B8547" s="16" t="s">
        <v>3238</v>
      </c>
      <c r="C8547" s="17" t="s">
        <v>3239</v>
      </c>
      <c r="D8547" s="17" t="s">
        <v>3240</v>
      </c>
      <c r="E8547" s="17" t="s">
        <v>8890</v>
      </c>
      <c r="F8547" s="18">
        <f>DATE(2025,7,14)</f>
        <v>45852</v>
      </c>
      <c r="G8547" s="22">
        <f t="shared" si="765"/>
        <v>7</v>
      </c>
      <c r="H8547" s="22">
        <f t="shared" si="766"/>
        <v>2025</v>
      </c>
      <c r="I8547" s="17" t="s">
        <v>4</v>
      </c>
      <c r="J8547" s="17" t="s">
        <v>8996</v>
      </c>
      <c r="K8547" s="17" t="s">
        <v>5998</v>
      </c>
      <c r="L8547" s="17" t="s">
        <v>4258</v>
      </c>
      <c r="M8547" s="17" t="s">
        <v>3251</v>
      </c>
      <c r="N8547" s="22" t="str">
        <f t="shared" si="767"/>
        <v>GAL</v>
      </c>
      <c r="O8547" s="19">
        <v>720</v>
      </c>
    </row>
    <row r="8548" spans="2:15" x14ac:dyDescent="0.25">
      <c r="B8548" s="16" t="s">
        <v>3238</v>
      </c>
      <c r="C8548" s="17" t="s">
        <v>3239</v>
      </c>
      <c r="D8548" s="17" t="s">
        <v>3240</v>
      </c>
      <c r="E8548" s="17" t="s">
        <v>3377</v>
      </c>
      <c r="F8548" s="18">
        <f t="shared" ref="F8548:F8553" si="769">DATE(2025,7,16)</f>
        <v>45854</v>
      </c>
      <c r="G8548" s="22">
        <f t="shared" si="765"/>
        <v>7</v>
      </c>
      <c r="H8548" s="22">
        <f t="shared" si="766"/>
        <v>2025</v>
      </c>
      <c r="I8548" s="17" t="s">
        <v>4</v>
      </c>
      <c r="J8548" s="17" t="s">
        <v>8997</v>
      </c>
      <c r="K8548" s="17" t="s">
        <v>3390</v>
      </c>
      <c r="L8548" s="17" t="s">
        <v>3250</v>
      </c>
      <c r="M8548" s="17" t="s">
        <v>3251</v>
      </c>
      <c r="N8548" s="22" t="str">
        <f t="shared" si="767"/>
        <v>GAL</v>
      </c>
      <c r="O8548" s="19">
        <v>250</v>
      </c>
    </row>
    <row r="8549" spans="2:15" x14ac:dyDescent="0.25">
      <c r="B8549" s="16" t="s">
        <v>3238</v>
      </c>
      <c r="C8549" s="17" t="s">
        <v>3239</v>
      </c>
      <c r="D8549" s="17" t="s">
        <v>3240</v>
      </c>
      <c r="E8549" s="17" t="s">
        <v>3377</v>
      </c>
      <c r="F8549" s="18">
        <f t="shared" si="769"/>
        <v>45854</v>
      </c>
      <c r="G8549" s="22">
        <f t="shared" si="765"/>
        <v>7</v>
      </c>
      <c r="H8549" s="22">
        <f t="shared" si="766"/>
        <v>2025</v>
      </c>
      <c r="I8549" s="17" t="s">
        <v>4</v>
      </c>
      <c r="J8549" s="17" t="s">
        <v>8997</v>
      </c>
      <c r="K8549" s="17" t="s">
        <v>3910</v>
      </c>
      <c r="L8549" s="17" t="s">
        <v>3911</v>
      </c>
      <c r="M8549" s="17" t="s">
        <v>2100</v>
      </c>
      <c r="N8549" s="22" t="str">
        <f t="shared" si="767"/>
        <v>GAL</v>
      </c>
      <c r="O8549" s="19">
        <v>250</v>
      </c>
    </row>
    <row r="8550" spans="2:15" x14ac:dyDescent="0.25">
      <c r="B8550" s="16" t="s">
        <v>3238</v>
      </c>
      <c r="C8550" s="17" t="s">
        <v>3239</v>
      </c>
      <c r="D8550" s="17" t="s">
        <v>3240</v>
      </c>
      <c r="E8550" s="17" t="s">
        <v>3377</v>
      </c>
      <c r="F8550" s="18">
        <f t="shared" si="769"/>
        <v>45854</v>
      </c>
      <c r="G8550" s="22">
        <f t="shared" si="765"/>
        <v>7</v>
      </c>
      <c r="H8550" s="22">
        <f t="shared" si="766"/>
        <v>2025</v>
      </c>
      <c r="I8550" s="17" t="s">
        <v>4</v>
      </c>
      <c r="J8550" s="17" t="s">
        <v>8998</v>
      </c>
      <c r="K8550" s="17" t="s">
        <v>3925</v>
      </c>
      <c r="L8550" s="17" t="s">
        <v>4264</v>
      </c>
      <c r="M8550" s="17" t="s">
        <v>119</v>
      </c>
      <c r="N8550" s="22" t="str">
        <f t="shared" si="767"/>
        <v>TON</v>
      </c>
      <c r="O8550" s="19">
        <v>1.27</v>
      </c>
    </row>
    <row r="8551" spans="2:15" x14ac:dyDescent="0.25">
      <c r="B8551" s="16" t="s">
        <v>3238</v>
      </c>
      <c r="C8551" s="17" t="s">
        <v>3239</v>
      </c>
      <c r="D8551" s="17" t="s">
        <v>3240</v>
      </c>
      <c r="E8551" s="17" t="s">
        <v>102</v>
      </c>
      <c r="F8551" s="18">
        <f t="shared" si="769"/>
        <v>45854</v>
      </c>
      <c r="G8551" s="22">
        <f t="shared" si="765"/>
        <v>7</v>
      </c>
      <c r="H8551" s="22">
        <f t="shared" si="766"/>
        <v>2025</v>
      </c>
      <c r="I8551" s="17" t="s">
        <v>4</v>
      </c>
      <c r="J8551" s="17" t="s">
        <v>8999</v>
      </c>
      <c r="K8551" s="17" t="s">
        <v>3249</v>
      </c>
      <c r="L8551" s="17" t="s">
        <v>3250</v>
      </c>
      <c r="M8551" s="17" t="s">
        <v>3251</v>
      </c>
      <c r="N8551" s="22" t="str">
        <f t="shared" si="767"/>
        <v>GAL</v>
      </c>
      <c r="O8551" s="19">
        <v>60</v>
      </c>
    </row>
    <row r="8552" spans="2:15" x14ac:dyDescent="0.25">
      <c r="B8552" s="16" t="s">
        <v>3238</v>
      </c>
      <c r="C8552" s="17" t="s">
        <v>3239</v>
      </c>
      <c r="D8552" s="17" t="s">
        <v>3240</v>
      </c>
      <c r="E8552" s="17" t="s">
        <v>102</v>
      </c>
      <c r="F8552" s="18">
        <f t="shared" si="769"/>
        <v>45854</v>
      </c>
      <c r="G8552" s="22">
        <f t="shared" si="765"/>
        <v>7</v>
      </c>
      <c r="H8552" s="22">
        <f t="shared" si="766"/>
        <v>2025</v>
      </c>
      <c r="I8552" s="17" t="s">
        <v>4</v>
      </c>
      <c r="J8552" s="17" t="s">
        <v>8999</v>
      </c>
      <c r="K8552" s="17" t="s">
        <v>5998</v>
      </c>
      <c r="L8552" s="17" t="s">
        <v>4258</v>
      </c>
      <c r="M8552" s="17" t="s">
        <v>3251</v>
      </c>
      <c r="N8552" s="22" t="str">
        <f t="shared" si="767"/>
        <v>GAL</v>
      </c>
      <c r="O8552" s="19">
        <v>60</v>
      </c>
    </row>
    <row r="8553" spans="2:15" x14ac:dyDescent="0.25">
      <c r="B8553" s="16" t="s">
        <v>3238</v>
      </c>
      <c r="C8553" s="17" t="s">
        <v>3239</v>
      </c>
      <c r="D8553" s="17" t="s">
        <v>3240</v>
      </c>
      <c r="E8553" s="17" t="s">
        <v>102</v>
      </c>
      <c r="F8553" s="18">
        <f t="shared" si="769"/>
        <v>45854</v>
      </c>
      <c r="G8553" s="22">
        <f t="shared" si="765"/>
        <v>7</v>
      </c>
      <c r="H8553" s="22">
        <f t="shared" si="766"/>
        <v>2025</v>
      </c>
      <c r="I8553" s="17" t="s">
        <v>4</v>
      </c>
      <c r="J8553" s="17" t="s">
        <v>8999</v>
      </c>
      <c r="K8553" s="17" t="s">
        <v>6142</v>
      </c>
      <c r="L8553" s="17" t="s">
        <v>8762</v>
      </c>
      <c r="M8553" s="17" t="s">
        <v>1472</v>
      </c>
      <c r="N8553" s="22" t="str">
        <f t="shared" si="767"/>
        <v>GAL</v>
      </c>
      <c r="O8553" s="19">
        <v>60</v>
      </c>
    </row>
    <row r="8554" spans="2:15" x14ac:dyDescent="0.25">
      <c r="B8554" s="16" t="s">
        <v>3238</v>
      </c>
      <c r="C8554" s="17" t="s">
        <v>3239</v>
      </c>
      <c r="D8554" s="17" t="s">
        <v>3240</v>
      </c>
      <c r="E8554" s="17" t="s">
        <v>102</v>
      </c>
      <c r="F8554" s="18">
        <f t="shared" ref="F8554:F8559" si="770">DATE(2025,7,21)</f>
        <v>45859</v>
      </c>
      <c r="G8554" s="22">
        <f t="shared" si="765"/>
        <v>7</v>
      </c>
      <c r="H8554" s="22">
        <f t="shared" si="766"/>
        <v>2025</v>
      </c>
      <c r="I8554" s="17" t="s">
        <v>4</v>
      </c>
      <c r="J8554" s="17" t="s">
        <v>9000</v>
      </c>
      <c r="K8554" s="17" t="s">
        <v>9001</v>
      </c>
      <c r="L8554" s="17" t="s">
        <v>9002</v>
      </c>
      <c r="M8554" s="17" t="s">
        <v>9003</v>
      </c>
      <c r="N8554" s="22" t="str">
        <f t="shared" si="767"/>
        <v>GAL</v>
      </c>
      <c r="O8554" s="19">
        <v>40</v>
      </c>
    </row>
    <row r="8555" spans="2:15" x14ac:dyDescent="0.25">
      <c r="B8555" s="16" t="s">
        <v>3238</v>
      </c>
      <c r="C8555" s="17" t="s">
        <v>3239</v>
      </c>
      <c r="D8555" s="17" t="s">
        <v>3240</v>
      </c>
      <c r="E8555" s="17" t="s">
        <v>102</v>
      </c>
      <c r="F8555" s="18">
        <f t="shared" si="770"/>
        <v>45859</v>
      </c>
      <c r="G8555" s="22">
        <f t="shared" si="765"/>
        <v>7</v>
      </c>
      <c r="H8555" s="22">
        <f t="shared" si="766"/>
        <v>2025</v>
      </c>
      <c r="I8555" s="17" t="s">
        <v>4</v>
      </c>
      <c r="J8555" s="17" t="s">
        <v>9004</v>
      </c>
      <c r="K8555" s="17" t="s">
        <v>5994</v>
      </c>
      <c r="L8555" s="17" t="s">
        <v>5995</v>
      </c>
      <c r="M8555" s="17" t="s">
        <v>5996</v>
      </c>
      <c r="N8555" s="22" t="str">
        <f t="shared" si="767"/>
        <v>GAL</v>
      </c>
      <c r="O8555" s="19">
        <v>60</v>
      </c>
    </row>
    <row r="8556" spans="2:15" x14ac:dyDescent="0.25">
      <c r="B8556" s="16" t="s">
        <v>3238</v>
      </c>
      <c r="C8556" s="17" t="s">
        <v>3239</v>
      </c>
      <c r="D8556" s="17" t="s">
        <v>3240</v>
      </c>
      <c r="E8556" s="17" t="s">
        <v>102</v>
      </c>
      <c r="F8556" s="18">
        <f t="shared" si="770"/>
        <v>45859</v>
      </c>
      <c r="G8556" s="22">
        <f t="shared" si="765"/>
        <v>7</v>
      </c>
      <c r="H8556" s="22">
        <f t="shared" si="766"/>
        <v>2025</v>
      </c>
      <c r="I8556" s="17" t="s">
        <v>4</v>
      </c>
      <c r="J8556" s="17" t="s">
        <v>9004</v>
      </c>
      <c r="K8556" s="17" t="s">
        <v>6069</v>
      </c>
      <c r="L8556" s="17" t="s">
        <v>6070</v>
      </c>
      <c r="M8556" s="17" t="s">
        <v>1472</v>
      </c>
      <c r="N8556" s="22" t="str">
        <f t="shared" si="767"/>
        <v>GAL</v>
      </c>
      <c r="O8556" s="19">
        <v>60</v>
      </c>
    </row>
    <row r="8557" spans="2:15" x14ac:dyDescent="0.25">
      <c r="B8557" s="16" t="s">
        <v>3238</v>
      </c>
      <c r="C8557" s="17" t="s">
        <v>3239</v>
      </c>
      <c r="D8557" s="17" t="s">
        <v>3240</v>
      </c>
      <c r="E8557" s="17" t="s">
        <v>102</v>
      </c>
      <c r="F8557" s="18">
        <f t="shared" si="770"/>
        <v>45859</v>
      </c>
      <c r="G8557" s="22">
        <f t="shared" si="765"/>
        <v>7</v>
      </c>
      <c r="H8557" s="22">
        <f t="shared" si="766"/>
        <v>2025</v>
      </c>
      <c r="I8557" s="17" t="s">
        <v>4</v>
      </c>
      <c r="J8557" s="17" t="s">
        <v>9004</v>
      </c>
      <c r="K8557" s="17" t="s">
        <v>6516</v>
      </c>
      <c r="L8557" s="17" t="s">
        <v>3396</v>
      </c>
      <c r="M8557" s="17" t="s">
        <v>844</v>
      </c>
      <c r="N8557" s="22" t="str">
        <f t="shared" si="767"/>
        <v>GAL</v>
      </c>
      <c r="O8557" s="19">
        <v>60</v>
      </c>
    </row>
    <row r="8558" spans="2:15" x14ac:dyDescent="0.25">
      <c r="B8558" s="16" t="s">
        <v>3238</v>
      </c>
      <c r="C8558" s="17" t="s">
        <v>3239</v>
      </c>
      <c r="D8558" s="17" t="s">
        <v>6120</v>
      </c>
      <c r="E8558" s="17" t="s">
        <v>9005</v>
      </c>
      <c r="F8558" s="18">
        <f t="shared" si="770"/>
        <v>45859</v>
      </c>
      <c r="G8558" s="22">
        <f t="shared" si="765"/>
        <v>7</v>
      </c>
      <c r="H8558" s="22">
        <f t="shared" si="766"/>
        <v>2025</v>
      </c>
      <c r="I8558" s="17" t="s">
        <v>4</v>
      </c>
      <c r="J8558" s="17" t="s">
        <v>9006</v>
      </c>
      <c r="K8558" s="17" t="s">
        <v>5469</v>
      </c>
      <c r="L8558" s="17" t="s">
        <v>5470</v>
      </c>
      <c r="M8558" s="17" t="s">
        <v>1046</v>
      </c>
      <c r="N8558" s="22" t="str">
        <f t="shared" si="767"/>
        <v>GAL</v>
      </c>
      <c r="O8558" s="19">
        <v>180</v>
      </c>
    </row>
    <row r="8559" spans="2:15" x14ac:dyDescent="0.25">
      <c r="B8559" s="16" t="s">
        <v>3238</v>
      </c>
      <c r="C8559" s="17" t="s">
        <v>3239</v>
      </c>
      <c r="D8559" s="17" t="s">
        <v>6120</v>
      </c>
      <c r="E8559" s="17" t="s">
        <v>9005</v>
      </c>
      <c r="F8559" s="18">
        <f t="shared" si="770"/>
        <v>45859</v>
      </c>
      <c r="G8559" s="22">
        <f t="shared" si="765"/>
        <v>7</v>
      </c>
      <c r="H8559" s="22">
        <f t="shared" si="766"/>
        <v>2025</v>
      </c>
      <c r="I8559" s="17" t="s">
        <v>4</v>
      </c>
      <c r="J8559" s="17" t="s">
        <v>9006</v>
      </c>
      <c r="K8559" s="17" t="s">
        <v>6133</v>
      </c>
      <c r="L8559" s="17" t="s">
        <v>6134</v>
      </c>
      <c r="M8559" s="17" t="s">
        <v>6135</v>
      </c>
      <c r="N8559" s="22" t="str">
        <f t="shared" si="767"/>
        <v>GAL</v>
      </c>
      <c r="O8559" s="19">
        <v>360</v>
      </c>
    </row>
    <row r="8560" spans="2:15" x14ac:dyDescent="0.25">
      <c r="B8560" s="16" t="s">
        <v>3238</v>
      </c>
      <c r="C8560" s="17" t="s">
        <v>3239</v>
      </c>
      <c r="D8560" s="17" t="s">
        <v>3240</v>
      </c>
      <c r="E8560" s="17" t="s">
        <v>8890</v>
      </c>
      <c r="F8560" s="18">
        <f>DATE(2025,7,22)</f>
        <v>45860</v>
      </c>
      <c r="G8560" s="22">
        <f t="shared" si="765"/>
        <v>7</v>
      </c>
      <c r="H8560" s="22">
        <f t="shared" si="766"/>
        <v>2025</v>
      </c>
      <c r="I8560" s="17" t="s">
        <v>4</v>
      </c>
      <c r="J8560" s="17" t="s">
        <v>9007</v>
      </c>
      <c r="K8560" s="17" t="s">
        <v>5998</v>
      </c>
      <c r="L8560" s="17" t="s">
        <v>4258</v>
      </c>
      <c r="M8560" s="17" t="s">
        <v>3251</v>
      </c>
      <c r="N8560" s="22" t="str">
        <f t="shared" si="767"/>
        <v>GAL</v>
      </c>
      <c r="O8560" s="19">
        <v>720</v>
      </c>
    </row>
    <row r="8561" spans="2:15" x14ac:dyDescent="0.25">
      <c r="B8561" s="16" t="s">
        <v>3238</v>
      </c>
      <c r="C8561" s="17" t="s">
        <v>3239</v>
      </c>
      <c r="D8561" s="17" t="s">
        <v>3240</v>
      </c>
      <c r="E8561" s="17" t="s">
        <v>3379</v>
      </c>
      <c r="F8561" s="18">
        <f>DATE(2025,7,22)</f>
        <v>45860</v>
      </c>
      <c r="G8561" s="22">
        <f t="shared" si="765"/>
        <v>7</v>
      </c>
      <c r="H8561" s="22">
        <f t="shared" si="766"/>
        <v>2025</v>
      </c>
      <c r="I8561" s="17" t="s">
        <v>4</v>
      </c>
      <c r="J8561" s="17" t="s">
        <v>9008</v>
      </c>
      <c r="K8561" s="17" t="s">
        <v>3653</v>
      </c>
      <c r="L8561" s="17" t="s">
        <v>3654</v>
      </c>
      <c r="M8561" s="17" t="s">
        <v>1071</v>
      </c>
      <c r="N8561" s="22" t="str">
        <f t="shared" si="767"/>
        <v>GAL</v>
      </c>
      <c r="O8561" s="19">
        <v>250</v>
      </c>
    </row>
    <row r="8562" spans="2:15" x14ac:dyDescent="0.25">
      <c r="B8562" s="16" t="s">
        <v>3238</v>
      </c>
      <c r="C8562" s="17" t="s">
        <v>3239</v>
      </c>
      <c r="D8562" s="17" t="s">
        <v>3240</v>
      </c>
      <c r="E8562" s="17" t="s">
        <v>3241</v>
      </c>
      <c r="F8562" s="18">
        <f>DATE(2025,7,22)</f>
        <v>45860</v>
      </c>
      <c r="G8562" s="22">
        <f t="shared" si="765"/>
        <v>7</v>
      </c>
      <c r="H8562" s="22">
        <f t="shared" si="766"/>
        <v>2025</v>
      </c>
      <c r="I8562" s="17" t="s">
        <v>4</v>
      </c>
      <c r="J8562" s="17" t="s">
        <v>9009</v>
      </c>
      <c r="K8562" s="17" t="s">
        <v>548</v>
      </c>
      <c r="L8562" s="17" t="s">
        <v>518</v>
      </c>
      <c r="M8562" s="17" t="s">
        <v>85</v>
      </c>
      <c r="N8562" s="22" t="str">
        <f t="shared" si="767"/>
        <v>GAL</v>
      </c>
      <c r="O8562" s="19">
        <v>1250</v>
      </c>
    </row>
    <row r="8563" spans="2:15" x14ac:dyDescent="0.25">
      <c r="B8563" s="16" t="s">
        <v>3238</v>
      </c>
      <c r="C8563" s="17" t="s">
        <v>3239</v>
      </c>
      <c r="D8563" s="17" t="s">
        <v>3240</v>
      </c>
      <c r="E8563" s="17" t="s">
        <v>3241</v>
      </c>
      <c r="F8563" s="18">
        <f>DATE(2025,7,22)</f>
        <v>45860</v>
      </c>
      <c r="G8563" s="22">
        <f t="shared" ref="G8563:G8569" si="771">MONTH(F8563)</f>
        <v>7</v>
      </c>
      <c r="H8563" s="22">
        <f t="shared" ref="H8563:H8569" si="772">YEAR(F8563)</f>
        <v>2025</v>
      </c>
      <c r="I8563" s="17" t="s">
        <v>4</v>
      </c>
      <c r="J8563" s="17" t="s">
        <v>9009</v>
      </c>
      <c r="K8563" s="17" t="s">
        <v>3399</v>
      </c>
      <c r="L8563" s="17" t="s">
        <v>3400</v>
      </c>
      <c r="M8563" s="17" t="s">
        <v>3401</v>
      </c>
      <c r="N8563" s="22" t="str">
        <f t="shared" ref="N8563:N8568" si="773">LEFT(M8563,3)</f>
        <v>GAL</v>
      </c>
      <c r="O8563" s="19">
        <v>1000</v>
      </c>
    </row>
    <row r="8564" spans="2:15" x14ac:dyDescent="0.25">
      <c r="B8564" s="16" t="s">
        <v>3238</v>
      </c>
      <c r="C8564" s="17" t="s">
        <v>3239</v>
      </c>
      <c r="D8564" s="17" t="s">
        <v>3240</v>
      </c>
      <c r="E8564" s="17" t="s">
        <v>6691</v>
      </c>
      <c r="F8564" s="18">
        <f>DATE(2025,7,25)</f>
        <v>45863</v>
      </c>
      <c r="G8564" s="22">
        <f t="shared" si="771"/>
        <v>7</v>
      </c>
      <c r="H8564" s="22">
        <f t="shared" si="772"/>
        <v>2025</v>
      </c>
      <c r="I8564" s="17" t="s">
        <v>4</v>
      </c>
      <c r="J8564" s="17" t="s">
        <v>9010</v>
      </c>
      <c r="K8564" s="17" t="s">
        <v>3531</v>
      </c>
      <c r="L8564" s="17" t="s">
        <v>6380</v>
      </c>
      <c r="M8564" s="17" t="s">
        <v>41</v>
      </c>
      <c r="N8564" s="22" t="str">
        <f t="shared" si="773"/>
        <v>GAL</v>
      </c>
      <c r="O8564" s="19">
        <v>250</v>
      </c>
    </row>
    <row r="8565" spans="2:15" x14ac:dyDescent="0.25">
      <c r="B8565" s="16" t="s">
        <v>3238</v>
      </c>
      <c r="C8565" s="17" t="s">
        <v>3239</v>
      </c>
      <c r="D8565" s="17" t="s">
        <v>3240</v>
      </c>
      <c r="E8565" s="17" t="s">
        <v>9011</v>
      </c>
      <c r="F8565" s="18">
        <f>DATE(2025,7,25)</f>
        <v>45863</v>
      </c>
      <c r="G8565" s="22">
        <f t="shared" si="771"/>
        <v>7</v>
      </c>
      <c r="H8565" s="22">
        <f t="shared" si="772"/>
        <v>2025</v>
      </c>
      <c r="I8565" s="17" t="s">
        <v>4</v>
      </c>
      <c r="J8565" s="17" t="s">
        <v>9012</v>
      </c>
      <c r="K8565" s="17" t="s">
        <v>3390</v>
      </c>
      <c r="L8565" s="17" t="s">
        <v>3250</v>
      </c>
      <c r="M8565" s="17" t="s">
        <v>3251</v>
      </c>
      <c r="N8565" s="22" t="str">
        <f t="shared" si="773"/>
        <v>GAL</v>
      </c>
      <c r="O8565" s="19">
        <v>275</v>
      </c>
    </row>
    <row r="8566" spans="2:15" x14ac:dyDescent="0.25">
      <c r="B8566" s="16" t="s">
        <v>3238</v>
      </c>
      <c r="C8566" s="17" t="s">
        <v>3239</v>
      </c>
      <c r="D8566" s="17" t="s">
        <v>3240</v>
      </c>
      <c r="E8566" s="17" t="s">
        <v>9011</v>
      </c>
      <c r="F8566" s="18">
        <f>DATE(2025,7,25)</f>
        <v>45863</v>
      </c>
      <c r="G8566" s="22">
        <f t="shared" si="771"/>
        <v>7</v>
      </c>
      <c r="H8566" s="22">
        <f t="shared" si="772"/>
        <v>2025</v>
      </c>
      <c r="I8566" s="17" t="s">
        <v>4</v>
      </c>
      <c r="J8566" s="17" t="s">
        <v>9012</v>
      </c>
      <c r="K8566" s="17" t="s">
        <v>3531</v>
      </c>
      <c r="L8566" s="17" t="s">
        <v>6380</v>
      </c>
      <c r="M8566" s="17" t="s">
        <v>41</v>
      </c>
      <c r="N8566" s="22" t="str">
        <f t="shared" si="773"/>
        <v>GAL</v>
      </c>
      <c r="O8566" s="19">
        <v>275</v>
      </c>
    </row>
    <row r="8567" spans="2:15" x14ac:dyDescent="0.25">
      <c r="B8567" s="16" t="s">
        <v>3238</v>
      </c>
      <c r="C8567" s="17" t="s">
        <v>3239</v>
      </c>
      <c r="D8567" s="17" t="s">
        <v>3240</v>
      </c>
      <c r="E8567" s="17" t="s">
        <v>102</v>
      </c>
      <c r="F8567" s="18">
        <f>DATE(2025,7,28)</f>
        <v>45866</v>
      </c>
      <c r="G8567" s="22">
        <f t="shared" si="771"/>
        <v>7</v>
      </c>
      <c r="H8567" s="22">
        <f t="shared" si="772"/>
        <v>2025</v>
      </c>
      <c r="I8567" s="17" t="s">
        <v>4</v>
      </c>
      <c r="J8567" s="17" t="s">
        <v>9013</v>
      </c>
      <c r="K8567" s="17" t="s">
        <v>6373</v>
      </c>
      <c r="L8567" s="17" t="s">
        <v>6374</v>
      </c>
      <c r="M8567" s="17" t="s">
        <v>6375</v>
      </c>
      <c r="N8567" s="22" t="str">
        <f t="shared" si="773"/>
        <v>GAL</v>
      </c>
      <c r="O8567" s="19">
        <v>400</v>
      </c>
    </row>
    <row r="8568" spans="2:15" x14ac:dyDescent="0.25">
      <c r="B8568" s="16" t="s">
        <v>3238</v>
      </c>
      <c r="C8568" s="17" t="s">
        <v>3239</v>
      </c>
      <c r="D8568" s="17" t="s">
        <v>3240</v>
      </c>
      <c r="E8568" s="17" t="s">
        <v>102</v>
      </c>
      <c r="F8568" s="18">
        <f>DATE(2025,7,31)</f>
        <v>45869</v>
      </c>
      <c r="G8568" s="22">
        <f t="shared" si="771"/>
        <v>7</v>
      </c>
      <c r="H8568" s="22">
        <f t="shared" si="772"/>
        <v>2025</v>
      </c>
      <c r="I8568" s="17" t="s">
        <v>4</v>
      </c>
      <c r="J8568" s="17" t="s">
        <v>9014</v>
      </c>
      <c r="K8568" s="17" t="s">
        <v>9015</v>
      </c>
      <c r="L8568" s="17" t="s">
        <v>8881</v>
      </c>
      <c r="M8568" s="17" t="s">
        <v>2631</v>
      </c>
      <c r="N8568" s="22" t="str">
        <f t="shared" si="773"/>
        <v>GAL</v>
      </c>
      <c r="O8568" s="19">
        <v>10</v>
      </c>
    </row>
    <row r="8569" spans="2:15" x14ac:dyDescent="0.25">
      <c r="B8569" s="16" t="s">
        <v>3238</v>
      </c>
      <c r="C8569" s="17" t="s">
        <v>3239</v>
      </c>
      <c r="D8569" s="17" t="s">
        <v>3240</v>
      </c>
      <c r="E8569" s="17" t="s">
        <v>102</v>
      </c>
      <c r="F8569" s="18">
        <f>DATE(2025,7,31)</f>
        <v>45869</v>
      </c>
      <c r="G8569" s="22">
        <f t="shared" si="771"/>
        <v>7</v>
      </c>
      <c r="H8569" s="22">
        <f t="shared" si="772"/>
        <v>2025</v>
      </c>
      <c r="I8569" s="17" t="s">
        <v>4</v>
      </c>
      <c r="J8569" s="17" t="s">
        <v>9014</v>
      </c>
      <c r="K8569" s="17" t="s">
        <v>9016</v>
      </c>
      <c r="L8569" s="17" t="s">
        <v>9017</v>
      </c>
      <c r="M8569" s="17" t="s">
        <v>9018</v>
      </c>
      <c r="N8569" s="22" t="str">
        <f>LEFT(M8569,3)</f>
        <v>GAL</v>
      </c>
      <c r="O8569" s="19">
        <v>10</v>
      </c>
    </row>
    <row r="8570" spans="2:15" x14ac:dyDescent="0.25">
      <c r="B8570" s="16" t="s">
        <v>0</v>
      </c>
      <c r="C8570" s="17" t="s">
        <v>1</v>
      </c>
      <c r="D8570" s="17" t="s">
        <v>2</v>
      </c>
      <c r="E8570" s="17" t="s">
        <v>4287</v>
      </c>
      <c r="F8570" s="18">
        <f>DATE(2025,8,4)</f>
        <v>45873</v>
      </c>
      <c r="G8570" s="22">
        <f t="shared" ref="G8570:G8633" si="774">+MONTH(F8570)</f>
        <v>8</v>
      </c>
      <c r="H8570" s="22">
        <f t="shared" ref="H8570:H8633" si="775">+YEAR(F8570)</f>
        <v>2025</v>
      </c>
      <c r="I8570" s="17" t="s">
        <v>4</v>
      </c>
      <c r="J8570" s="17" t="s">
        <v>9019</v>
      </c>
      <c r="K8570" s="17" t="s">
        <v>22</v>
      </c>
      <c r="L8570" s="17" t="s">
        <v>23</v>
      </c>
      <c r="M8570" s="17" t="s">
        <v>24</v>
      </c>
      <c r="N8570" s="22" t="str">
        <f t="shared" ref="N8570:N8633" si="776">+LEFT(M8570,3)</f>
        <v>GAL</v>
      </c>
      <c r="O8570" s="19">
        <v>60</v>
      </c>
    </row>
    <row r="8571" spans="2:15" x14ac:dyDescent="0.25">
      <c r="B8571" s="16" t="s">
        <v>0</v>
      </c>
      <c r="C8571" s="17" t="s">
        <v>1</v>
      </c>
      <c r="D8571" s="17" t="s">
        <v>2</v>
      </c>
      <c r="E8571" s="17" t="s">
        <v>4287</v>
      </c>
      <c r="F8571" s="18">
        <f>DATE(2025,8,4)</f>
        <v>45873</v>
      </c>
      <c r="G8571" s="22">
        <f t="shared" si="774"/>
        <v>8</v>
      </c>
      <c r="H8571" s="22">
        <f t="shared" si="775"/>
        <v>2025</v>
      </c>
      <c r="I8571" s="17" t="s">
        <v>4</v>
      </c>
      <c r="J8571" s="17" t="s">
        <v>9019</v>
      </c>
      <c r="K8571" s="17" t="s">
        <v>83</v>
      </c>
      <c r="L8571" s="17" t="s">
        <v>84</v>
      </c>
      <c r="M8571" s="17" t="s">
        <v>85</v>
      </c>
      <c r="N8571" s="22" t="str">
        <f t="shared" si="776"/>
        <v>GAL</v>
      </c>
      <c r="O8571" s="19">
        <v>60</v>
      </c>
    </row>
    <row r="8572" spans="2:15" x14ac:dyDescent="0.25">
      <c r="B8572" s="16" t="s">
        <v>0</v>
      </c>
      <c r="C8572" s="17" t="s">
        <v>1</v>
      </c>
      <c r="D8572" s="17" t="s">
        <v>2</v>
      </c>
      <c r="E8572" s="17" t="s">
        <v>4287</v>
      </c>
      <c r="F8572" s="18">
        <f>DATE(2025,8,4)</f>
        <v>45873</v>
      </c>
      <c r="G8572" s="22">
        <f t="shared" si="774"/>
        <v>8</v>
      </c>
      <c r="H8572" s="22">
        <f t="shared" si="775"/>
        <v>2025</v>
      </c>
      <c r="I8572" s="17" t="s">
        <v>4</v>
      </c>
      <c r="J8572" s="17" t="s">
        <v>9019</v>
      </c>
      <c r="K8572" s="17" t="s">
        <v>16</v>
      </c>
      <c r="L8572" s="17" t="s">
        <v>7</v>
      </c>
      <c r="M8572" s="17" t="s">
        <v>8</v>
      </c>
      <c r="N8572" s="22" t="str">
        <f t="shared" si="776"/>
        <v>GAL</v>
      </c>
      <c r="O8572" s="19">
        <v>120</v>
      </c>
    </row>
    <row r="8573" spans="2:15" x14ac:dyDescent="0.25">
      <c r="B8573" s="16" t="s">
        <v>0</v>
      </c>
      <c r="C8573" s="17" t="s">
        <v>1</v>
      </c>
      <c r="D8573" s="17" t="s">
        <v>2</v>
      </c>
      <c r="E8573" s="17" t="s">
        <v>4287</v>
      </c>
      <c r="F8573" s="18">
        <f>DATE(2025,8,4)</f>
        <v>45873</v>
      </c>
      <c r="G8573" s="22">
        <f t="shared" si="774"/>
        <v>8</v>
      </c>
      <c r="H8573" s="22">
        <f t="shared" si="775"/>
        <v>2025</v>
      </c>
      <c r="I8573" s="17" t="s">
        <v>4</v>
      </c>
      <c r="J8573" s="17" t="s">
        <v>9019</v>
      </c>
      <c r="K8573" s="17" t="s">
        <v>19</v>
      </c>
      <c r="L8573" s="17" t="s">
        <v>6006</v>
      </c>
      <c r="M8573" s="17" t="s">
        <v>21</v>
      </c>
      <c r="N8573" s="22" t="str">
        <f t="shared" si="776"/>
        <v>GAL</v>
      </c>
      <c r="O8573" s="19">
        <v>120</v>
      </c>
    </row>
    <row r="8574" spans="2:15" x14ac:dyDescent="0.25">
      <c r="B8574" s="16" t="s">
        <v>0</v>
      </c>
      <c r="C8574" s="17" t="s">
        <v>1</v>
      </c>
      <c r="D8574" s="17" t="s">
        <v>2</v>
      </c>
      <c r="E8574" s="17" t="s">
        <v>1784</v>
      </c>
      <c r="F8574" s="18">
        <f>DATE(2025,8,7)</f>
        <v>45876</v>
      </c>
      <c r="G8574" s="22">
        <f t="shared" si="774"/>
        <v>8</v>
      </c>
      <c r="H8574" s="22">
        <f t="shared" si="775"/>
        <v>2025</v>
      </c>
      <c r="I8574" s="17" t="s">
        <v>4</v>
      </c>
      <c r="J8574" s="17" t="s">
        <v>9020</v>
      </c>
      <c r="K8574" s="17" t="s">
        <v>28</v>
      </c>
      <c r="L8574" s="17" t="s">
        <v>29</v>
      </c>
      <c r="M8574" s="17" t="s">
        <v>30</v>
      </c>
      <c r="N8574" s="22" t="str">
        <f t="shared" si="776"/>
        <v>GAL</v>
      </c>
      <c r="O8574" s="19">
        <v>30</v>
      </c>
    </row>
    <row r="8575" spans="2:15" x14ac:dyDescent="0.25">
      <c r="B8575" s="16" t="s">
        <v>0</v>
      </c>
      <c r="C8575" s="17" t="s">
        <v>1</v>
      </c>
      <c r="D8575" s="17" t="s">
        <v>2</v>
      </c>
      <c r="E8575" s="17" t="s">
        <v>1784</v>
      </c>
      <c r="F8575" s="18">
        <f>DATE(2025,8,7)</f>
        <v>45876</v>
      </c>
      <c r="G8575" s="22">
        <f t="shared" si="774"/>
        <v>8</v>
      </c>
      <c r="H8575" s="22">
        <f t="shared" si="775"/>
        <v>2025</v>
      </c>
      <c r="I8575" s="17" t="s">
        <v>4</v>
      </c>
      <c r="J8575" s="17" t="s">
        <v>9020</v>
      </c>
      <c r="K8575" s="17" t="s">
        <v>540</v>
      </c>
      <c r="L8575" s="17" t="s">
        <v>26</v>
      </c>
      <c r="M8575" s="17" t="s">
        <v>27</v>
      </c>
      <c r="N8575" s="22" t="str">
        <f t="shared" si="776"/>
        <v>GAL</v>
      </c>
      <c r="O8575" s="19">
        <v>55</v>
      </c>
    </row>
    <row r="8576" spans="2:15" x14ac:dyDescent="0.25">
      <c r="B8576" s="16" t="s">
        <v>0</v>
      </c>
      <c r="C8576" s="17" t="s">
        <v>1</v>
      </c>
      <c r="D8576" s="17" t="s">
        <v>55</v>
      </c>
      <c r="E8576" s="17" t="s">
        <v>56</v>
      </c>
      <c r="F8576" s="18">
        <f>DATE(2025,8,14)</f>
        <v>45883</v>
      </c>
      <c r="G8576" s="22">
        <f t="shared" si="774"/>
        <v>8</v>
      </c>
      <c r="H8576" s="22">
        <f t="shared" si="775"/>
        <v>2025</v>
      </c>
      <c r="I8576" s="17" t="s">
        <v>4</v>
      </c>
      <c r="J8576" s="17" t="s">
        <v>9021</v>
      </c>
      <c r="K8576" s="17" t="s">
        <v>582</v>
      </c>
      <c r="L8576" s="17" t="s">
        <v>583</v>
      </c>
      <c r="M8576" s="17" t="s">
        <v>553</v>
      </c>
      <c r="N8576" s="22" t="str">
        <f t="shared" si="776"/>
        <v>GAL</v>
      </c>
      <c r="O8576" s="19">
        <v>55</v>
      </c>
    </row>
    <row r="8577" spans="2:15" x14ac:dyDescent="0.25">
      <c r="B8577" s="16" t="s">
        <v>0</v>
      </c>
      <c r="C8577" s="17" t="s">
        <v>1</v>
      </c>
      <c r="D8577" s="17" t="s">
        <v>55</v>
      </c>
      <c r="E8577" s="17" t="s">
        <v>56</v>
      </c>
      <c r="F8577" s="18">
        <f>DATE(2025,8,14)</f>
        <v>45883</v>
      </c>
      <c r="G8577" s="22">
        <f t="shared" si="774"/>
        <v>8</v>
      </c>
      <c r="H8577" s="22">
        <f t="shared" si="775"/>
        <v>2025</v>
      </c>
      <c r="I8577" s="17" t="s">
        <v>4</v>
      </c>
      <c r="J8577" s="17" t="s">
        <v>9021</v>
      </c>
      <c r="K8577" s="17" t="s">
        <v>83</v>
      </c>
      <c r="L8577" s="17" t="s">
        <v>584</v>
      </c>
      <c r="M8577" s="17" t="s">
        <v>85</v>
      </c>
      <c r="N8577" s="22" t="str">
        <f t="shared" si="776"/>
        <v>GAL</v>
      </c>
      <c r="O8577" s="19">
        <v>55</v>
      </c>
    </row>
    <row r="8578" spans="2:15" x14ac:dyDescent="0.25">
      <c r="B8578" s="16" t="s">
        <v>0</v>
      </c>
      <c r="C8578" s="17" t="s">
        <v>1</v>
      </c>
      <c r="D8578" s="17" t="s">
        <v>55</v>
      </c>
      <c r="E8578" s="17" t="s">
        <v>56</v>
      </c>
      <c r="F8578" s="18">
        <f>DATE(2025,8,14)</f>
        <v>45883</v>
      </c>
      <c r="G8578" s="22">
        <f t="shared" si="774"/>
        <v>8</v>
      </c>
      <c r="H8578" s="22">
        <f t="shared" si="775"/>
        <v>2025</v>
      </c>
      <c r="I8578" s="17" t="s">
        <v>4</v>
      </c>
      <c r="J8578" s="17" t="s">
        <v>9021</v>
      </c>
      <c r="K8578" s="17" t="s">
        <v>585</v>
      </c>
      <c r="L8578" s="17" t="s">
        <v>586</v>
      </c>
      <c r="M8578" s="17" t="s">
        <v>587</v>
      </c>
      <c r="N8578" s="22" t="str">
        <f t="shared" si="776"/>
        <v>GAL</v>
      </c>
      <c r="O8578" s="19">
        <v>55</v>
      </c>
    </row>
    <row r="8579" spans="2:15" x14ac:dyDescent="0.25">
      <c r="B8579" s="16" t="s">
        <v>0</v>
      </c>
      <c r="C8579" s="17" t="s">
        <v>1</v>
      </c>
      <c r="D8579" s="17" t="s">
        <v>2</v>
      </c>
      <c r="E8579" s="17" t="s">
        <v>4287</v>
      </c>
      <c r="F8579" s="18">
        <f>DATE(2025,8,20)</f>
        <v>45889</v>
      </c>
      <c r="G8579" s="22">
        <f t="shared" si="774"/>
        <v>8</v>
      </c>
      <c r="H8579" s="22">
        <f t="shared" si="775"/>
        <v>2025</v>
      </c>
      <c r="I8579" s="17" t="s">
        <v>4</v>
      </c>
      <c r="J8579" s="17" t="s">
        <v>9022</v>
      </c>
      <c r="K8579" s="17" t="s">
        <v>28</v>
      </c>
      <c r="L8579" s="17" t="s">
        <v>29</v>
      </c>
      <c r="M8579" s="17" t="s">
        <v>30</v>
      </c>
      <c r="N8579" s="22" t="str">
        <f t="shared" si="776"/>
        <v>GAL</v>
      </c>
      <c r="O8579" s="19">
        <v>120</v>
      </c>
    </row>
    <row r="8580" spans="2:15" x14ac:dyDescent="0.25">
      <c r="B8580" s="16" t="s">
        <v>0</v>
      </c>
      <c r="C8580" s="17" t="s">
        <v>1</v>
      </c>
      <c r="D8580" s="17" t="s">
        <v>2</v>
      </c>
      <c r="E8580" s="17" t="s">
        <v>4287</v>
      </c>
      <c r="F8580" s="18">
        <f>DATE(2025,8,20)</f>
        <v>45889</v>
      </c>
      <c r="G8580" s="22">
        <f t="shared" si="774"/>
        <v>8</v>
      </c>
      <c r="H8580" s="22">
        <f t="shared" si="775"/>
        <v>2025</v>
      </c>
      <c r="I8580" s="17" t="s">
        <v>4</v>
      </c>
      <c r="J8580" s="17" t="s">
        <v>9022</v>
      </c>
      <c r="K8580" s="17" t="s">
        <v>83</v>
      </c>
      <c r="L8580" s="17" t="s">
        <v>84</v>
      </c>
      <c r="M8580" s="17" t="s">
        <v>85</v>
      </c>
      <c r="N8580" s="22" t="str">
        <f t="shared" si="776"/>
        <v>GAL</v>
      </c>
      <c r="O8580" s="19">
        <v>120</v>
      </c>
    </row>
    <row r="8581" spans="2:15" x14ac:dyDescent="0.25">
      <c r="B8581" s="16" t="s">
        <v>0</v>
      </c>
      <c r="C8581" s="17" t="s">
        <v>1</v>
      </c>
      <c r="D8581" s="17" t="s">
        <v>2</v>
      </c>
      <c r="E8581" s="17" t="s">
        <v>4287</v>
      </c>
      <c r="F8581" s="18">
        <f>DATE(2025,8,20)</f>
        <v>45889</v>
      </c>
      <c r="G8581" s="22">
        <f t="shared" si="774"/>
        <v>8</v>
      </c>
      <c r="H8581" s="22">
        <f t="shared" si="775"/>
        <v>2025</v>
      </c>
      <c r="I8581" s="17" t="s">
        <v>4</v>
      </c>
      <c r="J8581" s="17" t="s">
        <v>9022</v>
      </c>
      <c r="K8581" s="17" t="s">
        <v>36</v>
      </c>
      <c r="L8581" s="17" t="s">
        <v>37</v>
      </c>
      <c r="M8581" s="17" t="s">
        <v>38</v>
      </c>
      <c r="N8581" s="22" t="str">
        <f t="shared" si="776"/>
        <v>GAL</v>
      </c>
      <c r="O8581" s="19">
        <v>60</v>
      </c>
    </row>
    <row r="8582" spans="2:15" x14ac:dyDescent="0.25">
      <c r="B8582" s="16" t="s">
        <v>0</v>
      </c>
      <c r="C8582" s="17" t="s">
        <v>1</v>
      </c>
      <c r="D8582" s="17" t="s">
        <v>2</v>
      </c>
      <c r="E8582" s="17" t="s">
        <v>4287</v>
      </c>
      <c r="F8582" s="18">
        <f>DATE(2025,8,20)</f>
        <v>45889</v>
      </c>
      <c r="G8582" s="22">
        <f t="shared" si="774"/>
        <v>8</v>
      </c>
      <c r="H8582" s="22">
        <f t="shared" si="775"/>
        <v>2025</v>
      </c>
      <c r="I8582" s="17" t="s">
        <v>4</v>
      </c>
      <c r="J8582" s="17" t="s">
        <v>9022</v>
      </c>
      <c r="K8582" s="17" t="s">
        <v>16</v>
      </c>
      <c r="L8582" s="17" t="s">
        <v>7</v>
      </c>
      <c r="M8582" s="17" t="s">
        <v>8</v>
      </c>
      <c r="N8582" s="22" t="str">
        <f t="shared" si="776"/>
        <v>GAL</v>
      </c>
      <c r="O8582" s="19">
        <v>120</v>
      </c>
    </row>
    <row r="8583" spans="2:15" x14ac:dyDescent="0.25">
      <c r="B8583" s="16" t="s">
        <v>0</v>
      </c>
      <c r="C8583" s="17" t="s">
        <v>1</v>
      </c>
      <c r="D8583" s="17" t="s">
        <v>2</v>
      </c>
      <c r="E8583" s="17" t="s">
        <v>1784</v>
      </c>
      <c r="F8583" s="18">
        <f>DATE(2025,8,26)</f>
        <v>45895</v>
      </c>
      <c r="G8583" s="22">
        <f t="shared" si="774"/>
        <v>8</v>
      </c>
      <c r="H8583" s="22">
        <f t="shared" si="775"/>
        <v>2025</v>
      </c>
      <c r="I8583" s="17" t="s">
        <v>4</v>
      </c>
      <c r="J8583" s="17" t="s">
        <v>9023</v>
      </c>
      <c r="K8583" s="17" t="s">
        <v>1786</v>
      </c>
      <c r="L8583" s="17" t="s">
        <v>84</v>
      </c>
      <c r="M8583" s="17" t="s">
        <v>85</v>
      </c>
      <c r="N8583" s="22" t="str">
        <f t="shared" si="776"/>
        <v>GAL</v>
      </c>
      <c r="O8583" s="19">
        <v>55</v>
      </c>
    </row>
    <row r="8584" spans="2:15" x14ac:dyDescent="0.25">
      <c r="B8584" s="16" t="s">
        <v>0</v>
      </c>
      <c r="C8584" s="17" t="s">
        <v>1</v>
      </c>
      <c r="D8584" s="17" t="s">
        <v>2</v>
      </c>
      <c r="E8584" s="17" t="s">
        <v>1784</v>
      </c>
      <c r="F8584" s="18">
        <f>DATE(2025,8,26)</f>
        <v>45895</v>
      </c>
      <c r="G8584" s="22">
        <f t="shared" si="774"/>
        <v>8</v>
      </c>
      <c r="H8584" s="22">
        <f t="shared" si="775"/>
        <v>2025</v>
      </c>
      <c r="I8584" s="17" t="s">
        <v>4</v>
      </c>
      <c r="J8584" s="17" t="s">
        <v>9023</v>
      </c>
      <c r="K8584" s="17" t="s">
        <v>6</v>
      </c>
      <c r="L8584" s="17" t="s">
        <v>7</v>
      </c>
      <c r="M8584" s="17" t="s">
        <v>8</v>
      </c>
      <c r="N8584" s="22" t="str">
        <f t="shared" si="776"/>
        <v>GAL</v>
      </c>
      <c r="O8584" s="19">
        <v>55</v>
      </c>
    </row>
    <row r="8585" spans="2:15" x14ac:dyDescent="0.25">
      <c r="B8585" s="16" t="s">
        <v>0</v>
      </c>
      <c r="C8585" s="17" t="s">
        <v>1</v>
      </c>
      <c r="D8585" s="17" t="s">
        <v>2</v>
      </c>
      <c r="E8585" s="17" t="s">
        <v>1784</v>
      </c>
      <c r="F8585" s="18">
        <f>DATE(2025,8,26)</f>
        <v>45895</v>
      </c>
      <c r="G8585" s="22">
        <f t="shared" si="774"/>
        <v>8</v>
      </c>
      <c r="H8585" s="22">
        <f t="shared" si="775"/>
        <v>2025</v>
      </c>
      <c r="I8585" s="17" t="s">
        <v>4</v>
      </c>
      <c r="J8585" s="17" t="s">
        <v>9023</v>
      </c>
      <c r="K8585" s="17" t="s">
        <v>566</v>
      </c>
      <c r="L8585" s="17" t="s">
        <v>20</v>
      </c>
      <c r="M8585" s="17" t="s">
        <v>21</v>
      </c>
      <c r="N8585" s="22" t="str">
        <f t="shared" si="776"/>
        <v>GAL</v>
      </c>
      <c r="O8585" s="19">
        <v>55</v>
      </c>
    </row>
    <row r="8586" spans="2:15" x14ac:dyDescent="0.25">
      <c r="B8586" s="16" t="s">
        <v>88</v>
      </c>
      <c r="C8586" s="17" t="s">
        <v>89</v>
      </c>
      <c r="D8586" s="17" t="s">
        <v>1444</v>
      </c>
      <c r="E8586" s="17" t="s">
        <v>102</v>
      </c>
      <c r="F8586" s="18">
        <f>DATE(2025,8,7)</f>
        <v>45876</v>
      </c>
      <c r="G8586" s="22">
        <f t="shared" si="774"/>
        <v>8</v>
      </c>
      <c r="H8586" s="22">
        <f t="shared" si="775"/>
        <v>2025</v>
      </c>
      <c r="I8586" s="17" t="s">
        <v>4</v>
      </c>
      <c r="J8586" s="17" t="s">
        <v>9024</v>
      </c>
      <c r="K8586" s="17" t="s">
        <v>1446</v>
      </c>
      <c r="L8586" s="17" t="s">
        <v>2581</v>
      </c>
      <c r="M8586" s="17" t="s">
        <v>1448</v>
      </c>
      <c r="N8586" s="22" t="str">
        <f t="shared" si="776"/>
        <v>GAL</v>
      </c>
      <c r="O8586" s="19">
        <v>360</v>
      </c>
    </row>
    <row r="8587" spans="2:15" x14ac:dyDescent="0.25">
      <c r="B8587" s="16" t="s">
        <v>88</v>
      </c>
      <c r="C8587" s="17" t="s">
        <v>89</v>
      </c>
      <c r="D8587" s="17" t="s">
        <v>7638</v>
      </c>
      <c r="E8587" s="17" t="s">
        <v>102</v>
      </c>
      <c r="F8587" s="18">
        <f>DATE(2025,8,7)</f>
        <v>45876</v>
      </c>
      <c r="G8587" s="22">
        <f t="shared" si="774"/>
        <v>8</v>
      </c>
      <c r="H8587" s="22">
        <f t="shared" si="775"/>
        <v>2025</v>
      </c>
      <c r="I8587" s="17" t="s">
        <v>4</v>
      </c>
      <c r="J8587" s="17" t="s">
        <v>9025</v>
      </c>
      <c r="K8587" s="17" t="s">
        <v>7643</v>
      </c>
      <c r="L8587" s="17" t="s">
        <v>7644</v>
      </c>
      <c r="M8587" s="17" t="s">
        <v>3649</v>
      </c>
      <c r="N8587" s="22" t="str">
        <f t="shared" si="776"/>
        <v>GAL</v>
      </c>
      <c r="O8587" s="19">
        <v>550</v>
      </c>
    </row>
    <row r="8588" spans="2:15" x14ac:dyDescent="0.25">
      <c r="B8588" s="16" t="s">
        <v>88</v>
      </c>
      <c r="C8588" s="17" t="s">
        <v>89</v>
      </c>
      <c r="D8588" s="17" t="s">
        <v>3265</v>
      </c>
      <c r="E8588" s="17" t="s">
        <v>9026</v>
      </c>
      <c r="F8588" s="18">
        <f>DATE(2025,8,12)</f>
        <v>45881</v>
      </c>
      <c r="G8588" s="22">
        <f t="shared" si="774"/>
        <v>8</v>
      </c>
      <c r="H8588" s="22">
        <f t="shared" si="775"/>
        <v>2025</v>
      </c>
      <c r="I8588" s="17" t="s">
        <v>4</v>
      </c>
      <c r="J8588" s="17" t="s">
        <v>9027</v>
      </c>
      <c r="K8588" s="17" t="s">
        <v>9028</v>
      </c>
      <c r="L8588" s="17" t="s">
        <v>4554</v>
      </c>
      <c r="M8588" s="17" t="s">
        <v>4555</v>
      </c>
      <c r="N8588" s="22" t="str">
        <f t="shared" si="776"/>
        <v>GAL</v>
      </c>
      <c r="O8588" s="19">
        <v>55</v>
      </c>
    </row>
    <row r="8589" spans="2:15" x14ac:dyDescent="0.25">
      <c r="B8589" s="16" t="s">
        <v>88</v>
      </c>
      <c r="C8589" s="17" t="s">
        <v>89</v>
      </c>
      <c r="D8589" s="17" t="s">
        <v>3265</v>
      </c>
      <c r="E8589" s="17" t="s">
        <v>9026</v>
      </c>
      <c r="F8589" s="18">
        <f>DATE(2025,8,12)</f>
        <v>45881</v>
      </c>
      <c r="G8589" s="22">
        <f t="shared" si="774"/>
        <v>8</v>
      </c>
      <c r="H8589" s="22">
        <f t="shared" si="775"/>
        <v>2025</v>
      </c>
      <c r="I8589" s="17" t="s">
        <v>4</v>
      </c>
      <c r="J8589" s="17" t="s">
        <v>9027</v>
      </c>
      <c r="K8589" s="17" t="s">
        <v>9029</v>
      </c>
      <c r="L8589" s="17" t="s">
        <v>7955</v>
      </c>
      <c r="M8589" s="17" t="s">
        <v>7642</v>
      </c>
      <c r="N8589" s="22" t="str">
        <f t="shared" si="776"/>
        <v>GAL</v>
      </c>
      <c r="O8589" s="19">
        <v>55</v>
      </c>
    </row>
    <row r="8590" spans="2:15" x14ac:dyDescent="0.25">
      <c r="B8590" s="16" t="s">
        <v>88</v>
      </c>
      <c r="C8590" s="17" t="s">
        <v>89</v>
      </c>
      <c r="D8590" s="17" t="s">
        <v>1111</v>
      </c>
      <c r="E8590" s="17" t="s">
        <v>1112</v>
      </c>
      <c r="F8590" s="18">
        <f>DATE(2025,8,18)</f>
        <v>45887</v>
      </c>
      <c r="G8590" s="22">
        <f t="shared" si="774"/>
        <v>8</v>
      </c>
      <c r="H8590" s="22">
        <f t="shared" si="775"/>
        <v>2025</v>
      </c>
      <c r="I8590" s="17" t="s">
        <v>4</v>
      </c>
      <c r="J8590" s="17" t="s">
        <v>9030</v>
      </c>
      <c r="K8590" s="17" t="s">
        <v>2629</v>
      </c>
      <c r="L8590" s="17" t="s">
        <v>2630</v>
      </c>
      <c r="M8590" s="17" t="s">
        <v>2631</v>
      </c>
      <c r="N8590" s="22" t="str">
        <f t="shared" si="776"/>
        <v>GAL</v>
      </c>
      <c r="O8590" s="19">
        <v>70</v>
      </c>
    </row>
    <row r="8591" spans="2:15" x14ac:dyDescent="0.25">
      <c r="B8591" s="16" t="s">
        <v>88</v>
      </c>
      <c r="C8591" s="17" t="s">
        <v>89</v>
      </c>
      <c r="D8591" s="17" t="s">
        <v>1103</v>
      </c>
      <c r="E8591" s="17" t="s">
        <v>1104</v>
      </c>
      <c r="F8591" s="18">
        <f>DATE(2025,8,19)</f>
        <v>45888</v>
      </c>
      <c r="G8591" s="22">
        <f t="shared" si="774"/>
        <v>8</v>
      </c>
      <c r="H8591" s="22">
        <f t="shared" si="775"/>
        <v>2025</v>
      </c>
      <c r="I8591" s="17" t="s">
        <v>4</v>
      </c>
      <c r="J8591" s="17" t="s">
        <v>9031</v>
      </c>
      <c r="K8591" s="17" t="s">
        <v>1106</v>
      </c>
      <c r="L8591" s="17" t="s">
        <v>1107</v>
      </c>
      <c r="M8591" s="17" t="s">
        <v>1108</v>
      </c>
      <c r="N8591" s="22" t="str">
        <f t="shared" si="776"/>
        <v>GAL</v>
      </c>
      <c r="O8591" s="19">
        <v>1000</v>
      </c>
    </row>
    <row r="8592" spans="2:15" x14ac:dyDescent="0.25">
      <c r="B8592" s="16" t="s">
        <v>88</v>
      </c>
      <c r="C8592" s="17" t="s">
        <v>89</v>
      </c>
      <c r="D8592" s="17" t="s">
        <v>1103</v>
      </c>
      <c r="E8592" s="17" t="s">
        <v>1104</v>
      </c>
      <c r="F8592" s="18">
        <f>DATE(2025,8,19)</f>
        <v>45888</v>
      </c>
      <c r="G8592" s="22">
        <f t="shared" si="774"/>
        <v>8</v>
      </c>
      <c r="H8592" s="22">
        <f t="shared" si="775"/>
        <v>2025</v>
      </c>
      <c r="I8592" s="17" t="s">
        <v>4</v>
      </c>
      <c r="J8592" s="17" t="s">
        <v>9031</v>
      </c>
      <c r="K8592" s="17" t="s">
        <v>126</v>
      </c>
      <c r="L8592" s="17" t="s">
        <v>127</v>
      </c>
      <c r="M8592" s="17" t="s">
        <v>106</v>
      </c>
      <c r="N8592" s="22" t="str">
        <f t="shared" si="776"/>
        <v>LBS</v>
      </c>
      <c r="O8592" s="19">
        <v>13150</v>
      </c>
    </row>
    <row r="8593" spans="2:15" x14ac:dyDescent="0.25">
      <c r="B8593" s="16" t="s">
        <v>88</v>
      </c>
      <c r="C8593" s="17" t="s">
        <v>89</v>
      </c>
      <c r="D8593" s="17" t="s">
        <v>1444</v>
      </c>
      <c r="E8593" s="17" t="s">
        <v>6734</v>
      </c>
      <c r="F8593" s="18">
        <f>DATE(2025,8,21)</f>
        <v>45890</v>
      </c>
      <c r="G8593" s="22">
        <f t="shared" si="774"/>
        <v>8</v>
      </c>
      <c r="H8593" s="22">
        <f t="shared" si="775"/>
        <v>2025</v>
      </c>
      <c r="I8593" s="17" t="s">
        <v>4</v>
      </c>
      <c r="J8593" s="17" t="s">
        <v>9032</v>
      </c>
      <c r="K8593" s="17" t="s">
        <v>1446</v>
      </c>
      <c r="L8593" s="17" t="s">
        <v>2581</v>
      </c>
      <c r="M8593" s="17" t="s">
        <v>1448</v>
      </c>
      <c r="N8593" s="22" t="str">
        <f t="shared" si="776"/>
        <v>GAL</v>
      </c>
      <c r="O8593" s="19">
        <v>360</v>
      </c>
    </row>
    <row r="8594" spans="2:15" x14ac:dyDescent="0.25">
      <c r="B8594" s="16" t="s">
        <v>88</v>
      </c>
      <c r="C8594" s="17" t="s">
        <v>89</v>
      </c>
      <c r="D8594" s="17" t="s">
        <v>1092</v>
      </c>
      <c r="E8594" s="17" t="s">
        <v>9033</v>
      </c>
      <c r="F8594" s="18">
        <f>DATE(2025,8,26)</f>
        <v>45895</v>
      </c>
      <c r="G8594" s="22">
        <f t="shared" si="774"/>
        <v>8</v>
      </c>
      <c r="H8594" s="22">
        <f t="shared" si="775"/>
        <v>2025</v>
      </c>
      <c r="I8594" s="17" t="s">
        <v>4</v>
      </c>
      <c r="J8594" s="17" t="s">
        <v>9034</v>
      </c>
      <c r="K8594" s="17" t="s">
        <v>1014</v>
      </c>
      <c r="L8594" s="17" t="s">
        <v>472</v>
      </c>
      <c r="M8594" s="17" t="s">
        <v>473</v>
      </c>
      <c r="N8594" s="22" t="str">
        <f t="shared" si="776"/>
        <v>GAL</v>
      </c>
      <c r="O8594" s="19">
        <v>40</v>
      </c>
    </row>
    <row r="8595" spans="2:15" x14ac:dyDescent="0.25">
      <c r="B8595" s="16" t="s">
        <v>88</v>
      </c>
      <c r="C8595" s="17" t="s">
        <v>89</v>
      </c>
      <c r="D8595" s="17" t="s">
        <v>6197</v>
      </c>
      <c r="E8595" s="17" t="s">
        <v>7951</v>
      </c>
      <c r="F8595" s="18">
        <f>DATE(2025,8,28)</f>
        <v>45897</v>
      </c>
      <c r="G8595" s="22">
        <f t="shared" si="774"/>
        <v>8</v>
      </c>
      <c r="H8595" s="22">
        <f t="shared" si="775"/>
        <v>2025</v>
      </c>
      <c r="I8595" s="17" t="s">
        <v>4</v>
      </c>
      <c r="J8595" s="17" t="s">
        <v>9035</v>
      </c>
      <c r="K8595" s="17" t="s">
        <v>9036</v>
      </c>
      <c r="L8595" s="17" t="s">
        <v>9037</v>
      </c>
      <c r="M8595" s="17" t="s">
        <v>9038</v>
      </c>
      <c r="N8595" s="22" t="str">
        <f t="shared" si="776"/>
        <v>GAL</v>
      </c>
      <c r="O8595" s="19">
        <v>220</v>
      </c>
    </row>
    <row r="8596" spans="2:15" x14ac:dyDescent="0.25">
      <c r="B8596" s="16" t="s">
        <v>88</v>
      </c>
      <c r="C8596" s="17" t="s">
        <v>89</v>
      </c>
      <c r="D8596" s="17" t="s">
        <v>6197</v>
      </c>
      <c r="E8596" s="17" t="s">
        <v>7951</v>
      </c>
      <c r="F8596" s="18">
        <f>DATE(2025,8,28)</f>
        <v>45897</v>
      </c>
      <c r="G8596" s="22">
        <f t="shared" si="774"/>
        <v>8</v>
      </c>
      <c r="H8596" s="22">
        <f t="shared" si="775"/>
        <v>2025</v>
      </c>
      <c r="I8596" s="17" t="s">
        <v>4</v>
      </c>
      <c r="J8596" s="17" t="s">
        <v>9035</v>
      </c>
      <c r="K8596" s="17" t="s">
        <v>9039</v>
      </c>
      <c r="L8596" s="17" t="s">
        <v>9037</v>
      </c>
      <c r="M8596" s="17" t="s">
        <v>9038</v>
      </c>
      <c r="N8596" s="22" t="str">
        <f t="shared" si="776"/>
        <v>GAL</v>
      </c>
      <c r="O8596" s="19">
        <v>3250</v>
      </c>
    </row>
    <row r="8597" spans="2:15" x14ac:dyDescent="0.25">
      <c r="B8597" s="16" t="s">
        <v>154</v>
      </c>
      <c r="C8597" s="17" t="s">
        <v>155</v>
      </c>
      <c r="D8597" s="17" t="s">
        <v>167</v>
      </c>
      <c r="E8597" s="17" t="s">
        <v>168</v>
      </c>
      <c r="F8597" s="18">
        <f>DATE(2025,8,1)</f>
        <v>45870</v>
      </c>
      <c r="G8597" s="22">
        <f t="shared" si="774"/>
        <v>8</v>
      </c>
      <c r="H8597" s="22">
        <f t="shared" si="775"/>
        <v>2025</v>
      </c>
      <c r="I8597" s="17" t="s">
        <v>4</v>
      </c>
      <c r="J8597" s="17" t="s">
        <v>9040</v>
      </c>
      <c r="K8597" s="17" t="s">
        <v>171</v>
      </c>
      <c r="L8597" s="17" t="s">
        <v>172</v>
      </c>
      <c r="M8597" s="17" t="s">
        <v>27</v>
      </c>
      <c r="N8597" s="22" t="str">
        <f t="shared" si="776"/>
        <v>GAL</v>
      </c>
      <c r="O8597" s="19">
        <v>180</v>
      </c>
    </row>
    <row r="8598" spans="2:15" x14ac:dyDescent="0.25">
      <c r="B8598" s="16" t="s">
        <v>154</v>
      </c>
      <c r="C8598" s="17" t="s">
        <v>155</v>
      </c>
      <c r="D8598" s="17" t="s">
        <v>1838</v>
      </c>
      <c r="E8598" s="17" t="s">
        <v>1839</v>
      </c>
      <c r="F8598" s="18">
        <f>DATE(2025,8,1)</f>
        <v>45870</v>
      </c>
      <c r="G8598" s="22">
        <f t="shared" si="774"/>
        <v>8</v>
      </c>
      <c r="H8598" s="22">
        <f t="shared" si="775"/>
        <v>2025</v>
      </c>
      <c r="I8598" s="17" t="s">
        <v>4</v>
      </c>
      <c r="J8598" s="17" t="s">
        <v>9041</v>
      </c>
      <c r="K8598" s="17" t="s">
        <v>171</v>
      </c>
      <c r="L8598" s="17" t="s">
        <v>172</v>
      </c>
      <c r="M8598" s="17" t="s">
        <v>27</v>
      </c>
      <c r="N8598" s="22" t="str">
        <f t="shared" si="776"/>
        <v>GAL</v>
      </c>
      <c r="O8598" s="19">
        <v>720</v>
      </c>
    </row>
    <row r="8599" spans="2:15" x14ac:dyDescent="0.25">
      <c r="B8599" s="16" t="s">
        <v>154</v>
      </c>
      <c r="C8599" s="17" t="s">
        <v>155</v>
      </c>
      <c r="D8599" s="17" t="s">
        <v>3198</v>
      </c>
      <c r="E8599" s="17" t="s">
        <v>174</v>
      </c>
      <c r="F8599" s="18">
        <f>DATE(2025,8,5)</f>
        <v>45874</v>
      </c>
      <c r="G8599" s="22">
        <f t="shared" si="774"/>
        <v>8</v>
      </c>
      <c r="H8599" s="22">
        <f t="shared" si="775"/>
        <v>2025</v>
      </c>
      <c r="I8599" s="17" t="s">
        <v>4</v>
      </c>
      <c r="J8599" s="17" t="s">
        <v>9042</v>
      </c>
      <c r="K8599" s="17" t="s">
        <v>1643</v>
      </c>
      <c r="L8599" s="17" t="s">
        <v>1644</v>
      </c>
      <c r="M8599" s="17" t="s">
        <v>46</v>
      </c>
      <c r="N8599" s="22" t="str">
        <f t="shared" si="776"/>
        <v>GAL</v>
      </c>
      <c r="O8599" s="19">
        <v>180</v>
      </c>
    </row>
    <row r="8600" spans="2:15" x14ac:dyDescent="0.25">
      <c r="B8600" s="16" t="s">
        <v>154</v>
      </c>
      <c r="C8600" s="17" t="s">
        <v>155</v>
      </c>
      <c r="D8600" s="17" t="s">
        <v>507</v>
      </c>
      <c r="E8600" s="17" t="s">
        <v>141</v>
      </c>
      <c r="F8600" s="18">
        <f>DATE(2025,8,6)</f>
        <v>45875</v>
      </c>
      <c r="G8600" s="22">
        <f t="shared" si="774"/>
        <v>8</v>
      </c>
      <c r="H8600" s="22">
        <f t="shared" si="775"/>
        <v>2025</v>
      </c>
      <c r="I8600" s="17" t="s">
        <v>4</v>
      </c>
      <c r="J8600" s="17" t="s">
        <v>9043</v>
      </c>
      <c r="K8600" s="17" t="s">
        <v>8349</v>
      </c>
      <c r="L8600" s="17" t="s">
        <v>1267</v>
      </c>
      <c r="M8600" s="17" t="s">
        <v>191</v>
      </c>
      <c r="N8600" s="22" t="str">
        <f t="shared" si="776"/>
        <v>GAL</v>
      </c>
      <c r="O8600" s="19">
        <v>250</v>
      </c>
    </row>
    <row r="8601" spans="2:15" x14ac:dyDescent="0.25">
      <c r="B8601" s="16" t="s">
        <v>154</v>
      </c>
      <c r="C8601" s="17" t="s">
        <v>155</v>
      </c>
      <c r="D8601" s="17" t="s">
        <v>507</v>
      </c>
      <c r="E8601" s="17" t="s">
        <v>141</v>
      </c>
      <c r="F8601" s="18">
        <f>DATE(2025,8,6)</f>
        <v>45875</v>
      </c>
      <c r="G8601" s="22">
        <f t="shared" si="774"/>
        <v>8</v>
      </c>
      <c r="H8601" s="22">
        <f t="shared" si="775"/>
        <v>2025</v>
      </c>
      <c r="I8601" s="17" t="s">
        <v>4</v>
      </c>
      <c r="J8601" s="17" t="s">
        <v>9043</v>
      </c>
      <c r="K8601" s="17" t="s">
        <v>8348</v>
      </c>
      <c r="L8601" s="17" t="s">
        <v>1854</v>
      </c>
      <c r="M8601" s="17" t="s">
        <v>1816</v>
      </c>
      <c r="N8601" s="22" t="str">
        <f t="shared" si="776"/>
        <v>GAL</v>
      </c>
      <c r="O8601" s="19">
        <v>250</v>
      </c>
    </row>
    <row r="8602" spans="2:15" x14ac:dyDescent="0.25">
      <c r="B8602" s="16" t="s">
        <v>154</v>
      </c>
      <c r="C8602" s="17" t="s">
        <v>155</v>
      </c>
      <c r="D8602" s="17" t="s">
        <v>178</v>
      </c>
      <c r="E8602" s="17" t="s">
        <v>179</v>
      </c>
      <c r="F8602" s="18">
        <f>DATE(2025,8,6)</f>
        <v>45875</v>
      </c>
      <c r="G8602" s="22">
        <f t="shared" si="774"/>
        <v>8</v>
      </c>
      <c r="H8602" s="22">
        <f t="shared" si="775"/>
        <v>2025</v>
      </c>
      <c r="I8602" s="17" t="s">
        <v>4</v>
      </c>
      <c r="J8602" s="17" t="s">
        <v>9044</v>
      </c>
      <c r="K8602" s="17" t="s">
        <v>164</v>
      </c>
      <c r="L8602" s="17" t="s">
        <v>165</v>
      </c>
      <c r="M8602" s="17" t="s">
        <v>166</v>
      </c>
      <c r="N8602" s="22" t="str">
        <f t="shared" si="776"/>
        <v>GAL</v>
      </c>
      <c r="O8602" s="19">
        <v>105</v>
      </c>
    </row>
    <row r="8603" spans="2:15" x14ac:dyDescent="0.25">
      <c r="B8603" s="16" t="s">
        <v>154</v>
      </c>
      <c r="C8603" s="17" t="s">
        <v>155</v>
      </c>
      <c r="D8603" s="17" t="s">
        <v>591</v>
      </c>
      <c r="E8603" s="17" t="s">
        <v>592</v>
      </c>
      <c r="F8603" s="18">
        <f>DATE(2025,8,7)</f>
        <v>45876</v>
      </c>
      <c r="G8603" s="22">
        <f t="shared" si="774"/>
        <v>8</v>
      </c>
      <c r="H8603" s="22">
        <f t="shared" si="775"/>
        <v>2025</v>
      </c>
      <c r="I8603" s="17" t="s">
        <v>4</v>
      </c>
      <c r="J8603" s="17" t="s">
        <v>9045</v>
      </c>
      <c r="K8603" s="17" t="s">
        <v>1098</v>
      </c>
      <c r="L8603" s="17" t="s">
        <v>632</v>
      </c>
      <c r="M8603" s="17" t="s">
        <v>633</v>
      </c>
      <c r="N8603" s="22" t="str">
        <f t="shared" si="776"/>
        <v>GAL</v>
      </c>
      <c r="O8603" s="19">
        <v>3018</v>
      </c>
    </row>
    <row r="8604" spans="2:15" x14ac:dyDescent="0.25">
      <c r="B8604" s="16" t="s">
        <v>154</v>
      </c>
      <c r="C8604" s="17" t="s">
        <v>155</v>
      </c>
      <c r="D8604" s="17" t="s">
        <v>167</v>
      </c>
      <c r="E8604" s="17" t="s">
        <v>168</v>
      </c>
      <c r="F8604" s="18">
        <f>DATE(2025,8,7)</f>
        <v>45876</v>
      </c>
      <c r="G8604" s="22">
        <f t="shared" si="774"/>
        <v>8</v>
      </c>
      <c r="H8604" s="22">
        <f t="shared" si="775"/>
        <v>2025</v>
      </c>
      <c r="I8604" s="17" t="s">
        <v>4</v>
      </c>
      <c r="J8604" s="17" t="s">
        <v>9046</v>
      </c>
      <c r="K8604" s="17" t="s">
        <v>171</v>
      </c>
      <c r="L8604" s="17" t="s">
        <v>172</v>
      </c>
      <c r="M8604" s="17" t="s">
        <v>27</v>
      </c>
      <c r="N8604" s="22" t="str">
        <f t="shared" si="776"/>
        <v>GAL</v>
      </c>
      <c r="O8604" s="19">
        <v>180</v>
      </c>
    </row>
    <row r="8605" spans="2:15" x14ac:dyDescent="0.25">
      <c r="B8605" s="16" t="s">
        <v>154</v>
      </c>
      <c r="C8605" s="17" t="s">
        <v>155</v>
      </c>
      <c r="D8605" s="17" t="s">
        <v>178</v>
      </c>
      <c r="E8605" s="17" t="s">
        <v>179</v>
      </c>
      <c r="F8605" s="18">
        <f>DATE(2025,8,8)</f>
        <v>45877</v>
      </c>
      <c r="G8605" s="22">
        <f t="shared" si="774"/>
        <v>8</v>
      </c>
      <c r="H8605" s="22">
        <f t="shared" si="775"/>
        <v>2025</v>
      </c>
      <c r="I8605" s="17" t="s">
        <v>4</v>
      </c>
      <c r="J8605" s="17" t="s">
        <v>9047</v>
      </c>
      <c r="K8605" s="17" t="s">
        <v>164</v>
      </c>
      <c r="L8605" s="17" t="s">
        <v>165</v>
      </c>
      <c r="M8605" s="17" t="s">
        <v>166</v>
      </c>
      <c r="N8605" s="22" t="str">
        <f t="shared" si="776"/>
        <v>GAL</v>
      </c>
      <c r="O8605" s="19">
        <v>410</v>
      </c>
    </row>
    <row r="8606" spans="2:15" x14ac:dyDescent="0.25">
      <c r="B8606" s="16" t="s">
        <v>154</v>
      </c>
      <c r="C8606" s="17" t="s">
        <v>155</v>
      </c>
      <c r="D8606" s="17" t="s">
        <v>161</v>
      </c>
      <c r="E8606" s="17" t="s">
        <v>162</v>
      </c>
      <c r="F8606" s="18">
        <f>DATE(2025,8,8)</f>
        <v>45877</v>
      </c>
      <c r="G8606" s="22">
        <f t="shared" si="774"/>
        <v>8</v>
      </c>
      <c r="H8606" s="22">
        <f t="shared" si="775"/>
        <v>2025</v>
      </c>
      <c r="I8606" s="17" t="s">
        <v>4</v>
      </c>
      <c r="J8606" s="17" t="s">
        <v>9048</v>
      </c>
      <c r="K8606" s="17" t="s">
        <v>171</v>
      </c>
      <c r="L8606" s="17" t="s">
        <v>172</v>
      </c>
      <c r="M8606" s="17" t="s">
        <v>27</v>
      </c>
      <c r="N8606" s="22" t="str">
        <f t="shared" si="776"/>
        <v>GAL</v>
      </c>
      <c r="O8606" s="19">
        <v>180</v>
      </c>
    </row>
    <row r="8607" spans="2:15" x14ac:dyDescent="0.25">
      <c r="B8607" s="16" t="s">
        <v>154</v>
      </c>
      <c r="C8607" s="17" t="s">
        <v>155</v>
      </c>
      <c r="D8607" s="17" t="s">
        <v>1111</v>
      </c>
      <c r="E8607" s="17" t="s">
        <v>1112</v>
      </c>
      <c r="F8607" s="18">
        <f>DATE(2025,8,11)</f>
        <v>45880</v>
      </c>
      <c r="G8607" s="22">
        <f t="shared" si="774"/>
        <v>8</v>
      </c>
      <c r="H8607" s="22">
        <f t="shared" si="775"/>
        <v>2025</v>
      </c>
      <c r="I8607" s="17" t="s">
        <v>4</v>
      </c>
      <c r="J8607" s="17" t="s">
        <v>9049</v>
      </c>
      <c r="K8607" s="17" t="s">
        <v>171</v>
      </c>
      <c r="L8607" s="17" t="s">
        <v>172</v>
      </c>
      <c r="M8607" s="17" t="s">
        <v>27</v>
      </c>
      <c r="N8607" s="22" t="str">
        <f t="shared" si="776"/>
        <v>GAL</v>
      </c>
      <c r="O8607" s="19">
        <v>120</v>
      </c>
    </row>
    <row r="8608" spans="2:15" x14ac:dyDescent="0.25">
      <c r="B8608" s="16" t="s">
        <v>154</v>
      </c>
      <c r="C8608" s="17" t="s">
        <v>155</v>
      </c>
      <c r="D8608" s="17" t="s">
        <v>8805</v>
      </c>
      <c r="E8608" s="17" t="s">
        <v>8806</v>
      </c>
      <c r="F8608" s="18">
        <f>DATE(2025,8,14)</f>
        <v>45883</v>
      </c>
      <c r="G8608" s="22">
        <f t="shared" si="774"/>
        <v>8</v>
      </c>
      <c r="H8608" s="22">
        <f t="shared" si="775"/>
        <v>2025</v>
      </c>
      <c r="I8608" s="17" t="s">
        <v>4</v>
      </c>
      <c r="J8608" s="17" t="s">
        <v>9050</v>
      </c>
      <c r="K8608" s="17" t="s">
        <v>551</v>
      </c>
      <c r="L8608" s="17" t="s">
        <v>6161</v>
      </c>
      <c r="M8608" s="17" t="s">
        <v>553</v>
      </c>
      <c r="N8608" s="22" t="str">
        <f t="shared" si="776"/>
        <v>GAL</v>
      </c>
      <c r="O8608" s="19">
        <v>60</v>
      </c>
    </row>
    <row r="8609" spans="2:15" x14ac:dyDescent="0.25">
      <c r="B8609" s="16" t="s">
        <v>154</v>
      </c>
      <c r="C8609" s="17" t="s">
        <v>155</v>
      </c>
      <c r="D8609" s="17" t="s">
        <v>507</v>
      </c>
      <c r="E8609" s="17" t="s">
        <v>141</v>
      </c>
      <c r="F8609" s="18">
        <f>DATE(2025,8,14)</f>
        <v>45883</v>
      </c>
      <c r="G8609" s="22">
        <f t="shared" si="774"/>
        <v>8</v>
      </c>
      <c r="H8609" s="22">
        <f t="shared" si="775"/>
        <v>2025</v>
      </c>
      <c r="I8609" s="17" t="s">
        <v>4</v>
      </c>
      <c r="J8609" s="17" t="s">
        <v>9051</v>
      </c>
      <c r="K8609" s="17" t="s">
        <v>8349</v>
      </c>
      <c r="L8609" s="17" t="s">
        <v>1267</v>
      </c>
      <c r="M8609" s="17" t="s">
        <v>191</v>
      </c>
      <c r="N8609" s="22" t="str">
        <f t="shared" si="776"/>
        <v>GAL</v>
      </c>
      <c r="O8609" s="19">
        <v>1000</v>
      </c>
    </row>
    <row r="8610" spans="2:15" x14ac:dyDescent="0.25">
      <c r="B8610" s="16" t="s">
        <v>154</v>
      </c>
      <c r="C8610" s="17" t="s">
        <v>155</v>
      </c>
      <c r="D8610" s="17" t="s">
        <v>507</v>
      </c>
      <c r="E8610" s="17" t="s">
        <v>141</v>
      </c>
      <c r="F8610" s="18">
        <f>DATE(2025,8,14)</f>
        <v>45883</v>
      </c>
      <c r="G8610" s="22">
        <f t="shared" si="774"/>
        <v>8</v>
      </c>
      <c r="H8610" s="22">
        <f t="shared" si="775"/>
        <v>2025</v>
      </c>
      <c r="I8610" s="17" t="s">
        <v>4</v>
      </c>
      <c r="J8610" s="17" t="s">
        <v>9051</v>
      </c>
      <c r="K8610" s="17" t="s">
        <v>8348</v>
      </c>
      <c r="L8610" s="17" t="s">
        <v>1854</v>
      </c>
      <c r="M8610" s="17" t="s">
        <v>1816</v>
      </c>
      <c r="N8610" s="22" t="str">
        <f t="shared" si="776"/>
        <v>GAL</v>
      </c>
      <c r="O8610" s="19">
        <v>1000</v>
      </c>
    </row>
    <row r="8611" spans="2:15" x14ac:dyDescent="0.25">
      <c r="B8611" s="16" t="s">
        <v>154</v>
      </c>
      <c r="C8611" s="17" t="s">
        <v>155</v>
      </c>
      <c r="D8611" s="17" t="s">
        <v>8803</v>
      </c>
      <c r="E8611" s="17" t="s">
        <v>102</v>
      </c>
      <c r="F8611" s="18">
        <f>DATE(2025,8,14)</f>
        <v>45883</v>
      </c>
      <c r="G8611" s="22">
        <f t="shared" si="774"/>
        <v>8</v>
      </c>
      <c r="H8611" s="22">
        <f t="shared" si="775"/>
        <v>2025</v>
      </c>
      <c r="I8611" s="17" t="s">
        <v>4</v>
      </c>
      <c r="J8611" s="17" t="s">
        <v>9052</v>
      </c>
      <c r="K8611" s="17" t="s">
        <v>551</v>
      </c>
      <c r="L8611" s="17" t="s">
        <v>6161</v>
      </c>
      <c r="M8611" s="17" t="s">
        <v>553</v>
      </c>
      <c r="N8611" s="22" t="str">
        <f t="shared" si="776"/>
        <v>GAL</v>
      </c>
      <c r="O8611" s="19">
        <v>10</v>
      </c>
    </row>
    <row r="8612" spans="2:15" x14ac:dyDescent="0.25">
      <c r="B8612" s="16" t="s">
        <v>154</v>
      </c>
      <c r="C8612" s="17" t="s">
        <v>155</v>
      </c>
      <c r="D8612" s="17" t="s">
        <v>1838</v>
      </c>
      <c r="E8612" s="17" t="s">
        <v>1839</v>
      </c>
      <c r="F8612" s="18">
        <f>DATE(2025,8,20)</f>
        <v>45889</v>
      </c>
      <c r="G8612" s="22">
        <f t="shared" si="774"/>
        <v>8</v>
      </c>
      <c r="H8612" s="22">
        <f t="shared" si="775"/>
        <v>2025</v>
      </c>
      <c r="I8612" s="17" t="s">
        <v>4</v>
      </c>
      <c r="J8612" s="17" t="s">
        <v>9053</v>
      </c>
      <c r="K8612" s="17" t="s">
        <v>8606</v>
      </c>
      <c r="L8612" s="17" t="s">
        <v>8607</v>
      </c>
      <c r="M8612" s="17" t="s">
        <v>73</v>
      </c>
      <c r="N8612" s="22" t="str">
        <f t="shared" si="776"/>
        <v>GAL</v>
      </c>
      <c r="O8612" s="19">
        <v>400</v>
      </c>
    </row>
    <row r="8613" spans="2:15" x14ac:dyDescent="0.25">
      <c r="B8613" s="16" t="s">
        <v>154</v>
      </c>
      <c r="C8613" s="17" t="s">
        <v>155</v>
      </c>
      <c r="D8613" s="17" t="s">
        <v>628</v>
      </c>
      <c r="E8613" s="17" t="s">
        <v>629</v>
      </c>
      <c r="F8613" s="18">
        <f>DATE(2025,8,20)</f>
        <v>45889</v>
      </c>
      <c r="G8613" s="22">
        <f t="shared" si="774"/>
        <v>8</v>
      </c>
      <c r="H8613" s="22">
        <f t="shared" si="775"/>
        <v>2025</v>
      </c>
      <c r="I8613" s="17" t="s">
        <v>4</v>
      </c>
      <c r="J8613" s="17" t="s">
        <v>9054</v>
      </c>
      <c r="K8613" s="17" t="s">
        <v>1119</v>
      </c>
      <c r="L8613" s="17" t="s">
        <v>1023</v>
      </c>
      <c r="M8613" s="17" t="s">
        <v>1024</v>
      </c>
      <c r="N8613" s="22" t="str">
        <f t="shared" si="776"/>
        <v>GAL</v>
      </c>
      <c r="O8613" s="19">
        <v>360</v>
      </c>
    </row>
    <row r="8614" spans="2:15" x14ac:dyDescent="0.25">
      <c r="B8614" s="16" t="s">
        <v>154</v>
      </c>
      <c r="C8614" s="17" t="s">
        <v>155</v>
      </c>
      <c r="D8614" s="17" t="s">
        <v>628</v>
      </c>
      <c r="E8614" s="17" t="s">
        <v>629</v>
      </c>
      <c r="F8614" s="18">
        <f>DATE(2025,8,20)</f>
        <v>45889</v>
      </c>
      <c r="G8614" s="22">
        <f t="shared" si="774"/>
        <v>8</v>
      </c>
      <c r="H8614" s="22">
        <f t="shared" si="775"/>
        <v>2025</v>
      </c>
      <c r="I8614" s="17" t="s">
        <v>4</v>
      </c>
      <c r="J8614" s="17" t="s">
        <v>9055</v>
      </c>
      <c r="K8614" s="17" t="s">
        <v>3436</v>
      </c>
      <c r="L8614" s="17" t="s">
        <v>3437</v>
      </c>
      <c r="M8614" s="17" t="s">
        <v>67</v>
      </c>
      <c r="N8614" s="22" t="str">
        <f t="shared" si="776"/>
        <v>GAL</v>
      </c>
      <c r="O8614" s="19">
        <v>750</v>
      </c>
    </row>
    <row r="8615" spans="2:15" x14ac:dyDescent="0.25">
      <c r="B8615" s="16" t="s">
        <v>154</v>
      </c>
      <c r="C8615" s="17" t="s">
        <v>155</v>
      </c>
      <c r="D8615" s="17" t="s">
        <v>161</v>
      </c>
      <c r="E8615" s="17" t="s">
        <v>162</v>
      </c>
      <c r="F8615" s="18">
        <f>DATE(2025,8,20)</f>
        <v>45889</v>
      </c>
      <c r="G8615" s="22">
        <f t="shared" si="774"/>
        <v>8</v>
      </c>
      <c r="H8615" s="22">
        <f t="shared" si="775"/>
        <v>2025</v>
      </c>
      <c r="I8615" s="17" t="s">
        <v>4</v>
      </c>
      <c r="J8615" s="17" t="s">
        <v>9056</v>
      </c>
      <c r="K8615" s="17" t="s">
        <v>171</v>
      </c>
      <c r="L8615" s="17" t="s">
        <v>172</v>
      </c>
      <c r="M8615" s="17" t="s">
        <v>27</v>
      </c>
      <c r="N8615" s="22" t="str">
        <f t="shared" si="776"/>
        <v>GAL</v>
      </c>
      <c r="O8615" s="19">
        <v>360</v>
      </c>
    </row>
    <row r="8616" spans="2:15" x14ac:dyDescent="0.25">
      <c r="B8616" s="16" t="s">
        <v>154</v>
      </c>
      <c r="C8616" s="17" t="s">
        <v>155</v>
      </c>
      <c r="D8616" s="17" t="s">
        <v>1111</v>
      </c>
      <c r="E8616" s="17" t="s">
        <v>1112</v>
      </c>
      <c r="F8616" s="18">
        <f>DATE(2025,8,22)</f>
        <v>45891</v>
      </c>
      <c r="G8616" s="22">
        <f t="shared" si="774"/>
        <v>8</v>
      </c>
      <c r="H8616" s="22">
        <f t="shared" si="775"/>
        <v>2025</v>
      </c>
      <c r="I8616" s="17" t="s">
        <v>4</v>
      </c>
      <c r="J8616" s="17" t="s">
        <v>9057</v>
      </c>
      <c r="K8616" s="17" t="s">
        <v>25</v>
      </c>
      <c r="L8616" s="17" t="s">
        <v>541</v>
      </c>
      <c r="M8616" s="17" t="s">
        <v>27</v>
      </c>
      <c r="N8616" s="22" t="str">
        <f t="shared" si="776"/>
        <v>GAL</v>
      </c>
      <c r="O8616" s="19">
        <v>180</v>
      </c>
    </row>
    <row r="8617" spans="2:15" x14ac:dyDescent="0.25">
      <c r="B8617" s="16" t="s">
        <v>154</v>
      </c>
      <c r="C8617" s="17" t="s">
        <v>155</v>
      </c>
      <c r="D8617" s="17" t="s">
        <v>1838</v>
      </c>
      <c r="E8617" s="17" t="s">
        <v>1839</v>
      </c>
      <c r="F8617" s="18">
        <f>DATE(2025,8,22)</f>
        <v>45891</v>
      </c>
      <c r="G8617" s="22">
        <f t="shared" si="774"/>
        <v>8</v>
      </c>
      <c r="H8617" s="22">
        <f t="shared" si="775"/>
        <v>2025</v>
      </c>
      <c r="I8617" s="17" t="s">
        <v>4</v>
      </c>
      <c r="J8617" s="17" t="s">
        <v>9058</v>
      </c>
      <c r="K8617" s="17" t="s">
        <v>8606</v>
      </c>
      <c r="L8617" s="17" t="s">
        <v>8607</v>
      </c>
      <c r="M8617" s="17" t="s">
        <v>73</v>
      </c>
      <c r="N8617" s="22" t="str">
        <f t="shared" si="776"/>
        <v>GAL</v>
      </c>
      <c r="O8617" s="19">
        <v>360</v>
      </c>
    </row>
    <row r="8618" spans="2:15" x14ac:dyDescent="0.25">
      <c r="B8618" s="16" t="s">
        <v>154</v>
      </c>
      <c r="C8618" s="17" t="s">
        <v>155</v>
      </c>
      <c r="D8618" s="17" t="s">
        <v>628</v>
      </c>
      <c r="E8618" s="17" t="s">
        <v>629</v>
      </c>
      <c r="F8618" s="18">
        <f>DATE(2025,8,22)</f>
        <v>45891</v>
      </c>
      <c r="G8618" s="22">
        <f t="shared" si="774"/>
        <v>8</v>
      </c>
      <c r="H8618" s="22">
        <f t="shared" si="775"/>
        <v>2025</v>
      </c>
      <c r="I8618" s="17" t="s">
        <v>4</v>
      </c>
      <c r="J8618" s="17" t="s">
        <v>9059</v>
      </c>
      <c r="K8618" s="17" t="s">
        <v>1119</v>
      </c>
      <c r="L8618" s="17" t="s">
        <v>1023</v>
      </c>
      <c r="M8618" s="17" t="s">
        <v>1024</v>
      </c>
      <c r="N8618" s="22" t="str">
        <f t="shared" si="776"/>
        <v>GAL</v>
      </c>
      <c r="O8618" s="19">
        <v>720</v>
      </c>
    </row>
    <row r="8619" spans="2:15" x14ac:dyDescent="0.25">
      <c r="B8619" s="16" t="s">
        <v>154</v>
      </c>
      <c r="C8619" s="17" t="s">
        <v>155</v>
      </c>
      <c r="D8619" s="17" t="s">
        <v>628</v>
      </c>
      <c r="E8619" s="17" t="s">
        <v>629</v>
      </c>
      <c r="F8619" s="18">
        <f>DATE(2025,8,22)</f>
        <v>45891</v>
      </c>
      <c r="G8619" s="22">
        <f t="shared" si="774"/>
        <v>8</v>
      </c>
      <c r="H8619" s="22">
        <f t="shared" si="775"/>
        <v>2025</v>
      </c>
      <c r="I8619" s="17" t="s">
        <v>4</v>
      </c>
      <c r="J8619" s="17" t="s">
        <v>9060</v>
      </c>
      <c r="K8619" s="17" t="s">
        <v>8348</v>
      </c>
      <c r="L8619" s="17" t="s">
        <v>1854</v>
      </c>
      <c r="M8619" s="17" t="s">
        <v>1816</v>
      </c>
      <c r="N8619" s="22" t="str">
        <f t="shared" si="776"/>
        <v>GAL</v>
      </c>
      <c r="O8619" s="19">
        <v>500</v>
      </c>
    </row>
    <row r="8620" spans="2:15" x14ac:dyDescent="0.25">
      <c r="B8620" s="16" t="s">
        <v>154</v>
      </c>
      <c r="C8620" s="17" t="s">
        <v>155</v>
      </c>
      <c r="D8620" s="17" t="s">
        <v>167</v>
      </c>
      <c r="E8620" s="17" t="s">
        <v>168</v>
      </c>
      <c r="F8620" s="18">
        <f>DATE(2025,8,26)</f>
        <v>45895</v>
      </c>
      <c r="G8620" s="22">
        <f t="shared" si="774"/>
        <v>8</v>
      </c>
      <c r="H8620" s="22">
        <f t="shared" si="775"/>
        <v>2025</v>
      </c>
      <c r="I8620" s="17" t="s">
        <v>4</v>
      </c>
      <c r="J8620" s="17" t="s">
        <v>9061</v>
      </c>
      <c r="K8620" s="17" t="s">
        <v>171</v>
      </c>
      <c r="L8620" s="17" t="s">
        <v>172</v>
      </c>
      <c r="M8620" s="17" t="s">
        <v>27</v>
      </c>
      <c r="N8620" s="22" t="str">
        <f t="shared" si="776"/>
        <v>GAL</v>
      </c>
      <c r="O8620" s="19">
        <v>180</v>
      </c>
    </row>
    <row r="8621" spans="2:15" x14ac:dyDescent="0.25">
      <c r="B8621" s="16" t="s">
        <v>154</v>
      </c>
      <c r="C8621" s="17" t="s">
        <v>155</v>
      </c>
      <c r="D8621" s="17" t="s">
        <v>167</v>
      </c>
      <c r="E8621" s="17" t="s">
        <v>168</v>
      </c>
      <c r="F8621" s="18">
        <f>DATE(2025,8,26)</f>
        <v>45895</v>
      </c>
      <c r="G8621" s="22">
        <f t="shared" si="774"/>
        <v>8</v>
      </c>
      <c r="H8621" s="22">
        <f t="shared" si="775"/>
        <v>2025</v>
      </c>
      <c r="I8621" s="17" t="s">
        <v>4</v>
      </c>
      <c r="J8621" s="17" t="s">
        <v>9062</v>
      </c>
      <c r="K8621" s="17" t="s">
        <v>609</v>
      </c>
      <c r="L8621" s="17" t="s">
        <v>610</v>
      </c>
      <c r="M8621" s="17" t="s">
        <v>611</v>
      </c>
      <c r="N8621" s="22" t="str">
        <f t="shared" si="776"/>
        <v>GAL</v>
      </c>
      <c r="O8621" s="19">
        <v>180</v>
      </c>
    </row>
    <row r="8622" spans="2:15" x14ac:dyDescent="0.25">
      <c r="B8622" s="16" t="s">
        <v>154</v>
      </c>
      <c r="C8622" s="17" t="s">
        <v>155</v>
      </c>
      <c r="D8622" s="17" t="s">
        <v>161</v>
      </c>
      <c r="E8622" s="17" t="s">
        <v>162</v>
      </c>
      <c r="F8622" s="18">
        <f>DATE(2025,8,26)</f>
        <v>45895</v>
      </c>
      <c r="G8622" s="22">
        <f t="shared" si="774"/>
        <v>8</v>
      </c>
      <c r="H8622" s="22">
        <f t="shared" si="775"/>
        <v>2025</v>
      </c>
      <c r="I8622" s="17" t="s">
        <v>4</v>
      </c>
      <c r="J8622" s="17" t="s">
        <v>9063</v>
      </c>
      <c r="K8622" s="17" t="s">
        <v>171</v>
      </c>
      <c r="L8622" s="17" t="s">
        <v>172</v>
      </c>
      <c r="M8622" s="17" t="s">
        <v>27</v>
      </c>
      <c r="N8622" s="22" t="str">
        <f t="shared" si="776"/>
        <v>GAL</v>
      </c>
      <c r="O8622" s="19">
        <v>360</v>
      </c>
    </row>
    <row r="8623" spans="2:15" x14ac:dyDescent="0.25">
      <c r="B8623" s="16" t="s">
        <v>154</v>
      </c>
      <c r="C8623" s="17" t="s">
        <v>155</v>
      </c>
      <c r="D8623" s="17" t="s">
        <v>167</v>
      </c>
      <c r="E8623" s="17" t="s">
        <v>168</v>
      </c>
      <c r="F8623" s="18">
        <f>DATE(2025,8,27)</f>
        <v>45896</v>
      </c>
      <c r="G8623" s="22">
        <f t="shared" si="774"/>
        <v>8</v>
      </c>
      <c r="H8623" s="22">
        <f t="shared" si="775"/>
        <v>2025</v>
      </c>
      <c r="I8623" s="17" t="s">
        <v>4</v>
      </c>
      <c r="J8623" s="17" t="s">
        <v>9064</v>
      </c>
      <c r="K8623" s="17" t="s">
        <v>1814</v>
      </c>
      <c r="L8623" s="17" t="s">
        <v>1815</v>
      </c>
      <c r="M8623" s="17" t="s">
        <v>1816</v>
      </c>
      <c r="N8623" s="22" t="str">
        <f t="shared" si="776"/>
        <v>GAL</v>
      </c>
      <c r="O8623" s="19">
        <v>180</v>
      </c>
    </row>
    <row r="8624" spans="2:15" x14ac:dyDescent="0.25">
      <c r="B8624" s="16" t="s">
        <v>154</v>
      </c>
      <c r="C8624" s="17" t="s">
        <v>155</v>
      </c>
      <c r="D8624" s="17" t="s">
        <v>161</v>
      </c>
      <c r="E8624" s="17" t="s">
        <v>162</v>
      </c>
      <c r="F8624" s="18">
        <f>DATE(2025,8,28)</f>
        <v>45897</v>
      </c>
      <c r="G8624" s="22">
        <f t="shared" si="774"/>
        <v>8</v>
      </c>
      <c r="H8624" s="22">
        <f t="shared" si="775"/>
        <v>2025</v>
      </c>
      <c r="I8624" s="17" t="s">
        <v>4</v>
      </c>
      <c r="J8624" s="17" t="s">
        <v>9065</v>
      </c>
      <c r="K8624" s="17" t="s">
        <v>164</v>
      </c>
      <c r="L8624" s="17" t="s">
        <v>165</v>
      </c>
      <c r="M8624" s="17" t="s">
        <v>166</v>
      </c>
      <c r="N8624" s="22" t="str">
        <f t="shared" si="776"/>
        <v>GAL</v>
      </c>
      <c r="O8624" s="19">
        <v>360</v>
      </c>
    </row>
    <row r="8625" spans="2:15" x14ac:dyDescent="0.25">
      <c r="B8625" s="16" t="s">
        <v>154</v>
      </c>
      <c r="C8625" s="17" t="s">
        <v>155</v>
      </c>
      <c r="D8625" s="17" t="s">
        <v>628</v>
      </c>
      <c r="E8625" s="17" t="s">
        <v>629</v>
      </c>
      <c r="F8625" s="18">
        <f>DATE(2025,8,28)</f>
        <v>45897</v>
      </c>
      <c r="G8625" s="22">
        <f t="shared" si="774"/>
        <v>8</v>
      </c>
      <c r="H8625" s="22">
        <f t="shared" si="775"/>
        <v>2025</v>
      </c>
      <c r="I8625" s="17" t="s">
        <v>4</v>
      </c>
      <c r="J8625" s="17" t="s">
        <v>9066</v>
      </c>
      <c r="K8625" s="17" t="s">
        <v>3436</v>
      </c>
      <c r="L8625" s="17" t="s">
        <v>3437</v>
      </c>
      <c r="M8625" s="17" t="s">
        <v>67</v>
      </c>
      <c r="N8625" s="22" t="str">
        <f t="shared" si="776"/>
        <v>GAL</v>
      </c>
      <c r="O8625" s="19">
        <v>1000</v>
      </c>
    </row>
    <row r="8626" spans="2:15" x14ac:dyDescent="0.25">
      <c r="B8626" s="16" t="s">
        <v>154</v>
      </c>
      <c r="C8626" s="17" t="s">
        <v>155</v>
      </c>
      <c r="D8626" s="17" t="s">
        <v>507</v>
      </c>
      <c r="E8626" s="17" t="s">
        <v>508</v>
      </c>
      <c r="F8626" s="18">
        <f>DATE(2025,8,28)</f>
        <v>45897</v>
      </c>
      <c r="G8626" s="22">
        <f t="shared" si="774"/>
        <v>8</v>
      </c>
      <c r="H8626" s="22">
        <f t="shared" si="775"/>
        <v>2025</v>
      </c>
      <c r="I8626" s="17" t="s">
        <v>4</v>
      </c>
      <c r="J8626" s="17" t="s">
        <v>9067</v>
      </c>
      <c r="K8626" s="17" t="s">
        <v>4226</v>
      </c>
      <c r="L8626" s="17" t="s">
        <v>4227</v>
      </c>
      <c r="M8626" s="17" t="s">
        <v>24</v>
      </c>
      <c r="N8626" s="22" t="str">
        <f t="shared" si="776"/>
        <v>GAL</v>
      </c>
      <c r="O8626" s="19">
        <v>540</v>
      </c>
    </row>
    <row r="8627" spans="2:15" x14ac:dyDescent="0.25">
      <c r="B8627" s="16" t="s">
        <v>1520</v>
      </c>
      <c r="C8627" s="17" t="s">
        <v>196</v>
      </c>
      <c r="D8627" s="17" t="s">
        <v>207</v>
      </c>
      <c r="E8627" s="17" t="s">
        <v>208</v>
      </c>
      <c r="F8627" s="18">
        <f>DATE(2025,8,4)</f>
        <v>45873</v>
      </c>
      <c r="G8627" s="22">
        <f t="shared" si="774"/>
        <v>8</v>
      </c>
      <c r="H8627" s="22">
        <f t="shared" si="775"/>
        <v>2025</v>
      </c>
      <c r="I8627" s="17" t="s">
        <v>4</v>
      </c>
      <c r="J8627" s="17" t="s">
        <v>9068</v>
      </c>
      <c r="K8627" s="17" t="s">
        <v>3455</v>
      </c>
      <c r="L8627" s="17" t="s">
        <v>3456</v>
      </c>
      <c r="M8627" s="17" t="s">
        <v>119</v>
      </c>
      <c r="N8627" s="22" t="str">
        <f t="shared" si="776"/>
        <v>TON</v>
      </c>
      <c r="O8627" s="19">
        <v>1.5</v>
      </c>
    </row>
    <row r="8628" spans="2:15" x14ac:dyDescent="0.25">
      <c r="B8628" s="16" t="s">
        <v>1520</v>
      </c>
      <c r="C8628" s="17" t="s">
        <v>196</v>
      </c>
      <c r="D8628" s="17" t="s">
        <v>294</v>
      </c>
      <c r="E8628" s="17" t="s">
        <v>295</v>
      </c>
      <c r="F8628" s="18">
        <f>DATE(2025,8,5)</f>
        <v>45874</v>
      </c>
      <c r="G8628" s="22">
        <f t="shared" si="774"/>
        <v>8</v>
      </c>
      <c r="H8628" s="22">
        <f t="shared" si="775"/>
        <v>2025</v>
      </c>
      <c r="I8628" s="17" t="s">
        <v>4</v>
      </c>
      <c r="J8628" s="17" t="s">
        <v>9069</v>
      </c>
      <c r="K8628" s="17" t="s">
        <v>122</v>
      </c>
      <c r="L8628" s="17" t="s">
        <v>123</v>
      </c>
      <c r="M8628" s="17" t="s">
        <v>119</v>
      </c>
      <c r="N8628" s="22" t="str">
        <f t="shared" si="776"/>
        <v>TON</v>
      </c>
      <c r="O8628" s="19">
        <v>7.48</v>
      </c>
    </row>
    <row r="8629" spans="2:15" x14ac:dyDescent="0.25">
      <c r="B8629" s="16" t="s">
        <v>1520</v>
      </c>
      <c r="C8629" s="17" t="s">
        <v>196</v>
      </c>
      <c r="D8629" s="17" t="s">
        <v>210</v>
      </c>
      <c r="E8629" s="17" t="s">
        <v>827</v>
      </c>
      <c r="F8629" s="18">
        <f>DATE(2025,8,12)</f>
        <v>45881</v>
      </c>
      <c r="G8629" s="22">
        <f t="shared" si="774"/>
        <v>8</v>
      </c>
      <c r="H8629" s="22">
        <f t="shared" si="775"/>
        <v>2025</v>
      </c>
      <c r="I8629" s="17" t="s">
        <v>4</v>
      </c>
      <c r="J8629" s="17" t="s">
        <v>9070</v>
      </c>
      <c r="K8629" s="17" t="s">
        <v>351</v>
      </c>
      <c r="L8629" s="17" t="s">
        <v>352</v>
      </c>
      <c r="M8629" s="17" t="s">
        <v>119</v>
      </c>
      <c r="N8629" s="22" t="str">
        <f t="shared" si="776"/>
        <v>TON</v>
      </c>
      <c r="O8629" s="19">
        <v>10</v>
      </c>
    </row>
    <row r="8630" spans="2:15" x14ac:dyDescent="0.25">
      <c r="B8630" s="16" t="s">
        <v>1520</v>
      </c>
      <c r="C8630" s="17" t="s">
        <v>196</v>
      </c>
      <c r="D8630" s="17" t="s">
        <v>241</v>
      </c>
      <c r="E8630" s="17" t="s">
        <v>242</v>
      </c>
      <c r="F8630" s="18">
        <f>DATE(2025,8,14)</f>
        <v>45883</v>
      </c>
      <c r="G8630" s="22">
        <f t="shared" si="774"/>
        <v>8</v>
      </c>
      <c r="H8630" s="22">
        <f t="shared" si="775"/>
        <v>2025</v>
      </c>
      <c r="I8630" s="17" t="s">
        <v>4</v>
      </c>
      <c r="J8630" s="17" t="s">
        <v>9071</v>
      </c>
      <c r="K8630" s="17" t="s">
        <v>9072</v>
      </c>
      <c r="L8630" s="17" t="s">
        <v>9073</v>
      </c>
      <c r="M8630" s="17" t="s">
        <v>119</v>
      </c>
      <c r="N8630" s="22" t="str">
        <f t="shared" si="776"/>
        <v>TON</v>
      </c>
      <c r="O8630" s="19">
        <v>0.15</v>
      </c>
    </row>
    <row r="8631" spans="2:15" x14ac:dyDescent="0.25">
      <c r="B8631" s="16" t="s">
        <v>1520</v>
      </c>
      <c r="C8631" s="17" t="s">
        <v>196</v>
      </c>
      <c r="D8631" s="17" t="s">
        <v>2755</v>
      </c>
      <c r="E8631" s="17" t="s">
        <v>141</v>
      </c>
      <c r="F8631" s="18">
        <f>DATE(2025,8,18)</f>
        <v>45887</v>
      </c>
      <c r="G8631" s="22">
        <f t="shared" si="774"/>
        <v>8</v>
      </c>
      <c r="H8631" s="22">
        <f t="shared" si="775"/>
        <v>2025</v>
      </c>
      <c r="I8631" s="17" t="s">
        <v>4</v>
      </c>
      <c r="J8631" s="17" t="s">
        <v>9074</v>
      </c>
      <c r="K8631" s="17" t="s">
        <v>1119</v>
      </c>
      <c r="L8631" s="17" t="s">
        <v>1023</v>
      </c>
      <c r="M8631" s="17" t="s">
        <v>1024</v>
      </c>
      <c r="N8631" s="22" t="str">
        <f t="shared" si="776"/>
        <v>GAL</v>
      </c>
      <c r="O8631" s="19">
        <v>2.5</v>
      </c>
    </row>
    <row r="8632" spans="2:15" x14ac:dyDescent="0.25">
      <c r="B8632" s="16" t="s">
        <v>1520</v>
      </c>
      <c r="C8632" s="17" t="s">
        <v>196</v>
      </c>
      <c r="D8632" s="17" t="s">
        <v>2755</v>
      </c>
      <c r="E8632" s="17" t="s">
        <v>141</v>
      </c>
      <c r="F8632" s="18">
        <f>DATE(2025,8,18)</f>
        <v>45887</v>
      </c>
      <c r="G8632" s="22">
        <f t="shared" si="774"/>
        <v>8</v>
      </c>
      <c r="H8632" s="22">
        <f t="shared" si="775"/>
        <v>2025</v>
      </c>
      <c r="I8632" s="17" t="s">
        <v>4</v>
      </c>
      <c r="J8632" s="17" t="s">
        <v>9074</v>
      </c>
      <c r="K8632" s="17" t="s">
        <v>158</v>
      </c>
      <c r="L8632" s="17" t="s">
        <v>159</v>
      </c>
      <c r="M8632" s="17" t="s">
        <v>160</v>
      </c>
      <c r="N8632" s="22" t="str">
        <f t="shared" si="776"/>
        <v>GAL</v>
      </c>
      <c r="O8632" s="19">
        <v>2.5</v>
      </c>
    </row>
    <row r="8633" spans="2:15" x14ac:dyDescent="0.25">
      <c r="B8633" s="16" t="s">
        <v>1520</v>
      </c>
      <c r="C8633" s="17" t="s">
        <v>196</v>
      </c>
      <c r="D8633" s="17" t="s">
        <v>4034</v>
      </c>
      <c r="E8633" s="17" t="s">
        <v>102</v>
      </c>
      <c r="F8633" s="18">
        <f>DATE(2025,8,21)</f>
        <v>45890</v>
      </c>
      <c r="G8633" s="22">
        <f t="shared" si="774"/>
        <v>8</v>
      </c>
      <c r="H8633" s="22">
        <f t="shared" si="775"/>
        <v>2025</v>
      </c>
      <c r="I8633" s="17" t="s">
        <v>4</v>
      </c>
      <c r="J8633" s="17" t="s">
        <v>9075</v>
      </c>
      <c r="K8633" s="17" t="s">
        <v>3321</v>
      </c>
      <c r="L8633" s="17" t="s">
        <v>3322</v>
      </c>
      <c r="M8633" s="17" t="s">
        <v>106</v>
      </c>
      <c r="N8633" s="22" t="str">
        <f t="shared" si="776"/>
        <v>LBS</v>
      </c>
      <c r="O8633" s="19">
        <v>800</v>
      </c>
    </row>
    <row r="8634" spans="2:15" x14ac:dyDescent="0.25">
      <c r="B8634" s="16" t="s">
        <v>1520</v>
      </c>
      <c r="C8634" s="17" t="s">
        <v>196</v>
      </c>
      <c r="D8634" s="17" t="s">
        <v>207</v>
      </c>
      <c r="E8634" s="17" t="s">
        <v>208</v>
      </c>
      <c r="F8634" s="18">
        <f>DATE(2025,8,21)</f>
        <v>45890</v>
      </c>
      <c r="G8634" s="22">
        <f t="shared" ref="G8634:G8697" si="777">+MONTH(F8634)</f>
        <v>8</v>
      </c>
      <c r="H8634" s="22">
        <f t="shared" ref="H8634:H8697" si="778">+YEAR(F8634)</f>
        <v>2025</v>
      </c>
      <c r="I8634" s="17" t="s">
        <v>4</v>
      </c>
      <c r="J8634" s="17" t="s">
        <v>9076</v>
      </c>
      <c r="K8634" s="17" t="s">
        <v>205</v>
      </c>
      <c r="L8634" s="17" t="s">
        <v>206</v>
      </c>
      <c r="M8634" s="17" t="s">
        <v>119</v>
      </c>
      <c r="N8634" s="22" t="str">
        <f t="shared" ref="N8634:N8697" si="779">+LEFT(M8634,3)</f>
        <v>TON</v>
      </c>
      <c r="O8634" s="19">
        <v>3.7650000000000001</v>
      </c>
    </row>
    <row r="8635" spans="2:15" x14ac:dyDescent="0.25">
      <c r="B8635" s="16" t="s">
        <v>1520</v>
      </c>
      <c r="C8635" s="17" t="s">
        <v>196</v>
      </c>
      <c r="D8635" s="17" t="s">
        <v>241</v>
      </c>
      <c r="E8635" s="17" t="s">
        <v>258</v>
      </c>
      <c r="F8635" s="18">
        <f>DATE(2025,8,22)</f>
        <v>45891</v>
      </c>
      <c r="G8635" s="22">
        <f t="shared" si="777"/>
        <v>8</v>
      </c>
      <c r="H8635" s="22">
        <f t="shared" si="778"/>
        <v>2025</v>
      </c>
      <c r="I8635" s="17" t="s">
        <v>4</v>
      </c>
      <c r="J8635" s="17" t="s">
        <v>9077</v>
      </c>
      <c r="K8635" s="17" t="s">
        <v>9078</v>
      </c>
      <c r="L8635" s="17" t="s">
        <v>9079</v>
      </c>
      <c r="M8635" s="17" t="s">
        <v>119</v>
      </c>
      <c r="N8635" s="22" t="str">
        <f t="shared" si="779"/>
        <v>TON</v>
      </c>
      <c r="O8635" s="19">
        <v>1.272</v>
      </c>
    </row>
    <row r="8636" spans="2:15" x14ac:dyDescent="0.25">
      <c r="B8636" s="16" t="s">
        <v>1520</v>
      </c>
      <c r="C8636" s="17" t="s">
        <v>196</v>
      </c>
      <c r="D8636" s="17" t="s">
        <v>2755</v>
      </c>
      <c r="E8636" s="17" t="s">
        <v>141</v>
      </c>
      <c r="F8636" s="18">
        <f>DATE(2025,8,22)</f>
        <v>45891</v>
      </c>
      <c r="G8636" s="22">
        <f t="shared" si="777"/>
        <v>8</v>
      </c>
      <c r="H8636" s="22">
        <f t="shared" si="778"/>
        <v>2025</v>
      </c>
      <c r="I8636" s="17" t="s">
        <v>4</v>
      </c>
      <c r="J8636" s="17" t="s">
        <v>9080</v>
      </c>
      <c r="K8636" s="17" t="s">
        <v>9081</v>
      </c>
      <c r="L8636" s="17" t="s">
        <v>9082</v>
      </c>
      <c r="M8636" s="17" t="s">
        <v>46</v>
      </c>
      <c r="N8636" s="22" t="str">
        <f t="shared" si="779"/>
        <v>GAL</v>
      </c>
      <c r="O8636" s="19">
        <v>10</v>
      </c>
    </row>
    <row r="8637" spans="2:15" x14ac:dyDescent="0.25">
      <c r="B8637" s="16" t="s">
        <v>1520</v>
      </c>
      <c r="C8637" s="17" t="s">
        <v>196</v>
      </c>
      <c r="D8637" s="17" t="s">
        <v>241</v>
      </c>
      <c r="E8637" s="17" t="s">
        <v>258</v>
      </c>
      <c r="F8637" s="18">
        <f>DATE(2025,8,26)</f>
        <v>45895</v>
      </c>
      <c r="G8637" s="22">
        <f t="shared" si="777"/>
        <v>8</v>
      </c>
      <c r="H8637" s="22">
        <f t="shared" si="778"/>
        <v>2025</v>
      </c>
      <c r="I8637" s="17" t="s">
        <v>4</v>
      </c>
      <c r="J8637" s="17" t="s">
        <v>9083</v>
      </c>
      <c r="K8637" s="17" t="s">
        <v>3458</v>
      </c>
      <c r="L8637" s="17" t="s">
        <v>3459</v>
      </c>
      <c r="M8637" s="17" t="s">
        <v>119</v>
      </c>
      <c r="N8637" s="22" t="str">
        <f t="shared" si="779"/>
        <v>TON</v>
      </c>
      <c r="O8637" s="19">
        <v>2.2524999999999999</v>
      </c>
    </row>
    <row r="8638" spans="2:15" x14ac:dyDescent="0.25">
      <c r="B8638" s="16" t="s">
        <v>1520</v>
      </c>
      <c r="C8638" s="17" t="s">
        <v>196</v>
      </c>
      <c r="D8638" s="17" t="s">
        <v>2755</v>
      </c>
      <c r="E8638" s="17" t="s">
        <v>141</v>
      </c>
      <c r="F8638" s="18">
        <f>DATE(2025,8,28)</f>
        <v>45897</v>
      </c>
      <c r="G8638" s="22">
        <f t="shared" si="777"/>
        <v>8</v>
      </c>
      <c r="H8638" s="22">
        <f t="shared" si="778"/>
        <v>2025</v>
      </c>
      <c r="I8638" s="22" t="s">
        <v>4</v>
      </c>
      <c r="J8638" s="21" t="s">
        <v>9084</v>
      </c>
      <c r="K8638" s="22" t="s">
        <v>3236</v>
      </c>
      <c r="L8638" s="22" t="s">
        <v>3237</v>
      </c>
      <c r="M8638" s="22" t="s">
        <v>1472</v>
      </c>
      <c r="N8638" s="22" t="str">
        <f t="shared" si="779"/>
        <v>GAL</v>
      </c>
      <c r="O8638" s="24">
        <v>2.5</v>
      </c>
    </row>
    <row r="8639" spans="2:15" x14ac:dyDescent="0.25">
      <c r="B8639" s="16" t="s">
        <v>645</v>
      </c>
      <c r="C8639" s="17" t="s">
        <v>196</v>
      </c>
      <c r="D8639" s="17" t="s">
        <v>3450</v>
      </c>
      <c r="E8639" s="17" t="s">
        <v>91</v>
      </c>
      <c r="F8639" s="18">
        <f>DATE(2025,8,28)</f>
        <v>45897</v>
      </c>
      <c r="G8639" s="22">
        <f t="shared" si="777"/>
        <v>8</v>
      </c>
      <c r="H8639" s="22">
        <f t="shared" si="778"/>
        <v>2025</v>
      </c>
      <c r="I8639" s="22" t="s">
        <v>4</v>
      </c>
      <c r="J8639" s="21" t="s">
        <v>9085</v>
      </c>
      <c r="K8639" s="22" t="s">
        <v>25</v>
      </c>
      <c r="L8639" s="22" t="s">
        <v>541</v>
      </c>
      <c r="M8639" s="22" t="s">
        <v>27</v>
      </c>
      <c r="N8639" s="22" t="str">
        <f t="shared" si="779"/>
        <v>GAL</v>
      </c>
      <c r="O8639" s="24">
        <v>2.5</v>
      </c>
    </row>
    <row r="8640" spans="2:15" x14ac:dyDescent="0.25">
      <c r="B8640" s="16" t="s">
        <v>382</v>
      </c>
      <c r="C8640" s="17" t="s">
        <v>506</v>
      </c>
      <c r="D8640" s="17" t="s">
        <v>515</v>
      </c>
      <c r="E8640" s="17" t="s">
        <v>516</v>
      </c>
      <c r="F8640" s="18">
        <f>DATE(2025,8,6)</f>
        <v>45875</v>
      </c>
      <c r="G8640" s="22">
        <f t="shared" si="777"/>
        <v>8</v>
      </c>
      <c r="H8640" s="22">
        <f t="shared" si="778"/>
        <v>2025</v>
      </c>
      <c r="I8640" s="17" t="s">
        <v>4</v>
      </c>
      <c r="J8640" s="17" t="s">
        <v>9086</v>
      </c>
      <c r="K8640" s="17" t="s">
        <v>33</v>
      </c>
      <c r="L8640" s="17" t="s">
        <v>2786</v>
      </c>
      <c r="M8640" s="17" t="s">
        <v>35</v>
      </c>
      <c r="N8640" s="22" t="str">
        <f t="shared" si="779"/>
        <v>GAL</v>
      </c>
      <c r="O8640" s="19">
        <v>30</v>
      </c>
    </row>
    <row r="8641" spans="2:15" x14ac:dyDescent="0.25">
      <c r="B8641" s="16" t="s">
        <v>382</v>
      </c>
      <c r="C8641" s="17" t="s">
        <v>506</v>
      </c>
      <c r="D8641" s="17" t="s">
        <v>515</v>
      </c>
      <c r="E8641" s="17" t="s">
        <v>516</v>
      </c>
      <c r="F8641" s="18">
        <f>DATE(2025,8,6)</f>
        <v>45875</v>
      </c>
      <c r="G8641" s="22">
        <f t="shared" si="777"/>
        <v>8</v>
      </c>
      <c r="H8641" s="22">
        <f t="shared" si="778"/>
        <v>2025</v>
      </c>
      <c r="I8641" s="17" t="s">
        <v>4</v>
      </c>
      <c r="J8641" s="17" t="s">
        <v>9086</v>
      </c>
      <c r="K8641" s="17" t="s">
        <v>149</v>
      </c>
      <c r="L8641" s="17" t="s">
        <v>150</v>
      </c>
      <c r="M8641" s="17" t="s">
        <v>21</v>
      </c>
      <c r="N8641" s="22" t="str">
        <f t="shared" si="779"/>
        <v>GAL</v>
      </c>
      <c r="O8641" s="19">
        <v>180</v>
      </c>
    </row>
    <row r="8642" spans="2:15" x14ac:dyDescent="0.25">
      <c r="B8642" s="16" t="s">
        <v>382</v>
      </c>
      <c r="C8642" s="17" t="s">
        <v>506</v>
      </c>
      <c r="D8642" s="17" t="s">
        <v>515</v>
      </c>
      <c r="E8642" s="17" t="s">
        <v>516</v>
      </c>
      <c r="F8642" s="18">
        <f>DATE(2025,8,6)</f>
        <v>45875</v>
      </c>
      <c r="G8642" s="22">
        <f t="shared" si="777"/>
        <v>8</v>
      </c>
      <c r="H8642" s="22">
        <f t="shared" si="778"/>
        <v>2025</v>
      </c>
      <c r="I8642" s="17" t="s">
        <v>4</v>
      </c>
      <c r="J8642" s="17" t="s">
        <v>9086</v>
      </c>
      <c r="K8642" s="17" t="s">
        <v>244</v>
      </c>
      <c r="L8642" s="17" t="s">
        <v>182</v>
      </c>
      <c r="M8642" s="17" t="s">
        <v>183</v>
      </c>
      <c r="N8642" s="22" t="str">
        <f t="shared" si="779"/>
        <v>GAL</v>
      </c>
      <c r="O8642" s="19">
        <v>180</v>
      </c>
    </row>
    <row r="8643" spans="2:15" x14ac:dyDescent="0.25">
      <c r="B8643" s="16" t="s">
        <v>382</v>
      </c>
      <c r="C8643" s="17" t="s">
        <v>506</v>
      </c>
      <c r="D8643" s="17" t="s">
        <v>521</v>
      </c>
      <c r="E8643" s="17" t="s">
        <v>522</v>
      </c>
      <c r="F8643" s="18">
        <f>DATE(2025,8,6)</f>
        <v>45875</v>
      </c>
      <c r="G8643" s="22">
        <f t="shared" si="777"/>
        <v>8</v>
      </c>
      <c r="H8643" s="22">
        <f t="shared" si="778"/>
        <v>2025</v>
      </c>
      <c r="I8643" s="17" t="s">
        <v>4</v>
      </c>
      <c r="J8643" s="17" t="s">
        <v>9087</v>
      </c>
      <c r="K8643" s="17" t="s">
        <v>1395</v>
      </c>
      <c r="L8643" s="17" t="s">
        <v>1396</v>
      </c>
      <c r="M8643" s="17" t="s">
        <v>1397</v>
      </c>
      <c r="N8643" s="22" t="str">
        <f t="shared" si="779"/>
        <v>GAL</v>
      </c>
      <c r="O8643" s="19">
        <v>360</v>
      </c>
    </row>
    <row r="8644" spans="2:15" x14ac:dyDescent="0.25">
      <c r="B8644" s="16" t="s">
        <v>382</v>
      </c>
      <c r="C8644" s="17" t="s">
        <v>506</v>
      </c>
      <c r="D8644" s="17" t="s">
        <v>521</v>
      </c>
      <c r="E8644" s="17" t="s">
        <v>522</v>
      </c>
      <c r="F8644" s="18">
        <f>DATE(2025,8,11)</f>
        <v>45880</v>
      </c>
      <c r="G8644" s="22">
        <f t="shared" si="777"/>
        <v>8</v>
      </c>
      <c r="H8644" s="22">
        <f t="shared" si="778"/>
        <v>2025</v>
      </c>
      <c r="I8644" s="17" t="s">
        <v>4</v>
      </c>
      <c r="J8644" s="17" t="s">
        <v>9088</v>
      </c>
      <c r="K8644" s="17" t="s">
        <v>244</v>
      </c>
      <c r="L8644" s="17" t="s">
        <v>182</v>
      </c>
      <c r="M8644" s="17" t="s">
        <v>183</v>
      </c>
      <c r="N8644" s="22" t="str">
        <f t="shared" si="779"/>
        <v>GAL</v>
      </c>
      <c r="O8644" s="19">
        <v>180</v>
      </c>
    </row>
    <row r="8645" spans="2:15" x14ac:dyDescent="0.25">
      <c r="B8645" s="16" t="s">
        <v>382</v>
      </c>
      <c r="C8645" s="17" t="s">
        <v>506</v>
      </c>
      <c r="D8645" s="17" t="s">
        <v>1006</v>
      </c>
      <c r="E8645" s="17" t="s">
        <v>1007</v>
      </c>
      <c r="F8645" s="18">
        <f>DATE(2025,8,12)</f>
        <v>45881</v>
      </c>
      <c r="G8645" s="22">
        <f t="shared" si="777"/>
        <v>8</v>
      </c>
      <c r="H8645" s="22">
        <f t="shared" si="778"/>
        <v>2025</v>
      </c>
      <c r="I8645" s="17" t="s">
        <v>4</v>
      </c>
      <c r="J8645" s="17" t="s">
        <v>9089</v>
      </c>
      <c r="K8645" s="17" t="s">
        <v>1009</v>
      </c>
      <c r="L8645" s="17" t="s">
        <v>1010</v>
      </c>
      <c r="M8645" s="17" t="s">
        <v>13</v>
      </c>
      <c r="N8645" s="22" t="str">
        <f t="shared" si="779"/>
        <v>GAL</v>
      </c>
      <c r="O8645" s="19">
        <v>180</v>
      </c>
    </row>
    <row r="8646" spans="2:15" x14ac:dyDescent="0.25">
      <c r="B8646" s="16" t="s">
        <v>382</v>
      </c>
      <c r="C8646" s="17" t="s">
        <v>506</v>
      </c>
      <c r="D8646" s="17" t="s">
        <v>515</v>
      </c>
      <c r="E8646" s="17" t="s">
        <v>516</v>
      </c>
      <c r="F8646" s="18">
        <f>DATE(2025,8,15)</f>
        <v>45884</v>
      </c>
      <c r="G8646" s="22">
        <f t="shared" si="777"/>
        <v>8</v>
      </c>
      <c r="H8646" s="22">
        <f t="shared" si="778"/>
        <v>2025</v>
      </c>
      <c r="I8646" s="17" t="s">
        <v>4</v>
      </c>
      <c r="J8646" s="17" t="s">
        <v>9090</v>
      </c>
      <c r="K8646" s="17" t="s">
        <v>83</v>
      </c>
      <c r="L8646" s="17" t="s">
        <v>518</v>
      </c>
      <c r="M8646" s="17" t="s">
        <v>85</v>
      </c>
      <c r="N8646" s="22" t="str">
        <f t="shared" si="779"/>
        <v>GAL</v>
      </c>
      <c r="O8646" s="19">
        <v>60</v>
      </c>
    </row>
    <row r="8647" spans="2:15" x14ac:dyDescent="0.25">
      <c r="B8647" s="16" t="s">
        <v>382</v>
      </c>
      <c r="C8647" s="17" t="s">
        <v>506</v>
      </c>
      <c r="D8647" s="17" t="s">
        <v>989</v>
      </c>
      <c r="E8647" s="17" t="s">
        <v>990</v>
      </c>
      <c r="F8647" s="18">
        <f>DATE(2025,8,15)</f>
        <v>45884</v>
      </c>
      <c r="G8647" s="22">
        <f t="shared" si="777"/>
        <v>8</v>
      </c>
      <c r="H8647" s="22">
        <f t="shared" si="778"/>
        <v>2025</v>
      </c>
      <c r="I8647" s="17" t="s">
        <v>4</v>
      </c>
      <c r="J8647" s="17" t="s">
        <v>9091</v>
      </c>
      <c r="K8647" s="17" t="s">
        <v>609</v>
      </c>
      <c r="L8647" s="17" t="s">
        <v>610</v>
      </c>
      <c r="M8647" s="17" t="s">
        <v>611</v>
      </c>
      <c r="N8647" s="22" t="str">
        <f t="shared" si="779"/>
        <v>GAL</v>
      </c>
      <c r="O8647" s="19">
        <v>25</v>
      </c>
    </row>
    <row r="8648" spans="2:15" x14ac:dyDescent="0.25">
      <c r="B8648" s="16" t="s">
        <v>382</v>
      </c>
      <c r="C8648" s="17" t="s">
        <v>506</v>
      </c>
      <c r="D8648" s="17" t="s">
        <v>515</v>
      </c>
      <c r="E8648" s="17" t="s">
        <v>516</v>
      </c>
      <c r="F8648" s="18">
        <f>DATE(2025,8,19)</f>
        <v>45888</v>
      </c>
      <c r="G8648" s="22">
        <f t="shared" si="777"/>
        <v>8</v>
      </c>
      <c r="H8648" s="22">
        <f t="shared" si="778"/>
        <v>2025</v>
      </c>
      <c r="I8648" s="17" t="s">
        <v>4</v>
      </c>
      <c r="J8648" s="17" t="s">
        <v>9092</v>
      </c>
      <c r="K8648" s="17" t="s">
        <v>1014</v>
      </c>
      <c r="L8648" s="17" t="s">
        <v>472</v>
      </c>
      <c r="M8648" s="17" t="s">
        <v>473</v>
      </c>
      <c r="N8648" s="22" t="str">
        <f t="shared" si="779"/>
        <v>GAL</v>
      </c>
      <c r="O8648" s="19">
        <v>60</v>
      </c>
    </row>
    <row r="8649" spans="2:15" x14ac:dyDescent="0.25">
      <c r="B8649" s="16" t="s">
        <v>645</v>
      </c>
      <c r="C8649" s="17" t="s">
        <v>1025</v>
      </c>
      <c r="D8649" s="17" t="s">
        <v>2092</v>
      </c>
      <c r="E8649" s="17" t="s">
        <v>2093</v>
      </c>
      <c r="F8649" s="18">
        <f>DATE(2025,8,5)</f>
        <v>45874</v>
      </c>
      <c r="G8649" s="22">
        <f t="shared" si="777"/>
        <v>8</v>
      </c>
      <c r="H8649" s="22">
        <f t="shared" si="778"/>
        <v>2025</v>
      </c>
      <c r="I8649" s="17" t="s">
        <v>4</v>
      </c>
      <c r="J8649" s="17" t="s">
        <v>9093</v>
      </c>
      <c r="K8649" s="17" t="s">
        <v>2095</v>
      </c>
      <c r="L8649" s="17" t="s">
        <v>2096</v>
      </c>
      <c r="M8649" s="17" t="s">
        <v>119</v>
      </c>
      <c r="N8649" s="22" t="str">
        <f t="shared" si="779"/>
        <v>TON</v>
      </c>
      <c r="O8649" s="19">
        <v>15.05</v>
      </c>
    </row>
    <row r="8650" spans="2:15" x14ac:dyDescent="0.25">
      <c r="B8650" s="16" t="s">
        <v>8502</v>
      </c>
      <c r="C8650" s="17" t="s">
        <v>1025</v>
      </c>
      <c r="D8650" s="17" t="s">
        <v>2478</v>
      </c>
      <c r="E8650" s="17" t="s">
        <v>124</v>
      </c>
      <c r="F8650" s="18">
        <f>DATE(2025,8,6)</f>
        <v>45875</v>
      </c>
      <c r="G8650" s="22">
        <f t="shared" si="777"/>
        <v>8</v>
      </c>
      <c r="H8650" s="22">
        <f t="shared" si="778"/>
        <v>2025</v>
      </c>
      <c r="I8650" s="17" t="s">
        <v>4</v>
      </c>
      <c r="J8650" s="17" t="s">
        <v>9094</v>
      </c>
      <c r="K8650" s="17" t="s">
        <v>3344</v>
      </c>
      <c r="L8650" s="17" t="s">
        <v>3345</v>
      </c>
      <c r="M8650" s="17" t="s">
        <v>119</v>
      </c>
      <c r="N8650" s="22" t="str">
        <f t="shared" si="779"/>
        <v>TON</v>
      </c>
      <c r="O8650" s="19">
        <v>4.5049999999999999</v>
      </c>
    </row>
    <row r="8651" spans="2:15" x14ac:dyDescent="0.25">
      <c r="B8651" s="16" t="s">
        <v>8502</v>
      </c>
      <c r="C8651" s="17" t="s">
        <v>1025</v>
      </c>
      <c r="D8651" s="17" t="s">
        <v>628</v>
      </c>
      <c r="E8651" s="17" t="s">
        <v>3046</v>
      </c>
      <c r="F8651" s="18">
        <f>DATE(2025,8,12)</f>
        <v>45881</v>
      </c>
      <c r="G8651" s="22">
        <f t="shared" si="777"/>
        <v>8</v>
      </c>
      <c r="H8651" s="22">
        <f t="shared" si="778"/>
        <v>2025</v>
      </c>
      <c r="I8651" s="17" t="s">
        <v>4</v>
      </c>
      <c r="J8651" s="17" t="s">
        <v>9095</v>
      </c>
      <c r="K8651" s="17" t="s">
        <v>8706</v>
      </c>
      <c r="L8651" s="17" t="s">
        <v>8707</v>
      </c>
      <c r="M8651" s="17" t="s">
        <v>2455</v>
      </c>
      <c r="N8651" s="22" t="str">
        <f t="shared" si="779"/>
        <v>GAL</v>
      </c>
      <c r="O8651" s="19">
        <v>180</v>
      </c>
    </row>
    <row r="8652" spans="2:15" x14ac:dyDescent="0.25">
      <c r="B8652" s="16" t="s">
        <v>645</v>
      </c>
      <c r="C8652" s="17" t="s">
        <v>1025</v>
      </c>
      <c r="D8652" s="17" t="s">
        <v>2092</v>
      </c>
      <c r="E8652" s="17" t="s">
        <v>2093</v>
      </c>
      <c r="F8652" s="18">
        <f>DATE(2025,8,21)</f>
        <v>45890</v>
      </c>
      <c r="G8652" s="22">
        <f t="shared" si="777"/>
        <v>8</v>
      </c>
      <c r="H8652" s="22">
        <f t="shared" si="778"/>
        <v>2025</v>
      </c>
      <c r="I8652" s="17" t="s">
        <v>4</v>
      </c>
      <c r="J8652" s="17" t="s">
        <v>9096</v>
      </c>
      <c r="K8652" s="17" t="s">
        <v>842</v>
      </c>
      <c r="L8652" s="17" t="s">
        <v>843</v>
      </c>
      <c r="M8652" s="17" t="s">
        <v>844</v>
      </c>
      <c r="N8652" s="22" t="str">
        <f t="shared" si="779"/>
        <v>GAL</v>
      </c>
      <c r="O8652" s="19">
        <v>1000</v>
      </c>
    </row>
    <row r="8653" spans="2:15" x14ac:dyDescent="0.25">
      <c r="B8653" s="16" t="s">
        <v>645</v>
      </c>
      <c r="C8653" s="17" t="s">
        <v>1025</v>
      </c>
      <c r="D8653" s="17" t="s">
        <v>2092</v>
      </c>
      <c r="E8653" s="17" t="s">
        <v>2093</v>
      </c>
      <c r="F8653" s="18">
        <f>DATE(2025,8,27)</f>
        <v>45896</v>
      </c>
      <c r="G8653" s="22">
        <f t="shared" si="777"/>
        <v>8</v>
      </c>
      <c r="H8653" s="22">
        <f t="shared" si="778"/>
        <v>2025</v>
      </c>
      <c r="I8653" s="17" t="s">
        <v>4</v>
      </c>
      <c r="J8653" s="17" t="s">
        <v>9097</v>
      </c>
      <c r="K8653" s="17" t="s">
        <v>842</v>
      </c>
      <c r="L8653" s="17" t="s">
        <v>843</v>
      </c>
      <c r="M8653" s="17" t="s">
        <v>844</v>
      </c>
      <c r="N8653" s="22" t="str">
        <f t="shared" si="779"/>
        <v>GAL</v>
      </c>
      <c r="O8653" s="19">
        <v>500</v>
      </c>
    </row>
    <row r="8654" spans="2:15" x14ac:dyDescent="0.25">
      <c r="B8654" s="16" t="s">
        <v>645</v>
      </c>
      <c r="C8654" s="17" t="s">
        <v>1025</v>
      </c>
      <c r="D8654" s="17" t="s">
        <v>2092</v>
      </c>
      <c r="E8654" s="17" t="s">
        <v>2093</v>
      </c>
      <c r="F8654" s="18">
        <f>DATE(2025,8,27)</f>
        <v>45896</v>
      </c>
      <c r="G8654" s="22">
        <f t="shared" si="777"/>
        <v>8</v>
      </c>
      <c r="H8654" s="22">
        <f t="shared" si="778"/>
        <v>2025</v>
      </c>
      <c r="I8654" s="17" t="s">
        <v>4</v>
      </c>
      <c r="J8654" s="17" t="s">
        <v>9098</v>
      </c>
      <c r="K8654" s="17" t="s">
        <v>2095</v>
      </c>
      <c r="L8654" s="17" t="s">
        <v>2096</v>
      </c>
      <c r="M8654" s="17" t="s">
        <v>119</v>
      </c>
      <c r="N8654" s="22" t="str">
        <f t="shared" si="779"/>
        <v>TON</v>
      </c>
      <c r="O8654" s="19">
        <v>15.04</v>
      </c>
    </row>
    <row r="8655" spans="2:15" x14ac:dyDescent="0.25">
      <c r="B8655" s="16" t="s">
        <v>645</v>
      </c>
      <c r="C8655" s="17" t="s">
        <v>1025</v>
      </c>
      <c r="D8655" s="17" t="s">
        <v>3198</v>
      </c>
      <c r="E8655" s="17" t="s">
        <v>9099</v>
      </c>
      <c r="F8655" s="18">
        <f>DATE(2025,8,28)</f>
        <v>45897</v>
      </c>
      <c r="G8655" s="22">
        <f t="shared" si="777"/>
        <v>8</v>
      </c>
      <c r="H8655" s="22">
        <f t="shared" si="778"/>
        <v>2025</v>
      </c>
      <c r="I8655" s="17" t="s">
        <v>4</v>
      </c>
      <c r="J8655" s="17" t="s">
        <v>9100</v>
      </c>
      <c r="K8655" s="17" t="s">
        <v>1853</v>
      </c>
      <c r="L8655" s="17" t="s">
        <v>1854</v>
      </c>
      <c r="M8655" s="17" t="s">
        <v>1816</v>
      </c>
      <c r="N8655" s="22" t="str">
        <f t="shared" si="779"/>
        <v>GAL</v>
      </c>
      <c r="O8655" s="19">
        <v>180</v>
      </c>
    </row>
    <row r="8656" spans="2:15" x14ac:dyDescent="0.25">
      <c r="B8656" s="16" t="s">
        <v>645</v>
      </c>
      <c r="C8656" s="17" t="s">
        <v>1025</v>
      </c>
      <c r="D8656" s="17" t="s">
        <v>1401</v>
      </c>
      <c r="E8656" s="17" t="s">
        <v>1402</v>
      </c>
      <c r="F8656" s="18">
        <f>DATE(2025,8,28)</f>
        <v>45897</v>
      </c>
      <c r="G8656" s="22">
        <f t="shared" si="777"/>
        <v>8</v>
      </c>
      <c r="H8656" s="22">
        <f t="shared" si="778"/>
        <v>2025</v>
      </c>
      <c r="I8656" s="17" t="s">
        <v>4</v>
      </c>
      <c r="J8656" s="17" t="s">
        <v>9101</v>
      </c>
      <c r="K8656" s="17" t="s">
        <v>4772</v>
      </c>
      <c r="L8656" s="17" t="s">
        <v>4773</v>
      </c>
      <c r="M8656" s="17" t="s">
        <v>4774</v>
      </c>
      <c r="N8656" s="22" t="str">
        <f t="shared" si="779"/>
        <v>GAL</v>
      </c>
      <c r="O8656" s="19">
        <v>360</v>
      </c>
    </row>
    <row r="8657" spans="2:15" x14ac:dyDescent="0.25">
      <c r="B8657" s="16" t="s">
        <v>645</v>
      </c>
      <c r="C8657" s="17" t="s">
        <v>1025</v>
      </c>
      <c r="D8657" s="17" t="s">
        <v>1401</v>
      </c>
      <c r="E8657" s="17" t="s">
        <v>1402</v>
      </c>
      <c r="F8657" s="18">
        <f>DATE(2025,8,28)</f>
        <v>45897</v>
      </c>
      <c r="G8657" s="22">
        <f t="shared" si="777"/>
        <v>8</v>
      </c>
      <c r="H8657" s="22">
        <f t="shared" si="778"/>
        <v>2025</v>
      </c>
      <c r="I8657" s="17" t="s">
        <v>4</v>
      </c>
      <c r="J8657" s="17" t="s">
        <v>9102</v>
      </c>
      <c r="K8657" s="17" t="s">
        <v>642</v>
      </c>
      <c r="L8657" s="17" t="s">
        <v>111</v>
      </c>
      <c r="M8657" s="17" t="s">
        <v>112</v>
      </c>
      <c r="N8657" s="22" t="str">
        <f t="shared" si="779"/>
        <v>GAL</v>
      </c>
      <c r="O8657" s="19">
        <v>180</v>
      </c>
    </row>
    <row r="8658" spans="2:15" x14ac:dyDescent="0.25">
      <c r="B8658" s="16" t="s">
        <v>1410</v>
      </c>
      <c r="C8658" s="17" t="s">
        <v>525</v>
      </c>
      <c r="D8658" s="17" t="s">
        <v>1956</v>
      </c>
      <c r="E8658" s="17" t="s">
        <v>102</v>
      </c>
      <c r="F8658" s="18">
        <f>DATE(2025,8,5)</f>
        <v>45874</v>
      </c>
      <c r="G8658" s="22">
        <f t="shared" si="777"/>
        <v>8</v>
      </c>
      <c r="H8658" s="22">
        <f t="shared" si="778"/>
        <v>2025</v>
      </c>
      <c r="I8658" s="17" t="s">
        <v>4</v>
      </c>
      <c r="J8658" s="17" t="s">
        <v>9103</v>
      </c>
      <c r="K8658" s="17" t="s">
        <v>268</v>
      </c>
      <c r="L8658" s="17" t="s">
        <v>269</v>
      </c>
      <c r="M8658" s="17" t="s">
        <v>119</v>
      </c>
      <c r="N8658" s="22" t="str">
        <f t="shared" si="779"/>
        <v>TON</v>
      </c>
      <c r="O8658" s="19">
        <v>0.15</v>
      </c>
    </row>
    <row r="8659" spans="2:15" x14ac:dyDescent="0.25">
      <c r="B8659" s="16" t="s">
        <v>1410</v>
      </c>
      <c r="C8659" s="17" t="s">
        <v>525</v>
      </c>
      <c r="D8659" s="17" t="s">
        <v>124</v>
      </c>
      <c r="E8659" s="17" t="s">
        <v>526</v>
      </c>
      <c r="F8659" s="18">
        <f>DATE(2025,8,7)</f>
        <v>45876</v>
      </c>
      <c r="G8659" s="22">
        <f t="shared" si="777"/>
        <v>8</v>
      </c>
      <c r="H8659" s="22">
        <f t="shared" si="778"/>
        <v>2025</v>
      </c>
      <c r="I8659" s="17" t="s">
        <v>4</v>
      </c>
      <c r="J8659" s="17" t="s">
        <v>9104</v>
      </c>
      <c r="K8659" s="17" t="s">
        <v>8726</v>
      </c>
      <c r="L8659" s="17" t="s">
        <v>8727</v>
      </c>
      <c r="M8659" s="17" t="s">
        <v>119</v>
      </c>
      <c r="N8659" s="22" t="str">
        <f t="shared" si="779"/>
        <v>TON</v>
      </c>
      <c r="O8659" s="19">
        <v>5.5</v>
      </c>
    </row>
    <row r="8660" spans="2:15" x14ac:dyDescent="0.25">
      <c r="B8660" s="16" t="s">
        <v>1410</v>
      </c>
      <c r="C8660" s="17" t="s">
        <v>525</v>
      </c>
      <c r="D8660" s="17" t="s">
        <v>507</v>
      </c>
      <c r="E8660" s="17" t="s">
        <v>141</v>
      </c>
      <c r="F8660" s="18">
        <f>DATE(2025,8,8)</f>
        <v>45877</v>
      </c>
      <c r="G8660" s="22">
        <f t="shared" si="777"/>
        <v>8</v>
      </c>
      <c r="H8660" s="22">
        <f t="shared" si="778"/>
        <v>2025</v>
      </c>
      <c r="I8660" s="17" t="s">
        <v>4</v>
      </c>
      <c r="J8660" s="17" t="s">
        <v>9105</v>
      </c>
      <c r="K8660" s="17" t="s">
        <v>513</v>
      </c>
      <c r="L8660" s="17" t="s">
        <v>514</v>
      </c>
      <c r="M8660" s="17" t="s">
        <v>119</v>
      </c>
      <c r="N8660" s="22" t="str">
        <f t="shared" si="779"/>
        <v>TON</v>
      </c>
      <c r="O8660" s="19">
        <v>1.25</v>
      </c>
    </row>
    <row r="8661" spans="2:15" x14ac:dyDescent="0.25">
      <c r="B8661" s="16" t="s">
        <v>1410</v>
      </c>
      <c r="C8661" s="17" t="s">
        <v>525</v>
      </c>
      <c r="D8661" s="17" t="s">
        <v>124</v>
      </c>
      <c r="E8661" s="17" t="s">
        <v>526</v>
      </c>
      <c r="F8661" s="18">
        <f>DATE(2025,8,8)</f>
        <v>45877</v>
      </c>
      <c r="G8661" s="22">
        <f t="shared" si="777"/>
        <v>8</v>
      </c>
      <c r="H8661" s="22">
        <f t="shared" si="778"/>
        <v>2025</v>
      </c>
      <c r="I8661" s="17" t="s">
        <v>4</v>
      </c>
      <c r="J8661" s="17" t="s">
        <v>9106</v>
      </c>
      <c r="K8661" s="17" t="s">
        <v>1031</v>
      </c>
      <c r="L8661" s="17" t="s">
        <v>1032</v>
      </c>
      <c r="M8661" s="17" t="s">
        <v>119</v>
      </c>
      <c r="N8661" s="22" t="str">
        <f t="shared" si="779"/>
        <v>TON</v>
      </c>
      <c r="O8661" s="19">
        <v>3.76</v>
      </c>
    </row>
    <row r="8662" spans="2:15" x14ac:dyDescent="0.25">
      <c r="B8662" s="16" t="s">
        <v>1050</v>
      </c>
      <c r="C8662" s="17" t="s">
        <v>533</v>
      </c>
      <c r="D8662" s="17" t="s">
        <v>3091</v>
      </c>
      <c r="E8662" s="17" t="s">
        <v>3092</v>
      </c>
      <c r="F8662" s="18">
        <f>DATE(2025,8,6)</f>
        <v>45875</v>
      </c>
      <c r="G8662" s="22">
        <f t="shared" si="777"/>
        <v>8</v>
      </c>
      <c r="H8662" s="22">
        <f t="shared" si="778"/>
        <v>2025</v>
      </c>
      <c r="I8662" s="17" t="s">
        <v>4</v>
      </c>
      <c r="J8662" s="17" t="s">
        <v>9107</v>
      </c>
      <c r="K8662" s="17" t="s">
        <v>25</v>
      </c>
      <c r="L8662" s="17" t="s">
        <v>541</v>
      </c>
      <c r="M8662" s="17" t="s">
        <v>27</v>
      </c>
      <c r="N8662" s="22" t="str">
        <f t="shared" si="779"/>
        <v>GAL</v>
      </c>
      <c r="O8662" s="19">
        <v>180</v>
      </c>
    </row>
    <row r="8663" spans="2:15" x14ac:dyDescent="0.25">
      <c r="B8663" s="16" t="s">
        <v>1050</v>
      </c>
      <c r="C8663" s="17" t="s">
        <v>533</v>
      </c>
      <c r="D8663" s="17" t="s">
        <v>1047</v>
      </c>
      <c r="E8663" s="17" t="s">
        <v>5441</v>
      </c>
      <c r="F8663" s="18">
        <f>DATE(2025,8,8)</f>
        <v>45877</v>
      </c>
      <c r="G8663" s="22">
        <f t="shared" si="777"/>
        <v>8</v>
      </c>
      <c r="H8663" s="22">
        <f t="shared" si="778"/>
        <v>2025</v>
      </c>
      <c r="I8663" s="17" t="s">
        <v>4</v>
      </c>
      <c r="J8663" s="17" t="s">
        <v>9108</v>
      </c>
      <c r="K8663" s="17" t="s">
        <v>2138</v>
      </c>
      <c r="L8663" s="17" t="s">
        <v>2139</v>
      </c>
      <c r="M8663" s="17" t="s">
        <v>1472</v>
      </c>
      <c r="N8663" s="22" t="str">
        <f t="shared" si="779"/>
        <v>GAL</v>
      </c>
      <c r="O8663" s="19">
        <v>250</v>
      </c>
    </row>
    <row r="8664" spans="2:15" x14ac:dyDescent="0.25">
      <c r="B8664" s="16" t="s">
        <v>1050</v>
      </c>
      <c r="C8664" s="17" t="s">
        <v>533</v>
      </c>
      <c r="D8664" s="17" t="s">
        <v>1047</v>
      </c>
      <c r="E8664" s="17" t="s">
        <v>5715</v>
      </c>
      <c r="F8664" s="18">
        <f>DATE(2025,8,12)</f>
        <v>45881</v>
      </c>
      <c r="G8664" s="22">
        <f t="shared" si="777"/>
        <v>8</v>
      </c>
      <c r="H8664" s="22">
        <f t="shared" si="778"/>
        <v>2025</v>
      </c>
      <c r="I8664" s="17" t="s">
        <v>4</v>
      </c>
      <c r="J8664" s="17" t="s">
        <v>9109</v>
      </c>
      <c r="K8664" s="17" t="s">
        <v>2530</v>
      </c>
      <c r="L8664" s="17" t="s">
        <v>2531</v>
      </c>
      <c r="M8664" s="17" t="s">
        <v>2532</v>
      </c>
      <c r="N8664" s="22" t="str">
        <f t="shared" si="779"/>
        <v>GAL</v>
      </c>
      <c r="O8664" s="19">
        <v>10</v>
      </c>
    </row>
    <row r="8665" spans="2:15" x14ac:dyDescent="0.25">
      <c r="B8665" s="16" t="s">
        <v>1050</v>
      </c>
      <c r="C8665" s="17" t="s">
        <v>533</v>
      </c>
      <c r="D8665" s="17" t="s">
        <v>1047</v>
      </c>
      <c r="E8665" s="17" t="s">
        <v>5715</v>
      </c>
      <c r="F8665" s="18">
        <f>DATE(2025,8,12)</f>
        <v>45881</v>
      </c>
      <c r="G8665" s="22">
        <f t="shared" si="777"/>
        <v>8</v>
      </c>
      <c r="H8665" s="22">
        <f t="shared" si="778"/>
        <v>2025</v>
      </c>
      <c r="I8665" s="17" t="s">
        <v>4</v>
      </c>
      <c r="J8665" s="17" t="s">
        <v>9109</v>
      </c>
      <c r="K8665" s="17" t="s">
        <v>2556</v>
      </c>
      <c r="L8665" s="17" t="s">
        <v>2557</v>
      </c>
      <c r="M8665" s="17" t="s">
        <v>5714</v>
      </c>
      <c r="N8665" s="22" t="str">
        <f t="shared" si="779"/>
        <v>GAL</v>
      </c>
      <c r="O8665" s="19">
        <v>15</v>
      </c>
    </row>
    <row r="8666" spans="2:15" x14ac:dyDescent="0.25">
      <c r="B8666" s="16" t="s">
        <v>3238</v>
      </c>
      <c r="C8666" s="17" t="s">
        <v>533</v>
      </c>
      <c r="D8666" s="17" t="s">
        <v>562</v>
      </c>
      <c r="E8666" s="17" t="s">
        <v>563</v>
      </c>
      <c r="F8666" s="18">
        <f>DATE(2025,8,15)</f>
        <v>45884</v>
      </c>
      <c r="G8666" s="22">
        <f t="shared" si="777"/>
        <v>8</v>
      </c>
      <c r="H8666" s="22">
        <f t="shared" si="778"/>
        <v>2025</v>
      </c>
      <c r="I8666" s="17" t="s">
        <v>4</v>
      </c>
      <c r="J8666" s="17" t="s">
        <v>9110</v>
      </c>
      <c r="K8666" s="17" t="s">
        <v>2120</v>
      </c>
      <c r="L8666" s="17" t="s">
        <v>2121</v>
      </c>
      <c r="M8666" s="17" t="s">
        <v>85</v>
      </c>
      <c r="N8666" s="22" t="str">
        <f t="shared" si="779"/>
        <v>GAL</v>
      </c>
      <c r="O8666" s="19">
        <v>90</v>
      </c>
    </row>
    <row r="8667" spans="2:15" x14ac:dyDescent="0.25">
      <c r="B8667" s="16" t="s">
        <v>3238</v>
      </c>
      <c r="C8667" s="17" t="s">
        <v>533</v>
      </c>
      <c r="D8667" s="17" t="s">
        <v>562</v>
      </c>
      <c r="E8667" s="17" t="s">
        <v>563</v>
      </c>
      <c r="F8667" s="18">
        <f>DATE(2025,8,15)</f>
        <v>45884</v>
      </c>
      <c r="G8667" s="22">
        <f t="shared" si="777"/>
        <v>8</v>
      </c>
      <c r="H8667" s="22">
        <f t="shared" si="778"/>
        <v>2025</v>
      </c>
      <c r="I8667" s="17" t="s">
        <v>4</v>
      </c>
      <c r="J8667" s="17" t="s">
        <v>9110</v>
      </c>
      <c r="K8667" s="17" t="s">
        <v>822</v>
      </c>
      <c r="L8667" s="17" t="s">
        <v>565</v>
      </c>
      <c r="M8667" s="17" t="s">
        <v>21</v>
      </c>
      <c r="N8667" s="22" t="str">
        <f t="shared" si="779"/>
        <v>GAL</v>
      </c>
      <c r="O8667" s="19">
        <v>275</v>
      </c>
    </row>
    <row r="8668" spans="2:15" x14ac:dyDescent="0.25">
      <c r="B8668" s="16" t="s">
        <v>3238</v>
      </c>
      <c r="C8668" s="17" t="s">
        <v>533</v>
      </c>
      <c r="D8668" s="17" t="s">
        <v>562</v>
      </c>
      <c r="E8668" s="17" t="s">
        <v>563</v>
      </c>
      <c r="F8668" s="18">
        <f>DATE(2025,8,15)</f>
        <v>45884</v>
      </c>
      <c r="G8668" s="22">
        <f t="shared" si="777"/>
        <v>8</v>
      </c>
      <c r="H8668" s="22">
        <f t="shared" si="778"/>
        <v>2025</v>
      </c>
      <c r="I8668" s="17" t="s">
        <v>4</v>
      </c>
      <c r="J8668" s="17" t="s">
        <v>9110</v>
      </c>
      <c r="K8668" s="17" t="s">
        <v>19</v>
      </c>
      <c r="L8668" s="17" t="s">
        <v>565</v>
      </c>
      <c r="M8668" s="17" t="s">
        <v>21</v>
      </c>
      <c r="N8668" s="22" t="str">
        <f t="shared" si="779"/>
        <v>GAL</v>
      </c>
      <c r="O8668" s="19">
        <v>360</v>
      </c>
    </row>
    <row r="8669" spans="2:15" x14ac:dyDescent="0.25">
      <c r="B8669" s="16" t="s">
        <v>1050</v>
      </c>
      <c r="C8669" s="17" t="s">
        <v>533</v>
      </c>
      <c r="D8669" s="17" t="s">
        <v>1047</v>
      </c>
      <c r="E8669" s="17" t="s">
        <v>8735</v>
      </c>
      <c r="F8669" s="18">
        <f>DATE(2025,8,26)</f>
        <v>45895</v>
      </c>
      <c r="G8669" s="22">
        <f t="shared" si="777"/>
        <v>8</v>
      </c>
      <c r="H8669" s="22">
        <f t="shared" si="778"/>
        <v>2025</v>
      </c>
      <c r="I8669" s="17" t="s">
        <v>4</v>
      </c>
      <c r="J8669" s="17" t="s">
        <v>9111</v>
      </c>
      <c r="K8669" s="17" t="s">
        <v>1470</v>
      </c>
      <c r="L8669" s="17" t="s">
        <v>2558</v>
      </c>
      <c r="M8669" s="17" t="s">
        <v>1472</v>
      </c>
      <c r="N8669" s="22" t="str">
        <f t="shared" si="779"/>
        <v>GAL</v>
      </c>
      <c r="O8669" s="19">
        <v>15</v>
      </c>
    </row>
    <row r="8670" spans="2:15" x14ac:dyDescent="0.25">
      <c r="B8670" s="16" t="s">
        <v>3238</v>
      </c>
      <c r="C8670" s="17" t="s">
        <v>3239</v>
      </c>
      <c r="D8670" s="17" t="s">
        <v>3240</v>
      </c>
      <c r="E8670" s="17" t="s">
        <v>9112</v>
      </c>
      <c r="F8670" s="18">
        <f>DATE(2025,8,4)</f>
        <v>45873</v>
      </c>
      <c r="G8670" s="22">
        <f t="shared" si="777"/>
        <v>8</v>
      </c>
      <c r="H8670" s="22">
        <f t="shared" si="778"/>
        <v>2025</v>
      </c>
      <c r="I8670" s="17" t="s">
        <v>4</v>
      </c>
      <c r="J8670" s="17" t="s">
        <v>9113</v>
      </c>
      <c r="K8670" s="17" t="s">
        <v>3947</v>
      </c>
      <c r="L8670" s="17" t="s">
        <v>5978</v>
      </c>
      <c r="M8670" s="17" t="s">
        <v>3299</v>
      </c>
      <c r="N8670" s="22" t="str">
        <f t="shared" si="779"/>
        <v>GAL</v>
      </c>
      <c r="O8670" s="19">
        <v>250</v>
      </c>
    </row>
    <row r="8671" spans="2:15" x14ac:dyDescent="0.25">
      <c r="B8671" s="16" t="s">
        <v>3238</v>
      </c>
      <c r="C8671" s="17" t="s">
        <v>3239</v>
      </c>
      <c r="D8671" s="17" t="s">
        <v>3240</v>
      </c>
      <c r="E8671" s="17" t="s">
        <v>3407</v>
      </c>
      <c r="F8671" s="18">
        <f t="shared" ref="F8671:F8683" si="780">DATE(2025,8,5)</f>
        <v>45874</v>
      </c>
      <c r="G8671" s="22">
        <f t="shared" si="777"/>
        <v>8</v>
      </c>
      <c r="H8671" s="22">
        <f t="shared" si="778"/>
        <v>2025</v>
      </c>
      <c r="I8671" s="17" t="s">
        <v>4</v>
      </c>
      <c r="J8671" s="17" t="s">
        <v>9114</v>
      </c>
      <c r="K8671" s="17" t="s">
        <v>3531</v>
      </c>
      <c r="L8671" s="17" t="s">
        <v>6380</v>
      </c>
      <c r="M8671" s="17" t="s">
        <v>41</v>
      </c>
      <c r="N8671" s="22" t="str">
        <f t="shared" si="779"/>
        <v>GAL</v>
      </c>
      <c r="O8671" s="19">
        <v>250</v>
      </c>
    </row>
    <row r="8672" spans="2:15" x14ac:dyDescent="0.25">
      <c r="B8672" s="16" t="s">
        <v>3238</v>
      </c>
      <c r="C8672" s="17" t="s">
        <v>3239</v>
      </c>
      <c r="D8672" s="17" t="s">
        <v>3240</v>
      </c>
      <c r="E8672" s="17" t="s">
        <v>102</v>
      </c>
      <c r="F8672" s="18">
        <f t="shared" si="780"/>
        <v>45874</v>
      </c>
      <c r="G8672" s="22">
        <f t="shared" si="777"/>
        <v>8</v>
      </c>
      <c r="H8672" s="22">
        <f t="shared" si="778"/>
        <v>2025</v>
      </c>
      <c r="I8672" s="17" t="s">
        <v>4</v>
      </c>
      <c r="J8672" s="17" t="s">
        <v>9115</v>
      </c>
      <c r="K8672" s="17" t="s">
        <v>9116</v>
      </c>
      <c r="L8672" s="17" t="s">
        <v>3250</v>
      </c>
      <c r="M8672" s="17" t="s">
        <v>3251</v>
      </c>
      <c r="N8672" s="22" t="str">
        <f t="shared" si="779"/>
        <v>GAL</v>
      </c>
      <c r="O8672" s="19">
        <v>55</v>
      </c>
    </row>
    <row r="8673" spans="2:15" x14ac:dyDescent="0.25">
      <c r="B8673" s="16" t="s">
        <v>3238</v>
      </c>
      <c r="C8673" s="17" t="s">
        <v>3239</v>
      </c>
      <c r="D8673" s="17" t="s">
        <v>3240</v>
      </c>
      <c r="E8673" s="17" t="s">
        <v>102</v>
      </c>
      <c r="F8673" s="18">
        <f t="shared" si="780"/>
        <v>45874</v>
      </c>
      <c r="G8673" s="22">
        <f t="shared" si="777"/>
        <v>8</v>
      </c>
      <c r="H8673" s="22">
        <f t="shared" si="778"/>
        <v>2025</v>
      </c>
      <c r="I8673" s="17" t="s">
        <v>4</v>
      </c>
      <c r="J8673" s="17" t="s">
        <v>9117</v>
      </c>
      <c r="K8673" s="17" t="s">
        <v>4284</v>
      </c>
      <c r="L8673" s="17" t="s">
        <v>3915</v>
      </c>
      <c r="M8673" s="17" t="s">
        <v>3916</v>
      </c>
      <c r="N8673" s="22" t="str">
        <f t="shared" si="779"/>
        <v>GAL</v>
      </c>
      <c r="O8673" s="19">
        <v>55</v>
      </c>
    </row>
    <row r="8674" spans="2:15" x14ac:dyDescent="0.25">
      <c r="B8674" s="16" t="s">
        <v>3238</v>
      </c>
      <c r="C8674" s="17" t="s">
        <v>3239</v>
      </c>
      <c r="D8674" s="17" t="s">
        <v>3240</v>
      </c>
      <c r="E8674" s="17" t="s">
        <v>102</v>
      </c>
      <c r="F8674" s="18">
        <f t="shared" si="780"/>
        <v>45874</v>
      </c>
      <c r="G8674" s="22">
        <f t="shared" si="777"/>
        <v>8</v>
      </c>
      <c r="H8674" s="22">
        <f t="shared" si="778"/>
        <v>2025</v>
      </c>
      <c r="I8674" s="17" t="s">
        <v>4</v>
      </c>
      <c r="J8674" s="17" t="s">
        <v>9118</v>
      </c>
      <c r="K8674" s="17" t="s">
        <v>3249</v>
      </c>
      <c r="L8674" s="17" t="s">
        <v>3250</v>
      </c>
      <c r="M8674" s="17" t="s">
        <v>3251</v>
      </c>
      <c r="N8674" s="22" t="str">
        <f t="shared" si="779"/>
        <v>GAL</v>
      </c>
      <c r="O8674" s="19">
        <v>90</v>
      </c>
    </row>
    <row r="8675" spans="2:15" x14ac:dyDescent="0.25">
      <c r="B8675" s="16" t="s">
        <v>3238</v>
      </c>
      <c r="C8675" s="17" t="s">
        <v>3239</v>
      </c>
      <c r="D8675" s="17" t="s">
        <v>3240</v>
      </c>
      <c r="E8675" s="17" t="s">
        <v>102</v>
      </c>
      <c r="F8675" s="18">
        <f t="shared" si="780"/>
        <v>45874</v>
      </c>
      <c r="G8675" s="22">
        <f t="shared" si="777"/>
        <v>8</v>
      </c>
      <c r="H8675" s="22">
        <f t="shared" si="778"/>
        <v>2025</v>
      </c>
      <c r="I8675" s="17" t="s">
        <v>4</v>
      </c>
      <c r="J8675" s="17" t="s">
        <v>9118</v>
      </c>
      <c r="K8675" s="17" t="s">
        <v>3941</v>
      </c>
      <c r="L8675" s="17" t="s">
        <v>3911</v>
      </c>
      <c r="M8675" s="17" t="s">
        <v>2100</v>
      </c>
      <c r="N8675" s="22" t="str">
        <f t="shared" si="779"/>
        <v>GAL</v>
      </c>
      <c r="O8675" s="19">
        <v>90</v>
      </c>
    </row>
    <row r="8676" spans="2:15" x14ac:dyDescent="0.25">
      <c r="B8676" s="16" t="s">
        <v>3238</v>
      </c>
      <c r="C8676" s="17" t="s">
        <v>3239</v>
      </c>
      <c r="D8676" s="17" t="s">
        <v>534</v>
      </c>
      <c r="E8676" s="17" t="s">
        <v>535</v>
      </c>
      <c r="F8676" s="18">
        <f t="shared" si="780"/>
        <v>45874</v>
      </c>
      <c r="G8676" s="22">
        <f t="shared" si="777"/>
        <v>8</v>
      </c>
      <c r="H8676" s="22">
        <f t="shared" si="778"/>
        <v>2025</v>
      </c>
      <c r="I8676" s="17" t="s">
        <v>4</v>
      </c>
      <c r="J8676" s="17" t="s">
        <v>9119</v>
      </c>
      <c r="K8676" s="17" t="s">
        <v>2548</v>
      </c>
      <c r="L8676" s="17" t="s">
        <v>5951</v>
      </c>
      <c r="M8676" s="17" t="s">
        <v>24</v>
      </c>
      <c r="N8676" s="22" t="str">
        <f t="shared" si="779"/>
        <v>GAL</v>
      </c>
      <c r="O8676" s="19">
        <v>250</v>
      </c>
    </row>
    <row r="8677" spans="2:15" x14ac:dyDescent="0.25">
      <c r="B8677" s="16" t="s">
        <v>3238</v>
      </c>
      <c r="C8677" s="17" t="s">
        <v>3239</v>
      </c>
      <c r="D8677" s="17" t="s">
        <v>534</v>
      </c>
      <c r="E8677" s="17" t="s">
        <v>535</v>
      </c>
      <c r="F8677" s="18">
        <f t="shared" si="780"/>
        <v>45874</v>
      </c>
      <c r="G8677" s="22">
        <f t="shared" si="777"/>
        <v>8</v>
      </c>
      <c r="H8677" s="22">
        <f t="shared" si="778"/>
        <v>2025</v>
      </c>
      <c r="I8677" s="17" t="s">
        <v>4</v>
      </c>
      <c r="J8677" s="17" t="s">
        <v>9119</v>
      </c>
      <c r="K8677" s="17" t="s">
        <v>549</v>
      </c>
      <c r="L8677" s="17" t="s">
        <v>550</v>
      </c>
      <c r="M8677" s="17" t="s">
        <v>52</v>
      </c>
      <c r="N8677" s="22" t="str">
        <f t="shared" si="779"/>
        <v>GAL</v>
      </c>
      <c r="O8677" s="19">
        <v>55</v>
      </c>
    </row>
    <row r="8678" spans="2:15" x14ac:dyDescent="0.25">
      <c r="B8678" s="16" t="s">
        <v>3238</v>
      </c>
      <c r="C8678" s="17" t="s">
        <v>3239</v>
      </c>
      <c r="D8678" s="17" t="s">
        <v>534</v>
      </c>
      <c r="E8678" s="17" t="s">
        <v>535</v>
      </c>
      <c r="F8678" s="18">
        <f t="shared" si="780"/>
        <v>45874</v>
      </c>
      <c r="G8678" s="22">
        <f t="shared" si="777"/>
        <v>8</v>
      </c>
      <c r="H8678" s="22">
        <f t="shared" si="778"/>
        <v>2025</v>
      </c>
      <c r="I8678" s="17" t="s">
        <v>4</v>
      </c>
      <c r="J8678" s="17" t="s">
        <v>9119</v>
      </c>
      <c r="K8678" s="17" t="s">
        <v>548</v>
      </c>
      <c r="L8678" s="17" t="s">
        <v>518</v>
      </c>
      <c r="M8678" s="17" t="s">
        <v>85</v>
      </c>
      <c r="N8678" s="22" t="str">
        <f t="shared" si="779"/>
        <v>GAL</v>
      </c>
      <c r="O8678" s="19">
        <v>250</v>
      </c>
    </row>
    <row r="8679" spans="2:15" x14ac:dyDescent="0.25">
      <c r="B8679" s="16" t="s">
        <v>3238</v>
      </c>
      <c r="C8679" s="17" t="s">
        <v>3239</v>
      </c>
      <c r="D8679" s="17" t="s">
        <v>534</v>
      </c>
      <c r="E8679" s="17" t="s">
        <v>535</v>
      </c>
      <c r="F8679" s="18">
        <f t="shared" si="780"/>
        <v>45874</v>
      </c>
      <c r="G8679" s="22">
        <f t="shared" si="777"/>
        <v>8</v>
      </c>
      <c r="H8679" s="22">
        <f t="shared" si="778"/>
        <v>2025</v>
      </c>
      <c r="I8679" s="17" t="s">
        <v>4</v>
      </c>
      <c r="J8679" s="17" t="s">
        <v>9119</v>
      </c>
      <c r="K8679" s="17" t="s">
        <v>546</v>
      </c>
      <c r="L8679" s="17" t="s">
        <v>547</v>
      </c>
      <c r="M8679" s="17" t="s">
        <v>160</v>
      </c>
      <c r="N8679" s="22" t="str">
        <f t="shared" si="779"/>
        <v>GAL</v>
      </c>
      <c r="O8679" s="19">
        <v>55</v>
      </c>
    </row>
    <row r="8680" spans="2:15" x14ac:dyDescent="0.25">
      <c r="B8680" s="16" t="s">
        <v>3238</v>
      </c>
      <c r="C8680" s="17" t="s">
        <v>3239</v>
      </c>
      <c r="D8680" s="17" t="s">
        <v>534</v>
      </c>
      <c r="E8680" s="17" t="s">
        <v>535</v>
      </c>
      <c r="F8680" s="18">
        <f t="shared" si="780"/>
        <v>45874</v>
      </c>
      <c r="G8680" s="22">
        <f t="shared" si="777"/>
        <v>8</v>
      </c>
      <c r="H8680" s="22">
        <f t="shared" si="778"/>
        <v>2025</v>
      </c>
      <c r="I8680" s="17" t="s">
        <v>4</v>
      </c>
      <c r="J8680" s="17" t="s">
        <v>9119</v>
      </c>
      <c r="K8680" s="17" t="s">
        <v>544</v>
      </c>
      <c r="L8680" s="17" t="s">
        <v>545</v>
      </c>
      <c r="M8680" s="17" t="s">
        <v>67</v>
      </c>
      <c r="N8680" s="22" t="str">
        <f t="shared" si="779"/>
        <v>GAL</v>
      </c>
      <c r="O8680" s="19">
        <v>55</v>
      </c>
    </row>
    <row r="8681" spans="2:15" x14ac:dyDescent="0.25">
      <c r="B8681" s="16" t="s">
        <v>3238</v>
      </c>
      <c r="C8681" s="17" t="s">
        <v>3239</v>
      </c>
      <c r="D8681" s="17" t="s">
        <v>534</v>
      </c>
      <c r="E8681" s="17" t="s">
        <v>535</v>
      </c>
      <c r="F8681" s="18">
        <f t="shared" si="780"/>
        <v>45874</v>
      </c>
      <c r="G8681" s="22">
        <f t="shared" si="777"/>
        <v>8</v>
      </c>
      <c r="H8681" s="22">
        <f t="shared" si="778"/>
        <v>2025</v>
      </c>
      <c r="I8681" s="17" t="s">
        <v>4</v>
      </c>
      <c r="J8681" s="17" t="s">
        <v>9119</v>
      </c>
      <c r="K8681" s="17" t="s">
        <v>540</v>
      </c>
      <c r="L8681" s="17" t="s">
        <v>541</v>
      </c>
      <c r="M8681" s="17" t="s">
        <v>27</v>
      </c>
      <c r="N8681" s="22" t="str">
        <f t="shared" si="779"/>
        <v>GAL</v>
      </c>
      <c r="O8681" s="19">
        <v>165</v>
      </c>
    </row>
    <row r="8682" spans="2:15" x14ac:dyDescent="0.25">
      <c r="B8682" s="16" t="s">
        <v>3238</v>
      </c>
      <c r="C8682" s="17" t="s">
        <v>3239</v>
      </c>
      <c r="D8682" s="17" t="s">
        <v>534</v>
      </c>
      <c r="E8682" s="17" t="s">
        <v>535</v>
      </c>
      <c r="F8682" s="18">
        <f t="shared" si="780"/>
        <v>45874</v>
      </c>
      <c r="G8682" s="22">
        <f t="shared" si="777"/>
        <v>8</v>
      </c>
      <c r="H8682" s="22">
        <f t="shared" si="778"/>
        <v>2025</v>
      </c>
      <c r="I8682" s="17" t="s">
        <v>4</v>
      </c>
      <c r="J8682" s="17" t="s">
        <v>9119</v>
      </c>
      <c r="K8682" s="17" t="s">
        <v>2539</v>
      </c>
      <c r="L8682" s="17" t="s">
        <v>150</v>
      </c>
      <c r="M8682" s="17" t="s">
        <v>21</v>
      </c>
      <c r="N8682" s="22" t="str">
        <f t="shared" si="779"/>
        <v>GAL</v>
      </c>
      <c r="O8682" s="19">
        <v>55</v>
      </c>
    </row>
    <row r="8683" spans="2:15" x14ac:dyDescent="0.25">
      <c r="B8683" s="16" t="s">
        <v>3238</v>
      </c>
      <c r="C8683" s="17" t="s">
        <v>3239</v>
      </c>
      <c r="D8683" s="17" t="s">
        <v>534</v>
      </c>
      <c r="E8683" s="17" t="s">
        <v>535</v>
      </c>
      <c r="F8683" s="18">
        <f t="shared" si="780"/>
        <v>45874</v>
      </c>
      <c r="G8683" s="22">
        <f t="shared" si="777"/>
        <v>8</v>
      </c>
      <c r="H8683" s="22">
        <f t="shared" si="778"/>
        <v>2025</v>
      </c>
      <c r="I8683" s="17" t="s">
        <v>4</v>
      </c>
      <c r="J8683" s="17" t="s">
        <v>9119</v>
      </c>
      <c r="K8683" s="17" t="s">
        <v>1780</v>
      </c>
      <c r="L8683" s="17" t="s">
        <v>1867</v>
      </c>
      <c r="M8683" s="17" t="s">
        <v>73</v>
      </c>
      <c r="N8683" s="22" t="str">
        <f t="shared" si="779"/>
        <v>GAL</v>
      </c>
      <c r="O8683" s="19">
        <v>55</v>
      </c>
    </row>
    <row r="8684" spans="2:15" x14ac:dyDescent="0.25">
      <c r="B8684" s="16" t="s">
        <v>3238</v>
      </c>
      <c r="C8684" s="17" t="s">
        <v>3239</v>
      </c>
      <c r="D8684" s="17" t="s">
        <v>3240</v>
      </c>
      <c r="E8684" s="17" t="s">
        <v>3499</v>
      </c>
      <c r="F8684" s="18">
        <f>DATE(2025,8,6)</f>
        <v>45875</v>
      </c>
      <c r="G8684" s="22">
        <f t="shared" si="777"/>
        <v>8</v>
      </c>
      <c r="H8684" s="22">
        <f t="shared" si="778"/>
        <v>2025</v>
      </c>
      <c r="I8684" s="17" t="s">
        <v>4</v>
      </c>
      <c r="J8684" s="17" t="s">
        <v>9120</v>
      </c>
      <c r="K8684" s="17" t="s">
        <v>3947</v>
      </c>
      <c r="L8684" s="17" t="s">
        <v>5978</v>
      </c>
      <c r="M8684" s="17" t="s">
        <v>3299</v>
      </c>
      <c r="N8684" s="22" t="str">
        <f t="shared" si="779"/>
        <v>GAL</v>
      </c>
      <c r="O8684" s="19">
        <v>250</v>
      </c>
    </row>
    <row r="8685" spans="2:15" x14ac:dyDescent="0.25">
      <c r="B8685" s="16" t="s">
        <v>3238</v>
      </c>
      <c r="C8685" s="17" t="s">
        <v>3239</v>
      </c>
      <c r="D8685" s="17" t="s">
        <v>3240</v>
      </c>
      <c r="E8685" s="17" t="s">
        <v>3499</v>
      </c>
      <c r="F8685" s="18">
        <f>DATE(2025,8,6)</f>
        <v>45875</v>
      </c>
      <c r="G8685" s="22">
        <f t="shared" si="777"/>
        <v>8</v>
      </c>
      <c r="H8685" s="22">
        <f t="shared" si="778"/>
        <v>2025</v>
      </c>
      <c r="I8685" s="17" t="s">
        <v>4</v>
      </c>
      <c r="J8685" s="17" t="s">
        <v>9120</v>
      </c>
      <c r="K8685" s="17" t="s">
        <v>998</v>
      </c>
      <c r="L8685" s="17" t="s">
        <v>3526</v>
      </c>
      <c r="M8685" s="17" t="s">
        <v>1000</v>
      </c>
      <c r="N8685" s="22" t="str">
        <f t="shared" si="779"/>
        <v>GAL</v>
      </c>
      <c r="O8685" s="19">
        <v>250</v>
      </c>
    </row>
    <row r="8686" spans="2:15" x14ac:dyDescent="0.25">
      <c r="B8686" s="16" t="s">
        <v>3238</v>
      </c>
      <c r="C8686" s="17" t="s">
        <v>3239</v>
      </c>
      <c r="D8686" s="17" t="s">
        <v>3240</v>
      </c>
      <c r="E8686" s="17" t="s">
        <v>102</v>
      </c>
      <c r="F8686" s="18">
        <f t="shared" ref="F8686:F8692" si="781">DATE(2025,8,8)</f>
        <v>45877</v>
      </c>
      <c r="G8686" s="22">
        <f t="shared" si="777"/>
        <v>8</v>
      </c>
      <c r="H8686" s="22">
        <f t="shared" si="778"/>
        <v>2025</v>
      </c>
      <c r="I8686" s="17" t="s">
        <v>4</v>
      </c>
      <c r="J8686" s="17" t="s">
        <v>9121</v>
      </c>
      <c r="K8686" s="17" t="s">
        <v>6146</v>
      </c>
      <c r="L8686" s="17" t="s">
        <v>9122</v>
      </c>
      <c r="M8686" s="17" t="s">
        <v>3652</v>
      </c>
      <c r="N8686" s="22" t="str">
        <f t="shared" si="779"/>
        <v>GAL</v>
      </c>
      <c r="O8686" s="19">
        <v>60</v>
      </c>
    </row>
    <row r="8687" spans="2:15" x14ac:dyDescent="0.25">
      <c r="B8687" s="16" t="s">
        <v>3238</v>
      </c>
      <c r="C8687" s="17" t="s">
        <v>3239</v>
      </c>
      <c r="D8687" s="17" t="s">
        <v>3240</v>
      </c>
      <c r="E8687" s="17" t="s">
        <v>102</v>
      </c>
      <c r="F8687" s="18">
        <f t="shared" si="781"/>
        <v>45877</v>
      </c>
      <c r="G8687" s="22">
        <f t="shared" si="777"/>
        <v>8</v>
      </c>
      <c r="H8687" s="22">
        <f t="shared" si="778"/>
        <v>2025</v>
      </c>
      <c r="I8687" s="17" t="s">
        <v>4</v>
      </c>
      <c r="J8687" s="17" t="s">
        <v>9121</v>
      </c>
      <c r="K8687" s="17" t="s">
        <v>3510</v>
      </c>
      <c r="L8687" s="17" t="s">
        <v>3400</v>
      </c>
      <c r="M8687" s="17" t="s">
        <v>3401</v>
      </c>
      <c r="N8687" s="22" t="str">
        <f t="shared" si="779"/>
        <v>GAL</v>
      </c>
      <c r="O8687" s="19">
        <v>60</v>
      </c>
    </row>
    <row r="8688" spans="2:15" x14ac:dyDescent="0.25">
      <c r="B8688" s="16" t="s">
        <v>3238</v>
      </c>
      <c r="C8688" s="17" t="s">
        <v>3239</v>
      </c>
      <c r="D8688" s="17" t="s">
        <v>3240</v>
      </c>
      <c r="E8688" s="17" t="s">
        <v>102</v>
      </c>
      <c r="F8688" s="18">
        <f t="shared" si="781"/>
        <v>45877</v>
      </c>
      <c r="G8688" s="22">
        <f t="shared" si="777"/>
        <v>8</v>
      </c>
      <c r="H8688" s="22">
        <f t="shared" si="778"/>
        <v>2025</v>
      </c>
      <c r="I8688" s="17" t="s">
        <v>4</v>
      </c>
      <c r="J8688" s="17" t="s">
        <v>9121</v>
      </c>
      <c r="K8688" s="17" t="s">
        <v>3914</v>
      </c>
      <c r="L8688" s="17" t="s">
        <v>3915</v>
      </c>
      <c r="M8688" s="17" t="s">
        <v>3916</v>
      </c>
      <c r="N8688" s="22" t="str">
        <f t="shared" si="779"/>
        <v>GAL</v>
      </c>
      <c r="O8688" s="19">
        <v>60</v>
      </c>
    </row>
    <row r="8689" spans="2:15" x14ac:dyDescent="0.25">
      <c r="B8689" s="16" t="s">
        <v>3238</v>
      </c>
      <c r="C8689" s="17" t="s">
        <v>3239</v>
      </c>
      <c r="D8689" s="17" t="s">
        <v>3240</v>
      </c>
      <c r="E8689" s="17" t="s">
        <v>102</v>
      </c>
      <c r="F8689" s="18">
        <f t="shared" si="781"/>
        <v>45877</v>
      </c>
      <c r="G8689" s="22">
        <f t="shared" si="777"/>
        <v>8</v>
      </c>
      <c r="H8689" s="22">
        <f t="shared" si="778"/>
        <v>2025</v>
      </c>
      <c r="I8689" s="17" t="s">
        <v>4</v>
      </c>
      <c r="J8689" s="17" t="s">
        <v>9123</v>
      </c>
      <c r="K8689" s="17" t="s">
        <v>5469</v>
      </c>
      <c r="L8689" s="17" t="s">
        <v>5470</v>
      </c>
      <c r="M8689" s="17" t="s">
        <v>1046</v>
      </c>
      <c r="N8689" s="22" t="str">
        <f t="shared" si="779"/>
        <v>GAL</v>
      </c>
      <c r="O8689" s="19">
        <v>60</v>
      </c>
    </row>
    <row r="8690" spans="2:15" x14ac:dyDescent="0.25">
      <c r="B8690" s="16" t="s">
        <v>3238</v>
      </c>
      <c r="C8690" s="17" t="s">
        <v>3239</v>
      </c>
      <c r="D8690" s="17" t="s">
        <v>3240</v>
      </c>
      <c r="E8690" s="17" t="s">
        <v>102</v>
      </c>
      <c r="F8690" s="18">
        <f t="shared" si="781"/>
        <v>45877</v>
      </c>
      <c r="G8690" s="22">
        <f t="shared" si="777"/>
        <v>8</v>
      </c>
      <c r="H8690" s="22">
        <f t="shared" si="778"/>
        <v>2025</v>
      </c>
      <c r="I8690" s="17" t="s">
        <v>4</v>
      </c>
      <c r="J8690" s="17" t="s">
        <v>9123</v>
      </c>
      <c r="K8690" s="17" t="s">
        <v>5971</v>
      </c>
      <c r="L8690" s="17" t="s">
        <v>3515</v>
      </c>
      <c r="M8690" s="17" t="s">
        <v>3516</v>
      </c>
      <c r="N8690" s="22" t="str">
        <f t="shared" si="779"/>
        <v>GAL</v>
      </c>
      <c r="O8690" s="19">
        <v>60</v>
      </c>
    </row>
    <row r="8691" spans="2:15" x14ac:dyDescent="0.25">
      <c r="B8691" s="16" t="s">
        <v>3238</v>
      </c>
      <c r="C8691" s="17" t="s">
        <v>3239</v>
      </c>
      <c r="D8691" s="17" t="s">
        <v>3240</v>
      </c>
      <c r="E8691" s="17" t="s">
        <v>102</v>
      </c>
      <c r="F8691" s="18">
        <f t="shared" si="781"/>
        <v>45877</v>
      </c>
      <c r="G8691" s="22">
        <f t="shared" si="777"/>
        <v>8</v>
      </c>
      <c r="H8691" s="22">
        <f t="shared" si="778"/>
        <v>2025</v>
      </c>
      <c r="I8691" s="17" t="s">
        <v>4</v>
      </c>
      <c r="J8691" s="17" t="s">
        <v>9123</v>
      </c>
      <c r="K8691" s="17" t="s">
        <v>1502</v>
      </c>
      <c r="L8691" s="17" t="s">
        <v>8753</v>
      </c>
      <c r="M8691" s="17" t="s">
        <v>8</v>
      </c>
      <c r="N8691" s="22" t="str">
        <f t="shared" si="779"/>
        <v>GAL</v>
      </c>
      <c r="O8691" s="19">
        <v>60</v>
      </c>
    </row>
    <row r="8692" spans="2:15" x14ac:dyDescent="0.25">
      <c r="B8692" s="16" t="s">
        <v>3238</v>
      </c>
      <c r="C8692" s="17" t="s">
        <v>3239</v>
      </c>
      <c r="D8692" s="17" t="s">
        <v>3240</v>
      </c>
      <c r="E8692" s="17" t="s">
        <v>102</v>
      </c>
      <c r="F8692" s="18">
        <f t="shared" si="781"/>
        <v>45877</v>
      </c>
      <c r="G8692" s="22">
        <f t="shared" si="777"/>
        <v>8</v>
      </c>
      <c r="H8692" s="22">
        <f t="shared" si="778"/>
        <v>2025</v>
      </c>
      <c r="I8692" s="17" t="s">
        <v>4</v>
      </c>
      <c r="J8692" s="17" t="s">
        <v>9124</v>
      </c>
      <c r="K8692" s="17" t="s">
        <v>9125</v>
      </c>
      <c r="L8692" s="17" t="s">
        <v>5995</v>
      </c>
      <c r="M8692" s="17" t="s">
        <v>5996</v>
      </c>
      <c r="N8692" s="22" t="str">
        <f t="shared" si="779"/>
        <v>GAL</v>
      </c>
      <c r="O8692" s="19">
        <v>55</v>
      </c>
    </row>
    <row r="8693" spans="2:15" x14ac:dyDescent="0.25">
      <c r="B8693" s="16" t="s">
        <v>3238</v>
      </c>
      <c r="C8693" s="17" t="s">
        <v>3239</v>
      </c>
      <c r="D8693" s="17" t="s">
        <v>3240</v>
      </c>
      <c r="E8693" s="17" t="s">
        <v>102</v>
      </c>
      <c r="F8693" s="18">
        <f t="shared" ref="F8693:F8698" si="782">DATE(2025,8,11)</f>
        <v>45880</v>
      </c>
      <c r="G8693" s="22">
        <f t="shared" si="777"/>
        <v>8</v>
      </c>
      <c r="H8693" s="22">
        <f t="shared" si="778"/>
        <v>2025</v>
      </c>
      <c r="I8693" s="17" t="s">
        <v>4</v>
      </c>
      <c r="J8693" s="17" t="s">
        <v>9126</v>
      </c>
      <c r="K8693" s="17" t="s">
        <v>2098</v>
      </c>
      <c r="L8693" s="17" t="s">
        <v>9127</v>
      </c>
      <c r="M8693" s="17" t="s">
        <v>2100</v>
      </c>
      <c r="N8693" s="22" t="str">
        <f t="shared" si="779"/>
        <v>GAL</v>
      </c>
      <c r="O8693" s="19">
        <v>60</v>
      </c>
    </row>
    <row r="8694" spans="2:15" x14ac:dyDescent="0.25">
      <c r="B8694" s="16" t="s">
        <v>3238</v>
      </c>
      <c r="C8694" s="17" t="s">
        <v>3239</v>
      </c>
      <c r="D8694" s="17" t="s">
        <v>3240</v>
      </c>
      <c r="E8694" s="17" t="s">
        <v>102</v>
      </c>
      <c r="F8694" s="18">
        <f t="shared" si="782"/>
        <v>45880</v>
      </c>
      <c r="G8694" s="22">
        <f t="shared" si="777"/>
        <v>8</v>
      </c>
      <c r="H8694" s="22">
        <f t="shared" si="778"/>
        <v>2025</v>
      </c>
      <c r="I8694" s="17" t="s">
        <v>4</v>
      </c>
      <c r="J8694" s="17" t="s">
        <v>9126</v>
      </c>
      <c r="K8694" s="17" t="s">
        <v>50</v>
      </c>
      <c r="L8694" s="17" t="s">
        <v>9128</v>
      </c>
      <c r="M8694" s="17" t="s">
        <v>52</v>
      </c>
      <c r="N8694" s="22" t="str">
        <f t="shared" si="779"/>
        <v>GAL</v>
      </c>
      <c r="O8694" s="19">
        <v>60</v>
      </c>
    </row>
    <row r="8695" spans="2:15" x14ac:dyDescent="0.25">
      <c r="B8695" s="16" t="s">
        <v>3238</v>
      </c>
      <c r="C8695" s="17" t="s">
        <v>3239</v>
      </c>
      <c r="D8695" s="17" t="s">
        <v>3240</v>
      </c>
      <c r="E8695" s="17" t="s">
        <v>102</v>
      </c>
      <c r="F8695" s="18">
        <f t="shared" si="782"/>
        <v>45880</v>
      </c>
      <c r="G8695" s="22">
        <f t="shared" si="777"/>
        <v>8</v>
      </c>
      <c r="H8695" s="22">
        <f t="shared" si="778"/>
        <v>2025</v>
      </c>
      <c r="I8695" s="17" t="s">
        <v>4</v>
      </c>
      <c r="J8695" s="17" t="s">
        <v>9126</v>
      </c>
      <c r="K8695" s="17" t="s">
        <v>3521</v>
      </c>
      <c r="L8695" s="17" t="s">
        <v>3498</v>
      </c>
      <c r="M8695" s="17" t="s">
        <v>556</v>
      </c>
      <c r="N8695" s="22" t="str">
        <f t="shared" si="779"/>
        <v>GAL</v>
      </c>
      <c r="O8695" s="19">
        <v>60</v>
      </c>
    </row>
    <row r="8696" spans="2:15" x14ac:dyDescent="0.25">
      <c r="B8696" s="16" t="s">
        <v>3238</v>
      </c>
      <c r="C8696" s="17" t="s">
        <v>3239</v>
      </c>
      <c r="D8696" s="17" t="s">
        <v>3240</v>
      </c>
      <c r="E8696" s="17" t="s">
        <v>8747</v>
      </c>
      <c r="F8696" s="18">
        <f t="shared" si="782"/>
        <v>45880</v>
      </c>
      <c r="G8696" s="22">
        <f t="shared" si="777"/>
        <v>8</v>
      </c>
      <c r="H8696" s="22">
        <f t="shared" si="778"/>
        <v>2025</v>
      </c>
      <c r="I8696" s="17" t="s">
        <v>4</v>
      </c>
      <c r="J8696" s="17" t="s">
        <v>9129</v>
      </c>
      <c r="K8696" s="17" t="s">
        <v>9130</v>
      </c>
      <c r="L8696" s="17" t="s">
        <v>94</v>
      </c>
      <c r="M8696" s="17" t="s">
        <v>95</v>
      </c>
      <c r="N8696" s="22" t="str">
        <f t="shared" si="779"/>
        <v>GAL</v>
      </c>
      <c r="O8696" s="19">
        <v>110</v>
      </c>
    </row>
    <row r="8697" spans="2:15" x14ac:dyDescent="0.25">
      <c r="B8697" s="16" t="s">
        <v>3238</v>
      </c>
      <c r="C8697" s="17" t="s">
        <v>3239</v>
      </c>
      <c r="D8697" s="17" t="s">
        <v>3240</v>
      </c>
      <c r="E8697" s="17" t="s">
        <v>3908</v>
      </c>
      <c r="F8697" s="18">
        <f t="shared" si="782"/>
        <v>45880</v>
      </c>
      <c r="G8697" s="22">
        <f t="shared" si="777"/>
        <v>8</v>
      </c>
      <c r="H8697" s="22">
        <f t="shared" si="778"/>
        <v>2025</v>
      </c>
      <c r="I8697" s="17" t="s">
        <v>4</v>
      </c>
      <c r="J8697" s="17" t="s">
        <v>9131</v>
      </c>
      <c r="K8697" s="17" t="s">
        <v>3399</v>
      </c>
      <c r="L8697" s="17" t="s">
        <v>3400</v>
      </c>
      <c r="M8697" s="17" t="s">
        <v>3401</v>
      </c>
      <c r="N8697" s="22" t="str">
        <f t="shared" si="779"/>
        <v>GAL</v>
      </c>
      <c r="O8697" s="19">
        <v>250</v>
      </c>
    </row>
    <row r="8698" spans="2:15" x14ac:dyDescent="0.25">
      <c r="B8698" s="16" t="s">
        <v>3238</v>
      </c>
      <c r="C8698" s="17" t="s">
        <v>3239</v>
      </c>
      <c r="D8698" s="17" t="s">
        <v>3240</v>
      </c>
      <c r="E8698" s="17" t="s">
        <v>3908</v>
      </c>
      <c r="F8698" s="18">
        <f t="shared" si="782"/>
        <v>45880</v>
      </c>
      <c r="G8698" s="22">
        <f t="shared" ref="G8698:G8761" si="783">+MONTH(F8698)</f>
        <v>8</v>
      </c>
      <c r="H8698" s="22">
        <f t="shared" ref="H8698:H8761" si="784">+YEAR(F8698)</f>
        <v>2025</v>
      </c>
      <c r="I8698" s="17" t="s">
        <v>4</v>
      </c>
      <c r="J8698" s="17" t="s">
        <v>9131</v>
      </c>
      <c r="K8698" s="17" t="s">
        <v>842</v>
      </c>
      <c r="L8698" s="17" t="s">
        <v>843</v>
      </c>
      <c r="M8698" s="17" t="s">
        <v>844</v>
      </c>
      <c r="N8698" s="22" t="str">
        <f t="shared" ref="N8698:N8761" si="785">+LEFT(M8698,3)</f>
        <v>GAL</v>
      </c>
      <c r="O8698" s="19">
        <v>250</v>
      </c>
    </row>
    <row r="8699" spans="2:15" x14ac:dyDescent="0.25">
      <c r="B8699" s="16" t="s">
        <v>3238</v>
      </c>
      <c r="C8699" s="17" t="s">
        <v>3239</v>
      </c>
      <c r="D8699" s="17" t="s">
        <v>3240</v>
      </c>
      <c r="E8699" s="17" t="s">
        <v>102</v>
      </c>
      <c r="F8699" s="18">
        <f>DATE(2025,8,13)</f>
        <v>45882</v>
      </c>
      <c r="G8699" s="22">
        <f t="shared" si="783"/>
        <v>8</v>
      </c>
      <c r="H8699" s="22">
        <f t="shared" si="784"/>
        <v>2025</v>
      </c>
      <c r="I8699" s="17" t="s">
        <v>4</v>
      </c>
      <c r="J8699" s="17" t="s">
        <v>9132</v>
      </c>
      <c r="K8699" s="17" t="s">
        <v>3249</v>
      </c>
      <c r="L8699" s="17" t="s">
        <v>3250</v>
      </c>
      <c r="M8699" s="17" t="s">
        <v>3251</v>
      </c>
      <c r="N8699" s="22" t="str">
        <f t="shared" si="785"/>
        <v>GAL</v>
      </c>
      <c r="O8699" s="19">
        <v>90</v>
      </c>
    </row>
    <row r="8700" spans="2:15" x14ac:dyDescent="0.25">
      <c r="B8700" s="16" t="s">
        <v>3238</v>
      </c>
      <c r="C8700" s="17" t="s">
        <v>3239</v>
      </c>
      <c r="D8700" s="17" t="s">
        <v>3240</v>
      </c>
      <c r="E8700" s="17" t="s">
        <v>102</v>
      </c>
      <c r="F8700" s="18">
        <f>DATE(2025,8,13)</f>
        <v>45882</v>
      </c>
      <c r="G8700" s="22">
        <f t="shared" si="783"/>
        <v>8</v>
      </c>
      <c r="H8700" s="22">
        <f t="shared" si="784"/>
        <v>2025</v>
      </c>
      <c r="I8700" s="17" t="s">
        <v>4</v>
      </c>
      <c r="J8700" s="17" t="s">
        <v>9132</v>
      </c>
      <c r="K8700" s="17" t="s">
        <v>3943</v>
      </c>
      <c r="L8700" s="17" t="s">
        <v>3405</v>
      </c>
      <c r="M8700" s="17" t="s">
        <v>3406</v>
      </c>
      <c r="N8700" s="22" t="str">
        <f t="shared" si="785"/>
        <v>GAL</v>
      </c>
      <c r="O8700" s="19">
        <v>90</v>
      </c>
    </row>
    <row r="8701" spans="2:15" x14ac:dyDescent="0.25">
      <c r="B8701" s="16" t="s">
        <v>3238</v>
      </c>
      <c r="C8701" s="17" t="s">
        <v>3239</v>
      </c>
      <c r="D8701" s="17" t="s">
        <v>3240</v>
      </c>
      <c r="E8701" s="17" t="s">
        <v>3379</v>
      </c>
      <c r="F8701" s="18">
        <f>DATE(2025,8,14)</f>
        <v>45883</v>
      </c>
      <c r="G8701" s="22">
        <f t="shared" si="783"/>
        <v>8</v>
      </c>
      <c r="H8701" s="22">
        <f t="shared" si="784"/>
        <v>2025</v>
      </c>
      <c r="I8701" s="17" t="s">
        <v>4</v>
      </c>
      <c r="J8701" s="17" t="s">
        <v>9133</v>
      </c>
      <c r="K8701" s="17" t="s">
        <v>3653</v>
      </c>
      <c r="L8701" s="17" t="s">
        <v>3654</v>
      </c>
      <c r="M8701" s="17" t="s">
        <v>1071</v>
      </c>
      <c r="N8701" s="22" t="str">
        <f t="shared" si="785"/>
        <v>GAL</v>
      </c>
      <c r="O8701" s="19">
        <v>250</v>
      </c>
    </row>
    <row r="8702" spans="2:15" x14ac:dyDescent="0.25">
      <c r="B8702" s="16" t="s">
        <v>3238</v>
      </c>
      <c r="C8702" s="17" t="s">
        <v>3239</v>
      </c>
      <c r="D8702" s="17" t="s">
        <v>3240</v>
      </c>
      <c r="E8702" s="17" t="s">
        <v>3923</v>
      </c>
      <c r="F8702" s="18">
        <f>DATE(2025,8,15)</f>
        <v>45884</v>
      </c>
      <c r="G8702" s="22">
        <f t="shared" si="783"/>
        <v>8</v>
      </c>
      <c r="H8702" s="22">
        <f t="shared" si="784"/>
        <v>2025</v>
      </c>
      <c r="I8702" s="17" t="s">
        <v>4</v>
      </c>
      <c r="J8702" s="17" t="s">
        <v>9134</v>
      </c>
      <c r="K8702" s="17" t="s">
        <v>3946</v>
      </c>
      <c r="L8702" s="17" t="s">
        <v>9135</v>
      </c>
      <c r="M8702" s="17" t="s">
        <v>917</v>
      </c>
      <c r="N8702" s="22" t="str">
        <f t="shared" si="785"/>
        <v>GAL</v>
      </c>
      <c r="O8702" s="19">
        <v>250</v>
      </c>
    </row>
    <row r="8703" spans="2:15" x14ac:dyDescent="0.25">
      <c r="B8703" s="16" t="s">
        <v>3238</v>
      </c>
      <c r="C8703" s="17" t="s">
        <v>3239</v>
      </c>
      <c r="D8703" s="17" t="s">
        <v>3240</v>
      </c>
      <c r="E8703" s="17" t="s">
        <v>6123</v>
      </c>
      <c r="F8703" s="18">
        <f>DATE(2025,8,15)</f>
        <v>45884</v>
      </c>
      <c r="G8703" s="22">
        <f t="shared" si="783"/>
        <v>8</v>
      </c>
      <c r="H8703" s="22">
        <f t="shared" si="784"/>
        <v>2025</v>
      </c>
      <c r="I8703" s="17" t="s">
        <v>4</v>
      </c>
      <c r="J8703" s="17" t="s">
        <v>9136</v>
      </c>
      <c r="K8703" s="17" t="s">
        <v>3497</v>
      </c>
      <c r="L8703" s="17" t="s">
        <v>3498</v>
      </c>
      <c r="M8703" s="17" t="s">
        <v>556</v>
      </c>
      <c r="N8703" s="22" t="str">
        <f t="shared" si="785"/>
        <v>GAL</v>
      </c>
      <c r="O8703" s="19">
        <v>250</v>
      </c>
    </row>
    <row r="8704" spans="2:15" x14ac:dyDescent="0.25">
      <c r="B8704" s="16" t="s">
        <v>3238</v>
      </c>
      <c r="C8704" s="17" t="s">
        <v>3239</v>
      </c>
      <c r="D8704" s="17" t="s">
        <v>3240</v>
      </c>
      <c r="E8704" s="17" t="s">
        <v>6123</v>
      </c>
      <c r="F8704" s="18">
        <f>DATE(2025,8,15)</f>
        <v>45884</v>
      </c>
      <c r="G8704" s="22">
        <f t="shared" si="783"/>
        <v>8</v>
      </c>
      <c r="H8704" s="22">
        <f t="shared" si="784"/>
        <v>2025</v>
      </c>
      <c r="I8704" s="17" t="s">
        <v>4</v>
      </c>
      <c r="J8704" s="17" t="s">
        <v>9136</v>
      </c>
      <c r="K8704" s="17" t="s">
        <v>3399</v>
      </c>
      <c r="L8704" s="17" t="s">
        <v>3400</v>
      </c>
      <c r="M8704" s="17" t="s">
        <v>3401</v>
      </c>
      <c r="N8704" s="22" t="str">
        <f t="shared" si="785"/>
        <v>GAL</v>
      </c>
      <c r="O8704" s="19">
        <v>250</v>
      </c>
    </row>
    <row r="8705" spans="2:15" x14ac:dyDescent="0.25">
      <c r="B8705" s="16" t="s">
        <v>3238</v>
      </c>
      <c r="C8705" s="17" t="s">
        <v>3239</v>
      </c>
      <c r="D8705" s="17" t="s">
        <v>3240</v>
      </c>
      <c r="E8705" s="17" t="s">
        <v>9137</v>
      </c>
      <c r="F8705" s="18">
        <f>DATE(2025,8,19)</f>
        <v>45888</v>
      </c>
      <c r="G8705" s="22">
        <f t="shared" si="783"/>
        <v>8</v>
      </c>
      <c r="H8705" s="22">
        <f t="shared" si="784"/>
        <v>2025</v>
      </c>
      <c r="I8705" s="17" t="s">
        <v>4</v>
      </c>
      <c r="J8705" s="17" t="s">
        <v>9138</v>
      </c>
      <c r="K8705" s="17" t="s">
        <v>8880</v>
      </c>
      <c r="L8705" s="17" t="s">
        <v>8881</v>
      </c>
      <c r="M8705" s="17" t="s">
        <v>2631</v>
      </c>
      <c r="N8705" s="22" t="str">
        <f t="shared" si="785"/>
        <v>GAL</v>
      </c>
      <c r="O8705" s="19">
        <v>275</v>
      </c>
    </row>
    <row r="8706" spans="2:15" x14ac:dyDescent="0.25">
      <c r="B8706" s="16" t="s">
        <v>3238</v>
      </c>
      <c r="C8706" s="17" t="s">
        <v>3239</v>
      </c>
      <c r="D8706" s="17" t="s">
        <v>3240</v>
      </c>
      <c r="E8706" s="17" t="s">
        <v>9137</v>
      </c>
      <c r="F8706" s="18">
        <f>DATE(2025,8,19)</f>
        <v>45888</v>
      </c>
      <c r="G8706" s="22">
        <f t="shared" si="783"/>
        <v>8</v>
      </c>
      <c r="H8706" s="22">
        <f t="shared" si="784"/>
        <v>2025</v>
      </c>
      <c r="I8706" s="17" t="s">
        <v>4</v>
      </c>
      <c r="J8706" s="17" t="s">
        <v>9138</v>
      </c>
      <c r="K8706" s="17" t="s">
        <v>3531</v>
      </c>
      <c r="L8706" s="17" t="s">
        <v>6380</v>
      </c>
      <c r="M8706" s="17" t="s">
        <v>41</v>
      </c>
      <c r="N8706" s="22" t="str">
        <f t="shared" si="785"/>
        <v>GAL</v>
      </c>
      <c r="O8706" s="19">
        <v>275</v>
      </c>
    </row>
    <row r="8707" spans="2:15" x14ac:dyDescent="0.25">
      <c r="B8707" s="16" t="s">
        <v>3238</v>
      </c>
      <c r="C8707" s="17" t="s">
        <v>3239</v>
      </c>
      <c r="D8707" s="17" t="s">
        <v>3240</v>
      </c>
      <c r="E8707" s="17" t="s">
        <v>6276</v>
      </c>
      <c r="F8707" s="18">
        <f>DATE(2025,8,20)</f>
        <v>45889</v>
      </c>
      <c r="G8707" s="22">
        <f t="shared" si="783"/>
        <v>8</v>
      </c>
      <c r="H8707" s="22">
        <f t="shared" si="784"/>
        <v>2025</v>
      </c>
      <c r="I8707" s="17" t="s">
        <v>4</v>
      </c>
      <c r="J8707" s="17" t="s">
        <v>9139</v>
      </c>
      <c r="K8707" s="17" t="s">
        <v>3395</v>
      </c>
      <c r="L8707" s="17" t="s">
        <v>3396</v>
      </c>
      <c r="M8707" s="17" t="s">
        <v>844</v>
      </c>
      <c r="N8707" s="22" t="str">
        <f t="shared" si="785"/>
        <v>GAL</v>
      </c>
      <c r="O8707" s="19">
        <v>275</v>
      </c>
    </row>
    <row r="8708" spans="2:15" x14ac:dyDescent="0.25">
      <c r="B8708" s="16" t="s">
        <v>3238</v>
      </c>
      <c r="C8708" s="17" t="s">
        <v>3239</v>
      </c>
      <c r="D8708" s="17" t="s">
        <v>3240</v>
      </c>
      <c r="E8708" s="17" t="s">
        <v>102</v>
      </c>
      <c r="F8708" s="18">
        <f>DATE(2025,8,21)</f>
        <v>45890</v>
      </c>
      <c r="G8708" s="22">
        <f t="shared" si="783"/>
        <v>8</v>
      </c>
      <c r="H8708" s="22">
        <f t="shared" si="784"/>
        <v>2025</v>
      </c>
      <c r="I8708" s="17" t="s">
        <v>4</v>
      </c>
      <c r="J8708" s="17" t="s">
        <v>9140</v>
      </c>
      <c r="K8708" s="17" t="s">
        <v>9016</v>
      </c>
      <c r="L8708" s="17" t="s">
        <v>9017</v>
      </c>
      <c r="M8708" s="17" t="s">
        <v>9018</v>
      </c>
      <c r="N8708" s="22" t="str">
        <f t="shared" si="785"/>
        <v>GAL</v>
      </c>
      <c r="O8708" s="19">
        <v>10</v>
      </c>
    </row>
    <row r="8709" spans="2:15" x14ac:dyDescent="0.25">
      <c r="B8709" s="16" t="s">
        <v>3238</v>
      </c>
      <c r="C8709" s="17" t="s">
        <v>3239</v>
      </c>
      <c r="D8709" s="17" t="s">
        <v>3240</v>
      </c>
      <c r="E8709" s="17" t="s">
        <v>102</v>
      </c>
      <c r="F8709" s="18">
        <f>DATE(2025,8,21)</f>
        <v>45890</v>
      </c>
      <c r="G8709" s="22">
        <f t="shared" si="783"/>
        <v>8</v>
      </c>
      <c r="H8709" s="22">
        <f t="shared" si="784"/>
        <v>2025</v>
      </c>
      <c r="I8709" s="17" t="s">
        <v>4</v>
      </c>
      <c r="J8709" s="17" t="s">
        <v>9141</v>
      </c>
      <c r="K8709" s="17" t="s">
        <v>9142</v>
      </c>
      <c r="L8709" s="17" t="s">
        <v>9017</v>
      </c>
      <c r="M8709" s="17" t="s">
        <v>9018</v>
      </c>
      <c r="N8709" s="22" t="str">
        <f t="shared" si="785"/>
        <v>GAL</v>
      </c>
      <c r="O8709" s="19">
        <v>30</v>
      </c>
    </row>
    <row r="8710" spans="2:15" x14ac:dyDescent="0.25">
      <c r="B8710" s="16" t="s">
        <v>3238</v>
      </c>
      <c r="C8710" s="17" t="s">
        <v>3239</v>
      </c>
      <c r="D8710" s="17" t="s">
        <v>3240</v>
      </c>
      <c r="E8710" s="17" t="s">
        <v>3657</v>
      </c>
      <c r="F8710" s="18">
        <f t="shared" ref="F8710:F8717" si="786">DATE(2025,8,22)</f>
        <v>45891</v>
      </c>
      <c r="G8710" s="22">
        <f t="shared" si="783"/>
        <v>8</v>
      </c>
      <c r="H8710" s="22">
        <f t="shared" si="784"/>
        <v>2025</v>
      </c>
      <c r="I8710" s="17" t="s">
        <v>4</v>
      </c>
      <c r="J8710" s="17" t="s">
        <v>9143</v>
      </c>
      <c r="K8710" s="17" t="s">
        <v>3659</v>
      </c>
      <c r="L8710" s="17" t="s">
        <v>3660</v>
      </c>
      <c r="M8710" s="17" t="s">
        <v>3652</v>
      </c>
      <c r="N8710" s="22" t="str">
        <f t="shared" si="785"/>
        <v>GAL</v>
      </c>
      <c r="O8710" s="19">
        <v>250</v>
      </c>
    </row>
    <row r="8711" spans="2:15" x14ac:dyDescent="0.25">
      <c r="B8711" s="16" t="s">
        <v>3238</v>
      </c>
      <c r="C8711" s="17" t="s">
        <v>3239</v>
      </c>
      <c r="D8711" s="17" t="s">
        <v>3240</v>
      </c>
      <c r="E8711" s="17" t="s">
        <v>3657</v>
      </c>
      <c r="F8711" s="18">
        <f t="shared" si="786"/>
        <v>45891</v>
      </c>
      <c r="G8711" s="22">
        <f t="shared" si="783"/>
        <v>8</v>
      </c>
      <c r="H8711" s="22">
        <f t="shared" si="784"/>
        <v>2025</v>
      </c>
      <c r="I8711" s="17" t="s">
        <v>4</v>
      </c>
      <c r="J8711" s="17" t="s">
        <v>9143</v>
      </c>
      <c r="K8711" s="17" t="s">
        <v>998</v>
      </c>
      <c r="L8711" s="17" t="s">
        <v>3526</v>
      </c>
      <c r="M8711" s="17" t="s">
        <v>1000</v>
      </c>
      <c r="N8711" s="22" t="str">
        <f t="shared" si="785"/>
        <v>GAL</v>
      </c>
      <c r="O8711" s="19">
        <v>250</v>
      </c>
    </row>
    <row r="8712" spans="2:15" x14ac:dyDescent="0.25">
      <c r="B8712" s="16" t="s">
        <v>3238</v>
      </c>
      <c r="C8712" s="17" t="s">
        <v>3239</v>
      </c>
      <c r="D8712" s="17" t="s">
        <v>6120</v>
      </c>
      <c r="E8712" s="17" t="s">
        <v>6712</v>
      </c>
      <c r="F8712" s="18">
        <f t="shared" si="786"/>
        <v>45891</v>
      </c>
      <c r="G8712" s="22">
        <f t="shared" si="783"/>
        <v>8</v>
      </c>
      <c r="H8712" s="22">
        <f t="shared" si="784"/>
        <v>2025</v>
      </c>
      <c r="I8712" s="17" t="s">
        <v>4</v>
      </c>
      <c r="J8712" s="17" t="s">
        <v>9144</v>
      </c>
      <c r="K8712" s="17" t="s">
        <v>6138</v>
      </c>
      <c r="L8712" s="17" t="s">
        <v>6139</v>
      </c>
      <c r="M8712" s="17" t="s">
        <v>6140</v>
      </c>
      <c r="N8712" s="22" t="str">
        <f t="shared" si="785"/>
        <v>GAL</v>
      </c>
      <c r="O8712" s="19">
        <v>90</v>
      </c>
    </row>
    <row r="8713" spans="2:15" x14ac:dyDescent="0.25">
      <c r="B8713" s="16" t="s">
        <v>3238</v>
      </c>
      <c r="C8713" s="17" t="s">
        <v>3239</v>
      </c>
      <c r="D8713" s="17" t="s">
        <v>6120</v>
      </c>
      <c r="E8713" s="17" t="s">
        <v>6712</v>
      </c>
      <c r="F8713" s="18">
        <f t="shared" si="786"/>
        <v>45891</v>
      </c>
      <c r="G8713" s="22">
        <f t="shared" si="783"/>
        <v>8</v>
      </c>
      <c r="H8713" s="22">
        <f t="shared" si="784"/>
        <v>2025</v>
      </c>
      <c r="I8713" s="17" t="s">
        <v>4</v>
      </c>
      <c r="J8713" s="17" t="s">
        <v>9144</v>
      </c>
      <c r="K8713" s="17" t="s">
        <v>6136</v>
      </c>
      <c r="L8713" s="17" t="s">
        <v>6137</v>
      </c>
      <c r="M8713" s="17" t="s">
        <v>30</v>
      </c>
      <c r="N8713" s="22" t="str">
        <f t="shared" si="785"/>
        <v>GAL</v>
      </c>
      <c r="O8713" s="19">
        <v>90</v>
      </c>
    </row>
    <row r="8714" spans="2:15" x14ac:dyDescent="0.25">
      <c r="B8714" s="16" t="s">
        <v>3238</v>
      </c>
      <c r="C8714" s="17" t="s">
        <v>3239</v>
      </c>
      <c r="D8714" s="17" t="s">
        <v>6120</v>
      </c>
      <c r="E8714" s="17" t="s">
        <v>6712</v>
      </c>
      <c r="F8714" s="18">
        <f t="shared" si="786"/>
        <v>45891</v>
      </c>
      <c r="G8714" s="22">
        <f t="shared" si="783"/>
        <v>8</v>
      </c>
      <c r="H8714" s="22">
        <f t="shared" si="784"/>
        <v>2025</v>
      </c>
      <c r="I8714" s="17" t="s">
        <v>4</v>
      </c>
      <c r="J8714" s="17" t="s">
        <v>9144</v>
      </c>
      <c r="K8714" s="17" t="s">
        <v>2098</v>
      </c>
      <c r="L8714" s="17" t="s">
        <v>6164</v>
      </c>
      <c r="M8714" s="17" t="s">
        <v>2100</v>
      </c>
      <c r="N8714" s="22" t="str">
        <f t="shared" si="785"/>
        <v>GAL</v>
      </c>
      <c r="O8714" s="19">
        <v>90</v>
      </c>
    </row>
    <row r="8715" spans="2:15" x14ac:dyDescent="0.25">
      <c r="B8715" s="16" t="s">
        <v>3238</v>
      </c>
      <c r="C8715" s="17" t="s">
        <v>3239</v>
      </c>
      <c r="D8715" s="17" t="s">
        <v>6120</v>
      </c>
      <c r="E8715" s="17" t="s">
        <v>6712</v>
      </c>
      <c r="F8715" s="18">
        <f t="shared" si="786"/>
        <v>45891</v>
      </c>
      <c r="G8715" s="22">
        <f t="shared" si="783"/>
        <v>8</v>
      </c>
      <c r="H8715" s="22">
        <f t="shared" si="784"/>
        <v>2025</v>
      </c>
      <c r="I8715" s="17" t="s">
        <v>4</v>
      </c>
      <c r="J8715" s="17" t="s">
        <v>9144</v>
      </c>
      <c r="K8715" s="17" t="s">
        <v>5469</v>
      </c>
      <c r="L8715" s="17" t="s">
        <v>5470</v>
      </c>
      <c r="M8715" s="17" t="s">
        <v>1046</v>
      </c>
      <c r="N8715" s="22" t="str">
        <f t="shared" si="785"/>
        <v>GAL</v>
      </c>
      <c r="O8715" s="19">
        <v>180</v>
      </c>
    </row>
    <row r="8716" spans="2:15" x14ac:dyDescent="0.25">
      <c r="B8716" s="16" t="s">
        <v>3238</v>
      </c>
      <c r="C8716" s="17" t="s">
        <v>3239</v>
      </c>
      <c r="D8716" s="17" t="s">
        <v>6120</v>
      </c>
      <c r="E8716" s="17" t="s">
        <v>6712</v>
      </c>
      <c r="F8716" s="18">
        <f t="shared" si="786"/>
        <v>45891</v>
      </c>
      <c r="G8716" s="22">
        <f t="shared" si="783"/>
        <v>8</v>
      </c>
      <c r="H8716" s="22">
        <f t="shared" si="784"/>
        <v>2025</v>
      </c>
      <c r="I8716" s="17" t="s">
        <v>4</v>
      </c>
      <c r="J8716" s="17" t="s">
        <v>9144</v>
      </c>
      <c r="K8716" s="17" t="s">
        <v>6172</v>
      </c>
      <c r="L8716" s="17" t="s">
        <v>6173</v>
      </c>
      <c r="M8716" s="17" t="s">
        <v>6174</v>
      </c>
      <c r="N8716" s="22" t="str">
        <f t="shared" si="785"/>
        <v>GAL</v>
      </c>
      <c r="O8716" s="19">
        <v>90</v>
      </c>
    </row>
    <row r="8717" spans="2:15" x14ac:dyDescent="0.25">
      <c r="B8717" s="16" t="s">
        <v>3238</v>
      </c>
      <c r="C8717" s="17" t="s">
        <v>3239</v>
      </c>
      <c r="D8717" s="17" t="s">
        <v>6120</v>
      </c>
      <c r="E8717" s="17" t="s">
        <v>6712</v>
      </c>
      <c r="F8717" s="18">
        <f t="shared" si="786"/>
        <v>45891</v>
      </c>
      <c r="G8717" s="22">
        <f t="shared" si="783"/>
        <v>8</v>
      </c>
      <c r="H8717" s="22">
        <f t="shared" si="784"/>
        <v>2025</v>
      </c>
      <c r="I8717" s="17" t="s">
        <v>4</v>
      </c>
      <c r="J8717" s="17" t="s">
        <v>9144</v>
      </c>
      <c r="K8717" s="17" t="s">
        <v>6144</v>
      </c>
      <c r="L8717" s="17" t="s">
        <v>6145</v>
      </c>
      <c r="M8717" s="17" t="s">
        <v>49</v>
      </c>
      <c r="N8717" s="22" t="str">
        <f t="shared" si="785"/>
        <v>GAL</v>
      </c>
      <c r="O8717" s="19">
        <v>90</v>
      </c>
    </row>
    <row r="8718" spans="2:15" x14ac:dyDescent="0.25">
      <c r="B8718" s="16" t="s">
        <v>3238</v>
      </c>
      <c r="C8718" s="17" t="s">
        <v>3239</v>
      </c>
      <c r="D8718" s="17" t="s">
        <v>3240</v>
      </c>
      <c r="E8718" s="17" t="s">
        <v>102</v>
      </c>
      <c r="F8718" s="18">
        <f>DATE(2025,8,25)</f>
        <v>45894</v>
      </c>
      <c r="G8718" s="22">
        <f t="shared" si="783"/>
        <v>8</v>
      </c>
      <c r="H8718" s="22">
        <f t="shared" si="784"/>
        <v>2025</v>
      </c>
      <c r="I8718" s="17" t="s">
        <v>4</v>
      </c>
      <c r="J8718" s="17" t="s">
        <v>9145</v>
      </c>
      <c r="K8718" s="17" t="s">
        <v>5971</v>
      </c>
      <c r="L8718" s="17" t="s">
        <v>3515</v>
      </c>
      <c r="M8718" s="17" t="s">
        <v>3516</v>
      </c>
      <c r="N8718" s="22" t="str">
        <f t="shared" si="785"/>
        <v>GAL</v>
      </c>
      <c r="O8718" s="19">
        <v>90</v>
      </c>
    </row>
    <row r="8719" spans="2:15" x14ac:dyDescent="0.25">
      <c r="B8719" s="16" t="s">
        <v>3238</v>
      </c>
      <c r="C8719" s="17" t="s">
        <v>3239</v>
      </c>
      <c r="D8719" s="17" t="s">
        <v>3240</v>
      </c>
      <c r="E8719" s="17" t="s">
        <v>102</v>
      </c>
      <c r="F8719" s="18">
        <f>DATE(2025,8,25)</f>
        <v>45894</v>
      </c>
      <c r="G8719" s="22">
        <f t="shared" si="783"/>
        <v>8</v>
      </c>
      <c r="H8719" s="22">
        <f t="shared" si="784"/>
        <v>2025</v>
      </c>
      <c r="I8719" s="17" t="s">
        <v>4</v>
      </c>
      <c r="J8719" s="17" t="s">
        <v>9145</v>
      </c>
      <c r="K8719" s="17" t="s">
        <v>19</v>
      </c>
      <c r="L8719" s="17" t="s">
        <v>6275</v>
      </c>
      <c r="M8719" s="17" t="s">
        <v>21</v>
      </c>
      <c r="N8719" s="22" t="str">
        <f t="shared" si="785"/>
        <v>GAL</v>
      </c>
      <c r="O8719" s="19">
        <v>90</v>
      </c>
    </row>
    <row r="8720" spans="2:15" x14ac:dyDescent="0.25">
      <c r="B8720" s="16" t="s">
        <v>3238</v>
      </c>
      <c r="C8720" s="17" t="s">
        <v>3239</v>
      </c>
      <c r="D8720" s="17" t="s">
        <v>3240</v>
      </c>
      <c r="E8720" s="17" t="s">
        <v>6382</v>
      </c>
      <c r="F8720" s="18">
        <f>DATE(2025,8,26)</f>
        <v>45895</v>
      </c>
      <c r="G8720" s="22">
        <f t="shared" si="783"/>
        <v>8</v>
      </c>
      <c r="H8720" s="22">
        <f t="shared" si="784"/>
        <v>2025</v>
      </c>
      <c r="I8720" s="17" t="s">
        <v>4</v>
      </c>
      <c r="J8720" s="17" t="s">
        <v>9146</v>
      </c>
      <c r="K8720" s="17" t="s">
        <v>3390</v>
      </c>
      <c r="L8720" s="17" t="s">
        <v>3250</v>
      </c>
      <c r="M8720" s="17" t="s">
        <v>3251</v>
      </c>
      <c r="N8720" s="22" t="str">
        <f t="shared" si="785"/>
        <v>GAL</v>
      </c>
      <c r="O8720" s="19">
        <v>250</v>
      </c>
    </row>
    <row r="8721" spans="2:15" x14ac:dyDescent="0.25">
      <c r="B8721" s="16" t="s">
        <v>3238</v>
      </c>
      <c r="C8721" s="17" t="s">
        <v>3239</v>
      </c>
      <c r="D8721" s="17" t="s">
        <v>6120</v>
      </c>
      <c r="E8721" s="17" t="s">
        <v>3407</v>
      </c>
      <c r="F8721" s="18">
        <f>DATE(2025,8,26)</f>
        <v>45895</v>
      </c>
      <c r="G8721" s="22">
        <f t="shared" si="783"/>
        <v>8</v>
      </c>
      <c r="H8721" s="22">
        <f t="shared" si="784"/>
        <v>2025</v>
      </c>
      <c r="I8721" s="17" t="s">
        <v>4</v>
      </c>
      <c r="J8721" s="17" t="s">
        <v>9147</v>
      </c>
      <c r="K8721" s="17" t="s">
        <v>9148</v>
      </c>
      <c r="L8721" s="17" t="s">
        <v>6401</v>
      </c>
      <c r="M8721" s="17" t="s">
        <v>6402</v>
      </c>
      <c r="N8721" s="22" t="str">
        <f t="shared" si="785"/>
        <v>GAL</v>
      </c>
      <c r="O8721" s="19">
        <v>250</v>
      </c>
    </row>
    <row r="8722" spans="2:15" x14ac:dyDescent="0.25">
      <c r="B8722" s="16" t="s">
        <v>3238</v>
      </c>
      <c r="C8722" s="17" t="s">
        <v>3239</v>
      </c>
      <c r="D8722" s="17" t="s">
        <v>3240</v>
      </c>
      <c r="E8722" s="17" t="s">
        <v>6382</v>
      </c>
      <c r="F8722" s="18">
        <f>DATE(2025,8,26)</f>
        <v>45895</v>
      </c>
      <c r="G8722" s="22">
        <f t="shared" si="783"/>
        <v>8</v>
      </c>
      <c r="H8722" s="22">
        <f t="shared" si="784"/>
        <v>2025</v>
      </c>
      <c r="I8722" s="17" t="s">
        <v>4</v>
      </c>
      <c r="J8722" s="17" t="s">
        <v>9149</v>
      </c>
      <c r="K8722" s="17" t="s">
        <v>3925</v>
      </c>
      <c r="L8722" s="17" t="s">
        <v>4264</v>
      </c>
      <c r="M8722" s="17" t="s">
        <v>119</v>
      </c>
      <c r="N8722" s="22" t="str">
        <f t="shared" si="785"/>
        <v>TON</v>
      </c>
      <c r="O8722" s="19">
        <v>1.2675000000000001</v>
      </c>
    </row>
    <row r="8723" spans="2:15" x14ac:dyDescent="0.25">
      <c r="B8723" s="16" t="s">
        <v>3238</v>
      </c>
      <c r="C8723" s="17" t="s">
        <v>3239</v>
      </c>
      <c r="D8723" s="17" t="s">
        <v>3240</v>
      </c>
      <c r="E8723" s="17" t="s">
        <v>102</v>
      </c>
      <c r="F8723" s="18">
        <f>DATE(2025,8,26)</f>
        <v>45895</v>
      </c>
      <c r="G8723" s="22">
        <f t="shared" si="783"/>
        <v>8</v>
      </c>
      <c r="H8723" s="22">
        <f t="shared" si="784"/>
        <v>2025</v>
      </c>
      <c r="I8723" s="17" t="s">
        <v>4</v>
      </c>
      <c r="J8723" s="17" t="s">
        <v>9150</v>
      </c>
      <c r="K8723" s="17" t="s">
        <v>6373</v>
      </c>
      <c r="L8723" s="17" t="s">
        <v>6374</v>
      </c>
      <c r="M8723" s="17" t="s">
        <v>6375</v>
      </c>
      <c r="N8723" s="22" t="str">
        <f t="shared" si="785"/>
        <v>GAL</v>
      </c>
      <c r="O8723" s="19">
        <v>30</v>
      </c>
    </row>
    <row r="8724" spans="2:15" x14ac:dyDescent="0.25">
      <c r="B8724" s="16" t="s">
        <v>3238</v>
      </c>
      <c r="C8724" s="17" t="s">
        <v>3239</v>
      </c>
      <c r="D8724" s="17" t="s">
        <v>3240</v>
      </c>
      <c r="E8724" s="17" t="s">
        <v>8750</v>
      </c>
      <c r="F8724" s="18">
        <f>DATE(2025,8,28)</f>
        <v>45897</v>
      </c>
      <c r="G8724" s="22">
        <f t="shared" si="783"/>
        <v>8</v>
      </c>
      <c r="H8724" s="22">
        <f t="shared" si="784"/>
        <v>2025</v>
      </c>
      <c r="I8724" s="17" t="s">
        <v>4</v>
      </c>
      <c r="J8724" s="17" t="s">
        <v>9151</v>
      </c>
      <c r="K8724" s="17" t="s">
        <v>3188</v>
      </c>
      <c r="L8724" s="17" t="s">
        <v>3526</v>
      </c>
      <c r="M8724" s="17" t="s">
        <v>1000</v>
      </c>
      <c r="N8724" s="22" t="str">
        <f t="shared" si="785"/>
        <v>GAL</v>
      </c>
      <c r="O8724" s="19">
        <v>55</v>
      </c>
    </row>
    <row r="8725" spans="2:15" x14ac:dyDescent="0.25">
      <c r="B8725" s="16" t="s">
        <v>3238</v>
      </c>
      <c r="C8725" s="17" t="s">
        <v>3239</v>
      </c>
      <c r="D8725" s="17" t="s">
        <v>3240</v>
      </c>
      <c r="E8725" s="17" t="s">
        <v>102</v>
      </c>
      <c r="F8725" s="18">
        <f>DATE(2025,8,29)</f>
        <v>45898</v>
      </c>
      <c r="G8725" s="22">
        <f t="shared" si="783"/>
        <v>8</v>
      </c>
      <c r="H8725" s="22">
        <f t="shared" si="784"/>
        <v>2025</v>
      </c>
      <c r="I8725" s="22" t="s">
        <v>4</v>
      </c>
      <c r="J8725" s="22" t="s">
        <v>9152</v>
      </c>
      <c r="K8725" s="22" t="s">
        <v>5994</v>
      </c>
      <c r="L8725" s="22" t="s">
        <v>5995</v>
      </c>
      <c r="M8725" s="22" t="s">
        <v>5996</v>
      </c>
      <c r="N8725" s="22" t="str">
        <f t="shared" si="785"/>
        <v>GAL</v>
      </c>
      <c r="O8725" s="24">
        <v>250</v>
      </c>
    </row>
    <row r="8726" spans="2:15" x14ac:dyDescent="0.25">
      <c r="B8726" s="16" t="s">
        <v>0</v>
      </c>
      <c r="C8726" s="17" t="s">
        <v>1</v>
      </c>
      <c r="D8726" s="17" t="s">
        <v>2</v>
      </c>
      <c r="E8726" s="17" t="s">
        <v>6413</v>
      </c>
      <c r="F8726" s="18">
        <f>DATE(2025,9,16)</f>
        <v>45916</v>
      </c>
      <c r="G8726" s="22">
        <f t="shared" si="783"/>
        <v>9</v>
      </c>
      <c r="H8726" s="22">
        <f t="shared" si="784"/>
        <v>2025</v>
      </c>
      <c r="I8726" s="17" t="s">
        <v>4</v>
      </c>
      <c r="J8726" s="17" t="s">
        <v>9153</v>
      </c>
      <c r="K8726" s="17" t="s">
        <v>28</v>
      </c>
      <c r="L8726" s="17" t="s">
        <v>29</v>
      </c>
      <c r="M8726" s="17" t="s">
        <v>30</v>
      </c>
      <c r="N8726" s="22" t="str">
        <f t="shared" si="785"/>
        <v>GAL</v>
      </c>
      <c r="O8726" s="19">
        <v>10</v>
      </c>
    </row>
    <row r="8727" spans="2:15" x14ac:dyDescent="0.25">
      <c r="B8727" s="16" t="s">
        <v>0</v>
      </c>
      <c r="C8727" s="17" t="s">
        <v>1</v>
      </c>
      <c r="D8727" s="17" t="s">
        <v>2</v>
      </c>
      <c r="E8727" s="17" t="s">
        <v>6413</v>
      </c>
      <c r="F8727" s="18">
        <f>DATE(2025,9,16)</f>
        <v>45916</v>
      </c>
      <c r="G8727" s="22">
        <f t="shared" si="783"/>
        <v>9</v>
      </c>
      <c r="H8727" s="22">
        <f t="shared" si="784"/>
        <v>2025</v>
      </c>
      <c r="I8727" s="17" t="s">
        <v>4</v>
      </c>
      <c r="J8727" s="17" t="s">
        <v>9153</v>
      </c>
      <c r="K8727" s="17" t="s">
        <v>2166</v>
      </c>
      <c r="L8727" s="17" t="s">
        <v>2167</v>
      </c>
      <c r="M8727" s="17" t="s">
        <v>2168</v>
      </c>
      <c r="N8727" s="22" t="str">
        <f t="shared" si="785"/>
        <v>GAL</v>
      </c>
      <c r="O8727" s="19">
        <v>10</v>
      </c>
    </row>
    <row r="8728" spans="2:15" x14ac:dyDescent="0.25">
      <c r="B8728" s="16" t="s">
        <v>0</v>
      </c>
      <c r="C8728" s="17" t="s">
        <v>1</v>
      </c>
      <c r="D8728" s="17" t="s">
        <v>2</v>
      </c>
      <c r="E8728" s="17" t="s">
        <v>6413</v>
      </c>
      <c r="F8728" s="18">
        <f>DATE(2025,9,16)</f>
        <v>45916</v>
      </c>
      <c r="G8728" s="22">
        <f t="shared" si="783"/>
        <v>9</v>
      </c>
      <c r="H8728" s="22">
        <f t="shared" si="784"/>
        <v>2025</v>
      </c>
      <c r="I8728" s="17" t="s">
        <v>4</v>
      </c>
      <c r="J8728" s="17" t="s">
        <v>9153</v>
      </c>
      <c r="K8728" s="17" t="s">
        <v>25</v>
      </c>
      <c r="L8728" s="17" t="s">
        <v>26</v>
      </c>
      <c r="M8728" s="17" t="s">
        <v>27</v>
      </c>
      <c r="N8728" s="22" t="str">
        <f t="shared" si="785"/>
        <v>GAL</v>
      </c>
      <c r="O8728" s="19">
        <v>10</v>
      </c>
    </row>
    <row r="8729" spans="2:15" x14ac:dyDescent="0.25">
      <c r="B8729" s="16" t="s">
        <v>0</v>
      </c>
      <c r="C8729" s="17" t="s">
        <v>1</v>
      </c>
      <c r="D8729" s="17" t="s">
        <v>2</v>
      </c>
      <c r="E8729" s="17" t="s">
        <v>6413</v>
      </c>
      <c r="F8729" s="18">
        <f>DATE(2025,9,16)</f>
        <v>45916</v>
      </c>
      <c r="G8729" s="22">
        <f t="shared" si="783"/>
        <v>9</v>
      </c>
      <c r="H8729" s="22">
        <f t="shared" si="784"/>
        <v>2025</v>
      </c>
      <c r="I8729" s="17" t="s">
        <v>4</v>
      </c>
      <c r="J8729" s="17" t="s">
        <v>9153</v>
      </c>
      <c r="K8729" s="17" t="s">
        <v>80</v>
      </c>
      <c r="L8729" s="17" t="s">
        <v>81</v>
      </c>
      <c r="M8729" s="17" t="s">
        <v>82</v>
      </c>
      <c r="N8729" s="22" t="str">
        <f t="shared" si="785"/>
        <v>GAL</v>
      </c>
      <c r="O8729" s="19">
        <v>10</v>
      </c>
    </row>
    <row r="8730" spans="2:15" x14ac:dyDescent="0.25">
      <c r="B8730" s="16" t="s">
        <v>0</v>
      </c>
      <c r="C8730" s="17" t="s">
        <v>1</v>
      </c>
      <c r="D8730" s="17" t="s">
        <v>2</v>
      </c>
      <c r="E8730" s="17" t="s">
        <v>4287</v>
      </c>
      <c r="F8730" s="18">
        <f t="shared" ref="F8730:F8735" si="787">DATE(2025,9,17)</f>
        <v>45917</v>
      </c>
      <c r="G8730" s="22">
        <f t="shared" si="783"/>
        <v>9</v>
      </c>
      <c r="H8730" s="22">
        <f t="shared" si="784"/>
        <v>2025</v>
      </c>
      <c r="I8730" s="17" t="s">
        <v>4</v>
      </c>
      <c r="J8730" s="17" t="s">
        <v>9154</v>
      </c>
      <c r="K8730" s="17" t="s">
        <v>28</v>
      </c>
      <c r="L8730" s="17" t="s">
        <v>29</v>
      </c>
      <c r="M8730" s="17" t="s">
        <v>30</v>
      </c>
      <c r="N8730" s="22" t="str">
        <f t="shared" si="785"/>
        <v>GAL</v>
      </c>
      <c r="O8730" s="19">
        <v>120</v>
      </c>
    </row>
    <row r="8731" spans="2:15" x14ac:dyDescent="0.25">
      <c r="B8731" s="16" t="s">
        <v>0</v>
      </c>
      <c r="C8731" s="17" t="s">
        <v>1</v>
      </c>
      <c r="D8731" s="17" t="s">
        <v>2</v>
      </c>
      <c r="E8731" s="17" t="s">
        <v>4287</v>
      </c>
      <c r="F8731" s="18">
        <f t="shared" si="787"/>
        <v>45917</v>
      </c>
      <c r="G8731" s="22">
        <f t="shared" si="783"/>
        <v>9</v>
      </c>
      <c r="H8731" s="22">
        <f t="shared" si="784"/>
        <v>2025</v>
      </c>
      <c r="I8731" s="17" t="s">
        <v>4</v>
      </c>
      <c r="J8731" s="17" t="s">
        <v>9154</v>
      </c>
      <c r="K8731" s="17" t="s">
        <v>80</v>
      </c>
      <c r="L8731" s="17" t="s">
        <v>81</v>
      </c>
      <c r="M8731" s="17" t="s">
        <v>82</v>
      </c>
      <c r="N8731" s="22" t="str">
        <f t="shared" si="785"/>
        <v>GAL</v>
      </c>
      <c r="O8731" s="19">
        <v>120</v>
      </c>
    </row>
    <row r="8732" spans="2:15" x14ac:dyDescent="0.25">
      <c r="B8732" s="16" t="s">
        <v>0</v>
      </c>
      <c r="C8732" s="17" t="s">
        <v>1</v>
      </c>
      <c r="D8732" s="17" t="s">
        <v>2</v>
      </c>
      <c r="E8732" s="17" t="s">
        <v>4287</v>
      </c>
      <c r="F8732" s="18">
        <f t="shared" si="787"/>
        <v>45917</v>
      </c>
      <c r="G8732" s="22">
        <f t="shared" si="783"/>
        <v>9</v>
      </c>
      <c r="H8732" s="22">
        <f t="shared" si="784"/>
        <v>2025</v>
      </c>
      <c r="I8732" s="17" t="s">
        <v>4</v>
      </c>
      <c r="J8732" s="17" t="s">
        <v>9154</v>
      </c>
      <c r="K8732" s="17" t="s">
        <v>16</v>
      </c>
      <c r="L8732" s="17" t="s">
        <v>7</v>
      </c>
      <c r="M8732" s="17" t="s">
        <v>8</v>
      </c>
      <c r="N8732" s="22" t="str">
        <f t="shared" si="785"/>
        <v>GAL</v>
      </c>
      <c r="O8732" s="19">
        <v>120</v>
      </c>
    </row>
    <row r="8733" spans="2:15" x14ac:dyDescent="0.25">
      <c r="B8733" s="16" t="s">
        <v>0</v>
      </c>
      <c r="C8733" s="17" t="s">
        <v>1</v>
      </c>
      <c r="D8733" s="17" t="s">
        <v>2</v>
      </c>
      <c r="E8733" s="17" t="s">
        <v>4287</v>
      </c>
      <c r="F8733" s="18">
        <f t="shared" si="787"/>
        <v>45917</v>
      </c>
      <c r="G8733" s="22">
        <f t="shared" si="783"/>
        <v>9</v>
      </c>
      <c r="H8733" s="22">
        <f t="shared" si="784"/>
        <v>2025</v>
      </c>
      <c r="I8733" s="17" t="s">
        <v>4</v>
      </c>
      <c r="J8733" s="17" t="s">
        <v>9154</v>
      </c>
      <c r="K8733" s="17" t="s">
        <v>19</v>
      </c>
      <c r="L8733" s="17" t="s">
        <v>6006</v>
      </c>
      <c r="M8733" s="17" t="s">
        <v>21</v>
      </c>
      <c r="N8733" s="22" t="str">
        <f t="shared" si="785"/>
        <v>GAL</v>
      </c>
      <c r="O8733" s="19">
        <v>120</v>
      </c>
    </row>
    <row r="8734" spans="2:15" x14ac:dyDescent="0.25">
      <c r="B8734" s="16" t="s">
        <v>0</v>
      </c>
      <c r="C8734" s="17" t="s">
        <v>1</v>
      </c>
      <c r="D8734" s="17" t="s">
        <v>2</v>
      </c>
      <c r="E8734" s="17" t="s">
        <v>4287</v>
      </c>
      <c r="F8734" s="18">
        <f t="shared" si="787"/>
        <v>45917</v>
      </c>
      <c r="G8734" s="22">
        <f t="shared" si="783"/>
        <v>9</v>
      </c>
      <c r="H8734" s="22">
        <f t="shared" si="784"/>
        <v>2025</v>
      </c>
      <c r="I8734" s="17" t="s">
        <v>4</v>
      </c>
      <c r="J8734" s="17" t="s">
        <v>9154</v>
      </c>
      <c r="K8734" s="17" t="s">
        <v>25</v>
      </c>
      <c r="L8734" s="17" t="s">
        <v>26</v>
      </c>
      <c r="M8734" s="17" t="s">
        <v>27</v>
      </c>
      <c r="N8734" s="22" t="str">
        <f t="shared" si="785"/>
        <v>GAL</v>
      </c>
      <c r="O8734" s="19">
        <v>60</v>
      </c>
    </row>
    <row r="8735" spans="2:15" x14ac:dyDescent="0.25">
      <c r="B8735" s="16" t="s">
        <v>0</v>
      </c>
      <c r="C8735" s="17" t="s">
        <v>1</v>
      </c>
      <c r="D8735" s="17" t="s">
        <v>2</v>
      </c>
      <c r="E8735" s="17" t="s">
        <v>4287</v>
      </c>
      <c r="F8735" s="18">
        <f t="shared" si="787"/>
        <v>45917</v>
      </c>
      <c r="G8735" s="22">
        <f t="shared" si="783"/>
        <v>9</v>
      </c>
      <c r="H8735" s="22">
        <f t="shared" si="784"/>
        <v>2025</v>
      </c>
      <c r="I8735" s="17" t="s">
        <v>4</v>
      </c>
      <c r="J8735" s="17" t="s">
        <v>9154</v>
      </c>
      <c r="K8735" s="17" t="s">
        <v>2166</v>
      </c>
      <c r="L8735" s="17" t="s">
        <v>2167</v>
      </c>
      <c r="M8735" s="17" t="s">
        <v>2168</v>
      </c>
      <c r="N8735" s="22" t="str">
        <f t="shared" si="785"/>
        <v>GAL</v>
      </c>
      <c r="O8735" s="19">
        <v>60</v>
      </c>
    </row>
    <row r="8736" spans="2:15" x14ac:dyDescent="0.25">
      <c r="B8736" s="16" t="s">
        <v>0</v>
      </c>
      <c r="C8736" s="17" t="s">
        <v>1</v>
      </c>
      <c r="D8736" s="17" t="s">
        <v>2</v>
      </c>
      <c r="E8736" s="17" t="s">
        <v>61</v>
      </c>
      <c r="F8736" s="18">
        <f>DATE(2025,9,22)</f>
        <v>45922</v>
      </c>
      <c r="G8736" s="22">
        <f t="shared" si="783"/>
        <v>9</v>
      </c>
      <c r="H8736" s="22">
        <f t="shared" si="784"/>
        <v>2025</v>
      </c>
      <c r="I8736" s="17" t="s">
        <v>4</v>
      </c>
      <c r="J8736" s="17" t="s">
        <v>9155</v>
      </c>
      <c r="K8736" s="17" t="s">
        <v>16</v>
      </c>
      <c r="L8736" s="17" t="s">
        <v>7</v>
      </c>
      <c r="M8736" s="17" t="s">
        <v>8</v>
      </c>
      <c r="N8736" s="22" t="str">
        <f t="shared" si="785"/>
        <v>GAL</v>
      </c>
      <c r="O8736" s="19">
        <v>100</v>
      </c>
    </row>
    <row r="8737" spans="2:15" x14ac:dyDescent="0.25">
      <c r="B8737" s="16" t="s">
        <v>0</v>
      </c>
      <c r="C8737" s="17" t="s">
        <v>1</v>
      </c>
      <c r="D8737" s="17" t="s">
        <v>2</v>
      </c>
      <c r="E8737" s="17" t="s">
        <v>61</v>
      </c>
      <c r="F8737" s="18">
        <f>DATE(2025,9,22)</f>
        <v>45922</v>
      </c>
      <c r="G8737" s="22">
        <f t="shared" si="783"/>
        <v>9</v>
      </c>
      <c r="H8737" s="22">
        <f t="shared" si="784"/>
        <v>2025</v>
      </c>
      <c r="I8737" s="17" t="s">
        <v>4</v>
      </c>
      <c r="J8737" s="17" t="s">
        <v>9155</v>
      </c>
      <c r="K8737" s="17" t="s">
        <v>25</v>
      </c>
      <c r="L8737" s="17" t="s">
        <v>26</v>
      </c>
      <c r="M8737" s="17" t="s">
        <v>27</v>
      </c>
      <c r="N8737" s="22" t="str">
        <f t="shared" si="785"/>
        <v>GAL</v>
      </c>
      <c r="O8737" s="19">
        <v>100</v>
      </c>
    </row>
    <row r="8738" spans="2:15" x14ac:dyDescent="0.25">
      <c r="B8738" s="16" t="s">
        <v>0</v>
      </c>
      <c r="C8738" s="17" t="s">
        <v>1</v>
      </c>
      <c r="D8738" s="17" t="s">
        <v>2</v>
      </c>
      <c r="E8738" s="17" t="s">
        <v>61</v>
      </c>
      <c r="F8738" s="18">
        <f>DATE(2025,9,22)</f>
        <v>45922</v>
      </c>
      <c r="G8738" s="22">
        <f t="shared" si="783"/>
        <v>9</v>
      </c>
      <c r="H8738" s="22">
        <f t="shared" si="784"/>
        <v>2025</v>
      </c>
      <c r="I8738" s="17" t="s">
        <v>4</v>
      </c>
      <c r="J8738" s="17" t="s">
        <v>9155</v>
      </c>
      <c r="K8738" s="17" t="s">
        <v>28</v>
      </c>
      <c r="L8738" s="17" t="s">
        <v>29</v>
      </c>
      <c r="M8738" s="17" t="s">
        <v>30</v>
      </c>
      <c r="N8738" s="22" t="str">
        <f t="shared" si="785"/>
        <v>GAL</v>
      </c>
      <c r="O8738" s="19">
        <v>50</v>
      </c>
    </row>
    <row r="8739" spans="2:15" x14ac:dyDescent="0.25">
      <c r="B8739" s="16" t="s">
        <v>0</v>
      </c>
      <c r="C8739" s="17" t="s">
        <v>1</v>
      </c>
      <c r="D8739" s="17" t="s">
        <v>2</v>
      </c>
      <c r="E8739" s="17" t="s">
        <v>61</v>
      </c>
      <c r="F8739" s="18">
        <f>DATE(2025,9,22)</f>
        <v>45922</v>
      </c>
      <c r="G8739" s="22">
        <f t="shared" si="783"/>
        <v>9</v>
      </c>
      <c r="H8739" s="22">
        <f t="shared" si="784"/>
        <v>2025</v>
      </c>
      <c r="I8739" s="17" t="s">
        <v>4</v>
      </c>
      <c r="J8739" s="17" t="s">
        <v>9155</v>
      </c>
      <c r="K8739" s="17" t="s">
        <v>19</v>
      </c>
      <c r="L8739" s="17" t="s">
        <v>6006</v>
      </c>
      <c r="M8739" s="17" t="s">
        <v>21</v>
      </c>
      <c r="N8739" s="22" t="str">
        <f t="shared" si="785"/>
        <v>GAL</v>
      </c>
      <c r="O8739" s="19">
        <v>50</v>
      </c>
    </row>
    <row r="8740" spans="2:15" x14ac:dyDescent="0.25">
      <c r="B8740" s="16" t="s">
        <v>0</v>
      </c>
      <c r="C8740" s="17" t="s">
        <v>1</v>
      </c>
      <c r="D8740" s="17" t="s">
        <v>2</v>
      </c>
      <c r="E8740" s="17" t="s">
        <v>6413</v>
      </c>
      <c r="F8740" s="18">
        <f>DATE(2025,9,26)</f>
        <v>45926</v>
      </c>
      <c r="G8740" s="22">
        <f t="shared" si="783"/>
        <v>9</v>
      </c>
      <c r="H8740" s="22">
        <f t="shared" si="784"/>
        <v>2025</v>
      </c>
      <c r="I8740" s="17" t="s">
        <v>4</v>
      </c>
      <c r="J8740" s="17" t="s">
        <v>9156</v>
      </c>
      <c r="K8740" s="17" t="s">
        <v>566</v>
      </c>
      <c r="L8740" s="17" t="s">
        <v>20</v>
      </c>
      <c r="M8740" s="17" t="s">
        <v>21</v>
      </c>
      <c r="N8740" s="22" t="str">
        <f t="shared" si="785"/>
        <v>GAL</v>
      </c>
      <c r="O8740" s="19">
        <v>55</v>
      </c>
    </row>
    <row r="8741" spans="2:15" x14ac:dyDescent="0.25">
      <c r="B8741" s="16" t="s">
        <v>0</v>
      </c>
      <c r="C8741" s="17" t="s">
        <v>1</v>
      </c>
      <c r="D8741" s="17" t="s">
        <v>2</v>
      </c>
      <c r="E8741" s="17" t="s">
        <v>6413</v>
      </c>
      <c r="F8741" s="18">
        <f>DATE(2025,9,26)</f>
        <v>45926</v>
      </c>
      <c r="G8741" s="22">
        <f t="shared" si="783"/>
        <v>9</v>
      </c>
      <c r="H8741" s="22">
        <f t="shared" si="784"/>
        <v>2025</v>
      </c>
      <c r="I8741" s="17" t="s">
        <v>4</v>
      </c>
      <c r="J8741" s="17" t="s">
        <v>9156</v>
      </c>
      <c r="K8741" s="17" t="s">
        <v>6</v>
      </c>
      <c r="L8741" s="17" t="s">
        <v>7</v>
      </c>
      <c r="M8741" s="17" t="s">
        <v>8</v>
      </c>
      <c r="N8741" s="22" t="str">
        <f t="shared" si="785"/>
        <v>GAL</v>
      </c>
      <c r="O8741" s="19">
        <v>55</v>
      </c>
    </row>
    <row r="8742" spans="2:15" x14ac:dyDescent="0.25">
      <c r="B8742" s="16" t="s">
        <v>88</v>
      </c>
      <c r="C8742" s="17" t="s">
        <v>89</v>
      </c>
      <c r="D8742" s="17" t="s">
        <v>1444</v>
      </c>
      <c r="E8742" s="17" t="s">
        <v>3965</v>
      </c>
      <c r="F8742" s="18">
        <f>DATE(2025,9,8)</f>
        <v>45908</v>
      </c>
      <c r="G8742" s="22">
        <f t="shared" si="783"/>
        <v>9</v>
      </c>
      <c r="H8742" s="22">
        <f t="shared" si="784"/>
        <v>2025</v>
      </c>
      <c r="I8742" s="17" t="s">
        <v>4</v>
      </c>
      <c r="J8742" s="17" t="s">
        <v>9157</v>
      </c>
      <c r="K8742" s="17" t="s">
        <v>3136</v>
      </c>
      <c r="L8742" s="17" t="s">
        <v>2581</v>
      </c>
      <c r="M8742" s="17" t="s">
        <v>1448</v>
      </c>
      <c r="N8742" s="22" t="str">
        <f t="shared" si="785"/>
        <v>GAL</v>
      </c>
      <c r="O8742" s="19">
        <v>150</v>
      </c>
    </row>
    <row r="8743" spans="2:15" x14ac:dyDescent="0.25">
      <c r="B8743" s="16" t="s">
        <v>88</v>
      </c>
      <c r="C8743" s="17" t="s">
        <v>89</v>
      </c>
      <c r="D8743" s="17" t="s">
        <v>2887</v>
      </c>
      <c r="E8743" s="17" t="s">
        <v>617</v>
      </c>
      <c r="F8743" s="18">
        <f>DATE(2025,9,8)</f>
        <v>45908</v>
      </c>
      <c r="G8743" s="22">
        <f t="shared" si="783"/>
        <v>9</v>
      </c>
      <c r="H8743" s="22">
        <f t="shared" si="784"/>
        <v>2025</v>
      </c>
      <c r="I8743" s="17" t="s">
        <v>4</v>
      </c>
      <c r="J8743" s="17" t="s">
        <v>9158</v>
      </c>
      <c r="K8743" s="17" t="s">
        <v>2889</v>
      </c>
      <c r="L8743" s="17" t="s">
        <v>99</v>
      </c>
      <c r="M8743" s="17" t="s">
        <v>100</v>
      </c>
      <c r="N8743" s="22" t="str">
        <f t="shared" si="785"/>
        <v>GAL</v>
      </c>
      <c r="O8743" s="19">
        <v>55</v>
      </c>
    </row>
    <row r="8744" spans="2:15" x14ac:dyDescent="0.25">
      <c r="B8744" s="16" t="s">
        <v>88</v>
      </c>
      <c r="C8744" s="17" t="s">
        <v>89</v>
      </c>
      <c r="D8744" s="17" t="s">
        <v>1444</v>
      </c>
      <c r="E8744" s="17" t="s">
        <v>2864</v>
      </c>
      <c r="F8744" s="18">
        <f>DATE(2025,9,9)</f>
        <v>45909</v>
      </c>
      <c r="G8744" s="22">
        <f t="shared" si="783"/>
        <v>9</v>
      </c>
      <c r="H8744" s="22">
        <f t="shared" si="784"/>
        <v>2025</v>
      </c>
      <c r="I8744" s="17" t="s">
        <v>4</v>
      </c>
      <c r="J8744" s="17" t="s">
        <v>9159</v>
      </c>
      <c r="K8744" s="17" t="s">
        <v>1446</v>
      </c>
      <c r="L8744" s="17" t="s">
        <v>2581</v>
      </c>
      <c r="M8744" s="17" t="s">
        <v>1448</v>
      </c>
      <c r="N8744" s="22" t="str">
        <f t="shared" si="785"/>
        <v>GAL</v>
      </c>
      <c r="O8744" s="19">
        <v>360</v>
      </c>
    </row>
    <row r="8745" spans="2:15" x14ac:dyDescent="0.25">
      <c r="B8745" s="16" t="s">
        <v>88</v>
      </c>
      <c r="C8745" s="17" t="s">
        <v>89</v>
      </c>
      <c r="D8745" s="17" t="s">
        <v>1026</v>
      </c>
      <c r="E8745" s="17" t="s">
        <v>3262</v>
      </c>
      <c r="F8745" s="18">
        <f>DATE(2025,9,10)</f>
        <v>45910</v>
      </c>
      <c r="G8745" s="22">
        <f t="shared" si="783"/>
        <v>9</v>
      </c>
      <c r="H8745" s="22">
        <f t="shared" si="784"/>
        <v>2025</v>
      </c>
      <c r="I8745" s="17" t="s">
        <v>4</v>
      </c>
      <c r="J8745" s="17" t="s">
        <v>9160</v>
      </c>
      <c r="K8745" s="17" t="s">
        <v>1028</v>
      </c>
      <c r="L8745" s="17" t="s">
        <v>1029</v>
      </c>
      <c r="M8745" s="17" t="s">
        <v>106</v>
      </c>
      <c r="N8745" s="22" t="str">
        <f t="shared" si="785"/>
        <v>LBS</v>
      </c>
      <c r="O8745" s="19">
        <v>21580</v>
      </c>
    </row>
    <row r="8746" spans="2:15" x14ac:dyDescent="0.25">
      <c r="B8746" s="16" t="s">
        <v>88</v>
      </c>
      <c r="C8746" s="17" t="s">
        <v>89</v>
      </c>
      <c r="D8746" s="17" t="s">
        <v>1444</v>
      </c>
      <c r="E8746" s="17" t="s">
        <v>102</v>
      </c>
      <c r="F8746" s="18">
        <f>DATE(2025,9,11)</f>
        <v>45911</v>
      </c>
      <c r="G8746" s="22">
        <f t="shared" si="783"/>
        <v>9</v>
      </c>
      <c r="H8746" s="22">
        <f t="shared" si="784"/>
        <v>2025</v>
      </c>
      <c r="I8746" s="17" t="s">
        <v>4</v>
      </c>
      <c r="J8746" s="17" t="s">
        <v>9161</v>
      </c>
      <c r="K8746" s="17" t="s">
        <v>1446</v>
      </c>
      <c r="L8746" s="17" t="s">
        <v>2581</v>
      </c>
      <c r="M8746" s="17" t="s">
        <v>1448</v>
      </c>
      <c r="N8746" s="22" t="str">
        <f t="shared" si="785"/>
        <v>GAL</v>
      </c>
      <c r="O8746" s="19">
        <v>360</v>
      </c>
    </row>
    <row r="8747" spans="2:15" x14ac:dyDescent="0.25">
      <c r="B8747" s="16" t="s">
        <v>88</v>
      </c>
      <c r="C8747" s="17" t="s">
        <v>89</v>
      </c>
      <c r="D8747" s="17" t="s">
        <v>2195</v>
      </c>
      <c r="E8747" s="17" t="s">
        <v>2196</v>
      </c>
      <c r="F8747" s="18">
        <f>DATE(2025,9,12)</f>
        <v>45912</v>
      </c>
      <c r="G8747" s="22">
        <f t="shared" si="783"/>
        <v>9</v>
      </c>
      <c r="H8747" s="22">
        <f t="shared" si="784"/>
        <v>2025</v>
      </c>
      <c r="I8747" s="17" t="s">
        <v>4</v>
      </c>
      <c r="J8747" s="17" t="s">
        <v>9162</v>
      </c>
      <c r="K8747" s="17" t="s">
        <v>1028</v>
      </c>
      <c r="L8747" s="17" t="s">
        <v>1029</v>
      </c>
      <c r="M8747" s="17" t="s">
        <v>106</v>
      </c>
      <c r="N8747" s="22" t="str">
        <f t="shared" si="785"/>
        <v>LBS</v>
      </c>
      <c r="O8747" s="19">
        <v>44500</v>
      </c>
    </row>
    <row r="8748" spans="2:15" x14ac:dyDescent="0.25">
      <c r="B8748" s="16" t="s">
        <v>88</v>
      </c>
      <c r="C8748" s="17" t="s">
        <v>89</v>
      </c>
      <c r="D8748" s="17" t="s">
        <v>7024</v>
      </c>
      <c r="E8748" s="17" t="s">
        <v>7346</v>
      </c>
      <c r="F8748" s="18">
        <f>DATE(2025,9,17)</f>
        <v>45917</v>
      </c>
      <c r="G8748" s="22">
        <f t="shared" si="783"/>
        <v>9</v>
      </c>
      <c r="H8748" s="22">
        <f t="shared" si="784"/>
        <v>2025</v>
      </c>
      <c r="I8748" s="17" t="s">
        <v>4</v>
      </c>
      <c r="J8748" s="17" t="s">
        <v>9163</v>
      </c>
      <c r="K8748" s="17" t="s">
        <v>7027</v>
      </c>
      <c r="L8748" s="17" t="s">
        <v>7028</v>
      </c>
      <c r="M8748" s="17" t="s">
        <v>106</v>
      </c>
      <c r="N8748" s="22" t="str">
        <f t="shared" si="785"/>
        <v>LBS</v>
      </c>
      <c r="O8748" s="19">
        <v>46020</v>
      </c>
    </row>
    <row r="8749" spans="2:15" x14ac:dyDescent="0.25">
      <c r="B8749" s="16" t="s">
        <v>88</v>
      </c>
      <c r="C8749" s="17" t="s">
        <v>89</v>
      </c>
      <c r="D8749" s="17" t="s">
        <v>1444</v>
      </c>
      <c r="E8749" s="17" t="s">
        <v>3965</v>
      </c>
      <c r="F8749" s="18">
        <f>DATE(2025,9,17)</f>
        <v>45917</v>
      </c>
      <c r="G8749" s="22">
        <f t="shared" si="783"/>
        <v>9</v>
      </c>
      <c r="H8749" s="22">
        <f t="shared" si="784"/>
        <v>2025</v>
      </c>
      <c r="I8749" s="17" t="s">
        <v>4</v>
      </c>
      <c r="J8749" s="17" t="s">
        <v>9164</v>
      </c>
      <c r="K8749" s="17" t="s">
        <v>3136</v>
      </c>
      <c r="L8749" s="17" t="s">
        <v>2581</v>
      </c>
      <c r="M8749" s="17" t="s">
        <v>1448</v>
      </c>
      <c r="N8749" s="22" t="str">
        <f t="shared" si="785"/>
        <v>GAL</v>
      </c>
      <c r="O8749" s="19">
        <v>150</v>
      </c>
    </row>
    <row r="8750" spans="2:15" x14ac:dyDescent="0.25">
      <c r="B8750" s="16" t="s">
        <v>88</v>
      </c>
      <c r="C8750" s="17" t="s">
        <v>89</v>
      </c>
      <c r="D8750" s="17" t="s">
        <v>6019</v>
      </c>
      <c r="E8750" s="17" t="s">
        <v>8580</v>
      </c>
      <c r="F8750" s="18">
        <f>DATE(2025,9,23)</f>
        <v>45923</v>
      </c>
      <c r="G8750" s="22">
        <f t="shared" si="783"/>
        <v>9</v>
      </c>
      <c r="H8750" s="22">
        <f t="shared" si="784"/>
        <v>2025</v>
      </c>
      <c r="I8750" s="17" t="s">
        <v>4</v>
      </c>
      <c r="J8750" s="17" t="s">
        <v>9165</v>
      </c>
      <c r="K8750" s="17" t="s">
        <v>7630</v>
      </c>
      <c r="L8750" s="17" t="s">
        <v>7631</v>
      </c>
      <c r="M8750" s="17" t="s">
        <v>4204</v>
      </c>
      <c r="N8750" s="22" t="str">
        <f t="shared" si="785"/>
        <v>GAL</v>
      </c>
      <c r="O8750" s="19">
        <v>6957</v>
      </c>
    </row>
    <row r="8751" spans="2:15" x14ac:dyDescent="0.25">
      <c r="B8751" s="16" t="s">
        <v>88</v>
      </c>
      <c r="C8751" s="17" t="s">
        <v>89</v>
      </c>
      <c r="D8751" s="17" t="s">
        <v>167</v>
      </c>
      <c r="E8751" s="17" t="s">
        <v>168</v>
      </c>
      <c r="F8751" s="18">
        <f>DATE(2025,9,23)</f>
        <v>45923</v>
      </c>
      <c r="G8751" s="22">
        <f t="shared" si="783"/>
        <v>9</v>
      </c>
      <c r="H8751" s="22">
        <f t="shared" si="784"/>
        <v>2025</v>
      </c>
      <c r="I8751" s="17" t="s">
        <v>4</v>
      </c>
      <c r="J8751" s="17" t="s">
        <v>9166</v>
      </c>
      <c r="K8751" s="17" t="s">
        <v>2629</v>
      </c>
      <c r="L8751" s="17" t="s">
        <v>2630</v>
      </c>
      <c r="M8751" s="17" t="s">
        <v>2631</v>
      </c>
      <c r="N8751" s="22" t="str">
        <f t="shared" si="785"/>
        <v>GAL</v>
      </c>
      <c r="O8751" s="19">
        <v>70</v>
      </c>
    </row>
    <row r="8752" spans="2:15" x14ac:dyDescent="0.25">
      <c r="B8752" s="16" t="s">
        <v>88</v>
      </c>
      <c r="C8752" s="17" t="s">
        <v>89</v>
      </c>
      <c r="D8752" s="17" t="s">
        <v>1444</v>
      </c>
      <c r="E8752" s="17" t="s">
        <v>102</v>
      </c>
      <c r="F8752" s="18">
        <f>DATE(2025,9,26)</f>
        <v>45926</v>
      </c>
      <c r="G8752" s="22">
        <f t="shared" si="783"/>
        <v>9</v>
      </c>
      <c r="H8752" s="22">
        <f t="shared" si="784"/>
        <v>2025</v>
      </c>
      <c r="I8752" s="17" t="s">
        <v>4</v>
      </c>
      <c r="J8752" s="17" t="s">
        <v>9167</v>
      </c>
      <c r="K8752" s="17" t="s">
        <v>1446</v>
      </c>
      <c r="L8752" s="17" t="s">
        <v>2581</v>
      </c>
      <c r="M8752" s="17" t="s">
        <v>1448</v>
      </c>
      <c r="N8752" s="22" t="str">
        <f t="shared" si="785"/>
        <v>GAL</v>
      </c>
      <c r="O8752" s="19">
        <v>360</v>
      </c>
    </row>
    <row r="8753" spans="2:15" x14ac:dyDescent="0.25">
      <c r="B8753" s="16" t="s">
        <v>88</v>
      </c>
      <c r="C8753" s="17" t="s">
        <v>89</v>
      </c>
      <c r="D8753" s="17" t="s">
        <v>515</v>
      </c>
      <c r="E8753" s="17" t="s">
        <v>516</v>
      </c>
      <c r="F8753" s="18">
        <f>DATE(2025,9,30)</f>
        <v>45930</v>
      </c>
      <c r="G8753" s="22">
        <f t="shared" si="783"/>
        <v>9</v>
      </c>
      <c r="H8753" s="22">
        <f t="shared" si="784"/>
        <v>2025</v>
      </c>
      <c r="I8753" s="17" t="s">
        <v>4</v>
      </c>
      <c r="J8753" s="17" t="s">
        <v>9168</v>
      </c>
      <c r="K8753" s="17" t="s">
        <v>110</v>
      </c>
      <c r="L8753" s="17" t="s">
        <v>111</v>
      </c>
      <c r="M8753" s="17" t="s">
        <v>112</v>
      </c>
      <c r="N8753" s="22" t="str">
        <f t="shared" si="785"/>
        <v>GAL</v>
      </c>
      <c r="O8753" s="19">
        <v>274</v>
      </c>
    </row>
    <row r="8754" spans="2:15" x14ac:dyDescent="0.25">
      <c r="B8754" s="16" t="s">
        <v>88</v>
      </c>
      <c r="C8754" s="17" t="s">
        <v>89</v>
      </c>
      <c r="D8754" s="17" t="s">
        <v>515</v>
      </c>
      <c r="E8754" s="17" t="s">
        <v>516</v>
      </c>
      <c r="F8754" s="18">
        <f>DATE(2025,9,30)</f>
        <v>45930</v>
      </c>
      <c r="G8754" s="22">
        <f t="shared" si="783"/>
        <v>9</v>
      </c>
      <c r="H8754" s="22">
        <f t="shared" si="784"/>
        <v>2025</v>
      </c>
      <c r="I8754" s="17" t="s">
        <v>4</v>
      </c>
      <c r="J8754" s="17" t="s">
        <v>9169</v>
      </c>
      <c r="K8754" s="17" t="s">
        <v>110</v>
      </c>
      <c r="L8754" s="17" t="s">
        <v>111</v>
      </c>
      <c r="M8754" s="17" t="s">
        <v>112</v>
      </c>
      <c r="N8754" s="22" t="str">
        <f t="shared" si="785"/>
        <v>GAL</v>
      </c>
      <c r="O8754" s="19">
        <v>2740</v>
      </c>
    </row>
    <row r="8755" spans="2:15" x14ac:dyDescent="0.25">
      <c r="B8755" s="16" t="s">
        <v>154</v>
      </c>
      <c r="C8755" s="17" t="s">
        <v>155</v>
      </c>
      <c r="D8755" s="17" t="s">
        <v>628</v>
      </c>
      <c r="E8755" s="17" t="s">
        <v>629</v>
      </c>
      <c r="F8755" s="18">
        <f>DATE(2025,9,2)</f>
        <v>45902</v>
      </c>
      <c r="G8755" s="22">
        <f t="shared" si="783"/>
        <v>9</v>
      </c>
      <c r="H8755" s="22">
        <f t="shared" si="784"/>
        <v>2025</v>
      </c>
      <c r="I8755" s="17" t="s">
        <v>4</v>
      </c>
      <c r="J8755" s="17" t="s">
        <v>9170</v>
      </c>
      <c r="K8755" s="17" t="s">
        <v>1119</v>
      </c>
      <c r="L8755" s="17" t="s">
        <v>1023</v>
      </c>
      <c r="M8755" s="17" t="s">
        <v>1024</v>
      </c>
      <c r="N8755" s="22" t="str">
        <f t="shared" si="785"/>
        <v>GAL</v>
      </c>
      <c r="O8755" s="19">
        <v>180</v>
      </c>
    </row>
    <row r="8756" spans="2:15" x14ac:dyDescent="0.25">
      <c r="B8756" s="16" t="s">
        <v>154</v>
      </c>
      <c r="C8756" s="17" t="s">
        <v>155</v>
      </c>
      <c r="D8756" s="17" t="s">
        <v>628</v>
      </c>
      <c r="E8756" s="17" t="s">
        <v>629</v>
      </c>
      <c r="F8756" s="18">
        <f>DATE(2025,9,3)</f>
        <v>45903</v>
      </c>
      <c r="G8756" s="22">
        <f t="shared" si="783"/>
        <v>9</v>
      </c>
      <c r="H8756" s="22">
        <f t="shared" si="784"/>
        <v>2025</v>
      </c>
      <c r="I8756" s="17" t="s">
        <v>4</v>
      </c>
      <c r="J8756" s="17" t="s">
        <v>9171</v>
      </c>
      <c r="K8756" s="17" t="s">
        <v>1119</v>
      </c>
      <c r="L8756" s="17" t="s">
        <v>1023</v>
      </c>
      <c r="M8756" s="17" t="s">
        <v>1024</v>
      </c>
      <c r="N8756" s="22" t="str">
        <f t="shared" si="785"/>
        <v>GAL</v>
      </c>
      <c r="O8756" s="19">
        <v>540</v>
      </c>
    </row>
    <row r="8757" spans="2:15" x14ac:dyDescent="0.25">
      <c r="B8757" s="16" t="s">
        <v>154</v>
      </c>
      <c r="C8757" s="17" t="s">
        <v>155</v>
      </c>
      <c r="D8757" s="17" t="s">
        <v>161</v>
      </c>
      <c r="E8757" s="17" t="s">
        <v>162</v>
      </c>
      <c r="F8757" s="18">
        <f>DATE(2025,9,4)</f>
        <v>45904</v>
      </c>
      <c r="G8757" s="22">
        <f t="shared" si="783"/>
        <v>9</v>
      </c>
      <c r="H8757" s="22">
        <f t="shared" si="784"/>
        <v>2025</v>
      </c>
      <c r="I8757" s="17" t="s">
        <v>4</v>
      </c>
      <c r="J8757" s="17" t="s">
        <v>9172</v>
      </c>
      <c r="K8757" s="17" t="s">
        <v>1266</v>
      </c>
      <c r="L8757" s="17" t="s">
        <v>1267</v>
      </c>
      <c r="M8757" s="17" t="s">
        <v>191</v>
      </c>
      <c r="N8757" s="22" t="str">
        <f t="shared" si="785"/>
        <v>GAL</v>
      </c>
      <c r="O8757" s="19">
        <v>180</v>
      </c>
    </row>
    <row r="8758" spans="2:15" x14ac:dyDescent="0.25">
      <c r="B8758" s="16" t="s">
        <v>154</v>
      </c>
      <c r="C8758" s="17" t="s">
        <v>155</v>
      </c>
      <c r="D8758" s="17" t="s">
        <v>161</v>
      </c>
      <c r="E8758" s="17" t="s">
        <v>162</v>
      </c>
      <c r="F8758" s="18">
        <f>DATE(2025,9,4)</f>
        <v>45904</v>
      </c>
      <c r="G8758" s="22">
        <f t="shared" si="783"/>
        <v>9</v>
      </c>
      <c r="H8758" s="22">
        <f t="shared" si="784"/>
        <v>2025</v>
      </c>
      <c r="I8758" s="17" t="s">
        <v>4</v>
      </c>
      <c r="J8758" s="17" t="s">
        <v>9173</v>
      </c>
      <c r="K8758" s="17" t="s">
        <v>25</v>
      </c>
      <c r="L8758" s="17" t="s">
        <v>541</v>
      </c>
      <c r="M8758" s="17" t="s">
        <v>27</v>
      </c>
      <c r="N8758" s="22" t="str">
        <f t="shared" si="785"/>
        <v>GAL</v>
      </c>
      <c r="O8758" s="19">
        <v>360</v>
      </c>
    </row>
    <row r="8759" spans="2:15" x14ac:dyDescent="0.25">
      <c r="B8759" s="16" t="s">
        <v>154</v>
      </c>
      <c r="C8759" s="17" t="s">
        <v>155</v>
      </c>
      <c r="D8759" s="17" t="s">
        <v>161</v>
      </c>
      <c r="E8759" s="17" t="s">
        <v>162</v>
      </c>
      <c r="F8759" s="18">
        <f>DATE(2025,9,4)</f>
        <v>45904</v>
      </c>
      <c r="G8759" s="22">
        <f t="shared" si="783"/>
        <v>9</v>
      </c>
      <c r="H8759" s="22">
        <f t="shared" si="784"/>
        <v>2025</v>
      </c>
      <c r="I8759" s="17" t="s">
        <v>4</v>
      </c>
      <c r="J8759" s="17" t="s">
        <v>9173</v>
      </c>
      <c r="K8759" s="17" t="s">
        <v>164</v>
      </c>
      <c r="L8759" s="17" t="s">
        <v>165</v>
      </c>
      <c r="M8759" s="17" t="s">
        <v>166</v>
      </c>
      <c r="N8759" s="22" t="str">
        <f t="shared" si="785"/>
        <v>GAL</v>
      </c>
      <c r="O8759" s="19">
        <v>180</v>
      </c>
    </row>
    <row r="8760" spans="2:15" x14ac:dyDescent="0.25">
      <c r="B8760" s="16" t="s">
        <v>154</v>
      </c>
      <c r="C8760" s="17" t="s">
        <v>155</v>
      </c>
      <c r="D8760" s="17" t="s">
        <v>167</v>
      </c>
      <c r="E8760" s="17" t="s">
        <v>168</v>
      </c>
      <c r="F8760" s="18">
        <f>DATE(2025,9,8)</f>
        <v>45908</v>
      </c>
      <c r="G8760" s="22">
        <f t="shared" si="783"/>
        <v>9</v>
      </c>
      <c r="H8760" s="22">
        <f t="shared" si="784"/>
        <v>2025</v>
      </c>
      <c r="I8760" s="17" t="s">
        <v>4</v>
      </c>
      <c r="J8760" s="17" t="s">
        <v>9174</v>
      </c>
      <c r="K8760" s="17" t="s">
        <v>1814</v>
      </c>
      <c r="L8760" s="17" t="s">
        <v>1815</v>
      </c>
      <c r="M8760" s="17" t="s">
        <v>1816</v>
      </c>
      <c r="N8760" s="22" t="str">
        <f t="shared" si="785"/>
        <v>GAL</v>
      </c>
      <c r="O8760" s="19">
        <v>180</v>
      </c>
    </row>
    <row r="8761" spans="2:15" x14ac:dyDescent="0.25">
      <c r="B8761" s="16" t="s">
        <v>154</v>
      </c>
      <c r="C8761" s="17" t="s">
        <v>155</v>
      </c>
      <c r="D8761" s="17" t="s">
        <v>3198</v>
      </c>
      <c r="E8761" s="17" t="s">
        <v>174</v>
      </c>
      <c r="F8761" s="18">
        <f>DATE(2025,9,8)</f>
        <v>45908</v>
      </c>
      <c r="G8761" s="22">
        <f t="shared" si="783"/>
        <v>9</v>
      </c>
      <c r="H8761" s="22">
        <f t="shared" si="784"/>
        <v>2025</v>
      </c>
      <c r="I8761" s="17" t="s">
        <v>4</v>
      </c>
      <c r="J8761" s="17" t="s">
        <v>9175</v>
      </c>
      <c r="K8761" s="17" t="s">
        <v>1643</v>
      </c>
      <c r="L8761" s="17" t="s">
        <v>1644</v>
      </c>
      <c r="M8761" s="17" t="s">
        <v>46</v>
      </c>
      <c r="N8761" s="22" t="str">
        <f t="shared" si="785"/>
        <v>GAL</v>
      </c>
      <c r="O8761" s="19">
        <v>180</v>
      </c>
    </row>
    <row r="8762" spans="2:15" x14ac:dyDescent="0.25">
      <c r="B8762" s="16" t="s">
        <v>154</v>
      </c>
      <c r="C8762" s="17" t="s">
        <v>155</v>
      </c>
      <c r="D8762" s="17" t="s">
        <v>3198</v>
      </c>
      <c r="E8762" s="17" t="s">
        <v>174</v>
      </c>
      <c r="F8762" s="18">
        <f>DATE(2025,9,8)</f>
        <v>45908</v>
      </c>
      <c r="G8762" s="22">
        <f t="shared" ref="G8762:G8825" si="788">+MONTH(F8762)</f>
        <v>9</v>
      </c>
      <c r="H8762" s="22">
        <f t="shared" ref="H8762:H8825" si="789">+YEAR(F8762)</f>
        <v>2025</v>
      </c>
      <c r="I8762" s="17" t="s">
        <v>4</v>
      </c>
      <c r="J8762" s="17" t="s">
        <v>9175</v>
      </c>
      <c r="K8762" s="17" t="s">
        <v>158</v>
      </c>
      <c r="L8762" s="17" t="s">
        <v>159</v>
      </c>
      <c r="M8762" s="17" t="s">
        <v>160</v>
      </c>
      <c r="N8762" s="22" t="str">
        <f t="shared" ref="N8762:N8825" si="790">+LEFT(M8762,3)</f>
        <v>GAL</v>
      </c>
      <c r="O8762" s="19">
        <v>180</v>
      </c>
    </row>
    <row r="8763" spans="2:15" x14ac:dyDescent="0.25">
      <c r="B8763" s="16" t="s">
        <v>154</v>
      </c>
      <c r="C8763" s="17" t="s">
        <v>155</v>
      </c>
      <c r="D8763" s="17" t="s">
        <v>161</v>
      </c>
      <c r="E8763" s="17" t="s">
        <v>162</v>
      </c>
      <c r="F8763" s="18">
        <f>DATE(2025,9,9)</f>
        <v>45909</v>
      </c>
      <c r="G8763" s="22">
        <f t="shared" si="788"/>
        <v>9</v>
      </c>
      <c r="H8763" s="22">
        <f t="shared" si="789"/>
        <v>2025</v>
      </c>
      <c r="I8763" s="17" t="s">
        <v>4</v>
      </c>
      <c r="J8763" s="17" t="s">
        <v>9176</v>
      </c>
      <c r="K8763" s="17" t="s">
        <v>1853</v>
      </c>
      <c r="L8763" s="17" t="s">
        <v>1854</v>
      </c>
      <c r="M8763" s="17" t="s">
        <v>1816</v>
      </c>
      <c r="N8763" s="22" t="str">
        <f t="shared" si="790"/>
        <v>GAL</v>
      </c>
      <c r="O8763" s="19">
        <v>180</v>
      </c>
    </row>
    <row r="8764" spans="2:15" x14ac:dyDescent="0.25">
      <c r="B8764" s="16" t="s">
        <v>154</v>
      </c>
      <c r="C8764" s="17" t="s">
        <v>155</v>
      </c>
      <c r="D8764" s="17" t="s">
        <v>161</v>
      </c>
      <c r="E8764" s="17" t="s">
        <v>162</v>
      </c>
      <c r="F8764" s="18">
        <f>DATE(2025,9,9)</f>
        <v>45909</v>
      </c>
      <c r="G8764" s="22">
        <f t="shared" si="788"/>
        <v>9</v>
      </c>
      <c r="H8764" s="22">
        <f t="shared" si="789"/>
        <v>2025</v>
      </c>
      <c r="I8764" s="17" t="s">
        <v>4</v>
      </c>
      <c r="J8764" s="17" t="s">
        <v>9176</v>
      </c>
      <c r="K8764" s="17" t="s">
        <v>164</v>
      </c>
      <c r="L8764" s="17" t="s">
        <v>165</v>
      </c>
      <c r="M8764" s="17" t="s">
        <v>166</v>
      </c>
      <c r="N8764" s="22" t="str">
        <f t="shared" si="790"/>
        <v>GAL</v>
      </c>
      <c r="O8764" s="19">
        <v>540</v>
      </c>
    </row>
    <row r="8765" spans="2:15" x14ac:dyDescent="0.25">
      <c r="B8765" s="16" t="s">
        <v>154</v>
      </c>
      <c r="C8765" s="17" t="s">
        <v>155</v>
      </c>
      <c r="D8765" s="17" t="s">
        <v>507</v>
      </c>
      <c r="E8765" s="17" t="s">
        <v>993</v>
      </c>
      <c r="F8765" s="18">
        <f>DATE(2025,9,10)</f>
        <v>45910</v>
      </c>
      <c r="G8765" s="22">
        <f t="shared" si="788"/>
        <v>9</v>
      </c>
      <c r="H8765" s="22">
        <f t="shared" si="789"/>
        <v>2025</v>
      </c>
      <c r="I8765" s="17" t="s">
        <v>4</v>
      </c>
      <c r="J8765" s="17" t="s">
        <v>9177</v>
      </c>
      <c r="K8765" s="17" t="s">
        <v>164</v>
      </c>
      <c r="L8765" s="17" t="s">
        <v>165</v>
      </c>
      <c r="M8765" s="17" t="s">
        <v>166</v>
      </c>
      <c r="N8765" s="22" t="str">
        <f t="shared" si="790"/>
        <v>GAL</v>
      </c>
      <c r="O8765" s="19">
        <v>360</v>
      </c>
    </row>
    <row r="8766" spans="2:15" x14ac:dyDescent="0.25">
      <c r="B8766" s="16" t="s">
        <v>645</v>
      </c>
      <c r="C8766" s="17" t="s">
        <v>155</v>
      </c>
      <c r="D8766" s="17" t="s">
        <v>646</v>
      </c>
      <c r="E8766" s="17" t="s">
        <v>647</v>
      </c>
      <c r="F8766" s="18">
        <f>DATE(2025,9,10)</f>
        <v>45910</v>
      </c>
      <c r="G8766" s="22">
        <f t="shared" si="788"/>
        <v>9</v>
      </c>
      <c r="H8766" s="22">
        <f t="shared" si="789"/>
        <v>2025</v>
      </c>
      <c r="I8766" s="17" t="s">
        <v>4</v>
      </c>
      <c r="J8766" s="17" t="s">
        <v>9178</v>
      </c>
      <c r="K8766" s="17" t="s">
        <v>631</v>
      </c>
      <c r="L8766" s="17" t="s">
        <v>632</v>
      </c>
      <c r="M8766" s="17" t="s">
        <v>633</v>
      </c>
      <c r="N8766" s="22" t="str">
        <f t="shared" si="790"/>
        <v>GAL</v>
      </c>
      <c r="O8766" s="19">
        <v>250</v>
      </c>
    </row>
    <row r="8767" spans="2:15" x14ac:dyDescent="0.25">
      <c r="B8767" s="16" t="s">
        <v>154</v>
      </c>
      <c r="C8767" s="17" t="s">
        <v>155</v>
      </c>
      <c r="D8767" s="17" t="s">
        <v>167</v>
      </c>
      <c r="E8767" s="17" t="s">
        <v>168</v>
      </c>
      <c r="F8767" s="18">
        <f>DATE(2025,9,10)</f>
        <v>45910</v>
      </c>
      <c r="G8767" s="22">
        <f t="shared" si="788"/>
        <v>9</v>
      </c>
      <c r="H8767" s="22">
        <f t="shared" si="789"/>
        <v>2025</v>
      </c>
      <c r="I8767" s="17" t="s">
        <v>4</v>
      </c>
      <c r="J8767" s="17" t="s">
        <v>9179</v>
      </c>
      <c r="K8767" s="17" t="s">
        <v>171</v>
      </c>
      <c r="L8767" s="17" t="s">
        <v>172</v>
      </c>
      <c r="M8767" s="17" t="s">
        <v>27</v>
      </c>
      <c r="N8767" s="22" t="str">
        <f t="shared" si="790"/>
        <v>GAL</v>
      </c>
      <c r="O8767" s="19">
        <v>180</v>
      </c>
    </row>
    <row r="8768" spans="2:15" x14ac:dyDescent="0.25">
      <c r="B8768" s="16" t="s">
        <v>154</v>
      </c>
      <c r="C8768" s="17" t="s">
        <v>155</v>
      </c>
      <c r="D8768" s="17" t="s">
        <v>507</v>
      </c>
      <c r="E8768" s="17" t="s">
        <v>508</v>
      </c>
      <c r="F8768" s="18">
        <f>DATE(2025,9,10)</f>
        <v>45910</v>
      </c>
      <c r="G8768" s="22">
        <f t="shared" si="788"/>
        <v>9</v>
      </c>
      <c r="H8768" s="22">
        <f t="shared" si="789"/>
        <v>2025</v>
      </c>
      <c r="I8768" s="17" t="s">
        <v>4</v>
      </c>
      <c r="J8768" s="17" t="s">
        <v>9180</v>
      </c>
      <c r="K8768" s="17" t="s">
        <v>8348</v>
      </c>
      <c r="L8768" s="17" t="s">
        <v>1854</v>
      </c>
      <c r="M8768" s="17" t="s">
        <v>1816</v>
      </c>
      <c r="N8768" s="22" t="str">
        <f t="shared" si="790"/>
        <v>GAL</v>
      </c>
      <c r="O8768" s="19">
        <v>250</v>
      </c>
    </row>
    <row r="8769" spans="2:15" x14ac:dyDescent="0.25">
      <c r="B8769" s="16" t="s">
        <v>154</v>
      </c>
      <c r="C8769" s="17" t="s">
        <v>155</v>
      </c>
      <c r="D8769" s="17" t="s">
        <v>507</v>
      </c>
      <c r="E8769" s="17" t="s">
        <v>508</v>
      </c>
      <c r="F8769" s="18">
        <f>DATE(2025,9,10)</f>
        <v>45910</v>
      </c>
      <c r="G8769" s="22">
        <f t="shared" si="788"/>
        <v>9</v>
      </c>
      <c r="H8769" s="22">
        <f t="shared" si="789"/>
        <v>2025</v>
      </c>
      <c r="I8769" s="17" t="s">
        <v>4</v>
      </c>
      <c r="J8769" s="17" t="s">
        <v>9180</v>
      </c>
      <c r="K8769" s="17" t="s">
        <v>8349</v>
      </c>
      <c r="L8769" s="17" t="s">
        <v>1267</v>
      </c>
      <c r="M8769" s="17" t="s">
        <v>191</v>
      </c>
      <c r="N8769" s="22" t="str">
        <f t="shared" si="790"/>
        <v>GAL</v>
      </c>
      <c r="O8769" s="19">
        <v>250</v>
      </c>
    </row>
    <row r="8770" spans="2:15" x14ac:dyDescent="0.25">
      <c r="B8770" s="16" t="s">
        <v>154</v>
      </c>
      <c r="C8770" s="17" t="s">
        <v>155</v>
      </c>
      <c r="D8770" s="17" t="s">
        <v>161</v>
      </c>
      <c r="E8770" s="17" t="s">
        <v>162</v>
      </c>
      <c r="F8770" s="18">
        <f t="shared" ref="F8770:F8775" si="791">DATE(2025,9,17)</f>
        <v>45917</v>
      </c>
      <c r="G8770" s="22">
        <f t="shared" si="788"/>
        <v>9</v>
      </c>
      <c r="H8770" s="22">
        <f t="shared" si="789"/>
        <v>2025</v>
      </c>
      <c r="I8770" s="17" t="s">
        <v>4</v>
      </c>
      <c r="J8770" s="17" t="s">
        <v>9181</v>
      </c>
      <c r="K8770" s="17" t="s">
        <v>1814</v>
      </c>
      <c r="L8770" s="17" t="s">
        <v>1815</v>
      </c>
      <c r="M8770" s="17" t="s">
        <v>1816</v>
      </c>
      <c r="N8770" s="22" t="str">
        <f t="shared" si="790"/>
        <v>GAL</v>
      </c>
      <c r="O8770" s="19">
        <v>180</v>
      </c>
    </row>
    <row r="8771" spans="2:15" x14ac:dyDescent="0.25">
      <c r="B8771" s="16" t="s">
        <v>154</v>
      </c>
      <c r="C8771" s="17" t="s">
        <v>155</v>
      </c>
      <c r="D8771" s="17" t="s">
        <v>161</v>
      </c>
      <c r="E8771" s="17" t="s">
        <v>162</v>
      </c>
      <c r="F8771" s="18">
        <f t="shared" si="791"/>
        <v>45917</v>
      </c>
      <c r="G8771" s="22">
        <f t="shared" si="788"/>
        <v>9</v>
      </c>
      <c r="H8771" s="22">
        <f t="shared" si="789"/>
        <v>2025</v>
      </c>
      <c r="I8771" s="17" t="s">
        <v>4</v>
      </c>
      <c r="J8771" s="17" t="s">
        <v>9182</v>
      </c>
      <c r="K8771" s="17" t="s">
        <v>1869</v>
      </c>
      <c r="L8771" s="17" t="s">
        <v>172</v>
      </c>
      <c r="M8771" s="17" t="s">
        <v>27</v>
      </c>
      <c r="N8771" s="22" t="str">
        <f t="shared" si="790"/>
        <v>GAL</v>
      </c>
      <c r="O8771" s="19">
        <v>250</v>
      </c>
    </row>
    <row r="8772" spans="2:15" x14ac:dyDescent="0.25">
      <c r="B8772" s="16" t="s">
        <v>154</v>
      </c>
      <c r="C8772" s="17" t="s">
        <v>155</v>
      </c>
      <c r="D8772" s="17" t="s">
        <v>167</v>
      </c>
      <c r="E8772" s="17" t="s">
        <v>168</v>
      </c>
      <c r="F8772" s="18">
        <f t="shared" si="791"/>
        <v>45917</v>
      </c>
      <c r="G8772" s="22">
        <f t="shared" si="788"/>
        <v>9</v>
      </c>
      <c r="H8772" s="22">
        <f t="shared" si="789"/>
        <v>2025</v>
      </c>
      <c r="I8772" s="17" t="s">
        <v>4</v>
      </c>
      <c r="J8772" s="17" t="s">
        <v>9183</v>
      </c>
      <c r="K8772" s="17" t="s">
        <v>1814</v>
      </c>
      <c r="L8772" s="17" t="s">
        <v>1815</v>
      </c>
      <c r="M8772" s="17" t="s">
        <v>1816</v>
      </c>
      <c r="N8772" s="22" t="str">
        <f t="shared" si="790"/>
        <v>GAL</v>
      </c>
      <c r="O8772" s="19">
        <v>180</v>
      </c>
    </row>
    <row r="8773" spans="2:15" x14ac:dyDescent="0.25">
      <c r="B8773" s="16" t="s">
        <v>154</v>
      </c>
      <c r="C8773" s="17" t="s">
        <v>155</v>
      </c>
      <c r="D8773" s="17" t="s">
        <v>107</v>
      </c>
      <c r="E8773" s="17" t="s">
        <v>108</v>
      </c>
      <c r="F8773" s="18">
        <f t="shared" si="791"/>
        <v>45917</v>
      </c>
      <c r="G8773" s="22">
        <f t="shared" si="788"/>
        <v>9</v>
      </c>
      <c r="H8773" s="22">
        <f t="shared" si="789"/>
        <v>2025</v>
      </c>
      <c r="I8773" s="17" t="s">
        <v>4</v>
      </c>
      <c r="J8773" s="17" t="s">
        <v>9184</v>
      </c>
      <c r="K8773" s="17" t="s">
        <v>158</v>
      </c>
      <c r="L8773" s="17" t="s">
        <v>159</v>
      </c>
      <c r="M8773" s="17" t="s">
        <v>160</v>
      </c>
      <c r="N8773" s="22" t="str">
        <f t="shared" si="790"/>
        <v>GAL</v>
      </c>
      <c r="O8773" s="19">
        <v>360</v>
      </c>
    </row>
    <row r="8774" spans="2:15" x14ac:dyDescent="0.25">
      <c r="B8774" s="16" t="s">
        <v>154</v>
      </c>
      <c r="C8774" s="17" t="s">
        <v>155</v>
      </c>
      <c r="D8774" s="17" t="s">
        <v>107</v>
      </c>
      <c r="E8774" s="17" t="s">
        <v>108</v>
      </c>
      <c r="F8774" s="18">
        <f t="shared" si="791"/>
        <v>45917</v>
      </c>
      <c r="G8774" s="22">
        <f t="shared" si="788"/>
        <v>9</v>
      </c>
      <c r="H8774" s="22">
        <f t="shared" si="789"/>
        <v>2025</v>
      </c>
      <c r="I8774" s="17" t="s">
        <v>4</v>
      </c>
      <c r="J8774" s="17" t="s">
        <v>9184</v>
      </c>
      <c r="K8774" s="17" t="s">
        <v>189</v>
      </c>
      <c r="L8774" s="17" t="s">
        <v>190</v>
      </c>
      <c r="M8774" s="17" t="s">
        <v>191</v>
      </c>
      <c r="N8774" s="22" t="str">
        <f t="shared" si="790"/>
        <v>GAL</v>
      </c>
      <c r="O8774" s="19">
        <v>180</v>
      </c>
    </row>
    <row r="8775" spans="2:15" x14ac:dyDescent="0.25">
      <c r="B8775" s="16" t="s">
        <v>154</v>
      </c>
      <c r="C8775" s="17" t="s">
        <v>155</v>
      </c>
      <c r="D8775" s="17" t="s">
        <v>107</v>
      </c>
      <c r="E8775" s="17" t="s">
        <v>108</v>
      </c>
      <c r="F8775" s="18">
        <f t="shared" si="791"/>
        <v>45917</v>
      </c>
      <c r="G8775" s="22">
        <f t="shared" si="788"/>
        <v>9</v>
      </c>
      <c r="H8775" s="22">
        <f t="shared" si="789"/>
        <v>2025</v>
      </c>
      <c r="I8775" s="17" t="s">
        <v>4</v>
      </c>
      <c r="J8775" s="17" t="s">
        <v>9184</v>
      </c>
      <c r="K8775" s="17" t="s">
        <v>244</v>
      </c>
      <c r="L8775" s="17" t="s">
        <v>182</v>
      </c>
      <c r="M8775" s="17" t="s">
        <v>183</v>
      </c>
      <c r="N8775" s="22" t="str">
        <f t="shared" si="790"/>
        <v>GAL</v>
      </c>
      <c r="O8775" s="19">
        <v>30</v>
      </c>
    </row>
    <row r="8776" spans="2:15" x14ac:dyDescent="0.25">
      <c r="B8776" s="16" t="s">
        <v>154</v>
      </c>
      <c r="C8776" s="17" t="s">
        <v>155</v>
      </c>
      <c r="D8776" s="17" t="s">
        <v>3198</v>
      </c>
      <c r="E8776" s="17" t="s">
        <v>174</v>
      </c>
      <c r="F8776" s="18">
        <f>DATE(2025,9,18)</f>
        <v>45918</v>
      </c>
      <c r="G8776" s="22">
        <f t="shared" si="788"/>
        <v>9</v>
      </c>
      <c r="H8776" s="22">
        <f t="shared" si="789"/>
        <v>2025</v>
      </c>
      <c r="I8776" s="17" t="s">
        <v>4</v>
      </c>
      <c r="J8776" s="17" t="s">
        <v>9185</v>
      </c>
      <c r="K8776" s="17" t="s">
        <v>158</v>
      </c>
      <c r="L8776" s="17" t="s">
        <v>159</v>
      </c>
      <c r="M8776" s="17" t="s">
        <v>160</v>
      </c>
      <c r="N8776" s="22" t="str">
        <f t="shared" si="790"/>
        <v>GAL</v>
      </c>
      <c r="O8776" s="19">
        <v>540</v>
      </c>
    </row>
    <row r="8777" spans="2:15" x14ac:dyDescent="0.25">
      <c r="B8777" s="16" t="s">
        <v>154</v>
      </c>
      <c r="C8777" s="17" t="s">
        <v>155</v>
      </c>
      <c r="D8777" s="17" t="s">
        <v>3198</v>
      </c>
      <c r="E8777" s="17" t="s">
        <v>174</v>
      </c>
      <c r="F8777" s="18">
        <f>DATE(2025,9,18)</f>
        <v>45918</v>
      </c>
      <c r="G8777" s="22">
        <f t="shared" si="788"/>
        <v>9</v>
      </c>
      <c r="H8777" s="22">
        <f t="shared" si="789"/>
        <v>2025</v>
      </c>
      <c r="I8777" s="17" t="s">
        <v>4</v>
      </c>
      <c r="J8777" s="17" t="s">
        <v>9185</v>
      </c>
      <c r="K8777" s="17" t="s">
        <v>1643</v>
      </c>
      <c r="L8777" s="17" t="s">
        <v>1644</v>
      </c>
      <c r="M8777" s="17" t="s">
        <v>46</v>
      </c>
      <c r="N8777" s="22" t="str">
        <f t="shared" si="790"/>
        <v>GAL</v>
      </c>
      <c r="O8777" s="19">
        <v>360</v>
      </c>
    </row>
    <row r="8778" spans="2:15" x14ac:dyDescent="0.25">
      <c r="B8778" s="16" t="s">
        <v>154</v>
      </c>
      <c r="C8778" s="17" t="s">
        <v>155</v>
      </c>
      <c r="D8778" s="17" t="s">
        <v>507</v>
      </c>
      <c r="E8778" s="17" t="s">
        <v>508</v>
      </c>
      <c r="F8778" s="18">
        <f>DATE(2025,9,19)</f>
        <v>45919</v>
      </c>
      <c r="G8778" s="22">
        <f t="shared" si="788"/>
        <v>9</v>
      </c>
      <c r="H8778" s="22">
        <f t="shared" si="789"/>
        <v>2025</v>
      </c>
      <c r="I8778" s="17" t="s">
        <v>4</v>
      </c>
      <c r="J8778" s="17" t="s">
        <v>9186</v>
      </c>
      <c r="K8778" s="17" t="s">
        <v>164</v>
      </c>
      <c r="L8778" s="17" t="s">
        <v>165</v>
      </c>
      <c r="M8778" s="17" t="s">
        <v>166</v>
      </c>
      <c r="N8778" s="22" t="str">
        <f t="shared" si="790"/>
        <v>GAL</v>
      </c>
      <c r="O8778" s="19">
        <v>360</v>
      </c>
    </row>
    <row r="8779" spans="2:15" x14ac:dyDescent="0.25">
      <c r="B8779" s="16" t="s">
        <v>154</v>
      </c>
      <c r="C8779" s="17" t="s">
        <v>155</v>
      </c>
      <c r="D8779" s="17" t="s">
        <v>507</v>
      </c>
      <c r="E8779" s="17" t="s">
        <v>508</v>
      </c>
      <c r="F8779" s="18">
        <f>DATE(2025,9,19)</f>
        <v>45919</v>
      </c>
      <c r="G8779" s="22">
        <f t="shared" si="788"/>
        <v>9</v>
      </c>
      <c r="H8779" s="22">
        <f t="shared" si="789"/>
        <v>2025</v>
      </c>
      <c r="I8779" s="17" t="s">
        <v>4</v>
      </c>
      <c r="J8779" s="17" t="s">
        <v>9186</v>
      </c>
      <c r="K8779" s="17" t="s">
        <v>185</v>
      </c>
      <c r="L8779" s="17" t="s">
        <v>165</v>
      </c>
      <c r="M8779" s="17" t="s">
        <v>166</v>
      </c>
      <c r="N8779" s="22" t="str">
        <f t="shared" si="790"/>
        <v>GAL</v>
      </c>
      <c r="O8779" s="19">
        <v>750</v>
      </c>
    </row>
    <row r="8780" spans="2:15" x14ac:dyDescent="0.25">
      <c r="B8780" s="16" t="s">
        <v>154</v>
      </c>
      <c r="C8780" s="17" t="s">
        <v>155</v>
      </c>
      <c r="D8780" s="17" t="s">
        <v>591</v>
      </c>
      <c r="E8780" s="17" t="s">
        <v>592</v>
      </c>
      <c r="F8780" s="18">
        <f>DATE(2025,9,23)</f>
        <v>45923</v>
      </c>
      <c r="G8780" s="22">
        <f t="shared" si="788"/>
        <v>9</v>
      </c>
      <c r="H8780" s="22">
        <f t="shared" si="789"/>
        <v>2025</v>
      </c>
      <c r="I8780" s="17" t="s">
        <v>4</v>
      </c>
      <c r="J8780" s="17" t="s">
        <v>9187</v>
      </c>
      <c r="K8780" s="17" t="s">
        <v>1098</v>
      </c>
      <c r="L8780" s="17" t="s">
        <v>632</v>
      </c>
      <c r="M8780" s="17" t="s">
        <v>633</v>
      </c>
      <c r="N8780" s="22" t="str">
        <f t="shared" si="790"/>
        <v>GAL</v>
      </c>
      <c r="O8780" s="19">
        <v>2979.46</v>
      </c>
    </row>
    <row r="8781" spans="2:15" x14ac:dyDescent="0.25">
      <c r="B8781" s="16" t="s">
        <v>154</v>
      </c>
      <c r="C8781" s="17" t="s">
        <v>155</v>
      </c>
      <c r="D8781" s="17" t="s">
        <v>167</v>
      </c>
      <c r="E8781" s="17" t="s">
        <v>168</v>
      </c>
      <c r="F8781" s="18">
        <f>DATE(2025,9,24)</f>
        <v>45924</v>
      </c>
      <c r="G8781" s="22">
        <f t="shared" si="788"/>
        <v>9</v>
      </c>
      <c r="H8781" s="22">
        <f t="shared" si="789"/>
        <v>2025</v>
      </c>
      <c r="I8781" s="17" t="s">
        <v>4</v>
      </c>
      <c r="J8781" s="17" t="s">
        <v>9188</v>
      </c>
      <c r="K8781" s="17" t="s">
        <v>1814</v>
      </c>
      <c r="L8781" s="17" t="s">
        <v>1815</v>
      </c>
      <c r="M8781" s="17" t="s">
        <v>1816</v>
      </c>
      <c r="N8781" s="22" t="str">
        <f t="shared" si="790"/>
        <v>GAL</v>
      </c>
      <c r="O8781" s="19">
        <v>180</v>
      </c>
    </row>
    <row r="8782" spans="2:15" x14ac:dyDescent="0.25">
      <c r="B8782" s="16" t="s">
        <v>154</v>
      </c>
      <c r="C8782" s="17" t="s">
        <v>155</v>
      </c>
      <c r="D8782" s="17" t="s">
        <v>623</v>
      </c>
      <c r="E8782" s="17" t="s">
        <v>624</v>
      </c>
      <c r="F8782" s="18">
        <f>DATE(2025,9,29)</f>
        <v>45929</v>
      </c>
      <c r="G8782" s="22">
        <f t="shared" si="788"/>
        <v>9</v>
      </c>
      <c r="H8782" s="22">
        <f t="shared" si="789"/>
        <v>2025</v>
      </c>
      <c r="I8782" s="17" t="s">
        <v>4</v>
      </c>
      <c r="J8782" s="17" t="s">
        <v>9189</v>
      </c>
      <c r="K8782" s="17" t="s">
        <v>9190</v>
      </c>
      <c r="L8782" s="17" t="s">
        <v>9191</v>
      </c>
      <c r="M8782" s="17" t="s">
        <v>119</v>
      </c>
      <c r="N8782" s="22" t="str">
        <f t="shared" si="790"/>
        <v>TON</v>
      </c>
      <c r="O8782" s="19">
        <v>15.005000000000001</v>
      </c>
    </row>
    <row r="8783" spans="2:15" x14ac:dyDescent="0.25">
      <c r="B8783" s="16" t="s">
        <v>154</v>
      </c>
      <c r="C8783" s="17" t="s">
        <v>155</v>
      </c>
      <c r="D8783" s="17" t="s">
        <v>178</v>
      </c>
      <c r="E8783" s="17" t="s">
        <v>179</v>
      </c>
      <c r="F8783" s="18">
        <f>DATE(2025,9,30)</f>
        <v>45930</v>
      </c>
      <c r="G8783" s="22">
        <f t="shared" si="788"/>
        <v>9</v>
      </c>
      <c r="H8783" s="22">
        <f t="shared" si="789"/>
        <v>2025</v>
      </c>
      <c r="I8783" s="17" t="s">
        <v>4</v>
      </c>
      <c r="J8783" s="17" t="s">
        <v>9192</v>
      </c>
      <c r="K8783" s="17" t="s">
        <v>158</v>
      </c>
      <c r="L8783" s="17" t="s">
        <v>159</v>
      </c>
      <c r="M8783" s="17" t="s">
        <v>160</v>
      </c>
      <c r="N8783" s="22" t="str">
        <f t="shared" si="790"/>
        <v>GAL</v>
      </c>
      <c r="O8783" s="19">
        <v>180</v>
      </c>
    </row>
    <row r="8784" spans="2:15" x14ac:dyDescent="0.25">
      <c r="B8784" s="16" t="s">
        <v>154</v>
      </c>
      <c r="C8784" s="17" t="s">
        <v>155</v>
      </c>
      <c r="D8784" s="17" t="s">
        <v>178</v>
      </c>
      <c r="E8784" s="17" t="s">
        <v>179</v>
      </c>
      <c r="F8784" s="18">
        <f>DATE(2025,9,30)</f>
        <v>45930</v>
      </c>
      <c r="G8784" s="22">
        <f t="shared" si="788"/>
        <v>9</v>
      </c>
      <c r="H8784" s="22">
        <f t="shared" si="789"/>
        <v>2025</v>
      </c>
      <c r="I8784" s="17" t="s">
        <v>4</v>
      </c>
      <c r="J8784" s="17" t="s">
        <v>9192</v>
      </c>
      <c r="K8784" s="17" t="s">
        <v>25</v>
      </c>
      <c r="L8784" s="17" t="s">
        <v>541</v>
      </c>
      <c r="M8784" s="17" t="s">
        <v>27</v>
      </c>
      <c r="N8784" s="22" t="str">
        <f t="shared" si="790"/>
        <v>GAL</v>
      </c>
      <c r="O8784" s="19">
        <v>60</v>
      </c>
    </row>
    <row r="8785" spans="2:15" x14ac:dyDescent="0.25">
      <c r="B8785" s="16" t="s">
        <v>154</v>
      </c>
      <c r="C8785" s="17" t="s">
        <v>155</v>
      </c>
      <c r="D8785" s="17" t="s">
        <v>178</v>
      </c>
      <c r="E8785" s="17" t="s">
        <v>179</v>
      </c>
      <c r="F8785" s="18">
        <f>DATE(2025,9,30)</f>
        <v>45930</v>
      </c>
      <c r="G8785" s="22">
        <f t="shared" si="788"/>
        <v>9</v>
      </c>
      <c r="H8785" s="22">
        <f t="shared" si="789"/>
        <v>2025</v>
      </c>
      <c r="I8785" s="17" t="s">
        <v>4</v>
      </c>
      <c r="J8785" s="17" t="s">
        <v>9192</v>
      </c>
      <c r="K8785" s="17" t="s">
        <v>1119</v>
      </c>
      <c r="L8785" s="17" t="s">
        <v>1023</v>
      </c>
      <c r="M8785" s="17" t="s">
        <v>1024</v>
      </c>
      <c r="N8785" s="22" t="str">
        <f t="shared" si="790"/>
        <v>GAL</v>
      </c>
      <c r="O8785" s="19">
        <v>60</v>
      </c>
    </row>
    <row r="8786" spans="2:15" x14ac:dyDescent="0.25">
      <c r="B8786" s="16" t="s">
        <v>645</v>
      </c>
      <c r="C8786" s="17" t="s">
        <v>196</v>
      </c>
      <c r="D8786" s="17" t="s">
        <v>7848</v>
      </c>
      <c r="E8786" s="17" t="s">
        <v>102</v>
      </c>
      <c r="F8786" s="18">
        <f>DATE(2025,9,2)</f>
        <v>45902</v>
      </c>
      <c r="G8786" s="22">
        <f t="shared" si="788"/>
        <v>9</v>
      </c>
      <c r="H8786" s="22">
        <f t="shared" si="789"/>
        <v>2025</v>
      </c>
      <c r="I8786" s="17" t="s">
        <v>4</v>
      </c>
      <c r="J8786" s="17" t="s">
        <v>9193</v>
      </c>
      <c r="K8786" s="17" t="s">
        <v>36</v>
      </c>
      <c r="L8786" s="17" t="s">
        <v>511</v>
      </c>
      <c r="M8786" s="17" t="s">
        <v>38</v>
      </c>
      <c r="N8786" s="22" t="str">
        <f t="shared" si="790"/>
        <v>GAL</v>
      </c>
      <c r="O8786" s="19">
        <v>5</v>
      </c>
    </row>
    <row r="8787" spans="2:15" x14ac:dyDescent="0.25">
      <c r="B8787" s="16" t="s">
        <v>1520</v>
      </c>
      <c r="C8787" s="17" t="s">
        <v>196</v>
      </c>
      <c r="D8787" s="17" t="s">
        <v>294</v>
      </c>
      <c r="E8787" s="17" t="s">
        <v>295</v>
      </c>
      <c r="F8787" s="18">
        <f>DATE(2025,9,3)</f>
        <v>45903</v>
      </c>
      <c r="G8787" s="22">
        <f t="shared" si="788"/>
        <v>9</v>
      </c>
      <c r="H8787" s="22">
        <f t="shared" si="789"/>
        <v>2025</v>
      </c>
      <c r="I8787" s="17" t="s">
        <v>4</v>
      </c>
      <c r="J8787" s="17" t="s">
        <v>9194</v>
      </c>
      <c r="K8787" s="17" t="s">
        <v>122</v>
      </c>
      <c r="L8787" s="17" t="s">
        <v>123</v>
      </c>
      <c r="M8787" s="17" t="s">
        <v>119</v>
      </c>
      <c r="N8787" s="22" t="str">
        <f t="shared" si="790"/>
        <v>TON</v>
      </c>
      <c r="O8787" s="19">
        <v>7.46</v>
      </c>
    </row>
    <row r="8788" spans="2:15" x14ac:dyDescent="0.25">
      <c r="B8788" s="16" t="s">
        <v>1520</v>
      </c>
      <c r="C8788" s="17" t="s">
        <v>196</v>
      </c>
      <c r="D8788" s="17" t="s">
        <v>207</v>
      </c>
      <c r="E8788" s="17" t="s">
        <v>208</v>
      </c>
      <c r="F8788" s="18">
        <f>DATE(2025,9,3)</f>
        <v>45903</v>
      </c>
      <c r="G8788" s="22">
        <f t="shared" si="788"/>
        <v>9</v>
      </c>
      <c r="H8788" s="22">
        <f t="shared" si="789"/>
        <v>2025</v>
      </c>
      <c r="I8788" s="17" t="s">
        <v>4</v>
      </c>
      <c r="J8788" s="17" t="s">
        <v>9195</v>
      </c>
      <c r="K8788" s="17" t="s">
        <v>205</v>
      </c>
      <c r="L8788" s="17" t="s">
        <v>206</v>
      </c>
      <c r="M8788" s="17" t="s">
        <v>119</v>
      </c>
      <c r="N8788" s="22" t="str">
        <f t="shared" si="790"/>
        <v>TON</v>
      </c>
      <c r="O8788" s="19">
        <v>2.2675000000000001</v>
      </c>
    </row>
    <row r="8789" spans="2:15" x14ac:dyDescent="0.25">
      <c r="B8789" s="16" t="s">
        <v>1520</v>
      </c>
      <c r="C8789" s="17" t="s">
        <v>196</v>
      </c>
      <c r="D8789" s="17" t="s">
        <v>207</v>
      </c>
      <c r="E8789" s="17" t="s">
        <v>208</v>
      </c>
      <c r="F8789" s="18">
        <f>DATE(2025,9,3)</f>
        <v>45903</v>
      </c>
      <c r="G8789" s="22">
        <f t="shared" si="788"/>
        <v>9</v>
      </c>
      <c r="H8789" s="22">
        <f t="shared" si="789"/>
        <v>2025</v>
      </c>
      <c r="I8789" s="17" t="s">
        <v>4</v>
      </c>
      <c r="J8789" s="17" t="s">
        <v>9196</v>
      </c>
      <c r="K8789" s="17" t="s">
        <v>3455</v>
      </c>
      <c r="L8789" s="17" t="s">
        <v>3456</v>
      </c>
      <c r="M8789" s="17" t="s">
        <v>119</v>
      </c>
      <c r="N8789" s="22" t="str">
        <f t="shared" si="790"/>
        <v>TON</v>
      </c>
      <c r="O8789" s="19">
        <v>1.5024999999999999</v>
      </c>
    </row>
    <row r="8790" spans="2:15" x14ac:dyDescent="0.25">
      <c r="B8790" s="16" t="s">
        <v>1520</v>
      </c>
      <c r="C8790" s="17" t="s">
        <v>196</v>
      </c>
      <c r="D8790" s="17" t="s">
        <v>265</v>
      </c>
      <c r="E8790" s="17" t="s">
        <v>266</v>
      </c>
      <c r="F8790" s="18">
        <f>DATE(2025,9,3)</f>
        <v>45903</v>
      </c>
      <c r="G8790" s="22">
        <f t="shared" si="788"/>
        <v>9</v>
      </c>
      <c r="H8790" s="22">
        <f t="shared" si="789"/>
        <v>2025</v>
      </c>
      <c r="I8790" s="17" t="s">
        <v>4</v>
      </c>
      <c r="J8790" s="17" t="s">
        <v>9197</v>
      </c>
      <c r="K8790" s="17" t="s">
        <v>268</v>
      </c>
      <c r="L8790" s="17" t="s">
        <v>269</v>
      </c>
      <c r="M8790" s="17" t="s">
        <v>119</v>
      </c>
      <c r="N8790" s="22" t="str">
        <f t="shared" si="790"/>
        <v>TON</v>
      </c>
      <c r="O8790" s="19">
        <v>0.15</v>
      </c>
    </row>
    <row r="8791" spans="2:15" x14ac:dyDescent="0.25">
      <c r="B8791" s="16" t="s">
        <v>1520</v>
      </c>
      <c r="C8791" s="17" t="s">
        <v>196</v>
      </c>
      <c r="D8791" s="17" t="s">
        <v>114</v>
      </c>
      <c r="E8791" s="17" t="s">
        <v>115</v>
      </c>
      <c r="F8791" s="18">
        <f>DATE(2025,9,4)</f>
        <v>45904</v>
      </c>
      <c r="G8791" s="22">
        <f t="shared" si="788"/>
        <v>9</v>
      </c>
      <c r="H8791" s="22">
        <f t="shared" si="789"/>
        <v>2025</v>
      </c>
      <c r="I8791" s="17" t="s">
        <v>4</v>
      </c>
      <c r="J8791" s="17" t="s">
        <v>9198</v>
      </c>
      <c r="K8791" s="17" t="s">
        <v>6857</v>
      </c>
      <c r="L8791" s="17" t="s">
        <v>6858</v>
      </c>
      <c r="M8791" s="17" t="s">
        <v>6859</v>
      </c>
      <c r="N8791" s="22" t="str">
        <f t="shared" si="790"/>
        <v>GAL</v>
      </c>
      <c r="O8791" s="19">
        <v>3000</v>
      </c>
    </row>
    <row r="8792" spans="2:15" x14ac:dyDescent="0.25">
      <c r="B8792" s="16" t="s">
        <v>1520</v>
      </c>
      <c r="C8792" s="17" t="s">
        <v>196</v>
      </c>
      <c r="D8792" s="17" t="s">
        <v>114</v>
      </c>
      <c r="E8792" s="17" t="s">
        <v>115</v>
      </c>
      <c r="F8792" s="18">
        <f>DATE(2025,9,9)</f>
        <v>45909</v>
      </c>
      <c r="G8792" s="22">
        <f t="shared" si="788"/>
        <v>9</v>
      </c>
      <c r="H8792" s="22">
        <f t="shared" si="789"/>
        <v>2025</v>
      </c>
      <c r="I8792" s="17" t="s">
        <v>4</v>
      </c>
      <c r="J8792" s="17" t="s">
        <v>9199</v>
      </c>
      <c r="K8792" s="17" t="s">
        <v>6857</v>
      </c>
      <c r="L8792" s="17" t="s">
        <v>6858</v>
      </c>
      <c r="M8792" s="17" t="s">
        <v>6859</v>
      </c>
      <c r="N8792" s="22" t="str">
        <f t="shared" si="790"/>
        <v>GAL</v>
      </c>
      <c r="O8792" s="19">
        <v>3000</v>
      </c>
    </row>
    <row r="8793" spans="2:15" x14ac:dyDescent="0.25">
      <c r="B8793" s="16" t="s">
        <v>1520</v>
      </c>
      <c r="C8793" s="17" t="s">
        <v>196</v>
      </c>
      <c r="D8793" s="17" t="s">
        <v>888</v>
      </c>
      <c r="E8793" s="17" t="s">
        <v>888</v>
      </c>
      <c r="F8793" s="18">
        <f>DATE(2025,9,9)</f>
        <v>45909</v>
      </c>
      <c r="G8793" s="22">
        <f t="shared" si="788"/>
        <v>9</v>
      </c>
      <c r="H8793" s="22">
        <f t="shared" si="789"/>
        <v>2025</v>
      </c>
      <c r="I8793" s="17" t="s">
        <v>4</v>
      </c>
      <c r="J8793" s="17" t="s">
        <v>9200</v>
      </c>
      <c r="K8793" s="17" t="s">
        <v>268</v>
      </c>
      <c r="L8793" s="17" t="s">
        <v>269</v>
      </c>
      <c r="M8793" s="17" t="s">
        <v>119</v>
      </c>
      <c r="N8793" s="22" t="str">
        <f t="shared" si="790"/>
        <v>TON</v>
      </c>
      <c r="O8793" s="19">
        <v>0.3</v>
      </c>
    </row>
    <row r="8794" spans="2:15" x14ac:dyDescent="0.25">
      <c r="B8794" s="16" t="s">
        <v>1520</v>
      </c>
      <c r="C8794" s="17" t="s">
        <v>196</v>
      </c>
      <c r="D8794" s="17" t="s">
        <v>289</v>
      </c>
      <c r="E8794" s="17" t="s">
        <v>2380</v>
      </c>
      <c r="F8794" s="18">
        <f>DATE(2025,9,9)</f>
        <v>45909</v>
      </c>
      <c r="G8794" s="22">
        <f t="shared" si="788"/>
        <v>9</v>
      </c>
      <c r="H8794" s="22">
        <f t="shared" si="789"/>
        <v>2025</v>
      </c>
      <c r="I8794" s="17" t="s">
        <v>4</v>
      </c>
      <c r="J8794" s="17" t="s">
        <v>9201</v>
      </c>
      <c r="K8794" s="17" t="s">
        <v>292</v>
      </c>
      <c r="L8794" s="17" t="s">
        <v>293</v>
      </c>
      <c r="M8794" s="17" t="s">
        <v>119</v>
      </c>
      <c r="N8794" s="22" t="str">
        <f t="shared" si="790"/>
        <v>TON</v>
      </c>
      <c r="O8794" s="19">
        <v>1.05</v>
      </c>
    </row>
    <row r="8795" spans="2:15" x14ac:dyDescent="0.25">
      <c r="B8795" s="16" t="s">
        <v>1520</v>
      </c>
      <c r="C8795" s="17" t="s">
        <v>196</v>
      </c>
      <c r="D8795" s="17" t="s">
        <v>285</v>
      </c>
      <c r="E8795" s="17" t="s">
        <v>9202</v>
      </c>
      <c r="F8795" s="18">
        <f>DATE(2025,9,11)</f>
        <v>45911</v>
      </c>
      <c r="G8795" s="22">
        <f t="shared" si="788"/>
        <v>9</v>
      </c>
      <c r="H8795" s="22">
        <f t="shared" si="789"/>
        <v>2025</v>
      </c>
      <c r="I8795" s="17" t="s">
        <v>4</v>
      </c>
      <c r="J8795" s="17" t="s">
        <v>9203</v>
      </c>
      <c r="K8795" s="17" t="s">
        <v>205</v>
      </c>
      <c r="L8795" s="17" t="s">
        <v>206</v>
      </c>
      <c r="M8795" s="17" t="s">
        <v>119</v>
      </c>
      <c r="N8795" s="22" t="str">
        <f t="shared" si="790"/>
        <v>TON</v>
      </c>
      <c r="O8795" s="19">
        <v>15.0175</v>
      </c>
    </row>
    <row r="8796" spans="2:15" x14ac:dyDescent="0.25">
      <c r="B8796" s="16" t="s">
        <v>1520</v>
      </c>
      <c r="C8796" s="17" t="s">
        <v>196</v>
      </c>
      <c r="D8796" s="17" t="s">
        <v>241</v>
      </c>
      <c r="E8796" s="17" t="s">
        <v>242</v>
      </c>
      <c r="F8796" s="18">
        <f>DATE(2025,9,11)</f>
        <v>45911</v>
      </c>
      <c r="G8796" s="22">
        <f t="shared" si="788"/>
        <v>9</v>
      </c>
      <c r="H8796" s="22">
        <f t="shared" si="789"/>
        <v>2025</v>
      </c>
      <c r="I8796" s="17" t="s">
        <v>4</v>
      </c>
      <c r="J8796" s="17" t="s">
        <v>9204</v>
      </c>
      <c r="K8796" s="17" t="s">
        <v>9205</v>
      </c>
      <c r="L8796" s="17" t="s">
        <v>9206</v>
      </c>
      <c r="M8796" s="17" t="s">
        <v>119</v>
      </c>
      <c r="N8796" s="22" t="str">
        <f t="shared" si="790"/>
        <v>TON</v>
      </c>
      <c r="O8796" s="19">
        <v>1.0325</v>
      </c>
    </row>
    <row r="8797" spans="2:15" x14ac:dyDescent="0.25">
      <c r="B8797" s="16" t="s">
        <v>1520</v>
      </c>
      <c r="C8797" s="17" t="s">
        <v>196</v>
      </c>
      <c r="D8797" s="17" t="s">
        <v>227</v>
      </c>
      <c r="E8797" s="17" t="s">
        <v>757</v>
      </c>
      <c r="F8797" s="18">
        <f>DATE(2025,9,12)</f>
        <v>45912</v>
      </c>
      <c r="G8797" s="22">
        <f t="shared" si="788"/>
        <v>9</v>
      </c>
      <c r="H8797" s="22">
        <f t="shared" si="789"/>
        <v>2025</v>
      </c>
      <c r="I8797" s="17" t="s">
        <v>4</v>
      </c>
      <c r="J8797" s="17" t="s">
        <v>9207</v>
      </c>
      <c r="K8797" s="17" t="s">
        <v>220</v>
      </c>
      <c r="L8797" s="17" t="s">
        <v>201</v>
      </c>
      <c r="M8797" s="17" t="s">
        <v>202</v>
      </c>
      <c r="N8797" s="22" t="str">
        <f t="shared" si="790"/>
        <v>GAL</v>
      </c>
      <c r="O8797" s="19">
        <v>500</v>
      </c>
    </row>
    <row r="8798" spans="2:15" x14ac:dyDescent="0.25">
      <c r="B8798" s="16" t="s">
        <v>1520</v>
      </c>
      <c r="C8798" s="17" t="s">
        <v>196</v>
      </c>
      <c r="D8798" s="17" t="s">
        <v>265</v>
      </c>
      <c r="E8798" s="17" t="s">
        <v>266</v>
      </c>
      <c r="F8798" s="18">
        <f>DATE(2025,9,12)</f>
        <v>45912</v>
      </c>
      <c r="G8798" s="22">
        <f t="shared" si="788"/>
        <v>9</v>
      </c>
      <c r="H8798" s="22">
        <f t="shared" si="789"/>
        <v>2025</v>
      </c>
      <c r="I8798" s="17" t="s">
        <v>4</v>
      </c>
      <c r="J8798" s="17" t="s">
        <v>9208</v>
      </c>
      <c r="K8798" s="17" t="s">
        <v>268</v>
      </c>
      <c r="L8798" s="17" t="s">
        <v>269</v>
      </c>
      <c r="M8798" s="17" t="s">
        <v>119</v>
      </c>
      <c r="N8798" s="22" t="str">
        <f t="shared" si="790"/>
        <v>TON</v>
      </c>
      <c r="O8798" s="19">
        <v>0.15</v>
      </c>
    </row>
    <row r="8799" spans="2:15" x14ac:dyDescent="0.25">
      <c r="B8799" s="16" t="s">
        <v>1520</v>
      </c>
      <c r="C8799" s="17" t="s">
        <v>196</v>
      </c>
      <c r="D8799" s="17" t="s">
        <v>207</v>
      </c>
      <c r="E8799" s="17" t="s">
        <v>208</v>
      </c>
      <c r="F8799" s="18">
        <f>DATE(2025,9,15)</f>
        <v>45915</v>
      </c>
      <c r="G8799" s="22">
        <f t="shared" si="788"/>
        <v>9</v>
      </c>
      <c r="H8799" s="22">
        <f t="shared" si="789"/>
        <v>2025</v>
      </c>
      <c r="I8799" s="17" t="s">
        <v>4</v>
      </c>
      <c r="J8799" s="17" t="s">
        <v>9209</v>
      </c>
      <c r="K8799" s="17" t="s">
        <v>205</v>
      </c>
      <c r="L8799" s="17" t="s">
        <v>206</v>
      </c>
      <c r="M8799" s="17" t="s">
        <v>119</v>
      </c>
      <c r="N8799" s="22" t="str">
        <f t="shared" si="790"/>
        <v>TON</v>
      </c>
      <c r="O8799" s="19">
        <v>3.5024999999999999</v>
      </c>
    </row>
    <row r="8800" spans="2:15" x14ac:dyDescent="0.25">
      <c r="B8800" s="16" t="s">
        <v>1520</v>
      </c>
      <c r="C8800" s="17" t="s">
        <v>196</v>
      </c>
      <c r="D8800" s="17" t="s">
        <v>285</v>
      </c>
      <c r="E8800" s="17" t="s">
        <v>297</v>
      </c>
      <c r="F8800" s="18">
        <f>DATE(2025,9,16)</f>
        <v>45916</v>
      </c>
      <c r="G8800" s="22">
        <f t="shared" si="788"/>
        <v>9</v>
      </c>
      <c r="H8800" s="22">
        <f t="shared" si="789"/>
        <v>2025</v>
      </c>
      <c r="I8800" s="17" t="s">
        <v>4</v>
      </c>
      <c r="J8800" s="17" t="s">
        <v>9210</v>
      </c>
      <c r="K8800" s="17" t="s">
        <v>649</v>
      </c>
      <c r="L8800" s="17" t="s">
        <v>538</v>
      </c>
      <c r="M8800" s="17" t="s">
        <v>4243</v>
      </c>
      <c r="N8800" s="22" t="str">
        <f t="shared" si="790"/>
        <v>GAL</v>
      </c>
      <c r="O8800" s="19">
        <v>250</v>
      </c>
    </row>
    <row r="8801" spans="2:15" x14ac:dyDescent="0.25">
      <c r="B8801" s="16" t="s">
        <v>1520</v>
      </c>
      <c r="C8801" s="17" t="s">
        <v>196</v>
      </c>
      <c r="D8801" s="17" t="s">
        <v>241</v>
      </c>
      <c r="E8801" s="17" t="s">
        <v>258</v>
      </c>
      <c r="F8801" s="18">
        <f>DATE(2025,9,18)</f>
        <v>45918</v>
      </c>
      <c r="G8801" s="22">
        <f t="shared" si="788"/>
        <v>9</v>
      </c>
      <c r="H8801" s="22">
        <f t="shared" si="789"/>
        <v>2025</v>
      </c>
      <c r="I8801" s="17" t="s">
        <v>4</v>
      </c>
      <c r="J8801" s="17" t="s">
        <v>9211</v>
      </c>
      <c r="K8801" s="17" t="s">
        <v>3458</v>
      </c>
      <c r="L8801" s="17" t="s">
        <v>3459</v>
      </c>
      <c r="M8801" s="17" t="s">
        <v>119</v>
      </c>
      <c r="N8801" s="22" t="str">
        <f t="shared" si="790"/>
        <v>TON</v>
      </c>
      <c r="O8801" s="19">
        <v>2.2650000000000001</v>
      </c>
    </row>
    <row r="8802" spans="2:15" x14ac:dyDescent="0.25">
      <c r="B8802" s="16" t="s">
        <v>1520</v>
      </c>
      <c r="C8802" s="17" t="s">
        <v>196</v>
      </c>
      <c r="D8802" s="17" t="s">
        <v>458</v>
      </c>
      <c r="E8802" s="17" t="s">
        <v>1177</v>
      </c>
      <c r="F8802" s="18">
        <f>DATE(2025,9,18)</f>
        <v>45918</v>
      </c>
      <c r="G8802" s="22">
        <f t="shared" si="788"/>
        <v>9</v>
      </c>
      <c r="H8802" s="22">
        <f t="shared" si="789"/>
        <v>2025</v>
      </c>
      <c r="I8802" s="17" t="s">
        <v>4</v>
      </c>
      <c r="J8802" s="17" t="s">
        <v>9212</v>
      </c>
      <c r="K8802" s="17" t="s">
        <v>205</v>
      </c>
      <c r="L8802" s="17" t="s">
        <v>206</v>
      </c>
      <c r="M8802" s="17" t="s">
        <v>119</v>
      </c>
      <c r="N8802" s="22" t="str">
        <f t="shared" si="790"/>
        <v>TON</v>
      </c>
      <c r="O8802" s="19">
        <v>6.5075000000000003</v>
      </c>
    </row>
    <row r="8803" spans="2:15" x14ac:dyDescent="0.25">
      <c r="B8803" s="16" t="s">
        <v>1520</v>
      </c>
      <c r="C8803" s="17" t="s">
        <v>196</v>
      </c>
      <c r="D8803" s="17" t="s">
        <v>265</v>
      </c>
      <c r="E8803" s="17" t="s">
        <v>266</v>
      </c>
      <c r="F8803" s="18">
        <f>DATE(2025,9,18)</f>
        <v>45918</v>
      </c>
      <c r="G8803" s="22">
        <f t="shared" si="788"/>
        <v>9</v>
      </c>
      <c r="H8803" s="22">
        <f t="shared" si="789"/>
        <v>2025</v>
      </c>
      <c r="I8803" s="17" t="s">
        <v>4</v>
      </c>
      <c r="J8803" s="17" t="s">
        <v>9213</v>
      </c>
      <c r="K8803" s="17" t="s">
        <v>268</v>
      </c>
      <c r="L8803" s="17" t="s">
        <v>269</v>
      </c>
      <c r="M8803" s="17" t="s">
        <v>119</v>
      </c>
      <c r="N8803" s="22" t="str">
        <f t="shared" si="790"/>
        <v>TON</v>
      </c>
      <c r="O8803" s="19">
        <v>0.15</v>
      </c>
    </row>
    <row r="8804" spans="2:15" x14ac:dyDescent="0.25">
      <c r="B8804" s="16" t="s">
        <v>1520</v>
      </c>
      <c r="C8804" s="17" t="s">
        <v>196</v>
      </c>
      <c r="D8804" s="17" t="s">
        <v>227</v>
      </c>
      <c r="E8804" s="17" t="s">
        <v>757</v>
      </c>
      <c r="F8804" s="18">
        <f>DATE(2025,9,18)</f>
        <v>45918</v>
      </c>
      <c r="G8804" s="22">
        <f t="shared" si="788"/>
        <v>9</v>
      </c>
      <c r="H8804" s="22">
        <f t="shared" si="789"/>
        <v>2025</v>
      </c>
      <c r="I8804" s="17" t="s">
        <v>4</v>
      </c>
      <c r="J8804" s="17" t="s">
        <v>9214</v>
      </c>
      <c r="K8804" s="17" t="s">
        <v>230</v>
      </c>
      <c r="L8804" s="17" t="s">
        <v>231</v>
      </c>
      <c r="M8804" s="17" t="s">
        <v>119</v>
      </c>
      <c r="N8804" s="22" t="str">
        <f t="shared" si="790"/>
        <v>TON</v>
      </c>
      <c r="O8804" s="19">
        <v>3.75</v>
      </c>
    </row>
    <row r="8805" spans="2:15" x14ac:dyDescent="0.25">
      <c r="B8805" s="16" t="s">
        <v>1520</v>
      </c>
      <c r="C8805" s="17" t="s">
        <v>196</v>
      </c>
      <c r="D8805" s="17" t="s">
        <v>283</v>
      </c>
      <c r="E8805" s="17" t="s">
        <v>699</v>
      </c>
      <c r="F8805" s="18">
        <f>DATE(2025,9,18)</f>
        <v>45918</v>
      </c>
      <c r="G8805" s="22">
        <f t="shared" si="788"/>
        <v>9</v>
      </c>
      <c r="H8805" s="22">
        <f t="shared" si="789"/>
        <v>2025</v>
      </c>
      <c r="I8805" s="17" t="s">
        <v>4</v>
      </c>
      <c r="J8805" s="17" t="s">
        <v>9215</v>
      </c>
      <c r="K8805" s="17" t="s">
        <v>230</v>
      </c>
      <c r="L8805" s="17" t="s">
        <v>231</v>
      </c>
      <c r="M8805" s="17" t="s">
        <v>119</v>
      </c>
      <c r="N8805" s="22" t="str">
        <f t="shared" si="790"/>
        <v>TON</v>
      </c>
      <c r="O8805" s="19">
        <v>0.15</v>
      </c>
    </row>
    <row r="8806" spans="2:15" x14ac:dyDescent="0.25">
      <c r="B8806" s="16" t="s">
        <v>1520</v>
      </c>
      <c r="C8806" s="17" t="s">
        <v>196</v>
      </c>
      <c r="D8806" s="17" t="s">
        <v>374</v>
      </c>
      <c r="E8806" s="17" t="s">
        <v>375</v>
      </c>
      <c r="F8806" s="18">
        <f>DATE(2025,9,19)</f>
        <v>45919</v>
      </c>
      <c r="G8806" s="22">
        <f t="shared" si="788"/>
        <v>9</v>
      </c>
      <c r="H8806" s="22">
        <f t="shared" si="789"/>
        <v>2025</v>
      </c>
      <c r="I8806" s="17" t="s">
        <v>4</v>
      </c>
      <c r="J8806" s="17" t="s">
        <v>9216</v>
      </c>
      <c r="K8806" s="17" t="s">
        <v>329</v>
      </c>
      <c r="L8806" s="17" t="s">
        <v>330</v>
      </c>
      <c r="M8806" s="17" t="s">
        <v>119</v>
      </c>
      <c r="N8806" s="22" t="str">
        <f t="shared" si="790"/>
        <v>TON</v>
      </c>
      <c r="O8806" s="19">
        <v>15.032500000000001</v>
      </c>
    </row>
    <row r="8807" spans="2:15" x14ac:dyDescent="0.25">
      <c r="B8807" s="16" t="s">
        <v>1520</v>
      </c>
      <c r="C8807" s="17" t="s">
        <v>196</v>
      </c>
      <c r="D8807" s="17" t="s">
        <v>265</v>
      </c>
      <c r="E8807" s="17" t="s">
        <v>266</v>
      </c>
      <c r="F8807" s="18">
        <f>DATE(2025,9,22)</f>
        <v>45922</v>
      </c>
      <c r="G8807" s="22">
        <f t="shared" si="788"/>
        <v>9</v>
      </c>
      <c r="H8807" s="22">
        <f t="shared" si="789"/>
        <v>2025</v>
      </c>
      <c r="I8807" s="17" t="s">
        <v>4</v>
      </c>
      <c r="J8807" s="17" t="s">
        <v>9217</v>
      </c>
      <c r="K8807" s="17" t="s">
        <v>268</v>
      </c>
      <c r="L8807" s="17" t="s">
        <v>269</v>
      </c>
      <c r="M8807" s="17" t="s">
        <v>119</v>
      </c>
      <c r="N8807" s="22" t="str">
        <f t="shared" si="790"/>
        <v>TON</v>
      </c>
      <c r="O8807" s="19">
        <v>0.3</v>
      </c>
    </row>
    <row r="8808" spans="2:15" x14ac:dyDescent="0.25">
      <c r="B8808" s="16" t="s">
        <v>1520</v>
      </c>
      <c r="C8808" s="17" t="s">
        <v>196</v>
      </c>
      <c r="D8808" s="17" t="s">
        <v>374</v>
      </c>
      <c r="E8808" s="17" t="s">
        <v>4935</v>
      </c>
      <c r="F8808" s="18">
        <f>DATE(2025,9,22)</f>
        <v>45922</v>
      </c>
      <c r="G8808" s="22">
        <f t="shared" si="788"/>
        <v>9</v>
      </c>
      <c r="H8808" s="22">
        <f t="shared" si="789"/>
        <v>2025</v>
      </c>
      <c r="I8808" s="17" t="s">
        <v>4</v>
      </c>
      <c r="J8808" s="17" t="s">
        <v>9218</v>
      </c>
      <c r="K8808" s="17" t="s">
        <v>329</v>
      </c>
      <c r="L8808" s="17" t="s">
        <v>330</v>
      </c>
      <c r="M8808" s="17" t="s">
        <v>119</v>
      </c>
      <c r="N8808" s="22" t="str">
        <f t="shared" si="790"/>
        <v>TON</v>
      </c>
      <c r="O8808" s="19">
        <v>15.04</v>
      </c>
    </row>
    <row r="8809" spans="2:15" x14ac:dyDescent="0.25">
      <c r="B8809" s="16" t="s">
        <v>1520</v>
      </c>
      <c r="C8809" s="17" t="s">
        <v>196</v>
      </c>
      <c r="D8809" s="17" t="s">
        <v>3767</v>
      </c>
      <c r="E8809" s="17" t="s">
        <v>3768</v>
      </c>
      <c r="F8809" s="18">
        <f>DATE(2025,9,22)</f>
        <v>45922</v>
      </c>
      <c r="G8809" s="22">
        <f t="shared" si="788"/>
        <v>9</v>
      </c>
      <c r="H8809" s="22">
        <f t="shared" si="789"/>
        <v>2025</v>
      </c>
      <c r="I8809" s="17" t="s">
        <v>4</v>
      </c>
      <c r="J8809" s="17" t="s">
        <v>9219</v>
      </c>
      <c r="K8809" s="17" t="s">
        <v>205</v>
      </c>
      <c r="L8809" s="17" t="s">
        <v>206</v>
      </c>
      <c r="M8809" s="17" t="s">
        <v>119</v>
      </c>
      <c r="N8809" s="22" t="str">
        <f t="shared" si="790"/>
        <v>TON</v>
      </c>
      <c r="O8809" s="19">
        <v>1.26</v>
      </c>
    </row>
    <row r="8810" spans="2:15" x14ac:dyDescent="0.25">
      <c r="B8810" s="16" t="s">
        <v>1520</v>
      </c>
      <c r="C8810" s="17" t="s">
        <v>196</v>
      </c>
      <c r="D8810" s="17" t="s">
        <v>9220</v>
      </c>
      <c r="E8810" s="17" t="s">
        <v>445</v>
      </c>
      <c r="F8810" s="18">
        <f>DATE(2025,9,24)</f>
        <v>45924</v>
      </c>
      <c r="G8810" s="22">
        <f t="shared" si="788"/>
        <v>9</v>
      </c>
      <c r="H8810" s="22">
        <f t="shared" si="789"/>
        <v>2025</v>
      </c>
      <c r="I8810" s="17" t="s">
        <v>4</v>
      </c>
      <c r="J8810" s="17" t="s">
        <v>9221</v>
      </c>
      <c r="K8810" s="17" t="s">
        <v>6857</v>
      </c>
      <c r="L8810" s="17" t="s">
        <v>6858</v>
      </c>
      <c r="M8810" s="17" t="s">
        <v>6859</v>
      </c>
      <c r="N8810" s="22" t="str">
        <f t="shared" si="790"/>
        <v>GAL</v>
      </c>
      <c r="O8810" s="19">
        <v>3000</v>
      </c>
    </row>
    <row r="8811" spans="2:15" x14ac:dyDescent="0.25">
      <c r="B8811" s="16" t="s">
        <v>1520</v>
      </c>
      <c r="C8811" s="17" t="s">
        <v>196</v>
      </c>
      <c r="D8811" s="17" t="s">
        <v>203</v>
      </c>
      <c r="E8811" s="17" t="s">
        <v>102</v>
      </c>
      <c r="F8811" s="18">
        <f>DATE(2025,9,25)</f>
        <v>45925</v>
      </c>
      <c r="G8811" s="22">
        <f t="shared" si="788"/>
        <v>9</v>
      </c>
      <c r="H8811" s="22">
        <f t="shared" si="789"/>
        <v>2025</v>
      </c>
      <c r="I8811" s="17" t="s">
        <v>4</v>
      </c>
      <c r="J8811" s="17" t="s">
        <v>9222</v>
      </c>
      <c r="K8811" s="17" t="s">
        <v>205</v>
      </c>
      <c r="L8811" s="17" t="s">
        <v>206</v>
      </c>
      <c r="M8811" s="17" t="s">
        <v>119</v>
      </c>
      <c r="N8811" s="22" t="str">
        <f t="shared" si="790"/>
        <v>TON</v>
      </c>
      <c r="O8811" s="19">
        <v>0.5</v>
      </c>
    </row>
    <row r="8812" spans="2:15" x14ac:dyDescent="0.25">
      <c r="B8812" s="16" t="s">
        <v>1520</v>
      </c>
      <c r="C8812" s="17" t="s">
        <v>196</v>
      </c>
      <c r="D8812" s="17" t="s">
        <v>232</v>
      </c>
      <c r="E8812" s="17" t="s">
        <v>778</v>
      </c>
      <c r="F8812" s="18">
        <f>DATE(2025,9,25)</f>
        <v>45925</v>
      </c>
      <c r="G8812" s="22">
        <f t="shared" si="788"/>
        <v>9</v>
      </c>
      <c r="H8812" s="22">
        <f t="shared" si="789"/>
        <v>2025</v>
      </c>
      <c r="I8812" s="17" t="s">
        <v>4</v>
      </c>
      <c r="J8812" s="17" t="s">
        <v>9223</v>
      </c>
      <c r="K8812" s="17" t="s">
        <v>230</v>
      </c>
      <c r="L8812" s="17" t="s">
        <v>231</v>
      </c>
      <c r="M8812" s="17" t="s">
        <v>119</v>
      </c>
      <c r="N8812" s="22" t="str">
        <f t="shared" si="790"/>
        <v>TON</v>
      </c>
      <c r="O8812" s="19">
        <v>4.2750000000000004</v>
      </c>
    </row>
    <row r="8813" spans="2:15" x14ac:dyDescent="0.25">
      <c r="B8813" s="16" t="s">
        <v>1520</v>
      </c>
      <c r="C8813" s="17" t="s">
        <v>196</v>
      </c>
      <c r="D8813" s="17" t="s">
        <v>227</v>
      </c>
      <c r="E8813" s="17" t="s">
        <v>228</v>
      </c>
      <c r="F8813" s="18">
        <f>DATE(2025,9,25)</f>
        <v>45925</v>
      </c>
      <c r="G8813" s="22">
        <f t="shared" si="788"/>
        <v>9</v>
      </c>
      <c r="H8813" s="22">
        <f t="shared" si="789"/>
        <v>2025</v>
      </c>
      <c r="I8813" s="17" t="s">
        <v>4</v>
      </c>
      <c r="J8813" s="17" t="s">
        <v>9224</v>
      </c>
      <c r="K8813" s="17" t="s">
        <v>230</v>
      </c>
      <c r="L8813" s="17" t="s">
        <v>231</v>
      </c>
      <c r="M8813" s="17" t="s">
        <v>119</v>
      </c>
      <c r="N8813" s="22" t="str">
        <f t="shared" si="790"/>
        <v>TON</v>
      </c>
      <c r="O8813" s="19">
        <v>1.8825000000000001</v>
      </c>
    </row>
    <row r="8814" spans="2:15" x14ac:dyDescent="0.25">
      <c r="B8814" s="16" t="s">
        <v>1520</v>
      </c>
      <c r="C8814" s="17" t="s">
        <v>196</v>
      </c>
      <c r="D8814" s="17" t="s">
        <v>210</v>
      </c>
      <c r="E8814" s="17" t="s">
        <v>962</v>
      </c>
      <c r="F8814" s="18">
        <f>DATE(2025,9,26)</f>
        <v>45926</v>
      </c>
      <c r="G8814" s="22">
        <f t="shared" si="788"/>
        <v>9</v>
      </c>
      <c r="H8814" s="22">
        <f t="shared" si="789"/>
        <v>2025</v>
      </c>
      <c r="I8814" s="17" t="s">
        <v>4</v>
      </c>
      <c r="J8814" s="17" t="s">
        <v>9225</v>
      </c>
      <c r="K8814" s="17" t="s">
        <v>489</v>
      </c>
      <c r="L8814" s="17" t="s">
        <v>490</v>
      </c>
      <c r="M8814" s="17" t="s">
        <v>119</v>
      </c>
      <c r="N8814" s="22" t="str">
        <f t="shared" si="790"/>
        <v>TON</v>
      </c>
      <c r="O8814" s="19">
        <v>15.0175</v>
      </c>
    </row>
    <row r="8815" spans="2:15" x14ac:dyDescent="0.25">
      <c r="B8815" s="16" t="s">
        <v>1520</v>
      </c>
      <c r="C8815" s="17" t="s">
        <v>196</v>
      </c>
      <c r="D8815" s="17" t="s">
        <v>218</v>
      </c>
      <c r="E8815" s="17" t="s">
        <v>3179</v>
      </c>
      <c r="F8815" s="18">
        <f>DATE(2025,9,26)</f>
        <v>45926</v>
      </c>
      <c r="G8815" s="22">
        <f t="shared" si="788"/>
        <v>9</v>
      </c>
      <c r="H8815" s="22">
        <f t="shared" si="789"/>
        <v>2025</v>
      </c>
      <c r="I8815" s="17" t="s">
        <v>4</v>
      </c>
      <c r="J8815" s="17" t="s">
        <v>9226</v>
      </c>
      <c r="K8815" s="17" t="s">
        <v>220</v>
      </c>
      <c r="L8815" s="17" t="s">
        <v>201</v>
      </c>
      <c r="M8815" s="17" t="s">
        <v>202</v>
      </c>
      <c r="N8815" s="22" t="str">
        <f t="shared" si="790"/>
        <v>GAL</v>
      </c>
      <c r="O8815" s="19">
        <v>250</v>
      </c>
    </row>
    <row r="8816" spans="2:15" x14ac:dyDescent="0.25">
      <c r="B8816" s="16" t="s">
        <v>1520</v>
      </c>
      <c r="C8816" s="17" t="s">
        <v>196</v>
      </c>
      <c r="D8816" s="17" t="s">
        <v>888</v>
      </c>
      <c r="E8816" s="17" t="s">
        <v>888</v>
      </c>
      <c r="F8816" s="18">
        <f>DATE(2025,9,26)</f>
        <v>45926</v>
      </c>
      <c r="G8816" s="22">
        <f t="shared" si="788"/>
        <v>9</v>
      </c>
      <c r="H8816" s="22">
        <f t="shared" si="789"/>
        <v>2025</v>
      </c>
      <c r="I8816" s="17" t="s">
        <v>4</v>
      </c>
      <c r="J8816" s="17" t="s">
        <v>9227</v>
      </c>
      <c r="K8816" s="17" t="s">
        <v>268</v>
      </c>
      <c r="L8816" s="17" t="s">
        <v>269</v>
      </c>
      <c r="M8816" s="17" t="s">
        <v>119</v>
      </c>
      <c r="N8816" s="22" t="str">
        <f t="shared" si="790"/>
        <v>TON</v>
      </c>
      <c r="O8816" s="19">
        <v>0.3</v>
      </c>
    </row>
    <row r="8817" spans="2:15" x14ac:dyDescent="0.25">
      <c r="B8817" s="16" t="s">
        <v>1520</v>
      </c>
      <c r="C8817" s="17" t="s">
        <v>196</v>
      </c>
      <c r="D8817" s="17" t="s">
        <v>253</v>
      </c>
      <c r="E8817" s="17" t="s">
        <v>922</v>
      </c>
      <c r="F8817" s="18">
        <f>DATE(2025,9,26)</f>
        <v>45926</v>
      </c>
      <c r="G8817" s="22">
        <f t="shared" si="788"/>
        <v>9</v>
      </c>
      <c r="H8817" s="22">
        <f t="shared" si="789"/>
        <v>2025</v>
      </c>
      <c r="I8817" s="17" t="s">
        <v>4</v>
      </c>
      <c r="J8817" s="17" t="s">
        <v>9228</v>
      </c>
      <c r="K8817" s="17" t="s">
        <v>256</v>
      </c>
      <c r="L8817" s="17" t="s">
        <v>257</v>
      </c>
      <c r="M8817" s="17" t="s">
        <v>119</v>
      </c>
      <c r="N8817" s="22" t="str">
        <f t="shared" si="790"/>
        <v>TON</v>
      </c>
      <c r="O8817" s="19">
        <v>5.0225</v>
      </c>
    </row>
    <row r="8818" spans="2:15" x14ac:dyDescent="0.25">
      <c r="B8818" s="16" t="s">
        <v>1520</v>
      </c>
      <c r="C8818" s="17" t="s">
        <v>196</v>
      </c>
      <c r="D8818" s="17" t="s">
        <v>289</v>
      </c>
      <c r="E8818" s="17" t="s">
        <v>2380</v>
      </c>
      <c r="F8818" s="18">
        <f>DATE(2025,9,26)</f>
        <v>45926</v>
      </c>
      <c r="G8818" s="22">
        <f t="shared" si="788"/>
        <v>9</v>
      </c>
      <c r="H8818" s="22">
        <f t="shared" si="789"/>
        <v>2025</v>
      </c>
      <c r="I8818" s="17" t="s">
        <v>4</v>
      </c>
      <c r="J8818" s="17" t="s">
        <v>9229</v>
      </c>
      <c r="K8818" s="17" t="s">
        <v>292</v>
      </c>
      <c r="L8818" s="17" t="s">
        <v>293</v>
      </c>
      <c r="M8818" s="17" t="s">
        <v>119</v>
      </c>
      <c r="N8818" s="22" t="str">
        <f t="shared" si="790"/>
        <v>TON</v>
      </c>
      <c r="O8818" s="19">
        <v>1</v>
      </c>
    </row>
    <row r="8819" spans="2:15" x14ac:dyDescent="0.25">
      <c r="B8819" s="16" t="s">
        <v>1520</v>
      </c>
      <c r="C8819" s="17" t="s">
        <v>196</v>
      </c>
      <c r="D8819" s="17" t="s">
        <v>114</v>
      </c>
      <c r="E8819" s="17" t="s">
        <v>115</v>
      </c>
      <c r="F8819" s="18">
        <f>DATE(2025,9,29)</f>
        <v>45929</v>
      </c>
      <c r="G8819" s="22">
        <f t="shared" si="788"/>
        <v>9</v>
      </c>
      <c r="H8819" s="22">
        <f t="shared" si="789"/>
        <v>2025</v>
      </c>
      <c r="I8819" s="17" t="s">
        <v>4</v>
      </c>
      <c r="J8819" s="17" t="s">
        <v>9230</v>
      </c>
      <c r="K8819" s="17" t="s">
        <v>6857</v>
      </c>
      <c r="L8819" s="17" t="s">
        <v>6858</v>
      </c>
      <c r="M8819" s="17" t="s">
        <v>6859</v>
      </c>
      <c r="N8819" s="22" t="str">
        <f t="shared" si="790"/>
        <v>GAL</v>
      </c>
      <c r="O8819" s="19">
        <v>3000</v>
      </c>
    </row>
    <row r="8820" spans="2:15" x14ac:dyDescent="0.25">
      <c r="B8820" s="16" t="s">
        <v>1520</v>
      </c>
      <c r="C8820" s="17" t="s">
        <v>196</v>
      </c>
      <c r="D8820" s="17" t="s">
        <v>294</v>
      </c>
      <c r="E8820" s="17" t="s">
        <v>295</v>
      </c>
      <c r="F8820" s="18">
        <f>DATE(2025,9,29)</f>
        <v>45929</v>
      </c>
      <c r="G8820" s="22">
        <f t="shared" si="788"/>
        <v>9</v>
      </c>
      <c r="H8820" s="22">
        <f t="shared" si="789"/>
        <v>2025</v>
      </c>
      <c r="I8820" s="17" t="s">
        <v>4</v>
      </c>
      <c r="J8820" s="17" t="s">
        <v>9231</v>
      </c>
      <c r="K8820" s="17" t="s">
        <v>9232</v>
      </c>
      <c r="L8820" s="17" t="s">
        <v>610</v>
      </c>
      <c r="M8820" s="17" t="s">
        <v>611</v>
      </c>
      <c r="N8820" s="22" t="str">
        <f t="shared" si="790"/>
        <v>GAL</v>
      </c>
      <c r="O8820" s="19">
        <v>30</v>
      </c>
    </row>
    <row r="8821" spans="2:15" x14ac:dyDescent="0.25">
      <c r="B8821" s="16" t="s">
        <v>1520</v>
      </c>
      <c r="C8821" s="17" t="s">
        <v>196</v>
      </c>
      <c r="D8821" s="17" t="s">
        <v>294</v>
      </c>
      <c r="E8821" s="17" t="s">
        <v>295</v>
      </c>
      <c r="F8821" s="18">
        <f>DATE(2025,9,29)</f>
        <v>45929</v>
      </c>
      <c r="G8821" s="22">
        <f t="shared" si="788"/>
        <v>9</v>
      </c>
      <c r="H8821" s="22">
        <f t="shared" si="789"/>
        <v>2025</v>
      </c>
      <c r="I8821" s="17" t="s">
        <v>4</v>
      </c>
      <c r="J8821" s="17" t="s">
        <v>9233</v>
      </c>
      <c r="K8821" s="17" t="s">
        <v>122</v>
      </c>
      <c r="L8821" s="17" t="s">
        <v>123</v>
      </c>
      <c r="M8821" s="17" t="s">
        <v>119</v>
      </c>
      <c r="N8821" s="22" t="str">
        <f t="shared" si="790"/>
        <v>TON</v>
      </c>
      <c r="O8821" s="19">
        <v>7.4974999999999996</v>
      </c>
    </row>
    <row r="8822" spans="2:15" x14ac:dyDescent="0.25">
      <c r="B8822" s="16" t="s">
        <v>1520</v>
      </c>
      <c r="C8822" s="17" t="s">
        <v>196</v>
      </c>
      <c r="D8822" s="17" t="s">
        <v>6854</v>
      </c>
      <c r="E8822" s="17" t="s">
        <v>6855</v>
      </c>
      <c r="F8822" s="18">
        <f>DATE(2025,9,29)</f>
        <v>45929</v>
      </c>
      <c r="G8822" s="22">
        <f t="shared" si="788"/>
        <v>9</v>
      </c>
      <c r="H8822" s="22">
        <f t="shared" si="789"/>
        <v>2025</v>
      </c>
      <c r="I8822" s="17" t="s">
        <v>4</v>
      </c>
      <c r="J8822" s="17" t="s">
        <v>9234</v>
      </c>
      <c r="K8822" s="17" t="s">
        <v>6857</v>
      </c>
      <c r="L8822" s="17" t="s">
        <v>6858</v>
      </c>
      <c r="M8822" s="17" t="s">
        <v>6859</v>
      </c>
      <c r="N8822" s="22" t="str">
        <f t="shared" si="790"/>
        <v>GAL</v>
      </c>
      <c r="O8822" s="19">
        <v>3000</v>
      </c>
    </row>
    <row r="8823" spans="2:15" x14ac:dyDescent="0.25">
      <c r="B8823" s="16" t="s">
        <v>1520</v>
      </c>
      <c r="C8823" s="17" t="s">
        <v>196</v>
      </c>
      <c r="D8823" s="17" t="s">
        <v>6854</v>
      </c>
      <c r="E8823" s="17" t="s">
        <v>6855</v>
      </c>
      <c r="F8823" s="18">
        <f>DATE(2025,9,30)</f>
        <v>45930</v>
      </c>
      <c r="G8823" s="22">
        <f t="shared" si="788"/>
        <v>9</v>
      </c>
      <c r="H8823" s="22">
        <f t="shared" si="789"/>
        <v>2025</v>
      </c>
      <c r="I8823" s="17" t="s">
        <v>4</v>
      </c>
      <c r="J8823" s="17" t="s">
        <v>9235</v>
      </c>
      <c r="K8823" s="17" t="s">
        <v>6857</v>
      </c>
      <c r="L8823" s="17" t="s">
        <v>6858</v>
      </c>
      <c r="M8823" s="17" t="s">
        <v>6859</v>
      </c>
      <c r="N8823" s="22" t="str">
        <f t="shared" si="790"/>
        <v>GAL</v>
      </c>
      <c r="O8823" s="19">
        <v>3000</v>
      </c>
    </row>
    <row r="8824" spans="2:15" x14ac:dyDescent="0.25">
      <c r="B8824" s="16" t="s">
        <v>1520</v>
      </c>
      <c r="C8824" s="17" t="s">
        <v>196</v>
      </c>
      <c r="D8824" s="17" t="s">
        <v>241</v>
      </c>
      <c r="E8824" s="17" t="s">
        <v>258</v>
      </c>
      <c r="F8824" s="18">
        <f>DATE(2025,9,30)</f>
        <v>45930</v>
      </c>
      <c r="G8824" s="22">
        <f t="shared" si="788"/>
        <v>9</v>
      </c>
      <c r="H8824" s="22">
        <f t="shared" si="789"/>
        <v>2025</v>
      </c>
      <c r="I8824" s="17" t="s">
        <v>4</v>
      </c>
      <c r="J8824" s="17" t="s">
        <v>9236</v>
      </c>
      <c r="K8824" s="17" t="s">
        <v>3458</v>
      </c>
      <c r="L8824" s="17" t="s">
        <v>3459</v>
      </c>
      <c r="M8824" s="17" t="s">
        <v>119</v>
      </c>
      <c r="N8824" s="22" t="str">
        <f t="shared" si="790"/>
        <v>TON</v>
      </c>
      <c r="O8824" s="19">
        <v>2.2650000000000001</v>
      </c>
    </row>
    <row r="8825" spans="2:15" x14ac:dyDescent="0.25">
      <c r="B8825" s="16" t="s">
        <v>382</v>
      </c>
      <c r="C8825" s="17" t="s">
        <v>506</v>
      </c>
      <c r="D8825" s="17" t="s">
        <v>9237</v>
      </c>
      <c r="E8825" s="17" t="s">
        <v>9238</v>
      </c>
      <c r="F8825" s="18">
        <f>DATE(2025,9,8)</f>
        <v>45908</v>
      </c>
      <c r="G8825" s="22">
        <f t="shared" si="788"/>
        <v>9</v>
      </c>
      <c r="H8825" s="22">
        <f t="shared" si="789"/>
        <v>2025</v>
      </c>
      <c r="I8825" s="17" t="s">
        <v>4</v>
      </c>
      <c r="J8825" s="17" t="s">
        <v>9239</v>
      </c>
      <c r="K8825" s="17" t="s">
        <v>1014</v>
      </c>
      <c r="L8825" s="17" t="s">
        <v>472</v>
      </c>
      <c r="M8825" s="17" t="s">
        <v>473</v>
      </c>
      <c r="N8825" s="22" t="str">
        <f t="shared" si="790"/>
        <v>GAL</v>
      </c>
      <c r="O8825" s="19">
        <v>10</v>
      </c>
    </row>
    <row r="8826" spans="2:15" x14ac:dyDescent="0.25">
      <c r="B8826" s="16" t="s">
        <v>382</v>
      </c>
      <c r="C8826" s="17" t="s">
        <v>506</v>
      </c>
      <c r="D8826" s="17" t="s">
        <v>521</v>
      </c>
      <c r="E8826" s="17" t="s">
        <v>522</v>
      </c>
      <c r="F8826" s="18">
        <f>DATE(2025,9,12)</f>
        <v>45912</v>
      </c>
      <c r="G8826" s="22">
        <f t="shared" ref="G8826:G8885" si="792">+MONTH(F8826)</f>
        <v>9</v>
      </c>
      <c r="H8826" s="22">
        <f t="shared" ref="H8826:H8885" si="793">+YEAR(F8826)</f>
        <v>2025</v>
      </c>
      <c r="I8826" s="17" t="s">
        <v>4</v>
      </c>
      <c r="J8826" s="17" t="s">
        <v>9240</v>
      </c>
      <c r="K8826" s="17" t="s">
        <v>5684</v>
      </c>
      <c r="L8826" s="17" t="s">
        <v>1267</v>
      </c>
      <c r="M8826" s="17" t="s">
        <v>191</v>
      </c>
      <c r="N8826" s="22" t="str">
        <f t="shared" ref="N8826:N8885" si="794">+LEFT(M8826,3)</f>
        <v>GAL</v>
      </c>
      <c r="O8826" s="19">
        <v>120</v>
      </c>
    </row>
    <row r="8827" spans="2:15" x14ac:dyDescent="0.25">
      <c r="B8827" s="16" t="s">
        <v>382</v>
      </c>
      <c r="C8827" s="17" t="s">
        <v>506</v>
      </c>
      <c r="D8827" s="17" t="s">
        <v>515</v>
      </c>
      <c r="E8827" s="17" t="s">
        <v>516</v>
      </c>
      <c r="F8827" s="18">
        <f>DATE(2025,9,19)</f>
        <v>45919</v>
      </c>
      <c r="G8827" s="22">
        <f t="shared" si="792"/>
        <v>9</v>
      </c>
      <c r="H8827" s="22">
        <f t="shared" si="793"/>
        <v>2025</v>
      </c>
      <c r="I8827" s="17" t="s">
        <v>4</v>
      </c>
      <c r="J8827" s="17" t="s">
        <v>9241</v>
      </c>
      <c r="K8827" s="17" t="s">
        <v>149</v>
      </c>
      <c r="L8827" s="17" t="s">
        <v>150</v>
      </c>
      <c r="M8827" s="17" t="s">
        <v>21</v>
      </c>
      <c r="N8827" s="22" t="str">
        <f t="shared" si="794"/>
        <v>GAL</v>
      </c>
      <c r="O8827" s="19">
        <v>180</v>
      </c>
    </row>
    <row r="8828" spans="2:15" x14ac:dyDescent="0.25">
      <c r="B8828" s="16" t="s">
        <v>382</v>
      </c>
      <c r="C8828" s="17" t="s">
        <v>506</v>
      </c>
      <c r="D8828" s="17" t="s">
        <v>515</v>
      </c>
      <c r="E8828" s="17" t="s">
        <v>516</v>
      </c>
      <c r="F8828" s="18">
        <f>DATE(2025,9,19)</f>
        <v>45919</v>
      </c>
      <c r="G8828" s="22">
        <f t="shared" si="792"/>
        <v>9</v>
      </c>
      <c r="H8828" s="22">
        <f t="shared" si="793"/>
        <v>2025</v>
      </c>
      <c r="I8828" s="17" t="s">
        <v>4</v>
      </c>
      <c r="J8828" s="17" t="s">
        <v>9241</v>
      </c>
      <c r="K8828" s="17" t="s">
        <v>1014</v>
      </c>
      <c r="L8828" s="17" t="s">
        <v>472</v>
      </c>
      <c r="M8828" s="17" t="s">
        <v>473</v>
      </c>
      <c r="N8828" s="22" t="str">
        <f t="shared" si="794"/>
        <v>GAL</v>
      </c>
      <c r="O8828" s="19">
        <v>60</v>
      </c>
    </row>
    <row r="8829" spans="2:15" x14ac:dyDescent="0.25">
      <c r="B8829" s="16" t="s">
        <v>382</v>
      </c>
      <c r="C8829" s="17" t="s">
        <v>506</v>
      </c>
      <c r="D8829" s="17" t="s">
        <v>515</v>
      </c>
      <c r="E8829" s="17" t="s">
        <v>516</v>
      </c>
      <c r="F8829" s="18">
        <f>DATE(2025,9,19)</f>
        <v>45919</v>
      </c>
      <c r="G8829" s="22">
        <f t="shared" si="792"/>
        <v>9</v>
      </c>
      <c r="H8829" s="22">
        <f t="shared" si="793"/>
        <v>2025</v>
      </c>
      <c r="I8829" s="17" t="s">
        <v>4</v>
      </c>
      <c r="J8829" s="17" t="s">
        <v>9241</v>
      </c>
      <c r="K8829" s="17" t="s">
        <v>1085</v>
      </c>
      <c r="L8829" s="17" t="s">
        <v>999</v>
      </c>
      <c r="M8829" s="17" t="s">
        <v>1000</v>
      </c>
      <c r="N8829" s="22" t="str">
        <f t="shared" si="794"/>
        <v>GAL</v>
      </c>
      <c r="O8829" s="19">
        <v>60</v>
      </c>
    </row>
    <row r="8830" spans="2:15" x14ac:dyDescent="0.25">
      <c r="B8830" s="16" t="s">
        <v>382</v>
      </c>
      <c r="C8830" s="17" t="s">
        <v>506</v>
      </c>
      <c r="D8830" s="17" t="s">
        <v>995</v>
      </c>
      <c r="E8830" s="17" t="s">
        <v>4494</v>
      </c>
      <c r="F8830" s="18">
        <f>DATE(2025,9,24)</f>
        <v>45924</v>
      </c>
      <c r="G8830" s="22">
        <f t="shared" si="792"/>
        <v>9</v>
      </c>
      <c r="H8830" s="22">
        <f t="shared" si="793"/>
        <v>2025</v>
      </c>
      <c r="I8830" s="17" t="s">
        <v>4</v>
      </c>
      <c r="J8830" s="17" t="s">
        <v>9242</v>
      </c>
      <c r="K8830" s="17" t="s">
        <v>3188</v>
      </c>
      <c r="L8830" s="17" t="s">
        <v>999</v>
      </c>
      <c r="M8830" s="17" t="s">
        <v>1000</v>
      </c>
      <c r="N8830" s="22" t="str">
        <f t="shared" si="794"/>
        <v>GAL</v>
      </c>
      <c r="O8830" s="19">
        <v>55</v>
      </c>
    </row>
    <row r="8831" spans="2:15" x14ac:dyDescent="0.25">
      <c r="B8831" s="16" t="s">
        <v>8502</v>
      </c>
      <c r="C8831" s="17" t="s">
        <v>1025</v>
      </c>
      <c r="D8831" s="17" t="s">
        <v>2478</v>
      </c>
      <c r="E8831" s="17" t="s">
        <v>124</v>
      </c>
      <c r="F8831" s="18">
        <f>DATE(2025,9,2)</f>
        <v>45902</v>
      </c>
      <c r="G8831" s="22">
        <f t="shared" si="792"/>
        <v>9</v>
      </c>
      <c r="H8831" s="22">
        <f t="shared" si="793"/>
        <v>2025</v>
      </c>
      <c r="I8831" s="17" t="s">
        <v>4</v>
      </c>
      <c r="J8831" s="17" t="s">
        <v>9243</v>
      </c>
      <c r="K8831" s="17" t="s">
        <v>3344</v>
      </c>
      <c r="L8831" s="17" t="s">
        <v>3345</v>
      </c>
      <c r="M8831" s="17" t="s">
        <v>119</v>
      </c>
      <c r="N8831" s="22" t="str">
        <f t="shared" si="794"/>
        <v>TON</v>
      </c>
      <c r="O8831" s="19">
        <v>4.5075000000000003</v>
      </c>
    </row>
    <row r="8832" spans="2:15" x14ac:dyDescent="0.25">
      <c r="B8832" s="16" t="s">
        <v>645</v>
      </c>
      <c r="C8832" s="17" t="s">
        <v>1025</v>
      </c>
      <c r="D8832" s="17" t="s">
        <v>496</v>
      </c>
      <c r="E8832" s="17" t="s">
        <v>497</v>
      </c>
      <c r="F8832" s="18">
        <f>DATE(2025,9,11)</f>
        <v>45911</v>
      </c>
      <c r="G8832" s="22">
        <f t="shared" si="792"/>
        <v>9</v>
      </c>
      <c r="H8832" s="22">
        <f t="shared" si="793"/>
        <v>2025</v>
      </c>
      <c r="I8832" s="17" t="s">
        <v>4</v>
      </c>
      <c r="J8832" s="17" t="s">
        <v>9244</v>
      </c>
      <c r="K8832" s="17" t="s">
        <v>499</v>
      </c>
      <c r="L8832" s="17" t="s">
        <v>500</v>
      </c>
      <c r="M8832" s="17" t="s">
        <v>119</v>
      </c>
      <c r="N8832" s="22" t="str">
        <f t="shared" si="794"/>
        <v>TON</v>
      </c>
      <c r="O8832" s="19">
        <v>2.4849999999999999</v>
      </c>
    </row>
    <row r="8833" spans="2:15" x14ac:dyDescent="0.25">
      <c r="B8833" s="16" t="s">
        <v>645</v>
      </c>
      <c r="C8833" s="17" t="s">
        <v>1025</v>
      </c>
      <c r="D8833" s="17" t="s">
        <v>496</v>
      </c>
      <c r="E8833" s="17" t="s">
        <v>497</v>
      </c>
      <c r="F8833" s="18">
        <f>DATE(2025,9,11)</f>
        <v>45911</v>
      </c>
      <c r="G8833" s="22">
        <f t="shared" si="792"/>
        <v>9</v>
      </c>
      <c r="H8833" s="22">
        <f t="shared" si="793"/>
        <v>2025</v>
      </c>
      <c r="I8833" s="17" t="s">
        <v>4</v>
      </c>
      <c r="J8833" s="17" t="s">
        <v>9245</v>
      </c>
      <c r="K8833" s="17" t="s">
        <v>1499</v>
      </c>
      <c r="L8833" s="17" t="s">
        <v>193</v>
      </c>
      <c r="M8833" s="17" t="s">
        <v>160</v>
      </c>
      <c r="N8833" s="22" t="str">
        <f t="shared" si="794"/>
        <v>GAL</v>
      </c>
      <c r="O8833" s="19">
        <v>2.5</v>
      </c>
    </row>
    <row r="8834" spans="2:15" x14ac:dyDescent="0.25">
      <c r="B8834" s="16" t="s">
        <v>8502</v>
      </c>
      <c r="C8834" s="17" t="s">
        <v>1025</v>
      </c>
      <c r="D8834" s="17" t="s">
        <v>2478</v>
      </c>
      <c r="E8834" s="17" t="s">
        <v>8700</v>
      </c>
      <c r="F8834" s="18">
        <f>DATE(2025,9,23)</f>
        <v>45923</v>
      </c>
      <c r="G8834" s="22">
        <f t="shared" si="792"/>
        <v>9</v>
      </c>
      <c r="H8834" s="22">
        <f t="shared" si="793"/>
        <v>2025</v>
      </c>
      <c r="I8834" s="17" t="s">
        <v>4</v>
      </c>
      <c r="J8834" s="17" t="s">
        <v>9246</v>
      </c>
      <c r="K8834" s="17" t="s">
        <v>3344</v>
      </c>
      <c r="L8834" s="17" t="s">
        <v>3345</v>
      </c>
      <c r="M8834" s="17" t="s">
        <v>119</v>
      </c>
      <c r="N8834" s="22" t="str">
        <f t="shared" si="794"/>
        <v>TON</v>
      </c>
      <c r="O8834" s="19">
        <v>4.5149999999999997</v>
      </c>
    </row>
    <row r="8835" spans="2:15" x14ac:dyDescent="0.25">
      <c r="B8835" s="16" t="s">
        <v>645</v>
      </c>
      <c r="C8835" s="17" t="s">
        <v>1025</v>
      </c>
      <c r="D8835" s="17" t="s">
        <v>2464</v>
      </c>
      <c r="E8835" s="17" t="s">
        <v>102</v>
      </c>
      <c r="F8835" s="18">
        <f>DATE(2025,9,26)</f>
        <v>45926</v>
      </c>
      <c r="G8835" s="22">
        <f t="shared" si="792"/>
        <v>9</v>
      </c>
      <c r="H8835" s="22">
        <f t="shared" si="793"/>
        <v>2025</v>
      </c>
      <c r="I8835" s="17" t="s">
        <v>4</v>
      </c>
      <c r="J8835" s="17" t="s">
        <v>9247</v>
      </c>
      <c r="K8835" s="17" t="s">
        <v>2466</v>
      </c>
      <c r="L8835" s="17" t="s">
        <v>2467</v>
      </c>
      <c r="M8835" s="17" t="s">
        <v>2468</v>
      </c>
      <c r="N8835" s="22" t="str">
        <f t="shared" si="794"/>
        <v>GAL</v>
      </c>
      <c r="O8835" s="19">
        <v>180</v>
      </c>
    </row>
    <row r="8836" spans="2:15" x14ac:dyDescent="0.25">
      <c r="B8836" s="16" t="s">
        <v>645</v>
      </c>
      <c r="C8836" s="17" t="s">
        <v>1025</v>
      </c>
      <c r="D8836" s="17" t="s">
        <v>2464</v>
      </c>
      <c r="E8836" s="17" t="s">
        <v>102</v>
      </c>
      <c r="F8836" s="18">
        <f>DATE(2025,9,26)</f>
        <v>45926</v>
      </c>
      <c r="G8836" s="22">
        <f t="shared" si="792"/>
        <v>9</v>
      </c>
      <c r="H8836" s="22">
        <f t="shared" si="793"/>
        <v>2025</v>
      </c>
      <c r="I8836" s="17" t="s">
        <v>4</v>
      </c>
      <c r="J8836" s="17" t="s">
        <v>9247</v>
      </c>
      <c r="K8836" s="17" t="s">
        <v>1130</v>
      </c>
      <c r="L8836" s="17" t="s">
        <v>632</v>
      </c>
      <c r="M8836" s="17" t="s">
        <v>633</v>
      </c>
      <c r="N8836" s="22" t="str">
        <f t="shared" si="794"/>
        <v>GAL</v>
      </c>
      <c r="O8836" s="19">
        <v>25</v>
      </c>
    </row>
    <row r="8837" spans="2:15" x14ac:dyDescent="0.25">
      <c r="B8837" s="16" t="s">
        <v>1410</v>
      </c>
      <c r="C8837" s="17" t="s">
        <v>525</v>
      </c>
      <c r="D8837" s="17" t="s">
        <v>646</v>
      </c>
      <c r="E8837" s="17" t="s">
        <v>647</v>
      </c>
      <c r="F8837" s="18">
        <f>DATE(2025,9,11)</f>
        <v>45911</v>
      </c>
      <c r="G8837" s="22">
        <f t="shared" si="792"/>
        <v>9</v>
      </c>
      <c r="H8837" s="22">
        <f t="shared" si="793"/>
        <v>2025</v>
      </c>
      <c r="I8837" s="17" t="s">
        <v>4</v>
      </c>
      <c r="J8837" s="17" t="s">
        <v>9248</v>
      </c>
      <c r="K8837" s="17" t="s">
        <v>649</v>
      </c>
      <c r="L8837" s="17" t="s">
        <v>538</v>
      </c>
      <c r="M8837" s="17" t="s">
        <v>4243</v>
      </c>
      <c r="N8837" s="22" t="str">
        <f t="shared" si="794"/>
        <v>GAL</v>
      </c>
      <c r="O8837" s="19">
        <v>1500</v>
      </c>
    </row>
    <row r="8838" spans="2:15" x14ac:dyDescent="0.25">
      <c r="B8838" s="16" t="s">
        <v>1410</v>
      </c>
      <c r="C8838" s="17" t="s">
        <v>525</v>
      </c>
      <c r="D8838" s="17" t="s">
        <v>646</v>
      </c>
      <c r="E8838" s="17" t="s">
        <v>647</v>
      </c>
      <c r="F8838" s="18">
        <f>DATE(2025,9,12)</f>
        <v>45912</v>
      </c>
      <c r="G8838" s="22">
        <f t="shared" si="792"/>
        <v>9</v>
      </c>
      <c r="H8838" s="22">
        <f t="shared" si="793"/>
        <v>2025</v>
      </c>
      <c r="I8838" s="17" t="s">
        <v>4</v>
      </c>
      <c r="J8838" s="17" t="s">
        <v>9249</v>
      </c>
      <c r="K8838" s="17" t="s">
        <v>649</v>
      </c>
      <c r="L8838" s="17" t="s">
        <v>538</v>
      </c>
      <c r="M8838" s="17" t="s">
        <v>4243</v>
      </c>
      <c r="N8838" s="22" t="str">
        <f t="shared" si="794"/>
        <v>GAL</v>
      </c>
      <c r="O8838" s="19">
        <v>1500</v>
      </c>
    </row>
    <row r="8839" spans="2:15" x14ac:dyDescent="0.25">
      <c r="B8839" s="16" t="s">
        <v>1410</v>
      </c>
      <c r="C8839" s="17" t="s">
        <v>525</v>
      </c>
      <c r="D8839" s="17" t="s">
        <v>124</v>
      </c>
      <c r="E8839" s="17" t="s">
        <v>526</v>
      </c>
      <c r="F8839" s="18">
        <f>DATE(2025,9,30)</f>
        <v>45930</v>
      </c>
      <c r="G8839" s="22">
        <f t="shared" si="792"/>
        <v>9</v>
      </c>
      <c r="H8839" s="22">
        <f t="shared" si="793"/>
        <v>2025</v>
      </c>
      <c r="I8839" s="17" t="s">
        <v>4</v>
      </c>
      <c r="J8839" s="17" t="s">
        <v>9250</v>
      </c>
      <c r="K8839" s="17" t="s">
        <v>1031</v>
      </c>
      <c r="L8839" s="17" t="s">
        <v>1032</v>
      </c>
      <c r="M8839" s="17" t="s">
        <v>119</v>
      </c>
      <c r="N8839" s="22" t="str">
        <f t="shared" si="794"/>
        <v>TON</v>
      </c>
      <c r="O8839" s="19">
        <v>4.7474999999999996</v>
      </c>
    </row>
    <row r="8840" spans="2:15" x14ac:dyDescent="0.25">
      <c r="B8840" s="16" t="s">
        <v>1050</v>
      </c>
      <c r="C8840" s="17" t="s">
        <v>533</v>
      </c>
      <c r="D8840" s="17" t="s">
        <v>1047</v>
      </c>
      <c r="E8840" s="17" t="s">
        <v>8868</v>
      </c>
      <c r="F8840" s="18">
        <f>DATE(2025,9,2)</f>
        <v>45902</v>
      </c>
      <c r="G8840" s="22">
        <f t="shared" si="792"/>
        <v>9</v>
      </c>
      <c r="H8840" s="22">
        <f t="shared" si="793"/>
        <v>2025</v>
      </c>
      <c r="I8840" s="17" t="s">
        <v>4</v>
      </c>
      <c r="J8840" s="17" t="s">
        <v>9251</v>
      </c>
      <c r="K8840" s="17" t="s">
        <v>2530</v>
      </c>
      <c r="L8840" s="17" t="s">
        <v>2531</v>
      </c>
      <c r="M8840" s="17" t="s">
        <v>2532</v>
      </c>
      <c r="N8840" s="22" t="str">
        <f t="shared" si="794"/>
        <v>GAL</v>
      </c>
      <c r="O8840" s="19">
        <v>10</v>
      </c>
    </row>
    <row r="8841" spans="2:15" x14ac:dyDescent="0.25">
      <c r="B8841" s="16" t="s">
        <v>1050</v>
      </c>
      <c r="C8841" s="17" t="s">
        <v>533</v>
      </c>
      <c r="D8841" s="17" t="s">
        <v>1047</v>
      </c>
      <c r="E8841" s="17" t="s">
        <v>8868</v>
      </c>
      <c r="F8841" s="18">
        <f>DATE(2025,9,2)</f>
        <v>45902</v>
      </c>
      <c r="G8841" s="22">
        <f t="shared" si="792"/>
        <v>9</v>
      </c>
      <c r="H8841" s="22">
        <f t="shared" si="793"/>
        <v>2025</v>
      </c>
      <c r="I8841" s="17" t="s">
        <v>4</v>
      </c>
      <c r="J8841" s="17" t="s">
        <v>9251</v>
      </c>
      <c r="K8841" s="17" t="s">
        <v>2556</v>
      </c>
      <c r="L8841" s="17" t="s">
        <v>2557</v>
      </c>
      <c r="M8841" s="17" t="s">
        <v>5714</v>
      </c>
      <c r="N8841" s="22" t="str">
        <f t="shared" si="794"/>
        <v>GAL</v>
      </c>
      <c r="O8841" s="19">
        <v>5</v>
      </c>
    </row>
    <row r="8842" spans="2:15" x14ac:dyDescent="0.25">
      <c r="B8842" s="16" t="s">
        <v>1050</v>
      </c>
      <c r="C8842" s="17" t="s">
        <v>533</v>
      </c>
      <c r="D8842" s="17" t="s">
        <v>2456</v>
      </c>
      <c r="E8842" s="17" t="s">
        <v>9252</v>
      </c>
      <c r="F8842" s="18">
        <f>DATE(2025,9,4)</f>
        <v>45904</v>
      </c>
      <c r="G8842" s="22">
        <f t="shared" si="792"/>
        <v>9</v>
      </c>
      <c r="H8842" s="22">
        <f t="shared" si="793"/>
        <v>2025</v>
      </c>
      <c r="I8842" s="17" t="s">
        <v>4</v>
      </c>
      <c r="J8842" s="17" t="s">
        <v>9253</v>
      </c>
      <c r="K8842" s="17" t="s">
        <v>158</v>
      </c>
      <c r="L8842" s="17" t="s">
        <v>159</v>
      </c>
      <c r="M8842" s="17" t="s">
        <v>160</v>
      </c>
      <c r="N8842" s="22" t="str">
        <f t="shared" si="794"/>
        <v>GAL</v>
      </c>
      <c r="O8842" s="19">
        <v>50</v>
      </c>
    </row>
    <row r="8843" spans="2:15" x14ac:dyDescent="0.25">
      <c r="B8843" s="16" t="s">
        <v>3238</v>
      </c>
      <c r="C8843" s="17" t="s">
        <v>3239</v>
      </c>
      <c r="D8843" s="17" t="s">
        <v>3240</v>
      </c>
      <c r="E8843" s="17" t="s">
        <v>102</v>
      </c>
      <c r="F8843" s="18">
        <f>DATE(2025,9,2)</f>
        <v>45902</v>
      </c>
      <c r="G8843" s="22">
        <f t="shared" si="792"/>
        <v>9</v>
      </c>
      <c r="H8843" s="22">
        <f t="shared" si="793"/>
        <v>2025</v>
      </c>
      <c r="I8843" s="17" t="s">
        <v>4</v>
      </c>
      <c r="J8843" s="17" t="s">
        <v>9254</v>
      </c>
      <c r="K8843" s="17" t="s">
        <v>9016</v>
      </c>
      <c r="L8843" s="17" t="s">
        <v>9017</v>
      </c>
      <c r="M8843" s="17" t="s">
        <v>9018</v>
      </c>
      <c r="N8843" s="22" t="str">
        <f t="shared" si="794"/>
        <v>GAL</v>
      </c>
      <c r="O8843" s="19">
        <v>5</v>
      </c>
    </row>
    <row r="8844" spans="2:15" x14ac:dyDescent="0.25">
      <c r="B8844" s="16" t="s">
        <v>3238</v>
      </c>
      <c r="C8844" s="17" t="s">
        <v>3239</v>
      </c>
      <c r="D8844" s="17" t="s">
        <v>3240</v>
      </c>
      <c r="E8844" s="17" t="s">
        <v>102</v>
      </c>
      <c r="F8844" s="18">
        <f>DATE(2025,9,4)</f>
        <v>45904</v>
      </c>
      <c r="G8844" s="22">
        <f t="shared" si="792"/>
        <v>9</v>
      </c>
      <c r="H8844" s="22">
        <f t="shared" si="793"/>
        <v>2025</v>
      </c>
      <c r="I8844" s="17" t="s">
        <v>4</v>
      </c>
      <c r="J8844" s="17" t="s">
        <v>9255</v>
      </c>
      <c r="K8844" s="17" t="s">
        <v>69</v>
      </c>
      <c r="L8844" s="17" t="s">
        <v>6275</v>
      </c>
      <c r="M8844" s="17" t="s">
        <v>21</v>
      </c>
      <c r="N8844" s="22" t="str">
        <f t="shared" si="794"/>
        <v>GAL</v>
      </c>
      <c r="O8844" s="19">
        <v>60</v>
      </c>
    </row>
    <row r="8845" spans="2:15" x14ac:dyDescent="0.25">
      <c r="B8845" s="16" t="s">
        <v>3238</v>
      </c>
      <c r="C8845" s="17" t="s">
        <v>3239</v>
      </c>
      <c r="D8845" s="17" t="s">
        <v>534</v>
      </c>
      <c r="E8845" s="17" t="s">
        <v>535</v>
      </c>
      <c r="F8845" s="18">
        <f>DATE(2025,9,4)</f>
        <v>45904</v>
      </c>
      <c r="G8845" s="22">
        <f t="shared" si="792"/>
        <v>9</v>
      </c>
      <c r="H8845" s="22">
        <f t="shared" si="793"/>
        <v>2025</v>
      </c>
      <c r="I8845" s="17" t="s">
        <v>4</v>
      </c>
      <c r="J8845" s="17" t="s">
        <v>9256</v>
      </c>
      <c r="K8845" s="17" t="s">
        <v>548</v>
      </c>
      <c r="L8845" s="17" t="s">
        <v>518</v>
      </c>
      <c r="M8845" s="17" t="s">
        <v>85</v>
      </c>
      <c r="N8845" s="22" t="str">
        <f t="shared" si="794"/>
        <v>GAL</v>
      </c>
      <c r="O8845" s="19">
        <v>250</v>
      </c>
    </row>
    <row r="8846" spans="2:15" x14ac:dyDescent="0.25">
      <c r="B8846" s="16" t="s">
        <v>3238</v>
      </c>
      <c r="C8846" s="17" t="s">
        <v>3239</v>
      </c>
      <c r="D8846" s="17" t="s">
        <v>534</v>
      </c>
      <c r="E8846" s="17" t="s">
        <v>535</v>
      </c>
      <c r="F8846" s="18">
        <f>DATE(2025,9,4)</f>
        <v>45904</v>
      </c>
      <c r="G8846" s="22">
        <f t="shared" si="792"/>
        <v>9</v>
      </c>
      <c r="H8846" s="22">
        <f t="shared" si="793"/>
        <v>2025</v>
      </c>
      <c r="I8846" s="17" t="s">
        <v>4</v>
      </c>
      <c r="J8846" s="17" t="s">
        <v>9256</v>
      </c>
      <c r="K8846" s="17" t="s">
        <v>1780</v>
      </c>
      <c r="L8846" s="17" t="s">
        <v>1867</v>
      </c>
      <c r="M8846" s="17" t="s">
        <v>73</v>
      </c>
      <c r="N8846" s="22" t="str">
        <f t="shared" si="794"/>
        <v>GAL</v>
      </c>
      <c r="O8846" s="19">
        <v>55</v>
      </c>
    </row>
    <row r="8847" spans="2:15" x14ac:dyDescent="0.25">
      <c r="B8847" s="16" t="s">
        <v>3238</v>
      </c>
      <c r="C8847" s="17" t="s">
        <v>3239</v>
      </c>
      <c r="D8847" s="17" t="s">
        <v>3240</v>
      </c>
      <c r="E8847" s="17" t="s">
        <v>3923</v>
      </c>
      <c r="F8847" s="18">
        <f t="shared" ref="F8847:F8853" si="795">DATE(2025,9,8)</f>
        <v>45908</v>
      </c>
      <c r="G8847" s="22">
        <f t="shared" si="792"/>
        <v>9</v>
      </c>
      <c r="H8847" s="22">
        <f t="shared" si="793"/>
        <v>2025</v>
      </c>
      <c r="I8847" s="17" t="s">
        <v>4</v>
      </c>
      <c r="J8847" s="17" t="s">
        <v>9257</v>
      </c>
      <c r="K8847" s="17" t="s">
        <v>3925</v>
      </c>
      <c r="L8847" s="17" t="s">
        <v>4264</v>
      </c>
      <c r="M8847" s="17" t="s">
        <v>119</v>
      </c>
      <c r="N8847" s="22" t="str">
        <f t="shared" si="794"/>
        <v>TON</v>
      </c>
      <c r="O8847" s="19">
        <v>1.28</v>
      </c>
    </row>
    <row r="8848" spans="2:15" x14ac:dyDescent="0.25">
      <c r="B8848" s="16" t="s">
        <v>3238</v>
      </c>
      <c r="C8848" s="17" t="s">
        <v>3239</v>
      </c>
      <c r="D8848" s="17" t="s">
        <v>3240</v>
      </c>
      <c r="E8848" s="17" t="s">
        <v>9258</v>
      </c>
      <c r="F8848" s="18">
        <f t="shared" si="795"/>
        <v>45908</v>
      </c>
      <c r="G8848" s="22">
        <f t="shared" si="792"/>
        <v>9</v>
      </c>
      <c r="H8848" s="22">
        <f t="shared" si="793"/>
        <v>2025</v>
      </c>
      <c r="I8848" s="17" t="s">
        <v>4</v>
      </c>
      <c r="J8848" s="17" t="s">
        <v>9259</v>
      </c>
      <c r="K8848" s="17" t="s">
        <v>9260</v>
      </c>
      <c r="L8848" s="17" t="s">
        <v>8881</v>
      </c>
      <c r="M8848" s="17" t="s">
        <v>2631</v>
      </c>
      <c r="N8848" s="22" t="str">
        <f t="shared" si="794"/>
        <v>GAL</v>
      </c>
      <c r="O8848" s="19">
        <v>500</v>
      </c>
    </row>
    <row r="8849" spans="2:15" x14ac:dyDescent="0.25">
      <c r="B8849" s="16" t="s">
        <v>3238</v>
      </c>
      <c r="C8849" s="17" t="s">
        <v>3239</v>
      </c>
      <c r="D8849" s="17" t="s">
        <v>3240</v>
      </c>
      <c r="E8849" s="17" t="s">
        <v>102</v>
      </c>
      <c r="F8849" s="18">
        <f t="shared" si="795"/>
        <v>45908</v>
      </c>
      <c r="G8849" s="22">
        <f t="shared" si="792"/>
        <v>9</v>
      </c>
      <c r="H8849" s="22">
        <f t="shared" si="793"/>
        <v>2025</v>
      </c>
      <c r="I8849" s="17" t="s">
        <v>4</v>
      </c>
      <c r="J8849" s="17" t="s">
        <v>9261</v>
      </c>
      <c r="K8849" s="17" t="s">
        <v>39</v>
      </c>
      <c r="L8849" s="17" t="s">
        <v>6380</v>
      </c>
      <c r="M8849" s="17" t="s">
        <v>41</v>
      </c>
      <c r="N8849" s="22" t="str">
        <f t="shared" si="794"/>
        <v>GAL</v>
      </c>
      <c r="O8849" s="19">
        <v>60</v>
      </c>
    </row>
    <row r="8850" spans="2:15" x14ac:dyDescent="0.25">
      <c r="B8850" s="16" t="s">
        <v>3238</v>
      </c>
      <c r="C8850" s="17" t="s">
        <v>3239</v>
      </c>
      <c r="D8850" s="17" t="s">
        <v>3240</v>
      </c>
      <c r="E8850" s="17" t="s">
        <v>102</v>
      </c>
      <c r="F8850" s="18">
        <f t="shared" si="795"/>
        <v>45908</v>
      </c>
      <c r="G8850" s="22">
        <f t="shared" si="792"/>
        <v>9</v>
      </c>
      <c r="H8850" s="22">
        <f t="shared" si="793"/>
        <v>2025</v>
      </c>
      <c r="I8850" s="17" t="s">
        <v>4</v>
      </c>
      <c r="J8850" s="17" t="s">
        <v>9261</v>
      </c>
      <c r="K8850" s="17" t="s">
        <v>3941</v>
      </c>
      <c r="L8850" s="17" t="s">
        <v>3911</v>
      </c>
      <c r="M8850" s="17" t="s">
        <v>2100</v>
      </c>
      <c r="N8850" s="22" t="str">
        <f t="shared" si="794"/>
        <v>GAL</v>
      </c>
      <c r="O8850" s="19">
        <v>60</v>
      </c>
    </row>
    <row r="8851" spans="2:15" x14ac:dyDescent="0.25">
      <c r="B8851" s="16" t="s">
        <v>3238</v>
      </c>
      <c r="C8851" s="17" t="s">
        <v>3239</v>
      </c>
      <c r="D8851" s="17" t="s">
        <v>3240</v>
      </c>
      <c r="E8851" s="17" t="s">
        <v>102</v>
      </c>
      <c r="F8851" s="18">
        <f t="shared" si="795"/>
        <v>45908</v>
      </c>
      <c r="G8851" s="22">
        <f t="shared" si="792"/>
        <v>9</v>
      </c>
      <c r="H8851" s="22">
        <f t="shared" si="793"/>
        <v>2025</v>
      </c>
      <c r="I8851" s="17" t="s">
        <v>4</v>
      </c>
      <c r="J8851" s="17" t="s">
        <v>9261</v>
      </c>
      <c r="K8851" s="17" t="s">
        <v>2530</v>
      </c>
      <c r="L8851" s="17" t="s">
        <v>3503</v>
      </c>
      <c r="M8851" s="17" t="s">
        <v>2532</v>
      </c>
      <c r="N8851" s="22" t="str">
        <f t="shared" si="794"/>
        <v>GAL</v>
      </c>
      <c r="O8851" s="19">
        <v>60</v>
      </c>
    </row>
    <row r="8852" spans="2:15" x14ac:dyDescent="0.25">
      <c r="B8852" s="16" t="s">
        <v>3238</v>
      </c>
      <c r="C8852" s="17" t="s">
        <v>3239</v>
      </c>
      <c r="D8852" s="17" t="s">
        <v>3240</v>
      </c>
      <c r="E8852" s="17" t="s">
        <v>102</v>
      </c>
      <c r="F8852" s="18">
        <f t="shared" si="795"/>
        <v>45908</v>
      </c>
      <c r="G8852" s="22">
        <f t="shared" si="792"/>
        <v>9</v>
      </c>
      <c r="H8852" s="22">
        <f t="shared" si="793"/>
        <v>2025</v>
      </c>
      <c r="I8852" s="17" t="s">
        <v>4</v>
      </c>
      <c r="J8852" s="17" t="s">
        <v>9261</v>
      </c>
      <c r="K8852" s="17" t="s">
        <v>5968</v>
      </c>
      <c r="L8852" s="17" t="s">
        <v>5969</v>
      </c>
      <c r="M8852" s="17" t="s">
        <v>5970</v>
      </c>
      <c r="N8852" s="22" t="str">
        <f t="shared" si="794"/>
        <v>GAL</v>
      </c>
      <c r="O8852" s="19">
        <v>90</v>
      </c>
    </row>
    <row r="8853" spans="2:15" x14ac:dyDescent="0.25">
      <c r="B8853" s="16" t="s">
        <v>3238</v>
      </c>
      <c r="C8853" s="17" t="s">
        <v>3239</v>
      </c>
      <c r="D8853" s="17" t="s">
        <v>3240</v>
      </c>
      <c r="E8853" s="17" t="s">
        <v>102</v>
      </c>
      <c r="F8853" s="18">
        <f t="shared" si="795"/>
        <v>45908</v>
      </c>
      <c r="G8853" s="22">
        <f t="shared" si="792"/>
        <v>9</v>
      </c>
      <c r="H8853" s="22">
        <f t="shared" si="793"/>
        <v>2025</v>
      </c>
      <c r="I8853" s="17" t="s">
        <v>4</v>
      </c>
      <c r="J8853" s="17" t="s">
        <v>9261</v>
      </c>
      <c r="K8853" s="17" t="s">
        <v>5469</v>
      </c>
      <c r="L8853" s="17" t="s">
        <v>5470</v>
      </c>
      <c r="M8853" s="17" t="s">
        <v>1046</v>
      </c>
      <c r="N8853" s="22" t="str">
        <f t="shared" si="794"/>
        <v>GAL</v>
      </c>
      <c r="O8853" s="19">
        <v>90</v>
      </c>
    </row>
    <row r="8854" spans="2:15" x14ac:dyDescent="0.25">
      <c r="B8854" s="16" t="s">
        <v>3238</v>
      </c>
      <c r="C8854" s="17" t="s">
        <v>3239</v>
      </c>
      <c r="D8854" s="17" t="s">
        <v>3240</v>
      </c>
      <c r="E8854" s="17" t="s">
        <v>8783</v>
      </c>
      <c r="F8854" s="18">
        <f>DATE(2025,9,9)</f>
        <v>45909</v>
      </c>
      <c r="G8854" s="22">
        <f t="shared" si="792"/>
        <v>9</v>
      </c>
      <c r="H8854" s="22">
        <f t="shared" si="793"/>
        <v>2025</v>
      </c>
      <c r="I8854" s="17" t="s">
        <v>4</v>
      </c>
      <c r="J8854" s="17" t="s">
        <v>9262</v>
      </c>
      <c r="K8854" s="17" t="s">
        <v>3502</v>
      </c>
      <c r="L8854" s="17" t="s">
        <v>3503</v>
      </c>
      <c r="M8854" s="17" t="s">
        <v>2532</v>
      </c>
      <c r="N8854" s="22" t="str">
        <f t="shared" si="794"/>
        <v>GAL</v>
      </c>
      <c r="O8854" s="19">
        <v>250</v>
      </c>
    </row>
    <row r="8855" spans="2:15" x14ac:dyDescent="0.25">
      <c r="B8855" s="16" t="s">
        <v>3238</v>
      </c>
      <c r="C8855" s="17" t="s">
        <v>3239</v>
      </c>
      <c r="D8855" s="17" t="s">
        <v>3240</v>
      </c>
      <c r="E8855" s="17" t="s">
        <v>102</v>
      </c>
      <c r="F8855" s="18">
        <f>DATE(2025,9,11)</f>
        <v>45911</v>
      </c>
      <c r="G8855" s="22">
        <f t="shared" si="792"/>
        <v>9</v>
      </c>
      <c r="H8855" s="22">
        <f t="shared" si="793"/>
        <v>2025</v>
      </c>
      <c r="I8855" s="17" t="s">
        <v>4</v>
      </c>
      <c r="J8855" s="17" t="s">
        <v>9263</v>
      </c>
      <c r="K8855" s="17" t="s">
        <v>9016</v>
      </c>
      <c r="L8855" s="17" t="s">
        <v>9017</v>
      </c>
      <c r="M8855" s="17" t="s">
        <v>9018</v>
      </c>
      <c r="N8855" s="22" t="str">
        <f t="shared" si="794"/>
        <v>GAL</v>
      </c>
      <c r="O8855" s="19">
        <v>10</v>
      </c>
    </row>
    <row r="8856" spans="2:15" x14ac:dyDescent="0.25">
      <c r="B8856" s="16" t="s">
        <v>3238</v>
      </c>
      <c r="C8856" s="17" t="s">
        <v>3239</v>
      </c>
      <c r="D8856" s="17" t="s">
        <v>3240</v>
      </c>
      <c r="E8856" s="17" t="s">
        <v>3908</v>
      </c>
      <c r="F8856" s="18">
        <f>DATE(2025,9,17)</f>
        <v>45917</v>
      </c>
      <c r="G8856" s="22">
        <f t="shared" si="792"/>
        <v>9</v>
      </c>
      <c r="H8856" s="22">
        <f t="shared" si="793"/>
        <v>2025</v>
      </c>
      <c r="I8856" s="17" t="s">
        <v>4</v>
      </c>
      <c r="J8856" s="17" t="s">
        <v>9264</v>
      </c>
      <c r="K8856" s="17" t="s">
        <v>998</v>
      </c>
      <c r="L8856" s="17" t="s">
        <v>3526</v>
      </c>
      <c r="M8856" s="17" t="s">
        <v>1000</v>
      </c>
      <c r="N8856" s="22" t="str">
        <f t="shared" si="794"/>
        <v>GAL</v>
      </c>
      <c r="O8856" s="19">
        <v>250</v>
      </c>
    </row>
    <row r="8857" spans="2:15" x14ac:dyDescent="0.25">
      <c r="B8857" s="16" t="s">
        <v>3238</v>
      </c>
      <c r="C8857" s="17" t="s">
        <v>3239</v>
      </c>
      <c r="D8857" s="17" t="s">
        <v>3240</v>
      </c>
      <c r="E8857" s="17" t="s">
        <v>3908</v>
      </c>
      <c r="F8857" s="18">
        <f>DATE(2025,9,17)</f>
        <v>45917</v>
      </c>
      <c r="G8857" s="22">
        <f t="shared" si="792"/>
        <v>9</v>
      </c>
      <c r="H8857" s="22">
        <f t="shared" si="793"/>
        <v>2025</v>
      </c>
      <c r="I8857" s="17" t="s">
        <v>4</v>
      </c>
      <c r="J8857" s="17" t="s">
        <v>9264</v>
      </c>
      <c r="K8857" s="17" t="s">
        <v>3399</v>
      </c>
      <c r="L8857" s="17" t="s">
        <v>3400</v>
      </c>
      <c r="M8857" s="17" t="s">
        <v>3401</v>
      </c>
      <c r="N8857" s="22" t="str">
        <f t="shared" si="794"/>
        <v>GAL</v>
      </c>
      <c r="O8857" s="19">
        <v>250</v>
      </c>
    </row>
    <row r="8858" spans="2:15" x14ac:dyDescent="0.25">
      <c r="B8858" s="16" t="s">
        <v>3238</v>
      </c>
      <c r="C8858" s="17" t="s">
        <v>3239</v>
      </c>
      <c r="D8858" s="17" t="s">
        <v>3240</v>
      </c>
      <c r="E8858" s="17" t="s">
        <v>6693</v>
      </c>
      <c r="F8858" s="18">
        <f>DATE(2025,9,17)</f>
        <v>45917</v>
      </c>
      <c r="G8858" s="22">
        <f t="shared" si="792"/>
        <v>9</v>
      </c>
      <c r="H8858" s="22">
        <f t="shared" si="793"/>
        <v>2025</v>
      </c>
      <c r="I8858" s="17" t="s">
        <v>4</v>
      </c>
      <c r="J8858" s="17" t="s">
        <v>9265</v>
      </c>
      <c r="K8858" s="17" t="s">
        <v>3910</v>
      </c>
      <c r="L8858" s="17" t="s">
        <v>3911</v>
      </c>
      <c r="M8858" s="17" t="s">
        <v>2100</v>
      </c>
      <c r="N8858" s="22" t="str">
        <f t="shared" si="794"/>
        <v>GAL</v>
      </c>
      <c r="O8858" s="19">
        <v>250</v>
      </c>
    </row>
    <row r="8859" spans="2:15" x14ac:dyDescent="0.25">
      <c r="B8859" s="16" t="s">
        <v>3238</v>
      </c>
      <c r="C8859" s="17" t="s">
        <v>3239</v>
      </c>
      <c r="D8859" s="17" t="s">
        <v>3240</v>
      </c>
      <c r="E8859" s="17" t="s">
        <v>4822</v>
      </c>
      <c r="F8859" s="18">
        <f>DATE(2025,9,17)</f>
        <v>45917</v>
      </c>
      <c r="G8859" s="22">
        <f t="shared" si="792"/>
        <v>9</v>
      </c>
      <c r="H8859" s="22">
        <f t="shared" si="793"/>
        <v>2025</v>
      </c>
      <c r="I8859" s="17" t="s">
        <v>4</v>
      </c>
      <c r="J8859" s="17" t="s">
        <v>9266</v>
      </c>
      <c r="K8859" s="17" t="s">
        <v>5976</v>
      </c>
      <c r="L8859" s="17" t="s">
        <v>3915</v>
      </c>
      <c r="M8859" s="17" t="s">
        <v>3916</v>
      </c>
      <c r="N8859" s="22" t="str">
        <f t="shared" si="794"/>
        <v>GAL</v>
      </c>
      <c r="O8859" s="19">
        <v>250</v>
      </c>
    </row>
    <row r="8860" spans="2:15" x14ac:dyDescent="0.25">
      <c r="B8860" s="16" t="s">
        <v>3238</v>
      </c>
      <c r="C8860" s="17" t="s">
        <v>3239</v>
      </c>
      <c r="D8860" s="17" t="s">
        <v>534</v>
      </c>
      <c r="E8860" s="17" t="s">
        <v>535</v>
      </c>
      <c r="F8860" s="18">
        <f>DATE(2025,9,17)</f>
        <v>45917</v>
      </c>
      <c r="G8860" s="22">
        <f t="shared" si="792"/>
        <v>9</v>
      </c>
      <c r="H8860" s="22">
        <f t="shared" si="793"/>
        <v>2025</v>
      </c>
      <c r="I8860" s="17" t="s">
        <v>4</v>
      </c>
      <c r="J8860" s="17" t="s">
        <v>9267</v>
      </c>
      <c r="K8860" s="17" t="s">
        <v>1780</v>
      </c>
      <c r="L8860" s="17" t="s">
        <v>1867</v>
      </c>
      <c r="M8860" s="17" t="s">
        <v>73</v>
      </c>
      <c r="N8860" s="22" t="str">
        <f t="shared" si="794"/>
        <v>GAL</v>
      </c>
      <c r="O8860" s="19">
        <v>55</v>
      </c>
    </row>
    <row r="8861" spans="2:15" x14ac:dyDescent="0.25">
      <c r="B8861" s="16" t="s">
        <v>3238</v>
      </c>
      <c r="C8861" s="17" t="s">
        <v>3239</v>
      </c>
      <c r="D8861" s="17" t="s">
        <v>3240</v>
      </c>
      <c r="E8861" s="17" t="s">
        <v>102</v>
      </c>
      <c r="F8861" s="18">
        <f t="shared" ref="F8861:F8866" si="796">DATE(2025,9,22)</f>
        <v>45922</v>
      </c>
      <c r="G8861" s="22">
        <f t="shared" si="792"/>
        <v>9</v>
      </c>
      <c r="H8861" s="22">
        <f t="shared" si="793"/>
        <v>2025</v>
      </c>
      <c r="I8861" s="17" t="s">
        <v>4</v>
      </c>
      <c r="J8861" s="17" t="s">
        <v>9268</v>
      </c>
      <c r="K8861" s="17" t="s">
        <v>6489</v>
      </c>
      <c r="L8861" s="17" t="s">
        <v>6490</v>
      </c>
      <c r="M8861" s="17" t="s">
        <v>2528</v>
      </c>
      <c r="N8861" s="22" t="str">
        <f t="shared" si="794"/>
        <v>GAL</v>
      </c>
      <c r="O8861" s="19">
        <v>60</v>
      </c>
    </row>
    <row r="8862" spans="2:15" x14ac:dyDescent="0.25">
      <c r="B8862" s="16" t="s">
        <v>3238</v>
      </c>
      <c r="C8862" s="17" t="s">
        <v>3239</v>
      </c>
      <c r="D8862" s="17" t="s">
        <v>3240</v>
      </c>
      <c r="E8862" s="17" t="s">
        <v>102</v>
      </c>
      <c r="F8862" s="18">
        <f t="shared" si="796"/>
        <v>45922</v>
      </c>
      <c r="G8862" s="22">
        <f t="shared" si="792"/>
        <v>9</v>
      </c>
      <c r="H8862" s="22">
        <f t="shared" si="793"/>
        <v>2025</v>
      </c>
      <c r="I8862" s="17" t="s">
        <v>4</v>
      </c>
      <c r="J8862" s="17" t="s">
        <v>9268</v>
      </c>
      <c r="K8862" s="17" t="s">
        <v>3917</v>
      </c>
      <c r="L8862" s="17" t="s">
        <v>3525</v>
      </c>
      <c r="M8862" s="17" t="s">
        <v>1397</v>
      </c>
      <c r="N8862" s="22" t="str">
        <f t="shared" si="794"/>
        <v>GAL</v>
      </c>
      <c r="O8862" s="19">
        <v>60</v>
      </c>
    </row>
    <row r="8863" spans="2:15" x14ac:dyDescent="0.25">
      <c r="B8863" s="16" t="s">
        <v>3238</v>
      </c>
      <c r="C8863" s="17" t="s">
        <v>3239</v>
      </c>
      <c r="D8863" s="17" t="s">
        <v>3240</v>
      </c>
      <c r="E8863" s="17" t="s">
        <v>102</v>
      </c>
      <c r="F8863" s="18">
        <f t="shared" si="796"/>
        <v>45922</v>
      </c>
      <c r="G8863" s="22">
        <f t="shared" si="792"/>
        <v>9</v>
      </c>
      <c r="H8863" s="22">
        <f t="shared" si="793"/>
        <v>2025</v>
      </c>
      <c r="I8863" s="17" t="s">
        <v>4</v>
      </c>
      <c r="J8863" s="17" t="s">
        <v>9268</v>
      </c>
      <c r="K8863" s="17" t="s">
        <v>6516</v>
      </c>
      <c r="L8863" s="17" t="s">
        <v>3396</v>
      </c>
      <c r="M8863" s="17" t="s">
        <v>844</v>
      </c>
      <c r="N8863" s="22" t="str">
        <f t="shared" si="794"/>
        <v>GAL</v>
      </c>
      <c r="O8863" s="19">
        <v>60</v>
      </c>
    </row>
    <row r="8864" spans="2:15" x14ac:dyDescent="0.25">
      <c r="B8864" s="16" t="s">
        <v>3238</v>
      </c>
      <c r="C8864" s="17" t="s">
        <v>3239</v>
      </c>
      <c r="D8864" s="17" t="s">
        <v>3240</v>
      </c>
      <c r="E8864" s="17" t="s">
        <v>102</v>
      </c>
      <c r="F8864" s="18">
        <f t="shared" si="796"/>
        <v>45922</v>
      </c>
      <c r="G8864" s="22">
        <f t="shared" si="792"/>
        <v>9</v>
      </c>
      <c r="H8864" s="22">
        <f t="shared" si="793"/>
        <v>2025</v>
      </c>
      <c r="I8864" s="17" t="s">
        <v>4</v>
      </c>
      <c r="J8864" s="17" t="s">
        <v>9268</v>
      </c>
      <c r="K8864" s="17" t="s">
        <v>39</v>
      </c>
      <c r="L8864" s="17" t="s">
        <v>6380</v>
      </c>
      <c r="M8864" s="17" t="s">
        <v>41</v>
      </c>
      <c r="N8864" s="22" t="str">
        <f t="shared" si="794"/>
        <v>GAL</v>
      </c>
      <c r="O8864" s="19">
        <v>60</v>
      </c>
    </row>
    <row r="8865" spans="2:15" x14ac:dyDescent="0.25">
      <c r="B8865" s="16" t="s">
        <v>3238</v>
      </c>
      <c r="C8865" s="17" t="s">
        <v>3239</v>
      </c>
      <c r="D8865" s="17" t="s">
        <v>3240</v>
      </c>
      <c r="E8865" s="17" t="s">
        <v>102</v>
      </c>
      <c r="F8865" s="18">
        <f t="shared" si="796"/>
        <v>45922</v>
      </c>
      <c r="G8865" s="22">
        <f t="shared" si="792"/>
        <v>9</v>
      </c>
      <c r="H8865" s="22">
        <f t="shared" si="793"/>
        <v>2025</v>
      </c>
      <c r="I8865" s="17" t="s">
        <v>4</v>
      </c>
      <c r="J8865" s="17" t="s">
        <v>9268</v>
      </c>
      <c r="K8865" s="17" t="s">
        <v>5968</v>
      </c>
      <c r="L8865" s="17" t="s">
        <v>5969</v>
      </c>
      <c r="M8865" s="17" t="s">
        <v>5970</v>
      </c>
      <c r="N8865" s="22" t="str">
        <f t="shared" si="794"/>
        <v>GAL</v>
      </c>
      <c r="O8865" s="19">
        <v>60</v>
      </c>
    </row>
    <row r="8866" spans="2:15" x14ac:dyDescent="0.25">
      <c r="B8866" s="16" t="s">
        <v>3238</v>
      </c>
      <c r="C8866" s="17" t="s">
        <v>3239</v>
      </c>
      <c r="D8866" s="17" t="s">
        <v>3240</v>
      </c>
      <c r="E8866" s="17" t="s">
        <v>102</v>
      </c>
      <c r="F8866" s="18">
        <f t="shared" si="796"/>
        <v>45922</v>
      </c>
      <c r="G8866" s="22">
        <f t="shared" si="792"/>
        <v>9</v>
      </c>
      <c r="H8866" s="22">
        <f t="shared" si="793"/>
        <v>2025</v>
      </c>
      <c r="I8866" s="17" t="s">
        <v>4</v>
      </c>
      <c r="J8866" s="17" t="s">
        <v>9268</v>
      </c>
      <c r="K8866" s="17" t="s">
        <v>3941</v>
      </c>
      <c r="L8866" s="17" t="s">
        <v>3911</v>
      </c>
      <c r="M8866" s="17" t="s">
        <v>2100</v>
      </c>
      <c r="N8866" s="22" t="str">
        <f t="shared" si="794"/>
        <v>GAL</v>
      </c>
      <c r="O8866" s="19">
        <v>60</v>
      </c>
    </row>
    <row r="8867" spans="2:15" x14ac:dyDescent="0.25">
      <c r="B8867" s="16" t="s">
        <v>3238</v>
      </c>
      <c r="C8867" s="17" t="s">
        <v>3239</v>
      </c>
      <c r="D8867" s="17" t="s">
        <v>3240</v>
      </c>
      <c r="E8867" s="17" t="s">
        <v>102</v>
      </c>
      <c r="F8867" s="18">
        <f>DATE(2025,9,23)</f>
        <v>45923</v>
      </c>
      <c r="G8867" s="22">
        <f t="shared" si="792"/>
        <v>9</v>
      </c>
      <c r="H8867" s="22">
        <f t="shared" si="793"/>
        <v>2025</v>
      </c>
      <c r="I8867" s="17" t="s">
        <v>4</v>
      </c>
      <c r="J8867" s="17" t="s">
        <v>9269</v>
      </c>
      <c r="K8867" s="17" t="s">
        <v>5129</v>
      </c>
      <c r="L8867" s="17" t="s">
        <v>3654</v>
      </c>
      <c r="M8867" s="17" t="s">
        <v>1071</v>
      </c>
      <c r="N8867" s="22" t="str">
        <f t="shared" si="794"/>
        <v>GAL</v>
      </c>
      <c r="O8867" s="19">
        <v>10</v>
      </c>
    </row>
    <row r="8868" spans="2:15" x14ac:dyDescent="0.25">
      <c r="B8868" s="16" t="s">
        <v>3238</v>
      </c>
      <c r="C8868" s="17" t="s">
        <v>3239</v>
      </c>
      <c r="D8868" s="17" t="s">
        <v>3240</v>
      </c>
      <c r="E8868" s="17" t="s">
        <v>4822</v>
      </c>
      <c r="F8868" s="18">
        <f t="shared" ref="F8868:F8874" si="797">DATE(2025,9,24)</f>
        <v>45924</v>
      </c>
      <c r="G8868" s="22">
        <f t="shared" si="792"/>
        <v>9</v>
      </c>
      <c r="H8868" s="22">
        <f t="shared" si="793"/>
        <v>2025</v>
      </c>
      <c r="I8868" s="17" t="s">
        <v>4</v>
      </c>
      <c r="J8868" s="17" t="s">
        <v>9270</v>
      </c>
      <c r="K8868" s="17" t="s">
        <v>5469</v>
      </c>
      <c r="L8868" s="17" t="s">
        <v>5470</v>
      </c>
      <c r="M8868" s="17" t="s">
        <v>1046</v>
      </c>
      <c r="N8868" s="22" t="str">
        <f t="shared" si="794"/>
        <v>GAL</v>
      </c>
      <c r="O8868" s="19">
        <v>5</v>
      </c>
    </row>
    <row r="8869" spans="2:15" x14ac:dyDescent="0.25">
      <c r="B8869" s="16" t="s">
        <v>3238</v>
      </c>
      <c r="C8869" s="17" t="s">
        <v>3239</v>
      </c>
      <c r="D8869" s="17" t="s">
        <v>3240</v>
      </c>
      <c r="E8869" s="17" t="s">
        <v>6691</v>
      </c>
      <c r="F8869" s="18">
        <f t="shared" si="797"/>
        <v>45924</v>
      </c>
      <c r="G8869" s="22">
        <f t="shared" si="792"/>
        <v>9</v>
      </c>
      <c r="H8869" s="22">
        <f t="shared" si="793"/>
        <v>2025</v>
      </c>
      <c r="I8869" s="17" t="s">
        <v>4</v>
      </c>
      <c r="J8869" s="17" t="s">
        <v>9271</v>
      </c>
      <c r="K8869" s="17" t="s">
        <v>3188</v>
      </c>
      <c r="L8869" s="17" t="s">
        <v>3526</v>
      </c>
      <c r="M8869" s="17" t="s">
        <v>1000</v>
      </c>
      <c r="N8869" s="22" t="str">
        <f t="shared" si="794"/>
        <v>GAL</v>
      </c>
      <c r="O8869" s="19">
        <v>55</v>
      </c>
    </row>
    <row r="8870" spans="2:15" x14ac:dyDescent="0.25">
      <c r="B8870" s="16" t="s">
        <v>3238</v>
      </c>
      <c r="C8870" s="17" t="s">
        <v>3239</v>
      </c>
      <c r="D8870" s="17" t="s">
        <v>3240</v>
      </c>
      <c r="E8870" s="17" t="s">
        <v>9272</v>
      </c>
      <c r="F8870" s="18">
        <f t="shared" si="797"/>
        <v>45924</v>
      </c>
      <c r="G8870" s="22">
        <f t="shared" si="792"/>
        <v>9</v>
      </c>
      <c r="H8870" s="22">
        <f t="shared" si="793"/>
        <v>2025</v>
      </c>
      <c r="I8870" s="17" t="s">
        <v>4</v>
      </c>
      <c r="J8870" s="17" t="s">
        <v>9273</v>
      </c>
      <c r="K8870" s="17" t="s">
        <v>3925</v>
      </c>
      <c r="L8870" s="17" t="s">
        <v>4264</v>
      </c>
      <c r="M8870" s="17" t="s">
        <v>119</v>
      </c>
      <c r="N8870" s="22" t="str">
        <f t="shared" si="794"/>
        <v>TON</v>
      </c>
      <c r="O8870" s="19">
        <v>1.25</v>
      </c>
    </row>
    <row r="8871" spans="2:15" x14ac:dyDescent="0.25">
      <c r="B8871" s="16" t="s">
        <v>3238</v>
      </c>
      <c r="C8871" s="17" t="s">
        <v>3239</v>
      </c>
      <c r="D8871" s="17" t="s">
        <v>3240</v>
      </c>
      <c r="E8871" s="17" t="s">
        <v>9274</v>
      </c>
      <c r="F8871" s="18">
        <f t="shared" si="797"/>
        <v>45924</v>
      </c>
      <c r="G8871" s="22">
        <f t="shared" si="792"/>
        <v>9</v>
      </c>
      <c r="H8871" s="22">
        <f t="shared" si="793"/>
        <v>2025</v>
      </c>
      <c r="I8871" s="17" t="s">
        <v>4</v>
      </c>
      <c r="J8871" s="17" t="s">
        <v>9275</v>
      </c>
      <c r="K8871" s="17" t="s">
        <v>3925</v>
      </c>
      <c r="L8871" s="17" t="s">
        <v>4264</v>
      </c>
      <c r="M8871" s="17" t="s">
        <v>119</v>
      </c>
      <c r="N8871" s="22" t="str">
        <f t="shared" si="794"/>
        <v>TON</v>
      </c>
      <c r="O8871" s="19">
        <v>1.25</v>
      </c>
    </row>
    <row r="8872" spans="2:15" x14ac:dyDescent="0.25">
      <c r="B8872" s="16" t="s">
        <v>3238</v>
      </c>
      <c r="C8872" s="17" t="s">
        <v>3239</v>
      </c>
      <c r="D8872" s="17" t="s">
        <v>6120</v>
      </c>
      <c r="E8872" s="17" t="s">
        <v>9276</v>
      </c>
      <c r="F8872" s="18">
        <f t="shared" si="797"/>
        <v>45924</v>
      </c>
      <c r="G8872" s="22">
        <f t="shared" si="792"/>
        <v>9</v>
      </c>
      <c r="H8872" s="22">
        <f t="shared" si="793"/>
        <v>2025</v>
      </c>
      <c r="I8872" s="17" t="s">
        <v>4</v>
      </c>
      <c r="J8872" s="17" t="s">
        <v>9277</v>
      </c>
      <c r="K8872" s="17" t="s">
        <v>6714</v>
      </c>
      <c r="L8872" s="17" t="s">
        <v>6715</v>
      </c>
      <c r="M8872" s="17" t="s">
        <v>3251</v>
      </c>
      <c r="N8872" s="22" t="str">
        <f t="shared" si="794"/>
        <v>GAL</v>
      </c>
      <c r="O8872" s="19">
        <v>50</v>
      </c>
    </row>
    <row r="8873" spans="2:15" x14ac:dyDescent="0.25">
      <c r="B8873" s="16" t="s">
        <v>3238</v>
      </c>
      <c r="C8873" s="17" t="s">
        <v>3239</v>
      </c>
      <c r="D8873" s="17" t="s">
        <v>6120</v>
      </c>
      <c r="E8873" s="17" t="s">
        <v>141</v>
      </c>
      <c r="F8873" s="18">
        <f t="shared" si="797"/>
        <v>45924</v>
      </c>
      <c r="G8873" s="22">
        <f t="shared" si="792"/>
        <v>9</v>
      </c>
      <c r="H8873" s="22">
        <f t="shared" si="793"/>
        <v>2025</v>
      </c>
      <c r="I8873" s="17" t="s">
        <v>4</v>
      </c>
      <c r="J8873" s="17" t="s">
        <v>9278</v>
      </c>
      <c r="K8873" s="17" t="s">
        <v>6142</v>
      </c>
      <c r="L8873" s="17" t="s">
        <v>6143</v>
      </c>
      <c r="M8873" s="17" t="s">
        <v>1472</v>
      </c>
      <c r="N8873" s="22" t="str">
        <f t="shared" si="794"/>
        <v>GAL</v>
      </c>
      <c r="O8873" s="19">
        <v>180</v>
      </c>
    </row>
    <row r="8874" spans="2:15" x14ac:dyDescent="0.25">
      <c r="B8874" s="16" t="s">
        <v>3238</v>
      </c>
      <c r="C8874" s="17" t="s">
        <v>3239</v>
      </c>
      <c r="D8874" s="17" t="s">
        <v>3240</v>
      </c>
      <c r="E8874" s="17" t="s">
        <v>4822</v>
      </c>
      <c r="F8874" s="18">
        <f t="shared" si="797"/>
        <v>45924</v>
      </c>
      <c r="G8874" s="22">
        <f t="shared" si="792"/>
        <v>9</v>
      </c>
      <c r="H8874" s="22">
        <f t="shared" si="793"/>
        <v>2025</v>
      </c>
      <c r="I8874" s="17" t="s">
        <v>4</v>
      </c>
      <c r="J8874" s="17" t="s">
        <v>9279</v>
      </c>
      <c r="K8874" s="17" t="s">
        <v>3925</v>
      </c>
      <c r="L8874" s="17" t="s">
        <v>4264</v>
      </c>
      <c r="M8874" s="17" t="s">
        <v>119</v>
      </c>
      <c r="N8874" s="22" t="str">
        <f t="shared" si="794"/>
        <v>TON</v>
      </c>
      <c r="O8874" s="19">
        <v>5.0049999999999999</v>
      </c>
    </row>
    <row r="8875" spans="2:15" x14ac:dyDescent="0.25">
      <c r="B8875" s="16" t="s">
        <v>3238</v>
      </c>
      <c r="C8875" s="17" t="s">
        <v>3239</v>
      </c>
      <c r="D8875" s="17" t="s">
        <v>3240</v>
      </c>
      <c r="E8875" s="17" t="s">
        <v>3241</v>
      </c>
      <c r="F8875" s="18">
        <f>DATE(2025,9,25)</f>
        <v>45925</v>
      </c>
      <c r="G8875" s="22">
        <f t="shared" si="792"/>
        <v>9</v>
      </c>
      <c r="H8875" s="22">
        <f t="shared" si="793"/>
        <v>2025</v>
      </c>
      <c r="I8875" s="17" t="s">
        <v>4</v>
      </c>
      <c r="J8875" s="17" t="s">
        <v>9280</v>
      </c>
      <c r="K8875" s="17" t="s">
        <v>548</v>
      </c>
      <c r="L8875" s="17" t="s">
        <v>518</v>
      </c>
      <c r="M8875" s="17" t="s">
        <v>85</v>
      </c>
      <c r="N8875" s="22" t="str">
        <f t="shared" si="794"/>
        <v>GAL</v>
      </c>
      <c r="O8875" s="19">
        <v>1850</v>
      </c>
    </row>
    <row r="8876" spans="2:15" x14ac:dyDescent="0.25">
      <c r="B8876" s="16" t="s">
        <v>3238</v>
      </c>
      <c r="C8876" s="17" t="s">
        <v>3239</v>
      </c>
      <c r="D8876" s="17" t="s">
        <v>3240</v>
      </c>
      <c r="E8876" s="17" t="s">
        <v>5477</v>
      </c>
      <c r="F8876" s="18">
        <f t="shared" ref="F8876:F8881" si="798">DATE(2025,9,26)</f>
        <v>45926</v>
      </c>
      <c r="G8876" s="22">
        <f t="shared" si="792"/>
        <v>9</v>
      </c>
      <c r="H8876" s="22">
        <f t="shared" si="793"/>
        <v>2025</v>
      </c>
      <c r="I8876" s="17" t="s">
        <v>4</v>
      </c>
      <c r="J8876" s="17" t="s">
        <v>9281</v>
      </c>
      <c r="K8876" s="17" t="s">
        <v>9282</v>
      </c>
      <c r="L8876" s="17" t="s">
        <v>3934</v>
      </c>
      <c r="M8876" s="17" t="s">
        <v>556</v>
      </c>
      <c r="N8876" s="22" t="str">
        <f t="shared" si="794"/>
        <v>GAL</v>
      </c>
      <c r="O8876" s="19">
        <v>55</v>
      </c>
    </row>
    <row r="8877" spans="2:15" x14ac:dyDescent="0.25">
      <c r="B8877" s="16" t="s">
        <v>3238</v>
      </c>
      <c r="C8877" s="17" t="s">
        <v>3239</v>
      </c>
      <c r="D8877" s="17" t="s">
        <v>3240</v>
      </c>
      <c r="E8877" s="17" t="s">
        <v>5477</v>
      </c>
      <c r="F8877" s="18">
        <f t="shared" si="798"/>
        <v>45926</v>
      </c>
      <c r="G8877" s="22">
        <f t="shared" si="792"/>
        <v>9</v>
      </c>
      <c r="H8877" s="22">
        <f t="shared" si="793"/>
        <v>2025</v>
      </c>
      <c r="I8877" s="17" t="s">
        <v>4</v>
      </c>
      <c r="J8877" s="17" t="s">
        <v>9281</v>
      </c>
      <c r="K8877" s="17" t="s">
        <v>5971</v>
      </c>
      <c r="L8877" s="17" t="s">
        <v>3515</v>
      </c>
      <c r="M8877" s="17" t="s">
        <v>3516</v>
      </c>
      <c r="N8877" s="22" t="str">
        <f t="shared" si="794"/>
        <v>GAL</v>
      </c>
      <c r="O8877" s="19">
        <v>20</v>
      </c>
    </row>
    <row r="8878" spans="2:15" x14ac:dyDescent="0.25">
      <c r="B8878" s="16" t="s">
        <v>3238</v>
      </c>
      <c r="C8878" s="17" t="s">
        <v>3239</v>
      </c>
      <c r="D8878" s="17" t="s">
        <v>3240</v>
      </c>
      <c r="E8878" s="17" t="s">
        <v>5477</v>
      </c>
      <c r="F8878" s="18">
        <f t="shared" si="798"/>
        <v>45926</v>
      </c>
      <c r="G8878" s="22">
        <f t="shared" si="792"/>
        <v>9</v>
      </c>
      <c r="H8878" s="22">
        <f t="shared" si="793"/>
        <v>2025</v>
      </c>
      <c r="I8878" s="17" t="s">
        <v>4</v>
      </c>
      <c r="J8878" s="17" t="s">
        <v>9283</v>
      </c>
      <c r="K8878" s="17" t="s">
        <v>3930</v>
      </c>
      <c r="L8878" s="17" t="s">
        <v>3931</v>
      </c>
      <c r="M8878" s="17" t="s">
        <v>119</v>
      </c>
      <c r="N8878" s="22" t="str">
        <f t="shared" si="794"/>
        <v>TON</v>
      </c>
      <c r="O8878" s="19">
        <v>0.27500000000000002</v>
      </c>
    </row>
    <row r="8879" spans="2:15" x14ac:dyDescent="0.25">
      <c r="B8879" s="16" t="s">
        <v>3238</v>
      </c>
      <c r="C8879" s="17" t="s">
        <v>3239</v>
      </c>
      <c r="D8879" s="17" t="s">
        <v>3240</v>
      </c>
      <c r="E8879" s="17" t="s">
        <v>102</v>
      </c>
      <c r="F8879" s="18">
        <f t="shared" si="798"/>
        <v>45926</v>
      </c>
      <c r="G8879" s="22">
        <f t="shared" si="792"/>
        <v>9</v>
      </c>
      <c r="H8879" s="22">
        <f t="shared" si="793"/>
        <v>2025</v>
      </c>
      <c r="I8879" s="17" t="s">
        <v>4</v>
      </c>
      <c r="J8879" s="17" t="s">
        <v>9284</v>
      </c>
      <c r="K8879" s="17" t="s">
        <v>3943</v>
      </c>
      <c r="L8879" s="17" t="s">
        <v>3405</v>
      </c>
      <c r="M8879" s="17" t="s">
        <v>3406</v>
      </c>
      <c r="N8879" s="22" t="str">
        <f t="shared" si="794"/>
        <v>GAL</v>
      </c>
      <c r="O8879" s="19">
        <v>60</v>
      </c>
    </row>
    <row r="8880" spans="2:15" x14ac:dyDescent="0.25">
      <c r="B8880" s="16" t="s">
        <v>3238</v>
      </c>
      <c r="C8880" s="17" t="s">
        <v>3239</v>
      </c>
      <c r="D8880" s="17" t="s">
        <v>3240</v>
      </c>
      <c r="E8880" s="17" t="s">
        <v>102</v>
      </c>
      <c r="F8880" s="18">
        <f t="shared" si="798"/>
        <v>45926</v>
      </c>
      <c r="G8880" s="22">
        <f t="shared" si="792"/>
        <v>9</v>
      </c>
      <c r="H8880" s="22">
        <f t="shared" si="793"/>
        <v>2025</v>
      </c>
      <c r="I8880" s="17" t="s">
        <v>4</v>
      </c>
      <c r="J8880" s="17" t="s">
        <v>9284</v>
      </c>
      <c r="K8880" s="17" t="s">
        <v>3249</v>
      </c>
      <c r="L8880" s="17" t="s">
        <v>3250</v>
      </c>
      <c r="M8880" s="17" t="s">
        <v>3251</v>
      </c>
      <c r="N8880" s="22" t="str">
        <f t="shared" si="794"/>
        <v>GAL</v>
      </c>
      <c r="O8880" s="19">
        <v>60</v>
      </c>
    </row>
    <row r="8881" spans="2:15" x14ac:dyDescent="0.25">
      <c r="B8881" s="16" t="s">
        <v>3238</v>
      </c>
      <c r="C8881" s="17" t="s">
        <v>3239</v>
      </c>
      <c r="D8881" s="17" t="s">
        <v>3240</v>
      </c>
      <c r="E8881" s="17" t="s">
        <v>102</v>
      </c>
      <c r="F8881" s="18">
        <f t="shared" si="798"/>
        <v>45926</v>
      </c>
      <c r="G8881" s="22">
        <f t="shared" si="792"/>
        <v>9</v>
      </c>
      <c r="H8881" s="22">
        <f t="shared" si="793"/>
        <v>2025</v>
      </c>
      <c r="I8881" s="17" t="s">
        <v>4</v>
      </c>
      <c r="J8881" s="17" t="s">
        <v>9284</v>
      </c>
      <c r="K8881" s="17" t="s">
        <v>5129</v>
      </c>
      <c r="L8881" s="17" t="s">
        <v>3654</v>
      </c>
      <c r="M8881" s="17" t="s">
        <v>1071</v>
      </c>
      <c r="N8881" s="22" t="str">
        <f t="shared" si="794"/>
        <v>GAL</v>
      </c>
      <c r="O8881" s="19">
        <v>60</v>
      </c>
    </row>
    <row r="8882" spans="2:15" x14ac:dyDescent="0.25">
      <c r="B8882" s="16" t="s">
        <v>3238</v>
      </c>
      <c r="C8882" s="17" t="s">
        <v>3239</v>
      </c>
      <c r="D8882" s="17" t="s">
        <v>3240</v>
      </c>
      <c r="E8882" s="17" t="s">
        <v>102</v>
      </c>
      <c r="F8882" s="18">
        <f>DATE(2025,9,29)</f>
        <v>45929</v>
      </c>
      <c r="G8882" s="22">
        <f t="shared" si="792"/>
        <v>9</v>
      </c>
      <c r="H8882" s="22">
        <f t="shared" si="793"/>
        <v>2025</v>
      </c>
      <c r="I8882" s="17" t="s">
        <v>4</v>
      </c>
      <c r="J8882" s="17" t="s">
        <v>9285</v>
      </c>
      <c r="K8882" s="17" t="s">
        <v>5469</v>
      </c>
      <c r="L8882" s="17" t="s">
        <v>5470</v>
      </c>
      <c r="M8882" s="17" t="s">
        <v>1046</v>
      </c>
      <c r="N8882" s="22" t="str">
        <f t="shared" si="794"/>
        <v>GAL</v>
      </c>
      <c r="O8882" s="19">
        <v>60</v>
      </c>
    </row>
    <row r="8883" spans="2:15" x14ac:dyDescent="0.25">
      <c r="B8883" s="16" t="s">
        <v>3238</v>
      </c>
      <c r="C8883" s="17" t="s">
        <v>3239</v>
      </c>
      <c r="D8883" s="17" t="s">
        <v>3240</v>
      </c>
      <c r="E8883" s="17" t="s">
        <v>102</v>
      </c>
      <c r="F8883" s="18">
        <f>DATE(2025,9,29)</f>
        <v>45929</v>
      </c>
      <c r="G8883" s="22">
        <f t="shared" si="792"/>
        <v>9</v>
      </c>
      <c r="H8883" s="22">
        <f t="shared" si="793"/>
        <v>2025</v>
      </c>
      <c r="I8883" s="17" t="s">
        <v>4</v>
      </c>
      <c r="J8883" s="17" t="s">
        <v>9285</v>
      </c>
      <c r="K8883" s="17" t="s">
        <v>19</v>
      </c>
      <c r="L8883" s="17" t="s">
        <v>6275</v>
      </c>
      <c r="M8883" s="17" t="s">
        <v>21</v>
      </c>
      <c r="N8883" s="22" t="str">
        <f t="shared" si="794"/>
        <v>GAL</v>
      </c>
      <c r="O8883" s="19">
        <v>60</v>
      </c>
    </row>
    <row r="8884" spans="2:15" x14ac:dyDescent="0.25">
      <c r="B8884" s="16" t="s">
        <v>3238</v>
      </c>
      <c r="C8884" s="17" t="s">
        <v>3239</v>
      </c>
      <c r="D8884" s="17" t="s">
        <v>3240</v>
      </c>
      <c r="E8884" s="17" t="s">
        <v>102</v>
      </c>
      <c r="F8884" s="18">
        <f>DATE(2025,9,29)</f>
        <v>45929</v>
      </c>
      <c r="G8884" s="22">
        <f t="shared" si="792"/>
        <v>9</v>
      </c>
      <c r="H8884" s="22">
        <f t="shared" si="793"/>
        <v>2025</v>
      </c>
      <c r="I8884" s="17" t="s">
        <v>4</v>
      </c>
      <c r="J8884" s="17" t="s">
        <v>9285</v>
      </c>
      <c r="K8884" s="17" t="s">
        <v>2530</v>
      </c>
      <c r="L8884" s="17" t="s">
        <v>3503</v>
      </c>
      <c r="M8884" s="17" t="s">
        <v>2532</v>
      </c>
      <c r="N8884" s="22" t="str">
        <f t="shared" si="794"/>
        <v>GAL</v>
      </c>
      <c r="O8884" s="19">
        <v>60</v>
      </c>
    </row>
    <row r="8885" spans="2:15" x14ac:dyDescent="0.25">
      <c r="B8885" s="16" t="s">
        <v>3238</v>
      </c>
      <c r="C8885" s="17" t="s">
        <v>3239</v>
      </c>
      <c r="D8885" s="17" t="s">
        <v>3240</v>
      </c>
      <c r="E8885" s="17" t="s">
        <v>102</v>
      </c>
      <c r="F8885" s="18">
        <f>DATE(2025,9,30)</f>
        <v>45930</v>
      </c>
      <c r="G8885" s="22">
        <f t="shared" si="792"/>
        <v>9</v>
      </c>
      <c r="H8885" s="22">
        <f t="shared" si="793"/>
        <v>2025</v>
      </c>
      <c r="I8885" s="17" t="s">
        <v>4</v>
      </c>
      <c r="J8885" s="17" t="s">
        <v>9286</v>
      </c>
      <c r="K8885" s="17" t="s">
        <v>9016</v>
      </c>
      <c r="L8885" s="17" t="s">
        <v>9017</v>
      </c>
      <c r="M8885" s="17" t="s">
        <v>9018</v>
      </c>
      <c r="N8885" s="22" t="str">
        <f t="shared" si="794"/>
        <v>GAL</v>
      </c>
      <c r="O8885" s="19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9305F-BA87-4BC6-A894-E932F3D05306}">
  <sheetPr>
    <pageSetUpPr fitToPage="1"/>
  </sheetPr>
  <dimension ref="B1:P157"/>
  <sheetViews>
    <sheetView workbookViewId="0">
      <selection activeCell="D31" sqref="D31"/>
    </sheetView>
  </sheetViews>
  <sheetFormatPr defaultRowHeight="15" x14ac:dyDescent="0.25"/>
  <cols>
    <col min="3" max="3" width="32.7109375" customWidth="1"/>
    <col min="4" max="8" width="9.28515625" bestFit="1" customWidth="1"/>
    <col min="9" max="9" width="9.5703125" bestFit="1" customWidth="1"/>
    <col min="10" max="15" width="9.28515625" bestFit="1" customWidth="1"/>
  </cols>
  <sheetData>
    <row r="1" spans="2:16" ht="15.75" thickBot="1" x14ac:dyDescent="0.3">
      <c r="B1" s="37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9"/>
    </row>
    <row r="2" spans="2:16" ht="15.75" thickBot="1" x14ac:dyDescent="0.3">
      <c r="B2" s="45"/>
      <c r="C2" s="46"/>
      <c r="D2" s="46" t="s">
        <v>9310</v>
      </c>
      <c r="E2" s="46" t="s">
        <v>9311</v>
      </c>
      <c r="F2" s="46" t="s">
        <v>9312</v>
      </c>
      <c r="G2" s="46" t="s">
        <v>9313</v>
      </c>
      <c r="H2" s="46" t="s">
        <v>9314</v>
      </c>
      <c r="I2" s="46" t="s">
        <v>9315</v>
      </c>
      <c r="J2" s="46" t="s">
        <v>9316</v>
      </c>
      <c r="K2" s="46" t="s">
        <v>9317</v>
      </c>
      <c r="L2" s="46" t="s">
        <v>9318</v>
      </c>
      <c r="M2" s="46" t="s">
        <v>9319</v>
      </c>
      <c r="N2" s="46" t="s">
        <v>9320</v>
      </c>
      <c r="O2" s="46" t="s">
        <v>9321</v>
      </c>
      <c r="P2" s="47"/>
    </row>
    <row r="3" spans="2:16" x14ac:dyDescent="0.25">
      <c r="B3" s="40"/>
      <c r="D3" s="42">
        <v>10</v>
      </c>
      <c r="E3" s="42">
        <v>11</v>
      </c>
      <c r="F3" s="42">
        <v>12</v>
      </c>
      <c r="G3" s="42">
        <v>1</v>
      </c>
      <c r="H3" s="42">
        <f>G3+1</f>
        <v>2</v>
      </c>
      <c r="I3" s="42">
        <f t="shared" ref="I3:O3" si="0">H3+1</f>
        <v>3</v>
      </c>
      <c r="J3" s="42">
        <f t="shared" si="0"/>
        <v>4</v>
      </c>
      <c r="K3" s="42">
        <f t="shared" si="0"/>
        <v>5</v>
      </c>
      <c r="L3" s="42">
        <f t="shared" si="0"/>
        <v>6</v>
      </c>
      <c r="M3" s="42">
        <f t="shared" si="0"/>
        <v>7</v>
      </c>
      <c r="N3" s="42">
        <f t="shared" si="0"/>
        <v>8</v>
      </c>
      <c r="O3" s="42">
        <f t="shared" si="0"/>
        <v>9</v>
      </c>
      <c r="P3" s="41"/>
    </row>
    <row r="4" spans="2:16" x14ac:dyDescent="0.25">
      <c r="B4" s="40"/>
      <c r="C4" s="36" t="s">
        <v>1057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1"/>
    </row>
    <row r="5" spans="2:16" x14ac:dyDescent="0.25">
      <c r="B5" s="40"/>
      <c r="C5" s="35" t="s">
        <v>1424</v>
      </c>
      <c r="D5" s="44">
        <f>SUMIFS(Sheet1!$O3:$O8885,Sheet1!$K3:$K8885,Sheet3!$C5,Sheet1!$G3:$G8885,Sheet3!D$3)/3/2/IF(RIGHT(TRIM(Sheet3!$C5),3)="250",250, IF(RIGHT(TRIM(Sheet3!$C5),2)="02",180,1))</f>
        <v>0</v>
      </c>
      <c r="E5" s="44">
        <f>SUMIFS(Sheet1!$O3:$O8885,Sheet1!$K3:$K8885,Sheet3!$C5,Sheet1!$G3:$G8885,Sheet3!E$3)/3/2/IF(RIGHT(TRIM(Sheet3!$C5),3)="250",250, IF(RIGHT(TRIM(Sheet3!$C5),2)="02",180,1))</f>
        <v>0</v>
      </c>
      <c r="F5" s="44">
        <f>SUMIFS(Sheet1!$O3:$O8885,Sheet1!$K3:$K8885,Sheet3!$C5,Sheet1!$G3:$G8885,Sheet3!F$3)/3/2/IF(RIGHT(TRIM(Sheet3!$C5),3)="250",250, IF(RIGHT(TRIM(Sheet3!$C5),2)="02",180,1))</f>
        <v>3.4351851851851856</v>
      </c>
      <c r="G5" s="44">
        <f>SUMIFS(Sheet1!$O3:$O8885,Sheet1!$K3:$K8885,Sheet3!$C5,Sheet1!$G3:$G8885,Sheet3!G$3)/3/2/IF(RIGHT(TRIM(Sheet3!$C5),3)="250",250, IF(RIGHT(TRIM(Sheet3!$C5),2)="02",180,1))</f>
        <v>13.333333333333334</v>
      </c>
      <c r="H5" s="44">
        <f>SUMIFS(Sheet1!$O3:$O8885,Sheet1!$K3:$K8885,Sheet3!$C5,Sheet1!$G3:$G8885,Sheet3!H$3)/3/2/IF(RIGHT(TRIM(Sheet3!$C5),3)="250",250, IF(RIGHT(TRIM(Sheet3!$C5),2)="02",180,1))</f>
        <v>30</v>
      </c>
      <c r="I5" s="44">
        <f>SUMIFS(Sheet1!$O3:$O8885,Sheet1!$K3:$K8885,Sheet3!$C5,Sheet1!$G3:$G8885,Sheet3!I$3)/3/2/IF(RIGHT(TRIM(Sheet3!$C5),3)="250",250, IF(RIGHT(TRIM(Sheet3!$C5),2)="02",180,1))</f>
        <v>20</v>
      </c>
      <c r="J5" s="44">
        <f>SUMIFS(Sheet1!$O3:$O8885,Sheet1!$K3:$K8885,Sheet3!$C5,Sheet1!$G3:$G8885,Sheet3!J$3)/3/2/IF(RIGHT(TRIM(Sheet3!$C5),3)="250",250, IF(RIGHT(TRIM(Sheet3!$C5),2)="02",180,1))</f>
        <v>0</v>
      </c>
      <c r="K5" s="44">
        <f>SUMIFS(Sheet1!$O3:$O8885,Sheet1!$K3:$K8885,Sheet3!$C5,Sheet1!$G3:$G8885,Sheet3!K$3)/3/2/IF(RIGHT(TRIM(Sheet3!$C5),3)="250",250, IF(RIGHT(TRIM(Sheet3!$C5),2)="02",180,1))</f>
        <v>0</v>
      </c>
      <c r="L5" s="44">
        <f>SUMIFS(Sheet1!$O3:$O8885,Sheet1!$K3:$K8885,Sheet3!$C5,Sheet1!$G3:$G8885,Sheet3!L$3)/3/2/IF(RIGHT(TRIM(Sheet3!$C5),3)="250",250, IF(RIGHT(TRIM(Sheet3!$C5),2)="02",180,1))</f>
        <v>0</v>
      </c>
      <c r="M5" s="44">
        <f>SUMIFS(Sheet1!$O3:$O8885,Sheet1!$K3:$K8885,Sheet3!$C5,Sheet1!$G3:$G8885,Sheet3!M$3)/3/2/IF(RIGHT(TRIM(Sheet3!$C5),3)="250",250, IF(RIGHT(TRIM(Sheet3!$C5),2)="02",180,1))</f>
        <v>0</v>
      </c>
      <c r="N5" s="44">
        <f>SUMIFS(Sheet1!$O3:$O8885,Sheet1!$K3:$K8885,Sheet3!$C5,Sheet1!$G3:$G8885,Sheet3!N$3)/3/2/IF(RIGHT(TRIM(Sheet3!$C5),3)="250",250, IF(RIGHT(TRIM(Sheet3!$C5),2)="02",180,1))</f>
        <v>0</v>
      </c>
      <c r="O5" s="44">
        <f>SUMIFS(Sheet1!$O3:$O8885,Sheet1!$K3:$K8885,Sheet3!$C5,Sheet1!$G3:$G8885,Sheet3!O$3)/3/2/IF(RIGHT(TRIM(Sheet3!$C5),3)="250",250, IF(RIGHT(TRIM(Sheet3!$C5),2)="02",180,1))</f>
        <v>0</v>
      </c>
      <c r="P5" s="41"/>
    </row>
    <row r="6" spans="2:16" x14ac:dyDescent="0.25">
      <c r="B6" s="40"/>
      <c r="C6" s="35" t="s">
        <v>1056</v>
      </c>
      <c r="D6" s="44">
        <f>SUMIFS(Sheet1!$O4:$O8886,Sheet1!$K4:$K8886,Sheet3!$C6,Sheet1!$G4:$G8886,Sheet3!D$3)/3/2/IF(RIGHT(TRIM(Sheet3!$C6),3)="250",250, IF(RIGHT(TRIM(Sheet3!$C6),2)="02",180,1))</f>
        <v>0</v>
      </c>
      <c r="E6" s="44">
        <f>SUMIFS(Sheet1!$O4:$O8886,Sheet1!$K4:$K8886,Sheet3!$C6,Sheet1!$G4:$G8886,Sheet3!E$3)/3/2/IF(RIGHT(TRIM(Sheet3!$C6),3)="250",250, IF(RIGHT(TRIM(Sheet3!$C6),2)="02",180,1))</f>
        <v>4.9466666666666672</v>
      </c>
      <c r="F6" s="44">
        <f>SUMIFS(Sheet1!$O4:$O8886,Sheet1!$K4:$K8886,Sheet3!$C6,Sheet1!$G4:$G8886,Sheet3!F$3)/3/2/IF(RIGHT(TRIM(Sheet3!$C6),3)="250",250, IF(RIGHT(TRIM(Sheet3!$C6),2)="02",180,1))</f>
        <v>19.786666666666669</v>
      </c>
      <c r="G6" s="44">
        <f>SUMIFS(Sheet1!$O4:$O8886,Sheet1!$K4:$K8886,Sheet3!$C6,Sheet1!$G4:$G8886,Sheet3!G$3)/3/2/IF(RIGHT(TRIM(Sheet3!$C6),3)="250",250, IF(RIGHT(TRIM(Sheet3!$C6),2)="02",180,1))</f>
        <v>29.68</v>
      </c>
      <c r="H6" s="44">
        <f>SUMIFS(Sheet1!$O4:$O8886,Sheet1!$K4:$K8886,Sheet3!$C6,Sheet1!$G4:$G8886,Sheet3!H$3)/3/2/IF(RIGHT(TRIM(Sheet3!$C6),3)="250",250, IF(RIGHT(TRIM(Sheet3!$C6),2)="02",180,1))</f>
        <v>7.42</v>
      </c>
      <c r="I6" s="44">
        <f>SUMIFS(Sheet1!$O4:$O8886,Sheet1!$K4:$K8886,Sheet3!$C6,Sheet1!$G4:$G8886,Sheet3!I$3)/3/2/IF(RIGHT(TRIM(Sheet3!$C6),3)="250",250, IF(RIGHT(TRIM(Sheet3!$C6),2)="02",180,1))</f>
        <v>19.786666666666669</v>
      </c>
      <c r="J6" s="44">
        <f>SUMIFS(Sheet1!$O4:$O8886,Sheet1!$K4:$K8886,Sheet3!$C6,Sheet1!$G4:$G8886,Sheet3!J$3)/3/2/IF(RIGHT(TRIM(Sheet3!$C6),3)="250",250, IF(RIGHT(TRIM(Sheet3!$C6),2)="02",180,1))</f>
        <v>7.42</v>
      </c>
      <c r="K6" s="44">
        <f>SUMIFS(Sheet1!$O4:$O8886,Sheet1!$K4:$K8886,Sheet3!$C6,Sheet1!$G4:$G8886,Sheet3!K$3)/3/2/IF(RIGHT(TRIM(Sheet3!$C6),3)="250",250, IF(RIGHT(TRIM(Sheet3!$C6),2)="02",180,1))</f>
        <v>0</v>
      </c>
      <c r="L6" s="44">
        <f>SUMIFS(Sheet1!$O4:$O8886,Sheet1!$K4:$K8886,Sheet3!$C6,Sheet1!$G4:$G8886,Sheet3!L$3)/3/2/IF(RIGHT(TRIM(Sheet3!$C6),3)="250",250, IF(RIGHT(TRIM(Sheet3!$C6),2)="02",180,1))</f>
        <v>0</v>
      </c>
      <c r="M6" s="44">
        <f>SUMIFS(Sheet1!$O4:$O8886,Sheet1!$K4:$K8886,Sheet3!$C6,Sheet1!$G4:$G8886,Sheet3!M$3)/3/2/IF(RIGHT(TRIM(Sheet3!$C6),3)="250",250, IF(RIGHT(TRIM(Sheet3!$C6),2)="02",180,1))</f>
        <v>4.9466666666666672</v>
      </c>
      <c r="N6" s="44">
        <f>SUMIFS(Sheet1!$O4:$O8886,Sheet1!$K4:$K8886,Sheet3!$C6,Sheet1!$G4:$G8886,Sheet3!N$3)/3/2/IF(RIGHT(TRIM(Sheet3!$C6),3)="250",250, IF(RIGHT(TRIM(Sheet3!$C6),2)="02",180,1))</f>
        <v>0</v>
      </c>
      <c r="O6" s="44">
        <f>SUMIFS(Sheet1!$O4:$O8886,Sheet1!$K4:$K8886,Sheet3!$C6,Sheet1!$G4:$G8886,Sheet3!O$3)/3/2/IF(RIGHT(TRIM(Sheet3!$C6),3)="250",250, IF(RIGHT(TRIM(Sheet3!$C6),2)="02",180,1))</f>
        <v>0</v>
      </c>
      <c r="P6" s="41"/>
    </row>
    <row r="7" spans="2:16" x14ac:dyDescent="0.25">
      <c r="B7" s="40"/>
      <c r="C7" s="36" t="s">
        <v>2527</v>
      </c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1"/>
    </row>
    <row r="8" spans="2:16" x14ac:dyDescent="0.25">
      <c r="B8" s="40"/>
      <c r="C8" s="35" t="s">
        <v>2526</v>
      </c>
      <c r="D8" s="44">
        <f>SUMIFS(Sheet1!$O6:$O8888,Sheet1!$K6:$K8888,Sheet3!$C8,Sheet1!$G6:$G8888,Sheet3!D$3)/3/2/IF(RIGHT(TRIM(Sheet3!$C8),3)="250",250, IF(RIGHT(TRIM(Sheet3!$C8),2)="02",180,1))</f>
        <v>0</v>
      </c>
      <c r="E8" s="44">
        <f>SUMIFS(Sheet1!$O6:$O8888,Sheet1!$K6:$K8888,Sheet3!$C8,Sheet1!$G6:$G8888,Sheet3!E$3)/3/2/IF(RIGHT(TRIM(Sheet3!$C8),3)="250",250, IF(RIGHT(TRIM(Sheet3!$C8),2)="02",180,1))</f>
        <v>0</v>
      </c>
      <c r="F8" s="44">
        <f>SUMIFS(Sheet1!$O6:$O8888,Sheet1!$K6:$K8888,Sheet3!$C8,Sheet1!$G6:$G8888,Sheet3!F$3)/3/2/IF(RIGHT(TRIM(Sheet3!$C8),3)="250",250, IF(RIGHT(TRIM(Sheet3!$C8),2)="02",180,1))</f>
        <v>0</v>
      </c>
      <c r="G8" s="44">
        <f>SUMIFS(Sheet1!$O6:$O8888,Sheet1!$K6:$K8888,Sheet3!$C8,Sheet1!$G6:$G8888,Sheet3!G$3)/3/2/IF(RIGHT(TRIM(Sheet3!$C8),3)="250",250, IF(RIGHT(TRIM(Sheet3!$C8),2)="02",180,1))</f>
        <v>0</v>
      </c>
      <c r="H8" s="44">
        <f>SUMIFS(Sheet1!$O6:$O8888,Sheet1!$K6:$K8888,Sheet3!$C8,Sheet1!$G6:$G8888,Sheet3!H$3)/3/2/IF(RIGHT(TRIM(Sheet3!$C8),3)="250",250, IF(RIGHT(TRIM(Sheet3!$C8),2)="02",180,1))</f>
        <v>0</v>
      </c>
      <c r="I8" s="44">
        <f>SUMIFS(Sheet1!$O6:$O8888,Sheet1!$K6:$K8888,Sheet3!$C8,Sheet1!$G6:$G8888,Sheet3!I$3)/3/2/IF(RIGHT(TRIM(Sheet3!$C8),3)="250",250, IF(RIGHT(TRIM(Sheet3!$C8),2)="02",180,1))</f>
        <v>9.3333333333333339</v>
      </c>
      <c r="J8" s="44">
        <f>SUMIFS(Sheet1!$O6:$O8888,Sheet1!$K6:$K8888,Sheet3!$C8,Sheet1!$G6:$G8888,Sheet3!J$3)/3/2/IF(RIGHT(TRIM(Sheet3!$C8),3)="250",250, IF(RIGHT(TRIM(Sheet3!$C8),2)="02",180,1))</f>
        <v>31.333333333333332</v>
      </c>
      <c r="K8" s="44">
        <f>SUMIFS(Sheet1!$O6:$O8888,Sheet1!$K6:$K8888,Sheet3!$C8,Sheet1!$G6:$G8888,Sheet3!K$3)/3/2/IF(RIGHT(TRIM(Sheet3!$C8),3)="250",250, IF(RIGHT(TRIM(Sheet3!$C8),2)="02",180,1))</f>
        <v>0</v>
      </c>
      <c r="L8" s="44">
        <f>SUMIFS(Sheet1!$O6:$O8888,Sheet1!$K6:$K8888,Sheet3!$C8,Sheet1!$G6:$G8888,Sheet3!L$3)/3/2/IF(RIGHT(TRIM(Sheet3!$C8),3)="250",250, IF(RIGHT(TRIM(Sheet3!$C8),2)="02",180,1))</f>
        <v>0</v>
      </c>
      <c r="M8" s="44">
        <f>SUMIFS(Sheet1!$O6:$O8888,Sheet1!$K6:$K8888,Sheet3!$C8,Sheet1!$G6:$G8888,Sheet3!M$3)/3/2/IF(RIGHT(TRIM(Sheet3!$C8),3)="250",250, IF(RIGHT(TRIM(Sheet3!$C8),2)="02",180,1))</f>
        <v>11</v>
      </c>
      <c r="N8" s="44">
        <f>SUMIFS(Sheet1!$O6:$O8888,Sheet1!$K6:$K8888,Sheet3!$C8,Sheet1!$G6:$G8888,Sheet3!N$3)/3/2/IF(RIGHT(TRIM(Sheet3!$C8),3)="250",250, IF(RIGHT(TRIM(Sheet3!$C8),2)="02",180,1))</f>
        <v>0</v>
      </c>
      <c r="O8" s="44">
        <f>SUMIFS(Sheet1!$O6:$O8888,Sheet1!$K6:$K8888,Sheet3!$C8,Sheet1!$G6:$G8888,Sheet3!O$3)/3/2/IF(RIGHT(TRIM(Sheet3!$C8),3)="250",250, IF(RIGHT(TRIM(Sheet3!$C8),2)="02",180,1))</f>
        <v>0</v>
      </c>
      <c r="P8" s="41"/>
    </row>
    <row r="9" spans="2:16" x14ac:dyDescent="0.25">
      <c r="B9" s="40"/>
      <c r="C9" s="35" t="s">
        <v>2553</v>
      </c>
      <c r="D9" s="44">
        <f>SUMIFS(Sheet1!$O7:$O8889,Sheet1!$K7:$K8889,Sheet3!$C9,Sheet1!$G7:$G8889,Sheet3!D$3)/3/2/IF(RIGHT(TRIM(Sheet3!$C9),3)="250",250, IF(RIGHT(TRIM(Sheet3!$C9),2)="02",180,1))</f>
        <v>0</v>
      </c>
      <c r="E9" s="44">
        <f>SUMIFS(Sheet1!$O7:$O8889,Sheet1!$K7:$K8889,Sheet3!$C9,Sheet1!$G7:$G8889,Sheet3!E$3)/3/2/IF(RIGHT(TRIM(Sheet3!$C9),3)="250",250, IF(RIGHT(TRIM(Sheet3!$C9),2)="02",180,1))</f>
        <v>0</v>
      </c>
      <c r="F9" s="44">
        <f>SUMIFS(Sheet1!$O7:$O8889,Sheet1!$K7:$K8889,Sheet3!$C9,Sheet1!$G7:$G8889,Sheet3!F$3)/3/2/IF(RIGHT(TRIM(Sheet3!$C9),3)="250",250, IF(RIGHT(TRIM(Sheet3!$C9),2)="02",180,1))</f>
        <v>0</v>
      </c>
      <c r="G9" s="44">
        <f>SUMIFS(Sheet1!$O7:$O8889,Sheet1!$K7:$K8889,Sheet3!$C9,Sheet1!$G7:$G8889,Sheet3!G$3)/3/2/IF(RIGHT(TRIM(Sheet3!$C9),3)="250",250, IF(RIGHT(TRIM(Sheet3!$C9),2)="02",180,1))</f>
        <v>0</v>
      </c>
      <c r="H9" s="44">
        <f>SUMIFS(Sheet1!$O7:$O8889,Sheet1!$K7:$K8889,Sheet3!$C9,Sheet1!$G7:$G8889,Sheet3!H$3)/3/2/IF(RIGHT(TRIM(Sheet3!$C9),3)="250",250, IF(RIGHT(TRIM(Sheet3!$C9),2)="02",180,1))</f>
        <v>0</v>
      </c>
      <c r="I9" s="44">
        <f>SUMIFS(Sheet1!$O7:$O8889,Sheet1!$K7:$K8889,Sheet3!$C9,Sheet1!$G7:$G8889,Sheet3!I$3)/3/2/IF(RIGHT(TRIM(Sheet3!$C9),3)="250",250, IF(RIGHT(TRIM(Sheet3!$C9),2)="02",180,1))</f>
        <v>3.8333333333333335</v>
      </c>
      <c r="J9" s="44">
        <f>SUMIFS(Sheet1!$O7:$O8889,Sheet1!$K7:$K8889,Sheet3!$C9,Sheet1!$G7:$G8889,Sheet3!J$3)/3/2/IF(RIGHT(TRIM(Sheet3!$C9),3)="250",250, IF(RIGHT(TRIM(Sheet3!$C9),2)="02",180,1))</f>
        <v>13.333333333333334</v>
      </c>
      <c r="K9" s="44">
        <f>SUMIFS(Sheet1!$O7:$O8889,Sheet1!$K7:$K8889,Sheet3!$C9,Sheet1!$G7:$G8889,Sheet3!K$3)/3/2/IF(RIGHT(TRIM(Sheet3!$C9),3)="250",250, IF(RIGHT(TRIM(Sheet3!$C9),2)="02",180,1))</f>
        <v>16.333333333333336</v>
      </c>
      <c r="L9" s="44">
        <f>SUMIFS(Sheet1!$O7:$O8889,Sheet1!$K7:$K8889,Sheet3!$C9,Sheet1!$G7:$G8889,Sheet3!L$3)/3/2/IF(RIGHT(TRIM(Sheet3!$C9),3)="250",250, IF(RIGHT(TRIM(Sheet3!$C9),2)="02",180,1))</f>
        <v>13.333333333333334</v>
      </c>
      <c r="M9" s="44">
        <f>SUMIFS(Sheet1!$O7:$O8889,Sheet1!$K7:$K8889,Sheet3!$C9,Sheet1!$G7:$G8889,Sheet3!M$3)/3/2/IF(RIGHT(TRIM(Sheet3!$C9),3)="250",250, IF(RIGHT(TRIM(Sheet3!$C9),2)="02",180,1))</f>
        <v>18.666666666666668</v>
      </c>
      <c r="N9" s="44">
        <f>SUMIFS(Sheet1!$O7:$O8889,Sheet1!$K7:$K8889,Sheet3!$C9,Sheet1!$G7:$G8889,Sheet3!N$3)/3/2/IF(RIGHT(TRIM(Sheet3!$C9),3)="250",250, IF(RIGHT(TRIM(Sheet3!$C9),2)="02",180,1))</f>
        <v>0</v>
      </c>
      <c r="O9" s="44">
        <f>SUMIFS(Sheet1!$O7:$O8889,Sheet1!$K7:$K8889,Sheet3!$C9,Sheet1!$G7:$G8889,Sheet3!O$3)/3/2/IF(RIGHT(TRIM(Sheet3!$C9),3)="250",250, IF(RIGHT(TRIM(Sheet3!$C9),2)="02",180,1))</f>
        <v>0</v>
      </c>
      <c r="P9" s="41"/>
    </row>
    <row r="10" spans="2:16" x14ac:dyDescent="0.25">
      <c r="B10" s="40"/>
      <c r="C10" s="36" t="s">
        <v>632</v>
      </c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1"/>
    </row>
    <row r="11" spans="2:16" x14ac:dyDescent="0.25">
      <c r="B11" s="40"/>
      <c r="C11" s="35" t="s">
        <v>1130</v>
      </c>
      <c r="D11" s="44">
        <f>SUMIFS(Sheet1!$O9:$O8891,Sheet1!$K9:$K8891,Sheet3!$C11,Sheet1!$G9:$G8891,Sheet3!D$3)/3/2/IF(RIGHT(TRIM(Sheet3!$C11),3)="250",250, IF(RIGHT(TRIM(Sheet3!$C11),2)="02",180,1))</f>
        <v>6.0185185185185189E-2</v>
      </c>
      <c r="E11" s="44">
        <f>SUMIFS(Sheet1!$O9:$O8891,Sheet1!$K9:$K8891,Sheet3!$C11,Sheet1!$G9:$G8891,Sheet3!E$3)/3/2/IF(RIGHT(TRIM(Sheet3!$C11),3)="250",250, IF(RIGHT(TRIM(Sheet3!$C11),2)="02",180,1))</f>
        <v>0</v>
      </c>
      <c r="F11" s="44">
        <f>SUMIFS(Sheet1!$O9:$O8891,Sheet1!$K9:$K8891,Sheet3!$C11,Sheet1!$G9:$G8891,Sheet3!F$3)/3/2/IF(RIGHT(TRIM(Sheet3!$C11),3)="250",250, IF(RIGHT(TRIM(Sheet3!$C11),2)="02",180,1))</f>
        <v>1.8518518518518521E-2</v>
      </c>
      <c r="G11" s="44">
        <f>SUMIFS(Sheet1!$O9:$O8891,Sheet1!$K9:$K8891,Sheet3!$C11,Sheet1!$G9:$G8891,Sheet3!G$3)/3/2/IF(RIGHT(TRIM(Sheet3!$C11),3)="250",250, IF(RIGHT(TRIM(Sheet3!$C11),2)="02",180,1))</f>
        <v>0</v>
      </c>
      <c r="H11" s="44">
        <f>SUMIFS(Sheet1!$O9:$O8891,Sheet1!$K9:$K8891,Sheet3!$C11,Sheet1!$G9:$G8891,Sheet3!H$3)/3/2/IF(RIGHT(TRIM(Sheet3!$C11),3)="250",250, IF(RIGHT(TRIM(Sheet3!$C11),2)="02",180,1))</f>
        <v>8.7962962962962965E-2</v>
      </c>
      <c r="I11" s="44">
        <f>SUMIFS(Sheet1!$O9:$O8891,Sheet1!$K9:$K8891,Sheet3!$C11,Sheet1!$G9:$G8891,Sheet3!I$3)/3/2/IF(RIGHT(TRIM(Sheet3!$C11),3)="250",250, IF(RIGHT(TRIM(Sheet3!$C11),2)="02",180,1))</f>
        <v>0</v>
      </c>
      <c r="J11" s="44">
        <f>SUMIFS(Sheet1!$O9:$O8891,Sheet1!$K9:$K8891,Sheet3!$C11,Sheet1!$G9:$G8891,Sheet3!J$3)/3/2/IF(RIGHT(TRIM(Sheet3!$C11),3)="250",250, IF(RIGHT(TRIM(Sheet3!$C11),2)="02",180,1))</f>
        <v>0</v>
      </c>
      <c r="K11" s="44">
        <f>SUMIFS(Sheet1!$O9:$O8891,Sheet1!$K9:$K8891,Sheet3!$C11,Sheet1!$G9:$G8891,Sheet3!K$3)/3/2/IF(RIGHT(TRIM(Sheet3!$C11),3)="250",250, IF(RIGHT(TRIM(Sheet3!$C11),2)="02",180,1))</f>
        <v>0</v>
      </c>
      <c r="L11" s="44">
        <f>SUMIFS(Sheet1!$O9:$O8891,Sheet1!$K9:$K8891,Sheet3!$C11,Sheet1!$G9:$G8891,Sheet3!L$3)/3/2/IF(RIGHT(TRIM(Sheet3!$C11),3)="250",250, IF(RIGHT(TRIM(Sheet3!$C11),2)="02",180,1))</f>
        <v>0</v>
      </c>
      <c r="M11" s="44">
        <f>SUMIFS(Sheet1!$O9:$O8891,Sheet1!$K9:$K8891,Sheet3!$C11,Sheet1!$G9:$G8891,Sheet3!M$3)/3/2/IF(RIGHT(TRIM(Sheet3!$C11),3)="250",250, IF(RIGHT(TRIM(Sheet3!$C11),2)="02",180,1))</f>
        <v>0</v>
      </c>
      <c r="N11" s="44">
        <f>SUMIFS(Sheet1!$O9:$O8891,Sheet1!$K9:$K8891,Sheet3!$C11,Sheet1!$G9:$G8891,Sheet3!N$3)/3/2/IF(RIGHT(TRIM(Sheet3!$C11),3)="250",250, IF(RIGHT(TRIM(Sheet3!$C11),2)="02",180,1))</f>
        <v>0</v>
      </c>
      <c r="O11" s="44">
        <f>SUMIFS(Sheet1!$O9:$O8891,Sheet1!$K9:$K8891,Sheet3!$C11,Sheet1!$G9:$G8891,Sheet3!O$3)/3/2/IF(RIGHT(TRIM(Sheet3!$C11),3)="250",250, IF(RIGHT(TRIM(Sheet3!$C11),2)="02",180,1))</f>
        <v>2.314814814814815E-2</v>
      </c>
      <c r="P11" s="41"/>
    </row>
    <row r="12" spans="2:16" x14ac:dyDescent="0.25">
      <c r="B12" s="40"/>
      <c r="C12" s="35" t="s">
        <v>631</v>
      </c>
      <c r="D12" s="44">
        <f>SUMIFS(Sheet1!$O10:$O8892,Sheet1!$K10:$K8892,Sheet3!$C12,Sheet1!$G10:$G8892,Sheet3!D$3)/3/2/IF(RIGHT(TRIM(Sheet3!$C12),3)="250",250, IF(RIGHT(TRIM(Sheet3!$C12),2)="02",180,1))</f>
        <v>0.16666666666666666</v>
      </c>
      <c r="E12" s="44">
        <f>SUMIFS(Sheet1!$O10:$O8892,Sheet1!$K10:$K8892,Sheet3!$C12,Sheet1!$G10:$G8892,Sheet3!E$3)/3/2/IF(RIGHT(TRIM(Sheet3!$C12),3)="250",250, IF(RIGHT(TRIM(Sheet3!$C12),2)="02",180,1))</f>
        <v>2</v>
      </c>
      <c r="F12" s="44">
        <f>SUMIFS(Sheet1!$O10:$O8892,Sheet1!$K10:$K8892,Sheet3!$C12,Sheet1!$G10:$G8892,Sheet3!F$3)/3/2/IF(RIGHT(TRIM(Sheet3!$C12),3)="250",250, IF(RIGHT(TRIM(Sheet3!$C12),2)="02",180,1))</f>
        <v>0.5</v>
      </c>
      <c r="G12" s="44">
        <f>SUMIFS(Sheet1!$O10:$O8892,Sheet1!$K10:$K8892,Sheet3!$C12,Sheet1!$G10:$G8892,Sheet3!G$3)/3/2/IF(RIGHT(TRIM(Sheet3!$C12),3)="250",250, IF(RIGHT(TRIM(Sheet3!$C12),2)="02",180,1))</f>
        <v>2.8333333333333335</v>
      </c>
      <c r="H12" s="44">
        <f>SUMIFS(Sheet1!$O10:$O8892,Sheet1!$K10:$K8892,Sheet3!$C12,Sheet1!$G10:$G8892,Sheet3!H$3)/3/2/IF(RIGHT(TRIM(Sheet3!$C12),3)="250",250, IF(RIGHT(TRIM(Sheet3!$C12),2)="02",180,1))</f>
        <v>4.0333333333333332</v>
      </c>
      <c r="I12" s="44">
        <f>SUMIFS(Sheet1!$O10:$O8892,Sheet1!$K10:$K8892,Sheet3!$C12,Sheet1!$G10:$G8892,Sheet3!I$3)/3/2/IF(RIGHT(TRIM(Sheet3!$C12),3)="250",250, IF(RIGHT(TRIM(Sheet3!$C12),2)="02",180,1))</f>
        <v>3.5333333333333337</v>
      </c>
      <c r="J12" s="44">
        <f>SUMIFS(Sheet1!$O10:$O8892,Sheet1!$K10:$K8892,Sheet3!$C12,Sheet1!$G10:$G8892,Sheet3!J$3)/3/2/IF(RIGHT(TRIM(Sheet3!$C12),3)="250",250, IF(RIGHT(TRIM(Sheet3!$C12),2)="02",180,1))</f>
        <v>5.333333333333333</v>
      </c>
      <c r="K12" s="44">
        <f>SUMIFS(Sheet1!$O10:$O8892,Sheet1!$K10:$K8892,Sheet3!$C12,Sheet1!$G10:$G8892,Sheet3!K$3)/3/2/IF(RIGHT(TRIM(Sheet3!$C12),3)="250",250, IF(RIGHT(TRIM(Sheet3!$C12),2)="02",180,1))</f>
        <v>4.5</v>
      </c>
      <c r="L12" s="44">
        <f>SUMIFS(Sheet1!$O10:$O8892,Sheet1!$K10:$K8892,Sheet3!$C12,Sheet1!$G10:$G8892,Sheet3!L$3)/3/2/IF(RIGHT(TRIM(Sheet3!$C12),3)="250",250, IF(RIGHT(TRIM(Sheet3!$C12),2)="02",180,1))</f>
        <v>2.3333333333333335</v>
      </c>
      <c r="M12" s="44">
        <f>SUMIFS(Sheet1!$O10:$O8892,Sheet1!$K10:$K8892,Sheet3!$C12,Sheet1!$G10:$G8892,Sheet3!M$3)/3/2/IF(RIGHT(TRIM(Sheet3!$C12),3)="250",250, IF(RIGHT(TRIM(Sheet3!$C12),2)="02",180,1))</f>
        <v>3.04</v>
      </c>
      <c r="N12" s="44">
        <f>SUMIFS(Sheet1!$O10:$O8892,Sheet1!$K10:$K8892,Sheet3!$C12,Sheet1!$G10:$G8892,Sheet3!N$3)/3/2/IF(RIGHT(TRIM(Sheet3!$C12),3)="250",250, IF(RIGHT(TRIM(Sheet3!$C12),2)="02",180,1))</f>
        <v>2.1666666666666665</v>
      </c>
      <c r="O12" s="44">
        <f>SUMIFS(Sheet1!$O10:$O8892,Sheet1!$K10:$K8892,Sheet3!$C12,Sheet1!$G10:$G8892,Sheet3!O$3)/3/2/IF(RIGHT(TRIM(Sheet3!$C12),3)="250",250, IF(RIGHT(TRIM(Sheet3!$C12),2)="02",180,1))</f>
        <v>0.5</v>
      </c>
      <c r="P12" s="41"/>
    </row>
    <row r="13" spans="2:16" x14ac:dyDescent="0.25">
      <c r="B13" s="40"/>
      <c r="C13" s="36" t="s">
        <v>159</v>
      </c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1"/>
    </row>
    <row r="14" spans="2:16" x14ac:dyDescent="0.25">
      <c r="B14" s="40"/>
      <c r="C14" s="35" t="s">
        <v>1496</v>
      </c>
      <c r="D14" s="44">
        <f>SUMIFS(Sheet1!$O12:$O8894,Sheet1!$K12:$K8894,Sheet3!$C14,Sheet1!$G12:$G8894,Sheet3!D$3)/3/2/IF(RIGHT(TRIM(Sheet3!$C14),3)="250",250, IF(RIGHT(TRIM(Sheet3!$C14),2)="02",180,1))</f>
        <v>0</v>
      </c>
      <c r="E14" s="44">
        <f>SUMIFS(Sheet1!$O12:$O8894,Sheet1!$K12:$K8894,Sheet3!$C14,Sheet1!$G12:$G8894,Sheet3!E$3)/3/2/IF(RIGHT(TRIM(Sheet3!$C14),3)="250",250, IF(RIGHT(TRIM(Sheet3!$C14),2)="02",180,1))</f>
        <v>0</v>
      </c>
      <c r="F14" s="44">
        <f>SUMIFS(Sheet1!$O12:$O8894,Sheet1!$K12:$K8894,Sheet3!$C14,Sheet1!$G12:$G8894,Sheet3!F$3)/3/2/IF(RIGHT(TRIM(Sheet3!$C14),3)="250",250, IF(RIGHT(TRIM(Sheet3!$C14),2)="02",180,1))</f>
        <v>0.16666666666666666</v>
      </c>
      <c r="G14" s="44">
        <f>SUMIFS(Sheet1!$O12:$O8894,Sheet1!$K12:$K8894,Sheet3!$C14,Sheet1!$G12:$G8894,Sheet3!G$3)/3/2/IF(RIGHT(TRIM(Sheet3!$C14),3)="250",250, IF(RIGHT(TRIM(Sheet3!$C14),2)="02",180,1))</f>
        <v>3</v>
      </c>
      <c r="H14" s="44">
        <f>SUMIFS(Sheet1!$O12:$O8894,Sheet1!$K12:$K8894,Sheet3!$C14,Sheet1!$G12:$G8894,Sheet3!H$3)/3/2/IF(RIGHT(TRIM(Sheet3!$C14),3)="250",250, IF(RIGHT(TRIM(Sheet3!$C14),2)="02",180,1))</f>
        <v>9.3333333333333339</v>
      </c>
      <c r="I14" s="44">
        <f>SUMIFS(Sheet1!$O12:$O8894,Sheet1!$K12:$K8894,Sheet3!$C14,Sheet1!$G12:$G8894,Sheet3!I$3)/3/2/IF(RIGHT(TRIM(Sheet3!$C14),3)="250",250, IF(RIGHT(TRIM(Sheet3!$C14),2)="02",180,1))</f>
        <v>4.833333333333333</v>
      </c>
      <c r="J14" s="44">
        <f>SUMIFS(Sheet1!$O12:$O8894,Sheet1!$K12:$K8894,Sheet3!$C14,Sheet1!$G12:$G8894,Sheet3!J$3)/3/2/IF(RIGHT(TRIM(Sheet3!$C14),3)="250",250, IF(RIGHT(TRIM(Sheet3!$C14),2)="02",180,1))</f>
        <v>1.8533333333333333</v>
      </c>
      <c r="K14" s="44">
        <f>SUMIFS(Sheet1!$O12:$O8894,Sheet1!$K12:$K8894,Sheet3!$C14,Sheet1!$G12:$G8894,Sheet3!K$3)/3/2/IF(RIGHT(TRIM(Sheet3!$C14),3)="250",250, IF(RIGHT(TRIM(Sheet3!$C14),2)="02",180,1))</f>
        <v>1</v>
      </c>
      <c r="L14" s="44">
        <f>SUMIFS(Sheet1!$O12:$O8894,Sheet1!$K12:$K8894,Sheet3!$C14,Sheet1!$G12:$G8894,Sheet3!L$3)/3/2/IF(RIGHT(TRIM(Sheet3!$C14),3)="250",250, IF(RIGHT(TRIM(Sheet3!$C14),2)="02",180,1))</f>
        <v>5</v>
      </c>
      <c r="M14" s="44">
        <f>SUMIFS(Sheet1!$O12:$O8894,Sheet1!$K12:$K8894,Sheet3!$C14,Sheet1!$G12:$G8894,Sheet3!M$3)/3/2/IF(RIGHT(TRIM(Sheet3!$C14),3)="250",250, IF(RIGHT(TRIM(Sheet3!$C14),2)="02",180,1))</f>
        <v>1.5</v>
      </c>
      <c r="N14" s="44">
        <f>SUMIFS(Sheet1!$O12:$O8894,Sheet1!$K12:$K8894,Sheet3!$C14,Sheet1!$G12:$G8894,Sheet3!N$3)/3/2/IF(RIGHT(TRIM(Sheet3!$C14),3)="250",250, IF(RIGHT(TRIM(Sheet3!$C14),2)="02",180,1))</f>
        <v>-0.66666666666666663</v>
      </c>
      <c r="O14" s="44">
        <f>SUMIFS(Sheet1!$O12:$O8894,Sheet1!$K12:$K8894,Sheet3!$C14,Sheet1!$G12:$G8894,Sheet3!O$3)/3/2/IF(RIGHT(TRIM(Sheet3!$C14),3)="250",250, IF(RIGHT(TRIM(Sheet3!$C14),2)="02",180,1))</f>
        <v>0</v>
      </c>
      <c r="P14" s="41"/>
    </row>
    <row r="15" spans="2:16" x14ac:dyDescent="0.25">
      <c r="B15" s="40"/>
      <c r="C15" s="35" t="s">
        <v>158</v>
      </c>
      <c r="D15" s="44">
        <f>SUMIFS(Sheet1!$O13:$O8895,Sheet1!$K13:$K8895,Sheet3!$C15,Sheet1!$G13:$G8895,Sheet3!D$3)/3/2/IF(RIGHT(TRIM(Sheet3!$C15),3)="250",250, IF(RIGHT(TRIM(Sheet3!$C15),2)="02",180,1))</f>
        <v>2.1851851851851851</v>
      </c>
      <c r="E15" s="44">
        <f>SUMIFS(Sheet1!$O13:$O8895,Sheet1!$K13:$K8895,Sheet3!$C15,Sheet1!$G13:$G8895,Sheet3!E$3)/3/2/IF(RIGHT(TRIM(Sheet3!$C15),3)="250",250, IF(RIGHT(TRIM(Sheet3!$C15),2)="02",180,1))</f>
        <v>3.4629629629629632</v>
      </c>
      <c r="F15" s="44">
        <f>SUMIFS(Sheet1!$O13:$O8895,Sheet1!$K13:$K8895,Sheet3!$C15,Sheet1!$G13:$G8895,Sheet3!F$3)/3/2/IF(RIGHT(TRIM(Sheet3!$C15),3)="250",250, IF(RIGHT(TRIM(Sheet3!$C15),2)="02",180,1))</f>
        <v>5.1527777777777777</v>
      </c>
      <c r="G15" s="44">
        <f>SUMIFS(Sheet1!$O13:$O8895,Sheet1!$K13:$K8895,Sheet3!$C15,Sheet1!$G13:$G8895,Sheet3!G$3)/3/2/IF(RIGHT(TRIM(Sheet3!$C15),3)="250",250, IF(RIGHT(TRIM(Sheet3!$C15),2)="02",180,1))</f>
        <v>8.2152777777777786</v>
      </c>
      <c r="H15" s="44">
        <f>SUMIFS(Sheet1!$O13:$O8895,Sheet1!$K13:$K8895,Sheet3!$C15,Sheet1!$G13:$G8895,Sheet3!H$3)/3/2/IF(RIGHT(TRIM(Sheet3!$C15),3)="250",250, IF(RIGHT(TRIM(Sheet3!$C15),2)="02",180,1))</f>
        <v>9.3564814814814827</v>
      </c>
      <c r="I15" s="44">
        <f>SUMIFS(Sheet1!$O13:$O8895,Sheet1!$K13:$K8895,Sheet3!$C15,Sheet1!$G13:$G8895,Sheet3!I$3)/3/2/IF(RIGHT(TRIM(Sheet3!$C15),3)="250",250, IF(RIGHT(TRIM(Sheet3!$C15),2)="02",180,1))</f>
        <v>9.8888888888888893</v>
      </c>
      <c r="J15" s="44">
        <f>SUMIFS(Sheet1!$O13:$O8895,Sheet1!$K13:$K8895,Sheet3!$C15,Sheet1!$G13:$G8895,Sheet3!J$3)/3/2/IF(RIGHT(TRIM(Sheet3!$C15),3)="250",250, IF(RIGHT(TRIM(Sheet3!$C15),2)="02",180,1))</f>
        <v>9.5509259259259256</v>
      </c>
      <c r="K15" s="44">
        <f>SUMIFS(Sheet1!$O13:$O8895,Sheet1!$K13:$K8895,Sheet3!$C15,Sheet1!$G13:$G8895,Sheet3!K$3)/3/2/IF(RIGHT(TRIM(Sheet3!$C15),3)="250",250, IF(RIGHT(TRIM(Sheet3!$C15),2)="02",180,1))</f>
        <v>1.6967592592592593</v>
      </c>
      <c r="L15" s="44">
        <f>SUMIFS(Sheet1!$O13:$O8895,Sheet1!$K13:$K8895,Sheet3!$C15,Sheet1!$G13:$G8895,Sheet3!L$3)/3/2/IF(RIGHT(TRIM(Sheet3!$C15),3)="250",250, IF(RIGHT(TRIM(Sheet3!$C15),2)="02",180,1))</f>
        <v>3.375</v>
      </c>
      <c r="M15" s="44">
        <f>SUMIFS(Sheet1!$O13:$O8895,Sheet1!$K13:$K8895,Sheet3!$C15,Sheet1!$G13:$G8895,Sheet3!M$3)/3/2/IF(RIGHT(TRIM(Sheet3!$C15),3)="250",250, IF(RIGHT(TRIM(Sheet3!$C15),2)="02",180,1))</f>
        <v>1.0023148148148147</v>
      </c>
      <c r="N15" s="44">
        <f>SUMIFS(Sheet1!$O13:$O8895,Sheet1!$K13:$K8895,Sheet3!$C15,Sheet1!$G13:$G8895,Sheet3!N$3)/3/2/IF(RIGHT(TRIM(Sheet3!$C15),3)="250",250, IF(RIGHT(TRIM(Sheet3!$C15),2)="02",180,1))</f>
        <v>-0.21990740740740741</v>
      </c>
      <c r="O15" s="44">
        <f>SUMIFS(Sheet1!$O13:$O8895,Sheet1!$K13:$K8895,Sheet3!$C15,Sheet1!$G13:$G8895,Sheet3!O$3)/3/2/IF(RIGHT(TRIM(Sheet3!$C15),3)="250",250, IF(RIGHT(TRIM(Sheet3!$C15),2)="02",180,1))</f>
        <v>2.0648148148148149</v>
      </c>
      <c r="P15" s="41"/>
    </row>
    <row r="16" spans="2:16" x14ac:dyDescent="0.25">
      <c r="B16" s="40"/>
      <c r="C16" s="36" t="s">
        <v>172</v>
      </c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1"/>
    </row>
    <row r="17" spans="2:16" x14ac:dyDescent="0.25">
      <c r="B17" s="40"/>
      <c r="C17" s="35" t="s">
        <v>1869</v>
      </c>
      <c r="D17" s="44">
        <f>SUMIFS(Sheet1!$O15:$O8897,Sheet1!$K15:$K8897,Sheet3!$C17,Sheet1!$G15:$G8897,Sheet3!D$3)/3/2/IF(RIGHT(TRIM(Sheet3!$C17),3)="250",250, IF(RIGHT(TRIM(Sheet3!$C17),2)="02",180,1))</f>
        <v>0</v>
      </c>
      <c r="E17" s="44">
        <f>SUMIFS(Sheet1!$O15:$O8897,Sheet1!$K15:$K8897,Sheet3!$C17,Sheet1!$G15:$G8897,Sheet3!E$3)/3/2/IF(RIGHT(TRIM(Sheet3!$C17),3)="250",250, IF(RIGHT(TRIM(Sheet3!$C17),2)="02",180,1))</f>
        <v>0</v>
      </c>
      <c r="F17" s="44">
        <f>SUMIFS(Sheet1!$O15:$O8897,Sheet1!$K15:$K8897,Sheet3!$C17,Sheet1!$G15:$G8897,Sheet3!F$3)/3/2/IF(RIGHT(TRIM(Sheet3!$C17),3)="250",250, IF(RIGHT(TRIM(Sheet3!$C17),2)="02",180,1))</f>
        <v>0</v>
      </c>
      <c r="G17" s="44">
        <f>SUMIFS(Sheet1!$O15:$O8897,Sheet1!$K15:$K8897,Sheet3!$C17,Sheet1!$G15:$G8897,Sheet3!G$3)/3/2/IF(RIGHT(TRIM(Sheet3!$C17),3)="250",250, IF(RIGHT(TRIM(Sheet3!$C17),2)="02",180,1))</f>
        <v>0</v>
      </c>
      <c r="H17" s="44">
        <f>SUMIFS(Sheet1!$O15:$O8897,Sheet1!$K15:$K8897,Sheet3!$C17,Sheet1!$G15:$G8897,Sheet3!H$3)/3/2/IF(RIGHT(TRIM(Sheet3!$C17),3)="250",250, IF(RIGHT(TRIM(Sheet3!$C17),2)="02",180,1))</f>
        <v>1</v>
      </c>
      <c r="I17" s="44">
        <f>SUMIFS(Sheet1!$O15:$O8897,Sheet1!$K15:$K8897,Sheet3!$C17,Sheet1!$G15:$G8897,Sheet3!I$3)/3/2/IF(RIGHT(TRIM(Sheet3!$C17),3)="250",250, IF(RIGHT(TRIM(Sheet3!$C17),2)="02",180,1))</f>
        <v>2.3333333333333335</v>
      </c>
      <c r="J17" s="44">
        <f>SUMIFS(Sheet1!$O15:$O8897,Sheet1!$K15:$K8897,Sheet3!$C17,Sheet1!$G15:$G8897,Sheet3!J$3)/3/2/IF(RIGHT(TRIM(Sheet3!$C17),3)="250",250, IF(RIGHT(TRIM(Sheet3!$C17),2)="02",180,1))</f>
        <v>3</v>
      </c>
      <c r="K17" s="44">
        <f>SUMIFS(Sheet1!$O15:$O8897,Sheet1!$K15:$K8897,Sheet3!$C17,Sheet1!$G15:$G8897,Sheet3!K$3)/3/2/IF(RIGHT(TRIM(Sheet3!$C17),3)="250",250, IF(RIGHT(TRIM(Sheet3!$C17),2)="02",180,1))</f>
        <v>3.1666666666666665</v>
      </c>
      <c r="L17" s="44">
        <f>SUMIFS(Sheet1!$O15:$O8897,Sheet1!$K15:$K8897,Sheet3!$C17,Sheet1!$G15:$G8897,Sheet3!L$3)/3/2/IF(RIGHT(TRIM(Sheet3!$C17),3)="250",250, IF(RIGHT(TRIM(Sheet3!$C17),2)="02",180,1))</f>
        <v>1.3333333333333333</v>
      </c>
      <c r="M17" s="44">
        <f>SUMIFS(Sheet1!$O15:$O8897,Sheet1!$K15:$K8897,Sheet3!$C17,Sheet1!$G15:$G8897,Sheet3!M$3)/3/2/IF(RIGHT(TRIM(Sheet3!$C17),3)="250",250, IF(RIGHT(TRIM(Sheet3!$C17),2)="02",180,1))</f>
        <v>3.8333333333333335</v>
      </c>
      <c r="N17" s="44">
        <f>SUMIFS(Sheet1!$O15:$O8897,Sheet1!$K15:$K8897,Sheet3!$C17,Sheet1!$G15:$G8897,Sheet3!N$3)/3/2/IF(RIGHT(TRIM(Sheet3!$C17),3)="250",250, IF(RIGHT(TRIM(Sheet3!$C17),2)="02",180,1))</f>
        <v>0.33333333333333331</v>
      </c>
      <c r="O17" s="44">
        <f>SUMIFS(Sheet1!$O15:$O8897,Sheet1!$K15:$K8897,Sheet3!$C17,Sheet1!$G15:$G8897,Sheet3!O$3)/3/2/IF(RIGHT(TRIM(Sheet3!$C17),3)="250",250, IF(RIGHT(TRIM(Sheet3!$C17),2)="02",180,1))</f>
        <v>0.33333333333333331</v>
      </c>
      <c r="P17" s="41"/>
    </row>
    <row r="18" spans="2:16" x14ac:dyDescent="0.25">
      <c r="B18" s="40"/>
      <c r="C18" s="35" t="s">
        <v>171</v>
      </c>
      <c r="D18" s="44">
        <f>SUMIFS(Sheet1!$O16:$O8898,Sheet1!$K16:$K8898,Sheet3!$C18,Sheet1!$G16:$G8898,Sheet3!D$3)/3/2/IF(RIGHT(TRIM(Sheet3!$C18),3)="250",250, IF(RIGHT(TRIM(Sheet3!$C18),2)="02",180,1))</f>
        <v>0.33333333333333331</v>
      </c>
      <c r="E18" s="44">
        <f>SUMIFS(Sheet1!$O16:$O8898,Sheet1!$K16:$K8898,Sheet3!$C18,Sheet1!$G16:$G8898,Sheet3!E$3)/3/2/IF(RIGHT(TRIM(Sheet3!$C18),3)="250",250, IF(RIGHT(TRIM(Sheet3!$C18),2)="02",180,1))</f>
        <v>2.7777777777777776E-2</v>
      </c>
      <c r="F18" s="44">
        <f>SUMIFS(Sheet1!$O16:$O8898,Sheet1!$K16:$K8898,Sheet3!$C18,Sheet1!$G16:$G8898,Sheet3!F$3)/3/2/IF(RIGHT(TRIM(Sheet3!$C18),3)="250",250, IF(RIGHT(TRIM(Sheet3!$C18),2)="02",180,1))</f>
        <v>0</v>
      </c>
      <c r="G18" s="44">
        <f>SUMIFS(Sheet1!$O16:$O8898,Sheet1!$K16:$K8898,Sheet3!$C18,Sheet1!$G16:$G8898,Sheet3!G$3)/3/2/IF(RIGHT(TRIM(Sheet3!$C18),3)="250",250, IF(RIGHT(TRIM(Sheet3!$C18),2)="02",180,1))</f>
        <v>0.19444444444444445</v>
      </c>
      <c r="H18" s="44">
        <f>SUMIFS(Sheet1!$O16:$O8898,Sheet1!$K16:$K8898,Sheet3!$C18,Sheet1!$G16:$G8898,Sheet3!H$3)/3/2/IF(RIGHT(TRIM(Sheet3!$C18),3)="250",250, IF(RIGHT(TRIM(Sheet3!$C18),2)="02",180,1))</f>
        <v>0.375</v>
      </c>
      <c r="I18" s="44">
        <f>SUMIFS(Sheet1!$O16:$O8898,Sheet1!$K16:$K8898,Sheet3!$C18,Sheet1!$G16:$G8898,Sheet3!I$3)/3/2/IF(RIGHT(TRIM(Sheet3!$C18),3)="250",250, IF(RIGHT(TRIM(Sheet3!$C18),2)="02",180,1))</f>
        <v>4.2777777777777777</v>
      </c>
      <c r="J18" s="44">
        <f>SUMIFS(Sheet1!$O16:$O8898,Sheet1!$K16:$K8898,Sheet3!$C18,Sheet1!$G16:$G8898,Sheet3!J$3)/3/2/IF(RIGHT(TRIM(Sheet3!$C18),3)="250",250, IF(RIGHT(TRIM(Sheet3!$C18),2)="02",180,1))</f>
        <v>6.333333333333333</v>
      </c>
      <c r="K18" s="44">
        <f>SUMIFS(Sheet1!$O16:$O8898,Sheet1!$K16:$K8898,Sheet3!$C18,Sheet1!$G16:$G8898,Sheet3!K$3)/3/2/IF(RIGHT(TRIM(Sheet3!$C18),3)="250",250, IF(RIGHT(TRIM(Sheet3!$C18),2)="02",180,1))</f>
        <v>7.2129629629629628</v>
      </c>
      <c r="L18" s="44">
        <f>SUMIFS(Sheet1!$O16:$O8898,Sheet1!$K16:$K8898,Sheet3!$C18,Sheet1!$G16:$G8898,Sheet3!L$3)/3/2/IF(RIGHT(TRIM(Sheet3!$C18),3)="250",250, IF(RIGHT(TRIM(Sheet3!$C18),2)="02",180,1))</f>
        <v>9</v>
      </c>
      <c r="M18" s="44">
        <f>SUMIFS(Sheet1!$O16:$O8898,Sheet1!$K16:$K8898,Sheet3!$C18,Sheet1!$G16:$G8898,Sheet3!M$3)/3/2/IF(RIGHT(TRIM(Sheet3!$C18),3)="250",250, IF(RIGHT(TRIM(Sheet3!$C18),2)="02",180,1))</f>
        <v>7.6712962962962958</v>
      </c>
      <c r="N18" s="44">
        <f>SUMIFS(Sheet1!$O16:$O8898,Sheet1!$K16:$K8898,Sheet3!$C18,Sheet1!$G16:$G8898,Sheet3!N$3)/3/2/IF(RIGHT(TRIM(Sheet3!$C18),3)="250",250, IF(RIGHT(TRIM(Sheet3!$C18),2)="02",180,1))</f>
        <v>2.6712962962962963</v>
      </c>
      <c r="O18" s="44">
        <f>SUMIFS(Sheet1!$O16:$O8898,Sheet1!$K16:$K8898,Sheet3!$C18,Sheet1!$G16:$G8898,Sheet3!O$3)/3/2/IF(RIGHT(TRIM(Sheet3!$C18),3)="250",250, IF(RIGHT(TRIM(Sheet3!$C18),2)="02",180,1))</f>
        <v>0.3888888888888889</v>
      </c>
      <c r="P18" s="41"/>
    </row>
    <row r="19" spans="2:16" x14ac:dyDescent="0.25">
      <c r="B19" s="40"/>
      <c r="C19" s="36" t="s">
        <v>538</v>
      </c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1"/>
    </row>
    <row r="20" spans="2:16" x14ac:dyDescent="0.25">
      <c r="B20" s="40"/>
      <c r="C20" s="35" t="s">
        <v>2477</v>
      </c>
      <c r="D20" s="44">
        <f>SUMIFS(Sheet1!$O18:$O8900,Sheet1!$K18:$K8900,Sheet3!$C20,Sheet1!$G18:$G8900,Sheet3!D$3)/3/2/IF(RIGHT(TRIM(Sheet3!$C20),3)="250",250, IF(RIGHT(TRIM(Sheet3!$C20),2)="02",180,1))</f>
        <v>0</v>
      </c>
      <c r="E20" s="44">
        <f>SUMIFS(Sheet1!$O18:$O8900,Sheet1!$K18:$K8900,Sheet3!$C20,Sheet1!$G18:$G8900,Sheet3!E$3)/3/2/IF(RIGHT(TRIM(Sheet3!$C20),3)="250",250, IF(RIGHT(TRIM(Sheet3!$C20),2)="02",180,1))</f>
        <v>0</v>
      </c>
      <c r="F20" s="44">
        <f>SUMIFS(Sheet1!$O18:$O8900,Sheet1!$K18:$K8900,Sheet3!$C20,Sheet1!$G18:$G8900,Sheet3!F$3)/3/2/IF(RIGHT(TRIM(Sheet3!$C20),3)="250",250, IF(RIGHT(TRIM(Sheet3!$C20),2)="02",180,1))</f>
        <v>0</v>
      </c>
      <c r="G20" s="44">
        <f>SUMIFS(Sheet1!$O18:$O8900,Sheet1!$K18:$K8900,Sheet3!$C20,Sheet1!$G18:$G8900,Sheet3!G$3)/3/2/IF(RIGHT(TRIM(Sheet3!$C20),3)="250",250, IF(RIGHT(TRIM(Sheet3!$C20),2)="02",180,1))</f>
        <v>4.6296296296296302E-3</v>
      </c>
      <c r="H20" s="44">
        <f>SUMIFS(Sheet1!$O18:$O8900,Sheet1!$K18:$K8900,Sheet3!$C20,Sheet1!$G18:$G8900,Sheet3!H$3)/3/2/IF(RIGHT(TRIM(Sheet3!$C20),3)="250",250, IF(RIGHT(TRIM(Sheet3!$C20),2)="02",180,1))</f>
        <v>0</v>
      </c>
      <c r="I20" s="44">
        <f>SUMIFS(Sheet1!$O18:$O8900,Sheet1!$K18:$K8900,Sheet3!$C20,Sheet1!$G18:$G8900,Sheet3!I$3)/3/2/IF(RIGHT(TRIM(Sheet3!$C20),3)="250",250, IF(RIGHT(TRIM(Sheet3!$C20),2)="02",180,1))</f>
        <v>0.19444444444444445</v>
      </c>
      <c r="J20" s="44">
        <f>SUMIFS(Sheet1!$O18:$O8900,Sheet1!$K18:$K8900,Sheet3!$C20,Sheet1!$G18:$G8900,Sheet3!J$3)/3/2/IF(RIGHT(TRIM(Sheet3!$C20),3)="250",250, IF(RIGHT(TRIM(Sheet3!$C20),2)="02",180,1))</f>
        <v>4.6296296296296301E-2</v>
      </c>
      <c r="K20" s="44">
        <f>SUMIFS(Sheet1!$O18:$O8900,Sheet1!$K18:$K8900,Sheet3!$C20,Sheet1!$G18:$G8900,Sheet3!K$3)/3/2/IF(RIGHT(TRIM(Sheet3!$C20),3)="250",250, IF(RIGHT(TRIM(Sheet3!$C20),2)="02",180,1))</f>
        <v>4.6296296296296302E-3</v>
      </c>
      <c r="L20" s="44">
        <f>SUMIFS(Sheet1!$O18:$O8900,Sheet1!$K18:$K8900,Sheet3!$C20,Sheet1!$G18:$G8900,Sheet3!L$3)/3/2/IF(RIGHT(TRIM(Sheet3!$C20),3)="250",250, IF(RIGHT(TRIM(Sheet3!$C20),2)="02",180,1))</f>
        <v>0</v>
      </c>
      <c r="M20" s="44">
        <f>SUMIFS(Sheet1!$O18:$O8900,Sheet1!$K18:$K8900,Sheet3!$C20,Sheet1!$G18:$G8900,Sheet3!M$3)/3/2/IF(RIGHT(TRIM(Sheet3!$C20),3)="250",250, IF(RIGHT(TRIM(Sheet3!$C20),2)="02",180,1))</f>
        <v>0</v>
      </c>
      <c r="N20" s="44">
        <f>SUMIFS(Sheet1!$O18:$O8900,Sheet1!$K18:$K8900,Sheet3!$C20,Sheet1!$G18:$G8900,Sheet3!N$3)/3/2/IF(RIGHT(TRIM(Sheet3!$C20),3)="250",250, IF(RIGHT(TRIM(Sheet3!$C20),2)="02",180,1))</f>
        <v>0</v>
      </c>
      <c r="O20" s="44">
        <f>SUMIFS(Sheet1!$O18:$O8900,Sheet1!$K18:$K8900,Sheet3!$C20,Sheet1!$G18:$G8900,Sheet3!O$3)/3/2/IF(RIGHT(TRIM(Sheet3!$C20),3)="250",250, IF(RIGHT(TRIM(Sheet3!$C20),2)="02",180,1))</f>
        <v>0</v>
      </c>
      <c r="P20" s="41"/>
    </row>
    <row r="21" spans="2:16" x14ac:dyDescent="0.25">
      <c r="B21" s="40"/>
      <c r="C21" s="35" t="s">
        <v>649</v>
      </c>
      <c r="D21" s="44">
        <f>SUMIFS(Sheet1!$O19:$O8901,Sheet1!$K19:$K8901,Sheet3!$C21,Sheet1!$G19:$G8901,Sheet3!D$3)/3/2/IF(RIGHT(TRIM(Sheet3!$C21),3)="250",250, IF(RIGHT(TRIM(Sheet3!$C21),2)="02",180,1))</f>
        <v>2</v>
      </c>
      <c r="E21" s="44">
        <f>SUMIFS(Sheet1!$O19:$O8901,Sheet1!$K19:$K8901,Sheet3!$C21,Sheet1!$G19:$G8901,Sheet3!E$3)/3/2/IF(RIGHT(TRIM(Sheet3!$C21),3)="250",250, IF(RIGHT(TRIM(Sheet3!$C21),2)="02",180,1))</f>
        <v>7.5</v>
      </c>
      <c r="F21" s="44">
        <f>SUMIFS(Sheet1!$O19:$O8901,Sheet1!$K19:$K8901,Sheet3!$C21,Sheet1!$G19:$G8901,Sheet3!F$3)/3/2/IF(RIGHT(TRIM(Sheet3!$C21),3)="250",250, IF(RIGHT(TRIM(Sheet3!$C21),2)="02",180,1))</f>
        <v>5.166666666666667</v>
      </c>
      <c r="G21" s="44">
        <f>SUMIFS(Sheet1!$O19:$O8901,Sheet1!$K19:$K8901,Sheet3!$C21,Sheet1!$G19:$G8901,Sheet3!G$3)/3/2/IF(RIGHT(TRIM(Sheet3!$C21),3)="250",250, IF(RIGHT(TRIM(Sheet3!$C21),2)="02",180,1))</f>
        <v>6.166666666666667</v>
      </c>
      <c r="H21" s="44">
        <f>SUMIFS(Sheet1!$O19:$O8901,Sheet1!$K19:$K8901,Sheet3!$C21,Sheet1!$G19:$G8901,Sheet3!H$3)/3/2/IF(RIGHT(TRIM(Sheet3!$C21),3)="250",250, IF(RIGHT(TRIM(Sheet3!$C21),2)="02",180,1))</f>
        <v>3.5</v>
      </c>
      <c r="I21" s="44">
        <f>SUMIFS(Sheet1!$O19:$O8901,Sheet1!$K19:$K8901,Sheet3!$C21,Sheet1!$G19:$G8901,Sheet3!I$3)/3/2/IF(RIGHT(TRIM(Sheet3!$C21),3)="250",250, IF(RIGHT(TRIM(Sheet3!$C21),2)="02",180,1))</f>
        <v>1.5</v>
      </c>
      <c r="J21" s="44">
        <f>SUMIFS(Sheet1!$O19:$O8901,Sheet1!$K19:$K8901,Sheet3!$C21,Sheet1!$G19:$G8901,Sheet3!J$3)/3/2/IF(RIGHT(TRIM(Sheet3!$C21),3)="250",250, IF(RIGHT(TRIM(Sheet3!$C21),2)="02",180,1))</f>
        <v>2</v>
      </c>
      <c r="K21" s="44">
        <f>SUMIFS(Sheet1!$O19:$O8901,Sheet1!$K19:$K8901,Sheet3!$C21,Sheet1!$G19:$G8901,Sheet3!K$3)/3/2/IF(RIGHT(TRIM(Sheet3!$C21),3)="250",250, IF(RIGHT(TRIM(Sheet3!$C21),2)="02",180,1))</f>
        <v>0.33333333333333331</v>
      </c>
      <c r="L21" s="44">
        <f>SUMIFS(Sheet1!$O19:$O8901,Sheet1!$K19:$K8901,Sheet3!$C21,Sheet1!$G19:$G8901,Sheet3!L$3)/3/2/IF(RIGHT(TRIM(Sheet3!$C21),3)="250",250, IF(RIGHT(TRIM(Sheet3!$C21),2)="02",180,1))</f>
        <v>0.16666666666666666</v>
      </c>
      <c r="M21" s="44">
        <f>SUMIFS(Sheet1!$O19:$O8901,Sheet1!$K19:$K8901,Sheet3!$C21,Sheet1!$G19:$G8901,Sheet3!M$3)/3/2/IF(RIGHT(TRIM(Sheet3!$C21),3)="250",250, IF(RIGHT(TRIM(Sheet3!$C21),2)="02",180,1))</f>
        <v>0</v>
      </c>
      <c r="N21" s="44">
        <f>SUMIFS(Sheet1!$O19:$O8901,Sheet1!$K19:$K8901,Sheet3!$C21,Sheet1!$G19:$G8901,Sheet3!N$3)/3/2/IF(RIGHT(TRIM(Sheet3!$C21),3)="250",250, IF(RIGHT(TRIM(Sheet3!$C21),2)="02",180,1))</f>
        <v>0</v>
      </c>
      <c r="O21" s="44">
        <f>SUMIFS(Sheet1!$O19:$O8901,Sheet1!$K19:$K8901,Sheet3!$C21,Sheet1!$G19:$G8901,Sheet3!O$3)/3/2/IF(RIGHT(TRIM(Sheet3!$C21),3)="250",250, IF(RIGHT(TRIM(Sheet3!$C21),2)="02",180,1))</f>
        <v>5.5</v>
      </c>
      <c r="P21" s="41"/>
    </row>
    <row r="22" spans="2:16" x14ac:dyDescent="0.25">
      <c r="B22" s="40"/>
      <c r="C22" s="36" t="s">
        <v>541</v>
      </c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1"/>
    </row>
    <row r="23" spans="2:16" x14ac:dyDescent="0.25">
      <c r="B23" s="40"/>
      <c r="C23" s="35" t="s">
        <v>1188</v>
      </c>
      <c r="D23" s="44">
        <f>SUMIFS(Sheet1!$O21:$O8903,Sheet1!$K21:$K8903,Sheet3!$C23,Sheet1!$G21:$G8903,Sheet3!D$3)/3/2/IF(RIGHT(TRIM(Sheet3!$C23),3)="250",250, IF(RIGHT(TRIM(Sheet3!$C23),2)="02",180,1))</f>
        <v>0</v>
      </c>
      <c r="E23" s="44">
        <f>SUMIFS(Sheet1!$O21:$O8903,Sheet1!$K21:$K8903,Sheet3!$C23,Sheet1!$G21:$G8903,Sheet3!E$3)/3/2/IF(RIGHT(TRIM(Sheet3!$C23),3)="250",250, IF(RIGHT(TRIM(Sheet3!$C23),2)="02",180,1))</f>
        <v>0</v>
      </c>
      <c r="F23" s="44">
        <f>SUMIFS(Sheet1!$O21:$O8903,Sheet1!$K21:$K8903,Sheet3!$C23,Sheet1!$G21:$G8903,Sheet3!F$3)/3/2/IF(RIGHT(TRIM(Sheet3!$C23),3)="250",250, IF(RIGHT(TRIM(Sheet3!$C23),2)="02",180,1))</f>
        <v>1</v>
      </c>
      <c r="G23" s="44">
        <f>SUMIFS(Sheet1!$O21:$O8903,Sheet1!$K21:$K8903,Sheet3!$C23,Sheet1!$G21:$G8903,Sheet3!G$3)/3/2/IF(RIGHT(TRIM(Sheet3!$C23),3)="250",250, IF(RIGHT(TRIM(Sheet3!$C23),2)="02",180,1))</f>
        <v>0.5</v>
      </c>
      <c r="H23" s="44">
        <f>SUMIFS(Sheet1!$O21:$O8903,Sheet1!$K21:$K8903,Sheet3!$C23,Sheet1!$G21:$G8903,Sheet3!H$3)/3/2/IF(RIGHT(TRIM(Sheet3!$C23),3)="250",250, IF(RIGHT(TRIM(Sheet3!$C23),2)="02",180,1))</f>
        <v>0.5</v>
      </c>
      <c r="I23" s="44">
        <f>SUMIFS(Sheet1!$O21:$O8903,Sheet1!$K21:$K8903,Sheet3!$C23,Sheet1!$G21:$G8903,Sheet3!I$3)/3/2/IF(RIGHT(TRIM(Sheet3!$C23),3)="250",250, IF(RIGHT(TRIM(Sheet3!$C23),2)="02",180,1))</f>
        <v>0.83333333333333337</v>
      </c>
      <c r="J23" s="44">
        <f>SUMIFS(Sheet1!$O21:$O8903,Sheet1!$K21:$K8903,Sheet3!$C23,Sheet1!$G21:$G8903,Sheet3!J$3)/3/2/IF(RIGHT(TRIM(Sheet3!$C23),3)="250",250, IF(RIGHT(TRIM(Sheet3!$C23),2)="02",180,1))</f>
        <v>0.5</v>
      </c>
      <c r="K23" s="44">
        <f>SUMIFS(Sheet1!$O21:$O8903,Sheet1!$K21:$K8903,Sheet3!$C23,Sheet1!$G21:$G8903,Sheet3!K$3)/3/2/IF(RIGHT(TRIM(Sheet3!$C23),3)="250",250, IF(RIGHT(TRIM(Sheet3!$C23),2)="02",180,1))</f>
        <v>0.16666666666666666</v>
      </c>
      <c r="L23" s="44">
        <f>SUMIFS(Sheet1!$O21:$O8903,Sheet1!$K21:$K8903,Sheet3!$C23,Sheet1!$G21:$G8903,Sheet3!L$3)/3/2/IF(RIGHT(TRIM(Sheet3!$C23),3)="250",250, IF(RIGHT(TRIM(Sheet3!$C23),2)="02",180,1))</f>
        <v>0.16666666666666666</v>
      </c>
      <c r="M23" s="44">
        <f>SUMIFS(Sheet1!$O21:$O8903,Sheet1!$K21:$K8903,Sheet3!$C23,Sheet1!$G21:$G8903,Sheet3!M$3)/3/2/IF(RIGHT(TRIM(Sheet3!$C23),3)="250",250, IF(RIGHT(TRIM(Sheet3!$C23),2)="02",180,1))</f>
        <v>0.16666666666666666</v>
      </c>
      <c r="N23" s="44">
        <f>SUMIFS(Sheet1!$O21:$O8903,Sheet1!$K21:$K8903,Sheet3!$C23,Sheet1!$G21:$G8903,Sheet3!N$3)/3/2/IF(RIGHT(TRIM(Sheet3!$C23),3)="250",250, IF(RIGHT(TRIM(Sheet3!$C23),2)="02",180,1))</f>
        <v>0</v>
      </c>
      <c r="O23" s="44">
        <f>SUMIFS(Sheet1!$O21:$O8903,Sheet1!$K21:$K8903,Sheet3!$C23,Sheet1!$G21:$G8903,Sheet3!O$3)/3/2/IF(RIGHT(TRIM(Sheet3!$C23),3)="250",250, IF(RIGHT(TRIM(Sheet3!$C23),2)="02",180,1))</f>
        <v>0</v>
      </c>
      <c r="P23" s="41"/>
    </row>
    <row r="24" spans="2:16" x14ac:dyDescent="0.25">
      <c r="B24" s="40"/>
      <c r="C24" s="35" t="s">
        <v>25</v>
      </c>
      <c r="D24" s="44">
        <f>SUMIFS(Sheet1!$O22:$O8904,Sheet1!$K22:$K8904,Sheet3!$C24,Sheet1!$G22:$G8904,Sheet3!D$3)/3/2/IF(RIGHT(TRIM(Sheet3!$C24),3)="250",250, IF(RIGHT(TRIM(Sheet3!$C24),2)="02",180,1))</f>
        <v>1.9166666666666667</v>
      </c>
      <c r="E24" s="44">
        <f>SUMIFS(Sheet1!$O22:$O8904,Sheet1!$K22:$K8904,Sheet3!$C24,Sheet1!$G22:$G8904,Sheet3!E$3)/3/2/IF(RIGHT(TRIM(Sheet3!$C24),3)="250",250, IF(RIGHT(TRIM(Sheet3!$C24),2)="02",180,1))</f>
        <v>2.0787037037037037</v>
      </c>
      <c r="F24" s="44">
        <f>SUMIFS(Sheet1!$O22:$O8904,Sheet1!$K22:$K8904,Sheet3!$C24,Sheet1!$G22:$G8904,Sheet3!F$3)/3/2/IF(RIGHT(TRIM(Sheet3!$C24),3)="250",250, IF(RIGHT(TRIM(Sheet3!$C24),2)="02",180,1))</f>
        <v>3.6134259259259256</v>
      </c>
      <c r="G24" s="44">
        <f>SUMIFS(Sheet1!$O22:$O8904,Sheet1!$K22:$K8904,Sheet3!$C24,Sheet1!$G22:$G8904,Sheet3!G$3)/3/2/IF(RIGHT(TRIM(Sheet3!$C24),3)="250",250, IF(RIGHT(TRIM(Sheet3!$C24),2)="02",180,1))</f>
        <v>4.5138888888888893</v>
      </c>
      <c r="H24" s="44">
        <f>SUMIFS(Sheet1!$O22:$O8904,Sheet1!$K22:$K8904,Sheet3!$C24,Sheet1!$G22:$G8904,Sheet3!H$3)/3/2/IF(RIGHT(TRIM(Sheet3!$C24),3)="250",250, IF(RIGHT(TRIM(Sheet3!$C24),2)="02",180,1))</f>
        <v>10.833333333333334</v>
      </c>
      <c r="I24" s="44">
        <f>SUMIFS(Sheet1!$O22:$O8904,Sheet1!$K22:$K8904,Sheet3!$C24,Sheet1!$G22:$G8904,Sheet3!I$3)/3/2/IF(RIGHT(TRIM(Sheet3!$C24),3)="250",250, IF(RIGHT(TRIM(Sheet3!$C24),2)="02",180,1))</f>
        <v>4.7337962962962967</v>
      </c>
      <c r="J24" s="44">
        <f>SUMIFS(Sheet1!$O22:$O8904,Sheet1!$K22:$K8904,Sheet3!$C24,Sheet1!$G22:$G8904,Sheet3!J$3)/3/2/IF(RIGHT(TRIM(Sheet3!$C24),3)="250",250, IF(RIGHT(TRIM(Sheet3!$C24),2)="02",180,1))</f>
        <v>4.1111111111111107</v>
      </c>
      <c r="K24" s="44">
        <f>SUMIFS(Sheet1!$O22:$O8904,Sheet1!$K22:$K8904,Sheet3!$C24,Sheet1!$G22:$G8904,Sheet3!K$3)/3/2/IF(RIGHT(TRIM(Sheet3!$C24),3)="250",250, IF(RIGHT(TRIM(Sheet3!$C24),2)="02",180,1))</f>
        <v>1.675925925925926</v>
      </c>
      <c r="L24" s="44">
        <f>SUMIFS(Sheet1!$O22:$O8904,Sheet1!$K22:$K8904,Sheet3!$C24,Sheet1!$G22:$G8904,Sheet3!L$3)/3/2/IF(RIGHT(TRIM(Sheet3!$C24),3)="250",250, IF(RIGHT(TRIM(Sheet3!$C24),2)="02",180,1))</f>
        <v>0.88657407407407418</v>
      </c>
      <c r="M24" s="44">
        <f>SUMIFS(Sheet1!$O22:$O8904,Sheet1!$K22:$K8904,Sheet3!$C24,Sheet1!$G22:$G8904,Sheet3!M$3)/3/2/IF(RIGHT(TRIM(Sheet3!$C24),3)="250",250, IF(RIGHT(TRIM(Sheet3!$C24),2)="02",180,1))</f>
        <v>0.99537037037037035</v>
      </c>
      <c r="N24" s="44">
        <f>SUMIFS(Sheet1!$O22:$O8904,Sheet1!$K22:$K8904,Sheet3!$C24,Sheet1!$G22:$G8904,Sheet3!N$3)/3/2/IF(RIGHT(TRIM(Sheet3!$C24),3)="250",250, IF(RIGHT(TRIM(Sheet3!$C24),2)="02",180,1))</f>
        <v>0.92824074074074081</v>
      </c>
      <c r="O24" s="44">
        <f>SUMIFS(Sheet1!$O22:$O8904,Sheet1!$K22:$K8904,Sheet3!$C24,Sheet1!$G22:$G8904,Sheet3!O$3)/3/2/IF(RIGHT(TRIM(Sheet3!$C24),3)="250",250, IF(RIGHT(TRIM(Sheet3!$C24),2)="02",180,1))</f>
        <v>1.1851851851851853</v>
      </c>
      <c r="P24" s="41"/>
    </row>
    <row r="25" spans="2:16" x14ac:dyDescent="0.25">
      <c r="B25" s="40"/>
      <c r="C25" s="36" t="s">
        <v>1405</v>
      </c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1"/>
    </row>
    <row r="26" spans="2:16" x14ac:dyDescent="0.25">
      <c r="B26" s="40"/>
      <c r="C26" s="35" t="s">
        <v>2081</v>
      </c>
      <c r="D26" s="44">
        <f>SUMIFS(Sheet1!$O27:$O8909,Sheet1!$K27:$K8909,Sheet3!$C26,Sheet1!$G27:$G8909,Sheet3!D$3)/3/2/IF(RIGHT(TRIM(Sheet3!$C26),3)="250",250, IF(RIGHT(TRIM(Sheet3!$C26),2)="02",180,1))</f>
        <v>0</v>
      </c>
      <c r="E26" s="44">
        <f>SUMIFS(Sheet1!$O27:$O8909,Sheet1!$K27:$K8909,Sheet3!$C26,Sheet1!$G27:$G8909,Sheet3!E$3)/3/2/IF(RIGHT(TRIM(Sheet3!$C26),3)="250",250, IF(RIGHT(TRIM(Sheet3!$C26),2)="02",180,1))</f>
        <v>0</v>
      </c>
      <c r="F26" s="44">
        <f>SUMIFS(Sheet1!$O27:$O8909,Sheet1!$K27:$K8909,Sheet3!$C26,Sheet1!$G27:$G8909,Sheet3!F$3)/3/2/IF(RIGHT(TRIM(Sheet3!$C26),3)="250",250, IF(RIGHT(TRIM(Sheet3!$C26),2)="02",180,1))</f>
        <v>0</v>
      </c>
      <c r="G26" s="44">
        <f>SUMIFS(Sheet1!$O27:$O8909,Sheet1!$K27:$K8909,Sheet3!$C26,Sheet1!$G27:$G8909,Sheet3!G$3)/3/2/IF(RIGHT(TRIM(Sheet3!$C26),3)="250",250, IF(RIGHT(TRIM(Sheet3!$C26),2)="02",180,1))</f>
        <v>1</v>
      </c>
      <c r="H26" s="44">
        <f>SUMIFS(Sheet1!$O27:$O8909,Sheet1!$K27:$K8909,Sheet3!$C26,Sheet1!$G27:$G8909,Sheet3!H$3)/3/2/IF(RIGHT(TRIM(Sheet3!$C26),3)="250",250, IF(RIGHT(TRIM(Sheet3!$C26),2)="02",180,1))</f>
        <v>2.3333333333333335</v>
      </c>
      <c r="I26" s="44">
        <f>SUMIFS(Sheet1!$O27:$O8909,Sheet1!$K27:$K8909,Sheet3!$C26,Sheet1!$G27:$G8909,Sheet3!I$3)/3/2/IF(RIGHT(TRIM(Sheet3!$C26),3)="250",250, IF(RIGHT(TRIM(Sheet3!$C26),2)="02",180,1))</f>
        <v>6.5</v>
      </c>
      <c r="J26" s="44">
        <f>SUMIFS(Sheet1!$O27:$O8909,Sheet1!$K27:$K8909,Sheet3!$C26,Sheet1!$G27:$G8909,Sheet3!J$3)/3/2/IF(RIGHT(TRIM(Sheet3!$C26),3)="250",250, IF(RIGHT(TRIM(Sheet3!$C26),2)="02",180,1))</f>
        <v>1.1666666666666667</v>
      </c>
      <c r="K26" s="44">
        <f>SUMIFS(Sheet1!$O27:$O8909,Sheet1!$K27:$K8909,Sheet3!$C26,Sheet1!$G27:$G8909,Sheet3!K$3)/3/2/IF(RIGHT(TRIM(Sheet3!$C26),3)="250",250, IF(RIGHT(TRIM(Sheet3!$C26),2)="02",180,1))</f>
        <v>0</v>
      </c>
      <c r="L26" s="44">
        <f>SUMIFS(Sheet1!$O27:$O8909,Sheet1!$K27:$K8909,Sheet3!$C26,Sheet1!$G27:$G8909,Sheet3!L$3)/3/2/IF(RIGHT(TRIM(Sheet3!$C26),3)="250",250, IF(RIGHT(TRIM(Sheet3!$C26),2)="02",180,1))</f>
        <v>0</v>
      </c>
      <c r="M26" s="44">
        <f>SUMIFS(Sheet1!$O27:$O8909,Sheet1!$K27:$K8909,Sheet3!$C26,Sheet1!$G27:$G8909,Sheet3!M$3)/3/2/IF(RIGHT(TRIM(Sheet3!$C26),3)="250",250, IF(RIGHT(TRIM(Sheet3!$C26),2)="02",180,1))</f>
        <v>0</v>
      </c>
      <c r="N26" s="44">
        <f>SUMIFS(Sheet1!$O27:$O8909,Sheet1!$K27:$K8909,Sheet3!$C26,Sheet1!$G27:$G8909,Sheet3!N$3)/3/2/IF(RIGHT(TRIM(Sheet3!$C26),3)="250",250, IF(RIGHT(TRIM(Sheet3!$C26),2)="02",180,1))</f>
        <v>0</v>
      </c>
      <c r="O26" s="44">
        <f>SUMIFS(Sheet1!$O27:$O8909,Sheet1!$K27:$K8909,Sheet3!$C26,Sheet1!$G27:$G8909,Sheet3!O$3)/3/2/IF(RIGHT(TRIM(Sheet3!$C26),3)="250",250, IF(RIGHT(TRIM(Sheet3!$C26),2)="02",180,1))</f>
        <v>0</v>
      </c>
      <c r="P26" s="41"/>
    </row>
    <row r="27" spans="2:16" x14ac:dyDescent="0.25">
      <c r="B27" s="40"/>
      <c r="C27" s="36" t="s">
        <v>565</v>
      </c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1"/>
    </row>
    <row r="28" spans="2:16" x14ac:dyDescent="0.25">
      <c r="B28" s="40"/>
      <c r="C28" s="35" t="s">
        <v>19</v>
      </c>
      <c r="D28" s="44">
        <f>SUMIFS(Sheet1!$O35:$O8917,Sheet1!$K35:$K8917,Sheet3!$C28,Sheet1!$G35:$G8917,Sheet3!D$3)/3/2/IF(RIGHT(TRIM(Sheet3!$C28),3)="250",250, IF(RIGHT(TRIM(Sheet3!$C28),2)="02",180,1))</f>
        <v>0.62037037037037035</v>
      </c>
      <c r="E28" s="44">
        <f>SUMIFS(Sheet1!$O35:$O8917,Sheet1!$K35:$K8917,Sheet3!$C28,Sheet1!$G35:$G8917,Sheet3!E$3)/3/2/IF(RIGHT(TRIM(Sheet3!$C28),3)="250",250, IF(RIGHT(TRIM(Sheet3!$C28),2)="02",180,1))</f>
        <v>1.0046296296296298</v>
      </c>
      <c r="F28" s="44">
        <f>SUMIFS(Sheet1!$O35:$O8917,Sheet1!$K35:$K8917,Sheet3!$C28,Sheet1!$G35:$G8917,Sheet3!F$3)/3/2/IF(RIGHT(TRIM(Sheet3!$C28),3)="250",250, IF(RIGHT(TRIM(Sheet3!$C28),2)="02",180,1))</f>
        <v>0.6342592592592593</v>
      </c>
      <c r="G28" s="44">
        <f>SUMIFS(Sheet1!$O35:$O8917,Sheet1!$K35:$K8917,Sheet3!$C28,Sheet1!$G35:$G8917,Sheet3!G$3)/3/2/IF(RIGHT(TRIM(Sheet3!$C28),3)="250",250, IF(RIGHT(TRIM(Sheet3!$C28),2)="02",180,1))</f>
        <v>1.4421296296296295</v>
      </c>
      <c r="H28" s="44">
        <f>SUMIFS(Sheet1!$O35:$O8917,Sheet1!$K35:$K8917,Sheet3!$C28,Sheet1!$G35:$G8917,Sheet3!H$3)/3/2/IF(RIGHT(TRIM(Sheet3!$C28),3)="250",250, IF(RIGHT(TRIM(Sheet3!$C28),2)="02",180,1))</f>
        <v>1.3657407407407407</v>
      </c>
      <c r="I28" s="44">
        <f>SUMIFS(Sheet1!$O35:$O8917,Sheet1!$K35:$K8917,Sheet3!$C28,Sheet1!$G35:$G8917,Sheet3!I$3)/3/2/IF(RIGHT(TRIM(Sheet3!$C28),3)="250",250, IF(RIGHT(TRIM(Sheet3!$C28),2)="02",180,1))</f>
        <v>0.75925925925925919</v>
      </c>
      <c r="J28" s="44">
        <f>SUMIFS(Sheet1!$O35:$O8917,Sheet1!$K35:$K8917,Sheet3!$C28,Sheet1!$G35:$G8917,Sheet3!J$3)/3/2/IF(RIGHT(TRIM(Sheet3!$C28),3)="250",250, IF(RIGHT(TRIM(Sheet3!$C28),2)="02",180,1))</f>
        <v>0.57407407407407407</v>
      </c>
      <c r="K28" s="44">
        <f>SUMIFS(Sheet1!$O35:$O8917,Sheet1!$K35:$K8917,Sheet3!$C28,Sheet1!$G35:$G8917,Sheet3!K$3)/3/2/IF(RIGHT(TRIM(Sheet3!$C28),3)="250",250, IF(RIGHT(TRIM(Sheet3!$C28),2)="02",180,1))</f>
        <v>1.2314814814814814</v>
      </c>
      <c r="L28" s="44">
        <f>SUMIFS(Sheet1!$O35:$O8917,Sheet1!$K35:$K8917,Sheet3!$C28,Sheet1!$G35:$G8917,Sheet3!L$3)/3/2/IF(RIGHT(TRIM(Sheet3!$C28),3)="250",250, IF(RIGHT(TRIM(Sheet3!$C28),2)="02",180,1))</f>
        <v>0.63888888888888884</v>
      </c>
      <c r="M28" s="44">
        <f>SUMIFS(Sheet1!$O35:$O8917,Sheet1!$K35:$K8917,Sheet3!$C28,Sheet1!$G35:$G8917,Sheet3!M$3)/3/2/IF(RIGHT(TRIM(Sheet3!$C28),3)="250",250, IF(RIGHT(TRIM(Sheet3!$C28),2)="02",180,1))</f>
        <v>0.59259259259259267</v>
      </c>
      <c r="N28" s="44">
        <f>SUMIFS(Sheet1!$O35:$O8917,Sheet1!$K35:$K8917,Sheet3!$C28,Sheet1!$G35:$G8917,Sheet3!N$3)/3/2/IF(RIGHT(TRIM(Sheet3!$C28),3)="250",250, IF(RIGHT(TRIM(Sheet3!$C28),2)="02",180,1))</f>
        <v>2.7129629629629628</v>
      </c>
      <c r="O28" s="44">
        <f>SUMIFS(Sheet1!$O35:$O8917,Sheet1!$K35:$K8917,Sheet3!$C28,Sheet1!$G35:$G8917,Sheet3!O$3)/3/2/IF(RIGHT(TRIM(Sheet3!$C28),3)="250",250, IF(RIGHT(TRIM(Sheet3!$C28),2)="02",180,1))</f>
        <v>0.81018518518518523</v>
      </c>
      <c r="P28" s="41"/>
    </row>
    <row r="29" spans="2:16" x14ac:dyDescent="0.25">
      <c r="B29" s="40"/>
      <c r="C29" s="35" t="s">
        <v>822</v>
      </c>
      <c r="D29" s="44">
        <f>SUMIFS(Sheet1!$O36:$O8918,Sheet1!$K36:$K8918,Sheet3!$C29,Sheet1!$G36:$G8918,Sheet3!D$3)/3/2/IF(RIGHT(TRIM(Sheet3!$C29),3)="250",250, IF(RIGHT(TRIM(Sheet3!$C29),2)="02",180,1))</f>
        <v>2.1166666666666667</v>
      </c>
      <c r="E29" s="44">
        <f>SUMIFS(Sheet1!$O36:$O8918,Sheet1!$K36:$K8918,Sheet3!$C29,Sheet1!$G36:$G8918,Sheet3!E$3)/3/2/IF(RIGHT(TRIM(Sheet3!$C29),3)="250",250, IF(RIGHT(TRIM(Sheet3!$C29),2)="02",180,1))</f>
        <v>2.5</v>
      </c>
      <c r="F29" s="44">
        <f>SUMIFS(Sheet1!$O36:$O8918,Sheet1!$K36:$K8918,Sheet3!$C29,Sheet1!$G36:$G8918,Sheet3!F$3)/3/2/IF(RIGHT(TRIM(Sheet3!$C29),3)="250",250, IF(RIGHT(TRIM(Sheet3!$C29),2)="02",180,1))</f>
        <v>1.1666666666666667</v>
      </c>
      <c r="G29" s="44">
        <f>SUMIFS(Sheet1!$O36:$O8918,Sheet1!$K36:$K8918,Sheet3!$C29,Sheet1!$G36:$G8918,Sheet3!G$3)/3/2/IF(RIGHT(TRIM(Sheet3!$C29),3)="250",250, IF(RIGHT(TRIM(Sheet3!$C29),2)="02",180,1))</f>
        <v>0.66666666666666663</v>
      </c>
      <c r="H29" s="44">
        <f>SUMIFS(Sheet1!$O36:$O8918,Sheet1!$K36:$K8918,Sheet3!$C29,Sheet1!$G36:$G8918,Sheet3!H$3)/3/2/IF(RIGHT(TRIM(Sheet3!$C29),3)="250",250, IF(RIGHT(TRIM(Sheet3!$C29),2)="02",180,1))</f>
        <v>1.5786666666666667</v>
      </c>
      <c r="I29" s="44">
        <f>SUMIFS(Sheet1!$O36:$O8918,Sheet1!$K36:$K8918,Sheet3!$C29,Sheet1!$G36:$G8918,Sheet3!I$3)/3/2/IF(RIGHT(TRIM(Sheet3!$C29),3)="250",250, IF(RIGHT(TRIM(Sheet3!$C29),2)="02",180,1))</f>
        <v>0.16666666666666666</v>
      </c>
      <c r="J29" s="44">
        <f>SUMIFS(Sheet1!$O36:$O8918,Sheet1!$K36:$K8918,Sheet3!$C29,Sheet1!$G36:$G8918,Sheet3!J$3)/3/2/IF(RIGHT(TRIM(Sheet3!$C29),3)="250",250, IF(RIGHT(TRIM(Sheet3!$C29),2)="02",180,1))</f>
        <v>0.66666666666666663</v>
      </c>
      <c r="K29" s="44">
        <f>SUMIFS(Sheet1!$O36:$O8918,Sheet1!$K36:$K8918,Sheet3!$C29,Sheet1!$G36:$G8918,Sheet3!K$3)/3/2/IF(RIGHT(TRIM(Sheet3!$C29),3)="250",250, IF(RIGHT(TRIM(Sheet3!$C29),2)="02",180,1))</f>
        <v>3.6666666666666665</v>
      </c>
      <c r="L29" s="44">
        <f>SUMIFS(Sheet1!$O36:$O8918,Sheet1!$K36:$K8918,Sheet3!$C29,Sheet1!$G36:$G8918,Sheet3!L$3)/3/2/IF(RIGHT(TRIM(Sheet3!$C29),3)="250",250, IF(RIGHT(TRIM(Sheet3!$C29),2)="02",180,1))</f>
        <v>3.9833333333333334</v>
      </c>
      <c r="M29" s="44">
        <f>SUMIFS(Sheet1!$O36:$O8918,Sheet1!$K36:$K8918,Sheet3!$C29,Sheet1!$G36:$G8918,Sheet3!M$3)/3/2/IF(RIGHT(TRIM(Sheet3!$C29),3)="250",250, IF(RIGHT(TRIM(Sheet3!$C29),2)="02",180,1))</f>
        <v>0</v>
      </c>
      <c r="N29" s="44">
        <f>SUMIFS(Sheet1!$O36:$O8918,Sheet1!$K36:$K8918,Sheet3!$C29,Sheet1!$G36:$G8918,Sheet3!N$3)/3/2/IF(RIGHT(TRIM(Sheet3!$C29),3)="250",250, IF(RIGHT(TRIM(Sheet3!$C29),2)="02",180,1))</f>
        <v>0.18333333333333335</v>
      </c>
      <c r="O29" s="44">
        <f>SUMIFS(Sheet1!$O36:$O8918,Sheet1!$K36:$K8918,Sheet3!$C29,Sheet1!$G36:$G8918,Sheet3!O$3)/3/2/IF(RIGHT(TRIM(Sheet3!$C29),3)="250",250, IF(RIGHT(TRIM(Sheet3!$C29),2)="02",180,1))</f>
        <v>0.91666666666666663</v>
      </c>
      <c r="P29" s="41"/>
    </row>
    <row r="30" spans="2:16" x14ac:dyDescent="0.25">
      <c r="B30" s="40"/>
      <c r="C30" s="35"/>
      <c r="D30" s="44">
        <f>D29+D28*180/250</f>
        <v>2.5633333333333335</v>
      </c>
      <c r="E30" s="44">
        <f t="shared" ref="E30:O30" si="1">E29+E28*180/250</f>
        <v>3.2233333333333336</v>
      </c>
      <c r="F30" s="44">
        <f t="shared" si="1"/>
        <v>1.6233333333333335</v>
      </c>
      <c r="G30" s="44">
        <f t="shared" si="1"/>
        <v>1.7050000000000001</v>
      </c>
      <c r="H30" s="44">
        <f t="shared" si="1"/>
        <v>2.5619999999999998</v>
      </c>
      <c r="I30" s="44">
        <f t="shared" si="1"/>
        <v>0.71333333333333326</v>
      </c>
      <c r="J30" s="44">
        <f t="shared" si="1"/>
        <v>1.08</v>
      </c>
      <c r="K30" s="44">
        <f t="shared" si="1"/>
        <v>4.5533333333333328</v>
      </c>
      <c r="L30" s="44">
        <f t="shared" si="1"/>
        <v>4.4433333333333334</v>
      </c>
      <c r="M30" s="44">
        <f t="shared" si="1"/>
        <v>0.42666666666666675</v>
      </c>
      <c r="N30" s="44">
        <f t="shared" si="1"/>
        <v>2.1366666666666667</v>
      </c>
      <c r="O30" s="44">
        <f t="shared" si="1"/>
        <v>1.5</v>
      </c>
      <c r="P30" s="41"/>
    </row>
    <row r="31" spans="2:16" x14ac:dyDescent="0.25">
      <c r="B31" s="40"/>
      <c r="C31" s="36" t="s">
        <v>511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1"/>
    </row>
    <row r="32" spans="2:16" x14ac:dyDescent="0.25">
      <c r="B32" s="40"/>
      <c r="C32" s="35" t="s">
        <v>36</v>
      </c>
      <c r="D32" s="44">
        <f>SUMIFS(Sheet1!$O40:$O8922,Sheet1!$K40:$K8922,Sheet3!$C32,Sheet1!$G40:$G8922,Sheet3!D$3)/3/2/IF(RIGHT(TRIM(Sheet3!$C32),3)="250",250, IF(RIGHT(TRIM(Sheet3!$C32),2)="02",180,1))</f>
        <v>0.16666666666666666</v>
      </c>
      <c r="E32" s="44">
        <f>SUMIFS(Sheet1!$O40:$O8922,Sheet1!$K40:$K8922,Sheet3!$C32,Sheet1!$G40:$G8922,Sheet3!E$3)/3/2/IF(RIGHT(TRIM(Sheet3!$C32),3)="250",250, IF(RIGHT(TRIM(Sheet3!$C32),2)="02",180,1))</f>
        <v>0.2361111111111111</v>
      </c>
      <c r="F32" s="44">
        <f>SUMIFS(Sheet1!$O40:$O8922,Sheet1!$K40:$K8922,Sheet3!$C32,Sheet1!$G40:$G8922,Sheet3!F$3)/3/2/IF(RIGHT(TRIM(Sheet3!$C32),3)="250",250, IF(RIGHT(TRIM(Sheet3!$C32),2)="02",180,1))</f>
        <v>0.20370370370370369</v>
      </c>
      <c r="G32" s="44">
        <f>SUMIFS(Sheet1!$O40:$O8922,Sheet1!$K40:$K8922,Sheet3!$C32,Sheet1!$G40:$G8922,Sheet3!G$3)/3/2/IF(RIGHT(TRIM(Sheet3!$C32),3)="250",250, IF(RIGHT(TRIM(Sheet3!$C32),2)="02",180,1))</f>
        <v>8.3333333333333329E-2</v>
      </c>
      <c r="H32" s="44">
        <f>SUMIFS(Sheet1!$O40:$O8922,Sheet1!$K40:$K8922,Sheet3!$C32,Sheet1!$G40:$G8922,Sheet3!H$3)/3/2/IF(RIGHT(TRIM(Sheet3!$C32),3)="250",250, IF(RIGHT(TRIM(Sheet3!$C32),2)="02",180,1))</f>
        <v>0.30555555555555558</v>
      </c>
      <c r="I32" s="44">
        <f>SUMIFS(Sheet1!$O40:$O8922,Sheet1!$K40:$K8922,Sheet3!$C32,Sheet1!$G40:$G8922,Sheet3!I$3)/3/2/IF(RIGHT(TRIM(Sheet3!$C32),3)="250",250, IF(RIGHT(TRIM(Sheet3!$C32),2)="02",180,1))</f>
        <v>0.19444444444444445</v>
      </c>
      <c r="J32" s="44">
        <f>SUMIFS(Sheet1!$O40:$O8922,Sheet1!$K40:$K8922,Sheet3!$C32,Sheet1!$G40:$G8922,Sheet3!J$3)/3/2/IF(RIGHT(TRIM(Sheet3!$C32),3)="250",250, IF(RIGHT(TRIM(Sheet3!$C32),2)="02",180,1))</f>
        <v>0.1388888888888889</v>
      </c>
      <c r="K32" s="44">
        <f>SUMIFS(Sheet1!$O40:$O8922,Sheet1!$K40:$K8922,Sheet3!$C32,Sheet1!$G40:$G8922,Sheet3!K$3)/3/2/IF(RIGHT(TRIM(Sheet3!$C32),3)="250",250, IF(RIGHT(TRIM(Sheet3!$C32),2)="02",180,1))</f>
        <v>0.16666666666666666</v>
      </c>
      <c r="L32" s="44">
        <f>SUMIFS(Sheet1!$O40:$O8922,Sheet1!$K40:$K8922,Sheet3!$C32,Sheet1!$G40:$G8922,Sheet3!L$3)/3/2/IF(RIGHT(TRIM(Sheet3!$C32),3)="250",250, IF(RIGHT(TRIM(Sheet3!$C32),2)="02",180,1))</f>
        <v>0.11574074074074073</v>
      </c>
      <c r="M32" s="44">
        <f>SUMIFS(Sheet1!$O40:$O8922,Sheet1!$K40:$K8922,Sheet3!$C32,Sheet1!$G40:$G8922,Sheet3!M$3)/3/2/IF(RIGHT(TRIM(Sheet3!$C32),3)="250",250, IF(RIGHT(TRIM(Sheet3!$C32),2)="02",180,1))</f>
        <v>0.10648148148148148</v>
      </c>
      <c r="N32" s="44">
        <f>SUMIFS(Sheet1!$O40:$O8922,Sheet1!$K40:$K8922,Sheet3!$C32,Sheet1!$G40:$G8922,Sheet3!N$3)/3/2/IF(RIGHT(TRIM(Sheet3!$C32),3)="250",250, IF(RIGHT(TRIM(Sheet3!$C32),2)="02",180,1))</f>
        <v>0.62037037037037035</v>
      </c>
      <c r="O32" s="44">
        <f>SUMIFS(Sheet1!$O40:$O8922,Sheet1!$K40:$K8922,Sheet3!$C32,Sheet1!$G40:$G8922,Sheet3!O$3)/3/2/IF(RIGHT(TRIM(Sheet3!$C32),3)="250",250, IF(RIGHT(TRIM(Sheet3!$C32),2)="02",180,1))</f>
        <v>0.34722222222222221</v>
      </c>
      <c r="P32" s="41"/>
    </row>
    <row r="33" spans="2:16" x14ac:dyDescent="0.25">
      <c r="B33" s="40"/>
      <c r="C33" s="35" t="s">
        <v>510</v>
      </c>
      <c r="D33" s="44">
        <f>SUMIFS(Sheet1!$O41:$O8923,Sheet1!$K41:$K8923,Sheet3!$C33,Sheet1!$G41:$G8923,Sheet3!D$3)/3/2/IF(RIGHT(TRIM(Sheet3!$C33),3)="250",250, IF(RIGHT(TRIM(Sheet3!$C33),2)="02",180,1))</f>
        <v>0.33333333333333331</v>
      </c>
      <c r="E33" s="44">
        <f>SUMIFS(Sheet1!$O41:$O8923,Sheet1!$K41:$K8923,Sheet3!$C33,Sheet1!$G41:$G8923,Sheet3!E$3)/3/2/IF(RIGHT(TRIM(Sheet3!$C33),3)="250",250, IF(RIGHT(TRIM(Sheet3!$C33),2)="02",180,1))</f>
        <v>0</v>
      </c>
      <c r="F33" s="44">
        <f>SUMIFS(Sheet1!$O41:$O8923,Sheet1!$K41:$K8923,Sheet3!$C33,Sheet1!$G41:$G8923,Sheet3!F$3)/3/2/IF(RIGHT(TRIM(Sheet3!$C33),3)="250",250, IF(RIGHT(TRIM(Sheet3!$C33),2)="02",180,1))</f>
        <v>0</v>
      </c>
      <c r="G33" s="44">
        <f>SUMIFS(Sheet1!$O41:$O8923,Sheet1!$K41:$K8923,Sheet3!$C33,Sheet1!$G41:$G8923,Sheet3!G$3)/3/2/IF(RIGHT(TRIM(Sheet3!$C33),3)="250",250, IF(RIGHT(TRIM(Sheet3!$C33),2)="02",180,1))</f>
        <v>12.166666666666666</v>
      </c>
      <c r="H33" s="44">
        <f>SUMIFS(Sheet1!$O41:$O8923,Sheet1!$K41:$K8923,Sheet3!$C33,Sheet1!$G41:$G8923,Sheet3!H$3)/3/2/IF(RIGHT(TRIM(Sheet3!$C33),3)="250",250, IF(RIGHT(TRIM(Sheet3!$C33),2)="02",180,1))</f>
        <v>0</v>
      </c>
      <c r="I33" s="44">
        <f>SUMIFS(Sheet1!$O41:$O8923,Sheet1!$K41:$K8923,Sheet3!$C33,Sheet1!$G41:$G8923,Sheet3!I$3)/3/2/IF(RIGHT(TRIM(Sheet3!$C33),3)="250",250, IF(RIGHT(TRIM(Sheet3!$C33),2)="02",180,1))</f>
        <v>1</v>
      </c>
      <c r="J33" s="44">
        <f>SUMIFS(Sheet1!$O41:$O8923,Sheet1!$K41:$K8923,Sheet3!$C33,Sheet1!$G41:$G8923,Sheet3!J$3)/3/2/IF(RIGHT(TRIM(Sheet3!$C33),3)="250",250, IF(RIGHT(TRIM(Sheet3!$C33),2)="02",180,1))</f>
        <v>0.16666666666666666</v>
      </c>
      <c r="K33" s="44">
        <f>SUMIFS(Sheet1!$O41:$O8923,Sheet1!$K41:$K8923,Sheet3!$C33,Sheet1!$G41:$G8923,Sheet3!K$3)/3/2/IF(RIGHT(TRIM(Sheet3!$C33),3)="250",250, IF(RIGHT(TRIM(Sheet3!$C33),2)="02",180,1))</f>
        <v>0</v>
      </c>
      <c r="L33" s="44">
        <f>SUMIFS(Sheet1!$O41:$O8923,Sheet1!$K41:$K8923,Sheet3!$C33,Sheet1!$G41:$G8923,Sheet3!L$3)/3/2/IF(RIGHT(TRIM(Sheet3!$C33),3)="250",250, IF(RIGHT(TRIM(Sheet3!$C33),2)="02",180,1))</f>
        <v>0</v>
      </c>
      <c r="M33" s="44">
        <f>SUMIFS(Sheet1!$O41:$O8923,Sheet1!$K41:$K8923,Sheet3!$C33,Sheet1!$G41:$G8923,Sheet3!M$3)/3/2/IF(RIGHT(TRIM(Sheet3!$C33),3)="250",250, IF(RIGHT(TRIM(Sheet3!$C33),2)="02",180,1))</f>
        <v>0.5</v>
      </c>
      <c r="N33" s="44">
        <f>SUMIFS(Sheet1!$O41:$O8923,Sheet1!$K41:$K8923,Sheet3!$C33,Sheet1!$G41:$G8923,Sheet3!N$3)/3/2/IF(RIGHT(TRIM(Sheet3!$C33),3)="250",250, IF(RIGHT(TRIM(Sheet3!$C33),2)="02",180,1))</f>
        <v>2.0333333333333332</v>
      </c>
      <c r="O33" s="44">
        <f>SUMIFS(Sheet1!$O41:$O8923,Sheet1!$K41:$K8923,Sheet3!$C33,Sheet1!$G41:$G8923,Sheet3!O$3)/3/2/IF(RIGHT(TRIM(Sheet3!$C33),3)="250",250, IF(RIGHT(TRIM(Sheet3!$C33),2)="02",180,1))</f>
        <v>0.5</v>
      </c>
      <c r="P33" s="41"/>
    </row>
    <row r="34" spans="2:16" x14ac:dyDescent="0.25">
      <c r="B34" s="40"/>
      <c r="C34" s="35"/>
      <c r="D34" s="44">
        <f>D33+(D32*180/250)</f>
        <v>0.45333333333333331</v>
      </c>
      <c r="E34" s="44">
        <f t="shared" ref="E34:O34" si="2">E33+(E32*180/250)</f>
        <v>0.17</v>
      </c>
      <c r="F34" s="44">
        <f t="shared" si="2"/>
        <v>0.14666666666666667</v>
      </c>
      <c r="G34" s="44">
        <f t="shared" si="2"/>
        <v>12.226666666666667</v>
      </c>
      <c r="H34" s="44">
        <f t="shared" si="2"/>
        <v>0.22000000000000003</v>
      </c>
      <c r="I34" s="44">
        <f t="shared" si="2"/>
        <v>1.1400000000000001</v>
      </c>
      <c r="J34" s="44">
        <f t="shared" si="2"/>
        <v>0.26666666666666666</v>
      </c>
      <c r="K34" s="44">
        <f t="shared" si="2"/>
        <v>0.12</v>
      </c>
      <c r="L34" s="44">
        <f t="shared" si="2"/>
        <v>8.3333333333333329E-2</v>
      </c>
      <c r="M34" s="44">
        <f t="shared" si="2"/>
        <v>0.57666666666666666</v>
      </c>
      <c r="N34" s="44">
        <f t="shared" si="2"/>
        <v>2.48</v>
      </c>
      <c r="O34" s="44">
        <f t="shared" si="2"/>
        <v>0.75</v>
      </c>
      <c r="P34" s="41"/>
    </row>
    <row r="35" spans="2:16" x14ac:dyDescent="0.25">
      <c r="B35" s="40"/>
      <c r="C35" s="36" t="s">
        <v>518</v>
      </c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1"/>
    </row>
    <row r="36" spans="2:16" x14ac:dyDescent="0.25">
      <c r="B36" s="40"/>
      <c r="C36" s="35" t="s">
        <v>83</v>
      </c>
      <c r="D36" s="44">
        <f>SUMIFS(Sheet1!$O45:$O8927,Sheet1!$K45:$K8927,Sheet3!$C36,Sheet1!$G45:$G8927,Sheet3!D$3)/3/2/IF(RIGHT(TRIM(Sheet3!$C36),3)="250",250, IF(RIGHT(TRIM(Sheet3!$C36),2)="02",180,1))</f>
        <v>1.5879629629629628</v>
      </c>
      <c r="E36" s="44">
        <f>SUMIFS(Sheet1!$O45:$O8927,Sheet1!$K45:$K8927,Sheet3!$C36,Sheet1!$G45:$G8927,Sheet3!E$3)/3/2/IF(RIGHT(TRIM(Sheet3!$C36),3)="250",250, IF(RIGHT(TRIM(Sheet3!$C36),2)="02",180,1))</f>
        <v>1.3333333333333333</v>
      </c>
      <c r="F36" s="44">
        <f>SUMIFS(Sheet1!$O45:$O8927,Sheet1!$K45:$K8927,Sheet3!$C36,Sheet1!$G45:$G8927,Sheet3!F$3)/3/2/IF(RIGHT(TRIM(Sheet3!$C36),3)="250",250, IF(RIGHT(TRIM(Sheet3!$C36),2)="02",180,1))</f>
        <v>0.59722222222222221</v>
      </c>
      <c r="G36" s="44">
        <f>SUMIFS(Sheet1!$O45:$O8927,Sheet1!$K45:$K8927,Sheet3!$C36,Sheet1!$G45:$G8927,Sheet3!G$3)/3/2/IF(RIGHT(TRIM(Sheet3!$C36),3)="250",250, IF(RIGHT(TRIM(Sheet3!$C36),2)="02",180,1))</f>
        <v>1.287037037037037</v>
      </c>
      <c r="H36" s="44">
        <f>SUMIFS(Sheet1!$O45:$O8927,Sheet1!$K45:$K8927,Sheet3!$C36,Sheet1!$G45:$G8927,Sheet3!H$3)/3/2/IF(RIGHT(TRIM(Sheet3!$C36),3)="250",250, IF(RIGHT(TRIM(Sheet3!$C36),2)="02",180,1))</f>
        <v>2.8796296296296298</v>
      </c>
      <c r="I36" s="44">
        <f>SUMIFS(Sheet1!$O45:$O8927,Sheet1!$K45:$K8927,Sheet3!$C36,Sheet1!$G45:$G8927,Sheet3!I$3)/3/2/IF(RIGHT(TRIM(Sheet3!$C36),3)="250",250, IF(RIGHT(TRIM(Sheet3!$C36),2)="02",180,1))</f>
        <v>2.2662037037037037</v>
      </c>
      <c r="J36" s="44">
        <f>SUMIFS(Sheet1!$O45:$O8927,Sheet1!$K45:$K8927,Sheet3!$C36,Sheet1!$G45:$G8927,Sheet3!J$3)/3/2/IF(RIGHT(TRIM(Sheet3!$C36),3)="250",250, IF(RIGHT(TRIM(Sheet3!$C36),2)="02",180,1))</f>
        <v>0.96759259259259256</v>
      </c>
      <c r="K36" s="44">
        <f>SUMIFS(Sheet1!$O45:$O8927,Sheet1!$K45:$K8927,Sheet3!$C36,Sheet1!$G45:$G8927,Sheet3!K$3)/3/2/IF(RIGHT(TRIM(Sheet3!$C36),3)="250",250, IF(RIGHT(TRIM(Sheet3!$C36),2)="02",180,1))</f>
        <v>0.43981481481481483</v>
      </c>
      <c r="L36" s="44">
        <f>SUMIFS(Sheet1!$O45:$O8927,Sheet1!$K45:$K8927,Sheet3!$C36,Sheet1!$G45:$G8927,Sheet3!L$3)/3/2/IF(RIGHT(TRIM(Sheet3!$C36),3)="250",250, IF(RIGHT(TRIM(Sheet3!$C36),2)="02",180,1))</f>
        <v>0.1111111111111111</v>
      </c>
      <c r="M36" s="44">
        <f>SUMIFS(Sheet1!$O45:$O8927,Sheet1!$K45:$K8927,Sheet3!$C36,Sheet1!$G45:$G8927,Sheet3!M$3)/3/2/IF(RIGHT(TRIM(Sheet3!$C36),3)="250",250, IF(RIGHT(TRIM(Sheet3!$C36),2)="02",180,1))</f>
        <v>0.32870370370370366</v>
      </c>
      <c r="N36" s="44">
        <f>SUMIFS(Sheet1!$O45:$O8927,Sheet1!$K45:$K8927,Sheet3!$C36,Sheet1!$G45:$G8927,Sheet3!N$3)/3/2/IF(RIGHT(TRIM(Sheet3!$C36),3)="250",250, IF(RIGHT(TRIM(Sheet3!$C36),2)="02",180,1))</f>
        <v>0.73611111111111116</v>
      </c>
      <c r="O36" s="44">
        <f>SUMIFS(Sheet1!$O45:$O8927,Sheet1!$K45:$K8927,Sheet3!$C36,Sheet1!$G45:$G8927,Sheet3!O$3)/3/2/IF(RIGHT(TRIM(Sheet3!$C36),3)="250",250, IF(RIGHT(TRIM(Sheet3!$C36),2)="02",180,1))</f>
        <v>0.12962962962962962</v>
      </c>
      <c r="P36" s="41"/>
    </row>
    <row r="37" spans="2:16" x14ac:dyDescent="0.25">
      <c r="B37" s="40"/>
      <c r="C37" s="35" t="s">
        <v>548</v>
      </c>
      <c r="D37" s="44">
        <f>SUMIFS(Sheet1!$O46:$O8928,Sheet1!$K46:$K8928,Sheet3!$C37,Sheet1!$G46:$G8928,Sheet3!D$3)/3/2/IF(RIGHT(TRIM(Sheet3!$C37),3)="250",250, IF(RIGHT(TRIM(Sheet3!$C37),2)="02",180,1))</f>
        <v>1.3166666666666667</v>
      </c>
      <c r="E37" s="44">
        <f>SUMIFS(Sheet1!$O46:$O8928,Sheet1!$K46:$K8928,Sheet3!$C37,Sheet1!$G46:$G8928,Sheet3!E$3)/3/2/IF(RIGHT(TRIM(Sheet3!$C37),3)="250",250, IF(RIGHT(TRIM(Sheet3!$C37),2)="02",180,1))</f>
        <v>0</v>
      </c>
      <c r="F37" s="44">
        <f>SUMIFS(Sheet1!$O46:$O8928,Sheet1!$K46:$K8928,Sheet3!$C37,Sheet1!$G46:$G8928,Sheet3!F$3)/3/2/IF(RIGHT(TRIM(Sheet3!$C37),3)="250",250, IF(RIGHT(TRIM(Sheet3!$C37),2)="02",180,1))</f>
        <v>0</v>
      </c>
      <c r="G37" s="44">
        <f>SUMIFS(Sheet1!$O46:$O8928,Sheet1!$K46:$K8928,Sheet3!$C37,Sheet1!$G46:$G8928,Sheet3!G$3)/3/2/IF(RIGHT(TRIM(Sheet3!$C37),3)="250",250, IF(RIGHT(TRIM(Sheet3!$C37),2)="02",180,1))</f>
        <v>0</v>
      </c>
      <c r="H37" s="44">
        <f>SUMIFS(Sheet1!$O46:$O8928,Sheet1!$K46:$K8928,Sheet3!$C37,Sheet1!$G46:$G8928,Sheet3!H$3)/3/2/IF(RIGHT(TRIM(Sheet3!$C37),3)="250",250, IF(RIGHT(TRIM(Sheet3!$C37),2)="02",180,1))</f>
        <v>0</v>
      </c>
      <c r="I37" s="44">
        <f>SUMIFS(Sheet1!$O46:$O8928,Sheet1!$K46:$K8928,Sheet3!$C37,Sheet1!$G46:$G8928,Sheet3!I$3)/3/2/IF(RIGHT(TRIM(Sheet3!$C37),3)="250",250, IF(RIGHT(TRIM(Sheet3!$C37),2)="02",180,1))</f>
        <v>0.83333333333333337</v>
      </c>
      <c r="J37" s="44">
        <f>SUMIFS(Sheet1!$O46:$O8928,Sheet1!$K46:$K8928,Sheet3!$C37,Sheet1!$G46:$G8928,Sheet3!J$3)/3/2/IF(RIGHT(TRIM(Sheet3!$C37),3)="250",250, IF(RIGHT(TRIM(Sheet3!$C37),2)="02",180,1))</f>
        <v>0.16666666666666666</v>
      </c>
      <c r="K37" s="44">
        <f>SUMIFS(Sheet1!$O46:$O8928,Sheet1!$K46:$K8928,Sheet3!$C37,Sheet1!$G46:$G8928,Sheet3!K$3)/3/2/IF(RIGHT(TRIM(Sheet3!$C37),3)="250",250, IF(RIGHT(TRIM(Sheet3!$C37),2)="02",180,1))</f>
        <v>1.5</v>
      </c>
      <c r="L37" s="44">
        <f>SUMIFS(Sheet1!$O46:$O8928,Sheet1!$K46:$K8928,Sheet3!$C37,Sheet1!$G46:$G8928,Sheet3!L$3)/3/2/IF(RIGHT(TRIM(Sheet3!$C37),3)="250",250, IF(RIGHT(TRIM(Sheet3!$C37),2)="02",180,1))</f>
        <v>0.16666666666666666</v>
      </c>
      <c r="M37" s="44">
        <f>SUMIFS(Sheet1!$O46:$O8928,Sheet1!$K46:$K8928,Sheet3!$C37,Sheet1!$G46:$G8928,Sheet3!M$3)/3/2/IF(RIGHT(TRIM(Sheet3!$C37),3)="250",250, IF(RIGHT(TRIM(Sheet3!$C37),2)="02",180,1))</f>
        <v>0.83333333333333337</v>
      </c>
      <c r="N37" s="44">
        <f>SUMIFS(Sheet1!$O46:$O8928,Sheet1!$K46:$K8928,Sheet3!$C37,Sheet1!$G46:$G8928,Sheet3!N$3)/3/2/IF(RIGHT(TRIM(Sheet3!$C37),3)="250",250, IF(RIGHT(TRIM(Sheet3!$C37),2)="02",180,1))</f>
        <v>0.33333333333333331</v>
      </c>
      <c r="O37" s="44">
        <f>SUMIFS(Sheet1!$O46:$O8928,Sheet1!$K46:$K8928,Sheet3!$C37,Sheet1!$G46:$G8928,Sheet3!O$3)/3/2/IF(RIGHT(TRIM(Sheet3!$C37),3)="250",250, IF(RIGHT(TRIM(Sheet3!$C37),2)="02",180,1))</f>
        <v>2.4</v>
      </c>
      <c r="P37" s="41"/>
    </row>
    <row r="38" spans="2:16" x14ac:dyDescent="0.25">
      <c r="B38" s="40"/>
      <c r="C38" s="35" t="s">
        <v>9324</v>
      </c>
      <c r="D38" s="44">
        <f t="shared" ref="D38:O38" si="3">D37 + (D36*180/250)</f>
        <v>2.46</v>
      </c>
      <c r="E38" s="44">
        <f t="shared" si="3"/>
        <v>0.96</v>
      </c>
      <c r="F38" s="44">
        <f t="shared" si="3"/>
        <v>0.43</v>
      </c>
      <c r="G38" s="44">
        <f t="shared" si="3"/>
        <v>0.92666666666666664</v>
      </c>
      <c r="H38" s="44">
        <f t="shared" si="3"/>
        <v>2.0733333333333337</v>
      </c>
      <c r="I38" s="44">
        <f t="shared" si="3"/>
        <v>2.4650000000000003</v>
      </c>
      <c r="J38" s="44">
        <f t="shared" si="3"/>
        <v>0.86333333333333329</v>
      </c>
      <c r="K38" s="44">
        <f t="shared" si="3"/>
        <v>1.8166666666666667</v>
      </c>
      <c r="L38" s="44">
        <f t="shared" si="3"/>
        <v>0.24666666666666665</v>
      </c>
      <c r="M38" s="44">
        <f t="shared" si="3"/>
        <v>1.07</v>
      </c>
      <c r="N38" s="44">
        <f t="shared" si="3"/>
        <v>0.86333333333333329</v>
      </c>
      <c r="O38" s="44">
        <f t="shared" si="3"/>
        <v>2.4933333333333332</v>
      </c>
      <c r="P38" s="41"/>
    </row>
    <row r="39" spans="2:16" x14ac:dyDescent="0.25">
      <c r="B39" s="40"/>
      <c r="C39" s="36" t="s">
        <v>2581</v>
      </c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1"/>
    </row>
    <row r="40" spans="2:16" x14ac:dyDescent="0.25">
      <c r="B40" s="40"/>
      <c r="C40" s="35" t="s">
        <v>1446</v>
      </c>
      <c r="D40" s="44">
        <f>SUMIFS(Sheet1!$O49:$O8931,Sheet1!$K49:$K8931,Sheet3!$C40,Sheet1!$G49:$G8931,Sheet3!D$3)/3/2/IF(RIGHT(TRIM(Sheet3!$C40),3)="250",250, IF(RIGHT(TRIM(Sheet3!$C40),2)="02",180,1))</f>
        <v>1.6666666666666667</v>
      </c>
      <c r="E40" s="44">
        <f>SUMIFS(Sheet1!$O49:$O8931,Sheet1!$K49:$K8931,Sheet3!$C40,Sheet1!$G49:$G8931,Sheet3!E$3)/3/2/IF(RIGHT(TRIM(Sheet3!$C40),3)="250",250, IF(RIGHT(TRIM(Sheet3!$C40),2)="02",180,1))</f>
        <v>1</v>
      </c>
      <c r="F40" s="44">
        <f>SUMIFS(Sheet1!$O49:$O8931,Sheet1!$K49:$K8931,Sheet3!$C40,Sheet1!$G49:$G8931,Sheet3!F$3)/3/2/IF(RIGHT(TRIM(Sheet3!$C40),3)="250",250, IF(RIGHT(TRIM(Sheet3!$C40),2)="02",180,1))</f>
        <v>0.83333333333333337</v>
      </c>
      <c r="G40" s="44">
        <f>SUMIFS(Sheet1!$O49:$O8931,Sheet1!$K49:$K8931,Sheet3!$C40,Sheet1!$G49:$G8931,Sheet3!G$3)/3/2/IF(RIGHT(TRIM(Sheet3!$C40),3)="250",250, IF(RIGHT(TRIM(Sheet3!$C40),2)="02",180,1))</f>
        <v>2.5</v>
      </c>
      <c r="H40" s="44">
        <f>SUMIFS(Sheet1!$O49:$O8931,Sheet1!$K49:$K8931,Sheet3!$C40,Sheet1!$G49:$G8931,Sheet3!H$3)/3/2/IF(RIGHT(TRIM(Sheet3!$C40),3)="250",250, IF(RIGHT(TRIM(Sheet3!$C40),2)="02",180,1))</f>
        <v>0.83333333333333337</v>
      </c>
      <c r="I40" s="44">
        <f>SUMIFS(Sheet1!$O49:$O8931,Sheet1!$K49:$K8931,Sheet3!$C40,Sheet1!$G49:$G8931,Sheet3!I$3)/3/2/IF(RIGHT(TRIM(Sheet3!$C40),3)="250",250, IF(RIGHT(TRIM(Sheet3!$C40),2)="02",180,1))</f>
        <v>2</v>
      </c>
      <c r="J40" s="44">
        <f>SUMIFS(Sheet1!$O49:$O8931,Sheet1!$K49:$K8931,Sheet3!$C40,Sheet1!$G49:$G8931,Sheet3!J$3)/3/2/IF(RIGHT(TRIM(Sheet3!$C40),3)="250",250, IF(RIGHT(TRIM(Sheet3!$C40),2)="02",180,1))</f>
        <v>2</v>
      </c>
      <c r="K40" s="44">
        <f>SUMIFS(Sheet1!$O49:$O8931,Sheet1!$K49:$K8931,Sheet3!$C40,Sheet1!$G49:$G8931,Sheet3!K$3)/3/2/IF(RIGHT(TRIM(Sheet3!$C40),3)="250",250, IF(RIGHT(TRIM(Sheet3!$C40),2)="02",180,1))</f>
        <v>1.8333333333333333</v>
      </c>
      <c r="L40" s="44">
        <f>SUMIFS(Sheet1!$O49:$O8931,Sheet1!$K49:$K8931,Sheet3!$C40,Sheet1!$G49:$G8931,Sheet3!L$3)/3/2/IF(RIGHT(TRIM(Sheet3!$C40),3)="250",250, IF(RIGHT(TRIM(Sheet3!$C40),2)="02",180,1))</f>
        <v>1.6666666666666667</v>
      </c>
      <c r="M40" s="44">
        <f>SUMIFS(Sheet1!$O49:$O8931,Sheet1!$K49:$K8931,Sheet3!$C40,Sheet1!$G49:$G8931,Sheet3!M$3)/3/2/IF(RIGHT(TRIM(Sheet3!$C40),3)="250",250, IF(RIGHT(TRIM(Sheet3!$C40),2)="02",180,1))</f>
        <v>1.6666666666666667</v>
      </c>
      <c r="N40" s="44">
        <f>SUMIFS(Sheet1!$O49:$O8931,Sheet1!$K49:$K8931,Sheet3!$C40,Sheet1!$G49:$G8931,Sheet3!N$3)/3/2/IF(RIGHT(TRIM(Sheet3!$C40),3)="250",250, IF(RIGHT(TRIM(Sheet3!$C40),2)="02",180,1))</f>
        <v>1.5</v>
      </c>
      <c r="O40" s="44">
        <f>SUMIFS(Sheet1!$O49:$O8931,Sheet1!$K49:$K8931,Sheet3!$C40,Sheet1!$G49:$G8931,Sheet3!O$3)/3/2/IF(RIGHT(TRIM(Sheet3!$C40),3)="250",250, IF(RIGHT(TRIM(Sheet3!$C40),2)="02",180,1))</f>
        <v>2</v>
      </c>
      <c r="P40" s="41"/>
    </row>
    <row r="41" spans="2:16" x14ac:dyDescent="0.25">
      <c r="B41" s="40"/>
      <c r="C41" s="36" t="s">
        <v>165</v>
      </c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1"/>
    </row>
    <row r="42" spans="2:16" x14ac:dyDescent="0.25">
      <c r="B42" s="40"/>
      <c r="C42" s="35" t="s">
        <v>185</v>
      </c>
      <c r="D42" s="44">
        <f>SUMIFS(Sheet1!$O52:$O8934,Sheet1!$K52:$K8934,Sheet3!$C42,Sheet1!$G52:$G8934,Sheet3!D$3)/3/2/IF(RIGHT(TRIM(Sheet3!$C42),3)="250",250, IF(RIGHT(TRIM(Sheet3!$C42),2)="02",180,1))</f>
        <v>0.33333333333333331</v>
      </c>
      <c r="E42" s="44">
        <f>SUMIFS(Sheet1!$O52:$O8934,Sheet1!$K52:$K8934,Sheet3!$C42,Sheet1!$G52:$G8934,Sheet3!E$3)/3/2/IF(RIGHT(TRIM(Sheet3!$C42),3)="250",250, IF(RIGHT(TRIM(Sheet3!$C42),2)="02",180,1))</f>
        <v>0.5</v>
      </c>
      <c r="F42" s="44">
        <f>SUMIFS(Sheet1!$O52:$O8934,Sheet1!$K52:$K8934,Sheet3!$C42,Sheet1!$G52:$G8934,Sheet3!F$3)/3/2/IF(RIGHT(TRIM(Sheet3!$C42),3)="250",250, IF(RIGHT(TRIM(Sheet3!$C42),2)="02",180,1))</f>
        <v>0</v>
      </c>
      <c r="G42" s="44">
        <f>SUMIFS(Sheet1!$O52:$O8934,Sheet1!$K52:$K8934,Sheet3!$C42,Sheet1!$G52:$G8934,Sheet3!G$3)/3/2/IF(RIGHT(TRIM(Sheet3!$C42),3)="250",250, IF(RIGHT(TRIM(Sheet3!$C42),2)="02",180,1))</f>
        <v>0</v>
      </c>
      <c r="H42" s="44">
        <f>SUMIFS(Sheet1!$O52:$O8934,Sheet1!$K52:$K8934,Sheet3!$C42,Sheet1!$G52:$G8934,Sheet3!H$3)/3/2/IF(RIGHT(TRIM(Sheet3!$C42),3)="250",250, IF(RIGHT(TRIM(Sheet3!$C42),2)="02",180,1))</f>
        <v>1.9233333333333333</v>
      </c>
      <c r="I42" s="44">
        <f>SUMIFS(Sheet1!$O52:$O8934,Sheet1!$K52:$K8934,Sheet3!$C42,Sheet1!$G52:$G8934,Sheet3!I$3)/3/2/IF(RIGHT(TRIM(Sheet3!$C42),3)="250",250, IF(RIGHT(TRIM(Sheet3!$C42),2)="02",180,1))</f>
        <v>0.66666666666666663</v>
      </c>
      <c r="J42" s="44">
        <f>SUMIFS(Sheet1!$O52:$O8934,Sheet1!$K52:$K8934,Sheet3!$C42,Sheet1!$G52:$G8934,Sheet3!J$3)/3/2/IF(RIGHT(TRIM(Sheet3!$C42),3)="250",250, IF(RIGHT(TRIM(Sheet3!$C42),2)="02",180,1))</f>
        <v>0.5</v>
      </c>
      <c r="K42" s="44">
        <f>SUMIFS(Sheet1!$O52:$O8934,Sheet1!$K52:$K8934,Sheet3!$C42,Sheet1!$G52:$G8934,Sheet3!K$3)/3/2/IF(RIGHT(TRIM(Sheet3!$C42),3)="250",250, IF(RIGHT(TRIM(Sheet3!$C42),2)="02",180,1))</f>
        <v>1.1666666666666667</v>
      </c>
      <c r="L42" s="44">
        <f>SUMIFS(Sheet1!$O52:$O8934,Sheet1!$K52:$K8934,Sheet3!$C42,Sheet1!$G52:$G8934,Sheet3!L$3)/3/2/IF(RIGHT(TRIM(Sheet3!$C42),3)="250",250, IF(RIGHT(TRIM(Sheet3!$C42),2)="02",180,1))</f>
        <v>0</v>
      </c>
      <c r="M42" s="44">
        <f>SUMIFS(Sheet1!$O52:$O8934,Sheet1!$K52:$K8934,Sheet3!$C42,Sheet1!$G52:$G8934,Sheet3!M$3)/3/2/IF(RIGHT(TRIM(Sheet3!$C42),3)="250",250, IF(RIGHT(TRIM(Sheet3!$C42),2)="02",180,1))</f>
        <v>0.5</v>
      </c>
      <c r="N42" s="44">
        <f>SUMIFS(Sheet1!$O52:$O8934,Sheet1!$K52:$K8934,Sheet3!$C42,Sheet1!$G52:$G8934,Sheet3!N$3)/3/2/IF(RIGHT(TRIM(Sheet3!$C42),3)="250",250, IF(RIGHT(TRIM(Sheet3!$C42),2)="02",180,1))</f>
        <v>0.33333333333333331</v>
      </c>
      <c r="O42" s="44">
        <f>SUMIFS(Sheet1!$O52:$O8934,Sheet1!$K52:$K8934,Sheet3!$C42,Sheet1!$G52:$G8934,Sheet3!O$3)/3/2/IF(RIGHT(TRIM(Sheet3!$C42),3)="250",250, IF(RIGHT(TRIM(Sheet3!$C42),2)="02",180,1))</f>
        <v>0.5</v>
      </c>
      <c r="P42" s="41"/>
    </row>
    <row r="43" spans="2:16" x14ac:dyDescent="0.25">
      <c r="B43" s="40"/>
      <c r="C43" s="35" t="s">
        <v>164</v>
      </c>
      <c r="D43" s="44">
        <f>SUMIFS(Sheet1!$O53:$O8935,Sheet1!$K53:$K8935,Sheet3!$C43,Sheet1!$G53:$G8935,Sheet3!D$3)/3/2/IF(RIGHT(TRIM(Sheet3!$C43),3)="250",250, IF(RIGHT(TRIM(Sheet3!$C43),2)="02",180,1))</f>
        <v>0.75</v>
      </c>
      <c r="E43" s="44">
        <f>SUMIFS(Sheet1!$O53:$O8935,Sheet1!$K53:$K8935,Sheet3!$C43,Sheet1!$G53:$G8935,Sheet3!E$3)/3/2/IF(RIGHT(TRIM(Sheet3!$C43),3)="250",250, IF(RIGHT(TRIM(Sheet3!$C43),2)="02",180,1))</f>
        <v>0.33333333333333331</v>
      </c>
      <c r="F43" s="44">
        <f>SUMIFS(Sheet1!$O53:$O8935,Sheet1!$K53:$K8935,Sheet3!$C43,Sheet1!$G53:$G8935,Sheet3!F$3)/3/2/IF(RIGHT(TRIM(Sheet3!$C43),3)="250",250, IF(RIGHT(TRIM(Sheet3!$C43),2)="02",180,1))</f>
        <v>0.33333333333333331</v>
      </c>
      <c r="G43" s="44">
        <f>SUMIFS(Sheet1!$O53:$O8935,Sheet1!$K53:$K8935,Sheet3!$C43,Sheet1!$G53:$G8935,Sheet3!G$3)/3/2/IF(RIGHT(TRIM(Sheet3!$C43),3)="250",250, IF(RIGHT(TRIM(Sheet3!$C43),2)="02",180,1))</f>
        <v>0.33333333333333331</v>
      </c>
      <c r="H43" s="44">
        <f>SUMIFS(Sheet1!$O53:$O8935,Sheet1!$K53:$K8935,Sheet3!$C43,Sheet1!$G53:$G8935,Sheet3!H$3)/3/2/IF(RIGHT(TRIM(Sheet3!$C43),3)="250",250, IF(RIGHT(TRIM(Sheet3!$C43),2)="02",180,1))</f>
        <v>0.5</v>
      </c>
      <c r="I43" s="44">
        <f>SUMIFS(Sheet1!$O53:$O8935,Sheet1!$K53:$K8935,Sheet3!$C43,Sheet1!$G53:$G8935,Sheet3!I$3)/3/2/IF(RIGHT(TRIM(Sheet3!$C43),3)="250",250, IF(RIGHT(TRIM(Sheet3!$C43),2)="02",180,1))</f>
        <v>0.83333333333333337</v>
      </c>
      <c r="J43" s="44">
        <f>SUMIFS(Sheet1!$O53:$O8935,Sheet1!$K53:$K8935,Sheet3!$C43,Sheet1!$G53:$G8935,Sheet3!J$3)/3/2/IF(RIGHT(TRIM(Sheet3!$C43),3)="250",250, IF(RIGHT(TRIM(Sheet3!$C43),2)="02",180,1))</f>
        <v>1.212962962962963</v>
      </c>
      <c r="K43" s="44">
        <f>SUMIFS(Sheet1!$O53:$O8935,Sheet1!$K53:$K8935,Sheet3!$C43,Sheet1!$G53:$G8935,Sheet3!K$3)/3/2/IF(RIGHT(TRIM(Sheet3!$C43),3)="250",250, IF(RIGHT(TRIM(Sheet3!$C43),2)="02",180,1))</f>
        <v>0.52777777777777779</v>
      </c>
      <c r="L43" s="44">
        <f>SUMIFS(Sheet1!$O53:$O8935,Sheet1!$K53:$K8935,Sheet3!$C43,Sheet1!$G53:$G8935,Sheet3!L$3)/3/2/IF(RIGHT(TRIM(Sheet3!$C43),3)="250",250, IF(RIGHT(TRIM(Sheet3!$C43),2)="02",180,1))</f>
        <v>0.55555555555555558</v>
      </c>
      <c r="M43" s="44">
        <f>SUMIFS(Sheet1!$O53:$O8935,Sheet1!$K53:$K8935,Sheet3!$C43,Sheet1!$G53:$G8935,Sheet3!M$3)/3/2/IF(RIGHT(TRIM(Sheet3!$C43),3)="250",250, IF(RIGHT(TRIM(Sheet3!$C43),2)="02",180,1))</f>
        <v>1.0925925925925926</v>
      </c>
      <c r="N43" s="44">
        <f>SUMIFS(Sheet1!$O53:$O8935,Sheet1!$K53:$K8935,Sheet3!$C43,Sheet1!$G53:$G8935,Sheet3!N$3)/3/2/IF(RIGHT(TRIM(Sheet3!$C43),3)="250",250, IF(RIGHT(TRIM(Sheet3!$C43),2)="02",180,1))</f>
        <v>1.6435185185185184</v>
      </c>
      <c r="O43" s="44">
        <f>SUMIFS(Sheet1!$O53:$O8935,Sheet1!$K53:$K8935,Sheet3!$C43,Sheet1!$G53:$G8935,Sheet3!O$3)/3/2/IF(RIGHT(TRIM(Sheet3!$C43),3)="250",250, IF(RIGHT(TRIM(Sheet3!$C43),2)="02",180,1))</f>
        <v>1.6666666666666667</v>
      </c>
      <c r="P43" s="41"/>
    </row>
    <row r="44" spans="2:16" x14ac:dyDescent="0.25">
      <c r="B44" s="40"/>
      <c r="C44" s="36" t="s">
        <v>602</v>
      </c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1"/>
    </row>
    <row r="45" spans="2:16" x14ac:dyDescent="0.25">
      <c r="B45" s="40"/>
      <c r="C45" s="35" t="s">
        <v>1501</v>
      </c>
      <c r="D45" s="44">
        <f>SUMIFS(Sheet1!$O56:$O8938,Sheet1!$K56:$K8938,Sheet3!$C45,Sheet1!$G56:$G8938,Sheet3!D$3)/3/2/IF(RIGHT(TRIM(Sheet3!$C45),3)="250",250, IF(RIGHT(TRIM(Sheet3!$C45),2)="02",180,1))</f>
        <v>1.3888888888888888E-2</v>
      </c>
      <c r="E45" s="44">
        <f>SUMIFS(Sheet1!$O56:$O8938,Sheet1!$K56:$K8938,Sheet3!$C45,Sheet1!$G56:$G8938,Sheet3!E$3)/3/2/IF(RIGHT(TRIM(Sheet3!$C45),3)="250",250, IF(RIGHT(TRIM(Sheet3!$C45),2)="02",180,1))</f>
        <v>0</v>
      </c>
      <c r="F45" s="44">
        <f>SUMIFS(Sheet1!$O56:$O8938,Sheet1!$K56:$K8938,Sheet3!$C45,Sheet1!$G56:$G8938,Sheet3!F$3)/3/2/IF(RIGHT(TRIM(Sheet3!$C45),3)="250",250, IF(RIGHT(TRIM(Sheet3!$C45),2)="02",180,1))</f>
        <v>0.16666666666666666</v>
      </c>
      <c r="G45" s="44">
        <f>SUMIFS(Sheet1!$O56:$O8938,Sheet1!$K56:$K8938,Sheet3!$C45,Sheet1!$G56:$G8938,Sheet3!G$3)/3/2/IF(RIGHT(TRIM(Sheet3!$C45),3)="250",250, IF(RIGHT(TRIM(Sheet3!$C45),2)="02",180,1))</f>
        <v>0.22222222222222221</v>
      </c>
      <c r="H45" s="44">
        <f>SUMIFS(Sheet1!$O56:$O8938,Sheet1!$K56:$K8938,Sheet3!$C45,Sheet1!$G56:$G8938,Sheet3!H$3)/3/2/IF(RIGHT(TRIM(Sheet3!$C45),3)="250",250, IF(RIGHT(TRIM(Sheet3!$C45),2)="02",180,1))</f>
        <v>0.52777777777777779</v>
      </c>
      <c r="I45" s="44">
        <f>SUMIFS(Sheet1!$O56:$O8938,Sheet1!$K56:$K8938,Sheet3!$C45,Sheet1!$G56:$G8938,Sheet3!I$3)/3/2/IF(RIGHT(TRIM(Sheet3!$C45),3)="250",250, IF(RIGHT(TRIM(Sheet3!$C45),2)="02",180,1))</f>
        <v>0.47222222222222221</v>
      </c>
      <c r="J45" s="44">
        <f>SUMIFS(Sheet1!$O56:$O8938,Sheet1!$K56:$K8938,Sheet3!$C45,Sheet1!$G56:$G8938,Sheet3!J$3)/3/2/IF(RIGHT(TRIM(Sheet3!$C45),3)="250",250, IF(RIGHT(TRIM(Sheet3!$C45),2)="02",180,1))</f>
        <v>5.0925925925925923E-2</v>
      </c>
      <c r="K45" s="44">
        <f>SUMIFS(Sheet1!$O56:$O8938,Sheet1!$K56:$K8938,Sheet3!$C45,Sheet1!$G56:$G8938,Sheet3!K$3)/3/2/IF(RIGHT(TRIM(Sheet3!$C45),3)="250",250, IF(RIGHT(TRIM(Sheet3!$C45),2)="02",180,1))</f>
        <v>0.3611111111111111</v>
      </c>
      <c r="L45" s="44">
        <f>SUMIFS(Sheet1!$O56:$O8938,Sheet1!$K56:$K8938,Sheet3!$C45,Sheet1!$G56:$G8938,Sheet3!L$3)/3/2/IF(RIGHT(TRIM(Sheet3!$C45),3)="250",250, IF(RIGHT(TRIM(Sheet3!$C45),2)="02",180,1))</f>
        <v>0.16666666666666666</v>
      </c>
      <c r="M45" s="44">
        <f>SUMIFS(Sheet1!$O56:$O8938,Sheet1!$K56:$K8938,Sheet3!$C45,Sheet1!$G56:$G8938,Sheet3!M$3)/3/2/IF(RIGHT(TRIM(Sheet3!$C45),3)="250",250, IF(RIGHT(TRIM(Sheet3!$C45),2)="02",180,1))</f>
        <v>5.5555555555555552E-2</v>
      </c>
      <c r="N45" s="44">
        <f>SUMIFS(Sheet1!$O56:$O8938,Sheet1!$K56:$K8938,Sheet3!$C45,Sheet1!$G56:$G8938,Sheet3!N$3)/3/2/IF(RIGHT(TRIM(Sheet3!$C45),3)="250",250, IF(RIGHT(TRIM(Sheet3!$C45),2)="02",180,1))</f>
        <v>0</v>
      </c>
      <c r="O45" s="44">
        <f>SUMIFS(Sheet1!$O56:$O8938,Sheet1!$K56:$K8938,Sheet3!$C45,Sheet1!$G56:$G8938,Sheet3!O$3)/3/2/IF(RIGHT(TRIM(Sheet3!$C45),3)="250",250, IF(RIGHT(TRIM(Sheet3!$C45),2)="02",180,1))</f>
        <v>9.7222222222222224E-2</v>
      </c>
      <c r="P45" s="41"/>
    </row>
    <row r="46" spans="2:16" x14ac:dyDescent="0.25">
      <c r="B46" s="40"/>
      <c r="C46" s="35" t="s">
        <v>560</v>
      </c>
      <c r="D46" s="44">
        <f>SUMIFS(Sheet1!$O57:$O8939,Sheet1!$K57:$K8939,Sheet3!$C46,Sheet1!$G57:$G8939,Sheet3!D$3)/3/2/IF(RIGHT(TRIM(Sheet3!$C46),3)="250",250, IF(RIGHT(TRIM(Sheet3!$C46),2)="02",180,1))</f>
        <v>2.3333333333333335</v>
      </c>
      <c r="E46" s="44">
        <f>SUMIFS(Sheet1!$O57:$O8939,Sheet1!$K57:$K8939,Sheet3!$C46,Sheet1!$G57:$G8939,Sheet3!E$3)/3/2/IF(RIGHT(TRIM(Sheet3!$C46),3)="250",250, IF(RIGHT(TRIM(Sheet3!$C46),2)="02",180,1))</f>
        <v>1</v>
      </c>
      <c r="F46" s="44">
        <f>SUMIFS(Sheet1!$O57:$O8939,Sheet1!$K57:$K8939,Sheet3!$C46,Sheet1!$G57:$G8939,Sheet3!F$3)/3/2/IF(RIGHT(TRIM(Sheet3!$C46),3)="250",250, IF(RIGHT(TRIM(Sheet3!$C46),2)="02",180,1))</f>
        <v>0</v>
      </c>
      <c r="G46" s="44">
        <f>SUMIFS(Sheet1!$O57:$O8939,Sheet1!$K57:$K8939,Sheet3!$C46,Sheet1!$G57:$G8939,Sheet3!G$3)/3/2/IF(RIGHT(TRIM(Sheet3!$C46),3)="250",250, IF(RIGHT(TRIM(Sheet3!$C46),2)="02",180,1))</f>
        <v>1.6666666666666667</v>
      </c>
      <c r="H46" s="44">
        <f>SUMIFS(Sheet1!$O57:$O8939,Sheet1!$K57:$K8939,Sheet3!$C46,Sheet1!$G57:$G8939,Sheet3!H$3)/3/2/IF(RIGHT(TRIM(Sheet3!$C46),3)="250",250, IF(RIGHT(TRIM(Sheet3!$C46),2)="02",180,1))</f>
        <v>0</v>
      </c>
      <c r="I46" s="44">
        <f>SUMIFS(Sheet1!$O57:$O8939,Sheet1!$K57:$K8939,Sheet3!$C46,Sheet1!$G57:$G8939,Sheet3!I$3)/3/2/IF(RIGHT(TRIM(Sheet3!$C46),3)="250",250, IF(RIGHT(TRIM(Sheet3!$C46),2)="02",180,1))</f>
        <v>0.33333333333333331</v>
      </c>
      <c r="J46" s="44">
        <f>SUMIFS(Sheet1!$O57:$O8939,Sheet1!$K57:$K8939,Sheet3!$C46,Sheet1!$G57:$G8939,Sheet3!J$3)/3/2/IF(RIGHT(TRIM(Sheet3!$C46),3)="250",250, IF(RIGHT(TRIM(Sheet3!$C46),2)="02",180,1))</f>
        <v>1.5266666666666668</v>
      </c>
      <c r="K46" s="44">
        <f>SUMIFS(Sheet1!$O57:$O8939,Sheet1!$K57:$K8939,Sheet3!$C46,Sheet1!$G57:$G8939,Sheet3!K$3)/3/2/IF(RIGHT(TRIM(Sheet3!$C46),3)="250",250, IF(RIGHT(TRIM(Sheet3!$C46),2)="02",180,1))</f>
        <v>5.5</v>
      </c>
      <c r="L46" s="44">
        <f>SUMIFS(Sheet1!$O57:$O8939,Sheet1!$K57:$K8939,Sheet3!$C46,Sheet1!$G57:$G8939,Sheet3!L$3)/3/2/IF(RIGHT(TRIM(Sheet3!$C46),3)="250",250, IF(RIGHT(TRIM(Sheet3!$C46),2)="02",180,1))</f>
        <v>0.16666666666666666</v>
      </c>
      <c r="M46" s="44">
        <f>SUMIFS(Sheet1!$O57:$O8939,Sheet1!$K57:$K8939,Sheet3!$C46,Sheet1!$G57:$G8939,Sheet3!M$3)/3/2/IF(RIGHT(TRIM(Sheet3!$C46),3)="250",250, IF(RIGHT(TRIM(Sheet3!$C46),2)="02",180,1))</f>
        <v>1.5</v>
      </c>
      <c r="N46" s="44">
        <f>SUMIFS(Sheet1!$O57:$O8939,Sheet1!$K57:$K8939,Sheet3!$C46,Sheet1!$G57:$G8939,Sheet3!N$3)/3/2/IF(RIGHT(TRIM(Sheet3!$C46),3)="250",250, IF(RIGHT(TRIM(Sheet3!$C46),2)="02",180,1))</f>
        <v>0</v>
      </c>
      <c r="O46" s="44">
        <f>SUMIFS(Sheet1!$O57:$O8939,Sheet1!$K57:$K8939,Sheet3!$C46,Sheet1!$G57:$G8939,Sheet3!O$3)/3/2/IF(RIGHT(TRIM(Sheet3!$C46),3)="250",250, IF(RIGHT(TRIM(Sheet3!$C46),2)="02",180,1))</f>
        <v>0</v>
      </c>
      <c r="P46" s="41"/>
    </row>
    <row r="47" spans="2:16" x14ac:dyDescent="0.25">
      <c r="B47" s="40"/>
      <c r="C47" s="36" t="s">
        <v>201</v>
      </c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1"/>
    </row>
    <row r="48" spans="2:16" x14ac:dyDescent="0.25">
      <c r="B48" s="40"/>
      <c r="C48" s="35" t="s">
        <v>200</v>
      </c>
      <c r="D48" s="44">
        <f>SUMIFS(Sheet1!$O59:$O8941,Sheet1!$K59:$K8941,Sheet3!$C48,Sheet1!$G59:$G8941,Sheet3!D$3)/3/2/IF(RIGHT(TRIM(Sheet3!$C48),3)="250",250, IF(RIGHT(TRIM(Sheet3!$C48),2)="02",180,1))</f>
        <v>2.314814814814815E-2</v>
      </c>
      <c r="E48" s="44">
        <f>SUMIFS(Sheet1!$O59:$O8941,Sheet1!$K59:$K8941,Sheet3!$C48,Sheet1!$G59:$G8941,Sheet3!E$3)/3/2/IF(RIGHT(TRIM(Sheet3!$C48),3)="250",250, IF(RIGHT(TRIM(Sheet3!$C48),2)="02",180,1))</f>
        <v>9.2592592592592605E-3</v>
      </c>
      <c r="F48" s="44">
        <f>SUMIFS(Sheet1!$O59:$O8941,Sheet1!$K59:$K8941,Sheet3!$C48,Sheet1!$G59:$G8941,Sheet3!F$3)/3/2/IF(RIGHT(TRIM(Sheet3!$C48),3)="250",250, IF(RIGHT(TRIM(Sheet3!$C48),2)="02",180,1))</f>
        <v>6.4814814814814811E-2</v>
      </c>
      <c r="G48" s="44">
        <f>SUMIFS(Sheet1!$O59:$O8941,Sheet1!$K59:$K8941,Sheet3!$C48,Sheet1!$G59:$G8941,Sheet3!G$3)/3/2/IF(RIGHT(TRIM(Sheet3!$C48),3)="250",250, IF(RIGHT(TRIM(Sheet3!$C48),2)="02",180,1))</f>
        <v>7.4074074074074084E-2</v>
      </c>
      <c r="H48" s="44">
        <f>SUMIFS(Sheet1!$O59:$O8941,Sheet1!$K59:$K8941,Sheet3!$C48,Sheet1!$G59:$G8941,Sheet3!H$3)/3/2/IF(RIGHT(TRIM(Sheet3!$C48),3)="250",250, IF(RIGHT(TRIM(Sheet3!$C48),2)="02",180,1))</f>
        <v>7.8703703703703706E-2</v>
      </c>
      <c r="I48" s="44">
        <f>SUMIFS(Sheet1!$O59:$O8941,Sheet1!$K59:$K8941,Sheet3!$C48,Sheet1!$G59:$G8941,Sheet3!I$3)/3/2/IF(RIGHT(TRIM(Sheet3!$C48),3)="250",250, IF(RIGHT(TRIM(Sheet3!$C48),2)="02",180,1))</f>
        <v>9.2592592592592605E-3</v>
      </c>
      <c r="J48" s="44">
        <f>SUMIFS(Sheet1!$O59:$O8941,Sheet1!$K59:$K8941,Sheet3!$C48,Sheet1!$G59:$G8941,Sheet3!J$3)/3/2/IF(RIGHT(TRIM(Sheet3!$C48),3)="250",250, IF(RIGHT(TRIM(Sheet3!$C48),2)="02",180,1))</f>
        <v>1.6203703703703703E-2</v>
      </c>
      <c r="K48" s="44">
        <f>SUMIFS(Sheet1!$O59:$O8941,Sheet1!$K59:$K8941,Sheet3!$C48,Sheet1!$G59:$G8941,Sheet3!K$3)/3/2/IF(RIGHT(TRIM(Sheet3!$C48),3)="250",250, IF(RIGHT(TRIM(Sheet3!$C48),2)="02",180,1))</f>
        <v>6.9444444444444441E-3</v>
      </c>
      <c r="L48" s="44">
        <f>SUMIFS(Sheet1!$O59:$O8941,Sheet1!$K59:$K8941,Sheet3!$C48,Sheet1!$G59:$G8941,Sheet3!L$3)/3/2/IF(RIGHT(TRIM(Sheet3!$C48),3)="250",250, IF(RIGHT(TRIM(Sheet3!$C48),2)="02",180,1))</f>
        <v>0</v>
      </c>
      <c r="M48" s="44">
        <f>SUMIFS(Sheet1!$O59:$O8941,Sheet1!$K59:$K8941,Sheet3!$C48,Sheet1!$G59:$G8941,Sheet3!M$3)/3/2/IF(RIGHT(TRIM(Sheet3!$C48),3)="250",250, IF(RIGHT(TRIM(Sheet3!$C48),2)="02",180,1))</f>
        <v>9.2592592592592605E-3</v>
      </c>
      <c r="N48" s="44">
        <f>SUMIFS(Sheet1!$O59:$O8941,Sheet1!$K59:$K8941,Sheet3!$C48,Sheet1!$G59:$G8941,Sheet3!N$3)/3/2/IF(RIGHT(TRIM(Sheet3!$C48),3)="250",250, IF(RIGHT(TRIM(Sheet3!$C48),2)="02",180,1))</f>
        <v>0</v>
      </c>
      <c r="O48" s="44">
        <f>SUMIFS(Sheet1!$O59:$O8941,Sheet1!$K59:$K8941,Sheet3!$C48,Sheet1!$G59:$G8941,Sheet3!O$3)/3/2/IF(RIGHT(TRIM(Sheet3!$C48),3)="250",250, IF(RIGHT(TRIM(Sheet3!$C48),2)="02",180,1))</f>
        <v>0</v>
      </c>
      <c r="P48" s="41"/>
    </row>
    <row r="49" spans="2:16" x14ac:dyDescent="0.25">
      <c r="B49" s="40"/>
      <c r="C49" s="35" t="s">
        <v>220</v>
      </c>
      <c r="D49" s="44">
        <f>SUMIFS(Sheet1!$O61:$O8943,Sheet1!$K61:$K8943,Sheet3!$C49,Sheet1!$G61:$G8943,Sheet3!D$3)/3/2/IF(RIGHT(TRIM(Sheet3!$C49),3)="250",250, IF(RIGHT(TRIM(Sheet3!$C49),2)="02",180,1))</f>
        <v>0.5</v>
      </c>
      <c r="E49" s="44">
        <f>SUMIFS(Sheet1!$O61:$O8943,Sheet1!$K61:$K8943,Sheet3!$C49,Sheet1!$G61:$G8943,Sheet3!E$3)/3/2/IF(RIGHT(TRIM(Sheet3!$C49),3)="250",250, IF(RIGHT(TRIM(Sheet3!$C49),2)="02",180,1))</f>
        <v>1.1666666666666667</v>
      </c>
      <c r="F49" s="44">
        <f>SUMIFS(Sheet1!$O61:$O8943,Sheet1!$K61:$K8943,Sheet3!$C49,Sheet1!$G61:$G8943,Sheet3!F$3)/3/2/IF(RIGHT(TRIM(Sheet3!$C49),3)="250",250, IF(RIGHT(TRIM(Sheet3!$C49),2)="02",180,1))</f>
        <v>0.66666666666666663</v>
      </c>
      <c r="G49" s="44">
        <f>SUMIFS(Sheet1!$O61:$O8943,Sheet1!$K61:$K8943,Sheet3!$C49,Sheet1!$G61:$G8943,Sheet3!G$3)/3/2/IF(RIGHT(TRIM(Sheet3!$C49),3)="250",250, IF(RIGHT(TRIM(Sheet3!$C49),2)="02",180,1))</f>
        <v>1.62</v>
      </c>
      <c r="H49" s="44">
        <f>SUMIFS(Sheet1!$O61:$O8943,Sheet1!$K61:$K8943,Sheet3!$C49,Sheet1!$G61:$G8943,Sheet3!H$3)/3/2/IF(RIGHT(TRIM(Sheet3!$C49),3)="250",250, IF(RIGHT(TRIM(Sheet3!$C49),2)="02",180,1))</f>
        <v>1.6666666666666667</v>
      </c>
      <c r="I49" s="44">
        <f>SUMIFS(Sheet1!$O61:$O8943,Sheet1!$K61:$K8943,Sheet3!$C49,Sheet1!$G61:$G8943,Sheet3!I$3)/3/2/IF(RIGHT(TRIM(Sheet3!$C49),3)="250",250, IF(RIGHT(TRIM(Sheet3!$C49),2)="02",180,1))</f>
        <v>0.5</v>
      </c>
      <c r="J49" s="44">
        <f>SUMIFS(Sheet1!$O61:$O8943,Sheet1!$K61:$K8943,Sheet3!$C49,Sheet1!$G61:$G8943,Sheet3!J$3)/3/2/IF(RIGHT(TRIM(Sheet3!$C49),3)="250",250, IF(RIGHT(TRIM(Sheet3!$C49),2)="02",180,1))</f>
        <v>0.66666666666666663</v>
      </c>
      <c r="K49" s="44">
        <f>SUMIFS(Sheet1!$O61:$O8943,Sheet1!$K61:$K8943,Sheet3!$C49,Sheet1!$G61:$G8943,Sheet3!K$3)/3/2/IF(RIGHT(TRIM(Sheet3!$C49),3)="250",250, IF(RIGHT(TRIM(Sheet3!$C49),2)="02",180,1))</f>
        <v>0.33333333333333331</v>
      </c>
      <c r="L49" s="44">
        <f>SUMIFS(Sheet1!$O61:$O8943,Sheet1!$K61:$K8943,Sheet3!$C49,Sheet1!$G61:$G8943,Sheet3!L$3)/3/2/IF(RIGHT(TRIM(Sheet3!$C49),3)="250",250, IF(RIGHT(TRIM(Sheet3!$C49),2)="02",180,1))</f>
        <v>0.16666666666666666</v>
      </c>
      <c r="M49" s="44">
        <f>SUMIFS(Sheet1!$O61:$O8943,Sheet1!$K61:$K8943,Sheet3!$C49,Sheet1!$G61:$G8943,Sheet3!M$3)/3/2/IF(RIGHT(TRIM(Sheet3!$C49),3)="250",250, IF(RIGHT(TRIM(Sheet3!$C49),2)="02",180,1))</f>
        <v>0.16666666666666666</v>
      </c>
      <c r="N49" s="44">
        <f>SUMIFS(Sheet1!$O61:$O8943,Sheet1!$K61:$K8943,Sheet3!$C49,Sheet1!$G61:$G8943,Sheet3!N$3)/3/2/IF(RIGHT(TRIM(Sheet3!$C49),3)="250",250, IF(RIGHT(TRIM(Sheet3!$C49),2)="02",180,1))</f>
        <v>0</v>
      </c>
      <c r="O49" s="44">
        <f>SUMIFS(Sheet1!$O61:$O8943,Sheet1!$K61:$K8943,Sheet3!$C49,Sheet1!$G61:$G8943,Sheet3!O$3)/3/2/IF(RIGHT(TRIM(Sheet3!$C49),3)="250",250, IF(RIGHT(TRIM(Sheet3!$C49),2)="02",180,1))</f>
        <v>0.5</v>
      </c>
      <c r="P49" s="41"/>
    </row>
    <row r="50" spans="2:16" x14ac:dyDescent="0.25">
      <c r="B50" s="40"/>
      <c r="C50" s="36" t="s">
        <v>1815</v>
      </c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1"/>
    </row>
    <row r="51" spans="2:16" x14ac:dyDescent="0.25">
      <c r="B51" s="40"/>
      <c r="C51" s="35" t="s">
        <v>1820</v>
      </c>
      <c r="D51" s="44">
        <f>SUMIFS(Sheet1!$O63:$O8945,Sheet1!$K63:$K8945,Sheet3!$C51,Sheet1!$G63:$G8945,Sheet3!D$3)/3/2/IF(RIGHT(TRIM(Sheet3!$C51),3)="250",250, IF(RIGHT(TRIM(Sheet3!$C51),2)="02",180,1))</f>
        <v>0</v>
      </c>
      <c r="E51" s="44">
        <f>SUMIFS(Sheet1!$O63:$O8945,Sheet1!$K63:$K8945,Sheet3!$C51,Sheet1!$G63:$G8945,Sheet3!E$3)/3/2/IF(RIGHT(TRIM(Sheet3!$C51),3)="250",250, IF(RIGHT(TRIM(Sheet3!$C51),2)="02",180,1))</f>
        <v>0</v>
      </c>
      <c r="F51" s="44">
        <f>SUMIFS(Sheet1!$O63:$O8945,Sheet1!$K63:$K8945,Sheet3!$C51,Sheet1!$G63:$G8945,Sheet3!F$3)/3/2/IF(RIGHT(TRIM(Sheet3!$C51),3)="250",250, IF(RIGHT(TRIM(Sheet3!$C51),2)="02",180,1))</f>
        <v>0</v>
      </c>
      <c r="G51" s="44">
        <f>SUMIFS(Sheet1!$O63:$O8945,Sheet1!$K63:$K8945,Sheet3!$C51,Sheet1!$G63:$G8945,Sheet3!G$3)/3/2/IF(RIGHT(TRIM(Sheet3!$C51),3)="250",250, IF(RIGHT(TRIM(Sheet3!$C51),2)="02",180,1))</f>
        <v>0</v>
      </c>
      <c r="H51" s="44">
        <f>SUMIFS(Sheet1!$O63:$O8945,Sheet1!$K63:$K8945,Sheet3!$C51,Sheet1!$G63:$G8945,Sheet3!H$3)/3/2/IF(RIGHT(TRIM(Sheet3!$C51),3)="250",250, IF(RIGHT(TRIM(Sheet3!$C51),2)="02",180,1))</f>
        <v>0.33333333333333331</v>
      </c>
      <c r="I51" s="44">
        <f>SUMIFS(Sheet1!$O63:$O8945,Sheet1!$K63:$K8945,Sheet3!$C51,Sheet1!$G63:$G8945,Sheet3!I$3)/3/2/IF(RIGHT(TRIM(Sheet3!$C51),3)="250",250, IF(RIGHT(TRIM(Sheet3!$C51),2)="02",180,1))</f>
        <v>0.16666666666666666</v>
      </c>
      <c r="J51" s="44">
        <f>SUMIFS(Sheet1!$O63:$O8945,Sheet1!$K63:$K8945,Sheet3!$C51,Sheet1!$G63:$G8945,Sheet3!J$3)/3/2/IF(RIGHT(TRIM(Sheet3!$C51),3)="250",250, IF(RIGHT(TRIM(Sheet3!$C51),2)="02",180,1))</f>
        <v>0.33333333333333331</v>
      </c>
      <c r="K51" s="44">
        <f>SUMIFS(Sheet1!$O63:$O8945,Sheet1!$K63:$K8945,Sheet3!$C51,Sheet1!$G63:$G8945,Sheet3!K$3)/3/2/IF(RIGHT(TRIM(Sheet3!$C51),3)="250",250, IF(RIGHT(TRIM(Sheet3!$C51),2)="02",180,1))</f>
        <v>0.16666666666666666</v>
      </c>
      <c r="L51" s="44">
        <f>SUMIFS(Sheet1!$O63:$O8945,Sheet1!$K63:$K8945,Sheet3!$C51,Sheet1!$G63:$G8945,Sheet3!L$3)/3/2/IF(RIGHT(TRIM(Sheet3!$C51),3)="250",250, IF(RIGHT(TRIM(Sheet3!$C51),2)="02",180,1))</f>
        <v>0.83333333333333337</v>
      </c>
      <c r="M51" s="44">
        <f>SUMIFS(Sheet1!$O63:$O8945,Sheet1!$K63:$K8945,Sheet3!$C51,Sheet1!$G63:$G8945,Sheet3!M$3)/3/2/IF(RIGHT(TRIM(Sheet3!$C51),3)="250",250, IF(RIGHT(TRIM(Sheet3!$C51),2)="02",180,1))</f>
        <v>1</v>
      </c>
      <c r="N51" s="44">
        <f>SUMIFS(Sheet1!$O63:$O8945,Sheet1!$K63:$K8945,Sheet3!$C51,Sheet1!$G63:$G8945,Sheet3!N$3)/3/2/IF(RIGHT(TRIM(Sheet3!$C51),3)="250",250, IF(RIGHT(TRIM(Sheet3!$C51),2)="02",180,1))</f>
        <v>0</v>
      </c>
      <c r="O51" s="44">
        <f>SUMIFS(Sheet1!$O63:$O8945,Sheet1!$K63:$K8945,Sheet3!$C51,Sheet1!$G63:$G8945,Sheet3!O$3)/3/2/IF(RIGHT(TRIM(Sheet3!$C51),3)="250",250, IF(RIGHT(TRIM(Sheet3!$C51),2)="02",180,1))</f>
        <v>0.16666666666666666</v>
      </c>
      <c r="P51" s="41"/>
    </row>
    <row r="52" spans="2:16" x14ac:dyDescent="0.25">
      <c r="B52" s="40"/>
      <c r="C52" s="35" t="s">
        <v>1814</v>
      </c>
      <c r="D52" s="44">
        <f>SUMIFS(Sheet1!$O64:$O8946,Sheet1!$K64:$K8946,Sheet3!$C52,Sheet1!$G64:$G8946,Sheet3!D$3)/3/2/IF(RIGHT(TRIM(Sheet3!$C52),3)="250",250, IF(RIGHT(TRIM(Sheet3!$C52),2)="02",180,1))</f>
        <v>0.16666666666666666</v>
      </c>
      <c r="E52" s="44">
        <f>SUMIFS(Sheet1!$O64:$O8946,Sheet1!$K64:$K8946,Sheet3!$C52,Sheet1!$G64:$G8946,Sheet3!E$3)/3/2/IF(RIGHT(TRIM(Sheet3!$C52),3)="250",250, IF(RIGHT(TRIM(Sheet3!$C52),2)="02",180,1))</f>
        <v>0.5</v>
      </c>
      <c r="F52" s="44">
        <f>SUMIFS(Sheet1!$O64:$O8946,Sheet1!$K64:$K8946,Sheet3!$C52,Sheet1!$G64:$G8946,Sheet3!F$3)/3/2/IF(RIGHT(TRIM(Sheet3!$C52),3)="250",250, IF(RIGHT(TRIM(Sheet3!$C52),2)="02",180,1))</f>
        <v>0</v>
      </c>
      <c r="G52" s="44">
        <f>SUMIFS(Sheet1!$O64:$O8946,Sheet1!$K64:$K8946,Sheet3!$C52,Sheet1!$G64:$G8946,Sheet3!G$3)/3/2/IF(RIGHT(TRIM(Sheet3!$C52),3)="250",250, IF(RIGHT(TRIM(Sheet3!$C52),2)="02",180,1))</f>
        <v>1</v>
      </c>
      <c r="H52" s="44">
        <f>SUMIFS(Sheet1!$O64:$O8946,Sheet1!$K64:$K8946,Sheet3!$C52,Sheet1!$G64:$G8946,Sheet3!H$3)/3/2/IF(RIGHT(TRIM(Sheet3!$C52),3)="250",250, IF(RIGHT(TRIM(Sheet3!$C52),2)="02",180,1))</f>
        <v>1.4444444444444444</v>
      </c>
      <c r="I52" s="44">
        <f>SUMIFS(Sheet1!$O64:$O8946,Sheet1!$K64:$K8946,Sheet3!$C52,Sheet1!$G64:$G8946,Sheet3!I$3)/3/2/IF(RIGHT(TRIM(Sheet3!$C52),3)="250",250, IF(RIGHT(TRIM(Sheet3!$C52),2)="02",180,1))</f>
        <v>0.5</v>
      </c>
      <c r="J52" s="44">
        <f>SUMIFS(Sheet1!$O64:$O8946,Sheet1!$K64:$K8946,Sheet3!$C52,Sheet1!$G64:$G8946,Sheet3!J$3)/3/2/IF(RIGHT(TRIM(Sheet3!$C52),3)="250",250, IF(RIGHT(TRIM(Sheet3!$C52),2)="02",180,1))</f>
        <v>1.5</v>
      </c>
      <c r="K52" s="44">
        <f>SUMIFS(Sheet1!$O64:$O8946,Sheet1!$K64:$K8946,Sheet3!$C52,Sheet1!$G64:$G8946,Sheet3!K$3)/3/2/IF(RIGHT(TRIM(Sheet3!$C52),3)="250",250, IF(RIGHT(TRIM(Sheet3!$C52),2)="02",180,1))</f>
        <v>1.1712962962962963</v>
      </c>
      <c r="L52" s="44">
        <f>SUMIFS(Sheet1!$O64:$O8946,Sheet1!$K64:$K8946,Sheet3!$C52,Sheet1!$G64:$G8946,Sheet3!L$3)/3/2/IF(RIGHT(TRIM(Sheet3!$C52),3)="250",250, IF(RIGHT(TRIM(Sheet3!$C52),2)="02",180,1))</f>
        <v>2.3333333333333335</v>
      </c>
      <c r="M52" s="44">
        <f>SUMIFS(Sheet1!$O64:$O8946,Sheet1!$K64:$K8946,Sheet3!$C52,Sheet1!$G64:$G8946,Sheet3!M$3)/3/2/IF(RIGHT(TRIM(Sheet3!$C52),3)="250",250, IF(RIGHT(TRIM(Sheet3!$C52),2)="02",180,1))</f>
        <v>0</v>
      </c>
      <c r="N52" s="44">
        <f>SUMIFS(Sheet1!$O64:$O8946,Sheet1!$K64:$K8946,Sheet3!$C52,Sheet1!$G64:$G8946,Sheet3!N$3)/3/2/IF(RIGHT(TRIM(Sheet3!$C52),3)="250",250, IF(RIGHT(TRIM(Sheet3!$C52),2)="02",180,1))</f>
        <v>1</v>
      </c>
      <c r="O52" s="44">
        <f>SUMIFS(Sheet1!$O64:$O8946,Sheet1!$K64:$K8946,Sheet3!$C52,Sheet1!$G64:$G8946,Sheet3!O$3)/3/2/IF(RIGHT(TRIM(Sheet3!$C52),3)="250",250, IF(RIGHT(TRIM(Sheet3!$C52),2)="02",180,1))</f>
        <v>1.3333333333333333</v>
      </c>
      <c r="P52" s="41"/>
    </row>
    <row r="53" spans="2:16" x14ac:dyDescent="0.25">
      <c r="B53" s="40"/>
      <c r="C53" s="36" t="s">
        <v>1023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1"/>
    </row>
    <row r="54" spans="2:16" x14ac:dyDescent="0.25">
      <c r="B54" s="40"/>
      <c r="C54" s="35" t="s">
        <v>1022</v>
      </c>
      <c r="D54" s="44">
        <f>SUMIFS(Sheet1!$O68:$O8950,Sheet1!$K68:$K8950,Sheet3!$C54,Sheet1!$G68:$G8950,Sheet3!D$3)/3/2/IF(RIGHT(TRIM(Sheet3!$C54),3)="250",250, IF(RIGHT(TRIM(Sheet3!$C54),2)="02",180,1))</f>
        <v>0.16666666666666666</v>
      </c>
      <c r="E54" s="44">
        <f>SUMIFS(Sheet1!$O68:$O8950,Sheet1!$K68:$K8950,Sheet3!$C54,Sheet1!$G68:$G8950,Sheet3!E$3)/3/2/IF(RIGHT(TRIM(Sheet3!$C54),3)="250",250, IF(RIGHT(TRIM(Sheet3!$C54),2)="02",180,1))</f>
        <v>0.33333333333333331</v>
      </c>
      <c r="F54" s="44">
        <f>SUMIFS(Sheet1!$O68:$O8950,Sheet1!$K68:$K8950,Sheet3!$C54,Sheet1!$G68:$G8950,Sheet3!F$3)/3/2/IF(RIGHT(TRIM(Sheet3!$C54),3)="250",250, IF(RIGHT(TRIM(Sheet3!$C54),2)="02",180,1))</f>
        <v>0</v>
      </c>
      <c r="G54" s="44">
        <f>SUMIFS(Sheet1!$O68:$O8950,Sheet1!$K68:$K8950,Sheet3!$C54,Sheet1!$G68:$G8950,Sheet3!G$3)/3/2/IF(RIGHT(TRIM(Sheet3!$C54),3)="250",250, IF(RIGHT(TRIM(Sheet3!$C54),2)="02",180,1))</f>
        <v>0</v>
      </c>
      <c r="H54" s="44">
        <f>SUMIFS(Sheet1!$O68:$O8950,Sheet1!$K68:$K8950,Sheet3!$C54,Sheet1!$G68:$G8950,Sheet3!H$3)/3/2/IF(RIGHT(TRIM(Sheet3!$C54),3)="250",250, IF(RIGHT(TRIM(Sheet3!$C54),2)="02",180,1))</f>
        <v>0</v>
      </c>
      <c r="I54" s="44">
        <f>SUMIFS(Sheet1!$O68:$O8950,Sheet1!$K68:$K8950,Sheet3!$C54,Sheet1!$G68:$G8950,Sheet3!I$3)/3/2/IF(RIGHT(TRIM(Sheet3!$C54),3)="250",250, IF(RIGHT(TRIM(Sheet3!$C54),2)="02",180,1))</f>
        <v>0</v>
      </c>
      <c r="J54" s="44">
        <f>SUMIFS(Sheet1!$O68:$O8950,Sheet1!$K68:$K8950,Sheet3!$C54,Sheet1!$G68:$G8950,Sheet3!J$3)/3/2/IF(RIGHT(TRIM(Sheet3!$C54),3)="250",250, IF(RIGHT(TRIM(Sheet3!$C54),2)="02",180,1))</f>
        <v>0</v>
      </c>
      <c r="K54" s="44">
        <f>SUMIFS(Sheet1!$O68:$O8950,Sheet1!$K68:$K8950,Sheet3!$C54,Sheet1!$G68:$G8950,Sheet3!K$3)/3/2/IF(RIGHT(TRIM(Sheet3!$C54),3)="250",250, IF(RIGHT(TRIM(Sheet3!$C54),2)="02",180,1))</f>
        <v>0</v>
      </c>
      <c r="L54" s="44">
        <f>SUMIFS(Sheet1!$O68:$O8950,Sheet1!$K68:$K8950,Sheet3!$C54,Sheet1!$G68:$G8950,Sheet3!L$3)/3/2/IF(RIGHT(TRIM(Sheet3!$C54),3)="250",250, IF(RIGHT(TRIM(Sheet3!$C54),2)="02",180,1))</f>
        <v>0.16666666666666666</v>
      </c>
      <c r="M54" s="44">
        <f>SUMIFS(Sheet1!$O68:$O8950,Sheet1!$K68:$K8950,Sheet3!$C54,Sheet1!$G68:$G8950,Sheet3!M$3)/3/2/IF(RIGHT(TRIM(Sheet3!$C54),3)="250",250, IF(RIGHT(TRIM(Sheet3!$C54),2)="02",180,1))</f>
        <v>0</v>
      </c>
      <c r="N54" s="44">
        <f>SUMIFS(Sheet1!$O68:$O8950,Sheet1!$K68:$K8950,Sheet3!$C54,Sheet1!$G68:$G8950,Sheet3!N$3)/3/2/IF(RIGHT(TRIM(Sheet3!$C54),3)="250",250, IF(RIGHT(TRIM(Sheet3!$C54),2)="02",180,1))</f>
        <v>0</v>
      </c>
      <c r="O54" s="44">
        <f>SUMIFS(Sheet1!$O68:$O8950,Sheet1!$K68:$K8950,Sheet3!$C54,Sheet1!$G68:$G8950,Sheet3!O$3)/3/2/IF(RIGHT(TRIM(Sheet3!$C54),3)="250",250, IF(RIGHT(TRIM(Sheet3!$C54),2)="02",180,1))</f>
        <v>0</v>
      </c>
      <c r="P54" s="41"/>
    </row>
    <row r="55" spans="2:16" x14ac:dyDescent="0.25">
      <c r="B55" s="40"/>
      <c r="C55" s="35" t="s">
        <v>1119</v>
      </c>
      <c r="D55" s="44">
        <f>SUMIFS(Sheet1!$O69:$O8951,Sheet1!$K69:$K8951,Sheet3!$C55,Sheet1!$G69:$G8951,Sheet3!D$3)/3/2/IF(RIGHT(TRIM(Sheet3!$C55),3)="250",250, IF(RIGHT(TRIM(Sheet3!$C55),2)="02",180,1))</f>
        <v>0.77777777777777779</v>
      </c>
      <c r="E55" s="44">
        <f>SUMIFS(Sheet1!$O69:$O8951,Sheet1!$K69:$K8951,Sheet3!$C55,Sheet1!$G69:$G8951,Sheet3!E$3)/3/2/IF(RIGHT(TRIM(Sheet3!$C55),3)="250",250, IF(RIGHT(TRIM(Sheet3!$C55),2)="02",180,1))</f>
        <v>0.51851851851851849</v>
      </c>
      <c r="F55" s="44">
        <f>SUMIFS(Sheet1!$O69:$O8951,Sheet1!$K69:$K8951,Sheet3!$C55,Sheet1!$G69:$G8951,Sheet3!F$3)/3/2/IF(RIGHT(TRIM(Sheet3!$C55),3)="250",250, IF(RIGHT(TRIM(Sheet3!$C55),2)="02",180,1))</f>
        <v>0.49537037037037041</v>
      </c>
      <c r="G55" s="44">
        <f>SUMIFS(Sheet1!$O69:$O8951,Sheet1!$K69:$K8951,Sheet3!$C55,Sheet1!$G69:$G8951,Sheet3!G$3)/3/2/IF(RIGHT(TRIM(Sheet3!$C55),3)="250",250, IF(RIGHT(TRIM(Sheet3!$C55),2)="02",180,1))</f>
        <v>0.1851851851851852</v>
      </c>
      <c r="H55" s="44">
        <f>SUMIFS(Sheet1!$O69:$O8951,Sheet1!$K69:$K8951,Sheet3!$C55,Sheet1!$G69:$G8951,Sheet3!H$3)/3/2/IF(RIGHT(TRIM(Sheet3!$C55),3)="250",250, IF(RIGHT(TRIM(Sheet3!$C55),2)="02",180,1))</f>
        <v>1.863425925925926</v>
      </c>
      <c r="I55" s="44">
        <f>SUMIFS(Sheet1!$O69:$O8951,Sheet1!$K69:$K8951,Sheet3!$C55,Sheet1!$G69:$G8951,Sheet3!I$3)/3/2/IF(RIGHT(TRIM(Sheet3!$C55),3)="250",250, IF(RIGHT(TRIM(Sheet3!$C55),2)="02",180,1))</f>
        <v>1.1666666666666667</v>
      </c>
      <c r="J55" s="44">
        <f>SUMIFS(Sheet1!$O69:$O8951,Sheet1!$K69:$K8951,Sheet3!$C55,Sheet1!$G69:$G8951,Sheet3!J$3)/3/2/IF(RIGHT(TRIM(Sheet3!$C55),3)="250",250, IF(RIGHT(TRIM(Sheet3!$C55),2)="02",180,1))</f>
        <v>1.7314814814814816</v>
      </c>
      <c r="K55" s="44">
        <f>SUMIFS(Sheet1!$O69:$O8951,Sheet1!$K69:$K8951,Sheet3!$C55,Sheet1!$G69:$G8951,Sheet3!K$3)/3/2/IF(RIGHT(TRIM(Sheet3!$C55),3)="250",250, IF(RIGHT(TRIM(Sheet3!$C55),2)="02",180,1))</f>
        <v>1.9074074074074072</v>
      </c>
      <c r="L55" s="44">
        <f>SUMIFS(Sheet1!$O69:$O8951,Sheet1!$K69:$K8951,Sheet3!$C55,Sheet1!$G69:$G8951,Sheet3!L$3)/3/2/IF(RIGHT(TRIM(Sheet3!$C55),3)="250",250, IF(RIGHT(TRIM(Sheet3!$C55),2)="02",180,1))</f>
        <v>2.1018518518518516</v>
      </c>
      <c r="M55" s="44">
        <f>SUMIFS(Sheet1!$O69:$O8951,Sheet1!$K69:$K8951,Sheet3!$C55,Sheet1!$G69:$G8951,Sheet3!M$3)/3/2/IF(RIGHT(TRIM(Sheet3!$C55),3)="250",250, IF(RIGHT(TRIM(Sheet3!$C55),2)="02",180,1))</f>
        <v>0.41666666666666669</v>
      </c>
      <c r="N55" s="44">
        <f>SUMIFS(Sheet1!$O69:$O8951,Sheet1!$K69:$K8951,Sheet3!$C55,Sheet1!$G69:$G8951,Sheet3!N$3)/3/2/IF(RIGHT(TRIM(Sheet3!$C55),3)="250",250, IF(RIGHT(TRIM(Sheet3!$C55),2)="02",180,1))</f>
        <v>1.2800925925925926</v>
      </c>
      <c r="O55" s="44">
        <f>SUMIFS(Sheet1!$O69:$O8951,Sheet1!$K69:$K8951,Sheet3!$C55,Sheet1!$G69:$G8951,Sheet3!O$3)/3/2/IF(RIGHT(TRIM(Sheet3!$C55),3)="250",250, IF(RIGHT(TRIM(Sheet3!$C55),2)="02",180,1))</f>
        <v>1.5648148148148149</v>
      </c>
      <c r="P55" s="41"/>
    </row>
    <row r="56" spans="2:16" x14ac:dyDescent="0.25">
      <c r="B56" s="40"/>
      <c r="C56" s="36" t="s">
        <v>190</v>
      </c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1"/>
    </row>
    <row r="57" spans="2:16" x14ac:dyDescent="0.25">
      <c r="B57" s="40"/>
      <c r="C57" s="35" t="s">
        <v>5212</v>
      </c>
      <c r="D57" s="44">
        <f>SUMIFS(Sheet1!$O73:$O8955,Sheet1!$K73:$K8955,Sheet3!$C57,Sheet1!$G73:$G8955,Sheet3!D$3)/3/2/IF(RIGHT(TRIM(Sheet3!$C57),3)="250",250, IF(RIGHT(TRIM(Sheet3!$C57),2)="02",180,1))</f>
        <v>0</v>
      </c>
      <c r="E57" s="44">
        <f>SUMIFS(Sheet1!$O73:$O8955,Sheet1!$K73:$K8955,Sheet3!$C57,Sheet1!$G73:$G8955,Sheet3!E$3)/3/2/IF(RIGHT(TRIM(Sheet3!$C57),3)="250",250, IF(RIGHT(TRIM(Sheet3!$C57),2)="02",180,1))</f>
        <v>0</v>
      </c>
      <c r="F57" s="44">
        <f>SUMIFS(Sheet1!$O73:$O8955,Sheet1!$K73:$K8955,Sheet3!$C57,Sheet1!$G73:$G8955,Sheet3!F$3)/3/2/IF(RIGHT(TRIM(Sheet3!$C57),3)="250",250, IF(RIGHT(TRIM(Sheet3!$C57),2)="02",180,1))</f>
        <v>0</v>
      </c>
      <c r="G57" s="44">
        <f>SUMIFS(Sheet1!$O73:$O8955,Sheet1!$K73:$K8955,Sheet3!$C57,Sheet1!$G73:$G8955,Sheet3!G$3)/3/2/IF(RIGHT(TRIM(Sheet3!$C57),3)="250",250, IF(RIGHT(TRIM(Sheet3!$C57),2)="02",180,1))</f>
        <v>0</v>
      </c>
      <c r="H57" s="44">
        <f>SUMIFS(Sheet1!$O73:$O8955,Sheet1!$K73:$K8955,Sheet3!$C57,Sheet1!$G73:$G8955,Sheet3!H$3)/3/2/IF(RIGHT(TRIM(Sheet3!$C57),3)="250",250, IF(RIGHT(TRIM(Sheet3!$C57),2)="02",180,1))</f>
        <v>0</v>
      </c>
      <c r="I57" s="44">
        <f>SUMIFS(Sheet1!$O73:$O8955,Sheet1!$K73:$K8955,Sheet3!$C57,Sheet1!$G73:$G8955,Sheet3!I$3)/3/2/IF(RIGHT(TRIM(Sheet3!$C57),3)="250",250, IF(RIGHT(TRIM(Sheet3!$C57),2)="02",180,1))</f>
        <v>0.5</v>
      </c>
      <c r="J57" s="44">
        <f>SUMIFS(Sheet1!$O73:$O8955,Sheet1!$K73:$K8955,Sheet3!$C57,Sheet1!$G73:$G8955,Sheet3!J$3)/3/2/IF(RIGHT(TRIM(Sheet3!$C57),3)="250",250, IF(RIGHT(TRIM(Sheet3!$C57),2)="02",180,1))</f>
        <v>0.33333333333333331</v>
      </c>
      <c r="K57" s="44">
        <f>SUMIFS(Sheet1!$O73:$O8955,Sheet1!$K73:$K8955,Sheet3!$C57,Sheet1!$G73:$G8955,Sheet3!K$3)/3/2/IF(RIGHT(TRIM(Sheet3!$C57),3)="250",250, IF(RIGHT(TRIM(Sheet3!$C57),2)="02",180,1))</f>
        <v>1</v>
      </c>
      <c r="L57" s="44">
        <f>SUMIFS(Sheet1!$O73:$O8955,Sheet1!$K73:$K8955,Sheet3!$C57,Sheet1!$G73:$G8955,Sheet3!L$3)/3/2/IF(RIGHT(TRIM(Sheet3!$C57),3)="250",250, IF(RIGHT(TRIM(Sheet3!$C57),2)="02",180,1))</f>
        <v>0</v>
      </c>
      <c r="M57" s="44">
        <f>SUMIFS(Sheet1!$O73:$O8955,Sheet1!$K73:$K8955,Sheet3!$C57,Sheet1!$G73:$G8955,Sheet3!M$3)/3/2/IF(RIGHT(TRIM(Sheet3!$C57),3)="250",250, IF(RIGHT(TRIM(Sheet3!$C57),2)="02",180,1))</f>
        <v>0.16666666666666666</v>
      </c>
      <c r="N57" s="44">
        <f>SUMIFS(Sheet1!$O73:$O8955,Sheet1!$K73:$K8955,Sheet3!$C57,Sheet1!$G73:$G8955,Sheet3!N$3)/3/2/IF(RIGHT(TRIM(Sheet3!$C57),3)="250",250, IF(RIGHT(TRIM(Sheet3!$C57),2)="02",180,1))</f>
        <v>0</v>
      </c>
      <c r="O57" s="44">
        <f>SUMIFS(Sheet1!$O73:$O8955,Sheet1!$K73:$K8955,Sheet3!$C57,Sheet1!$G73:$G8955,Sheet3!O$3)/3/2/IF(RIGHT(TRIM(Sheet3!$C57),3)="250",250, IF(RIGHT(TRIM(Sheet3!$C57),2)="02",180,1))</f>
        <v>0</v>
      </c>
      <c r="P57" s="41"/>
    </row>
    <row r="58" spans="2:16" x14ac:dyDescent="0.25">
      <c r="B58" s="40"/>
      <c r="C58" s="35" t="s">
        <v>189</v>
      </c>
      <c r="D58" s="44">
        <f>SUMIFS(Sheet1!$O74:$O8956,Sheet1!$K74:$K8956,Sheet3!$C58,Sheet1!$G74:$G8956,Sheet3!D$3)/3/2/IF(RIGHT(TRIM(Sheet3!$C58),3)="250",250, IF(RIGHT(TRIM(Sheet3!$C58),2)="02",180,1))</f>
        <v>0.84259259259259256</v>
      </c>
      <c r="E58" s="44">
        <f>SUMIFS(Sheet1!$O74:$O8956,Sheet1!$K74:$K8956,Sheet3!$C58,Sheet1!$G74:$G8956,Sheet3!E$3)/3/2/IF(RIGHT(TRIM(Sheet3!$C58),3)="250",250, IF(RIGHT(TRIM(Sheet3!$C58),2)="02",180,1))</f>
        <v>1.0231481481481481</v>
      </c>
      <c r="F58" s="44">
        <f>SUMIFS(Sheet1!$O74:$O8956,Sheet1!$K74:$K8956,Sheet3!$C58,Sheet1!$G74:$G8956,Sheet3!F$3)/3/2/IF(RIGHT(TRIM(Sheet3!$C58),3)="250",250, IF(RIGHT(TRIM(Sheet3!$C58),2)="02",180,1))</f>
        <v>1.337962962962963</v>
      </c>
      <c r="G58" s="44">
        <f>SUMIFS(Sheet1!$O74:$O8956,Sheet1!$K74:$K8956,Sheet3!$C58,Sheet1!$G74:$G8956,Sheet3!G$3)/3/2/IF(RIGHT(TRIM(Sheet3!$C58),3)="250",250, IF(RIGHT(TRIM(Sheet3!$C58),2)="02",180,1))</f>
        <v>1.0555555555555556</v>
      </c>
      <c r="H58" s="44">
        <f>SUMIFS(Sheet1!$O74:$O8956,Sheet1!$K74:$K8956,Sheet3!$C58,Sheet1!$G74:$G8956,Sheet3!H$3)/3/2/IF(RIGHT(TRIM(Sheet3!$C58),3)="250",250, IF(RIGHT(TRIM(Sheet3!$C58),2)="02",180,1))</f>
        <v>1.3518518518518519</v>
      </c>
      <c r="I58" s="44">
        <f>SUMIFS(Sheet1!$O74:$O8956,Sheet1!$K74:$K8956,Sheet3!$C58,Sheet1!$G74:$G8956,Sheet3!I$3)/3/2/IF(RIGHT(TRIM(Sheet3!$C58),3)="250",250, IF(RIGHT(TRIM(Sheet3!$C58),2)="02",180,1))</f>
        <v>1.3842592592592593</v>
      </c>
      <c r="J58" s="44">
        <f>SUMIFS(Sheet1!$O74:$O8956,Sheet1!$K74:$K8956,Sheet3!$C58,Sheet1!$G74:$G8956,Sheet3!J$3)/3/2/IF(RIGHT(TRIM(Sheet3!$C58),3)="250",250, IF(RIGHT(TRIM(Sheet3!$C58),2)="02",180,1))</f>
        <v>0.82870370370370361</v>
      </c>
      <c r="K58" s="44">
        <f>SUMIFS(Sheet1!$O74:$O8956,Sheet1!$K74:$K8956,Sheet3!$C58,Sheet1!$G74:$G8956,Sheet3!K$3)/3/2/IF(RIGHT(TRIM(Sheet3!$C58),3)="250",250, IF(RIGHT(TRIM(Sheet3!$C58),2)="02",180,1))</f>
        <v>1.1666666666666667</v>
      </c>
      <c r="L58" s="44">
        <f>SUMIFS(Sheet1!$O74:$O8956,Sheet1!$K74:$K8956,Sheet3!$C58,Sheet1!$G74:$G8956,Sheet3!L$3)/3/2/IF(RIGHT(TRIM(Sheet3!$C58),3)="250",250, IF(RIGHT(TRIM(Sheet3!$C58),2)="02",180,1))</f>
        <v>0</v>
      </c>
      <c r="M58" s="44">
        <f>SUMIFS(Sheet1!$O74:$O8956,Sheet1!$K74:$K8956,Sheet3!$C58,Sheet1!$G74:$G8956,Sheet3!M$3)/3/2/IF(RIGHT(TRIM(Sheet3!$C58),3)="250",250, IF(RIGHT(TRIM(Sheet3!$C58),2)="02",180,1))</f>
        <v>0.16666666666666666</v>
      </c>
      <c r="N58" s="44">
        <f>SUMIFS(Sheet1!$O74:$O8956,Sheet1!$K74:$K8956,Sheet3!$C58,Sheet1!$G74:$G8956,Sheet3!N$3)/3/2/IF(RIGHT(TRIM(Sheet3!$C58),3)="250",250, IF(RIGHT(TRIM(Sheet3!$C58),2)="02",180,1))</f>
        <v>1.8518518518518521E-2</v>
      </c>
      <c r="O58" s="44">
        <f>SUMIFS(Sheet1!$O74:$O8956,Sheet1!$K74:$K8956,Sheet3!$C58,Sheet1!$G74:$G8956,Sheet3!O$3)/3/2/IF(RIGHT(TRIM(Sheet3!$C58),3)="250",250, IF(RIGHT(TRIM(Sheet3!$C58),2)="02",180,1))</f>
        <v>0.83333333333333337</v>
      </c>
      <c r="P58" s="41"/>
    </row>
    <row r="59" spans="2:16" x14ac:dyDescent="0.25">
      <c r="B59" s="40"/>
      <c r="C59" s="36" t="s">
        <v>610</v>
      </c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1"/>
    </row>
    <row r="60" spans="2:16" x14ac:dyDescent="0.25">
      <c r="B60" s="40"/>
      <c r="C60" s="35" t="s">
        <v>609</v>
      </c>
      <c r="D60" s="44">
        <f>SUMIFS(Sheet1!$O77:$O8959,Sheet1!$K77:$K8959,Sheet3!$C60,Sheet1!$G77:$G8959,Sheet3!D$3)/3/2/IF(RIGHT(TRIM(Sheet3!$C60),3)="250",250, IF(RIGHT(TRIM(Sheet3!$C60),2)="02",180,1))</f>
        <v>0.27777777777777779</v>
      </c>
      <c r="E60" s="44">
        <f>SUMIFS(Sheet1!$O77:$O8959,Sheet1!$K77:$K8959,Sheet3!$C60,Sheet1!$G77:$G8959,Sheet3!E$3)/3/2/IF(RIGHT(TRIM(Sheet3!$C60),3)="250",250, IF(RIGHT(TRIM(Sheet3!$C60),2)="02",180,1))</f>
        <v>0.99074074074074081</v>
      </c>
      <c r="F60" s="44">
        <f>SUMIFS(Sheet1!$O77:$O8959,Sheet1!$K77:$K8959,Sheet3!$C60,Sheet1!$G77:$G8959,Sheet3!F$3)/3/2/IF(RIGHT(TRIM(Sheet3!$C60),3)="250",250, IF(RIGHT(TRIM(Sheet3!$C60),2)="02",180,1))</f>
        <v>1</v>
      </c>
      <c r="G60" s="44">
        <f>SUMIFS(Sheet1!$O77:$O8959,Sheet1!$K77:$K8959,Sheet3!$C60,Sheet1!$G77:$G8959,Sheet3!G$3)/3/2/IF(RIGHT(TRIM(Sheet3!$C60),3)="250",250, IF(RIGHT(TRIM(Sheet3!$C60),2)="02",180,1))</f>
        <v>1.8333333333333333</v>
      </c>
      <c r="H60" s="44">
        <f>SUMIFS(Sheet1!$O77:$O8959,Sheet1!$K77:$K8959,Sheet3!$C60,Sheet1!$G77:$G8959,Sheet3!H$3)/3/2/IF(RIGHT(TRIM(Sheet3!$C60),3)="250",250, IF(RIGHT(TRIM(Sheet3!$C60),2)="02",180,1))</f>
        <v>3.5231481481481479</v>
      </c>
      <c r="I60" s="44">
        <f>SUMIFS(Sheet1!$O77:$O8959,Sheet1!$K77:$K8959,Sheet3!$C60,Sheet1!$G77:$G8959,Sheet3!I$3)/3/2/IF(RIGHT(TRIM(Sheet3!$C60),3)="250",250, IF(RIGHT(TRIM(Sheet3!$C60),2)="02",180,1))</f>
        <v>2.1111111111111112</v>
      </c>
      <c r="J60" s="44">
        <f>SUMIFS(Sheet1!$O77:$O8959,Sheet1!$K77:$K8959,Sheet3!$C60,Sheet1!$G77:$G8959,Sheet3!J$3)/3/2/IF(RIGHT(TRIM(Sheet3!$C60),3)="250",250, IF(RIGHT(TRIM(Sheet3!$C60),2)="02",180,1))</f>
        <v>0.66666666666666663</v>
      </c>
      <c r="K60" s="44">
        <f>SUMIFS(Sheet1!$O77:$O8959,Sheet1!$K77:$K8959,Sheet3!$C60,Sheet1!$G77:$G8959,Sheet3!K$3)/3/2/IF(RIGHT(TRIM(Sheet3!$C60),3)="250",250, IF(RIGHT(TRIM(Sheet3!$C60),2)="02",180,1))</f>
        <v>0.77777777777777779</v>
      </c>
      <c r="L60" s="44">
        <f>SUMIFS(Sheet1!$O77:$O8959,Sheet1!$K77:$K8959,Sheet3!$C60,Sheet1!$G77:$G8959,Sheet3!L$3)/3/2/IF(RIGHT(TRIM(Sheet3!$C60),3)="250",250, IF(RIGHT(TRIM(Sheet3!$C60),2)="02",180,1))</f>
        <v>0.20833333333333334</v>
      </c>
      <c r="M60" s="44">
        <f>SUMIFS(Sheet1!$O77:$O8959,Sheet1!$K77:$K8959,Sheet3!$C60,Sheet1!$G77:$G8959,Sheet3!M$3)/3/2/IF(RIGHT(TRIM(Sheet3!$C60),3)="250",250, IF(RIGHT(TRIM(Sheet3!$C60),2)="02",180,1))</f>
        <v>0.66666666666666663</v>
      </c>
      <c r="N60" s="44">
        <f>SUMIFS(Sheet1!$O77:$O8959,Sheet1!$K77:$K8959,Sheet3!$C60,Sheet1!$G77:$G8959,Sheet3!N$3)/3/2/IF(RIGHT(TRIM(Sheet3!$C60),3)="250",250, IF(RIGHT(TRIM(Sheet3!$C60),2)="02",180,1))</f>
        <v>0.50462962962962965</v>
      </c>
      <c r="O60" s="44">
        <f>SUMIFS(Sheet1!$O77:$O8959,Sheet1!$K77:$K8959,Sheet3!$C60,Sheet1!$G77:$G8959,Sheet3!O$3)/3/2/IF(RIGHT(TRIM(Sheet3!$C60),3)="250",250, IF(RIGHT(TRIM(Sheet3!$C60),2)="02",180,1))</f>
        <v>0.22222222222222221</v>
      </c>
      <c r="P60" s="41"/>
    </row>
    <row r="61" spans="2:16" x14ac:dyDescent="0.25">
      <c r="B61" s="40"/>
      <c r="C61" s="36" t="s">
        <v>99</v>
      </c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1"/>
    </row>
    <row r="62" spans="2:16" x14ac:dyDescent="0.25">
      <c r="B62" s="40"/>
      <c r="C62" s="35" t="s">
        <v>2170</v>
      </c>
      <c r="D62" s="44">
        <f>SUMIFS(Sheet1!$O79:$O8961,Sheet1!$K79:$K8961,Sheet3!$C62,Sheet1!$G79:$G8961,Sheet3!D$3)/3/2/IF(RIGHT(TRIM(Sheet3!$C62),3)="250",250, IF(RIGHT(TRIM(Sheet3!$C62),2)="02",180,1))</f>
        <v>9.2592592592592605E-3</v>
      </c>
      <c r="E62" s="44">
        <f>SUMIFS(Sheet1!$O79:$O8961,Sheet1!$K79:$K8961,Sheet3!$C62,Sheet1!$G79:$G8961,Sheet3!E$3)/3/2/IF(RIGHT(TRIM(Sheet3!$C62),3)="250",250, IF(RIGHT(TRIM(Sheet3!$C62),2)="02",180,1))</f>
        <v>0</v>
      </c>
      <c r="F62" s="44">
        <f>SUMIFS(Sheet1!$O79:$O8961,Sheet1!$K79:$K8961,Sheet3!$C62,Sheet1!$G79:$G8961,Sheet3!F$3)/3/2/IF(RIGHT(TRIM(Sheet3!$C62),3)="250",250, IF(RIGHT(TRIM(Sheet3!$C62),2)="02",180,1))</f>
        <v>2.3148148148148151E-3</v>
      </c>
      <c r="G62" s="44">
        <f>SUMIFS(Sheet1!$O79:$O8961,Sheet1!$K79:$K8961,Sheet3!$C62,Sheet1!$G79:$G8961,Sheet3!G$3)/3/2/IF(RIGHT(TRIM(Sheet3!$C62),3)="250",250, IF(RIGHT(TRIM(Sheet3!$C62),2)="02",180,1))</f>
        <v>4.6296296296296302E-3</v>
      </c>
      <c r="H62" s="44">
        <f>SUMIFS(Sheet1!$O79:$O8961,Sheet1!$K79:$K8961,Sheet3!$C62,Sheet1!$G79:$G8961,Sheet3!H$3)/3/2/IF(RIGHT(TRIM(Sheet3!$C62),3)="250",250, IF(RIGHT(TRIM(Sheet3!$C62),2)="02",180,1))</f>
        <v>0</v>
      </c>
      <c r="I62" s="44">
        <f>SUMIFS(Sheet1!$O79:$O8961,Sheet1!$K79:$K8961,Sheet3!$C62,Sheet1!$G79:$G8961,Sheet3!I$3)/3/2/IF(RIGHT(TRIM(Sheet3!$C62),3)="250",250, IF(RIGHT(TRIM(Sheet3!$C62),2)="02",180,1))</f>
        <v>5.0925925925925923E-2</v>
      </c>
      <c r="J62" s="44">
        <f>SUMIFS(Sheet1!$O79:$O8961,Sheet1!$K79:$K8961,Sheet3!$C62,Sheet1!$G79:$G8961,Sheet3!J$3)/3/2/IF(RIGHT(TRIM(Sheet3!$C62),3)="250",250, IF(RIGHT(TRIM(Sheet3!$C62),2)="02",180,1))</f>
        <v>0</v>
      </c>
      <c r="K62" s="44">
        <f>SUMIFS(Sheet1!$O79:$O8961,Sheet1!$K79:$K8961,Sheet3!$C62,Sheet1!$G79:$G8961,Sheet3!K$3)/3/2/IF(RIGHT(TRIM(Sheet3!$C62),3)="250",250, IF(RIGHT(TRIM(Sheet3!$C62),2)="02",180,1))</f>
        <v>2.3148148148148151E-3</v>
      </c>
      <c r="L62" s="44">
        <f>SUMIFS(Sheet1!$O79:$O8961,Sheet1!$K79:$K8961,Sheet3!$C62,Sheet1!$G79:$G8961,Sheet3!L$3)/3/2/IF(RIGHT(TRIM(Sheet3!$C62),3)="250",250, IF(RIGHT(TRIM(Sheet3!$C62),2)="02",180,1))</f>
        <v>0</v>
      </c>
      <c r="M62" s="44">
        <f>SUMIFS(Sheet1!$O79:$O8961,Sheet1!$K79:$K8961,Sheet3!$C62,Sheet1!$G79:$G8961,Sheet3!M$3)/3/2/IF(RIGHT(TRIM(Sheet3!$C62),3)="250",250, IF(RIGHT(TRIM(Sheet3!$C62),2)="02",180,1))</f>
        <v>0</v>
      </c>
      <c r="N62" s="44">
        <f>SUMIFS(Sheet1!$O79:$O8961,Sheet1!$K79:$K8961,Sheet3!$C62,Sheet1!$G79:$G8961,Sheet3!N$3)/3/2/IF(RIGHT(TRIM(Sheet3!$C62),3)="250",250, IF(RIGHT(TRIM(Sheet3!$C62),2)="02",180,1))</f>
        <v>0</v>
      </c>
      <c r="O62" s="44">
        <f>SUMIFS(Sheet1!$O79:$O8961,Sheet1!$K79:$K8961,Sheet3!$C62,Sheet1!$G79:$G8961,Sheet3!O$3)/3/2/IF(RIGHT(TRIM(Sheet3!$C62),3)="250",250, IF(RIGHT(TRIM(Sheet3!$C62),2)="02",180,1))</f>
        <v>0</v>
      </c>
      <c r="P62" s="41"/>
    </row>
    <row r="63" spans="2:16" x14ac:dyDescent="0.25">
      <c r="B63" s="40"/>
      <c r="C63" s="35" t="s">
        <v>2484</v>
      </c>
      <c r="D63" s="44">
        <f>SUMIFS(Sheet1!$O82:$O8964,Sheet1!$K82:$K8964,Sheet3!$C63,Sheet1!$G82:$G8964,Sheet3!D$3)/3/2/IF(RIGHT(TRIM(Sheet3!$C63),3)="250",250, IF(RIGHT(TRIM(Sheet3!$C63),2)="02",180,1))</f>
        <v>0</v>
      </c>
      <c r="E63" s="44">
        <f>SUMIFS(Sheet1!$O82:$O8964,Sheet1!$K82:$K8964,Sheet3!$C63,Sheet1!$G82:$G8964,Sheet3!E$3)/3/2/IF(RIGHT(TRIM(Sheet3!$C63),3)="250",250, IF(RIGHT(TRIM(Sheet3!$C63),2)="02",180,1))</f>
        <v>0</v>
      </c>
      <c r="F63" s="44">
        <f>SUMIFS(Sheet1!$O82:$O8964,Sheet1!$K82:$K8964,Sheet3!$C63,Sheet1!$G82:$G8964,Sheet3!F$3)/3/2/IF(RIGHT(TRIM(Sheet3!$C63),3)="250",250, IF(RIGHT(TRIM(Sheet3!$C63),2)="02",180,1))</f>
        <v>0</v>
      </c>
      <c r="G63" s="44">
        <f>SUMIFS(Sheet1!$O82:$O8964,Sheet1!$K82:$K8964,Sheet3!$C63,Sheet1!$G82:$G8964,Sheet3!G$3)/3/2/IF(RIGHT(TRIM(Sheet3!$C63),3)="250",250, IF(RIGHT(TRIM(Sheet3!$C63),2)="02",180,1))</f>
        <v>0</v>
      </c>
      <c r="H63" s="44">
        <f>SUMIFS(Sheet1!$O82:$O8964,Sheet1!$K82:$K8964,Sheet3!$C63,Sheet1!$G82:$G8964,Sheet3!H$3)/3/2/IF(RIGHT(TRIM(Sheet3!$C63),3)="250",250, IF(RIGHT(TRIM(Sheet3!$C63),2)="02",180,1))</f>
        <v>0.33333333333333331</v>
      </c>
      <c r="I63" s="44">
        <f>SUMIFS(Sheet1!$O82:$O8964,Sheet1!$K82:$K8964,Sheet3!$C63,Sheet1!$G82:$G8964,Sheet3!I$3)/3/2/IF(RIGHT(TRIM(Sheet3!$C63),3)="250",250, IF(RIGHT(TRIM(Sheet3!$C63),2)="02",180,1))</f>
        <v>0.5</v>
      </c>
      <c r="J63" s="44">
        <f>SUMIFS(Sheet1!$O82:$O8964,Sheet1!$K82:$K8964,Sheet3!$C63,Sheet1!$G82:$G8964,Sheet3!J$3)/3/2/IF(RIGHT(TRIM(Sheet3!$C63),3)="250",250, IF(RIGHT(TRIM(Sheet3!$C63),2)="02",180,1))</f>
        <v>0.33333333333333331</v>
      </c>
      <c r="K63" s="44">
        <f>SUMIFS(Sheet1!$O82:$O8964,Sheet1!$K82:$K8964,Sheet3!$C63,Sheet1!$G82:$G8964,Sheet3!K$3)/3/2/IF(RIGHT(TRIM(Sheet3!$C63),3)="250",250, IF(RIGHT(TRIM(Sheet3!$C63),2)="02",180,1))</f>
        <v>0.16666666666666666</v>
      </c>
      <c r="L63" s="44">
        <f>SUMIFS(Sheet1!$O82:$O8964,Sheet1!$K82:$K8964,Sheet3!$C63,Sheet1!$G82:$G8964,Sheet3!L$3)/3/2/IF(RIGHT(TRIM(Sheet3!$C63),3)="250",250, IF(RIGHT(TRIM(Sheet3!$C63),2)="02",180,1))</f>
        <v>0</v>
      </c>
      <c r="M63" s="44">
        <f>SUMIFS(Sheet1!$O82:$O8964,Sheet1!$K82:$K8964,Sheet3!$C63,Sheet1!$G82:$G8964,Sheet3!M$3)/3/2/IF(RIGHT(TRIM(Sheet3!$C63),3)="250",250, IF(RIGHT(TRIM(Sheet3!$C63),2)="02",180,1))</f>
        <v>0</v>
      </c>
      <c r="N63" s="44">
        <f>SUMIFS(Sheet1!$O82:$O8964,Sheet1!$K82:$K8964,Sheet3!$C63,Sheet1!$G82:$G8964,Sheet3!N$3)/3/2/IF(RIGHT(TRIM(Sheet3!$C63),3)="250",250, IF(RIGHT(TRIM(Sheet3!$C63),2)="02",180,1))</f>
        <v>0.33333333333333331</v>
      </c>
      <c r="O63" s="44">
        <f>SUMIFS(Sheet1!$O82:$O8964,Sheet1!$K82:$K8964,Sheet3!$C63,Sheet1!$G82:$G8964,Sheet3!O$3)/3/2/IF(RIGHT(TRIM(Sheet3!$C63),3)="250",250, IF(RIGHT(TRIM(Sheet3!$C63),2)="02",180,1))</f>
        <v>0</v>
      </c>
      <c r="P63" s="41"/>
    </row>
    <row r="64" spans="2:16" x14ac:dyDescent="0.25">
      <c r="B64" s="40"/>
      <c r="C64" s="36" t="s">
        <v>3437</v>
      </c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1"/>
    </row>
    <row r="65" spans="2:16" x14ac:dyDescent="0.25">
      <c r="B65" s="40"/>
      <c r="C65" s="35" t="s">
        <v>3436</v>
      </c>
      <c r="D65" s="44">
        <f>SUMIFS(Sheet1!$O85:$O8967,Sheet1!$K85:$K8967,Sheet3!$C65,Sheet1!$G85:$G8967,Sheet3!D$3)/3/2/IF(RIGHT(TRIM(Sheet3!$C65),3)="250",250, IF(RIGHT(TRIM(Sheet3!$C65),2)="02",180,1))</f>
        <v>0.33333333333333331</v>
      </c>
      <c r="E65" s="44">
        <f>SUMIFS(Sheet1!$O85:$O8967,Sheet1!$K85:$K8967,Sheet3!$C65,Sheet1!$G85:$G8967,Sheet3!E$3)/3/2/IF(RIGHT(TRIM(Sheet3!$C65),3)="250",250, IF(RIGHT(TRIM(Sheet3!$C65),2)="02",180,1))</f>
        <v>0.5</v>
      </c>
      <c r="F65" s="44">
        <f>SUMIFS(Sheet1!$O85:$O8967,Sheet1!$K85:$K8967,Sheet3!$C65,Sheet1!$G85:$G8967,Sheet3!F$3)/3/2/IF(RIGHT(TRIM(Sheet3!$C65),3)="250",250, IF(RIGHT(TRIM(Sheet3!$C65),2)="02",180,1))</f>
        <v>0</v>
      </c>
      <c r="G65" s="44">
        <f>SUMIFS(Sheet1!$O85:$O8967,Sheet1!$K85:$K8967,Sheet3!$C65,Sheet1!$G85:$G8967,Sheet3!G$3)/3/2/IF(RIGHT(TRIM(Sheet3!$C65),3)="250",250, IF(RIGHT(TRIM(Sheet3!$C65),2)="02",180,1))</f>
        <v>0.5</v>
      </c>
      <c r="H65" s="44">
        <f>SUMIFS(Sheet1!$O85:$O8967,Sheet1!$K85:$K8967,Sheet3!$C65,Sheet1!$G85:$G8967,Sheet3!H$3)/3/2/IF(RIGHT(TRIM(Sheet3!$C65),3)="250",250, IF(RIGHT(TRIM(Sheet3!$C65),2)="02",180,1))</f>
        <v>0.17666666666666667</v>
      </c>
      <c r="I65" s="44">
        <f>SUMIFS(Sheet1!$O85:$O8967,Sheet1!$K85:$K8967,Sheet3!$C65,Sheet1!$G85:$G8967,Sheet3!I$3)/3/2/IF(RIGHT(TRIM(Sheet3!$C65),3)="250",250, IF(RIGHT(TRIM(Sheet3!$C65),2)="02",180,1))</f>
        <v>0.83333333333333337</v>
      </c>
      <c r="J65" s="44">
        <f>SUMIFS(Sheet1!$O85:$O8967,Sheet1!$K85:$K8967,Sheet3!$C65,Sheet1!$G85:$G8967,Sheet3!J$3)/3/2/IF(RIGHT(TRIM(Sheet3!$C65),3)="250",250, IF(RIGHT(TRIM(Sheet3!$C65),2)="02",180,1))</f>
        <v>1</v>
      </c>
      <c r="K65" s="44">
        <f>SUMIFS(Sheet1!$O85:$O8967,Sheet1!$K85:$K8967,Sheet3!$C65,Sheet1!$G85:$G8967,Sheet3!K$3)/3/2/IF(RIGHT(TRIM(Sheet3!$C65),3)="250",250, IF(RIGHT(TRIM(Sheet3!$C65),2)="02",180,1))</f>
        <v>0.66666666666666663</v>
      </c>
      <c r="L65" s="44">
        <f>SUMIFS(Sheet1!$O85:$O8967,Sheet1!$K85:$K8967,Sheet3!$C65,Sheet1!$G85:$G8967,Sheet3!L$3)/3/2/IF(RIGHT(TRIM(Sheet3!$C65),3)="250",250, IF(RIGHT(TRIM(Sheet3!$C65),2)="02",180,1))</f>
        <v>1</v>
      </c>
      <c r="M65" s="44">
        <f>SUMIFS(Sheet1!$O85:$O8967,Sheet1!$K85:$K8967,Sheet3!$C65,Sheet1!$G85:$G8967,Sheet3!M$3)/3/2/IF(RIGHT(TRIM(Sheet3!$C65),3)="250",250, IF(RIGHT(TRIM(Sheet3!$C65),2)="02",180,1))</f>
        <v>0.83333333333333337</v>
      </c>
      <c r="N65" s="44">
        <f>SUMIFS(Sheet1!$O85:$O8967,Sheet1!$K85:$K8967,Sheet3!$C65,Sheet1!$G85:$G8967,Sheet3!N$3)/3/2/IF(RIGHT(TRIM(Sheet3!$C65),3)="250",250, IF(RIGHT(TRIM(Sheet3!$C65),2)="02",180,1))</f>
        <v>1.5</v>
      </c>
      <c r="O65" s="44">
        <f>SUMIFS(Sheet1!$O85:$O8967,Sheet1!$K85:$K8967,Sheet3!$C65,Sheet1!$G85:$G8967,Sheet3!O$3)/3/2/IF(RIGHT(TRIM(Sheet3!$C65),3)="250",250, IF(RIGHT(TRIM(Sheet3!$C65),2)="02",180,1))</f>
        <v>1</v>
      </c>
      <c r="P65" s="41"/>
    </row>
    <row r="66" spans="2:16" x14ac:dyDescent="0.25">
      <c r="B66" s="40"/>
      <c r="C66" s="36" t="s">
        <v>3250</v>
      </c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1"/>
    </row>
    <row r="67" spans="2:16" x14ac:dyDescent="0.25">
      <c r="B67" s="40"/>
      <c r="C67" s="35" t="s">
        <v>3249</v>
      </c>
      <c r="D67" s="44">
        <f>SUMIFS(Sheet1!$O89:$O8971,Sheet1!$K89:$K8971,Sheet3!$C67,Sheet1!$G89:$G8971,Sheet3!D$3)/3/2/IF(RIGHT(TRIM(Sheet3!$C67),3)="250",250, IF(RIGHT(TRIM(Sheet3!$C67),2)="02",180,1))</f>
        <v>0</v>
      </c>
      <c r="E67" s="44">
        <f>SUMIFS(Sheet1!$O89:$O8971,Sheet1!$K89:$K8971,Sheet3!$C67,Sheet1!$G89:$G8971,Sheet3!E$3)/3/2/IF(RIGHT(TRIM(Sheet3!$C67),3)="250",250, IF(RIGHT(TRIM(Sheet3!$C67),2)="02",180,1))</f>
        <v>0</v>
      </c>
      <c r="F67" s="44">
        <f>SUMIFS(Sheet1!$O89:$O8971,Sheet1!$K89:$K8971,Sheet3!$C67,Sheet1!$G89:$G8971,Sheet3!F$3)/3/2/IF(RIGHT(TRIM(Sheet3!$C67),3)="250",250, IF(RIGHT(TRIM(Sheet3!$C67),2)="02",180,1))</f>
        <v>8.3333333333333329E-2</v>
      </c>
      <c r="G67" s="44">
        <f>SUMIFS(Sheet1!$O89:$O8971,Sheet1!$K89:$K8971,Sheet3!$C67,Sheet1!$G89:$G8971,Sheet3!G$3)/3/2/IF(RIGHT(TRIM(Sheet3!$C67),3)="250",250, IF(RIGHT(TRIM(Sheet3!$C67),2)="02",180,1))</f>
        <v>8.3333333333333329E-2</v>
      </c>
      <c r="H67" s="44">
        <f>SUMIFS(Sheet1!$O89:$O8971,Sheet1!$K89:$K8971,Sheet3!$C67,Sheet1!$G89:$G8971,Sheet3!H$3)/3/2/IF(RIGHT(TRIM(Sheet3!$C67),3)="250",250, IF(RIGHT(TRIM(Sheet3!$C67),2)="02",180,1))</f>
        <v>0</v>
      </c>
      <c r="I67" s="44">
        <f>SUMIFS(Sheet1!$O89:$O8971,Sheet1!$K89:$K8971,Sheet3!$C67,Sheet1!$G89:$G8971,Sheet3!I$3)/3/2/IF(RIGHT(TRIM(Sheet3!$C67),3)="250",250, IF(RIGHT(TRIM(Sheet3!$C67),2)="02",180,1))</f>
        <v>0.3888888888888889</v>
      </c>
      <c r="J67" s="44">
        <f>SUMIFS(Sheet1!$O89:$O8971,Sheet1!$K89:$K8971,Sheet3!$C67,Sheet1!$G89:$G8971,Sheet3!J$3)/3/2/IF(RIGHT(TRIM(Sheet3!$C67),3)="250",250, IF(RIGHT(TRIM(Sheet3!$C67),2)="02",180,1))</f>
        <v>0</v>
      </c>
      <c r="K67" s="44">
        <f>SUMIFS(Sheet1!$O89:$O8971,Sheet1!$K89:$K8971,Sheet3!$C67,Sheet1!$G89:$G8971,Sheet3!K$3)/3/2/IF(RIGHT(TRIM(Sheet3!$C67),3)="250",250, IF(RIGHT(TRIM(Sheet3!$C67),2)="02",180,1))</f>
        <v>8.3333333333333329E-2</v>
      </c>
      <c r="L67" s="44">
        <f>SUMIFS(Sheet1!$O89:$O8971,Sheet1!$K89:$K8971,Sheet3!$C67,Sheet1!$G89:$G8971,Sheet3!L$3)/3/2/IF(RIGHT(TRIM(Sheet3!$C67),3)="250",250, IF(RIGHT(TRIM(Sheet3!$C67),2)="02",180,1))</f>
        <v>0.58333333333333337</v>
      </c>
      <c r="M67" s="44">
        <f>SUMIFS(Sheet1!$O89:$O8971,Sheet1!$K89:$K8971,Sheet3!$C67,Sheet1!$G89:$G8971,Sheet3!M$3)/3/2/IF(RIGHT(TRIM(Sheet3!$C67),3)="250",250, IF(RIGHT(TRIM(Sheet3!$C67),2)="02",180,1))</f>
        <v>0.10185185185185185</v>
      </c>
      <c r="N67" s="44">
        <f>SUMIFS(Sheet1!$O89:$O8971,Sheet1!$K89:$K8971,Sheet3!$C67,Sheet1!$G89:$G8971,Sheet3!N$3)/3/2/IF(RIGHT(TRIM(Sheet3!$C67),3)="250",250, IF(RIGHT(TRIM(Sheet3!$C67),2)="02",180,1))</f>
        <v>0.33333333333333331</v>
      </c>
      <c r="O67" s="44">
        <f>SUMIFS(Sheet1!$O89:$O8971,Sheet1!$K89:$K8971,Sheet3!$C67,Sheet1!$G89:$G8971,Sheet3!O$3)/3/2/IF(RIGHT(TRIM(Sheet3!$C67),3)="250",250, IF(RIGHT(TRIM(Sheet3!$C67),2)="02",180,1))</f>
        <v>0.1111111111111111</v>
      </c>
      <c r="P67" s="41"/>
    </row>
    <row r="68" spans="2:16" x14ac:dyDescent="0.25">
      <c r="B68" s="40"/>
      <c r="C68" s="35" t="s">
        <v>3390</v>
      </c>
      <c r="D68" s="44">
        <f>SUMIFS(Sheet1!$O90:$O8972,Sheet1!$K90:$K8972,Sheet3!$C68,Sheet1!$G90:$G8972,Sheet3!D$3)/3/2/IF(RIGHT(TRIM(Sheet3!$C68),3)="250",250, IF(RIGHT(TRIM(Sheet3!$C68),2)="02",180,1))</f>
        <v>0</v>
      </c>
      <c r="E68" s="44">
        <f>SUMIFS(Sheet1!$O90:$O8972,Sheet1!$K90:$K8972,Sheet3!$C68,Sheet1!$G90:$G8972,Sheet3!E$3)/3/2/IF(RIGHT(TRIM(Sheet3!$C68),3)="250",250, IF(RIGHT(TRIM(Sheet3!$C68),2)="02",180,1))</f>
        <v>0.16666666666666666</v>
      </c>
      <c r="F68" s="44">
        <f>SUMIFS(Sheet1!$O90:$O8972,Sheet1!$K90:$K8972,Sheet3!$C68,Sheet1!$G90:$G8972,Sheet3!F$3)/3/2/IF(RIGHT(TRIM(Sheet3!$C68),3)="250",250, IF(RIGHT(TRIM(Sheet3!$C68),2)="02",180,1))</f>
        <v>0.33333333333333331</v>
      </c>
      <c r="G68" s="44">
        <f>SUMIFS(Sheet1!$O90:$O8972,Sheet1!$K90:$K8972,Sheet3!$C68,Sheet1!$G90:$G8972,Sheet3!G$3)/3/2/IF(RIGHT(TRIM(Sheet3!$C68),3)="250",250, IF(RIGHT(TRIM(Sheet3!$C68),2)="02",180,1))</f>
        <v>0.18333333333333335</v>
      </c>
      <c r="H68" s="44">
        <f>SUMIFS(Sheet1!$O90:$O8972,Sheet1!$K90:$K8972,Sheet3!$C68,Sheet1!$G90:$G8972,Sheet3!H$3)/3/2/IF(RIGHT(TRIM(Sheet3!$C68),3)="250",250, IF(RIGHT(TRIM(Sheet3!$C68),2)="02",180,1))</f>
        <v>1.4166666666666667</v>
      </c>
      <c r="I68" s="44">
        <f>SUMIFS(Sheet1!$O90:$O8972,Sheet1!$K90:$K8972,Sheet3!$C68,Sheet1!$G90:$G8972,Sheet3!I$3)/3/2/IF(RIGHT(TRIM(Sheet3!$C68),3)="250",250, IF(RIGHT(TRIM(Sheet3!$C68),2)="02",180,1))</f>
        <v>0</v>
      </c>
      <c r="J68" s="44">
        <f>SUMIFS(Sheet1!$O90:$O8972,Sheet1!$K90:$K8972,Sheet3!$C68,Sheet1!$G90:$G8972,Sheet3!J$3)/3/2/IF(RIGHT(TRIM(Sheet3!$C68),3)="250",250, IF(RIGHT(TRIM(Sheet3!$C68),2)="02",180,1))</f>
        <v>1.2</v>
      </c>
      <c r="K68" s="44">
        <f>SUMIFS(Sheet1!$O90:$O8972,Sheet1!$K90:$K8972,Sheet3!$C68,Sheet1!$G90:$G8972,Sheet3!K$3)/3/2/IF(RIGHT(TRIM(Sheet3!$C68),3)="250",250, IF(RIGHT(TRIM(Sheet3!$C68),2)="02",180,1))</f>
        <v>0</v>
      </c>
      <c r="L68" s="44">
        <f>SUMIFS(Sheet1!$O90:$O8972,Sheet1!$K90:$K8972,Sheet3!$C68,Sheet1!$G90:$G8972,Sheet3!L$3)/3/2/IF(RIGHT(TRIM(Sheet3!$C68),3)="250",250, IF(RIGHT(TRIM(Sheet3!$C68),2)="02",180,1))</f>
        <v>0</v>
      </c>
      <c r="M68" s="44">
        <f>SUMIFS(Sheet1!$O90:$O8972,Sheet1!$K90:$K8972,Sheet3!$C68,Sheet1!$G90:$G8972,Sheet3!M$3)/3/2/IF(RIGHT(TRIM(Sheet3!$C68),3)="250",250, IF(RIGHT(TRIM(Sheet3!$C68),2)="02",180,1))</f>
        <v>2.3733333333333335</v>
      </c>
      <c r="N68" s="44">
        <f>SUMIFS(Sheet1!$O90:$O8972,Sheet1!$K90:$K8972,Sheet3!$C68,Sheet1!$G90:$G8972,Sheet3!N$3)/3/2/IF(RIGHT(TRIM(Sheet3!$C68),3)="250",250, IF(RIGHT(TRIM(Sheet3!$C68),2)="02",180,1))</f>
        <v>0.16666666666666666</v>
      </c>
      <c r="O68" s="44">
        <f>SUMIFS(Sheet1!$O90:$O8972,Sheet1!$K90:$K8972,Sheet3!$C68,Sheet1!$G90:$G8972,Sheet3!O$3)/3/2/IF(RIGHT(TRIM(Sheet3!$C68),3)="250",250, IF(RIGHT(TRIM(Sheet3!$C68),2)="02",180,1))</f>
        <v>0.83333333333333337</v>
      </c>
      <c r="P68" s="41"/>
    </row>
    <row r="69" spans="2:16" x14ac:dyDescent="0.25">
      <c r="B69" s="40"/>
      <c r="C69" s="36" t="s">
        <v>2537</v>
      </c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1"/>
    </row>
    <row r="70" spans="2:16" x14ac:dyDescent="0.25">
      <c r="B70" s="40"/>
      <c r="C70" s="35" t="s">
        <v>2536</v>
      </c>
      <c r="D70" s="44">
        <f>SUMIFS(Sheet1!$O92:$O8974,Sheet1!$K92:$K8974,Sheet3!$C70,Sheet1!$G92:$G8974,Sheet3!D$3)/3/2/IF(RIGHT(TRIM(Sheet3!$C70),3)="250",250, IF(RIGHT(TRIM(Sheet3!$C70),2)="02",180,1))</f>
        <v>0</v>
      </c>
      <c r="E70" s="44">
        <f>SUMIFS(Sheet1!$O92:$O8974,Sheet1!$K92:$K8974,Sheet3!$C70,Sheet1!$G92:$G8974,Sheet3!E$3)/3/2/IF(RIGHT(TRIM(Sheet3!$C70),3)="250",250, IF(RIGHT(TRIM(Sheet3!$C70),2)="02",180,1))</f>
        <v>0</v>
      </c>
      <c r="F70" s="44">
        <f>SUMIFS(Sheet1!$O92:$O8974,Sheet1!$K92:$K8974,Sheet3!$C70,Sheet1!$G92:$G8974,Sheet3!F$3)/3/2/IF(RIGHT(TRIM(Sheet3!$C70),3)="250",250, IF(RIGHT(TRIM(Sheet3!$C70),2)="02",180,1))</f>
        <v>0</v>
      </c>
      <c r="G70" s="44">
        <f>SUMIFS(Sheet1!$O92:$O8974,Sheet1!$K92:$K8974,Sheet3!$C70,Sheet1!$G92:$G8974,Sheet3!G$3)/3/2/IF(RIGHT(TRIM(Sheet3!$C70),3)="250",250, IF(RIGHT(TRIM(Sheet3!$C70),2)="02",180,1))</f>
        <v>0</v>
      </c>
      <c r="H70" s="44">
        <f>SUMIFS(Sheet1!$O92:$O8974,Sheet1!$K92:$K8974,Sheet3!$C70,Sheet1!$G92:$G8974,Sheet3!H$3)/3/2/IF(RIGHT(TRIM(Sheet3!$C70),3)="250",250, IF(RIGHT(TRIM(Sheet3!$C70),2)="02",180,1))</f>
        <v>0</v>
      </c>
      <c r="I70" s="44">
        <f>SUMIFS(Sheet1!$O92:$O8974,Sheet1!$K92:$K8974,Sheet3!$C70,Sheet1!$G92:$G8974,Sheet3!I$3)/3/2/IF(RIGHT(TRIM(Sheet3!$C70),3)="250",250, IF(RIGHT(TRIM(Sheet3!$C70),2)="02",180,1))</f>
        <v>1.6666666666666667</v>
      </c>
      <c r="J70" s="44">
        <f>SUMIFS(Sheet1!$O92:$O8974,Sheet1!$K92:$K8974,Sheet3!$C70,Sheet1!$G92:$G8974,Sheet3!J$3)/3/2/IF(RIGHT(TRIM(Sheet3!$C70),3)="250",250, IF(RIGHT(TRIM(Sheet3!$C70),2)="02",180,1))</f>
        <v>0</v>
      </c>
      <c r="K70" s="44">
        <f>SUMIFS(Sheet1!$O92:$O8974,Sheet1!$K92:$K8974,Sheet3!$C70,Sheet1!$G92:$G8974,Sheet3!K$3)/3/2/IF(RIGHT(TRIM(Sheet3!$C70),3)="250",250, IF(RIGHT(TRIM(Sheet3!$C70),2)="02",180,1))</f>
        <v>2</v>
      </c>
      <c r="L70" s="44">
        <f>SUMIFS(Sheet1!$O92:$O8974,Sheet1!$K92:$K8974,Sheet3!$C70,Sheet1!$G92:$G8974,Sheet3!L$3)/3/2/IF(RIGHT(TRIM(Sheet3!$C70),3)="250",250, IF(RIGHT(TRIM(Sheet3!$C70),2)="02",180,1))</f>
        <v>3</v>
      </c>
      <c r="M70" s="44">
        <f>SUMIFS(Sheet1!$O92:$O8974,Sheet1!$K92:$K8974,Sheet3!$C70,Sheet1!$G92:$G8974,Sheet3!M$3)/3/2/IF(RIGHT(TRIM(Sheet3!$C70),3)="250",250, IF(RIGHT(TRIM(Sheet3!$C70),2)="02",180,1))</f>
        <v>2</v>
      </c>
      <c r="N70" s="44">
        <f>SUMIFS(Sheet1!$O92:$O8974,Sheet1!$K92:$K8974,Sheet3!$C70,Sheet1!$G92:$G8974,Sheet3!N$3)/3/2/IF(RIGHT(TRIM(Sheet3!$C70),3)="250",250, IF(RIGHT(TRIM(Sheet3!$C70),2)="02",180,1))</f>
        <v>1.8333333333333333</v>
      </c>
      <c r="O70" s="44">
        <f>SUMIFS(Sheet1!$O92:$O8974,Sheet1!$K92:$K8974,Sheet3!$C70,Sheet1!$G92:$G8974,Sheet3!O$3)/3/2/IF(RIGHT(TRIM(Sheet3!$C70),3)="250",250, IF(RIGHT(TRIM(Sheet3!$C70),2)="02",180,1))</f>
        <v>0</v>
      </c>
      <c r="P70" s="41"/>
    </row>
    <row r="71" spans="2:16" x14ac:dyDescent="0.25">
      <c r="B71" s="40"/>
      <c r="C71" s="36" t="s">
        <v>1854</v>
      </c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1"/>
    </row>
    <row r="72" spans="2:16" x14ac:dyDescent="0.25">
      <c r="B72" s="40"/>
      <c r="C72" s="35" t="s">
        <v>8348</v>
      </c>
      <c r="D72" s="44">
        <f>SUMIFS(Sheet1!$O96:$O8978,Sheet1!$K96:$K8978,Sheet3!$C72,Sheet1!$G96:$G8978,Sheet3!D$3)/3/2/IF(RIGHT(TRIM(Sheet3!$C72),3)="250",250, IF(RIGHT(TRIM(Sheet3!$C72),2)="02",180,1))</f>
        <v>0</v>
      </c>
      <c r="E72" s="44">
        <f>SUMIFS(Sheet1!$O96:$O8978,Sheet1!$K96:$K8978,Sheet3!$C72,Sheet1!$G96:$G8978,Sheet3!E$3)/3/2/IF(RIGHT(TRIM(Sheet3!$C72),3)="250",250, IF(RIGHT(TRIM(Sheet3!$C72),2)="02",180,1))</f>
        <v>0</v>
      </c>
      <c r="F72" s="44">
        <f>SUMIFS(Sheet1!$O96:$O8978,Sheet1!$K96:$K8978,Sheet3!$C72,Sheet1!$G96:$G8978,Sheet3!F$3)/3/2/IF(RIGHT(TRIM(Sheet3!$C72),3)="250",250, IF(RIGHT(TRIM(Sheet3!$C72),2)="02",180,1))</f>
        <v>0</v>
      </c>
      <c r="G72" s="44">
        <f>SUMIFS(Sheet1!$O96:$O8978,Sheet1!$K96:$K8978,Sheet3!$C72,Sheet1!$G96:$G8978,Sheet3!G$3)/3/2/IF(RIGHT(TRIM(Sheet3!$C72),3)="250",250, IF(RIGHT(TRIM(Sheet3!$C72),2)="02",180,1))</f>
        <v>0</v>
      </c>
      <c r="H72" s="44">
        <f>SUMIFS(Sheet1!$O96:$O8978,Sheet1!$K96:$K8978,Sheet3!$C72,Sheet1!$G96:$G8978,Sheet3!H$3)/3/2/IF(RIGHT(TRIM(Sheet3!$C72),3)="250",250, IF(RIGHT(TRIM(Sheet3!$C72),2)="02",180,1))</f>
        <v>0</v>
      </c>
      <c r="I72" s="44">
        <f>SUMIFS(Sheet1!$O96:$O8978,Sheet1!$K96:$K8978,Sheet3!$C72,Sheet1!$G96:$G8978,Sheet3!I$3)/3/2/IF(RIGHT(TRIM(Sheet3!$C72),3)="250",250, IF(RIGHT(TRIM(Sheet3!$C72),2)="02",180,1))</f>
        <v>0</v>
      </c>
      <c r="J72" s="44">
        <f>SUMIFS(Sheet1!$O96:$O8978,Sheet1!$K96:$K8978,Sheet3!$C72,Sheet1!$G96:$G8978,Sheet3!J$3)/3/2/IF(RIGHT(TRIM(Sheet3!$C72),3)="250",250, IF(RIGHT(TRIM(Sheet3!$C72),2)="02",180,1))</f>
        <v>0.5</v>
      </c>
      <c r="K72" s="44">
        <f>SUMIFS(Sheet1!$O96:$O8978,Sheet1!$K96:$K8978,Sheet3!$C72,Sheet1!$G96:$G8978,Sheet3!K$3)/3/2/IF(RIGHT(TRIM(Sheet3!$C72),3)="250",250, IF(RIGHT(TRIM(Sheet3!$C72),2)="02",180,1))</f>
        <v>0.5</v>
      </c>
      <c r="L72" s="44">
        <f>SUMIFS(Sheet1!$O96:$O8978,Sheet1!$K96:$K8978,Sheet3!$C72,Sheet1!$G96:$G8978,Sheet3!L$3)/3/2/IF(RIGHT(TRIM(Sheet3!$C72),3)="250",250, IF(RIGHT(TRIM(Sheet3!$C72),2)="02",180,1))</f>
        <v>0.83333333333333337</v>
      </c>
      <c r="M72" s="44">
        <f>SUMIFS(Sheet1!$O96:$O8978,Sheet1!$K96:$K8978,Sheet3!$C72,Sheet1!$G96:$G8978,Sheet3!M$3)/3/2/IF(RIGHT(TRIM(Sheet3!$C72),3)="250",250, IF(RIGHT(TRIM(Sheet3!$C72),2)="02",180,1))</f>
        <v>0.16666666666666666</v>
      </c>
      <c r="N72" s="44">
        <f>SUMIFS(Sheet1!$O96:$O8978,Sheet1!$K96:$K8978,Sheet3!$C72,Sheet1!$G96:$G8978,Sheet3!N$3)/3/2/IF(RIGHT(TRIM(Sheet3!$C72),3)="250",250, IF(RIGHT(TRIM(Sheet3!$C72),2)="02",180,1))</f>
        <v>1.1666666666666667</v>
      </c>
      <c r="O72" s="44">
        <f>SUMIFS(Sheet1!$O96:$O8978,Sheet1!$K96:$K8978,Sheet3!$C72,Sheet1!$G96:$G8978,Sheet3!O$3)/3/2/IF(RIGHT(TRIM(Sheet3!$C72),3)="250",250, IF(RIGHT(TRIM(Sheet3!$C72),2)="02",180,1))</f>
        <v>0.16666666666666666</v>
      </c>
      <c r="P72" s="41"/>
    </row>
    <row r="73" spans="2:16" x14ac:dyDescent="0.25">
      <c r="B73" s="40"/>
      <c r="C73" s="35" t="s">
        <v>1853</v>
      </c>
      <c r="D73" s="44">
        <f>SUMIFS(Sheet1!$O97:$O8979,Sheet1!$K97:$K8979,Sheet3!$C73,Sheet1!$G97:$G8979,Sheet3!D$3)/3/2/IF(RIGHT(TRIM(Sheet3!$C73),3)="250",250, IF(RIGHT(TRIM(Sheet3!$C73),2)="02",180,1))</f>
        <v>0</v>
      </c>
      <c r="E73" s="44">
        <f>SUMIFS(Sheet1!$O97:$O8979,Sheet1!$K97:$K8979,Sheet3!$C73,Sheet1!$G97:$G8979,Sheet3!E$3)/3/2/IF(RIGHT(TRIM(Sheet3!$C73),3)="250",250, IF(RIGHT(TRIM(Sheet3!$C73),2)="02",180,1))</f>
        <v>4.6296296296296302E-3</v>
      </c>
      <c r="F73" s="44">
        <f>SUMIFS(Sheet1!$O97:$O8979,Sheet1!$K97:$K8979,Sheet3!$C73,Sheet1!$G97:$G8979,Sheet3!F$3)/3/2/IF(RIGHT(TRIM(Sheet3!$C73),3)="250",250, IF(RIGHT(TRIM(Sheet3!$C73),2)="02",180,1))</f>
        <v>0.33333333333333331</v>
      </c>
      <c r="G73" s="44">
        <f>SUMIFS(Sheet1!$O97:$O8979,Sheet1!$K97:$K8979,Sheet3!$C73,Sheet1!$G97:$G8979,Sheet3!G$3)/3/2/IF(RIGHT(TRIM(Sheet3!$C73),3)="250",250, IF(RIGHT(TRIM(Sheet3!$C73),2)="02",180,1))</f>
        <v>0.33333333333333331</v>
      </c>
      <c r="H73" s="44">
        <f>SUMIFS(Sheet1!$O97:$O8979,Sheet1!$K97:$K8979,Sheet3!$C73,Sheet1!$G97:$G8979,Sheet3!H$3)/3/2/IF(RIGHT(TRIM(Sheet3!$C73),3)="250",250, IF(RIGHT(TRIM(Sheet3!$C73),2)="02",180,1))</f>
        <v>0.66666666666666663</v>
      </c>
      <c r="I73" s="44">
        <f>SUMIFS(Sheet1!$O97:$O8979,Sheet1!$K97:$K8979,Sheet3!$C73,Sheet1!$G97:$G8979,Sheet3!I$3)/3/2/IF(RIGHT(TRIM(Sheet3!$C73),3)="250",250, IF(RIGHT(TRIM(Sheet3!$C73),2)="02",180,1))</f>
        <v>0.83333333333333337</v>
      </c>
      <c r="J73" s="44">
        <f>SUMIFS(Sheet1!$O97:$O8979,Sheet1!$K97:$K8979,Sheet3!$C73,Sheet1!$G97:$G8979,Sheet3!J$3)/3/2/IF(RIGHT(TRIM(Sheet3!$C73),3)="250",250, IF(RIGHT(TRIM(Sheet3!$C73),2)="02",180,1))</f>
        <v>0.3981481481481482</v>
      </c>
      <c r="K73" s="44">
        <f>SUMIFS(Sheet1!$O97:$O8979,Sheet1!$K97:$K8979,Sheet3!$C73,Sheet1!$G97:$G8979,Sheet3!K$3)/3/2/IF(RIGHT(TRIM(Sheet3!$C73),3)="250",250, IF(RIGHT(TRIM(Sheet3!$C73),2)="02",180,1))</f>
        <v>0.33564814814814814</v>
      </c>
      <c r="L73" s="44">
        <f>SUMIFS(Sheet1!$O97:$O8979,Sheet1!$K97:$K8979,Sheet3!$C73,Sheet1!$G97:$G8979,Sheet3!L$3)/3/2/IF(RIGHT(TRIM(Sheet3!$C73),3)="250",250, IF(RIGHT(TRIM(Sheet3!$C73),2)="02",180,1))</f>
        <v>0.33333333333333331</v>
      </c>
      <c r="M73" s="44">
        <f>SUMIFS(Sheet1!$O97:$O8979,Sheet1!$K97:$K8979,Sheet3!$C73,Sheet1!$G97:$G8979,Sheet3!M$3)/3/2/IF(RIGHT(TRIM(Sheet3!$C73),3)="250",250, IF(RIGHT(TRIM(Sheet3!$C73),2)="02",180,1))</f>
        <v>0.61111111111111116</v>
      </c>
      <c r="N73" s="44">
        <f>SUMIFS(Sheet1!$O97:$O8979,Sheet1!$K97:$K8979,Sheet3!$C73,Sheet1!$G97:$G8979,Sheet3!N$3)/3/2/IF(RIGHT(TRIM(Sheet3!$C73),3)="250",250, IF(RIGHT(TRIM(Sheet3!$C73),2)="02",180,1))</f>
        <v>0.33333333333333331</v>
      </c>
      <c r="O73" s="44">
        <f>SUMIFS(Sheet1!$O97:$O8979,Sheet1!$K97:$K8979,Sheet3!$C73,Sheet1!$G97:$G8979,Sheet3!O$3)/3/2/IF(RIGHT(TRIM(Sheet3!$C73),3)="250",250, IF(RIGHT(TRIM(Sheet3!$C73),2)="02",180,1))</f>
        <v>0.66666666666666663</v>
      </c>
      <c r="P73" s="41"/>
    </row>
    <row r="74" spans="2:16" x14ac:dyDescent="0.25">
      <c r="B74" s="40"/>
      <c r="C74" s="36" t="s">
        <v>7</v>
      </c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1"/>
    </row>
    <row r="75" spans="2:16" x14ac:dyDescent="0.25">
      <c r="B75" s="40"/>
      <c r="C75" s="35" t="s">
        <v>16</v>
      </c>
      <c r="D75" s="44">
        <f>SUMIFS(Sheet1!$O101:$O8983,Sheet1!$K101:$K8983,Sheet3!$C75,Sheet1!$G101:$G8983,Sheet3!D$3)/3/2/IF(RIGHT(TRIM(Sheet3!$C75),3)="250",250, IF(RIGHT(TRIM(Sheet3!$C75),2)="02",180,1))</f>
        <v>0.57870370370370372</v>
      </c>
      <c r="E75" s="44">
        <f>SUMIFS(Sheet1!$O101:$O8983,Sheet1!$K101:$K8983,Sheet3!$C75,Sheet1!$G101:$G8983,Sheet3!E$3)/3/2/IF(RIGHT(TRIM(Sheet3!$C75),3)="250",250, IF(RIGHT(TRIM(Sheet3!$C75),2)="02",180,1))</f>
        <v>0.67592592592592593</v>
      </c>
      <c r="F75" s="44">
        <f>SUMIFS(Sheet1!$O101:$O8983,Sheet1!$K101:$K8983,Sheet3!$C75,Sheet1!$G101:$G8983,Sheet3!F$3)/3/2/IF(RIGHT(TRIM(Sheet3!$C75),3)="250",250, IF(RIGHT(TRIM(Sheet3!$C75),2)="02",180,1))</f>
        <v>0.78240740740740744</v>
      </c>
      <c r="G75" s="44">
        <f>SUMIFS(Sheet1!$O101:$O8983,Sheet1!$K101:$K8983,Sheet3!$C75,Sheet1!$G101:$G8983,Sheet3!G$3)/3/2/IF(RIGHT(TRIM(Sheet3!$C75),3)="250",250, IF(RIGHT(TRIM(Sheet3!$C75),2)="02",180,1))</f>
        <v>0.9814814814814814</v>
      </c>
      <c r="H75" s="44">
        <f>SUMIFS(Sheet1!$O101:$O8983,Sheet1!$K101:$K8983,Sheet3!$C75,Sheet1!$G101:$G8983,Sheet3!H$3)/3/2/IF(RIGHT(TRIM(Sheet3!$C75),3)="250",250, IF(RIGHT(TRIM(Sheet3!$C75),2)="02",180,1))</f>
        <v>0.45370370370370372</v>
      </c>
      <c r="I75" s="44">
        <f>SUMIFS(Sheet1!$O101:$O8983,Sheet1!$K101:$K8983,Sheet3!$C75,Sheet1!$G101:$G8983,Sheet3!I$3)/3/2/IF(RIGHT(TRIM(Sheet3!$C75),3)="250",250, IF(RIGHT(TRIM(Sheet3!$C75),2)="02",180,1))</f>
        <v>0.86574074074074081</v>
      </c>
      <c r="J75" s="44">
        <f>SUMIFS(Sheet1!$O101:$O8983,Sheet1!$K101:$K8983,Sheet3!$C75,Sheet1!$G101:$G8983,Sheet3!J$3)/3/2/IF(RIGHT(TRIM(Sheet3!$C75),3)="250",250, IF(RIGHT(TRIM(Sheet3!$C75),2)="02",180,1))</f>
        <v>0.82870370370370361</v>
      </c>
      <c r="K75" s="44">
        <f>SUMIFS(Sheet1!$O101:$O8983,Sheet1!$K101:$K8983,Sheet3!$C75,Sheet1!$G101:$G8983,Sheet3!K$3)/3/2/IF(RIGHT(TRIM(Sheet3!$C75),3)="250",250, IF(RIGHT(TRIM(Sheet3!$C75),2)="02",180,1))</f>
        <v>0.57870370370370372</v>
      </c>
      <c r="L75" s="44">
        <f>SUMIFS(Sheet1!$O101:$O8983,Sheet1!$K101:$K8983,Sheet3!$C75,Sheet1!$G101:$G8983,Sheet3!L$3)/3/2/IF(RIGHT(TRIM(Sheet3!$C75),3)="250",250, IF(RIGHT(TRIM(Sheet3!$C75),2)="02",180,1))</f>
        <v>0.29166666666666669</v>
      </c>
      <c r="M75" s="44">
        <f>SUMIFS(Sheet1!$O101:$O8983,Sheet1!$K101:$K8983,Sheet3!$C75,Sheet1!$G101:$G8983,Sheet3!M$3)/3/2/IF(RIGHT(TRIM(Sheet3!$C75),3)="250",250, IF(RIGHT(TRIM(Sheet3!$C75),2)="02",180,1))</f>
        <v>0.45833333333333331</v>
      </c>
      <c r="N75" s="44">
        <f>SUMIFS(Sheet1!$O101:$O8983,Sheet1!$K101:$K8983,Sheet3!$C75,Sheet1!$G101:$G8983,Sheet3!N$3)/3/2/IF(RIGHT(TRIM(Sheet3!$C75),3)="250",250, IF(RIGHT(TRIM(Sheet3!$C75),2)="02",180,1))</f>
        <v>0.86111111111111116</v>
      </c>
      <c r="O75" s="44">
        <f>SUMIFS(Sheet1!$O101:$O8983,Sheet1!$K101:$K8983,Sheet3!$C75,Sheet1!$G101:$G8983,Sheet3!O$3)/3/2/IF(RIGHT(TRIM(Sheet3!$C75),3)="250",250, IF(RIGHT(TRIM(Sheet3!$C75),2)="02",180,1))</f>
        <v>0.62037037037037035</v>
      </c>
      <c r="P75" s="41"/>
    </row>
    <row r="76" spans="2:16" x14ac:dyDescent="0.25">
      <c r="B76" s="40"/>
      <c r="C76" s="36" t="s">
        <v>776</v>
      </c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1"/>
    </row>
    <row r="77" spans="2:16" x14ac:dyDescent="0.25">
      <c r="B77" s="40"/>
      <c r="C77" s="35" t="s">
        <v>823</v>
      </c>
      <c r="D77" s="44">
        <f>SUMIFS(Sheet1!$O104:$O8986,Sheet1!$K104:$K8986,Sheet3!$C77,Sheet1!$G104:$G8986,Sheet3!D$3)/3/2/IF(RIGHT(TRIM(Sheet3!$C77),3)="250",250, IF(RIGHT(TRIM(Sheet3!$C77),2)="02",180,1))</f>
        <v>0</v>
      </c>
      <c r="E77" s="44">
        <f>SUMIFS(Sheet1!$O104:$O8986,Sheet1!$K104:$K8986,Sheet3!$C77,Sheet1!$G104:$G8986,Sheet3!E$3)/3/2/IF(RIGHT(TRIM(Sheet3!$C77),3)="250",250, IF(RIGHT(TRIM(Sheet3!$C77),2)="02",180,1))</f>
        <v>1.5</v>
      </c>
      <c r="F77" s="44">
        <f>SUMIFS(Sheet1!$O104:$O8986,Sheet1!$K104:$K8986,Sheet3!$C77,Sheet1!$G104:$G8986,Sheet3!F$3)/3/2/IF(RIGHT(TRIM(Sheet3!$C77),3)="250",250, IF(RIGHT(TRIM(Sheet3!$C77),2)="02",180,1))</f>
        <v>0.5</v>
      </c>
      <c r="G77" s="44">
        <f>SUMIFS(Sheet1!$O104:$O8986,Sheet1!$K104:$K8986,Sheet3!$C77,Sheet1!$G104:$G8986,Sheet3!G$3)/3/2/IF(RIGHT(TRIM(Sheet3!$C77),3)="250",250, IF(RIGHT(TRIM(Sheet3!$C77),2)="02",180,1))</f>
        <v>1.6666666666666667</v>
      </c>
      <c r="H77" s="44">
        <f>SUMIFS(Sheet1!$O104:$O8986,Sheet1!$K104:$K8986,Sheet3!$C77,Sheet1!$G104:$G8986,Sheet3!H$3)/3/2/IF(RIGHT(TRIM(Sheet3!$C77),3)="250",250, IF(RIGHT(TRIM(Sheet3!$C77),2)="02",180,1))</f>
        <v>2</v>
      </c>
      <c r="I77" s="44">
        <f>SUMIFS(Sheet1!$O104:$O8986,Sheet1!$K104:$K8986,Sheet3!$C77,Sheet1!$G104:$G8986,Sheet3!I$3)/3/2/IF(RIGHT(TRIM(Sheet3!$C77),3)="250",250, IF(RIGHT(TRIM(Sheet3!$C77),2)="02",180,1))</f>
        <v>0.5</v>
      </c>
      <c r="J77" s="44">
        <f>SUMIFS(Sheet1!$O104:$O8986,Sheet1!$K104:$K8986,Sheet3!$C77,Sheet1!$G104:$G8986,Sheet3!J$3)/3/2/IF(RIGHT(TRIM(Sheet3!$C77),3)="250",250, IF(RIGHT(TRIM(Sheet3!$C77),2)="02",180,1))</f>
        <v>1.1666666666666667</v>
      </c>
      <c r="K77" s="44">
        <f>SUMIFS(Sheet1!$O104:$O8986,Sheet1!$K104:$K8986,Sheet3!$C77,Sheet1!$G104:$G8986,Sheet3!K$3)/3/2/IF(RIGHT(TRIM(Sheet3!$C77),3)="250",250, IF(RIGHT(TRIM(Sheet3!$C77),2)="02",180,1))</f>
        <v>0.16666666666666666</v>
      </c>
      <c r="L77" s="44">
        <f>SUMIFS(Sheet1!$O104:$O8986,Sheet1!$K104:$K8986,Sheet3!$C77,Sheet1!$G104:$G8986,Sheet3!L$3)/3/2/IF(RIGHT(TRIM(Sheet3!$C77),3)="250",250, IF(RIGHT(TRIM(Sheet3!$C77),2)="02",180,1))</f>
        <v>0</v>
      </c>
      <c r="M77" s="44">
        <f>SUMIFS(Sheet1!$O104:$O8986,Sheet1!$K104:$K8986,Sheet3!$C77,Sheet1!$G104:$G8986,Sheet3!M$3)/3/2/IF(RIGHT(TRIM(Sheet3!$C77),3)="250",250, IF(RIGHT(TRIM(Sheet3!$C77),2)="02",180,1))</f>
        <v>0</v>
      </c>
      <c r="N77" s="44">
        <f>SUMIFS(Sheet1!$O104:$O8986,Sheet1!$K104:$K8986,Sheet3!$C77,Sheet1!$G104:$G8986,Sheet3!N$3)/3/2/IF(RIGHT(TRIM(Sheet3!$C77),3)="250",250, IF(RIGHT(TRIM(Sheet3!$C77),2)="02",180,1))</f>
        <v>0</v>
      </c>
      <c r="O77" s="44">
        <f>SUMIFS(Sheet1!$O104:$O8986,Sheet1!$K104:$K8986,Sheet3!$C77,Sheet1!$G104:$G8986,Sheet3!O$3)/3/2/IF(RIGHT(TRIM(Sheet3!$C77),3)="250",250, IF(RIGHT(TRIM(Sheet3!$C77),2)="02",180,1))</f>
        <v>0</v>
      </c>
      <c r="P77" s="41"/>
    </row>
    <row r="78" spans="2:16" x14ac:dyDescent="0.25">
      <c r="B78" s="40"/>
      <c r="C78" s="36" t="s">
        <v>3400</v>
      </c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1"/>
    </row>
    <row r="79" spans="2:16" x14ac:dyDescent="0.25">
      <c r="B79" s="40"/>
      <c r="C79" s="35" t="s">
        <v>3510</v>
      </c>
      <c r="D79" s="44">
        <f>SUMIFS(Sheet1!$O106:$O8988,Sheet1!$K106:$K8988,Sheet3!$C79,Sheet1!$G106:$G8988,Sheet3!D$3)/3/2/IF(RIGHT(TRIM(Sheet3!$C79),3)="250",250, IF(RIGHT(TRIM(Sheet3!$C79),2)="02",180,1))</f>
        <v>0</v>
      </c>
      <c r="E79" s="44">
        <f>SUMIFS(Sheet1!$O106:$O8988,Sheet1!$K106:$K8988,Sheet3!$C79,Sheet1!$G106:$G8988,Sheet3!E$3)/3/2/IF(RIGHT(TRIM(Sheet3!$C79),3)="250",250, IF(RIGHT(TRIM(Sheet3!$C79),2)="02",180,1))</f>
        <v>0</v>
      </c>
      <c r="F79" s="44">
        <f>SUMIFS(Sheet1!$O106:$O8988,Sheet1!$K106:$K8988,Sheet3!$C79,Sheet1!$G106:$G8988,Sheet3!F$3)/3/2/IF(RIGHT(TRIM(Sheet3!$C79),3)="250",250, IF(RIGHT(TRIM(Sheet3!$C79),2)="02",180,1))</f>
        <v>0</v>
      </c>
      <c r="G79" s="44">
        <f>SUMIFS(Sheet1!$O106:$O8988,Sheet1!$K106:$K8988,Sheet3!$C79,Sheet1!$G106:$G8988,Sheet3!G$3)/3/2/IF(RIGHT(TRIM(Sheet3!$C79),3)="250",250, IF(RIGHT(TRIM(Sheet3!$C79),2)="02",180,1))</f>
        <v>8.3333333333333329E-2</v>
      </c>
      <c r="H79" s="44">
        <f>SUMIFS(Sheet1!$O106:$O8988,Sheet1!$K106:$K8988,Sheet3!$C79,Sheet1!$G106:$G8988,Sheet3!H$3)/3/2/IF(RIGHT(TRIM(Sheet3!$C79),3)="250",250, IF(RIGHT(TRIM(Sheet3!$C79),2)="02",180,1))</f>
        <v>4.6296296296296302E-3</v>
      </c>
      <c r="I79" s="44">
        <f>SUMIFS(Sheet1!$O106:$O8988,Sheet1!$K106:$K8988,Sheet3!$C79,Sheet1!$G106:$G8988,Sheet3!I$3)/3/2/IF(RIGHT(TRIM(Sheet3!$C79),3)="250",250, IF(RIGHT(TRIM(Sheet3!$C79),2)="02",180,1))</f>
        <v>0.37037037037037041</v>
      </c>
      <c r="J79" s="44">
        <f>SUMIFS(Sheet1!$O106:$O8988,Sheet1!$K106:$K8988,Sheet3!$C79,Sheet1!$G106:$G8988,Sheet3!J$3)/3/2/IF(RIGHT(TRIM(Sheet3!$C79),3)="250",250, IF(RIGHT(TRIM(Sheet3!$C79),2)="02",180,1))</f>
        <v>0.37037037037037041</v>
      </c>
      <c r="K79" s="44">
        <f>SUMIFS(Sheet1!$O106:$O8988,Sheet1!$K106:$K8988,Sheet3!$C79,Sheet1!$G106:$G8988,Sheet3!K$3)/3/2/IF(RIGHT(TRIM(Sheet3!$C79),3)="250",250, IF(RIGHT(TRIM(Sheet3!$C79),2)="02",180,1))</f>
        <v>5.5555555555555552E-2</v>
      </c>
      <c r="L79" s="44">
        <f>SUMIFS(Sheet1!$O106:$O8988,Sheet1!$K106:$K8988,Sheet3!$C79,Sheet1!$G106:$G8988,Sheet3!L$3)/3/2/IF(RIGHT(TRIM(Sheet3!$C79),3)="250",250, IF(RIGHT(TRIM(Sheet3!$C79),2)="02",180,1))</f>
        <v>0.3888888888888889</v>
      </c>
      <c r="M79" s="44">
        <f>SUMIFS(Sheet1!$O106:$O8988,Sheet1!$K106:$K8988,Sheet3!$C79,Sheet1!$G106:$G8988,Sheet3!M$3)/3/2/IF(RIGHT(TRIM(Sheet3!$C79),3)="250",250, IF(RIGHT(TRIM(Sheet3!$C79),2)="02",180,1))</f>
        <v>5.5555555555555552E-2</v>
      </c>
      <c r="N79" s="44">
        <f>SUMIFS(Sheet1!$O106:$O8988,Sheet1!$K106:$K8988,Sheet3!$C79,Sheet1!$G106:$G8988,Sheet3!N$3)/3/2/IF(RIGHT(TRIM(Sheet3!$C79),3)="250",250, IF(RIGHT(TRIM(Sheet3!$C79),2)="02",180,1))</f>
        <v>0.16666666666666666</v>
      </c>
      <c r="O79" s="44">
        <f>SUMIFS(Sheet1!$O106:$O8988,Sheet1!$K106:$K8988,Sheet3!$C79,Sheet1!$G106:$G8988,Sheet3!O$3)/3/2/IF(RIGHT(TRIM(Sheet3!$C79),3)="250",250, IF(RIGHT(TRIM(Sheet3!$C79),2)="02",180,1))</f>
        <v>0</v>
      </c>
      <c r="P79" s="41"/>
    </row>
    <row r="80" spans="2:16" x14ac:dyDescent="0.25">
      <c r="B80" s="40"/>
      <c r="C80" s="35" t="s">
        <v>3399</v>
      </c>
      <c r="D80" s="44">
        <f>SUMIFS(Sheet1!$O107:$O8989,Sheet1!$K107:$K8989,Sheet3!$C80,Sheet1!$G107:$G8989,Sheet3!D$3)/3/2/IF(RIGHT(TRIM(Sheet3!$C80),3)="250",250, IF(RIGHT(TRIM(Sheet3!$C80),2)="02",180,1))</f>
        <v>0.5</v>
      </c>
      <c r="E80" s="44">
        <f>SUMIFS(Sheet1!$O107:$O8989,Sheet1!$K107:$K8989,Sheet3!$C80,Sheet1!$G107:$G8989,Sheet3!E$3)/3/2/IF(RIGHT(TRIM(Sheet3!$C80),3)="250",250, IF(RIGHT(TRIM(Sheet3!$C80),2)="02",180,1))</f>
        <v>0.16666666666666666</v>
      </c>
      <c r="F80" s="44">
        <f>SUMIFS(Sheet1!$O107:$O8989,Sheet1!$K107:$K8989,Sheet3!$C80,Sheet1!$G107:$G8989,Sheet3!F$3)/3/2/IF(RIGHT(TRIM(Sheet3!$C80),3)="250",250, IF(RIGHT(TRIM(Sheet3!$C80),2)="02",180,1))</f>
        <v>0.5</v>
      </c>
      <c r="G80" s="44">
        <f>SUMIFS(Sheet1!$O107:$O8989,Sheet1!$K107:$K8989,Sheet3!$C80,Sheet1!$G107:$G8989,Sheet3!G$3)/3/2/IF(RIGHT(TRIM(Sheet3!$C80),3)="250",250, IF(RIGHT(TRIM(Sheet3!$C80),2)="02",180,1))</f>
        <v>0.5</v>
      </c>
      <c r="H80" s="44">
        <f>SUMIFS(Sheet1!$O107:$O8989,Sheet1!$K107:$K8989,Sheet3!$C80,Sheet1!$G107:$G8989,Sheet3!H$3)/3/2/IF(RIGHT(TRIM(Sheet3!$C80),3)="250",250, IF(RIGHT(TRIM(Sheet3!$C80),2)="02",180,1))</f>
        <v>0.33333333333333331</v>
      </c>
      <c r="I80" s="44">
        <f>SUMIFS(Sheet1!$O107:$O8989,Sheet1!$K107:$K8989,Sheet3!$C80,Sheet1!$G107:$G8989,Sheet3!I$3)/3/2/IF(RIGHT(TRIM(Sheet3!$C80),3)="250",250, IF(RIGHT(TRIM(Sheet3!$C80),2)="02",180,1))</f>
        <v>0.16666666666666666</v>
      </c>
      <c r="J80" s="44">
        <f>SUMIFS(Sheet1!$O107:$O8989,Sheet1!$K107:$K8989,Sheet3!$C80,Sheet1!$G107:$G8989,Sheet3!J$3)/3/2/IF(RIGHT(TRIM(Sheet3!$C80),3)="250",250, IF(RIGHT(TRIM(Sheet3!$C80),2)="02",180,1))</f>
        <v>0.33333333333333331</v>
      </c>
      <c r="K80" s="44">
        <f>SUMIFS(Sheet1!$O107:$O8989,Sheet1!$K107:$K8989,Sheet3!$C80,Sheet1!$G107:$G8989,Sheet3!K$3)/3/2/IF(RIGHT(TRIM(Sheet3!$C80),3)="250",250, IF(RIGHT(TRIM(Sheet3!$C80),2)="02",180,1))</f>
        <v>1.0333333333333332</v>
      </c>
      <c r="L80" s="44">
        <f>SUMIFS(Sheet1!$O107:$O8989,Sheet1!$K107:$K8989,Sheet3!$C80,Sheet1!$G107:$G8989,Sheet3!L$3)/3/2/IF(RIGHT(TRIM(Sheet3!$C80),3)="250",250, IF(RIGHT(TRIM(Sheet3!$C80),2)="02",180,1))</f>
        <v>0.16666666666666666</v>
      </c>
      <c r="M80" s="44">
        <f>SUMIFS(Sheet1!$O107:$O8989,Sheet1!$K107:$K8989,Sheet3!$C80,Sheet1!$G107:$G8989,Sheet3!M$3)/3/2/IF(RIGHT(TRIM(Sheet3!$C80),3)="250",250, IF(RIGHT(TRIM(Sheet3!$C80),2)="02",180,1))</f>
        <v>0.83333333333333337</v>
      </c>
      <c r="N80" s="44">
        <f>SUMIFS(Sheet1!$O107:$O8989,Sheet1!$K107:$K8989,Sheet3!$C80,Sheet1!$G107:$G8989,Sheet3!N$3)/3/2/IF(RIGHT(TRIM(Sheet3!$C80),3)="250",250, IF(RIGHT(TRIM(Sheet3!$C80),2)="02",180,1))</f>
        <v>0.33333333333333331</v>
      </c>
      <c r="O80" s="44">
        <f>SUMIFS(Sheet1!$O107:$O8989,Sheet1!$K107:$K8989,Sheet3!$C80,Sheet1!$G107:$G8989,Sheet3!O$3)/3/2/IF(RIGHT(TRIM(Sheet3!$C80),3)="250",250, IF(RIGHT(TRIM(Sheet3!$C80),2)="02",180,1))</f>
        <v>0.51666666666666661</v>
      </c>
      <c r="P80" s="41"/>
    </row>
    <row r="81" spans="2:16" x14ac:dyDescent="0.25">
      <c r="B81" s="40"/>
      <c r="C81" s="36" t="s">
        <v>182</v>
      </c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1"/>
    </row>
    <row r="82" spans="2:16" x14ac:dyDescent="0.25">
      <c r="B82" s="40"/>
      <c r="C82" s="35" t="s">
        <v>244</v>
      </c>
      <c r="D82" s="44">
        <f>SUMIFS(Sheet1!$O111:$O8993,Sheet1!$K111:$K8993,Sheet3!$C82,Sheet1!$G111:$G8993,Sheet3!D$3)/3/2/IF(RIGHT(TRIM(Sheet3!$C82),3)="250",250, IF(RIGHT(TRIM(Sheet3!$C82),2)="02",180,1))</f>
        <v>0.35648148148148151</v>
      </c>
      <c r="E82" s="44">
        <f>SUMIFS(Sheet1!$O111:$O8993,Sheet1!$K111:$K8993,Sheet3!$C82,Sheet1!$G111:$G8993,Sheet3!E$3)/3/2/IF(RIGHT(TRIM(Sheet3!$C82),3)="250",250, IF(RIGHT(TRIM(Sheet3!$C82),2)="02",180,1))</f>
        <v>0.16666666666666666</v>
      </c>
      <c r="F82" s="44">
        <f>SUMIFS(Sheet1!$O111:$O8993,Sheet1!$K111:$K8993,Sheet3!$C82,Sheet1!$G111:$G8993,Sheet3!F$3)/3/2/IF(RIGHT(TRIM(Sheet3!$C82),3)="250",250, IF(RIGHT(TRIM(Sheet3!$C82),2)="02",180,1))</f>
        <v>0.59259259259259267</v>
      </c>
      <c r="G82" s="44">
        <f>SUMIFS(Sheet1!$O111:$O8993,Sheet1!$K111:$K8993,Sheet3!$C82,Sheet1!$G111:$G8993,Sheet3!G$3)/3/2/IF(RIGHT(TRIM(Sheet3!$C82),3)="250",250, IF(RIGHT(TRIM(Sheet3!$C82),2)="02",180,1))</f>
        <v>0</v>
      </c>
      <c r="H82" s="44">
        <f>SUMIFS(Sheet1!$O111:$O8993,Sheet1!$K111:$K8993,Sheet3!$C82,Sheet1!$G111:$G8993,Sheet3!H$3)/3/2/IF(RIGHT(TRIM(Sheet3!$C82),3)="250",250, IF(RIGHT(TRIM(Sheet3!$C82),2)="02",180,1))</f>
        <v>0.68518518518518512</v>
      </c>
      <c r="I82" s="44">
        <f>SUMIFS(Sheet1!$O111:$O8993,Sheet1!$K111:$K8993,Sheet3!$C82,Sheet1!$G111:$G8993,Sheet3!I$3)/3/2/IF(RIGHT(TRIM(Sheet3!$C82),3)="250",250, IF(RIGHT(TRIM(Sheet3!$C82),2)="02",180,1))</f>
        <v>0.61111111111111116</v>
      </c>
      <c r="J82" s="44">
        <f>SUMIFS(Sheet1!$O111:$O8993,Sheet1!$K111:$K8993,Sheet3!$C82,Sheet1!$G111:$G8993,Sheet3!J$3)/3/2/IF(RIGHT(TRIM(Sheet3!$C82),3)="250",250, IF(RIGHT(TRIM(Sheet3!$C82),2)="02",180,1))</f>
        <v>0.67592592592592593</v>
      </c>
      <c r="K82" s="44">
        <f>SUMIFS(Sheet1!$O111:$O8993,Sheet1!$K111:$K8993,Sheet3!$C82,Sheet1!$G111:$G8993,Sheet3!K$3)/3/2/IF(RIGHT(TRIM(Sheet3!$C82),3)="250",250, IF(RIGHT(TRIM(Sheet3!$C82),2)="02",180,1))</f>
        <v>4.6296296296296302E-3</v>
      </c>
      <c r="L82" s="44">
        <f>SUMIFS(Sheet1!$O111:$O8993,Sheet1!$K111:$K8993,Sheet3!$C82,Sheet1!$G111:$G8993,Sheet3!L$3)/3/2/IF(RIGHT(TRIM(Sheet3!$C82),3)="250",250, IF(RIGHT(TRIM(Sheet3!$C82),2)="02",180,1))</f>
        <v>6.9444444444444441E-3</v>
      </c>
      <c r="M82" s="44">
        <f>SUMIFS(Sheet1!$O111:$O8993,Sheet1!$K111:$K8993,Sheet3!$C82,Sheet1!$G111:$G8993,Sheet3!M$3)/3/2/IF(RIGHT(TRIM(Sheet3!$C82),3)="250",250, IF(RIGHT(TRIM(Sheet3!$C82),2)="02",180,1))</f>
        <v>0.1898148148148148</v>
      </c>
      <c r="N82" s="44">
        <f>SUMIFS(Sheet1!$O111:$O8993,Sheet1!$K111:$K8993,Sheet3!$C82,Sheet1!$G111:$G8993,Sheet3!N$3)/3/2/IF(RIGHT(TRIM(Sheet3!$C82),3)="250",250, IF(RIGHT(TRIM(Sheet3!$C82),2)="02",180,1))</f>
        <v>0.33333333333333331</v>
      </c>
      <c r="O82" s="44">
        <f>SUMIFS(Sheet1!$O111:$O8993,Sheet1!$K111:$K8993,Sheet3!$C82,Sheet1!$G111:$G8993,Sheet3!O$3)/3/2/IF(RIGHT(TRIM(Sheet3!$C82),3)="250",250, IF(RIGHT(TRIM(Sheet3!$C82),2)="02",180,1))</f>
        <v>0.10648148148148148</v>
      </c>
      <c r="P82" s="41"/>
    </row>
    <row r="83" spans="2:16" x14ac:dyDescent="0.25">
      <c r="B83" s="40"/>
      <c r="C83" s="35" t="s">
        <v>1505</v>
      </c>
      <c r="D83" s="44">
        <f>SUMIFS(Sheet1!$O112:$O8994,Sheet1!$K112:$K8994,Sheet3!$C83,Sheet1!$G112:$G8994,Sheet3!D$3)/3/2/IF(RIGHT(TRIM(Sheet3!$C83),3)="250",250, IF(RIGHT(TRIM(Sheet3!$C83),2)="02",180,1))</f>
        <v>0</v>
      </c>
      <c r="E83" s="44">
        <f>SUMIFS(Sheet1!$O112:$O8994,Sheet1!$K112:$K8994,Sheet3!$C83,Sheet1!$G112:$G8994,Sheet3!E$3)/3/2/IF(RIGHT(TRIM(Sheet3!$C83),3)="250",250, IF(RIGHT(TRIM(Sheet3!$C83),2)="02",180,1))</f>
        <v>0</v>
      </c>
      <c r="F83" s="44">
        <f>SUMIFS(Sheet1!$O112:$O8994,Sheet1!$K112:$K8994,Sheet3!$C83,Sheet1!$G112:$G8994,Sheet3!F$3)/3/2/IF(RIGHT(TRIM(Sheet3!$C83),3)="250",250, IF(RIGHT(TRIM(Sheet3!$C83),2)="02",180,1))</f>
        <v>0</v>
      </c>
      <c r="G83" s="44">
        <f>SUMIFS(Sheet1!$O112:$O8994,Sheet1!$K112:$K8994,Sheet3!$C83,Sheet1!$G112:$G8994,Sheet3!G$3)/3/2/IF(RIGHT(TRIM(Sheet3!$C83),3)="250",250, IF(RIGHT(TRIM(Sheet3!$C83),2)="02",180,1))</f>
        <v>0.5</v>
      </c>
      <c r="H83" s="44">
        <f>SUMIFS(Sheet1!$O112:$O8994,Sheet1!$K112:$K8994,Sheet3!$C83,Sheet1!$G112:$G8994,Sheet3!H$3)/3/2/IF(RIGHT(TRIM(Sheet3!$C83),3)="250",250, IF(RIGHT(TRIM(Sheet3!$C83),2)="02",180,1))</f>
        <v>0</v>
      </c>
      <c r="I83" s="44">
        <f>SUMIFS(Sheet1!$O112:$O8994,Sheet1!$K112:$K8994,Sheet3!$C83,Sheet1!$G112:$G8994,Sheet3!I$3)/3/2/IF(RIGHT(TRIM(Sheet3!$C83),3)="250",250, IF(RIGHT(TRIM(Sheet3!$C83),2)="02",180,1))</f>
        <v>0.83333333333333337</v>
      </c>
      <c r="J83" s="44">
        <f>SUMIFS(Sheet1!$O112:$O8994,Sheet1!$K112:$K8994,Sheet3!$C83,Sheet1!$G112:$G8994,Sheet3!J$3)/3/2/IF(RIGHT(TRIM(Sheet3!$C83),3)="250",250, IF(RIGHT(TRIM(Sheet3!$C83),2)="02",180,1))</f>
        <v>0.83333333333333337</v>
      </c>
      <c r="K83" s="44">
        <f>SUMIFS(Sheet1!$O112:$O8994,Sheet1!$K112:$K8994,Sheet3!$C83,Sheet1!$G112:$G8994,Sheet3!K$3)/3/2/IF(RIGHT(TRIM(Sheet3!$C83),3)="250",250, IF(RIGHT(TRIM(Sheet3!$C83),2)="02",180,1))</f>
        <v>0</v>
      </c>
      <c r="L83" s="44">
        <f>SUMIFS(Sheet1!$O112:$O8994,Sheet1!$K112:$K8994,Sheet3!$C83,Sheet1!$G112:$G8994,Sheet3!L$3)/3/2/IF(RIGHT(TRIM(Sheet3!$C83),3)="250",250, IF(RIGHT(TRIM(Sheet3!$C83),2)="02",180,1))</f>
        <v>0.5</v>
      </c>
      <c r="M83" s="44">
        <f>SUMIFS(Sheet1!$O112:$O8994,Sheet1!$K112:$K8994,Sheet3!$C83,Sheet1!$G112:$G8994,Sheet3!M$3)/3/2/IF(RIGHT(TRIM(Sheet3!$C83),3)="250",250, IF(RIGHT(TRIM(Sheet3!$C83),2)="02",180,1))</f>
        <v>0.66666666666666663</v>
      </c>
      <c r="N83" s="44">
        <f>SUMIFS(Sheet1!$O112:$O8994,Sheet1!$K112:$K8994,Sheet3!$C83,Sheet1!$G112:$G8994,Sheet3!N$3)/3/2/IF(RIGHT(TRIM(Sheet3!$C83),3)="250",250, IF(RIGHT(TRIM(Sheet3!$C83),2)="02",180,1))</f>
        <v>0.16666666666666666</v>
      </c>
      <c r="O83" s="44">
        <f>SUMIFS(Sheet1!$O112:$O8994,Sheet1!$K112:$K8994,Sheet3!$C83,Sheet1!$G112:$G8994,Sheet3!O$3)/3/2/IF(RIGHT(TRIM(Sheet3!$C83),3)="250",250, IF(RIGHT(TRIM(Sheet3!$C83),2)="02",180,1))</f>
        <v>0.33333333333333331</v>
      </c>
      <c r="P83" s="41"/>
    </row>
    <row r="84" spans="2:16" x14ac:dyDescent="0.25">
      <c r="B84" s="40"/>
      <c r="C84" s="36" t="s">
        <v>3396</v>
      </c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1"/>
    </row>
    <row r="85" spans="2:16" x14ac:dyDescent="0.25">
      <c r="C85" s="35" t="s">
        <v>6516</v>
      </c>
      <c r="D85" s="44">
        <f>SUMIFS(Sheet1!$O114:$O8996,Sheet1!$K114:$K8996,Sheet3!$C85,Sheet1!$G114:$G8996,Sheet3!D$3)/3/2/IF(RIGHT(TRIM(Sheet3!$C85),3)="250",250, IF(RIGHT(TRIM(Sheet3!$C85),2)="02",180,1))</f>
        <v>0</v>
      </c>
      <c r="E85" s="44">
        <f>SUMIFS(Sheet1!$O114:$O8996,Sheet1!$K114:$K8996,Sheet3!$C85,Sheet1!$G114:$G8996,Sheet3!E$3)/3/2/IF(RIGHT(TRIM(Sheet3!$C85),3)="250",250, IF(RIGHT(TRIM(Sheet3!$C85),2)="02",180,1))</f>
        <v>0</v>
      </c>
      <c r="F85" s="44">
        <f>SUMIFS(Sheet1!$O114:$O8996,Sheet1!$K114:$K8996,Sheet3!$C85,Sheet1!$G114:$G8996,Sheet3!F$3)/3/2/IF(RIGHT(TRIM(Sheet3!$C85),3)="250",250, IF(RIGHT(TRIM(Sheet3!$C85),2)="02",180,1))</f>
        <v>5.5555555555555552E-2</v>
      </c>
      <c r="G85" s="44">
        <f>SUMIFS(Sheet1!$O114:$O8996,Sheet1!$K114:$K8996,Sheet3!$C85,Sheet1!$G114:$G8996,Sheet3!G$3)/3/2/IF(RIGHT(TRIM(Sheet3!$C85),3)="250",250, IF(RIGHT(TRIM(Sheet3!$C85),2)="02",180,1))</f>
        <v>5.5555555555555552E-2</v>
      </c>
      <c r="H85" s="44">
        <f>SUMIFS(Sheet1!$O114:$O8996,Sheet1!$K114:$K8996,Sheet3!$C85,Sheet1!$G114:$G8996,Sheet3!H$3)/3/2/IF(RIGHT(TRIM(Sheet3!$C85),3)="250",250, IF(RIGHT(TRIM(Sheet3!$C85),2)="02",180,1))</f>
        <v>5.5555555555555552E-2</v>
      </c>
      <c r="I85" s="44">
        <f>SUMIFS(Sheet1!$O114:$O8996,Sheet1!$K114:$K8996,Sheet3!$C85,Sheet1!$G114:$G8996,Sheet3!I$3)/3/2/IF(RIGHT(TRIM(Sheet3!$C85),3)="250",250, IF(RIGHT(TRIM(Sheet3!$C85),2)="02",180,1))</f>
        <v>8.3333333333333329E-2</v>
      </c>
      <c r="J85" s="44">
        <f>SUMIFS(Sheet1!$O114:$O8996,Sheet1!$K114:$K8996,Sheet3!$C85,Sheet1!$G114:$G8996,Sheet3!J$3)/3/2/IF(RIGHT(TRIM(Sheet3!$C85),3)="250",250, IF(RIGHT(TRIM(Sheet3!$C85),2)="02",180,1))</f>
        <v>0.37037037037037041</v>
      </c>
      <c r="K85" s="44">
        <f>SUMIFS(Sheet1!$O114:$O8996,Sheet1!$K114:$K8996,Sheet3!$C85,Sheet1!$G114:$G8996,Sheet3!K$3)/3/2/IF(RIGHT(TRIM(Sheet3!$C85),3)="250",250, IF(RIGHT(TRIM(Sheet3!$C85),2)="02",180,1))</f>
        <v>0</v>
      </c>
      <c r="L85" s="44">
        <f>SUMIFS(Sheet1!$O114:$O8996,Sheet1!$K114:$K8996,Sheet3!$C85,Sheet1!$G114:$G8996,Sheet3!L$3)/3/2/IF(RIGHT(TRIM(Sheet3!$C85),3)="250",250, IF(RIGHT(TRIM(Sheet3!$C85),2)="02",180,1))</f>
        <v>0.37037037037037041</v>
      </c>
      <c r="M85" s="44">
        <f>SUMIFS(Sheet1!$O114:$O8996,Sheet1!$K114:$K8996,Sheet3!$C85,Sheet1!$G114:$G8996,Sheet3!M$3)/3/2/IF(RIGHT(TRIM(Sheet3!$C85),3)="250",250, IF(RIGHT(TRIM(Sheet3!$C85),2)="02",180,1))</f>
        <v>5.5555555555555552E-2</v>
      </c>
      <c r="N85" s="44">
        <f>SUMIFS(Sheet1!$O114:$O8996,Sheet1!$K114:$K8996,Sheet3!$C85,Sheet1!$G114:$G8996,Sheet3!N$3)/3/2/IF(RIGHT(TRIM(Sheet3!$C85),3)="250",250, IF(RIGHT(TRIM(Sheet3!$C85),2)="02",180,1))</f>
        <v>0</v>
      </c>
      <c r="O85" s="44">
        <f>SUMIFS(Sheet1!$O114:$O8996,Sheet1!$K114:$K8996,Sheet3!$C85,Sheet1!$G114:$G8996,Sheet3!O$3)/3/2/IF(RIGHT(TRIM(Sheet3!$C85),3)="250",250, IF(RIGHT(TRIM(Sheet3!$C85),2)="02",180,1))</f>
        <v>7.4074074074074084E-2</v>
      </c>
    </row>
    <row r="86" spans="2:16" x14ac:dyDescent="0.25">
      <c r="C86" s="35" t="s">
        <v>3395</v>
      </c>
      <c r="D86" s="44">
        <f>SUMIFS(Sheet1!$O115:$O8997,Sheet1!$K115:$K8997,Sheet3!$C86,Sheet1!$G115:$G8997,Sheet3!D$3)/3/2/IF(RIGHT(TRIM(Sheet3!$C86),3)="250",250, IF(RIGHT(TRIM(Sheet3!$C86),2)="02",180,1))</f>
        <v>0.7</v>
      </c>
      <c r="E86" s="44">
        <f>SUMIFS(Sheet1!$O115:$O8997,Sheet1!$K115:$K8997,Sheet3!$C86,Sheet1!$G115:$G8997,Sheet3!E$3)/3/2/IF(RIGHT(TRIM(Sheet3!$C86),3)="250",250, IF(RIGHT(TRIM(Sheet3!$C86),2)="02",180,1))</f>
        <v>0.18333333333333335</v>
      </c>
      <c r="F86" s="44">
        <f>SUMIFS(Sheet1!$O115:$O8997,Sheet1!$K115:$K8997,Sheet3!$C86,Sheet1!$G115:$G8997,Sheet3!F$3)/3/2/IF(RIGHT(TRIM(Sheet3!$C86),3)="250",250, IF(RIGHT(TRIM(Sheet3!$C86),2)="02",180,1))</f>
        <v>0.73333333333333339</v>
      </c>
      <c r="G86" s="44">
        <f>SUMIFS(Sheet1!$O115:$O8997,Sheet1!$K115:$K8997,Sheet3!$C86,Sheet1!$G115:$G8997,Sheet3!G$3)/3/2/IF(RIGHT(TRIM(Sheet3!$C86),3)="250",250, IF(RIGHT(TRIM(Sheet3!$C86),2)="02",180,1))</f>
        <v>0.53333333333333333</v>
      </c>
      <c r="H86" s="44">
        <f>SUMIFS(Sheet1!$O115:$O8997,Sheet1!$K115:$K8997,Sheet3!$C86,Sheet1!$G115:$G8997,Sheet3!H$3)/3/2/IF(RIGHT(TRIM(Sheet3!$C86),3)="250",250, IF(RIGHT(TRIM(Sheet3!$C86),2)="02",180,1))</f>
        <v>0.53333333333333333</v>
      </c>
      <c r="I86" s="44">
        <f>SUMIFS(Sheet1!$O115:$O8997,Sheet1!$K115:$K8997,Sheet3!$C86,Sheet1!$G115:$G8997,Sheet3!I$3)/3/2/IF(RIGHT(TRIM(Sheet3!$C86),3)="250",250, IF(RIGHT(TRIM(Sheet3!$C86),2)="02",180,1))</f>
        <v>0.16666666666666666</v>
      </c>
      <c r="J86" s="44">
        <f>SUMIFS(Sheet1!$O115:$O8997,Sheet1!$K115:$K8997,Sheet3!$C86,Sheet1!$G115:$G8997,Sheet3!J$3)/3/2/IF(RIGHT(TRIM(Sheet3!$C86),3)="250",250, IF(RIGHT(TRIM(Sheet3!$C86),2)="02",180,1))</f>
        <v>0.53333333333333333</v>
      </c>
      <c r="K86" s="44">
        <f>SUMIFS(Sheet1!$O115:$O8997,Sheet1!$K115:$K8997,Sheet3!$C86,Sheet1!$G115:$G8997,Sheet3!K$3)/3/2/IF(RIGHT(TRIM(Sheet3!$C86),3)="250",250, IF(RIGHT(TRIM(Sheet3!$C86),2)="02",180,1))</f>
        <v>0.33333333333333331</v>
      </c>
      <c r="L86" s="44">
        <f>SUMIFS(Sheet1!$O115:$O8997,Sheet1!$K115:$K8997,Sheet3!$C86,Sheet1!$G115:$G8997,Sheet3!L$3)/3/2/IF(RIGHT(TRIM(Sheet3!$C86),3)="250",250, IF(RIGHT(TRIM(Sheet3!$C86),2)="02",180,1))</f>
        <v>0</v>
      </c>
      <c r="M86" s="44">
        <f>SUMIFS(Sheet1!$O115:$O8997,Sheet1!$K115:$K8997,Sheet3!$C86,Sheet1!$G115:$G8997,Sheet3!M$3)/3/2/IF(RIGHT(TRIM(Sheet3!$C86),3)="250",250, IF(RIGHT(TRIM(Sheet3!$C86),2)="02",180,1))</f>
        <v>0.9</v>
      </c>
      <c r="N86" s="44">
        <f>SUMIFS(Sheet1!$O115:$O8997,Sheet1!$K115:$K8997,Sheet3!$C86,Sheet1!$G115:$G8997,Sheet3!N$3)/3/2/IF(RIGHT(TRIM(Sheet3!$C86),3)="250",250, IF(RIGHT(TRIM(Sheet3!$C86),2)="02",180,1))</f>
        <v>0.55000000000000004</v>
      </c>
      <c r="O86" s="44">
        <f>SUMIFS(Sheet1!$O115:$O8997,Sheet1!$K115:$K8997,Sheet3!$C86,Sheet1!$G115:$G8997,Sheet3!O$3)/3/2/IF(RIGHT(TRIM(Sheet3!$C86),3)="250",250, IF(RIGHT(TRIM(Sheet3!$C86),2)="02",180,1))</f>
        <v>0</v>
      </c>
    </row>
    <row r="87" spans="2:16" x14ac:dyDescent="0.25">
      <c r="C87" s="36" t="s">
        <v>4258</v>
      </c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</row>
    <row r="88" spans="2:16" x14ac:dyDescent="0.25">
      <c r="C88" s="35" t="s">
        <v>5998</v>
      </c>
      <c r="D88" s="44">
        <f>SUMIFS(Sheet1!$O117:$O8999,Sheet1!$K117:$K8999,Sheet3!$C88,Sheet1!$G117:$G8999,Sheet3!D$3)/3/2/IF(RIGHT(TRIM(Sheet3!$C88),3)="250",250, IF(RIGHT(TRIM(Sheet3!$C88),2)="02",180,1))</f>
        <v>0</v>
      </c>
      <c r="E88" s="44">
        <f>SUMIFS(Sheet1!$O117:$O8999,Sheet1!$K117:$K8999,Sheet3!$C88,Sheet1!$G117:$G8999,Sheet3!E$3)/3/2/IF(RIGHT(TRIM(Sheet3!$C88),3)="250",250, IF(RIGHT(TRIM(Sheet3!$C88),2)="02",180,1))</f>
        <v>0</v>
      </c>
      <c r="F88" s="44">
        <f>SUMIFS(Sheet1!$O117:$O8999,Sheet1!$K117:$K8999,Sheet3!$C88,Sheet1!$G117:$G8999,Sheet3!F$3)/3/2/IF(RIGHT(TRIM(Sheet3!$C88),3)="250",250, IF(RIGHT(TRIM(Sheet3!$C88),2)="02",180,1))</f>
        <v>0</v>
      </c>
      <c r="G88" s="44">
        <f>SUMIFS(Sheet1!$O117:$O8999,Sheet1!$K117:$K8999,Sheet3!$C88,Sheet1!$G117:$G8999,Sheet3!G$3)/3/2/IF(RIGHT(TRIM(Sheet3!$C88),3)="250",250, IF(RIGHT(TRIM(Sheet3!$C88),2)="02",180,1))</f>
        <v>0</v>
      </c>
      <c r="H88" s="44">
        <f>SUMIFS(Sheet1!$O117:$O8999,Sheet1!$K117:$K8999,Sheet3!$C88,Sheet1!$G117:$G8999,Sheet3!H$3)/3/2/IF(RIGHT(TRIM(Sheet3!$C88),3)="250",250, IF(RIGHT(TRIM(Sheet3!$C88),2)="02",180,1))</f>
        <v>0</v>
      </c>
      <c r="I88" s="44">
        <f>SUMIFS(Sheet1!$O117:$O8999,Sheet1!$K117:$K8999,Sheet3!$C88,Sheet1!$G117:$G8999,Sheet3!I$3)/3/2/IF(RIGHT(TRIM(Sheet3!$C88),3)="250",250, IF(RIGHT(TRIM(Sheet3!$C88),2)="02",180,1))</f>
        <v>0</v>
      </c>
      <c r="J88" s="44">
        <f>SUMIFS(Sheet1!$O117:$O8999,Sheet1!$K117:$K8999,Sheet3!$C88,Sheet1!$G117:$G8999,Sheet3!J$3)/3/2/IF(RIGHT(TRIM(Sheet3!$C88),3)="250",250, IF(RIGHT(TRIM(Sheet3!$C88),2)="02",180,1))</f>
        <v>0</v>
      </c>
      <c r="K88" s="44">
        <f>SUMIFS(Sheet1!$O117:$O8999,Sheet1!$K117:$K8999,Sheet3!$C88,Sheet1!$G117:$G8999,Sheet3!K$3)/3/2/IF(RIGHT(TRIM(Sheet3!$C88),3)="250",250, IF(RIGHT(TRIM(Sheet3!$C88),2)="02",180,1))</f>
        <v>7.4074074074074084E-2</v>
      </c>
      <c r="L88" s="44">
        <f>SUMIFS(Sheet1!$O117:$O8999,Sheet1!$K117:$K8999,Sheet3!$C88,Sheet1!$G117:$G8999,Sheet3!L$3)/3/2/IF(RIGHT(TRIM(Sheet3!$C88),3)="250",250, IF(RIGHT(TRIM(Sheet3!$C88),2)="02",180,1))</f>
        <v>0.89814814814814814</v>
      </c>
      <c r="M88" s="44">
        <f>SUMIFS(Sheet1!$O117:$O8999,Sheet1!$K117:$K8999,Sheet3!$C88,Sheet1!$G117:$G8999,Sheet3!M$3)/3/2/IF(RIGHT(TRIM(Sheet3!$C88),3)="250",250, IF(RIGHT(TRIM(Sheet3!$C88),2)="02",180,1))</f>
        <v>1.4444444444444444</v>
      </c>
      <c r="N88" s="44">
        <f>SUMIFS(Sheet1!$O117:$O8999,Sheet1!$K117:$K8999,Sheet3!$C88,Sheet1!$G117:$G8999,Sheet3!N$3)/3/2/IF(RIGHT(TRIM(Sheet3!$C88),3)="250",250, IF(RIGHT(TRIM(Sheet3!$C88),2)="02",180,1))</f>
        <v>0</v>
      </c>
      <c r="O88" s="44">
        <f>SUMIFS(Sheet1!$O117:$O8999,Sheet1!$K117:$K8999,Sheet3!$C88,Sheet1!$G117:$G8999,Sheet3!O$3)/3/2/IF(RIGHT(TRIM(Sheet3!$C88),3)="250",250, IF(RIGHT(TRIM(Sheet3!$C88),2)="02",180,1))</f>
        <v>0</v>
      </c>
    </row>
    <row r="89" spans="2:16" x14ac:dyDescent="0.25">
      <c r="C89" s="35" t="s">
        <v>4257</v>
      </c>
      <c r="D89" s="44">
        <f>SUMIFS(Sheet1!$O118:$O9000,Sheet1!$K118:$K9000,Sheet3!$C89,Sheet1!$G118:$G9000,Sheet3!D$3)/3/2/IF(RIGHT(TRIM(Sheet3!$C89),3)="250",250, IF(RIGHT(TRIM(Sheet3!$C89),2)="02",180,1))</f>
        <v>0</v>
      </c>
      <c r="E89" s="44">
        <f>SUMIFS(Sheet1!$O118:$O9000,Sheet1!$K118:$K9000,Sheet3!$C89,Sheet1!$G118:$G9000,Sheet3!E$3)/3/2/IF(RIGHT(TRIM(Sheet3!$C89),3)="250",250, IF(RIGHT(TRIM(Sheet3!$C89),2)="02",180,1))</f>
        <v>0.33333333333333331</v>
      </c>
      <c r="F89" s="44">
        <f>SUMIFS(Sheet1!$O118:$O9000,Sheet1!$K118:$K9000,Sheet3!$C89,Sheet1!$G118:$G9000,Sheet3!F$3)/3/2/IF(RIGHT(TRIM(Sheet3!$C89),3)="250",250, IF(RIGHT(TRIM(Sheet3!$C89),2)="02",180,1))</f>
        <v>2.5333333333333337</v>
      </c>
      <c r="G89" s="44">
        <f>SUMIFS(Sheet1!$O118:$O9000,Sheet1!$K118:$K9000,Sheet3!$C89,Sheet1!$G118:$G9000,Sheet3!G$3)/3/2/IF(RIGHT(TRIM(Sheet3!$C89),3)="250",250, IF(RIGHT(TRIM(Sheet3!$C89),2)="02",180,1))</f>
        <v>0.33333333333333331</v>
      </c>
      <c r="H89" s="44">
        <f>SUMIFS(Sheet1!$O118:$O9000,Sheet1!$K118:$K9000,Sheet3!$C89,Sheet1!$G118:$G9000,Sheet3!H$3)/3/2/IF(RIGHT(TRIM(Sheet3!$C89),3)="250",250, IF(RIGHT(TRIM(Sheet3!$C89),2)="02",180,1))</f>
        <v>0</v>
      </c>
      <c r="I89" s="44">
        <f>SUMIFS(Sheet1!$O118:$O9000,Sheet1!$K118:$K9000,Sheet3!$C89,Sheet1!$G118:$G9000,Sheet3!I$3)/3/2/IF(RIGHT(TRIM(Sheet3!$C89),3)="250",250, IF(RIGHT(TRIM(Sheet3!$C89),2)="02",180,1))</f>
        <v>0</v>
      </c>
      <c r="J89" s="44">
        <f>SUMIFS(Sheet1!$O118:$O9000,Sheet1!$K118:$K9000,Sheet3!$C89,Sheet1!$G118:$G9000,Sheet3!J$3)/3/2/IF(RIGHT(TRIM(Sheet3!$C89),3)="250",250, IF(RIGHT(TRIM(Sheet3!$C89),2)="02",180,1))</f>
        <v>0.16666666666666666</v>
      </c>
      <c r="K89" s="44">
        <f>SUMIFS(Sheet1!$O118:$O9000,Sheet1!$K118:$K9000,Sheet3!$C89,Sheet1!$G118:$G9000,Sheet3!K$3)/3/2/IF(RIGHT(TRIM(Sheet3!$C89),3)="250",250, IF(RIGHT(TRIM(Sheet3!$C89),2)="02",180,1))</f>
        <v>0.55000000000000004</v>
      </c>
      <c r="L89" s="44">
        <f>SUMIFS(Sheet1!$O118:$O9000,Sheet1!$K118:$K9000,Sheet3!$C89,Sheet1!$G118:$G9000,Sheet3!L$3)/3/2/IF(RIGHT(TRIM(Sheet3!$C89),3)="250",250, IF(RIGHT(TRIM(Sheet3!$C89),2)="02",180,1))</f>
        <v>0.53333333333333333</v>
      </c>
      <c r="M89" s="44">
        <f>SUMIFS(Sheet1!$O118:$O9000,Sheet1!$K118:$K9000,Sheet3!$C89,Sheet1!$G118:$G9000,Sheet3!M$3)/3/2/IF(RIGHT(TRIM(Sheet3!$C89),3)="250",250, IF(RIGHT(TRIM(Sheet3!$C89),2)="02",180,1))</f>
        <v>0</v>
      </c>
      <c r="N89" s="44">
        <f>SUMIFS(Sheet1!$O118:$O9000,Sheet1!$K118:$K9000,Sheet3!$C89,Sheet1!$G118:$G9000,Sheet3!N$3)/3/2/IF(RIGHT(TRIM(Sheet3!$C89),3)="250",250, IF(RIGHT(TRIM(Sheet3!$C89),2)="02",180,1))</f>
        <v>0</v>
      </c>
      <c r="O89" s="44">
        <f>SUMIFS(Sheet1!$O118:$O9000,Sheet1!$K118:$K9000,Sheet3!$C89,Sheet1!$G118:$G9000,Sheet3!O$3)/3/2/IF(RIGHT(TRIM(Sheet3!$C89),3)="250",250, IF(RIGHT(TRIM(Sheet3!$C89),2)="02",180,1))</f>
        <v>0</v>
      </c>
    </row>
    <row r="90" spans="2:16" x14ac:dyDescent="0.25">
      <c r="C90" s="36" t="s">
        <v>1396</v>
      </c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</row>
    <row r="91" spans="2:16" x14ac:dyDescent="0.25">
      <c r="C91" s="35" t="s">
        <v>1395</v>
      </c>
      <c r="D91" s="44">
        <f>SUMIFS(Sheet1!$O120:$O9002,Sheet1!$K120:$K9002,Sheet3!$C91,Sheet1!$G120:$G9002,Sheet3!D$3)/3/2/IF(RIGHT(TRIM(Sheet3!$C91),3)="250",250, IF(RIGHT(TRIM(Sheet3!$C91),2)="02",180,1))</f>
        <v>0</v>
      </c>
      <c r="E91" s="44">
        <f>SUMIFS(Sheet1!$O120:$O9002,Sheet1!$K120:$K9002,Sheet3!$C91,Sheet1!$G120:$G9002,Sheet3!E$3)/3/2/IF(RIGHT(TRIM(Sheet3!$C91),3)="250",250, IF(RIGHT(TRIM(Sheet3!$C91),2)="02",180,1))</f>
        <v>0</v>
      </c>
      <c r="F91" s="44">
        <f>SUMIFS(Sheet1!$O120:$O9002,Sheet1!$K120:$K9002,Sheet3!$C91,Sheet1!$G120:$G9002,Sheet3!F$3)/3/2/IF(RIGHT(TRIM(Sheet3!$C91),3)="250",250, IF(RIGHT(TRIM(Sheet3!$C91),2)="02",180,1))</f>
        <v>0.33333333333333331</v>
      </c>
      <c r="G91" s="44">
        <f>SUMIFS(Sheet1!$O120:$O9002,Sheet1!$K120:$K9002,Sheet3!$C91,Sheet1!$G120:$G9002,Sheet3!G$3)/3/2/IF(RIGHT(TRIM(Sheet3!$C91),3)="250",250, IF(RIGHT(TRIM(Sheet3!$C91),2)="02",180,1))</f>
        <v>0.16666666666666666</v>
      </c>
      <c r="H91" s="44">
        <f>SUMIFS(Sheet1!$O120:$O9002,Sheet1!$K120:$K9002,Sheet3!$C91,Sheet1!$G120:$G9002,Sheet3!H$3)/3/2/IF(RIGHT(TRIM(Sheet3!$C91),3)="250",250, IF(RIGHT(TRIM(Sheet3!$C91),2)="02",180,1))</f>
        <v>0.16666666666666666</v>
      </c>
      <c r="I91" s="44">
        <f>SUMIFS(Sheet1!$O120:$O9002,Sheet1!$K120:$K9002,Sheet3!$C91,Sheet1!$G120:$G9002,Sheet3!I$3)/3/2/IF(RIGHT(TRIM(Sheet3!$C91),3)="250",250, IF(RIGHT(TRIM(Sheet3!$C91),2)="02",180,1))</f>
        <v>0.33333333333333331</v>
      </c>
      <c r="J91" s="44">
        <f>SUMIFS(Sheet1!$O120:$O9002,Sheet1!$K120:$K9002,Sheet3!$C91,Sheet1!$G120:$G9002,Sheet3!J$3)/3/2/IF(RIGHT(TRIM(Sheet3!$C91),3)="250",250, IF(RIGHT(TRIM(Sheet3!$C91),2)="02",180,1))</f>
        <v>0.16666666666666666</v>
      </c>
      <c r="K91" s="44">
        <f>SUMIFS(Sheet1!$O120:$O9002,Sheet1!$K120:$K9002,Sheet3!$C91,Sheet1!$G120:$G9002,Sheet3!K$3)/3/2/IF(RIGHT(TRIM(Sheet3!$C91),3)="250",250, IF(RIGHT(TRIM(Sheet3!$C91),2)="02",180,1))</f>
        <v>0.16666666666666666</v>
      </c>
      <c r="L91" s="44">
        <f>SUMIFS(Sheet1!$O120:$O9002,Sheet1!$K120:$K9002,Sheet3!$C91,Sheet1!$G120:$G9002,Sheet3!L$3)/3/2/IF(RIGHT(TRIM(Sheet3!$C91),3)="250",250, IF(RIGHT(TRIM(Sheet3!$C91),2)="02",180,1))</f>
        <v>0.50231481481481488</v>
      </c>
      <c r="M91" s="44">
        <f>SUMIFS(Sheet1!$O120:$O9002,Sheet1!$K120:$K9002,Sheet3!$C91,Sheet1!$G120:$G9002,Sheet3!M$3)/3/2/IF(RIGHT(TRIM(Sheet3!$C91),3)="250",250, IF(RIGHT(TRIM(Sheet3!$C91),2)="02",180,1))</f>
        <v>0.33333333333333331</v>
      </c>
      <c r="N91" s="44">
        <f>SUMIFS(Sheet1!$O120:$O9002,Sheet1!$K120:$K9002,Sheet3!$C91,Sheet1!$G120:$G9002,Sheet3!N$3)/3/2/IF(RIGHT(TRIM(Sheet3!$C91),3)="250",250, IF(RIGHT(TRIM(Sheet3!$C91),2)="02",180,1))</f>
        <v>0.66666666666666663</v>
      </c>
      <c r="O91" s="44">
        <f>SUMIFS(Sheet1!$O120:$O9002,Sheet1!$K120:$K9002,Sheet3!$C91,Sheet1!$G120:$G9002,Sheet3!O$3)/3/2/IF(RIGHT(TRIM(Sheet3!$C91),3)="250",250, IF(RIGHT(TRIM(Sheet3!$C91),2)="02",180,1))</f>
        <v>0</v>
      </c>
    </row>
    <row r="92" spans="2:16" x14ac:dyDescent="0.25">
      <c r="C92" s="35" t="s">
        <v>1400</v>
      </c>
      <c r="D92" s="44">
        <f>SUMIFS(Sheet1!$O121:$O9003,Sheet1!$K121:$K9003,Sheet3!$C92,Sheet1!$G121:$G9003,Sheet3!D$3)/3/2/IF(RIGHT(TRIM(Sheet3!$C92),3)="250",250, IF(RIGHT(TRIM(Sheet3!$C92),2)="02",180,1))</f>
        <v>0</v>
      </c>
      <c r="E92" s="44">
        <f>SUMIFS(Sheet1!$O121:$O9003,Sheet1!$K121:$K9003,Sheet3!$C92,Sheet1!$G121:$G9003,Sheet3!E$3)/3/2/IF(RIGHT(TRIM(Sheet3!$C92),3)="250",250, IF(RIGHT(TRIM(Sheet3!$C92),2)="02",180,1))</f>
        <v>0</v>
      </c>
      <c r="F92" s="44">
        <f>SUMIFS(Sheet1!$O121:$O9003,Sheet1!$K121:$K9003,Sheet3!$C92,Sheet1!$G121:$G9003,Sheet3!F$3)/3/2/IF(RIGHT(TRIM(Sheet3!$C92),3)="250",250, IF(RIGHT(TRIM(Sheet3!$C92),2)="02",180,1))</f>
        <v>1</v>
      </c>
      <c r="G92" s="44">
        <f>SUMIFS(Sheet1!$O121:$O9003,Sheet1!$K121:$K9003,Sheet3!$C92,Sheet1!$G121:$G9003,Sheet3!G$3)/3/2/IF(RIGHT(TRIM(Sheet3!$C92),3)="250",250, IF(RIGHT(TRIM(Sheet3!$C92),2)="02",180,1))</f>
        <v>1.6666666666666667</v>
      </c>
      <c r="H92" s="44">
        <f>SUMIFS(Sheet1!$O121:$O9003,Sheet1!$K121:$K9003,Sheet3!$C92,Sheet1!$G121:$G9003,Sheet3!H$3)/3/2/IF(RIGHT(TRIM(Sheet3!$C92),3)="250",250, IF(RIGHT(TRIM(Sheet3!$C92),2)="02",180,1))</f>
        <v>1.1666666666666667</v>
      </c>
      <c r="I92" s="44">
        <f>SUMIFS(Sheet1!$O121:$O9003,Sheet1!$K121:$K9003,Sheet3!$C92,Sheet1!$G121:$G9003,Sheet3!I$3)/3/2/IF(RIGHT(TRIM(Sheet3!$C92),3)="250",250, IF(RIGHT(TRIM(Sheet3!$C92),2)="02",180,1))</f>
        <v>0.66666666666666663</v>
      </c>
      <c r="J92" s="44">
        <f>SUMIFS(Sheet1!$O121:$O9003,Sheet1!$K121:$K9003,Sheet3!$C92,Sheet1!$G121:$G9003,Sheet3!J$3)/3/2/IF(RIGHT(TRIM(Sheet3!$C92),3)="250",250, IF(RIGHT(TRIM(Sheet3!$C92),2)="02",180,1))</f>
        <v>0</v>
      </c>
      <c r="K92" s="44">
        <f>SUMIFS(Sheet1!$O121:$O9003,Sheet1!$K121:$K9003,Sheet3!$C92,Sheet1!$G121:$G9003,Sheet3!K$3)/3/2/IF(RIGHT(TRIM(Sheet3!$C92),3)="250",250, IF(RIGHT(TRIM(Sheet3!$C92),2)="02",180,1))</f>
        <v>0</v>
      </c>
      <c r="L92" s="44">
        <f>SUMIFS(Sheet1!$O121:$O9003,Sheet1!$K121:$K9003,Sheet3!$C92,Sheet1!$G121:$G9003,Sheet3!L$3)/3/2/IF(RIGHT(TRIM(Sheet3!$C92),3)="250",250, IF(RIGHT(TRIM(Sheet3!$C92),2)="02",180,1))</f>
        <v>0</v>
      </c>
      <c r="M92" s="44">
        <f>SUMIFS(Sheet1!$O121:$O9003,Sheet1!$K121:$K9003,Sheet3!$C92,Sheet1!$G121:$G9003,Sheet3!M$3)/3/2/IF(RIGHT(TRIM(Sheet3!$C92),3)="250",250, IF(RIGHT(TRIM(Sheet3!$C92),2)="02",180,1))</f>
        <v>0</v>
      </c>
      <c r="N92" s="44">
        <f>SUMIFS(Sheet1!$O121:$O9003,Sheet1!$K121:$K9003,Sheet3!$C92,Sheet1!$G121:$G9003,Sheet3!N$3)/3/2/IF(RIGHT(TRIM(Sheet3!$C92),3)="250",250, IF(RIGHT(TRIM(Sheet3!$C92),2)="02",180,1))</f>
        <v>0</v>
      </c>
      <c r="O92" s="44">
        <f>SUMIFS(Sheet1!$O121:$O9003,Sheet1!$K121:$K9003,Sheet3!$C92,Sheet1!$G121:$G9003,Sheet3!O$3)/3/2/IF(RIGHT(TRIM(Sheet3!$C92),3)="250",250, IF(RIGHT(TRIM(Sheet3!$C92),2)="02",180,1))</f>
        <v>0</v>
      </c>
    </row>
    <row r="93" spans="2:16" x14ac:dyDescent="0.25">
      <c r="C93" s="36" t="s">
        <v>5951</v>
      </c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</row>
    <row r="94" spans="2:16" x14ac:dyDescent="0.25">
      <c r="C94" s="35" t="s">
        <v>22</v>
      </c>
      <c r="D94" s="44">
        <f>SUMIFS(Sheet1!$O123:$O9005,Sheet1!$K123:$K9005,Sheet3!$C94,Sheet1!$G123:$G9005,Sheet3!D$3)/3/2/IF(RIGHT(TRIM(Sheet3!$C94),3)="250",250, IF(RIGHT(TRIM(Sheet3!$C94),2)="02",180,1))</f>
        <v>0.25</v>
      </c>
      <c r="E94" s="44">
        <f>SUMIFS(Sheet1!$O123:$O9005,Sheet1!$K123:$K9005,Sheet3!$C94,Sheet1!$G123:$G9005,Sheet3!E$3)/3/2/IF(RIGHT(TRIM(Sheet3!$C94),3)="250",250, IF(RIGHT(TRIM(Sheet3!$C94),2)="02",180,1))</f>
        <v>3.7037037037037042E-2</v>
      </c>
      <c r="F94" s="44">
        <f>SUMIFS(Sheet1!$O123:$O9005,Sheet1!$K123:$K9005,Sheet3!$C94,Sheet1!$G123:$G9005,Sheet3!F$3)/3/2/IF(RIGHT(TRIM(Sheet3!$C94),3)="250",250, IF(RIGHT(TRIM(Sheet3!$C94),2)="02",180,1))</f>
        <v>0.1111111111111111</v>
      </c>
      <c r="G94" s="44">
        <f>SUMIFS(Sheet1!$O123:$O9005,Sheet1!$K123:$K9005,Sheet3!$C94,Sheet1!$G123:$G9005,Sheet3!G$3)/3/2/IF(RIGHT(TRIM(Sheet3!$C94),3)="250",250, IF(RIGHT(TRIM(Sheet3!$C94),2)="02",180,1))</f>
        <v>0.3888888888888889</v>
      </c>
      <c r="H94" s="44">
        <f>SUMIFS(Sheet1!$O123:$O9005,Sheet1!$K123:$K9005,Sheet3!$C94,Sheet1!$G123:$G9005,Sheet3!H$3)/3/2/IF(RIGHT(TRIM(Sheet3!$C94),3)="250",250, IF(RIGHT(TRIM(Sheet3!$C94),2)="02",180,1))</f>
        <v>0.1111111111111111</v>
      </c>
      <c r="I94" s="44">
        <f>SUMIFS(Sheet1!$O123:$O9005,Sheet1!$K123:$K9005,Sheet3!$C94,Sheet1!$G123:$G9005,Sheet3!I$3)/3/2/IF(RIGHT(TRIM(Sheet3!$C94),3)="250",250, IF(RIGHT(TRIM(Sheet3!$C94),2)="02",180,1))</f>
        <v>0.65740740740740733</v>
      </c>
      <c r="J94" s="44">
        <f>SUMIFS(Sheet1!$O123:$O9005,Sheet1!$K123:$K9005,Sheet3!$C94,Sheet1!$G123:$G9005,Sheet3!J$3)/3/2/IF(RIGHT(TRIM(Sheet3!$C94),3)="250",250, IF(RIGHT(TRIM(Sheet3!$C94),2)="02",180,1))</f>
        <v>0.75925925925925919</v>
      </c>
      <c r="K94" s="44">
        <f>SUMIFS(Sheet1!$O123:$O9005,Sheet1!$K123:$K9005,Sheet3!$C94,Sheet1!$G123:$G9005,Sheet3!K$3)/3/2/IF(RIGHT(TRIM(Sheet3!$C94),3)="250",250, IF(RIGHT(TRIM(Sheet3!$C94),2)="02",180,1))</f>
        <v>0.54166666666666663</v>
      </c>
      <c r="L94" s="44">
        <f>SUMIFS(Sheet1!$O123:$O9005,Sheet1!$K123:$K9005,Sheet3!$C94,Sheet1!$G123:$G9005,Sheet3!L$3)/3/2/IF(RIGHT(TRIM(Sheet3!$C94),3)="250",250, IF(RIGHT(TRIM(Sheet3!$C94),2)="02",180,1))</f>
        <v>0.1111111111111111</v>
      </c>
      <c r="M94" s="44">
        <f>SUMIFS(Sheet1!$O123:$O9005,Sheet1!$K123:$K9005,Sheet3!$C94,Sheet1!$G123:$G9005,Sheet3!M$3)/3/2/IF(RIGHT(TRIM(Sheet3!$C94),3)="250",250, IF(RIGHT(TRIM(Sheet3!$C94),2)="02",180,1))</f>
        <v>0.27777777777777779</v>
      </c>
      <c r="N94" s="44">
        <f>SUMIFS(Sheet1!$O123:$O9005,Sheet1!$K123:$K9005,Sheet3!$C94,Sheet1!$G123:$G9005,Sheet3!N$3)/3/2/IF(RIGHT(TRIM(Sheet3!$C94),3)="250",250, IF(RIGHT(TRIM(Sheet3!$C94),2)="02",180,1))</f>
        <v>0.13425925925925927</v>
      </c>
      <c r="O94" s="44">
        <f>SUMIFS(Sheet1!$O123:$O9005,Sheet1!$K123:$K9005,Sheet3!$C94,Sheet1!$G123:$G9005,Sheet3!O$3)/3/2/IF(RIGHT(TRIM(Sheet3!$C94),3)="250",250, IF(RIGHT(TRIM(Sheet3!$C94),2)="02",180,1))</f>
        <v>5.7870370370370364E-2</v>
      </c>
    </row>
    <row r="95" spans="2:16" x14ac:dyDescent="0.25">
      <c r="C95" s="35" t="s">
        <v>2548</v>
      </c>
      <c r="D95" s="44">
        <f>SUMIFS(Sheet1!$O124:$O9006,Sheet1!$K124:$K9006,Sheet3!$C95,Sheet1!$G124:$G9006,Sheet3!D$3)/3/2/IF(RIGHT(TRIM(Sheet3!$C95),3)="250",250, IF(RIGHT(TRIM(Sheet3!$C95),2)="02",180,1))</f>
        <v>0.16666666666666666</v>
      </c>
      <c r="E95" s="44">
        <f>SUMIFS(Sheet1!$O124:$O9006,Sheet1!$K124:$K9006,Sheet3!$C95,Sheet1!$G124:$G9006,Sheet3!E$3)/3/2/IF(RIGHT(TRIM(Sheet3!$C95),3)="250",250, IF(RIGHT(TRIM(Sheet3!$C95),2)="02",180,1))</f>
        <v>0</v>
      </c>
      <c r="F95" s="44">
        <f>SUMIFS(Sheet1!$O124:$O9006,Sheet1!$K124:$K9006,Sheet3!$C95,Sheet1!$G124:$G9006,Sheet3!F$3)/3/2/IF(RIGHT(TRIM(Sheet3!$C95),3)="250",250, IF(RIGHT(TRIM(Sheet3!$C95),2)="02",180,1))</f>
        <v>0</v>
      </c>
      <c r="G95" s="44">
        <f>SUMIFS(Sheet1!$O124:$O9006,Sheet1!$K124:$K9006,Sheet3!$C95,Sheet1!$G124:$G9006,Sheet3!G$3)/3/2/IF(RIGHT(TRIM(Sheet3!$C95),3)="250",250, IF(RIGHT(TRIM(Sheet3!$C95),2)="02",180,1))</f>
        <v>0</v>
      </c>
      <c r="H95" s="44">
        <f>SUMIFS(Sheet1!$O124:$O9006,Sheet1!$K124:$K9006,Sheet3!$C95,Sheet1!$G124:$G9006,Sheet3!H$3)/3/2/IF(RIGHT(TRIM(Sheet3!$C95),3)="250",250, IF(RIGHT(TRIM(Sheet3!$C95),2)="02",180,1))</f>
        <v>1.4666666666666668</v>
      </c>
      <c r="I95" s="44">
        <f>SUMIFS(Sheet1!$O124:$O9006,Sheet1!$K124:$K9006,Sheet3!$C95,Sheet1!$G124:$G9006,Sheet3!I$3)/3/2/IF(RIGHT(TRIM(Sheet3!$C95),3)="250",250, IF(RIGHT(TRIM(Sheet3!$C95),2)="02",180,1))</f>
        <v>4.75</v>
      </c>
      <c r="J95" s="44">
        <f>SUMIFS(Sheet1!$O124:$O9006,Sheet1!$K124:$K9006,Sheet3!$C95,Sheet1!$G124:$G9006,Sheet3!J$3)/3/2/IF(RIGHT(TRIM(Sheet3!$C95),3)="250",250, IF(RIGHT(TRIM(Sheet3!$C95),2)="02",180,1))</f>
        <v>0.16666666666666666</v>
      </c>
      <c r="K95" s="44">
        <f>SUMIFS(Sheet1!$O124:$O9006,Sheet1!$K124:$K9006,Sheet3!$C95,Sheet1!$G124:$G9006,Sheet3!K$3)/3/2/IF(RIGHT(TRIM(Sheet3!$C95),3)="250",250, IF(RIGHT(TRIM(Sheet3!$C95),2)="02",180,1))</f>
        <v>0.16666666666666666</v>
      </c>
      <c r="L95" s="44">
        <f>SUMIFS(Sheet1!$O124:$O9006,Sheet1!$K124:$K9006,Sheet3!$C95,Sheet1!$G124:$G9006,Sheet3!L$3)/3/2/IF(RIGHT(TRIM(Sheet3!$C95),3)="250",250, IF(RIGHT(TRIM(Sheet3!$C95),2)="02",180,1))</f>
        <v>0.16666666666666666</v>
      </c>
      <c r="M95" s="44">
        <f>SUMIFS(Sheet1!$O124:$O9006,Sheet1!$K124:$K9006,Sheet3!$C95,Sheet1!$G124:$G9006,Sheet3!M$3)/3/2/IF(RIGHT(TRIM(Sheet3!$C95),3)="250",250, IF(RIGHT(TRIM(Sheet3!$C95),2)="02",180,1))</f>
        <v>0</v>
      </c>
      <c r="N95" s="44">
        <f>SUMIFS(Sheet1!$O124:$O9006,Sheet1!$K124:$K9006,Sheet3!$C95,Sheet1!$G124:$G9006,Sheet3!N$3)/3/2/IF(RIGHT(TRIM(Sheet3!$C95),3)="250",250, IF(RIGHT(TRIM(Sheet3!$C95),2)="02",180,1))</f>
        <v>0.16666666666666666</v>
      </c>
      <c r="O95" s="44">
        <f>SUMIFS(Sheet1!$O124:$O9006,Sheet1!$K124:$K9006,Sheet3!$C95,Sheet1!$G124:$G9006,Sheet3!O$3)/3/2/IF(RIGHT(TRIM(Sheet3!$C95),3)="250",250, IF(RIGHT(TRIM(Sheet3!$C95),2)="02",180,1))</f>
        <v>0</v>
      </c>
    </row>
    <row r="96" spans="2:16" x14ac:dyDescent="0.25">
      <c r="C96" s="36" t="s">
        <v>3498</v>
      </c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</row>
    <row r="97" spans="3:15" x14ac:dyDescent="0.25">
      <c r="C97" s="35" t="s">
        <v>3521</v>
      </c>
      <c r="D97" s="44">
        <f>SUMIFS(Sheet1!$O126:$O9008,Sheet1!$K126:$K9008,Sheet3!$C97,Sheet1!$G126:$G9008,Sheet3!D$3)/3/2/IF(RIGHT(TRIM(Sheet3!$C97),3)="250",250, IF(RIGHT(TRIM(Sheet3!$C97),2)="02",180,1))</f>
        <v>0</v>
      </c>
      <c r="E97" s="44">
        <f>SUMIFS(Sheet1!$O126:$O9008,Sheet1!$K126:$K9008,Sheet3!$C97,Sheet1!$G126:$G9008,Sheet3!E$3)/3/2/IF(RIGHT(TRIM(Sheet3!$C97),3)="250",250, IF(RIGHT(TRIM(Sheet3!$C97),2)="02",180,1))</f>
        <v>0</v>
      </c>
      <c r="F97" s="44">
        <f>SUMIFS(Sheet1!$O126:$O9008,Sheet1!$K126:$K9008,Sheet3!$C97,Sheet1!$G126:$G9008,Sheet3!F$3)/3/2/IF(RIGHT(TRIM(Sheet3!$C97),3)="250",250, IF(RIGHT(TRIM(Sheet3!$C97),2)="02",180,1))</f>
        <v>5.5555555555555552E-2</v>
      </c>
      <c r="G97" s="44">
        <f>SUMIFS(Sheet1!$O126:$O9008,Sheet1!$K126:$K9008,Sheet3!$C97,Sheet1!$G126:$G9008,Sheet3!G$3)/3/2/IF(RIGHT(TRIM(Sheet3!$C97),3)="250",250, IF(RIGHT(TRIM(Sheet3!$C97),2)="02",180,1))</f>
        <v>5.5555555555555552E-2</v>
      </c>
      <c r="H97" s="44">
        <f>SUMIFS(Sheet1!$O126:$O9008,Sheet1!$K126:$K9008,Sheet3!$C97,Sheet1!$G126:$G9008,Sheet3!H$3)/3/2/IF(RIGHT(TRIM(Sheet3!$C97),3)="250",250, IF(RIGHT(TRIM(Sheet3!$C97),2)="02",180,1))</f>
        <v>0</v>
      </c>
      <c r="I97" s="44">
        <f>SUMIFS(Sheet1!$O126:$O9008,Sheet1!$K126:$K9008,Sheet3!$C97,Sheet1!$G126:$G9008,Sheet3!I$3)/3/2/IF(RIGHT(TRIM(Sheet3!$C97),3)="250",250, IF(RIGHT(TRIM(Sheet3!$C97),2)="02",180,1))</f>
        <v>0.15740740740740741</v>
      </c>
      <c r="J97" s="44">
        <f>SUMIFS(Sheet1!$O126:$O9008,Sheet1!$K126:$K9008,Sheet3!$C97,Sheet1!$G126:$G9008,Sheet3!J$3)/3/2/IF(RIGHT(TRIM(Sheet3!$C97),3)="250",250, IF(RIGHT(TRIM(Sheet3!$C97),2)="02",180,1))</f>
        <v>0</v>
      </c>
      <c r="K97" s="44">
        <f>SUMIFS(Sheet1!$O126:$O9008,Sheet1!$K126:$K9008,Sheet3!$C97,Sheet1!$G126:$G9008,Sheet3!K$3)/3/2/IF(RIGHT(TRIM(Sheet3!$C97),3)="250",250, IF(RIGHT(TRIM(Sheet3!$C97),2)="02",180,1))</f>
        <v>0</v>
      </c>
      <c r="L97" s="44">
        <f>SUMIFS(Sheet1!$O126:$O9008,Sheet1!$K126:$K9008,Sheet3!$C97,Sheet1!$G126:$G9008,Sheet3!L$3)/3/2/IF(RIGHT(TRIM(Sheet3!$C97),3)="250",250, IF(RIGHT(TRIM(Sheet3!$C97),2)="02",180,1))</f>
        <v>0</v>
      </c>
      <c r="M97" s="44">
        <f>SUMIFS(Sheet1!$O126:$O9008,Sheet1!$K126:$K9008,Sheet3!$C97,Sheet1!$G126:$G9008,Sheet3!M$3)/3/2/IF(RIGHT(TRIM(Sheet3!$C97),3)="250",250, IF(RIGHT(TRIM(Sheet3!$C97),2)="02",180,1))</f>
        <v>0</v>
      </c>
      <c r="N97" s="44">
        <f>SUMIFS(Sheet1!$O126:$O9008,Sheet1!$K126:$K9008,Sheet3!$C97,Sheet1!$G126:$G9008,Sheet3!N$3)/3/2/IF(RIGHT(TRIM(Sheet3!$C97),3)="250",250, IF(RIGHT(TRIM(Sheet3!$C97),2)="02",180,1))</f>
        <v>0.3888888888888889</v>
      </c>
      <c r="O97" s="44">
        <f>SUMIFS(Sheet1!$O126:$O9008,Sheet1!$K126:$K9008,Sheet3!$C97,Sheet1!$G126:$G9008,Sheet3!O$3)/3/2/IF(RIGHT(TRIM(Sheet3!$C97),3)="250",250, IF(RIGHT(TRIM(Sheet3!$C97),2)="02",180,1))</f>
        <v>0</v>
      </c>
    </row>
    <row r="98" spans="3:15" x14ac:dyDescent="0.25">
      <c r="C98" s="35" t="s">
        <v>3497</v>
      </c>
      <c r="D98" s="44">
        <f>SUMIFS(Sheet1!$O127:$O9009,Sheet1!$K127:$K9009,Sheet3!$C98,Sheet1!$G127:$G9009,Sheet3!D$3)/3/2/IF(RIGHT(TRIM(Sheet3!$C98),3)="250",250, IF(RIGHT(TRIM(Sheet3!$C98),2)="02",180,1))</f>
        <v>0.66666666666666663</v>
      </c>
      <c r="E98" s="44">
        <f>SUMIFS(Sheet1!$O127:$O9009,Sheet1!$K127:$K9009,Sheet3!$C98,Sheet1!$G127:$G9009,Sheet3!E$3)/3/2/IF(RIGHT(TRIM(Sheet3!$C98),3)="250",250, IF(RIGHT(TRIM(Sheet3!$C98),2)="02",180,1))</f>
        <v>0</v>
      </c>
      <c r="F98" s="44">
        <f>SUMIFS(Sheet1!$O127:$O9009,Sheet1!$K127:$K9009,Sheet3!$C98,Sheet1!$G127:$G9009,Sheet3!F$3)/3/2/IF(RIGHT(TRIM(Sheet3!$C98),3)="250",250, IF(RIGHT(TRIM(Sheet3!$C98),2)="02",180,1))</f>
        <v>0.33333333333333331</v>
      </c>
      <c r="G98" s="44">
        <f>SUMIFS(Sheet1!$O127:$O9009,Sheet1!$K127:$K9009,Sheet3!$C98,Sheet1!$G127:$G9009,Sheet3!G$3)/3/2/IF(RIGHT(TRIM(Sheet3!$C98),3)="250",250, IF(RIGHT(TRIM(Sheet3!$C98),2)="02",180,1))</f>
        <v>0.16666666666666666</v>
      </c>
      <c r="H98" s="44">
        <f>SUMIFS(Sheet1!$O127:$O9009,Sheet1!$K127:$K9009,Sheet3!$C98,Sheet1!$G127:$G9009,Sheet3!H$3)/3/2/IF(RIGHT(TRIM(Sheet3!$C98),3)="250",250, IF(RIGHT(TRIM(Sheet3!$C98),2)="02",180,1))</f>
        <v>0</v>
      </c>
      <c r="I98" s="44">
        <f>SUMIFS(Sheet1!$O127:$O9009,Sheet1!$K127:$K9009,Sheet3!$C98,Sheet1!$G127:$G9009,Sheet3!I$3)/3/2/IF(RIGHT(TRIM(Sheet3!$C98),3)="250",250, IF(RIGHT(TRIM(Sheet3!$C98),2)="02",180,1))</f>
        <v>0</v>
      </c>
      <c r="J98" s="44">
        <f>SUMIFS(Sheet1!$O127:$O9009,Sheet1!$K127:$K9009,Sheet3!$C98,Sheet1!$G127:$G9009,Sheet3!J$3)/3/2/IF(RIGHT(TRIM(Sheet3!$C98),3)="250",250, IF(RIGHT(TRIM(Sheet3!$C98),2)="02",180,1))</f>
        <v>0.6</v>
      </c>
      <c r="K98" s="44">
        <f>SUMIFS(Sheet1!$O127:$O9009,Sheet1!$K127:$K9009,Sheet3!$C98,Sheet1!$G127:$G9009,Sheet3!K$3)/3/2/IF(RIGHT(TRIM(Sheet3!$C98),3)="250",250, IF(RIGHT(TRIM(Sheet3!$C98),2)="02",180,1))</f>
        <v>1.3333333333333333</v>
      </c>
      <c r="L98" s="44">
        <f>SUMIFS(Sheet1!$O127:$O9009,Sheet1!$K127:$K9009,Sheet3!$C98,Sheet1!$G127:$G9009,Sheet3!L$3)/3/2/IF(RIGHT(TRIM(Sheet3!$C98),3)="250",250, IF(RIGHT(TRIM(Sheet3!$C98),2)="02",180,1))</f>
        <v>0.5</v>
      </c>
      <c r="M98" s="44">
        <f>SUMIFS(Sheet1!$O127:$O9009,Sheet1!$K127:$K9009,Sheet3!$C98,Sheet1!$G127:$G9009,Sheet3!M$3)/3/2/IF(RIGHT(TRIM(Sheet3!$C98),3)="250",250, IF(RIGHT(TRIM(Sheet3!$C98),2)="02",180,1))</f>
        <v>0</v>
      </c>
      <c r="N98" s="44">
        <f>SUMIFS(Sheet1!$O127:$O9009,Sheet1!$K127:$K9009,Sheet3!$C98,Sheet1!$G127:$G9009,Sheet3!N$3)/3/2/IF(RIGHT(TRIM(Sheet3!$C98),3)="250",250, IF(RIGHT(TRIM(Sheet3!$C98),2)="02",180,1))</f>
        <v>1.5</v>
      </c>
      <c r="O98" s="44">
        <f>SUMIFS(Sheet1!$O127:$O9009,Sheet1!$K127:$K9009,Sheet3!$C98,Sheet1!$G127:$G9009,Sheet3!O$3)/3/2/IF(RIGHT(TRIM(Sheet3!$C98),3)="250",250, IF(RIGHT(TRIM(Sheet3!$C98),2)="02",180,1))</f>
        <v>0</v>
      </c>
    </row>
    <row r="99" spans="3:15" x14ac:dyDescent="0.25">
      <c r="C99" s="36" t="s">
        <v>2148</v>
      </c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</row>
    <row r="100" spans="3:15" x14ac:dyDescent="0.25">
      <c r="C100" s="35" t="s">
        <v>2836</v>
      </c>
      <c r="D100" s="44">
        <f>SUMIFS(Sheet1!$O129:$O9011,Sheet1!$K129:$K9011,Sheet3!$C100,Sheet1!$G129:$G9011,Sheet3!D$3)/3/2/IF(RIGHT(TRIM(Sheet3!$C100),3)="250",250, IF(RIGHT(TRIM(Sheet3!$C100),2)="02",180,1))</f>
        <v>0</v>
      </c>
      <c r="E100" s="44">
        <f>SUMIFS(Sheet1!$O129:$O9011,Sheet1!$K129:$K9011,Sheet3!$C100,Sheet1!$G129:$G9011,Sheet3!E$3)/3/2/IF(RIGHT(TRIM(Sheet3!$C100),3)="250",250, IF(RIGHT(TRIM(Sheet3!$C100),2)="02",180,1))</f>
        <v>0</v>
      </c>
      <c r="F100" s="44">
        <f>SUMIFS(Sheet1!$O129:$O9011,Sheet1!$K129:$K9011,Sheet3!$C100,Sheet1!$G129:$G9011,Sheet3!F$3)/3/2/IF(RIGHT(TRIM(Sheet3!$C100),3)="250",250, IF(RIGHT(TRIM(Sheet3!$C100),2)="02",180,1))</f>
        <v>0</v>
      </c>
      <c r="G100" s="44">
        <f>SUMIFS(Sheet1!$O129:$O9011,Sheet1!$K129:$K9011,Sheet3!$C100,Sheet1!$G129:$G9011,Sheet3!G$3)/3/2/IF(RIGHT(TRIM(Sheet3!$C100),3)="250",250, IF(RIGHT(TRIM(Sheet3!$C100),2)="02",180,1))</f>
        <v>0</v>
      </c>
      <c r="H100" s="44">
        <f>SUMIFS(Sheet1!$O129:$O9011,Sheet1!$K129:$K9011,Sheet3!$C100,Sheet1!$G129:$G9011,Sheet3!H$3)/3/2/IF(RIGHT(TRIM(Sheet3!$C100),3)="250",250, IF(RIGHT(TRIM(Sheet3!$C100),2)="02",180,1))</f>
        <v>0</v>
      </c>
      <c r="I100" s="44">
        <f>SUMIFS(Sheet1!$O129:$O9011,Sheet1!$K129:$K9011,Sheet3!$C100,Sheet1!$G129:$G9011,Sheet3!I$3)/3/2/IF(RIGHT(TRIM(Sheet3!$C100),3)="250",250, IF(RIGHT(TRIM(Sheet3!$C100),2)="02",180,1))</f>
        <v>0</v>
      </c>
      <c r="J100" s="44">
        <f>SUMIFS(Sheet1!$O129:$O9011,Sheet1!$K129:$K9011,Sheet3!$C100,Sheet1!$G129:$G9011,Sheet3!J$3)/3/2/IF(RIGHT(TRIM(Sheet3!$C100),3)="250",250, IF(RIGHT(TRIM(Sheet3!$C100),2)="02",180,1))</f>
        <v>0.33333333333333331</v>
      </c>
      <c r="K100" s="44">
        <f>SUMIFS(Sheet1!$O129:$O9011,Sheet1!$K129:$K9011,Sheet3!$C100,Sheet1!$G129:$G9011,Sheet3!K$3)/3/2/IF(RIGHT(TRIM(Sheet3!$C100),3)="250",250, IF(RIGHT(TRIM(Sheet3!$C100),2)="02",180,1))</f>
        <v>0.16666666666666666</v>
      </c>
      <c r="L100" s="44">
        <f>SUMIFS(Sheet1!$O129:$O9011,Sheet1!$K129:$K9011,Sheet3!$C100,Sheet1!$G129:$G9011,Sheet3!L$3)/3/2/IF(RIGHT(TRIM(Sheet3!$C100),3)="250",250, IF(RIGHT(TRIM(Sheet3!$C100),2)="02",180,1))</f>
        <v>0</v>
      </c>
      <c r="M100" s="44">
        <f>SUMIFS(Sheet1!$O129:$O9011,Sheet1!$K129:$K9011,Sheet3!$C100,Sheet1!$G129:$G9011,Sheet3!M$3)/3/2/IF(RIGHT(TRIM(Sheet3!$C100),3)="250",250, IF(RIGHT(TRIM(Sheet3!$C100),2)="02",180,1))</f>
        <v>0.16666666666666666</v>
      </c>
      <c r="N100" s="44">
        <f>SUMIFS(Sheet1!$O129:$O9011,Sheet1!$K129:$K9011,Sheet3!$C100,Sheet1!$G129:$G9011,Sheet3!N$3)/3/2/IF(RIGHT(TRIM(Sheet3!$C100),3)="250",250, IF(RIGHT(TRIM(Sheet3!$C100),2)="02",180,1))</f>
        <v>0.16666666666666666</v>
      </c>
      <c r="O100" s="44">
        <f>SUMIFS(Sheet1!$O129:$O9011,Sheet1!$K129:$K9011,Sheet3!$C100,Sheet1!$G129:$G9011,Sheet3!O$3)/3/2/IF(RIGHT(TRIM(Sheet3!$C100),3)="250",250, IF(RIGHT(TRIM(Sheet3!$C100),2)="02",180,1))</f>
        <v>0</v>
      </c>
    </row>
    <row r="101" spans="3:15" x14ac:dyDescent="0.25">
      <c r="C101" s="35" t="s">
        <v>2147</v>
      </c>
      <c r="D101" s="44">
        <f>SUMIFS(Sheet1!$O130:$O9012,Sheet1!$K130:$K9012,Sheet3!$C101,Sheet1!$G130:$G9012,Sheet3!D$3)/3/2/IF(RIGHT(TRIM(Sheet3!$C101),3)="250",250, IF(RIGHT(TRIM(Sheet3!$C101),2)="02",180,1))</f>
        <v>0</v>
      </c>
      <c r="E101" s="44">
        <f>SUMIFS(Sheet1!$O130:$O9012,Sheet1!$K130:$K9012,Sheet3!$C101,Sheet1!$G130:$G9012,Sheet3!E$3)/3/2/IF(RIGHT(TRIM(Sheet3!$C101),3)="250",250, IF(RIGHT(TRIM(Sheet3!$C101),2)="02",180,1))</f>
        <v>0</v>
      </c>
      <c r="F101" s="44">
        <f>SUMIFS(Sheet1!$O130:$O9012,Sheet1!$K130:$K9012,Sheet3!$C101,Sheet1!$G130:$G9012,Sheet3!F$3)/3/2/IF(RIGHT(TRIM(Sheet3!$C101),3)="250",250, IF(RIGHT(TRIM(Sheet3!$C101),2)="02",180,1))</f>
        <v>0</v>
      </c>
      <c r="G101" s="44">
        <f>SUMIFS(Sheet1!$O130:$O9012,Sheet1!$K130:$K9012,Sheet3!$C101,Sheet1!$G130:$G9012,Sheet3!G$3)/3/2/IF(RIGHT(TRIM(Sheet3!$C101),3)="250",250, IF(RIGHT(TRIM(Sheet3!$C101),2)="02",180,1))</f>
        <v>0</v>
      </c>
      <c r="H101" s="44">
        <f>SUMIFS(Sheet1!$O130:$O9012,Sheet1!$K130:$K9012,Sheet3!$C101,Sheet1!$G130:$G9012,Sheet3!H$3)/3/2/IF(RIGHT(TRIM(Sheet3!$C101),3)="250",250, IF(RIGHT(TRIM(Sheet3!$C101),2)="02",180,1))</f>
        <v>0.66666666666666663</v>
      </c>
      <c r="I101" s="44">
        <f>SUMIFS(Sheet1!$O130:$O9012,Sheet1!$K130:$K9012,Sheet3!$C101,Sheet1!$G130:$G9012,Sheet3!I$3)/3/2/IF(RIGHT(TRIM(Sheet3!$C101),3)="250",250, IF(RIGHT(TRIM(Sheet3!$C101),2)="02",180,1))</f>
        <v>1.2777777777777777</v>
      </c>
      <c r="J101" s="44">
        <f>SUMIFS(Sheet1!$O130:$O9012,Sheet1!$K130:$K9012,Sheet3!$C101,Sheet1!$G130:$G9012,Sheet3!J$3)/3/2/IF(RIGHT(TRIM(Sheet3!$C101),3)="250",250, IF(RIGHT(TRIM(Sheet3!$C101),2)="02",180,1))</f>
        <v>0.94444444444444442</v>
      </c>
      <c r="K101" s="44">
        <f>SUMIFS(Sheet1!$O130:$O9012,Sheet1!$K130:$K9012,Sheet3!$C101,Sheet1!$G130:$G9012,Sheet3!K$3)/3/2/IF(RIGHT(TRIM(Sheet3!$C101),3)="250",250, IF(RIGHT(TRIM(Sheet3!$C101),2)="02",180,1))</f>
        <v>2.6666666666666665</v>
      </c>
      <c r="L101" s="44">
        <f>SUMIFS(Sheet1!$O130:$O9012,Sheet1!$K130:$K9012,Sheet3!$C101,Sheet1!$G130:$G9012,Sheet3!L$3)/3/2/IF(RIGHT(TRIM(Sheet3!$C101),3)="250",250, IF(RIGHT(TRIM(Sheet3!$C101),2)="02",180,1))</f>
        <v>0.33333333333333331</v>
      </c>
      <c r="M101" s="44">
        <f>SUMIFS(Sheet1!$O130:$O9012,Sheet1!$K130:$K9012,Sheet3!$C101,Sheet1!$G130:$G9012,Sheet3!M$3)/3/2/IF(RIGHT(TRIM(Sheet3!$C101),3)="250",250, IF(RIGHT(TRIM(Sheet3!$C101),2)="02",180,1))</f>
        <v>0</v>
      </c>
      <c r="N101" s="44">
        <f>SUMIFS(Sheet1!$O130:$O9012,Sheet1!$K130:$K9012,Sheet3!$C101,Sheet1!$G130:$G9012,Sheet3!N$3)/3/2/IF(RIGHT(TRIM(Sheet3!$C101),3)="250",250, IF(RIGHT(TRIM(Sheet3!$C101),2)="02",180,1))</f>
        <v>0</v>
      </c>
      <c r="O101" s="44">
        <f>SUMIFS(Sheet1!$O130:$O9012,Sheet1!$K130:$K9012,Sheet3!$C101,Sheet1!$G130:$G9012,Sheet3!O$3)/3/2/IF(RIGHT(TRIM(Sheet3!$C101),3)="250",250, IF(RIGHT(TRIM(Sheet3!$C101),2)="02",180,1))</f>
        <v>0</v>
      </c>
    </row>
    <row r="102" spans="3:15" x14ac:dyDescent="0.25">
      <c r="C102" s="36" t="s">
        <v>550</v>
      </c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</row>
    <row r="103" spans="3:15" x14ac:dyDescent="0.25">
      <c r="C103" s="35" t="s">
        <v>50</v>
      </c>
      <c r="D103" s="44">
        <f>SUMIFS(Sheet1!$O132:$O9014,Sheet1!$K132:$K9014,Sheet3!$C103,Sheet1!$G132:$G9014,Sheet3!D$3)/3/2/IF(RIGHT(TRIM(Sheet3!$C103),3)="250",250, IF(RIGHT(TRIM(Sheet3!$C103),2)="02",180,1))</f>
        <v>0</v>
      </c>
      <c r="E103" s="44">
        <f>SUMIFS(Sheet1!$O132:$O9014,Sheet1!$K132:$K9014,Sheet3!$C103,Sheet1!$G132:$G9014,Sheet3!E$3)/3/2/IF(RIGHT(TRIM(Sheet3!$C103),3)="250",250, IF(RIGHT(TRIM(Sheet3!$C103),2)="02",180,1))</f>
        <v>0.3888888888888889</v>
      </c>
      <c r="F103" s="44">
        <f>SUMIFS(Sheet1!$O132:$O9014,Sheet1!$K132:$K9014,Sheet3!$C103,Sheet1!$G132:$G9014,Sheet3!F$3)/3/2/IF(RIGHT(TRIM(Sheet3!$C103),3)="250",250, IF(RIGHT(TRIM(Sheet3!$C103),2)="02",180,1))</f>
        <v>6.4814814814814811E-2</v>
      </c>
      <c r="G103" s="44">
        <f>SUMIFS(Sheet1!$O132:$O9014,Sheet1!$K132:$K9014,Sheet3!$C103,Sheet1!$G132:$G9014,Sheet3!G$3)/3/2/IF(RIGHT(TRIM(Sheet3!$C103),3)="250",250, IF(RIGHT(TRIM(Sheet3!$C103),2)="02",180,1))</f>
        <v>0.32407407407407407</v>
      </c>
      <c r="H103" s="44">
        <f>SUMIFS(Sheet1!$O132:$O9014,Sheet1!$K132:$K9014,Sheet3!$C103,Sheet1!$G132:$G9014,Sheet3!H$3)/3/2/IF(RIGHT(TRIM(Sheet3!$C103),3)="250",250, IF(RIGHT(TRIM(Sheet3!$C103),2)="02",180,1))</f>
        <v>0.1851851851851852</v>
      </c>
      <c r="I103" s="44">
        <f>SUMIFS(Sheet1!$O132:$O9014,Sheet1!$K132:$K9014,Sheet3!$C103,Sheet1!$G132:$G9014,Sheet3!I$3)/3/2/IF(RIGHT(TRIM(Sheet3!$C103),3)="250",250, IF(RIGHT(TRIM(Sheet3!$C103),2)="02",180,1))</f>
        <v>0.29166666666666669</v>
      </c>
      <c r="J103" s="44">
        <f>SUMIFS(Sheet1!$O132:$O9014,Sheet1!$K132:$K9014,Sheet3!$C103,Sheet1!$G132:$G9014,Sheet3!J$3)/3/2/IF(RIGHT(TRIM(Sheet3!$C103),3)="250",250, IF(RIGHT(TRIM(Sheet3!$C103),2)="02",180,1))</f>
        <v>0.29629629629629634</v>
      </c>
      <c r="K103" s="44">
        <f>SUMIFS(Sheet1!$O132:$O9014,Sheet1!$K132:$K9014,Sheet3!$C103,Sheet1!$G132:$G9014,Sheet3!K$3)/3/2/IF(RIGHT(TRIM(Sheet3!$C103),3)="250",250, IF(RIGHT(TRIM(Sheet3!$C103),2)="02",180,1))</f>
        <v>0.24074074074074076</v>
      </c>
      <c r="L103" s="44">
        <f>SUMIFS(Sheet1!$O132:$O9014,Sheet1!$K132:$K9014,Sheet3!$C103,Sheet1!$G132:$G9014,Sheet3!L$3)/3/2/IF(RIGHT(TRIM(Sheet3!$C103),3)="250",250, IF(RIGHT(TRIM(Sheet3!$C103),2)="02",180,1))</f>
        <v>0</v>
      </c>
      <c r="M103" s="44">
        <f>SUMIFS(Sheet1!$O132:$O9014,Sheet1!$K132:$K9014,Sheet3!$C103,Sheet1!$G132:$G9014,Sheet3!M$3)/3/2/IF(RIGHT(TRIM(Sheet3!$C103),3)="250",250, IF(RIGHT(TRIM(Sheet3!$C103),2)="02",180,1))</f>
        <v>0.30555555555555558</v>
      </c>
      <c r="N103" s="44">
        <f>SUMIFS(Sheet1!$O132:$O9014,Sheet1!$K132:$K9014,Sheet3!$C103,Sheet1!$G132:$G9014,Sheet3!N$3)/3/2/IF(RIGHT(TRIM(Sheet3!$C103),3)="250",250, IF(RIGHT(TRIM(Sheet3!$C103),2)="02",180,1))</f>
        <v>0.3611111111111111</v>
      </c>
      <c r="O103" s="44">
        <f>SUMIFS(Sheet1!$O132:$O9014,Sheet1!$K132:$K9014,Sheet3!$C103,Sheet1!$G132:$G9014,Sheet3!O$3)/3/2/IF(RIGHT(TRIM(Sheet3!$C103),3)="250",250, IF(RIGHT(TRIM(Sheet3!$C103),2)="02",180,1))</f>
        <v>0</v>
      </c>
    </row>
    <row r="104" spans="3:15" x14ac:dyDescent="0.25">
      <c r="C104" s="35" t="s">
        <v>2519</v>
      </c>
      <c r="D104" s="44">
        <f>SUMIFS(Sheet1!$O133:$O9015,Sheet1!$K133:$K9015,Sheet3!$C104,Sheet1!$G133:$G9015,Sheet3!D$3)/3/2/IF(RIGHT(TRIM(Sheet3!$C104),3)="250",250, IF(RIGHT(TRIM(Sheet3!$C104),2)="02",180,1))</f>
        <v>0</v>
      </c>
      <c r="E104" s="44">
        <f>SUMIFS(Sheet1!$O133:$O9015,Sheet1!$K133:$K9015,Sheet3!$C104,Sheet1!$G133:$G9015,Sheet3!E$3)/3/2/IF(RIGHT(TRIM(Sheet3!$C104),3)="250",250, IF(RIGHT(TRIM(Sheet3!$C104),2)="02",180,1))</f>
        <v>0</v>
      </c>
      <c r="F104" s="44">
        <f>SUMIFS(Sheet1!$O133:$O9015,Sheet1!$K133:$K9015,Sheet3!$C104,Sheet1!$G133:$G9015,Sheet3!F$3)/3/2/IF(RIGHT(TRIM(Sheet3!$C104),3)="250",250, IF(RIGHT(TRIM(Sheet3!$C104),2)="02",180,1))</f>
        <v>0.16666666666666666</v>
      </c>
      <c r="G104" s="44">
        <f>SUMIFS(Sheet1!$O133:$O9015,Sheet1!$K133:$K9015,Sheet3!$C104,Sheet1!$G133:$G9015,Sheet3!G$3)/3/2/IF(RIGHT(TRIM(Sheet3!$C104),3)="250",250, IF(RIGHT(TRIM(Sheet3!$C104),2)="02",180,1))</f>
        <v>0</v>
      </c>
      <c r="H104" s="44">
        <f>SUMIFS(Sheet1!$O133:$O9015,Sheet1!$K133:$K9015,Sheet3!$C104,Sheet1!$G133:$G9015,Sheet3!H$3)/3/2/IF(RIGHT(TRIM(Sheet3!$C104),3)="250",250, IF(RIGHT(TRIM(Sheet3!$C104),2)="02",180,1))</f>
        <v>0</v>
      </c>
      <c r="I104" s="44">
        <f>SUMIFS(Sheet1!$O133:$O9015,Sheet1!$K133:$K9015,Sheet3!$C104,Sheet1!$G133:$G9015,Sheet3!I$3)/3/2/IF(RIGHT(TRIM(Sheet3!$C104),3)="250",250, IF(RIGHT(TRIM(Sheet3!$C104),2)="02",180,1))</f>
        <v>2.5</v>
      </c>
      <c r="J104" s="44">
        <f>SUMIFS(Sheet1!$O133:$O9015,Sheet1!$K133:$K9015,Sheet3!$C104,Sheet1!$G133:$G9015,Sheet3!J$3)/3/2/IF(RIGHT(TRIM(Sheet3!$C104),3)="250",250, IF(RIGHT(TRIM(Sheet3!$C104),2)="02",180,1))</f>
        <v>0</v>
      </c>
      <c r="K104" s="44">
        <f>SUMIFS(Sheet1!$O133:$O9015,Sheet1!$K133:$K9015,Sheet3!$C104,Sheet1!$G133:$G9015,Sheet3!K$3)/3/2/IF(RIGHT(TRIM(Sheet3!$C104),3)="250",250, IF(RIGHT(TRIM(Sheet3!$C104),2)="02",180,1))</f>
        <v>0.5</v>
      </c>
      <c r="L104" s="44">
        <f>SUMIFS(Sheet1!$O133:$O9015,Sheet1!$K133:$K9015,Sheet3!$C104,Sheet1!$G133:$G9015,Sheet3!L$3)/3/2/IF(RIGHT(TRIM(Sheet3!$C104),3)="250",250, IF(RIGHT(TRIM(Sheet3!$C104),2)="02",180,1))</f>
        <v>0.5</v>
      </c>
      <c r="M104" s="44">
        <f>SUMIFS(Sheet1!$O133:$O9015,Sheet1!$K133:$K9015,Sheet3!$C104,Sheet1!$G133:$G9015,Sheet3!M$3)/3/2/IF(RIGHT(TRIM(Sheet3!$C104),3)="250",250, IF(RIGHT(TRIM(Sheet3!$C104),2)="02",180,1))</f>
        <v>0</v>
      </c>
      <c r="N104" s="44">
        <f>SUMIFS(Sheet1!$O133:$O9015,Sheet1!$K133:$K9015,Sheet3!$C104,Sheet1!$G133:$G9015,Sheet3!N$3)/3/2/IF(RIGHT(TRIM(Sheet3!$C104),3)="250",250, IF(RIGHT(TRIM(Sheet3!$C104),2)="02",180,1))</f>
        <v>0.16666666666666666</v>
      </c>
      <c r="O104" s="44">
        <f>SUMIFS(Sheet1!$O133:$O9015,Sheet1!$K133:$K9015,Sheet3!$C104,Sheet1!$G133:$G9015,Sheet3!O$3)/3/2/IF(RIGHT(TRIM(Sheet3!$C104),3)="250",250, IF(RIGHT(TRIM(Sheet3!$C104),2)="02",180,1))</f>
        <v>0</v>
      </c>
    </row>
    <row r="105" spans="3:15" x14ac:dyDescent="0.25">
      <c r="C105" s="36" t="s">
        <v>3526</v>
      </c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</row>
    <row r="106" spans="3:15" x14ac:dyDescent="0.25">
      <c r="C106" s="35" t="s">
        <v>1085</v>
      </c>
      <c r="D106" s="44">
        <f>SUMIFS(Sheet1!$O135:$O9017,Sheet1!$K135:$K9017,Sheet3!$C106,Sheet1!$G135:$G9017,Sheet3!D$3)/3/2/IF(RIGHT(TRIM(Sheet3!$C106),3)="250",250, IF(RIGHT(TRIM(Sheet3!$C106),2)="02",180,1))</f>
        <v>2.7777777777777776E-2</v>
      </c>
      <c r="E106" s="44">
        <f>SUMIFS(Sheet1!$O135:$O9017,Sheet1!$K135:$K9017,Sheet3!$C106,Sheet1!$G135:$G9017,Sheet3!E$3)/3/2/IF(RIGHT(TRIM(Sheet3!$C106),3)="250",250, IF(RIGHT(TRIM(Sheet3!$C106),2)="02",180,1))</f>
        <v>0</v>
      </c>
      <c r="F106" s="44">
        <f>SUMIFS(Sheet1!$O135:$O9017,Sheet1!$K135:$K9017,Sheet3!$C106,Sheet1!$G135:$G9017,Sheet3!F$3)/3/2/IF(RIGHT(TRIM(Sheet3!$C106),3)="250",250, IF(RIGHT(TRIM(Sheet3!$C106),2)="02",180,1))</f>
        <v>7.8703703703703706E-2</v>
      </c>
      <c r="G106" s="44">
        <f>SUMIFS(Sheet1!$O135:$O9017,Sheet1!$K135:$K9017,Sheet3!$C106,Sheet1!$G135:$G9017,Sheet3!G$3)/3/2/IF(RIGHT(TRIM(Sheet3!$C106),3)="250",250, IF(RIGHT(TRIM(Sheet3!$C106),2)="02",180,1))</f>
        <v>5.5555555555555552E-2</v>
      </c>
      <c r="H106" s="44">
        <f>SUMIFS(Sheet1!$O135:$O9017,Sheet1!$K135:$K9017,Sheet3!$C106,Sheet1!$G135:$G9017,Sheet3!H$3)/3/2/IF(RIGHT(TRIM(Sheet3!$C106),3)="250",250, IF(RIGHT(TRIM(Sheet3!$C106),2)="02",180,1))</f>
        <v>0</v>
      </c>
      <c r="I106" s="44">
        <f>SUMIFS(Sheet1!$O135:$O9017,Sheet1!$K135:$K9017,Sheet3!$C106,Sheet1!$G135:$G9017,Sheet3!I$3)/3/2/IF(RIGHT(TRIM(Sheet3!$C106),3)="250",250, IF(RIGHT(TRIM(Sheet3!$C106),2)="02",180,1))</f>
        <v>0</v>
      </c>
      <c r="J106" s="44">
        <f>SUMIFS(Sheet1!$O135:$O9017,Sheet1!$K135:$K9017,Sheet3!$C106,Sheet1!$G135:$G9017,Sheet3!J$3)/3/2/IF(RIGHT(TRIM(Sheet3!$C106),3)="250",250, IF(RIGHT(TRIM(Sheet3!$C106),2)="02",180,1))</f>
        <v>0.14814814814814817</v>
      </c>
      <c r="K106" s="44">
        <f>SUMIFS(Sheet1!$O135:$O9017,Sheet1!$K135:$K9017,Sheet3!$C106,Sheet1!$G135:$G9017,Sheet3!K$3)/3/2/IF(RIGHT(TRIM(Sheet3!$C106),3)="250",250, IF(RIGHT(TRIM(Sheet3!$C106),2)="02",180,1))</f>
        <v>0</v>
      </c>
      <c r="L106" s="44">
        <f>SUMIFS(Sheet1!$O135:$O9017,Sheet1!$K135:$K9017,Sheet3!$C106,Sheet1!$G135:$G9017,Sheet3!L$3)/3/2/IF(RIGHT(TRIM(Sheet3!$C106),3)="250",250, IF(RIGHT(TRIM(Sheet3!$C106),2)="02",180,1))</f>
        <v>4.6296296296296302E-3</v>
      </c>
      <c r="M106" s="44">
        <f>SUMIFS(Sheet1!$O135:$O9017,Sheet1!$K135:$K9017,Sheet3!$C106,Sheet1!$G135:$G9017,Sheet3!M$3)/3/2/IF(RIGHT(TRIM(Sheet3!$C106),3)="250",250, IF(RIGHT(TRIM(Sheet3!$C106),2)="02",180,1))</f>
        <v>5.5555555555555552E-2</v>
      </c>
      <c r="N106" s="44">
        <f>SUMIFS(Sheet1!$O135:$O9017,Sheet1!$K135:$K9017,Sheet3!$C106,Sheet1!$G135:$G9017,Sheet3!N$3)/3/2/IF(RIGHT(TRIM(Sheet3!$C106),3)="250",250, IF(RIGHT(TRIM(Sheet3!$C106),2)="02",180,1))</f>
        <v>0</v>
      </c>
      <c r="O106" s="44">
        <f>SUMIFS(Sheet1!$O135:$O9017,Sheet1!$K135:$K9017,Sheet3!$C106,Sheet1!$G135:$G9017,Sheet3!O$3)/3/2/IF(RIGHT(TRIM(Sheet3!$C106),3)="250",250, IF(RIGHT(TRIM(Sheet3!$C106),2)="02",180,1))</f>
        <v>0.14351851851851852</v>
      </c>
    </row>
    <row r="107" spans="3:15" x14ac:dyDescent="0.25">
      <c r="C107" s="35" t="s">
        <v>998</v>
      </c>
      <c r="D107" s="44">
        <f>SUMIFS(Sheet1!$O136:$O9018,Sheet1!$K136:$K9018,Sheet3!$C107,Sheet1!$G136:$G9018,Sheet3!D$3)/3/2/IF(RIGHT(TRIM(Sheet3!$C107),3)="250",250, IF(RIGHT(TRIM(Sheet3!$C107),2)="02",180,1))</f>
        <v>0.16666666666666666</v>
      </c>
      <c r="E107" s="44">
        <f>SUMIFS(Sheet1!$O136:$O9018,Sheet1!$K136:$K9018,Sheet3!$C107,Sheet1!$G136:$G9018,Sheet3!E$3)/3/2/IF(RIGHT(TRIM(Sheet3!$C107),3)="250",250, IF(RIGHT(TRIM(Sheet3!$C107),2)="02",180,1))</f>
        <v>0.33333333333333331</v>
      </c>
      <c r="F107" s="44">
        <f>SUMIFS(Sheet1!$O136:$O9018,Sheet1!$K136:$K9018,Sheet3!$C107,Sheet1!$G136:$G9018,Sheet3!F$3)/3/2/IF(RIGHT(TRIM(Sheet3!$C107),3)="250",250, IF(RIGHT(TRIM(Sheet3!$C107),2)="02",180,1))</f>
        <v>0</v>
      </c>
      <c r="G107" s="44">
        <f>SUMIFS(Sheet1!$O136:$O9018,Sheet1!$K136:$K9018,Sheet3!$C107,Sheet1!$G136:$G9018,Sheet3!G$3)/3/2/IF(RIGHT(TRIM(Sheet3!$C107),3)="250",250, IF(RIGHT(TRIM(Sheet3!$C107),2)="02",180,1))</f>
        <v>1</v>
      </c>
      <c r="H107" s="44">
        <f>SUMIFS(Sheet1!$O136:$O9018,Sheet1!$K136:$K9018,Sheet3!$C107,Sheet1!$G136:$G9018,Sheet3!H$3)/3/2/IF(RIGHT(TRIM(Sheet3!$C107),3)="250",250, IF(RIGHT(TRIM(Sheet3!$C107),2)="02",180,1))</f>
        <v>0.33333333333333331</v>
      </c>
      <c r="I107" s="44">
        <f>SUMIFS(Sheet1!$O136:$O9018,Sheet1!$K136:$K9018,Sheet3!$C107,Sheet1!$G136:$G9018,Sheet3!I$3)/3/2/IF(RIGHT(TRIM(Sheet3!$C107),3)="250",250, IF(RIGHT(TRIM(Sheet3!$C107),2)="02",180,1))</f>
        <v>0.33333333333333331</v>
      </c>
      <c r="J107" s="44">
        <f>SUMIFS(Sheet1!$O136:$O9018,Sheet1!$K136:$K9018,Sheet3!$C107,Sheet1!$G136:$G9018,Sheet3!J$3)/3/2/IF(RIGHT(TRIM(Sheet3!$C107),3)="250",250, IF(RIGHT(TRIM(Sheet3!$C107),2)="02",180,1))</f>
        <v>0.3833333333333333</v>
      </c>
      <c r="K107" s="44">
        <f>SUMIFS(Sheet1!$O136:$O9018,Sheet1!$K136:$K9018,Sheet3!$C107,Sheet1!$G136:$G9018,Sheet3!K$3)/3/2/IF(RIGHT(TRIM(Sheet3!$C107),3)="250",250, IF(RIGHT(TRIM(Sheet3!$C107),2)="02",180,1))</f>
        <v>0.43333333333333329</v>
      </c>
      <c r="L107" s="44">
        <f>SUMIFS(Sheet1!$O136:$O9018,Sheet1!$K136:$K9018,Sheet3!$C107,Sheet1!$G136:$G9018,Sheet3!L$3)/3/2/IF(RIGHT(TRIM(Sheet3!$C107),3)="250",250, IF(RIGHT(TRIM(Sheet3!$C107),2)="02",180,1))</f>
        <v>0.83333333333333337</v>
      </c>
      <c r="M107" s="44">
        <f>SUMIFS(Sheet1!$O136:$O9018,Sheet1!$K136:$K9018,Sheet3!$C107,Sheet1!$G136:$G9018,Sheet3!M$3)/3/2/IF(RIGHT(TRIM(Sheet3!$C107),3)="250",250, IF(RIGHT(TRIM(Sheet3!$C107),2)="02",180,1))</f>
        <v>0.33333333333333331</v>
      </c>
      <c r="N107" s="44">
        <f>SUMIFS(Sheet1!$O136:$O9018,Sheet1!$K136:$K9018,Sheet3!$C107,Sheet1!$G136:$G9018,Sheet3!N$3)/3/2/IF(RIGHT(TRIM(Sheet3!$C107),3)="250",250, IF(RIGHT(TRIM(Sheet3!$C107),2)="02",180,1))</f>
        <v>0.83333333333333337</v>
      </c>
      <c r="O107" s="44">
        <f>SUMIFS(Sheet1!$O136:$O9018,Sheet1!$K136:$K9018,Sheet3!$C107,Sheet1!$G136:$G9018,Sheet3!O$3)/3/2/IF(RIGHT(TRIM(Sheet3!$C107),3)="250",250, IF(RIGHT(TRIM(Sheet3!$C107),2)="02",180,1))</f>
        <v>0.66666666666666663</v>
      </c>
    </row>
    <row r="108" spans="3:15" x14ac:dyDescent="0.25">
      <c r="C108" s="36" t="s">
        <v>3915</v>
      </c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</row>
    <row r="109" spans="3:15" x14ac:dyDescent="0.25">
      <c r="C109" s="35" t="s">
        <v>3914</v>
      </c>
      <c r="D109" s="44">
        <f>SUMIFS(Sheet1!$O138:$O9020,Sheet1!$K138:$K9020,Sheet3!$C109,Sheet1!$G138:$G9020,Sheet3!D$3)/3/2/IF(RIGHT(TRIM(Sheet3!$C109),3)="250",250, IF(RIGHT(TRIM(Sheet3!$C109),2)="02",180,1))</f>
        <v>0.33333333333333331</v>
      </c>
      <c r="E109" s="44">
        <f>SUMIFS(Sheet1!$O138:$O9020,Sheet1!$K138:$K9020,Sheet3!$C109,Sheet1!$G138:$G9020,Sheet3!E$3)/3/2/IF(RIGHT(TRIM(Sheet3!$C109),3)="250",250, IF(RIGHT(TRIM(Sheet3!$C109),2)="02",180,1))</f>
        <v>5.5555555555555552E-2</v>
      </c>
      <c r="F109" s="44">
        <f>SUMIFS(Sheet1!$O138:$O9020,Sheet1!$K138:$K9020,Sheet3!$C109,Sheet1!$G138:$G9020,Sheet3!F$3)/3/2/IF(RIGHT(TRIM(Sheet3!$C109),3)="250",250, IF(RIGHT(TRIM(Sheet3!$C109),2)="02",180,1))</f>
        <v>0.22222222222222221</v>
      </c>
      <c r="G109" s="44">
        <f>SUMIFS(Sheet1!$O138:$O9020,Sheet1!$K138:$K9020,Sheet3!$C109,Sheet1!$G138:$G9020,Sheet3!G$3)/3/2/IF(RIGHT(TRIM(Sheet3!$C109),3)="250",250, IF(RIGHT(TRIM(Sheet3!$C109),2)="02",180,1))</f>
        <v>0.16666666666666666</v>
      </c>
      <c r="H109" s="44">
        <f>SUMIFS(Sheet1!$O138:$O9020,Sheet1!$K138:$K9020,Sheet3!$C109,Sheet1!$G138:$G9020,Sheet3!H$3)/3/2/IF(RIGHT(TRIM(Sheet3!$C109),3)="250",250, IF(RIGHT(TRIM(Sheet3!$C109),2)="02",180,1))</f>
        <v>0.1111111111111111</v>
      </c>
      <c r="I109" s="44">
        <f>SUMIFS(Sheet1!$O138:$O9020,Sheet1!$K138:$K9020,Sheet3!$C109,Sheet1!$G138:$G9020,Sheet3!I$3)/3/2/IF(RIGHT(TRIM(Sheet3!$C109),3)="250",250, IF(RIGHT(TRIM(Sheet3!$C109),2)="02",180,1))</f>
        <v>0.16666666666666666</v>
      </c>
      <c r="J109" s="44">
        <f>SUMIFS(Sheet1!$O138:$O9020,Sheet1!$K138:$K9020,Sheet3!$C109,Sheet1!$G138:$G9020,Sheet3!J$3)/3/2/IF(RIGHT(TRIM(Sheet3!$C109),3)="250",250, IF(RIGHT(TRIM(Sheet3!$C109),2)="02",180,1))</f>
        <v>0.16666666666666666</v>
      </c>
      <c r="K109" s="44">
        <f>SUMIFS(Sheet1!$O138:$O9020,Sheet1!$K138:$K9020,Sheet3!$C109,Sheet1!$G138:$G9020,Sheet3!K$3)/3/2/IF(RIGHT(TRIM(Sheet3!$C109),3)="250",250, IF(RIGHT(TRIM(Sheet3!$C109),2)="02",180,1))</f>
        <v>8.3333333333333329E-2</v>
      </c>
      <c r="L109" s="44">
        <f>SUMIFS(Sheet1!$O138:$O9020,Sheet1!$K138:$K9020,Sheet3!$C109,Sheet1!$G138:$G9020,Sheet3!L$3)/3/2/IF(RIGHT(TRIM(Sheet3!$C109),3)="250",250, IF(RIGHT(TRIM(Sheet3!$C109),2)="02",180,1))</f>
        <v>0.16666666666666666</v>
      </c>
      <c r="M109" s="44">
        <f>SUMIFS(Sheet1!$O138:$O9020,Sheet1!$K138:$K9020,Sheet3!$C109,Sheet1!$G138:$G9020,Sheet3!M$3)/3/2/IF(RIGHT(TRIM(Sheet3!$C109),3)="250",250, IF(RIGHT(TRIM(Sheet3!$C109),2)="02",180,1))</f>
        <v>0</v>
      </c>
      <c r="N109" s="44">
        <f>SUMIFS(Sheet1!$O138:$O9020,Sheet1!$K138:$K9020,Sheet3!$C109,Sheet1!$G138:$G9020,Sheet3!N$3)/3/2/IF(RIGHT(TRIM(Sheet3!$C109),3)="250",250, IF(RIGHT(TRIM(Sheet3!$C109),2)="02",180,1))</f>
        <v>5.5555555555555552E-2</v>
      </c>
      <c r="O109" s="44">
        <f>SUMIFS(Sheet1!$O138:$O9020,Sheet1!$K138:$K9020,Sheet3!$C109,Sheet1!$G138:$G9020,Sheet3!O$3)/3/2/IF(RIGHT(TRIM(Sheet3!$C109),3)="250",250, IF(RIGHT(TRIM(Sheet3!$C109),2)="02",180,1))</f>
        <v>0</v>
      </c>
    </row>
    <row r="110" spans="3:15" x14ac:dyDescent="0.25">
      <c r="C110" s="35" t="s">
        <v>5976</v>
      </c>
      <c r="D110" s="44">
        <f>SUMIFS(Sheet1!$O139:$O9021,Sheet1!$K139:$K9021,Sheet3!$C110,Sheet1!$G139:$G9021,Sheet3!D$3)/3/2/IF(RIGHT(TRIM(Sheet3!$C110),3)="250",250, IF(RIGHT(TRIM(Sheet3!$C110),2)="02",180,1))</f>
        <v>0</v>
      </c>
      <c r="E110" s="44">
        <f>SUMIFS(Sheet1!$O139:$O9021,Sheet1!$K139:$K9021,Sheet3!$C110,Sheet1!$G139:$G9021,Sheet3!E$3)/3/2/IF(RIGHT(TRIM(Sheet3!$C110),3)="250",250, IF(RIGHT(TRIM(Sheet3!$C110),2)="02",180,1))</f>
        <v>0</v>
      </c>
      <c r="F110" s="44">
        <f>SUMIFS(Sheet1!$O139:$O9021,Sheet1!$K139:$K9021,Sheet3!$C110,Sheet1!$G139:$G9021,Sheet3!F$3)/3/2/IF(RIGHT(TRIM(Sheet3!$C110),3)="250",250, IF(RIGHT(TRIM(Sheet3!$C110),2)="02",180,1))</f>
        <v>0.16666666666666666</v>
      </c>
      <c r="G110" s="44">
        <f>SUMIFS(Sheet1!$O139:$O9021,Sheet1!$K139:$K9021,Sheet3!$C110,Sheet1!$G139:$G9021,Sheet3!G$3)/3/2/IF(RIGHT(TRIM(Sheet3!$C110),3)="250",250, IF(RIGHT(TRIM(Sheet3!$C110),2)="02",180,1))</f>
        <v>0.18333333333333335</v>
      </c>
      <c r="H110" s="44">
        <f>SUMIFS(Sheet1!$O139:$O9021,Sheet1!$K139:$K9021,Sheet3!$C110,Sheet1!$G139:$G9021,Sheet3!H$3)/3/2/IF(RIGHT(TRIM(Sheet3!$C110),3)="250",250, IF(RIGHT(TRIM(Sheet3!$C110),2)="02",180,1))</f>
        <v>0.18333333333333335</v>
      </c>
      <c r="I110" s="44">
        <f>SUMIFS(Sheet1!$O139:$O9021,Sheet1!$K139:$K9021,Sheet3!$C110,Sheet1!$G139:$G9021,Sheet3!I$3)/3/2/IF(RIGHT(TRIM(Sheet3!$C110),3)="250",250, IF(RIGHT(TRIM(Sheet3!$C110),2)="02",180,1))</f>
        <v>0</v>
      </c>
      <c r="J110" s="44">
        <f>SUMIFS(Sheet1!$O139:$O9021,Sheet1!$K139:$K9021,Sheet3!$C110,Sheet1!$G139:$G9021,Sheet3!J$3)/3/2/IF(RIGHT(TRIM(Sheet3!$C110),3)="250",250, IF(RIGHT(TRIM(Sheet3!$C110),2)="02",180,1))</f>
        <v>1.35</v>
      </c>
      <c r="K110" s="44">
        <f>SUMIFS(Sheet1!$O139:$O9021,Sheet1!$K139:$K9021,Sheet3!$C110,Sheet1!$G139:$G9021,Sheet3!K$3)/3/2/IF(RIGHT(TRIM(Sheet3!$C110),3)="250",250, IF(RIGHT(TRIM(Sheet3!$C110),2)="02",180,1))</f>
        <v>0.35</v>
      </c>
      <c r="L110" s="44">
        <f>SUMIFS(Sheet1!$O139:$O9021,Sheet1!$K139:$K9021,Sheet3!$C110,Sheet1!$G139:$G9021,Sheet3!L$3)/3/2/IF(RIGHT(TRIM(Sheet3!$C110),3)="250",250, IF(RIGHT(TRIM(Sheet3!$C110),2)="02",180,1))</f>
        <v>0</v>
      </c>
      <c r="M110" s="44">
        <f>SUMIFS(Sheet1!$O139:$O9021,Sheet1!$K139:$K9021,Sheet3!$C110,Sheet1!$G139:$G9021,Sheet3!M$3)/3/2/IF(RIGHT(TRIM(Sheet3!$C110),3)="250",250, IF(RIGHT(TRIM(Sheet3!$C110),2)="02",180,1))</f>
        <v>0.18333333333333335</v>
      </c>
      <c r="N110" s="44">
        <f>SUMIFS(Sheet1!$O139:$O9021,Sheet1!$K139:$K9021,Sheet3!$C110,Sheet1!$G139:$G9021,Sheet3!N$3)/3/2/IF(RIGHT(TRIM(Sheet3!$C110),3)="250",250, IF(RIGHT(TRIM(Sheet3!$C110),2)="02",180,1))</f>
        <v>0</v>
      </c>
      <c r="O110" s="44">
        <f>SUMIFS(Sheet1!$O139:$O9021,Sheet1!$K139:$K9021,Sheet3!$C110,Sheet1!$G139:$G9021,Sheet3!O$3)/3/2/IF(RIGHT(TRIM(Sheet3!$C110),3)="250",250, IF(RIGHT(TRIM(Sheet3!$C110),2)="02",180,1))</f>
        <v>0.35</v>
      </c>
    </row>
    <row r="111" spans="3:15" x14ac:dyDescent="0.25">
      <c r="C111" s="36" t="s">
        <v>29</v>
      </c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</row>
    <row r="112" spans="3:15" x14ac:dyDescent="0.25">
      <c r="C112" s="35" t="s">
        <v>28</v>
      </c>
      <c r="D112" s="44">
        <f>SUMIFS(Sheet1!$O141:$O9023,Sheet1!$K141:$K9023,Sheet3!$C112,Sheet1!$G141:$G9023,Sheet3!D$3)/3/2/IF(RIGHT(TRIM(Sheet3!$C112),3)="250",250, IF(RIGHT(TRIM(Sheet3!$C112),2)="02",180,1))</f>
        <v>0.3981481481481482</v>
      </c>
      <c r="E112" s="44">
        <f>SUMIFS(Sheet1!$O141:$O9023,Sheet1!$K141:$K9023,Sheet3!$C112,Sheet1!$G141:$G9023,Sheet3!E$3)/3/2/IF(RIGHT(TRIM(Sheet3!$C112),3)="250",250, IF(RIGHT(TRIM(Sheet3!$C112),2)="02",180,1))</f>
        <v>0.54166666666666663</v>
      </c>
      <c r="F112" s="44">
        <f>SUMIFS(Sheet1!$O141:$O9023,Sheet1!$K141:$K9023,Sheet3!$C112,Sheet1!$G141:$G9023,Sheet3!F$3)/3/2/IF(RIGHT(TRIM(Sheet3!$C112),3)="250",250, IF(RIGHT(TRIM(Sheet3!$C112),2)="02",180,1))</f>
        <v>0.52777777777777779</v>
      </c>
      <c r="G112" s="44">
        <f>SUMIFS(Sheet1!$O141:$O9023,Sheet1!$K141:$K9023,Sheet3!$C112,Sheet1!$G141:$G9023,Sheet3!G$3)/3/2/IF(RIGHT(TRIM(Sheet3!$C112),3)="250",250, IF(RIGHT(TRIM(Sheet3!$C112),2)="02",180,1))</f>
        <v>0.57407407407407407</v>
      </c>
      <c r="H112" s="44">
        <f>SUMIFS(Sheet1!$O141:$O9023,Sheet1!$K141:$K9023,Sheet3!$C112,Sheet1!$G141:$G9023,Sheet3!H$3)/3/2/IF(RIGHT(TRIM(Sheet3!$C112),3)="250",250, IF(RIGHT(TRIM(Sheet3!$C112),2)="02",180,1))</f>
        <v>0.60185185185185186</v>
      </c>
      <c r="I112" s="44">
        <f>SUMIFS(Sheet1!$O141:$O9023,Sheet1!$K141:$K9023,Sheet3!$C112,Sheet1!$G141:$G9023,Sheet3!I$3)/3/2/IF(RIGHT(TRIM(Sheet3!$C112),3)="250",250, IF(RIGHT(TRIM(Sheet3!$C112),2)="02",180,1))</f>
        <v>0.74074074074074081</v>
      </c>
      <c r="J112" s="44">
        <f>SUMIFS(Sheet1!$O141:$O9023,Sheet1!$K141:$K9023,Sheet3!$C112,Sheet1!$G141:$G9023,Sheet3!J$3)/3/2/IF(RIGHT(TRIM(Sheet3!$C112),3)="250",250, IF(RIGHT(TRIM(Sheet3!$C112),2)="02",180,1))</f>
        <v>0.40740740740740738</v>
      </c>
      <c r="K112" s="44">
        <f>SUMIFS(Sheet1!$O141:$O9023,Sheet1!$K141:$K9023,Sheet3!$C112,Sheet1!$G141:$G9023,Sheet3!K$3)/3/2/IF(RIGHT(TRIM(Sheet3!$C112),3)="250",250, IF(RIGHT(TRIM(Sheet3!$C112),2)="02",180,1))</f>
        <v>0.56944444444444442</v>
      </c>
      <c r="L112" s="44">
        <f>SUMIFS(Sheet1!$O141:$O9023,Sheet1!$K141:$K9023,Sheet3!$C112,Sheet1!$G141:$G9023,Sheet3!L$3)/3/2/IF(RIGHT(TRIM(Sheet3!$C112),3)="250",250, IF(RIGHT(TRIM(Sheet3!$C112),2)="02",180,1))</f>
        <v>0.25925925925925924</v>
      </c>
      <c r="M112" s="44">
        <f>SUMIFS(Sheet1!$O141:$O9023,Sheet1!$K141:$K9023,Sheet3!$C112,Sheet1!$G141:$G9023,Sheet3!M$3)/3/2/IF(RIGHT(TRIM(Sheet3!$C112),3)="250",250, IF(RIGHT(TRIM(Sheet3!$C112),2)="02",180,1))</f>
        <v>0.51851851851851849</v>
      </c>
      <c r="N112" s="44">
        <f>SUMIFS(Sheet1!$O141:$O9023,Sheet1!$K141:$K9023,Sheet3!$C112,Sheet1!$G141:$G9023,Sheet3!N$3)/3/2/IF(RIGHT(TRIM(Sheet3!$C112),3)="250",250, IF(RIGHT(TRIM(Sheet3!$C112),2)="02",180,1))</f>
        <v>0.68055555555555558</v>
      </c>
      <c r="O112" s="44">
        <f>SUMIFS(Sheet1!$O141:$O9023,Sheet1!$K141:$K9023,Sheet3!$C112,Sheet1!$G141:$G9023,Sheet3!O$3)/3/2/IF(RIGHT(TRIM(Sheet3!$C112),3)="250",250, IF(RIGHT(TRIM(Sheet3!$C112),2)="02",180,1))</f>
        <v>0.44907407407407407</v>
      </c>
    </row>
    <row r="113" spans="3:15" x14ac:dyDescent="0.25">
      <c r="C113" s="36" t="s">
        <v>3654</v>
      </c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</row>
    <row r="114" spans="3:15" x14ac:dyDescent="0.25">
      <c r="C114" s="35" t="s">
        <v>5129</v>
      </c>
      <c r="D114" s="44">
        <f>SUMIFS(Sheet1!$O143:$O9025,Sheet1!$K143:$K9025,Sheet3!$C114,Sheet1!$G143:$G9025,Sheet3!D$3)/3/2/IF(RIGHT(TRIM(Sheet3!$C114),3)="250",250, IF(RIGHT(TRIM(Sheet3!$C114),2)="02",180,1))</f>
        <v>0</v>
      </c>
      <c r="E114" s="44">
        <f>SUMIFS(Sheet1!$O143:$O9025,Sheet1!$K143:$K9025,Sheet3!$C114,Sheet1!$G143:$G9025,Sheet3!E$3)/3/2/IF(RIGHT(TRIM(Sheet3!$C114),3)="250",250, IF(RIGHT(TRIM(Sheet3!$C114),2)="02",180,1))</f>
        <v>0</v>
      </c>
      <c r="F114" s="44">
        <f>SUMIFS(Sheet1!$O143:$O9025,Sheet1!$K143:$K9025,Sheet3!$C114,Sheet1!$G143:$G9025,Sheet3!F$3)/3/2/IF(RIGHT(TRIM(Sheet3!$C114),3)="250",250, IF(RIGHT(TRIM(Sheet3!$C114),2)="02",180,1))</f>
        <v>0</v>
      </c>
      <c r="G114" s="44">
        <f>SUMIFS(Sheet1!$O143:$O9025,Sheet1!$K143:$K9025,Sheet3!$C114,Sheet1!$G143:$G9025,Sheet3!G$3)/3/2/IF(RIGHT(TRIM(Sheet3!$C114),3)="250",250, IF(RIGHT(TRIM(Sheet3!$C114),2)="02",180,1))</f>
        <v>0</v>
      </c>
      <c r="H114" s="44">
        <f>SUMIFS(Sheet1!$O143:$O9025,Sheet1!$K143:$K9025,Sheet3!$C114,Sheet1!$G143:$G9025,Sheet3!H$3)/3/2/IF(RIGHT(TRIM(Sheet3!$C114),3)="250",250, IF(RIGHT(TRIM(Sheet3!$C114),2)="02",180,1))</f>
        <v>4.6296296296296302E-3</v>
      </c>
      <c r="I114" s="44">
        <f>SUMIFS(Sheet1!$O143:$O9025,Sheet1!$K143:$K9025,Sheet3!$C114,Sheet1!$G143:$G9025,Sheet3!I$3)/3/2/IF(RIGHT(TRIM(Sheet3!$C114),3)="250",250, IF(RIGHT(TRIM(Sheet3!$C114),2)="02",180,1))</f>
        <v>0</v>
      </c>
      <c r="J114" s="44">
        <f>SUMIFS(Sheet1!$O143:$O9025,Sheet1!$K143:$K9025,Sheet3!$C114,Sheet1!$G143:$G9025,Sheet3!J$3)/3/2/IF(RIGHT(TRIM(Sheet3!$C114),3)="250",250, IF(RIGHT(TRIM(Sheet3!$C114),2)="02",180,1))</f>
        <v>0</v>
      </c>
      <c r="K114" s="44">
        <f>SUMIFS(Sheet1!$O143:$O9025,Sheet1!$K143:$K9025,Sheet3!$C114,Sheet1!$G143:$G9025,Sheet3!K$3)/3/2/IF(RIGHT(TRIM(Sheet3!$C114),3)="250",250, IF(RIGHT(TRIM(Sheet3!$C114),2)="02",180,1))</f>
        <v>2.314814814814815E-2</v>
      </c>
      <c r="L114" s="44">
        <f>SUMIFS(Sheet1!$O143:$O9025,Sheet1!$K143:$K9025,Sheet3!$C114,Sheet1!$G143:$G9025,Sheet3!L$3)/3/2/IF(RIGHT(TRIM(Sheet3!$C114),3)="250",250, IF(RIGHT(TRIM(Sheet3!$C114),2)="02",180,1))</f>
        <v>3.2407407407407406E-2</v>
      </c>
      <c r="M114" s="44">
        <f>SUMIFS(Sheet1!$O143:$O9025,Sheet1!$K143:$K9025,Sheet3!$C114,Sheet1!$G143:$G9025,Sheet3!M$3)/3/2/IF(RIGHT(TRIM(Sheet3!$C114),3)="250",250, IF(RIGHT(TRIM(Sheet3!$C114),2)="02",180,1))</f>
        <v>0</v>
      </c>
      <c r="N114" s="44">
        <f>SUMIFS(Sheet1!$O143:$O9025,Sheet1!$K143:$K9025,Sheet3!$C114,Sheet1!$G143:$G9025,Sheet3!N$3)/3/2/IF(RIGHT(TRIM(Sheet3!$C114),3)="250",250, IF(RIGHT(TRIM(Sheet3!$C114),2)="02",180,1))</f>
        <v>7.4074074074074084E-2</v>
      </c>
      <c r="O114" s="44">
        <f>SUMIFS(Sheet1!$O143:$O9025,Sheet1!$K143:$K9025,Sheet3!$C114,Sheet1!$G143:$G9025,Sheet3!O$3)/3/2/IF(RIGHT(TRIM(Sheet3!$C114),3)="250",250, IF(RIGHT(TRIM(Sheet3!$C114),2)="02",180,1))</f>
        <v>6.4814814814814811E-2</v>
      </c>
    </row>
    <row r="115" spans="3:15" x14ac:dyDescent="0.25">
      <c r="C115" s="35" t="s">
        <v>3653</v>
      </c>
      <c r="D115" s="44">
        <f>SUMIFS(Sheet1!$O144:$O9026,Sheet1!$K144:$K9026,Sheet3!$C115,Sheet1!$G144:$G9026,Sheet3!D$3)/3/2/IF(RIGHT(TRIM(Sheet3!$C115),3)="250",250, IF(RIGHT(TRIM(Sheet3!$C115),2)="02",180,1))</f>
        <v>0</v>
      </c>
      <c r="E115" s="44">
        <f>SUMIFS(Sheet1!$O144:$O9026,Sheet1!$K144:$K9026,Sheet3!$C115,Sheet1!$G144:$G9026,Sheet3!E$3)/3/2/IF(RIGHT(TRIM(Sheet3!$C115),3)="250",250, IF(RIGHT(TRIM(Sheet3!$C115),2)="02",180,1))</f>
        <v>0</v>
      </c>
      <c r="F115" s="44">
        <f>SUMIFS(Sheet1!$O144:$O9026,Sheet1!$K144:$K9026,Sheet3!$C115,Sheet1!$G144:$G9026,Sheet3!F$3)/3/2/IF(RIGHT(TRIM(Sheet3!$C115),3)="250",250, IF(RIGHT(TRIM(Sheet3!$C115),2)="02",180,1))</f>
        <v>0</v>
      </c>
      <c r="G115" s="44">
        <f>SUMIFS(Sheet1!$O144:$O9026,Sheet1!$K144:$K9026,Sheet3!$C115,Sheet1!$G144:$G9026,Sheet3!G$3)/3/2/IF(RIGHT(TRIM(Sheet3!$C115),3)="250",250, IF(RIGHT(TRIM(Sheet3!$C115),2)="02",180,1))</f>
        <v>0</v>
      </c>
      <c r="H115" s="44">
        <f>SUMIFS(Sheet1!$O144:$O9026,Sheet1!$K144:$K9026,Sheet3!$C115,Sheet1!$G144:$G9026,Sheet3!H$3)/3/2/IF(RIGHT(TRIM(Sheet3!$C115),3)="250",250, IF(RIGHT(TRIM(Sheet3!$C115),2)="02",180,1))</f>
        <v>2.0666666666666664</v>
      </c>
      <c r="I115" s="44">
        <f>SUMIFS(Sheet1!$O144:$O9026,Sheet1!$K144:$K9026,Sheet3!$C115,Sheet1!$G144:$G9026,Sheet3!I$3)/3/2/IF(RIGHT(TRIM(Sheet3!$C115),3)="250",250, IF(RIGHT(TRIM(Sheet3!$C115),2)="02",180,1))</f>
        <v>0.33333333333333331</v>
      </c>
      <c r="J115" s="44">
        <f>SUMIFS(Sheet1!$O144:$O9026,Sheet1!$K144:$K9026,Sheet3!$C115,Sheet1!$G144:$G9026,Sheet3!J$3)/3/2/IF(RIGHT(TRIM(Sheet3!$C115),3)="250",250, IF(RIGHT(TRIM(Sheet3!$C115),2)="02",180,1))</f>
        <v>0.51666666666666661</v>
      </c>
      <c r="K115" s="44">
        <f>SUMIFS(Sheet1!$O144:$O9026,Sheet1!$K144:$K9026,Sheet3!$C115,Sheet1!$G144:$G9026,Sheet3!K$3)/3/2/IF(RIGHT(TRIM(Sheet3!$C115),3)="250",250, IF(RIGHT(TRIM(Sheet3!$C115),2)="02",180,1))</f>
        <v>0.16666666666666666</v>
      </c>
      <c r="L115" s="44">
        <f>SUMIFS(Sheet1!$O144:$O9026,Sheet1!$K144:$K9026,Sheet3!$C115,Sheet1!$G144:$G9026,Sheet3!L$3)/3/2/IF(RIGHT(TRIM(Sheet3!$C115),3)="250",250, IF(RIGHT(TRIM(Sheet3!$C115),2)="02",180,1))</f>
        <v>0.5</v>
      </c>
      <c r="M115" s="44">
        <f>SUMIFS(Sheet1!$O144:$O9026,Sheet1!$K144:$K9026,Sheet3!$C115,Sheet1!$G144:$G9026,Sheet3!M$3)/3/2/IF(RIGHT(TRIM(Sheet3!$C115),3)="250",250, IF(RIGHT(TRIM(Sheet3!$C115),2)="02",180,1))</f>
        <v>0.16666666666666666</v>
      </c>
      <c r="N115" s="44">
        <f>SUMIFS(Sheet1!$O144:$O9026,Sheet1!$K144:$K9026,Sheet3!$C115,Sheet1!$G144:$G9026,Sheet3!N$3)/3/2/IF(RIGHT(TRIM(Sheet3!$C115),3)="250",250, IF(RIGHT(TRIM(Sheet3!$C115),2)="02",180,1))</f>
        <v>0.16666666666666666</v>
      </c>
      <c r="O115" s="44">
        <f>SUMIFS(Sheet1!$O144:$O9026,Sheet1!$K144:$K9026,Sheet3!$C115,Sheet1!$G144:$G9026,Sheet3!O$3)/3/2/IF(RIGHT(TRIM(Sheet3!$C115),3)="250",250, IF(RIGHT(TRIM(Sheet3!$C115),2)="02",180,1))</f>
        <v>0.16666666666666666</v>
      </c>
    </row>
    <row r="116" spans="3:15" x14ac:dyDescent="0.25">
      <c r="C116" s="36" t="s">
        <v>193</v>
      </c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</row>
    <row r="117" spans="3:15" x14ac:dyDescent="0.25">
      <c r="C117" s="35" t="s">
        <v>1499</v>
      </c>
      <c r="D117" s="44">
        <f>SUMIFS(Sheet1!$O146:$O9028,Sheet1!$K146:$K9028,Sheet3!$C117,Sheet1!$G146:$G9028,Sheet3!D$3)/3/2/IF(RIGHT(TRIM(Sheet3!$C117),3)="250",250, IF(RIGHT(TRIM(Sheet3!$C117),2)="02",180,1))</f>
        <v>0</v>
      </c>
      <c r="E117" s="44">
        <f>SUMIFS(Sheet1!$O146:$O9028,Sheet1!$K146:$K9028,Sheet3!$C117,Sheet1!$G146:$G9028,Sheet3!E$3)/3/2/IF(RIGHT(TRIM(Sheet3!$C117),3)="250",250, IF(RIGHT(TRIM(Sheet3!$C117),2)="02",180,1))</f>
        <v>0</v>
      </c>
      <c r="F117" s="44">
        <f>SUMIFS(Sheet1!$O146:$O9028,Sheet1!$K146:$K9028,Sheet3!$C117,Sheet1!$G146:$G9028,Sheet3!F$3)/3/2/IF(RIGHT(TRIM(Sheet3!$C117),3)="250",250, IF(RIGHT(TRIM(Sheet3!$C117),2)="02",180,1))</f>
        <v>0</v>
      </c>
      <c r="G117" s="44">
        <f>SUMIFS(Sheet1!$O146:$O9028,Sheet1!$K146:$K9028,Sheet3!$C117,Sheet1!$G146:$G9028,Sheet3!G$3)/3/2/IF(RIGHT(TRIM(Sheet3!$C117),3)="250",250, IF(RIGHT(TRIM(Sheet3!$C117),2)="02",180,1))</f>
        <v>0.16666666666666666</v>
      </c>
      <c r="H117" s="44">
        <f>SUMIFS(Sheet1!$O146:$O9028,Sheet1!$K146:$K9028,Sheet3!$C117,Sheet1!$G146:$G9028,Sheet3!H$3)/3/2/IF(RIGHT(TRIM(Sheet3!$C117),3)="250",250, IF(RIGHT(TRIM(Sheet3!$C117),2)="02",180,1))</f>
        <v>0</v>
      </c>
      <c r="I117" s="44">
        <f>SUMIFS(Sheet1!$O146:$O9028,Sheet1!$K146:$K9028,Sheet3!$C117,Sheet1!$G146:$G9028,Sheet3!I$3)/3/2/IF(RIGHT(TRIM(Sheet3!$C117),3)="250",250, IF(RIGHT(TRIM(Sheet3!$C117),2)="02",180,1))</f>
        <v>0</v>
      </c>
      <c r="J117" s="44">
        <f>SUMIFS(Sheet1!$O146:$O9028,Sheet1!$K146:$K9028,Sheet3!$C117,Sheet1!$G146:$G9028,Sheet3!J$3)/3/2/IF(RIGHT(TRIM(Sheet3!$C117),3)="250",250, IF(RIGHT(TRIM(Sheet3!$C117),2)="02",180,1))</f>
        <v>0</v>
      </c>
      <c r="K117" s="44">
        <f>SUMIFS(Sheet1!$O146:$O9028,Sheet1!$K146:$K9028,Sheet3!$C117,Sheet1!$G146:$G9028,Sheet3!K$3)/3/2/IF(RIGHT(TRIM(Sheet3!$C117),3)="250",250, IF(RIGHT(TRIM(Sheet3!$C117),2)="02",180,1))</f>
        <v>0</v>
      </c>
      <c r="L117" s="44">
        <f>SUMIFS(Sheet1!$O146:$O9028,Sheet1!$K146:$K9028,Sheet3!$C117,Sheet1!$G146:$G9028,Sheet3!L$3)/3/2/IF(RIGHT(TRIM(Sheet3!$C117),3)="250",250, IF(RIGHT(TRIM(Sheet3!$C117),2)="02",180,1))</f>
        <v>0</v>
      </c>
      <c r="M117" s="44">
        <f>SUMIFS(Sheet1!$O146:$O9028,Sheet1!$K146:$K9028,Sheet3!$C117,Sheet1!$G146:$G9028,Sheet3!M$3)/3/2/IF(RIGHT(TRIM(Sheet3!$C117),3)="250",250, IF(RIGHT(TRIM(Sheet3!$C117),2)="02",180,1))</f>
        <v>0</v>
      </c>
      <c r="N117" s="44">
        <f>SUMIFS(Sheet1!$O146:$O9028,Sheet1!$K146:$K9028,Sheet3!$C117,Sheet1!$G146:$G9028,Sheet3!N$3)/3/2/IF(RIGHT(TRIM(Sheet3!$C117),3)="250",250, IF(RIGHT(TRIM(Sheet3!$C117),2)="02",180,1))</f>
        <v>0</v>
      </c>
      <c r="O117" s="44">
        <f>SUMIFS(Sheet1!$O146:$O9028,Sheet1!$K146:$K9028,Sheet3!$C117,Sheet1!$G146:$G9028,Sheet3!O$3)/3/2/IF(RIGHT(TRIM(Sheet3!$C117),3)="250",250, IF(RIGHT(TRIM(Sheet3!$C117),2)="02",180,1))</f>
        <v>2.3148148148148151E-3</v>
      </c>
    </row>
    <row r="118" spans="3:15" x14ac:dyDescent="0.25">
      <c r="C118" s="35" t="s">
        <v>192</v>
      </c>
      <c r="D118" s="44">
        <f>SUMIFS(Sheet1!$O147:$O9029,Sheet1!$K147:$K9029,Sheet3!$C118,Sheet1!$G147:$G9029,Sheet3!D$3)/3/2/IF(RIGHT(TRIM(Sheet3!$C118),3)="250",250, IF(RIGHT(TRIM(Sheet3!$C118),2)="02",180,1))</f>
        <v>0</v>
      </c>
      <c r="E118" s="44">
        <f>SUMIFS(Sheet1!$O147:$O9029,Sheet1!$K147:$K9029,Sheet3!$C118,Sheet1!$G147:$G9029,Sheet3!E$3)/3/2/IF(RIGHT(TRIM(Sheet3!$C118),3)="250",250, IF(RIGHT(TRIM(Sheet3!$C118),2)="02",180,1))</f>
        <v>1.3333333333333333</v>
      </c>
      <c r="F118" s="44">
        <f>SUMIFS(Sheet1!$O147:$O9029,Sheet1!$K147:$K9029,Sheet3!$C118,Sheet1!$G147:$G9029,Sheet3!F$3)/3/2/IF(RIGHT(TRIM(Sheet3!$C118),3)="250",250, IF(RIGHT(TRIM(Sheet3!$C118),2)="02",180,1))</f>
        <v>0.66666666666666663</v>
      </c>
      <c r="G118" s="44">
        <f>SUMIFS(Sheet1!$O147:$O9029,Sheet1!$K147:$K9029,Sheet3!$C118,Sheet1!$G147:$G9029,Sheet3!G$3)/3/2/IF(RIGHT(TRIM(Sheet3!$C118),3)="250",250, IF(RIGHT(TRIM(Sheet3!$C118),2)="02",180,1))</f>
        <v>1</v>
      </c>
      <c r="H118" s="44">
        <f>SUMIFS(Sheet1!$O147:$O9029,Sheet1!$K147:$K9029,Sheet3!$C118,Sheet1!$G147:$G9029,Sheet3!H$3)/3/2/IF(RIGHT(TRIM(Sheet3!$C118),3)="250",250, IF(RIGHT(TRIM(Sheet3!$C118),2)="02",180,1))</f>
        <v>1.3333333333333333</v>
      </c>
      <c r="I118" s="44">
        <f>SUMIFS(Sheet1!$O147:$O9029,Sheet1!$K147:$K9029,Sheet3!$C118,Sheet1!$G147:$G9029,Sheet3!I$3)/3/2/IF(RIGHT(TRIM(Sheet3!$C118),3)="250",250, IF(RIGHT(TRIM(Sheet3!$C118),2)="02",180,1))</f>
        <v>0.16666666666666666</v>
      </c>
      <c r="J118" s="44">
        <f>SUMIFS(Sheet1!$O147:$O9029,Sheet1!$K147:$K9029,Sheet3!$C118,Sheet1!$G147:$G9029,Sheet3!J$3)/3/2/IF(RIGHT(TRIM(Sheet3!$C118),3)="250",250, IF(RIGHT(TRIM(Sheet3!$C118),2)="02",180,1))</f>
        <v>0</v>
      </c>
      <c r="K118" s="44">
        <f>SUMIFS(Sheet1!$O147:$O9029,Sheet1!$K147:$K9029,Sheet3!$C118,Sheet1!$G147:$G9029,Sheet3!K$3)/3/2/IF(RIGHT(TRIM(Sheet3!$C118),3)="250",250, IF(RIGHT(TRIM(Sheet3!$C118),2)="02",180,1))</f>
        <v>0</v>
      </c>
      <c r="L118" s="44">
        <f>SUMIFS(Sheet1!$O147:$O9029,Sheet1!$K147:$K9029,Sheet3!$C118,Sheet1!$G147:$G9029,Sheet3!L$3)/3/2/IF(RIGHT(TRIM(Sheet3!$C118),3)="250",250, IF(RIGHT(TRIM(Sheet3!$C118),2)="02",180,1))</f>
        <v>0</v>
      </c>
      <c r="M118" s="44">
        <f>SUMIFS(Sheet1!$O147:$O9029,Sheet1!$K147:$K9029,Sheet3!$C118,Sheet1!$G147:$G9029,Sheet3!M$3)/3/2/IF(RIGHT(TRIM(Sheet3!$C118),3)="250",250, IF(RIGHT(TRIM(Sheet3!$C118),2)="02",180,1))</f>
        <v>0</v>
      </c>
      <c r="N118" s="44">
        <f>SUMIFS(Sheet1!$O147:$O9029,Sheet1!$K147:$K9029,Sheet3!$C118,Sheet1!$G147:$G9029,Sheet3!N$3)/3/2/IF(RIGHT(TRIM(Sheet3!$C118),3)="250",250, IF(RIGHT(TRIM(Sheet3!$C118),2)="02",180,1))</f>
        <v>0</v>
      </c>
      <c r="O118" s="44">
        <f>SUMIFS(Sheet1!$O147:$O9029,Sheet1!$K147:$K9029,Sheet3!$C118,Sheet1!$G147:$G9029,Sheet3!O$3)/3/2/IF(RIGHT(TRIM(Sheet3!$C118),3)="250",250, IF(RIGHT(TRIM(Sheet3!$C118),2)="02",180,1))</f>
        <v>0</v>
      </c>
    </row>
    <row r="119" spans="3:15" x14ac:dyDescent="0.25">
      <c r="C119" s="36" t="s">
        <v>3911</v>
      </c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</row>
    <row r="120" spans="3:15" x14ac:dyDescent="0.25">
      <c r="C120" s="35" t="s">
        <v>3941</v>
      </c>
      <c r="D120" s="44">
        <f>SUMIFS(Sheet1!$O149:$O9031,Sheet1!$K149:$K9031,Sheet3!$C120,Sheet1!$G149:$G9031,Sheet3!D$3)/3/2/IF(RIGHT(TRIM(Sheet3!$C120),3)="250",250, IF(RIGHT(TRIM(Sheet3!$C120),2)="02",180,1))</f>
        <v>6.4814814814814811E-2</v>
      </c>
      <c r="E120" s="44">
        <f>SUMIFS(Sheet1!$O149:$O9031,Sheet1!$K149:$K9031,Sheet3!$C120,Sheet1!$G149:$G9031,Sheet3!E$3)/3/2/IF(RIGHT(TRIM(Sheet3!$C120),3)="250",250, IF(RIGHT(TRIM(Sheet3!$C120),2)="02",180,1))</f>
        <v>5.5555555555555552E-2</v>
      </c>
      <c r="F120" s="44">
        <f>SUMIFS(Sheet1!$O149:$O9031,Sheet1!$K149:$K9031,Sheet3!$C120,Sheet1!$G149:$G9031,Sheet3!F$3)/3/2/IF(RIGHT(TRIM(Sheet3!$C120),3)="250",250, IF(RIGHT(TRIM(Sheet3!$C120),2)="02",180,1))</f>
        <v>5.5555555555555552E-2</v>
      </c>
      <c r="G120" s="44">
        <f>SUMIFS(Sheet1!$O149:$O9031,Sheet1!$K149:$K9031,Sheet3!$C120,Sheet1!$G149:$G9031,Sheet3!G$3)/3/2/IF(RIGHT(TRIM(Sheet3!$C120),3)="250",250, IF(RIGHT(TRIM(Sheet3!$C120),2)="02",180,1))</f>
        <v>5.5555555555555552E-2</v>
      </c>
      <c r="H120" s="44">
        <f>SUMIFS(Sheet1!$O149:$O9031,Sheet1!$K149:$K9031,Sheet3!$C120,Sheet1!$G149:$G9031,Sheet3!H$3)/3/2/IF(RIGHT(TRIM(Sheet3!$C120),3)="250",250, IF(RIGHT(TRIM(Sheet3!$C120),2)="02",180,1))</f>
        <v>0</v>
      </c>
      <c r="I120" s="44">
        <f>SUMIFS(Sheet1!$O149:$O9031,Sheet1!$K149:$K9031,Sheet3!$C120,Sheet1!$G149:$G9031,Sheet3!I$3)/3/2/IF(RIGHT(TRIM(Sheet3!$C120),3)="250",250, IF(RIGHT(TRIM(Sheet3!$C120),2)="02",180,1))</f>
        <v>8.3333333333333329E-2</v>
      </c>
      <c r="J120" s="44">
        <f>SUMIFS(Sheet1!$O149:$O9031,Sheet1!$K149:$K9031,Sheet3!$C120,Sheet1!$G149:$G9031,Sheet3!J$3)/3/2/IF(RIGHT(TRIM(Sheet3!$C120),3)="250",250, IF(RIGHT(TRIM(Sheet3!$C120),2)="02",180,1))</f>
        <v>0.17592592592592593</v>
      </c>
      <c r="K120" s="44">
        <f>SUMIFS(Sheet1!$O149:$O9031,Sheet1!$K149:$K9031,Sheet3!$C120,Sheet1!$G149:$G9031,Sheet3!K$3)/3/2/IF(RIGHT(TRIM(Sheet3!$C120),3)="250",250, IF(RIGHT(TRIM(Sheet3!$C120),2)="02",180,1))</f>
        <v>0.1111111111111111</v>
      </c>
      <c r="L120" s="44">
        <f>SUMIFS(Sheet1!$O149:$O9031,Sheet1!$K149:$K9031,Sheet3!$C120,Sheet1!$G149:$G9031,Sheet3!L$3)/3/2/IF(RIGHT(TRIM(Sheet3!$C120),3)="250",250, IF(RIGHT(TRIM(Sheet3!$C120),2)="02",180,1))</f>
        <v>5.5555555555555552E-2</v>
      </c>
      <c r="M120" s="44">
        <f>SUMIFS(Sheet1!$O149:$O9031,Sheet1!$K149:$K9031,Sheet3!$C120,Sheet1!$G149:$G9031,Sheet3!M$3)/3/2/IF(RIGHT(TRIM(Sheet3!$C120),3)="250",250, IF(RIGHT(TRIM(Sheet3!$C120),2)="02",180,1))</f>
        <v>0</v>
      </c>
      <c r="N120" s="44">
        <f>SUMIFS(Sheet1!$O149:$O9031,Sheet1!$K149:$K9031,Sheet3!$C120,Sheet1!$G149:$G9031,Sheet3!N$3)/3/2/IF(RIGHT(TRIM(Sheet3!$C120),3)="250",250, IF(RIGHT(TRIM(Sheet3!$C120),2)="02",180,1))</f>
        <v>0.1388888888888889</v>
      </c>
      <c r="O120" s="44">
        <f>SUMIFS(Sheet1!$O149:$O9031,Sheet1!$K149:$K9031,Sheet3!$C120,Sheet1!$G149:$G9031,Sheet3!O$3)/3/2/IF(RIGHT(TRIM(Sheet3!$C120),3)="250",250, IF(RIGHT(TRIM(Sheet3!$C120),2)="02",180,1))</f>
        <v>0.19444444444444445</v>
      </c>
    </row>
    <row r="121" spans="3:15" x14ac:dyDescent="0.25">
      <c r="C121" s="35" t="s">
        <v>3910</v>
      </c>
      <c r="D121" s="44">
        <f>SUMIFS(Sheet1!$O150:$O9032,Sheet1!$K150:$K9032,Sheet3!$C121,Sheet1!$G150:$G9032,Sheet3!D$3)/3/2/IF(RIGHT(TRIM(Sheet3!$C121),3)="250",250, IF(RIGHT(TRIM(Sheet3!$C121),2)="02",180,1))</f>
        <v>0.33333333333333331</v>
      </c>
      <c r="E121" s="44">
        <f>SUMIFS(Sheet1!$O150:$O9032,Sheet1!$K150:$K9032,Sheet3!$C121,Sheet1!$G150:$G9032,Sheet3!E$3)/3/2/IF(RIGHT(TRIM(Sheet3!$C121),3)="250",250, IF(RIGHT(TRIM(Sheet3!$C121),2)="02",180,1))</f>
        <v>0.16666666666666666</v>
      </c>
      <c r="F121" s="44">
        <f>SUMIFS(Sheet1!$O150:$O9032,Sheet1!$K150:$K9032,Sheet3!$C121,Sheet1!$G150:$G9032,Sheet3!F$3)/3/2/IF(RIGHT(TRIM(Sheet3!$C121),3)="250",250, IF(RIGHT(TRIM(Sheet3!$C121),2)="02",180,1))</f>
        <v>0.16666666666666666</v>
      </c>
      <c r="G121" s="44">
        <f>SUMIFS(Sheet1!$O150:$O9032,Sheet1!$K150:$K9032,Sheet3!$C121,Sheet1!$G150:$G9032,Sheet3!G$3)/3/2/IF(RIGHT(TRIM(Sheet3!$C121),3)="250",250, IF(RIGHT(TRIM(Sheet3!$C121),2)="02",180,1))</f>
        <v>0.66666666666666663</v>
      </c>
      <c r="H121" s="44">
        <f>SUMIFS(Sheet1!$O150:$O9032,Sheet1!$K150:$K9032,Sheet3!$C121,Sheet1!$G150:$G9032,Sheet3!H$3)/3/2/IF(RIGHT(TRIM(Sheet3!$C121),3)="250",250, IF(RIGHT(TRIM(Sheet3!$C121),2)="02",180,1))</f>
        <v>0.33333333333333331</v>
      </c>
      <c r="I121" s="44">
        <f>SUMIFS(Sheet1!$O150:$O9032,Sheet1!$K150:$K9032,Sheet3!$C121,Sheet1!$G150:$G9032,Sheet3!I$3)/3/2/IF(RIGHT(TRIM(Sheet3!$C121),3)="250",250, IF(RIGHT(TRIM(Sheet3!$C121),2)="02",180,1))</f>
        <v>0.51666666666666661</v>
      </c>
      <c r="J121" s="44">
        <f>SUMIFS(Sheet1!$O150:$O9032,Sheet1!$K150:$K9032,Sheet3!$C121,Sheet1!$G150:$G9032,Sheet3!J$3)/3/2/IF(RIGHT(TRIM(Sheet3!$C121),3)="250",250, IF(RIGHT(TRIM(Sheet3!$C121),2)="02",180,1))</f>
        <v>0</v>
      </c>
      <c r="K121" s="44">
        <f>SUMIFS(Sheet1!$O150:$O9032,Sheet1!$K150:$K9032,Sheet3!$C121,Sheet1!$G150:$G9032,Sheet3!K$3)/3/2/IF(RIGHT(TRIM(Sheet3!$C121),3)="250",250, IF(RIGHT(TRIM(Sheet3!$C121),2)="02",180,1))</f>
        <v>0</v>
      </c>
      <c r="L121" s="44">
        <f>SUMIFS(Sheet1!$O150:$O9032,Sheet1!$K150:$K9032,Sheet3!$C121,Sheet1!$G150:$G9032,Sheet3!L$3)/3/2/IF(RIGHT(TRIM(Sheet3!$C121),3)="250",250, IF(RIGHT(TRIM(Sheet3!$C121),2)="02",180,1))</f>
        <v>0</v>
      </c>
      <c r="M121" s="44">
        <f>SUMIFS(Sheet1!$O150:$O9032,Sheet1!$K150:$K9032,Sheet3!$C121,Sheet1!$G150:$G9032,Sheet3!M$3)/3/2/IF(RIGHT(TRIM(Sheet3!$C121),3)="250",250, IF(RIGHT(TRIM(Sheet3!$C121),2)="02",180,1))</f>
        <v>0.16666666666666666</v>
      </c>
      <c r="N121" s="44">
        <f>SUMIFS(Sheet1!$O150:$O9032,Sheet1!$K150:$K9032,Sheet3!$C121,Sheet1!$G150:$G9032,Sheet3!N$3)/3/2/IF(RIGHT(TRIM(Sheet3!$C121),3)="250",250, IF(RIGHT(TRIM(Sheet3!$C121),2)="02",180,1))</f>
        <v>0</v>
      </c>
      <c r="O121" s="44">
        <f>SUMIFS(Sheet1!$O150:$O9032,Sheet1!$K150:$K9032,Sheet3!$C121,Sheet1!$G150:$G9032,Sheet3!O$3)/3/2/IF(RIGHT(TRIM(Sheet3!$C121),3)="250",250, IF(RIGHT(TRIM(Sheet3!$C121),2)="02",180,1))</f>
        <v>0.33333333333333331</v>
      </c>
    </row>
    <row r="122" spans="3:15" x14ac:dyDescent="0.25">
      <c r="C122" s="36" t="s">
        <v>3405</v>
      </c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</row>
    <row r="123" spans="3:15" x14ac:dyDescent="0.25">
      <c r="C123" s="35" t="s">
        <v>3943</v>
      </c>
      <c r="D123" s="44">
        <f>SUMIFS(Sheet1!$O152:$O9034,Sheet1!$K152:$K9034,Sheet3!$C123,Sheet1!$G152:$G9034,Sheet3!D$3)/3/2/IF(RIGHT(TRIM(Sheet3!$C123),3)="250",250, IF(RIGHT(TRIM(Sheet3!$C123),2)="02",180,1))</f>
        <v>9.2592592592592605E-3</v>
      </c>
      <c r="E123" s="44">
        <f>SUMIFS(Sheet1!$O152:$O9034,Sheet1!$K152:$K9034,Sheet3!$C123,Sheet1!$G152:$G9034,Sheet3!E$3)/3/2/IF(RIGHT(TRIM(Sheet3!$C123),3)="250",250, IF(RIGHT(TRIM(Sheet3!$C123),2)="02",180,1))</f>
        <v>0</v>
      </c>
      <c r="F123" s="44">
        <f>SUMIFS(Sheet1!$O152:$O9034,Sheet1!$K152:$K9034,Sheet3!$C123,Sheet1!$G152:$G9034,Sheet3!F$3)/3/2/IF(RIGHT(TRIM(Sheet3!$C123),3)="250",250, IF(RIGHT(TRIM(Sheet3!$C123),2)="02",180,1))</f>
        <v>5.5555555555555552E-2</v>
      </c>
      <c r="G123" s="44">
        <f>SUMIFS(Sheet1!$O152:$O9034,Sheet1!$K152:$K9034,Sheet3!$C123,Sheet1!$G152:$G9034,Sheet3!G$3)/3/2/IF(RIGHT(TRIM(Sheet3!$C123),3)="250",250, IF(RIGHT(TRIM(Sheet3!$C123),2)="02",180,1))</f>
        <v>0</v>
      </c>
      <c r="H123" s="44">
        <f>SUMIFS(Sheet1!$O152:$O9034,Sheet1!$K152:$K9034,Sheet3!$C123,Sheet1!$G152:$G9034,Sheet3!H$3)/3/2/IF(RIGHT(TRIM(Sheet3!$C123),3)="250",250, IF(RIGHT(TRIM(Sheet3!$C123),2)="02",180,1))</f>
        <v>0</v>
      </c>
      <c r="I123" s="44">
        <f>SUMIFS(Sheet1!$O152:$O9034,Sheet1!$K152:$K9034,Sheet3!$C123,Sheet1!$G152:$G9034,Sheet3!I$3)/3/2/IF(RIGHT(TRIM(Sheet3!$C123),3)="250",250, IF(RIGHT(TRIM(Sheet3!$C123),2)="02",180,1))</f>
        <v>0</v>
      </c>
      <c r="J123" s="44">
        <f>SUMIFS(Sheet1!$O152:$O9034,Sheet1!$K152:$K9034,Sheet3!$C123,Sheet1!$G152:$G9034,Sheet3!J$3)/3/2/IF(RIGHT(TRIM(Sheet3!$C123),3)="250",250, IF(RIGHT(TRIM(Sheet3!$C123),2)="02",180,1))</f>
        <v>0</v>
      </c>
      <c r="K123" s="44">
        <f>SUMIFS(Sheet1!$O152:$O9034,Sheet1!$K152:$K9034,Sheet3!$C123,Sheet1!$G152:$G9034,Sheet3!K$3)/3/2/IF(RIGHT(TRIM(Sheet3!$C123),3)="250",250, IF(RIGHT(TRIM(Sheet3!$C123),2)="02",180,1))</f>
        <v>0</v>
      </c>
      <c r="L123" s="44">
        <f>SUMIFS(Sheet1!$O152:$O9034,Sheet1!$K152:$K9034,Sheet3!$C123,Sheet1!$G152:$G9034,Sheet3!L$3)/3/2/IF(RIGHT(TRIM(Sheet3!$C123),3)="250",250, IF(RIGHT(TRIM(Sheet3!$C123),2)="02",180,1))</f>
        <v>0</v>
      </c>
      <c r="M123" s="44">
        <f>SUMIFS(Sheet1!$O152:$O9034,Sheet1!$K152:$K9034,Sheet3!$C123,Sheet1!$G152:$G9034,Sheet3!M$3)/3/2/IF(RIGHT(TRIM(Sheet3!$C123),3)="250",250, IF(RIGHT(TRIM(Sheet3!$C123),2)="02",180,1))</f>
        <v>0</v>
      </c>
      <c r="N123" s="44">
        <f>SUMIFS(Sheet1!$O152:$O9034,Sheet1!$K152:$K9034,Sheet3!$C123,Sheet1!$G152:$G9034,Sheet3!N$3)/3/2/IF(RIGHT(TRIM(Sheet3!$C123),3)="250",250, IF(RIGHT(TRIM(Sheet3!$C123),2)="02",180,1))</f>
        <v>8.3333333333333329E-2</v>
      </c>
      <c r="O123" s="44">
        <f>SUMIFS(Sheet1!$O152:$O9034,Sheet1!$K152:$K9034,Sheet3!$C123,Sheet1!$G152:$G9034,Sheet3!O$3)/3/2/IF(RIGHT(TRIM(Sheet3!$C123),3)="250",250, IF(RIGHT(TRIM(Sheet3!$C123),2)="02",180,1))</f>
        <v>5.5555555555555552E-2</v>
      </c>
    </row>
    <row r="124" spans="3:15" x14ac:dyDescent="0.25">
      <c r="C124" s="35" t="s">
        <v>3404</v>
      </c>
      <c r="D124" s="44">
        <f>SUMIFS(Sheet1!$O153:$O9035,Sheet1!$K153:$K9035,Sheet3!$C124,Sheet1!$G153:$G9035,Sheet3!D$3)/3/2/IF(RIGHT(TRIM(Sheet3!$C124),3)="250",250, IF(RIGHT(TRIM(Sheet3!$C124),2)="02",180,1))</f>
        <v>0.16666666666666666</v>
      </c>
      <c r="E124" s="44">
        <f>SUMIFS(Sheet1!$O153:$O9035,Sheet1!$K153:$K9035,Sheet3!$C124,Sheet1!$G153:$G9035,Sheet3!E$3)/3/2/IF(RIGHT(TRIM(Sheet3!$C124),3)="250",250, IF(RIGHT(TRIM(Sheet3!$C124),2)="02",180,1))</f>
        <v>0.33333333333333331</v>
      </c>
      <c r="F124" s="44">
        <f>SUMIFS(Sheet1!$O153:$O9035,Sheet1!$K153:$K9035,Sheet3!$C124,Sheet1!$G153:$G9035,Sheet3!F$3)/3/2/IF(RIGHT(TRIM(Sheet3!$C124),3)="250",250, IF(RIGHT(TRIM(Sheet3!$C124),2)="02",180,1))</f>
        <v>0.33333333333333331</v>
      </c>
      <c r="G124" s="44">
        <f>SUMIFS(Sheet1!$O153:$O9035,Sheet1!$K153:$K9035,Sheet3!$C124,Sheet1!$G153:$G9035,Sheet3!G$3)/3/2/IF(RIGHT(TRIM(Sheet3!$C124),3)="250",250, IF(RIGHT(TRIM(Sheet3!$C124),2)="02",180,1))</f>
        <v>0.5</v>
      </c>
      <c r="H124" s="44">
        <f>SUMIFS(Sheet1!$O153:$O9035,Sheet1!$K153:$K9035,Sheet3!$C124,Sheet1!$G153:$G9035,Sheet3!H$3)/3/2/IF(RIGHT(TRIM(Sheet3!$C124),3)="250",250, IF(RIGHT(TRIM(Sheet3!$C124),2)="02",180,1))</f>
        <v>0.5</v>
      </c>
      <c r="I124" s="44">
        <f>SUMIFS(Sheet1!$O153:$O9035,Sheet1!$K153:$K9035,Sheet3!$C124,Sheet1!$G153:$G9035,Sheet3!I$3)/3/2/IF(RIGHT(TRIM(Sheet3!$C124),3)="250",250, IF(RIGHT(TRIM(Sheet3!$C124),2)="02",180,1))</f>
        <v>0.33333333333333331</v>
      </c>
      <c r="J124" s="44">
        <f>SUMIFS(Sheet1!$O153:$O9035,Sheet1!$K153:$K9035,Sheet3!$C124,Sheet1!$G153:$G9035,Sheet3!J$3)/3/2/IF(RIGHT(TRIM(Sheet3!$C124),3)="250",250, IF(RIGHT(TRIM(Sheet3!$C124),2)="02",180,1))</f>
        <v>0</v>
      </c>
      <c r="K124" s="44">
        <f>SUMIFS(Sheet1!$O153:$O9035,Sheet1!$K153:$K9035,Sheet3!$C124,Sheet1!$G153:$G9035,Sheet3!K$3)/3/2/IF(RIGHT(TRIM(Sheet3!$C124),3)="250",250, IF(RIGHT(TRIM(Sheet3!$C124),2)="02",180,1))</f>
        <v>0</v>
      </c>
      <c r="L124" s="44">
        <f>SUMIFS(Sheet1!$O153:$O9035,Sheet1!$K153:$K9035,Sheet3!$C124,Sheet1!$G153:$G9035,Sheet3!L$3)/3/2/IF(RIGHT(TRIM(Sheet3!$C124),3)="250",250, IF(RIGHT(TRIM(Sheet3!$C124),2)="02",180,1))</f>
        <v>0</v>
      </c>
      <c r="M124" s="44">
        <f>SUMIFS(Sheet1!$O153:$O9035,Sheet1!$K153:$K9035,Sheet3!$C124,Sheet1!$G153:$G9035,Sheet3!M$3)/3/2/IF(RIGHT(TRIM(Sheet3!$C124),3)="250",250, IF(RIGHT(TRIM(Sheet3!$C124),2)="02",180,1))</f>
        <v>0.33333333333333331</v>
      </c>
      <c r="N124" s="44">
        <f>SUMIFS(Sheet1!$O153:$O9035,Sheet1!$K153:$K9035,Sheet3!$C124,Sheet1!$G153:$G9035,Sheet3!N$3)/3/2/IF(RIGHT(TRIM(Sheet3!$C124),3)="250",250, IF(RIGHT(TRIM(Sheet3!$C124),2)="02",180,1))</f>
        <v>0.33333333333333331</v>
      </c>
      <c r="O124" s="44">
        <f>SUMIFS(Sheet1!$O153:$O9035,Sheet1!$K153:$K9035,Sheet3!$C124,Sheet1!$G153:$G9035,Sheet3!O$3)/3/2/IF(RIGHT(TRIM(Sheet3!$C124),3)="250",250, IF(RIGHT(TRIM(Sheet3!$C124),2)="02",180,1))</f>
        <v>0.5</v>
      </c>
    </row>
    <row r="125" spans="3:15" x14ac:dyDescent="0.25">
      <c r="C125" s="36" t="s">
        <v>843</v>
      </c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</row>
    <row r="126" spans="3:15" x14ac:dyDescent="0.25">
      <c r="C126" s="35" t="s">
        <v>842</v>
      </c>
      <c r="D126" s="44">
        <f>SUMIFS(Sheet1!$O155:$O9037,Sheet1!$K155:$K9037,Sheet3!$C126,Sheet1!$G155:$G9037,Sheet3!D$3)/3/2/IF(RIGHT(TRIM(Sheet3!$C126),3)="250",250, IF(RIGHT(TRIM(Sheet3!$C126),2)="02",180,1))</f>
        <v>0.16666666666666666</v>
      </c>
      <c r="E126" s="44">
        <f>SUMIFS(Sheet1!$O155:$O9037,Sheet1!$K155:$K9037,Sheet3!$C126,Sheet1!$G155:$G9037,Sheet3!E$3)/3/2/IF(RIGHT(TRIM(Sheet3!$C126),3)="250",250, IF(RIGHT(TRIM(Sheet3!$C126),2)="02",180,1))</f>
        <v>0.16666666666666666</v>
      </c>
      <c r="F126" s="44">
        <f>SUMIFS(Sheet1!$O155:$O9037,Sheet1!$K155:$K9037,Sheet3!$C126,Sheet1!$G155:$G9037,Sheet3!F$3)/3/2/IF(RIGHT(TRIM(Sheet3!$C126),3)="250",250, IF(RIGHT(TRIM(Sheet3!$C126),2)="02",180,1))</f>
        <v>0.16666666666666666</v>
      </c>
      <c r="G126" s="44">
        <f>SUMIFS(Sheet1!$O155:$O9037,Sheet1!$K155:$K9037,Sheet3!$C126,Sheet1!$G155:$G9037,Sheet3!G$3)/3/2/IF(RIGHT(TRIM(Sheet3!$C126),3)="250",250, IF(RIGHT(TRIM(Sheet3!$C126),2)="02",180,1))</f>
        <v>0</v>
      </c>
      <c r="H126" s="44">
        <f>SUMIFS(Sheet1!$O155:$O9037,Sheet1!$K155:$K9037,Sheet3!$C126,Sheet1!$G155:$G9037,Sheet3!H$3)/3/2/IF(RIGHT(TRIM(Sheet3!$C126),3)="250",250, IF(RIGHT(TRIM(Sheet3!$C126),2)="02",180,1))</f>
        <v>0.33333333333333331</v>
      </c>
      <c r="I126" s="44">
        <f>SUMIFS(Sheet1!$O155:$O9037,Sheet1!$K155:$K9037,Sheet3!$C126,Sheet1!$G155:$G9037,Sheet3!I$3)/3/2/IF(RIGHT(TRIM(Sheet3!$C126),3)="250",250, IF(RIGHT(TRIM(Sheet3!$C126),2)="02",180,1))</f>
        <v>0.16666666666666666</v>
      </c>
      <c r="J126" s="44">
        <f>SUMIFS(Sheet1!$O155:$O9037,Sheet1!$K155:$K9037,Sheet3!$C126,Sheet1!$G155:$G9037,Sheet3!J$3)/3/2/IF(RIGHT(TRIM(Sheet3!$C126),3)="250",250, IF(RIGHT(TRIM(Sheet3!$C126),2)="02",180,1))</f>
        <v>1.0333333333333332</v>
      </c>
      <c r="K126" s="44">
        <f>SUMIFS(Sheet1!$O155:$O9037,Sheet1!$K155:$K9037,Sheet3!$C126,Sheet1!$G155:$G9037,Sheet3!K$3)/3/2/IF(RIGHT(TRIM(Sheet3!$C126),3)="250",250, IF(RIGHT(TRIM(Sheet3!$C126),2)="02",180,1))</f>
        <v>0</v>
      </c>
      <c r="L126" s="44">
        <f>SUMIFS(Sheet1!$O155:$O9037,Sheet1!$K155:$K9037,Sheet3!$C126,Sheet1!$G155:$G9037,Sheet3!L$3)/3/2/IF(RIGHT(TRIM(Sheet3!$C126),3)="250",250, IF(RIGHT(TRIM(Sheet3!$C126),2)="02",180,1))</f>
        <v>0</v>
      </c>
      <c r="M126" s="44">
        <f>SUMIFS(Sheet1!$O155:$O9037,Sheet1!$K155:$K9037,Sheet3!$C126,Sheet1!$G155:$G9037,Sheet3!M$3)/3/2/IF(RIGHT(TRIM(Sheet3!$C126),3)="250",250, IF(RIGHT(TRIM(Sheet3!$C126),2)="02",180,1))</f>
        <v>0</v>
      </c>
      <c r="N126" s="44">
        <f>SUMIFS(Sheet1!$O155:$O9037,Sheet1!$K155:$K9037,Sheet3!$C126,Sheet1!$G155:$G9037,Sheet3!N$3)/3/2/IF(RIGHT(TRIM(Sheet3!$C126),3)="250",250, IF(RIGHT(TRIM(Sheet3!$C126),2)="02",180,1))</f>
        <v>1.3333333333333333</v>
      </c>
      <c r="O126" s="44">
        <f>SUMIFS(Sheet1!$O155:$O9037,Sheet1!$K155:$K9037,Sheet3!$C126,Sheet1!$G155:$G9037,Sheet3!O$3)/3/2/IF(RIGHT(TRIM(Sheet3!$C126),3)="250",250, IF(RIGHT(TRIM(Sheet3!$C126),2)="02",180,1))</f>
        <v>0.16666666666666666</v>
      </c>
    </row>
    <row r="127" spans="3:15" x14ac:dyDescent="0.25">
      <c r="C127" s="36" t="s">
        <v>1267</v>
      </c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</row>
    <row r="128" spans="3:15" x14ac:dyDescent="0.25">
      <c r="C128" s="35" t="s">
        <v>1266</v>
      </c>
      <c r="D128" s="44">
        <f>SUMIFS(Sheet1!$O157:$O9039,Sheet1!$K157:$K9039,Sheet3!$C128,Sheet1!$G157:$G9039,Sheet3!D$3)/3/2/IF(RIGHT(TRIM(Sheet3!$C128),3)="250",250, IF(RIGHT(TRIM(Sheet3!$C128),2)="02",180,1))</f>
        <v>0.17592592592592593</v>
      </c>
      <c r="E128" s="44">
        <f>SUMIFS(Sheet1!$O157:$O9039,Sheet1!$K157:$K9039,Sheet3!$C128,Sheet1!$G157:$G9039,Sheet3!E$3)/3/2/IF(RIGHT(TRIM(Sheet3!$C128),3)="250",250, IF(RIGHT(TRIM(Sheet3!$C128),2)="02",180,1))</f>
        <v>0</v>
      </c>
      <c r="F128" s="44">
        <f>SUMIFS(Sheet1!$O157:$O9039,Sheet1!$K157:$K9039,Sheet3!$C128,Sheet1!$G157:$G9039,Sheet3!F$3)/3/2/IF(RIGHT(TRIM(Sheet3!$C128),3)="250",250, IF(RIGHT(TRIM(Sheet3!$C128),2)="02",180,1))</f>
        <v>0.17592592592592593</v>
      </c>
      <c r="G128" s="44">
        <f>SUMIFS(Sheet1!$O157:$O9039,Sheet1!$K157:$K9039,Sheet3!$C128,Sheet1!$G157:$G9039,Sheet3!G$3)/3/2/IF(RIGHT(TRIM(Sheet3!$C128),3)="250",250, IF(RIGHT(TRIM(Sheet3!$C128),2)="02",180,1))</f>
        <v>2.7777777777777776E-2</v>
      </c>
      <c r="H128" s="44">
        <f>SUMIFS(Sheet1!$O157:$O9039,Sheet1!$K157:$K9039,Sheet3!$C128,Sheet1!$G157:$G9039,Sheet3!H$3)/3/2/IF(RIGHT(TRIM(Sheet3!$C128),3)="250",250, IF(RIGHT(TRIM(Sheet3!$C128),2)="02",180,1))</f>
        <v>0.33333333333333331</v>
      </c>
      <c r="I128" s="44">
        <f>SUMIFS(Sheet1!$O157:$O9039,Sheet1!$K157:$K9039,Sheet3!$C128,Sheet1!$G157:$G9039,Sheet3!I$3)/3/2/IF(RIGHT(TRIM(Sheet3!$C128),3)="250",250, IF(RIGHT(TRIM(Sheet3!$C128),2)="02",180,1))</f>
        <v>0.19444444444444445</v>
      </c>
      <c r="J128" s="44">
        <f>SUMIFS(Sheet1!$O157:$O9039,Sheet1!$K157:$K9039,Sheet3!$C128,Sheet1!$G157:$G9039,Sheet3!J$3)/3/2/IF(RIGHT(TRIM(Sheet3!$C128),3)="250",250, IF(RIGHT(TRIM(Sheet3!$C128),2)="02",180,1))</f>
        <v>0.16666666666666666</v>
      </c>
      <c r="K128" s="44">
        <f>SUMIFS(Sheet1!$O157:$O9039,Sheet1!$K157:$K9039,Sheet3!$C128,Sheet1!$G157:$G9039,Sheet3!K$3)/3/2/IF(RIGHT(TRIM(Sheet3!$C128),3)="250",250, IF(RIGHT(TRIM(Sheet3!$C128),2)="02",180,1))</f>
        <v>0.19444444444444445</v>
      </c>
      <c r="L128" s="44">
        <f>SUMIFS(Sheet1!$O157:$O9039,Sheet1!$K157:$K9039,Sheet3!$C128,Sheet1!$G157:$G9039,Sheet3!L$3)/3/2/IF(RIGHT(TRIM(Sheet3!$C128),3)="250",250, IF(RIGHT(TRIM(Sheet3!$C128),2)="02",180,1))</f>
        <v>0.16666666666666666</v>
      </c>
      <c r="M128" s="44">
        <f>SUMIFS(Sheet1!$O157:$O9039,Sheet1!$K157:$K9039,Sheet3!$C128,Sheet1!$G157:$G9039,Sheet3!M$3)/3/2/IF(RIGHT(TRIM(Sheet3!$C128),3)="250",250, IF(RIGHT(TRIM(Sheet3!$C128),2)="02",180,1))</f>
        <v>0.16666666666666666</v>
      </c>
      <c r="N128" s="44">
        <f>SUMIFS(Sheet1!$O157:$O9039,Sheet1!$K157:$K9039,Sheet3!$C128,Sheet1!$G157:$G9039,Sheet3!N$3)/3/2/IF(RIGHT(TRIM(Sheet3!$C128),3)="250",250, IF(RIGHT(TRIM(Sheet3!$C128),2)="02",180,1))</f>
        <v>2.7777777777777776E-2</v>
      </c>
      <c r="O128" s="44">
        <f>SUMIFS(Sheet1!$O157:$O9039,Sheet1!$K157:$K9039,Sheet3!$C128,Sheet1!$G157:$G9039,Sheet3!O$3)/3/2/IF(RIGHT(TRIM(Sheet3!$C128),3)="250",250, IF(RIGHT(TRIM(Sheet3!$C128),2)="02",180,1))</f>
        <v>0.16666666666666666</v>
      </c>
    </row>
    <row r="129" spans="3:15" x14ac:dyDescent="0.25">
      <c r="C129" s="35" t="s">
        <v>8349</v>
      </c>
      <c r="D129" s="44">
        <f>SUMIFS(Sheet1!$O158:$O9040,Sheet1!$K158:$K9040,Sheet3!$C129,Sheet1!$G158:$G9040,Sheet3!D$3)/3/2/IF(RIGHT(TRIM(Sheet3!$C129),3)="250",250, IF(RIGHT(TRIM(Sheet3!$C129),2)="02",180,1))</f>
        <v>0</v>
      </c>
      <c r="E129" s="44">
        <f>SUMIFS(Sheet1!$O158:$O9040,Sheet1!$K158:$K9040,Sheet3!$C129,Sheet1!$G158:$G9040,Sheet3!E$3)/3/2/IF(RIGHT(TRIM(Sheet3!$C129),3)="250",250, IF(RIGHT(TRIM(Sheet3!$C129),2)="02",180,1))</f>
        <v>0</v>
      </c>
      <c r="F129" s="44">
        <f>SUMIFS(Sheet1!$O158:$O9040,Sheet1!$K158:$K9040,Sheet3!$C129,Sheet1!$G158:$G9040,Sheet3!F$3)/3/2/IF(RIGHT(TRIM(Sheet3!$C129),3)="250",250, IF(RIGHT(TRIM(Sheet3!$C129),2)="02",180,1))</f>
        <v>0</v>
      </c>
      <c r="G129" s="44">
        <f>SUMIFS(Sheet1!$O158:$O9040,Sheet1!$K158:$K9040,Sheet3!$C129,Sheet1!$G158:$G9040,Sheet3!G$3)/3/2/IF(RIGHT(TRIM(Sheet3!$C129),3)="250",250, IF(RIGHT(TRIM(Sheet3!$C129),2)="02",180,1))</f>
        <v>0</v>
      </c>
      <c r="H129" s="44">
        <f>SUMIFS(Sheet1!$O158:$O9040,Sheet1!$K158:$K9040,Sheet3!$C129,Sheet1!$G158:$G9040,Sheet3!H$3)/3/2/IF(RIGHT(TRIM(Sheet3!$C129),3)="250",250, IF(RIGHT(TRIM(Sheet3!$C129),2)="02",180,1))</f>
        <v>0</v>
      </c>
      <c r="I129" s="44">
        <f>SUMIFS(Sheet1!$O158:$O9040,Sheet1!$K158:$K9040,Sheet3!$C129,Sheet1!$G158:$G9040,Sheet3!I$3)/3/2/IF(RIGHT(TRIM(Sheet3!$C129),3)="250",250, IF(RIGHT(TRIM(Sheet3!$C129),2)="02",180,1))</f>
        <v>0</v>
      </c>
      <c r="J129" s="44">
        <f>SUMIFS(Sheet1!$O158:$O9040,Sheet1!$K158:$K9040,Sheet3!$C129,Sheet1!$G158:$G9040,Sheet3!J$3)/3/2/IF(RIGHT(TRIM(Sheet3!$C129),3)="250",250, IF(RIGHT(TRIM(Sheet3!$C129),2)="02",180,1))</f>
        <v>0.5</v>
      </c>
      <c r="K129" s="44">
        <f>SUMIFS(Sheet1!$O158:$O9040,Sheet1!$K158:$K9040,Sheet3!$C129,Sheet1!$G158:$G9040,Sheet3!K$3)/3/2/IF(RIGHT(TRIM(Sheet3!$C129),3)="250",250, IF(RIGHT(TRIM(Sheet3!$C129),2)="02",180,1))</f>
        <v>0</v>
      </c>
      <c r="L129" s="44">
        <f>SUMIFS(Sheet1!$O158:$O9040,Sheet1!$K158:$K9040,Sheet3!$C129,Sheet1!$G158:$G9040,Sheet3!L$3)/3/2/IF(RIGHT(TRIM(Sheet3!$C129),3)="250",250, IF(RIGHT(TRIM(Sheet3!$C129),2)="02",180,1))</f>
        <v>0.16666666666666666</v>
      </c>
      <c r="M129" s="44">
        <f>SUMIFS(Sheet1!$O158:$O9040,Sheet1!$K158:$K9040,Sheet3!$C129,Sheet1!$G158:$G9040,Sheet3!M$3)/3/2/IF(RIGHT(TRIM(Sheet3!$C129),3)="250",250, IF(RIGHT(TRIM(Sheet3!$C129),2)="02",180,1))</f>
        <v>0</v>
      </c>
      <c r="N129" s="44">
        <f>SUMIFS(Sheet1!$O158:$O9040,Sheet1!$K158:$K9040,Sheet3!$C129,Sheet1!$G158:$G9040,Sheet3!N$3)/3/2/IF(RIGHT(TRIM(Sheet3!$C129),3)="250",250, IF(RIGHT(TRIM(Sheet3!$C129),2)="02",180,1))</f>
        <v>0.83333333333333337</v>
      </c>
      <c r="O129" s="44">
        <f>SUMIFS(Sheet1!$O158:$O9040,Sheet1!$K158:$K9040,Sheet3!$C129,Sheet1!$G158:$G9040,Sheet3!O$3)/3/2/IF(RIGHT(TRIM(Sheet3!$C129),3)="250",250, IF(RIGHT(TRIM(Sheet3!$C129),2)="02",180,1))</f>
        <v>0.16666666666666666</v>
      </c>
    </row>
    <row r="130" spans="3:15" x14ac:dyDescent="0.25">
      <c r="C130" s="36" t="s">
        <v>3525</v>
      </c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</row>
    <row r="131" spans="3:15" x14ac:dyDescent="0.25">
      <c r="C131" s="35" t="s">
        <v>3917</v>
      </c>
      <c r="D131" s="44">
        <f>SUMIFS(Sheet1!$O160:$O9042,Sheet1!$K160:$K9042,Sheet3!$C131,Sheet1!$G160:$G9042,Sheet3!D$3)/3/2/IF(RIGHT(TRIM(Sheet3!$C131),3)="250",250, IF(RIGHT(TRIM(Sheet3!$C131),2)="02",180,1))</f>
        <v>0.27777777777777779</v>
      </c>
      <c r="E131" s="44">
        <f>SUMIFS(Sheet1!$O160:$O9042,Sheet1!$K160:$K9042,Sheet3!$C131,Sheet1!$G160:$G9042,Sheet3!E$3)/3/2/IF(RIGHT(TRIM(Sheet3!$C131),3)="250",250, IF(RIGHT(TRIM(Sheet3!$C131),2)="02",180,1))</f>
        <v>5.5555555555555552E-2</v>
      </c>
      <c r="F131" s="44">
        <f>SUMIFS(Sheet1!$O160:$O9042,Sheet1!$K160:$K9042,Sheet3!$C131,Sheet1!$G160:$G9042,Sheet3!F$3)/3/2/IF(RIGHT(TRIM(Sheet3!$C131),3)="250",250, IF(RIGHT(TRIM(Sheet3!$C131),2)="02",180,1))</f>
        <v>5.5555555555555552E-2</v>
      </c>
      <c r="G131" s="44">
        <f>SUMIFS(Sheet1!$O160:$O9042,Sheet1!$K160:$K9042,Sheet3!$C131,Sheet1!$G160:$G9042,Sheet3!G$3)/3/2/IF(RIGHT(TRIM(Sheet3!$C131),3)="250",250, IF(RIGHT(TRIM(Sheet3!$C131),2)="02",180,1))</f>
        <v>5.5555555555555552E-2</v>
      </c>
      <c r="H131" s="44">
        <f>SUMIFS(Sheet1!$O160:$O9042,Sheet1!$K160:$K9042,Sheet3!$C131,Sheet1!$G160:$G9042,Sheet3!H$3)/3/2/IF(RIGHT(TRIM(Sheet3!$C131),3)="250",250, IF(RIGHT(TRIM(Sheet3!$C131),2)="02",180,1))</f>
        <v>5.5555555555555552E-2</v>
      </c>
      <c r="I131" s="44">
        <f>SUMIFS(Sheet1!$O160:$O9042,Sheet1!$K160:$K9042,Sheet3!$C131,Sheet1!$G160:$G9042,Sheet3!I$3)/3/2/IF(RIGHT(TRIM(Sheet3!$C131),3)="250",250, IF(RIGHT(TRIM(Sheet3!$C131),2)="02",180,1))</f>
        <v>5.5555555555555552E-2</v>
      </c>
      <c r="J131" s="44">
        <f>SUMIFS(Sheet1!$O160:$O9042,Sheet1!$K160:$K9042,Sheet3!$C131,Sheet1!$G160:$G9042,Sheet3!J$3)/3/2/IF(RIGHT(TRIM(Sheet3!$C131),3)="250",250, IF(RIGHT(TRIM(Sheet3!$C131),2)="02",180,1))</f>
        <v>0</v>
      </c>
      <c r="K131" s="44">
        <f>SUMIFS(Sheet1!$O160:$O9042,Sheet1!$K160:$K9042,Sheet3!$C131,Sheet1!$G160:$G9042,Sheet3!K$3)/3/2/IF(RIGHT(TRIM(Sheet3!$C131),3)="250",250, IF(RIGHT(TRIM(Sheet3!$C131),2)="02",180,1))</f>
        <v>0.1388888888888889</v>
      </c>
      <c r="L131" s="44">
        <f>SUMIFS(Sheet1!$O160:$O9042,Sheet1!$K160:$K9042,Sheet3!$C131,Sheet1!$G160:$G9042,Sheet3!L$3)/3/2/IF(RIGHT(TRIM(Sheet3!$C131),3)="250",250, IF(RIGHT(TRIM(Sheet3!$C131),2)="02",180,1))</f>
        <v>0</v>
      </c>
      <c r="M131" s="44">
        <f>SUMIFS(Sheet1!$O160:$O9042,Sheet1!$K160:$K9042,Sheet3!$C131,Sheet1!$G160:$G9042,Sheet3!M$3)/3/2/IF(RIGHT(TRIM(Sheet3!$C131),3)="250",250, IF(RIGHT(TRIM(Sheet3!$C131),2)="02",180,1))</f>
        <v>0.1111111111111111</v>
      </c>
      <c r="N131" s="44">
        <f>SUMIFS(Sheet1!$O160:$O9042,Sheet1!$K160:$K9042,Sheet3!$C131,Sheet1!$G160:$G9042,Sheet3!N$3)/3/2/IF(RIGHT(TRIM(Sheet3!$C131),3)="250",250, IF(RIGHT(TRIM(Sheet3!$C131),2)="02",180,1))</f>
        <v>0</v>
      </c>
      <c r="O131" s="44">
        <f>SUMIFS(Sheet1!$O160:$O9042,Sheet1!$K160:$K9042,Sheet3!$C131,Sheet1!$G160:$G9042,Sheet3!O$3)/3/2/IF(RIGHT(TRIM(Sheet3!$C131),3)="250",250, IF(RIGHT(TRIM(Sheet3!$C131),2)="02",180,1))</f>
        <v>0.1111111111111111</v>
      </c>
    </row>
    <row r="132" spans="3:15" x14ac:dyDescent="0.25">
      <c r="C132" s="35" t="s">
        <v>3524</v>
      </c>
      <c r="D132" s="44">
        <f>SUMIFS(Sheet1!$O161:$O9043,Sheet1!$K161:$K9043,Sheet3!$C132,Sheet1!$G161:$G9043,Sheet3!D$3)/3/2/IF(RIGHT(TRIM(Sheet3!$C132),3)="250",250, IF(RIGHT(TRIM(Sheet3!$C132),2)="02",180,1))</f>
        <v>0.16666666666666666</v>
      </c>
      <c r="E132" s="44">
        <f>SUMIFS(Sheet1!$O161:$O9043,Sheet1!$K161:$K9043,Sheet3!$C132,Sheet1!$G161:$G9043,Sheet3!E$3)/3/2/IF(RIGHT(TRIM(Sheet3!$C132),3)="250",250, IF(RIGHT(TRIM(Sheet3!$C132),2)="02",180,1))</f>
        <v>0</v>
      </c>
      <c r="F132" s="44">
        <f>SUMIFS(Sheet1!$O161:$O9043,Sheet1!$K161:$K9043,Sheet3!$C132,Sheet1!$G161:$G9043,Sheet3!F$3)/3/2/IF(RIGHT(TRIM(Sheet3!$C132),3)="250",250, IF(RIGHT(TRIM(Sheet3!$C132),2)="02",180,1))</f>
        <v>0.16666666666666666</v>
      </c>
      <c r="G132" s="44">
        <f>SUMIFS(Sheet1!$O161:$O9043,Sheet1!$K161:$K9043,Sheet3!$C132,Sheet1!$G161:$G9043,Sheet3!G$3)/3/2/IF(RIGHT(TRIM(Sheet3!$C132),3)="250",250, IF(RIGHT(TRIM(Sheet3!$C132),2)="02",180,1))</f>
        <v>0</v>
      </c>
      <c r="H132" s="44">
        <f>SUMIFS(Sheet1!$O161:$O9043,Sheet1!$K161:$K9043,Sheet3!$C132,Sheet1!$G161:$G9043,Sheet3!H$3)/3/2/IF(RIGHT(TRIM(Sheet3!$C132),3)="250",250, IF(RIGHT(TRIM(Sheet3!$C132),2)="02",180,1))</f>
        <v>0.91666666666666663</v>
      </c>
      <c r="I132" s="44">
        <f>SUMIFS(Sheet1!$O161:$O9043,Sheet1!$K161:$K9043,Sheet3!$C132,Sheet1!$G161:$G9043,Sheet3!I$3)/3/2/IF(RIGHT(TRIM(Sheet3!$C132),3)="250",250, IF(RIGHT(TRIM(Sheet3!$C132),2)="02",180,1))</f>
        <v>0.33333333333333331</v>
      </c>
      <c r="J132" s="44">
        <f>SUMIFS(Sheet1!$O161:$O9043,Sheet1!$K161:$K9043,Sheet3!$C132,Sheet1!$G161:$G9043,Sheet3!J$3)/3/2/IF(RIGHT(TRIM(Sheet3!$C132),3)="250",250, IF(RIGHT(TRIM(Sheet3!$C132),2)="02",180,1))</f>
        <v>0.16666666666666666</v>
      </c>
      <c r="K132" s="44">
        <f>SUMIFS(Sheet1!$O161:$O9043,Sheet1!$K161:$K9043,Sheet3!$C132,Sheet1!$G161:$G9043,Sheet3!K$3)/3/2/IF(RIGHT(TRIM(Sheet3!$C132),3)="250",250, IF(RIGHT(TRIM(Sheet3!$C132),2)="02",180,1))</f>
        <v>0</v>
      </c>
      <c r="L132" s="44">
        <f>SUMIFS(Sheet1!$O161:$O9043,Sheet1!$K161:$K9043,Sheet3!$C132,Sheet1!$G161:$G9043,Sheet3!L$3)/3/2/IF(RIGHT(TRIM(Sheet3!$C132),3)="250",250, IF(RIGHT(TRIM(Sheet3!$C132),2)="02",180,1))</f>
        <v>0</v>
      </c>
      <c r="M132" s="44">
        <f>SUMIFS(Sheet1!$O161:$O9043,Sheet1!$K161:$K9043,Sheet3!$C132,Sheet1!$G161:$G9043,Sheet3!M$3)/3/2/IF(RIGHT(TRIM(Sheet3!$C132),3)="250",250, IF(RIGHT(TRIM(Sheet3!$C132),2)="02",180,1))</f>
        <v>0</v>
      </c>
      <c r="N132" s="44">
        <f>SUMIFS(Sheet1!$O161:$O9043,Sheet1!$K161:$K9043,Sheet3!$C132,Sheet1!$G161:$G9043,Sheet3!N$3)/3/2/IF(RIGHT(TRIM(Sheet3!$C132),3)="250",250, IF(RIGHT(TRIM(Sheet3!$C132),2)="02",180,1))</f>
        <v>0.35</v>
      </c>
      <c r="O132" s="44">
        <f>SUMIFS(Sheet1!$O161:$O9043,Sheet1!$K161:$K9043,Sheet3!$C132,Sheet1!$G161:$G9043,Sheet3!O$3)/3/2/IF(RIGHT(TRIM(Sheet3!$C132),3)="250",250, IF(RIGHT(TRIM(Sheet3!$C132),2)="02",180,1))</f>
        <v>0.18333333333333335</v>
      </c>
    </row>
    <row r="133" spans="3:15" x14ac:dyDescent="0.25">
      <c r="C133" s="36" t="s">
        <v>2617</v>
      </c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</row>
    <row r="134" spans="3:15" x14ac:dyDescent="0.25">
      <c r="C134" s="35" t="s">
        <v>2620</v>
      </c>
      <c r="D134" s="44">
        <f>SUMIFS(Sheet1!$O163:$O9045,Sheet1!$K163:$K9045,Sheet3!$C134,Sheet1!$G163:$G9045,Sheet3!D$3)/3/2/IF(RIGHT(TRIM(Sheet3!$C134),3)="250",250, IF(RIGHT(TRIM(Sheet3!$C134),2)="02",180,1))</f>
        <v>0</v>
      </c>
      <c r="E134" s="44">
        <f>SUMIFS(Sheet1!$O163:$O9045,Sheet1!$K163:$K9045,Sheet3!$C134,Sheet1!$G163:$G9045,Sheet3!E$3)/3/2/IF(RIGHT(TRIM(Sheet3!$C134),3)="250",250, IF(RIGHT(TRIM(Sheet3!$C134),2)="02",180,1))</f>
        <v>0</v>
      </c>
      <c r="F134" s="44">
        <f>SUMIFS(Sheet1!$O163:$O9045,Sheet1!$K163:$K9045,Sheet3!$C134,Sheet1!$G163:$G9045,Sheet3!F$3)/3/2/IF(RIGHT(TRIM(Sheet3!$C134),3)="250",250, IF(RIGHT(TRIM(Sheet3!$C134),2)="02",180,1))</f>
        <v>0</v>
      </c>
      <c r="G134" s="44">
        <f>SUMIFS(Sheet1!$O163:$O9045,Sheet1!$K163:$K9045,Sheet3!$C134,Sheet1!$G163:$G9045,Sheet3!G$3)/3/2/IF(RIGHT(TRIM(Sheet3!$C134),3)="250",250, IF(RIGHT(TRIM(Sheet3!$C134),2)="02",180,1))</f>
        <v>0</v>
      </c>
      <c r="H134" s="44">
        <f>SUMIFS(Sheet1!$O163:$O9045,Sheet1!$K163:$K9045,Sheet3!$C134,Sheet1!$G163:$G9045,Sheet3!H$3)/3/2/IF(RIGHT(TRIM(Sheet3!$C134),3)="250",250, IF(RIGHT(TRIM(Sheet3!$C134),2)="02",180,1))</f>
        <v>0</v>
      </c>
      <c r="I134" s="44">
        <f>SUMIFS(Sheet1!$O163:$O9045,Sheet1!$K163:$K9045,Sheet3!$C134,Sheet1!$G163:$G9045,Sheet3!I$3)/3/2/IF(RIGHT(TRIM(Sheet3!$C134),3)="250",250, IF(RIGHT(TRIM(Sheet3!$C134),2)="02",180,1))</f>
        <v>0</v>
      </c>
      <c r="J134" s="44">
        <f>SUMIFS(Sheet1!$O163:$O9045,Sheet1!$K163:$K9045,Sheet3!$C134,Sheet1!$G163:$G9045,Sheet3!J$3)/3/2/IF(RIGHT(TRIM(Sheet3!$C134),3)="250",250, IF(RIGHT(TRIM(Sheet3!$C134),2)="02",180,1))</f>
        <v>1.6666666666666667</v>
      </c>
      <c r="K134" s="44">
        <f>SUMIFS(Sheet1!$O163:$O9045,Sheet1!$K163:$K9045,Sheet3!$C134,Sheet1!$G163:$G9045,Sheet3!K$3)/3/2/IF(RIGHT(TRIM(Sheet3!$C134),3)="250",250, IF(RIGHT(TRIM(Sheet3!$C134),2)="02",180,1))</f>
        <v>1</v>
      </c>
      <c r="L134" s="44">
        <f>SUMIFS(Sheet1!$O163:$O9045,Sheet1!$K163:$K9045,Sheet3!$C134,Sheet1!$G163:$G9045,Sheet3!L$3)/3/2/IF(RIGHT(TRIM(Sheet3!$C134),3)="250",250, IF(RIGHT(TRIM(Sheet3!$C134),2)="02",180,1))</f>
        <v>0</v>
      </c>
      <c r="M134" s="44">
        <f>SUMIFS(Sheet1!$O163:$O9045,Sheet1!$K163:$K9045,Sheet3!$C134,Sheet1!$G163:$G9045,Sheet3!M$3)/3/2/IF(RIGHT(TRIM(Sheet3!$C134),3)="250",250, IF(RIGHT(TRIM(Sheet3!$C134),2)="02",180,1))</f>
        <v>0</v>
      </c>
      <c r="N134" s="44">
        <f>SUMIFS(Sheet1!$O163:$O9045,Sheet1!$K163:$K9045,Sheet3!$C134,Sheet1!$G163:$G9045,Sheet3!N$3)/3/2/IF(RIGHT(TRIM(Sheet3!$C134),3)="250",250, IF(RIGHT(TRIM(Sheet3!$C134),2)="02",180,1))</f>
        <v>0</v>
      </c>
      <c r="O134" s="44">
        <f>SUMIFS(Sheet1!$O163:$O9045,Sheet1!$K163:$K9045,Sheet3!$C134,Sheet1!$G163:$G9045,Sheet3!O$3)/3/2/IF(RIGHT(TRIM(Sheet3!$C134),3)="250",250, IF(RIGHT(TRIM(Sheet3!$C134),2)="02",180,1))</f>
        <v>0</v>
      </c>
    </row>
    <row r="135" spans="3:15" x14ac:dyDescent="0.25">
      <c r="C135" s="36" t="s">
        <v>2139</v>
      </c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</row>
    <row r="136" spans="3:15" x14ac:dyDescent="0.25">
      <c r="C136" s="35" t="s">
        <v>5443</v>
      </c>
      <c r="D136" s="44">
        <f>SUMIFS(Sheet1!$O165:$O9047,Sheet1!$K165:$K9047,Sheet3!$C136,Sheet1!$G165:$G9047,Sheet3!D$3)/3/2/IF(RIGHT(TRIM(Sheet3!$C136),3)="250",250, IF(RIGHT(TRIM(Sheet3!$C136),2)="02",180,1))</f>
        <v>0</v>
      </c>
      <c r="E136" s="44">
        <f>SUMIFS(Sheet1!$O165:$O9047,Sheet1!$K165:$K9047,Sheet3!$C136,Sheet1!$G165:$G9047,Sheet3!E$3)/3/2/IF(RIGHT(TRIM(Sheet3!$C136),3)="250",250, IF(RIGHT(TRIM(Sheet3!$C136),2)="02",180,1))</f>
        <v>0</v>
      </c>
      <c r="F136" s="44">
        <f>SUMIFS(Sheet1!$O165:$O9047,Sheet1!$K165:$K9047,Sheet3!$C136,Sheet1!$G165:$G9047,Sheet3!F$3)/3/2/IF(RIGHT(TRIM(Sheet3!$C136),3)="250",250, IF(RIGHT(TRIM(Sheet3!$C136),2)="02",180,1))</f>
        <v>0</v>
      </c>
      <c r="G136" s="44">
        <f>SUMIFS(Sheet1!$O165:$O9047,Sheet1!$K165:$K9047,Sheet3!$C136,Sheet1!$G165:$G9047,Sheet3!G$3)/3/2/IF(RIGHT(TRIM(Sheet3!$C136),3)="250",250, IF(RIGHT(TRIM(Sheet3!$C136),2)="02",180,1))</f>
        <v>0</v>
      </c>
      <c r="H136" s="44">
        <f>SUMIFS(Sheet1!$O165:$O9047,Sheet1!$K165:$K9047,Sheet3!$C136,Sheet1!$G165:$G9047,Sheet3!H$3)/3/2/IF(RIGHT(TRIM(Sheet3!$C136),3)="250",250, IF(RIGHT(TRIM(Sheet3!$C136),2)="02",180,1))</f>
        <v>0</v>
      </c>
      <c r="I136" s="44">
        <f>SUMIFS(Sheet1!$O165:$O9047,Sheet1!$K165:$K9047,Sheet3!$C136,Sheet1!$G165:$G9047,Sheet3!I$3)/3/2/IF(RIGHT(TRIM(Sheet3!$C136),3)="250",250, IF(RIGHT(TRIM(Sheet3!$C136),2)="02",180,1))</f>
        <v>6.9444444444444448E-2</v>
      </c>
      <c r="J136" s="44">
        <f>SUMIFS(Sheet1!$O165:$O9047,Sheet1!$K165:$K9047,Sheet3!$C136,Sheet1!$G165:$G9047,Sheet3!J$3)/3/2/IF(RIGHT(TRIM(Sheet3!$C136),3)="250",250, IF(RIGHT(TRIM(Sheet3!$C136),2)="02",180,1))</f>
        <v>9.2592592592592605E-3</v>
      </c>
      <c r="K136" s="44">
        <f>SUMIFS(Sheet1!$O165:$O9047,Sheet1!$K165:$K9047,Sheet3!$C136,Sheet1!$G165:$G9047,Sheet3!K$3)/3/2/IF(RIGHT(TRIM(Sheet3!$C136),3)="250",250, IF(RIGHT(TRIM(Sheet3!$C136),2)="02",180,1))</f>
        <v>0.11574074074074073</v>
      </c>
      <c r="L136" s="44">
        <f>SUMIFS(Sheet1!$O165:$O9047,Sheet1!$K165:$K9047,Sheet3!$C136,Sheet1!$G165:$G9047,Sheet3!L$3)/3/2/IF(RIGHT(TRIM(Sheet3!$C136),3)="250",250, IF(RIGHT(TRIM(Sheet3!$C136),2)="02",180,1))</f>
        <v>0</v>
      </c>
      <c r="M136" s="44">
        <f>SUMIFS(Sheet1!$O165:$O9047,Sheet1!$K165:$K9047,Sheet3!$C136,Sheet1!$G165:$G9047,Sheet3!M$3)/3/2/IF(RIGHT(TRIM(Sheet3!$C136),3)="250",250, IF(RIGHT(TRIM(Sheet3!$C136),2)="02",180,1))</f>
        <v>0</v>
      </c>
      <c r="N136" s="44">
        <f>SUMIFS(Sheet1!$O165:$O9047,Sheet1!$K165:$K9047,Sheet3!$C136,Sheet1!$G165:$G9047,Sheet3!N$3)/3/2/IF(RIGHT(TRIM(Sheet3!$C136),3)="250",250, IF(RIGHT(TRIM(Sheet3!$C136),2)="02",180,1))</f>
        <v>0.11574074074074073</v>
      </c>
      <c r="O136" s="44">
        <f>SUMIFS(Sheet1!$O165:$O9047,Sheet1!$K165:$K9047,Sheet3!$C136,Sheet1!$G165:$G9047,Sheet3!O$3)/3/2/IF(RIGHT(TRIM(Sheet3!$C136),3)="250",250, IF(RIGHT(TRIM(Sheet3!$C136),2)="02",180,1))</f>
        <v>0</v>
      </c>
    </row>
    <row r="137" spans="3:15" x14ac:dyDescent="0.25">
      <c r="C137" s="35" t="s">
        <v>2138</v>
      </c>
      <c r="D137" s="44">
        <f>SUMIFS(Sheet1!$O166:$O9048,Sheet1!$K166:$K9048,Sheet3!$C137,Sheet1!$G166:$G9048,Sheet3!D$3)/3/2/IF(RIGHT(TRIM(Sheet3!$C137),3)="250",250, IF(RIGHT(TRIM(Sheet3!$C137),2)="02",180,1))</f>
        <v>0</v>
      </c>
      <c r="E137" s="44">
        <f>SUMIFS(Sheet1!$O166:$O9048,Sheet1!$K166:$K9048,Sheet3!$C137,Sheet1!$G166:$G9048,Sheet3!E$3)/3/2/IF(RIGHT(TRIM(Sheet3!$C137),3)="250",250, IF(RIGHT(TRIM(Sheet3!$C137),2)="02",180,1))</f>
        <v>0</v>
      </c>
      <c r="F137" s="44">
        <f>SUMIFS(Sheet1!$O166:$O9048,Sheet1!$K166:$K9048,Sheet3!$C137,Sheet1!$G166:$G9048,Sheet3!F$3)/3/2/IF(RIGHT(TRIM(Sheet3!$C137),3)="250",250, IF(RIGHT(TRIM(Sheet3!$C137),2)="02",180,1))</f>
        <v>0</v>
      </c>
      <c r="G137" s="44">
        <f>SUMIFS(Sheet1!$O166:$O9048,Sheet1!$K166:$K9048,Sheet3!$C137,Sheet1!$G166:$G9048,Sheet3!G$3)/3/2/IF(RIGHT(TRIM(Sheet3!$C137),3)="250",250, IF(RIGHT(TRIM(Sheet3!$C137),2)="02",180,1))</f>
        <v>0</v>
      </c>
      <c r="H137" s="44">
        <f>SUMIFS(Sheet1!$O166:$O9048,Sheet1!$K166:$K9048,Sheet3!$C137,Sheet1!$G166:$G9048,Sheet3!H$3)/3/2/IF(RIGHT(TRIM(Sheet3!$C137),3)="250",250, IF(RIGHT(TRIM(Sheet3!$C137),2)="02",180,1))</f>
        <v>0.16666666666666666</v>
      </c>
      <c r="I137" s="44">
        <f>SUMIFS(Sheet1!$O166:$O9048,Sheet1!$K166:$K9048,Sheet3!$C137,Sheet1!$G166:$G9048,Sheet3!I$3)/3/2/IF(RIGHT(TRIM(Sheet3!$C137),3)="250",250, IF(RIGHT(TRIM(Sheet3!$C137),2)="02",180,1))</f>
        <v>0.83333333333333337</v>
      </c>
      <c r="J137" s="44">
        <f>SUMIFS(Sheet1!$O166:$O9048,Sheet1!$K166:$K9048,Sheet3!$C137,Sheet1!$G166:$G9048,Sheet3!J$3)/3/2/IF(RIGHT(TRIM(Sheet3!$C137),3)="250",250, IF(RIGHT(TRIM(Sheet3!$C137),2)="02",180,1))</f>
        <v>0</v>
      </c>
      <c r="K137" s="44">
        <f>SUMIFS(Sheet1!$O166:$O9048,Sheet1!$K166:$K9048,Sheet3!$C137,Sheet1!$G166:$G9048,Sheet3!K$3)/3/2/IF(RIGHT(TRIM(Sheet3!$C137),3)="250",250, IF(RIGHT(TRIM(Sheet3!$C137),2)="02",180,1))</f>
        <v>0.83333333333333337</v>
      </c>
      <c r="L137" s="44">
        <f>SUMIFS(Sheet1!$O166:$O9048,Sheet1!$K166:$K9048,Sheet3!$C137,Sheet1!$G166:$G9048,Sheet3!L$3)/3/2/IF(RIGHT(TRIM(Sheet3!$C137),3)="250",250, IF(RIGHT(TRIM(Sheet3!$C137),2)="02",180,1))</f>
        <v>0</v>
      </c>
      <c r="M137" s="44">
        <f>SUMIFS(Sheet1!$O166:$O9048,Sheet1!$K166:$K9048,Sheet3!$C137,Sheet1!$G166:$G9048,Sheet3!M$3)/3/2/IF(RIGHT(TRIM(Sheet3!$C137),3)="250",250, IF(RIGHT(TRIM(Sheet3!$C137),2)="02",180,1))</f>
        <v>0.33333333333333331</v>
      </c>
      <c r="N137" s="44">
        <f>SUMIFS(Sheet1!$O166:$O9048,Sheet1!$K166:$K9048,Sheet3!$C137,Sheet1!$G166:$G9048,Sheet3!N$3)/3/2/IF(RIGHT(TRIM(Sheet3!$C137),3)="250",250, IF(RIGHT(TRIM(Sheet3!$C137),2)="02",180,1))</f>
        <v>0.16666666666666666</v>
      </c>
      <c r="O137" s="44">
        <f>SUMIFS(Sheet1!$O166:$O9048,Sheet1!$K166:$K9048,Sheet3!$C137,Sheet1!$G166:$G9048,Sheet3!O$3)/3/2/IF(RIGHT(TRIM(Sheet3!$C137),3)="250",250, IF(RIGHT(TRIM(Sheet3!$C137),2)="02",180,1))</f>
        <v>0</v>
      </c>
    </row>
    <row r="138" spans="3:15" x14ac:dyDescent="0.25">
      <c r="C138" s="56" t="s">
        <v>547</v>
      </c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</row>
    <row r="139" spans="3:15" x14ac:dyDescent="0.25">
      <c r="C139" s="35" t="s">
        <v>2544</v>
      </c>
      <c r="D139" s="44">
        <f>SUMIFS(Sheet1!$O168:$O9050,Sheet1!$K168:$K9050,Sheet3!$C139,Sheet1!$G168:$G9050,Sheet3!D$3)/3/2/IF(RIGHT(TRIM(Sheet3!$C139),3)="250",250, IF(RIGHT(TRIM(Sheet3!$C139),2)="02",180,1))</f>
        <v>0.16666666666666666</v>
      </c>
      <c r="E139" s="44">
        <f>SUMIFS(Sheet1!$O168:$O9050,Sheet1!$K168:$K9050,Sheet3!$C139,Sheet1!$G168:$G9050,Sheet3!E$3)/3/2/IF(RIGHT(TRIM(Sheet3!$C139),3)="250",250, IF(RIGHT(TRIM(Sheet3!$C139),2)="02",180,1))</f>
        <v>0</v>
      </c>
      <c r="F139" s="44">
        <f>SUMIFS(Sheet1!$O168:$O9050,Sheet1!$K168:$K9050,Sheet3!$C139,Sheet1!$G168:$G9050,Sheet3!F$3)/3/2/IF(RIGHT(TRIM(Sheet3!$C139),3)="250",250, IF(RIGHT(TRIM(Sheet3!$C139),2)="02",180,1))</f>
        <v>0</v>
      </c>
      <c r="G139" s="44">
        <f>SUMIFS(Sheet1!$O168:$O9050,Sheet1!$K168:$K9050,Sheet3!$C139,Sheet1!$G168:$G9050,Sheet3!G$3)/3/2/IF(RIGHT(TRIM(Sheet3!$C139),3)="250",250, IF(RIGHT(TRIM(Sheet3!$C139),2)="02",180,1))</f>
        <v>0</v>
      </c>
      <c r="H139" s="44">
        <f>SUMIFS(Sheet1!$O168:$O9050,Sheet1!$K168:$K9050,Sheet3!$C139,Sheet1!$G168:$G9050,Sheet3!H$3)/3/2/IF(RIGHT(TRIM(Sheet3!$C139),3)="250",250, IF(RIGHT(TRIM(Sheet3!$C139),2)="02",180,1))</f>
        <v>0</v>
      </c>
      <c r="I139" s="44">
        <f>SUMIFS(Sheet1!$O168:$O9050,Sheet1!$K168:$K9050,Sheet3!$C139,Sheet1!$G168:$G9050,Sheet3!I$3)/3/2/IF(RIGHT(TRIM(Sheet3!$C139),3)="250",250, IF(RIGHT(TRIM(Sheet3!$C139),2)="02",180,1))</f>
        <v>0.5</v>
      </c>
      <c r="J139" s="44">
        <f>SUMIFS(Sheet1!$O168:$O9050,Sheet1!$K168:$K9050,Sheet3!$C139,Sheet1!$G168:$G9050,Sheet3!J$3)/3/2/IF(RIGHT(TRIM(Sheet3!$C139),3)="250",250, IF(RIGHT(TRIM(Sheet3!$C139),2)="02",180,1))</f>
        <v>0.16666666666666666</v>
      </c>
      <c r="K139" s="44">
        <f>SUMIFS(Sheet1!$O168:$O9050,Sheet1!$K168:$K9050,Sheet3!$C139,Sheet1!$G168:$G9050,Sheet3!K$3)/3/2/IF(RIGHT(TRIM(Sheet3!$C139),3)="250",250, IF(RIGHT(TRIM(Sheet3!$C139),2)="02",180,1))</f>
        <v>0.16666666666666666</v>
      </c>
      <c r="L139" s="44">
        <f>SUMIFS(Sheet1!$O168:$O9050,Sheet1!$K168:$K9050,Sheet3!$C139,Sheet1!$G168:$G9050,Sheet3!L$3)/3/2/IF(RIGHT(TRIM(Sheet3!$C139),3)="250",250, IF(RIGHT(TRIM(Sheet3!$C139),2)="02",180,1))</f>
        <v>0</v>
      </c>
      <c r="M139" s="44">
        <f>SUMIFS(Sheet1!$O168:$O9050,Sheet1!$K168:$K9050,Sheet3!$C139,Sheet1!$G168:$G9050,Sheet3!M$3)/3/2/IF(RIGHT(TRIM(Sheet3!$C139),3)="250",250, IF(RIGHT(TRIM(Sheet3!$C139),2)="02",180,1))</f>
        <v>0</v>
      </c>
      <c r="N139" s="44">
        <f>SUMIFS(Sheet1!$O168:$O9050,Sheet1!$K168:$K9050,Sheet3!$C139,Sheet1!$G168:$G9050,Sheet3!N$3)/3/2/IF(RIGHT(TRIM(Sheet3!$C139),3)="250",250, IF(RIGHT(TRIM(Sheet3!$C139),2)="02",180,1))</f>
        <v>0</v>
      </c>
      <c r="O139" s="44">
        <f>SUMIFS(Sheet1!$O168:$O9050,Sheet1!$K168:$K9050,Sheet3!$C139,Sheet1!$G168:$G9050,Sheet3!O$3)/3/2/IF(RIGHT(TRIM(Sheet3!$C139),3)="250",250, IF(RIGHT(TRIM(Sheet3!$C139),2)="02",180,1))</f>
        <v>0</v>
      </c>
    </row>
    <row r="140" spans="3:15" x14ac:dyDescent="0.25">
      <c r="C140" s="53" t="s">
        <v>2447</v>
      </c>
      <c r="D140" s="44">
        <f>SUMIFS(Sheet1!$O169:$O9051,Sheet1!$K169:$K9051,Sheet3!$C140,Sheet1!$G169:$G9051,Sheet3!D$3)/3/2/IF(RIGHT(TRIM(Sheet3!$C140),3)="250",250, IF(RIGHT(TRIM(Sheet3!$C140),2)="02",180,1))</f>
        <v>0</v>
      </c>
      <c r="E140" s="44">
        <f>SUMIFS(Sheet1!$O169:$O9051,Sheet1!$K169:$K9051,Sheet3!$C140,Sheet1!$G169:$G9051,Sheet3!E$3)/3/2/IF(RIGHT(TRIM(Sheet3!$C140),3)="250",250, IF(RIGHT(TRIM(Sheet3!$C140),2)="02",180,1))</f>
        <v>3.2407407407407406E-2</v>
      </c>
      <c r="F140" s="44">
        <f>SUMIFS(Sheet1!$O169:$O9051,Sheet1!$K169:$K9051,Sheet3!$C140,Sheet1!$G169:$G9051,Sheet3!F$3)/3/2/IF(RIGHT(TRIM(Sheet3!$C140),3)="250",250, IF(RIGHT(TRIM(Sheet3!$C140),2)="02",180,1))</f>
        <v>3.7037037037037042E-2</v>
      </c>
      <c r="G140" s="44">
        <f>SUMIFS(Sheet1!$O169:$O9051,Sheet1!$K169:$K9051,Sheet3!$C140,Sheet1!$G169:$G9051,Sheet3!G$3)/3/2/IF(RIGHT(TRIM(Sheet3!$C140),3)="250",250, IF(RIGHT(TRIM(Sheet3!$C140),2)="02",180,1))</f>
        <v>0.12037037037037038</v>
      </c>
      <c r="H140" s="44">
        <f>SUMIFS(Sheet1!$O169:$O9051,Sheet1!$K169:$K9051,Sheet3!$C140,Sheet1!$G169:$G9051,Sheet3!H$3)/3/2/IF(RIGHT(TRIM(Sheet3!$C140),3)="250",250, IF(RIGHT(TRIM(Sheet3!$C140),2)="02",180,1))</f>
        <v>0.20370370370370369</v>
      </c>
      <c r="I140" s="44">
        <f>SUMIFS(Sheet1!$O169:$O9051,Sheet1!$K169:$K9051,Sheet3!$C140,Sheet1!$G169:$G9051,Sheet3!I$3)/3/2/IF(RIGHT(TRIM(Sheet3!$C140),3)="250",250, IF(RIGHT(TRIM(Sheet3!$C140),2)="02",180,1))</f>
        <v>0.15277777777777779</v>
      </c>
      <c r="J140" s="44">
        <f>SUMIFS(Sheet1!$O169:$O9051,Sheet1!$K169:$K9051,Sheet3!$C140,Sheet1!$G169:$G9051,Sheet3!J$3)/3/2/IF(RIGHT(TRIM(Sheet3!$C140),3)="250",250, IF(RIGHT(TRIM(Sheet3!$C140),2)="02",180,1))</f>
        <v>0.29629629629629634</v>
      </c>
      <c r="K140" s="44">
        <f>SUMIFS(Sheet1!$O169:$O9051,Sheet1!$K169:$K9051,Sheet3!$C140,Sheet1!$G169:$G9051,Sheet3!K$3)/3/2/IF(RIGHT(TRIM(Sheet3!$C140),3)="250",250, IF(RIGHT(TRIM(Sheet3!$C140),2)="02",180,1))</f>
        <v>0.22222222222222221</v>
      </c>
      <c r="L140" s="44">
        <f>SUMIFS(Sheet1!$O169:$O9051,Sheet1!$K169:$K9051,Sheet3!$C140,Sheet1!$G169:$G9051,Sheet3!L$3)/3/2/IF(RIGHT(TRIM(Sheet3!$C140),3)="250",250, IF(RIGHT(TRIM(Sheet3!$C140),2)="02",180,1))</f>
        <v>0</v>
      </c>
      <c r="M140" s="44">
        <f>SUMIFS(Sheet1!$O169:$O9051,Sheet1!$K169:$K9051,Sheet3!$C140,Sheet1!$G169:$G9051,Sheet3!M$3)/3/2/IF(RIGHT(TRIM(Sheet3!$C140),3)="250",250, IF(RIGHT(TRIM(Sheet3!$C140),2)="02",180,1))</f>
        <v>0.16666666666666666</v>
      </c>
      <c r="N140" s="44">
        <f>SUMIFS(Sheet1!$O169:$O9051,Sheet1!$K169:$K9051,Sheet3!$C140,Sheet1!$G169:$G9051,Sheet3!N$3)/3/2/IF(RIGHT(TRIM(Sheet3!$C140),3)="250",250, IF(RIGHT(TRIM(Sheet3!$C140),2)="02",180,1))</f>
        <v>0</v>
      </c>
      <c r="O140" s="44">
        <f>SUMIFS(Sheet1!$O169:$O9051,Sheet1!$K169:$K9051,Sheet3!$C140,Sheet1!$G169:$G9051,Sheet3!O$3)/3/2/IF(RIGHT(TRIM(Sheet3!$C140),3)="250",250, IF(RIGHT(TRIM(Sheet3!$C140),2)="02",180,1))</f>
        <v>0.16666666666666666</v>
      </c>
    </row>
    <row r="141" spans="3:15" x14ac:dyDescent="0.25">
      <c r="C141" s="56" t="s">
        <v>545</v>
      </c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</row>
    <row r="142" spans="3:15" x14ac:dyDescent="0.25">
      <c r="C142" s="35" t="s">
        <v>2543</v>
      </c>
      <c r="D142" s="44">
        <f>SUMIFS(Sheet1!$O171:$O9053,Sheet1!$K171:$K9053,Sheet3!$C142,Sheet1!$G171:$G9053,Sheet3!D$3)/3/2/IF(RIGHT(TRIM(Sheet3!$C142),3)="250",250, IF(RIGHT(TRIM(Sheet3!$C142),2)="02",180,1))</f>
        <v>0</v>
      </c>
      <c r="E142" s="44">
        <f>SUMIFS(Sheet1!$O171:$O9053,Sheet1!$K171:$K9053,Sheet3!$C142,Sheet1!$G171:$G9053,Sheet3!E$3)/3/2/IF(RIGHT(TRIM(Sheet3!$C142),3)="250",250, IF(RIGHT(TRIM(Sheet3!$C142),2)="02",180,1))</f>
        <v>0</v>
      </c>
      <c r="F142" s="44">
        <f>SUMIFS(Sheet1!$O171:$O9053,Sheet1!$K171:$K9053,Sheet3!$C142,Sheet1!$G171:$G9053,Sheet3!F$3)/3/2/IF(RIGHT(TRIM(Sheet3!$C142),3)="250",250, IF(RIGHT(TRIM(Sheet3!$C142),2)="02",180,1))</f>
        <v>0</v>
      </c>
      <c r="G142" s="44">
        <f>SUMIFS(Sheet1!$O171:$O9053,Sheet1!$K171:$K9053,Sheet3!$C142,Sheet1!$G171:$G9053,Sheet3!G$3)/3/2/IF(RIGHT(TRIM(Sheet3!$C142),3)="250",250, IF(RIGHT(TRIM(Sheet3!$C142),2)="02",180,1))</f>
        <v>0</v>
      </c>
      <c r="H142" s="44">
        <f>SUMIFS(Sheet1!$O171:$O9053,Sheet1!$K171:$K9053,Sheet3!$C142,Sheet1!$G171:$G9053,Sheet3!H$3)/3/2/IF(RIGHT(TRIM(Sheet3!$C142),3)="250",250, IF(RIGHT(TRIM(Sheet3!$C142),2)="02",180,1))</f>
        <v>0</v>
      </c>
      <c r="I142" s="44">
        <f>SUMIFS(Sheet1!$O171:$O9053,Sheet1!$K171:$K9053,Sheet3!$C142,Sheet1!$G171:$G9053,Sheet3!I$3)/3/2/IF(RIGHT(TRIM(Sheet3!$C142),3)="250",250, IF(RIGHT(TRIM(Sheet3!$C142),2)="02",180,1))</f>
        <v>0.33333333333333331</v>
      </c>
      <c r="J142" s="44">
        <f>SUMIFS(Sheet1!$O171:$O9053,Sheet1!$K171:$K9053,Sheet3!$C142,Sheet1!$G171:$G9053,Sheet3!J$3)/3/2/IF(RIGHT(TRIM(Sheet3!$C142),3)="250",250, IF(RIGHT(TRIM(Sheet3!$C142),2)="02",180,1))</f>
        <v>0.16666666666666666</v>
      </c>
      <c r="K142" s="44">
        <f>SUMIFS(Sheet1!$O171:$O9053,Sheet1!$K171:$K9053,Sheet3!$C142,Sheet1!$G171:$G9053,Sheet3!K$3)/3/2/IF(RIGHT(TRIM(Sheet3!$C142),3)="250",250, IF(RIGHT(TRIM(Sheet3!$C142),2)="02",180,1))</f>
        <v>0.16666666666666666</v>
      </c>
      <c r="L142" s="44">
        <f>SUMIFS(Sheet1!$O171:$O9053,Sheet1!$K171:$K9053,Sheet3!$C142,Sheet1!$G171:$G9053,Sheet3!L$3)/3/2/IF(RIGHT(TRIM(Sheet3!$C142),3)="250",250, IF(RIGHT(TRIM(Sheet3!$C142),2)="02",180,1))</f>
        <v>0</v>
      </c>
      <c r="M142" s="44">
        <f>SUMIFS(Sheet1!$O171:$O9053,Sheet1!$K171:$K9053,Sheet3!$C142,Sheet1!$G171:$G9053,Sheet3!M$3)/3/2/IF(RIGHT(TRIM(Sheet3!$C142),3)="250",250, IF(RIGHT(TRIM(Sheet3!$C142),2)="02",180,1))</f>
        <v>0</v>
      </c>
      <c r="N142" s="44">
        <f>SUMIFS(Sheet1!$O171:$O9053,Sheet1!$K171:$K9053,Sheet3!$C142,Sheet1!$G171:$G9053,Sheet3!N$3)/3/2/IF(RIGHT(TRIM(Sheet3!$C142),3)="250",250, IF(RIGHT(TRIM(Sheet3!$C142),2)="02",180,1))</f>
        <v>0</v>
      </c>
      <c r="O142" s="44">
        <f>SUMIFS(Sheet1!$O171:$O9053,Sheet1!$K171:$K9053,Sheet3!$C142,Sheet1!$G171:$G9053,Sheet3!O$3)/3/2/IF(RIGHT(TRIM(Sheet3!$C142),3)="250",250, IF(RIGHT(TRIM(Sheet3!$C142),2)="02",180,1))</f>
        <v>0</v>
      </c>
    </row>
    <row r="143" spans="3:15" x14ac:dyDescent="0.25">
      <c r="C143" s="53" t="s">
        <v>816</v>
      </c>
      <c r="D143" s="44">
        <f>SUMIFS(Sheet1!$O172:$O9054,Sheet1!$K172:$K9054,Sheet3!$C143,Sheet1!$G172:$G9054,Sheet3!D$3)/3/2/IF(RIGHT(TRIM(Sheet3!$C143),3)="250",250, IF(RIGHT(TRIM(Sheet3!$C143),2)="02",180,1))</f>
        <v>0</v>
      </c>
      <c r="E143" s="44">
        <f>SUMIFS(Sheet1!$O172:$O9054,Sheet1!$K172:$K9054,Sheet3!$C143,Sheet1!$G172:$G9054,Sheet3!E$3)/3/2/IF(RIGHT(TRIM(Sheet3!$C143),3)="250",250, IF(RIGHT(TRIM(Sheet3!$C143),2)="02",180,1))</f>
        <v>4.6296296296296302E-3</v>
      </c>
      <c r="F143" s="44">
        <f>SUMIFS(Sheet1!$O172:$O9054,Sheet1!$K172:$K9054,Sheet3!$C143,Sheet1!$G172:$G9054,Sheet3!F$3)/3/2/IF(RIGHT(TRIM(Sheet3!$C143),3)="250",250, IF(RIGHT(TRIM(Sheet3!$C143),2)="02",180,1))</f>
        <v>0</v>
      </c>
      <c r="G143" s="44">
        <f>SUMIFS(Sheet1!$O172:$O9054,Sheet1!$K172:$K9054,Sheet3!$C143,Sheet1!$G172:$G9054,Sheet3!G$3)/3/2/IF(RIGHT(TRIM(Sheet3!$C143),3)="250",250, IF(RIGHT(TRIM(Sheet3!$C143),2)="02",180,1))</f>
        <v>0</v>
      </c>
      <c r="H143" s="44">
        <f>SUMIFS(Sheet1!$O172:$O9054,Sheet1!$K172:$K9054,Sheet3!$C143,Sheet1!$G172:$G9054,Sheet3!H$3)/3/2/IF(RIGHT(TRIM(Sheet3!$C143),3)="250",250, IF(RIGHT(TRIM(Sheet3!$C143),2)="02",180,1))</f>
        <v>0.79629629629629639</v>
      </c>
      <c r="I143" s="44">
        <f>SUMIFS(Sheet1!$O172:$O9054,Sheet1!$K172:$K9054,Sheet3!$C143,Sheet1!$G172:$G9054,Sheet3!I$3)/3/2/IF(RIGHT(TRIM(Sheet3!$C143),3)="250",250, IF(RIGHT(TRIM(Sheet3!$C143),2)="02",180,1))</f>
        <v>0.26851851851851855</v>
      </c>
      <c r="J143" s="44">
        <f>SUMIFS(Sheet1!$O172:$O9054,Sheet1!$K172:$K9054,Sheet3!$C143,Sheet1!$G172:$G9054,Sheet3!J$3)/3/2/IF(RIGHT(TRIM(Sheet3!$C143),3)="250",250, IF(RIGHT(TRIM(Sheet3!$C143),2)="02",180,1))</f>
        <v>0.44444444444444442</v>
      </c>
      <c r="K143" s="44">
        <f>SUMIFS(Sheet1!$O172:$O9054,Sheet1!$K172:$K9054,Sheet3!$C143,Sheet1!$G172:$G9054,Sheet3!K$3)/3/2/IF(RIGHT(TRIM(Sheet3!$C143),3)="250",250, IF(RIGHT(TRIM(Sheet3!$C143),2)="02",180,1))</f>
        <v>4.6296296296296302E-3</v>
      </c>
      <c r="L143" s="44">
        <f>SUMIFS(Sheet1!$O172:$O9054,Sheet1!$K172:$K9054,Sheet3!$C143,Sheet1!$G172:$G9054,Sheet3!L$3)/3/2/IF(RIGHT(TRIM(Sheet3!$C143),3)="250",250, IF(RIGHT(TRIM(Sheet3!$C143),2)="02",180,1))</f>
        <v>2.3148148148148151E-3</v>
      </c>
      <c r="M143" s="44">
        <f>SUMIFS(Sheet1!$O172:$O9054,Sheet1!$K172:$K9054,Sheet3!$C143,Sheet1!$G172:$G9054,Sheet3!M$3)/3/2/IF(RIGHT(TRIM(Sheet3!$C143),3)="250",250, IF(RIGHT(TRIM(Sheet3!$C143),2)="02",180,1))</f>
        <v>0</v>
      </c>
      <c r="N143" s="44">
        <f>SUMIFS(Sheet1!$O172:$O9054,Sheet1!$K172:$K9054,Sheet3!$C143,Sheet1!$G172:$G9054,Sheet3!N$3)/3/2/IF(RIGHT(TRIM(Sheet3!$C143),3)="250",250, IF(RIGHT(TRIM(Sheet3!$C143),2)="02",180,1))</f>
        <v>0.16666666666666666</v>
      </c>
      <c r="O143" s="44">
        <f>SUMIFS(Sheet1!$O172:$O9054,Sheet1!$K172:$K9054,Sheet3!$C143,Sheet1!$G172:$G9054,Sheet3!O$3)/3/2/IF(RIGHT(TRIM(Sheet3!$C143),3)="250",250, IF(RIGHT(TRIM(Sheet3!$C143),2)="02",180,1))</f>
        <v>0.16666666666666666</v>
      </c>
    </row>
    <row r="144" spans="3:15" x14ac:dyDescent="0.25">
      <c r="C144" s="54" t="s">
        <v>541</v>
      </c>
      <c r="D144" s="44">
        <f>SUMIFS(Sheet1!$O173:$O9055,Sheet1!$K173:$K9055,Sheet3!$C144,Sheet1!$G173:$G9055,Sheet3!D$3)/3/2/IF(RIGHT(TRIM(Sheet3!$C144),3)="250",250, IF(RIGHT(TRIM(Sheet3!$C144),2)="02",180,1))</f>
        <v>0</v>
      </c>
      <c r="E144" s="44">
        <f>SUMIFS(Sheet1!$O173:$O9055,Sheet1!$K173:$K9055,Sheet3!$C144,Sheet1!$G173:$G9055,Sheet3!E$3)/3/2/IF(RIGHT(TRIM(Sheet3!$C144),3)="250",250, IF(RIGHT(TRIM(Sheet3!$C144),2)="02",180,1))</f>
        <v>0</v>
      </c>
      <c r="F144" s="44">
        <f>SUMIFS(Sheet1!$O173:$O9055,Sheet1!$K173:$K9055,Sheet3!$C144,Sheet1!$G173:$G9055,Sheet3!F$3)/3/2/IF(RIGHT(TRIM(Sheet3!$C144),3)="250",250, IF(RIGHT(TRIM(Sheet3!$C144),2)="02",180,1))</f>
        <v>0</v>
      </c>
      <c r="G144" s="44">
        <f>SUMIFS(Sheet1!$O173:$O9055,Sheet1!$K173:$K9055,Sheet3!$C144,Sheet1!$G173:$G9055,Sheet3!G$3)/3/2/IF(RIGHT(TRIM(Sheet3!$C144),3)="250",250, IF(RIGHT(TRIM(Sheet3!$C144),2)="02",180,1))</f>
        <v>0</v>
      </c>
      <c r="H144" s="44">
        <f>SUMIFS(Sheet1!$O173:$O9055,Sheet1!$K173:$K9055,Sheet3!$C144,Sheet1!$G173:$G9055,Sheet3!H$3)/3/2/IF(RIGHT(TRIM(Sheet3!$C144),3)="250",250, IF(RIGHT(TRIM(Sheet3!$C144),2)="02",180,1))</f>
        <v>0</v>
      </c>
      <c r="I144" s="44">
        <f>SUMIFS(Sheet1!$O173:$O9055,Sheet1!$K173:$K9055,Sheet3!$C144,Sheet1!$G173:$G9055,Sheet3!I$3)/3/2/IF(RIGHT(TRIM(Sheet3!$C144),3)="250",250, IF(RIGHT(TRIM(Sheet3!$C144),2)="02",180,1))</f>
        <v>0</v>
      </c>
      <c r="J144" s="44">
        <f>SUMIFS(Sheet1!$O173:$O9055,Sheet1!$K173:$K9055,Sheet3!$C144,Sheet1!$G173:$G9055,Sheet3!J$3)/3/2/IF(RIGHT(TRIM(Sheet3!$C144),3)="250",250, IF(RIGHT(TRIM(Sheet3!$C144),2)="02",180,1))</f>
        <v>0</v>
      </c>
      <c r="K144" s="44">
        <f>SUMIFS(Sheet1!$O173:$O9055,Sheet1!$K173:$K9055,Sheet3!$C144,Sheet1!$G173:$G9055,Sheet3!K$3)/3/2/IF(RIGHT(TRIM(Sheet3!$C144),3)="250",250, IF(RIGHT(TRIM(Sheet3!$C144),2)="02",180,1))</f>
        <v>0</v>
      </c>
      <c r="L144" s="44">
        <f>SUMIFS(Sheet1!$O173:$O9055,Sheet1!$K173:$K9055,Sheet3!$C144,Sheet1!$G173:$G9055,Sheet3!L$3)/3/2/IF(RIGHT(TRIM(Sheet3!$C144),3)="250",250, IF(RIGHT(TRIM(Sheet3!$C144),2)="02",180,1))</f>
        <v>0</v>
      </c>
      <c r="M144" s="44">
        <f>SUMIFS(Sheet1!$O173:$O9055,Sheet1!$K173:$K9055,Sheet3!$C144,Sheet1!$G173:$G9055,Sheet3!M$3)/3/2/IF(RIGHT(TRIM(Sheet3!$C144),3)="250",250, IF(RIGHT(TRIM(Sheet3!$C144),2)="02",180,1))</f>
        <v>0</v>
      </c>
      <c r="N144" s="44">
        <f>SUMIFS(Sheet1!$O173:$O9055,Sheet1!$K173:$K9055,Sheet3!$C144,Sheet1!$G173:$G9055,Sheet3!N$3)/3/2/IF(RIGHT(TRIM(Sheet3!$C144),3)="250",250, IF(RIGHT(TRIM(Sheet3!$C144),2)="02",180,1))</f>
        <v>0</v>
      </c>
      <c r="O144" s="44">
        <f>SUMIFS(Sheet1!$O173:$O9055,Sheet1!$K173:$K9055,Sheet3!$C144,Sheet1!$G173:$G9055,Sheet3!O$3)/3/2/IF(RIGHT(TRIM(Sheet3!$C144),3)="250",250, IF(RIGHT(TRIM(Sheet3!$C144),2)="02",180,1))</f>
        <v>0</v>
      </c>
    </row>
    <row r="145" spans="3:15" x14ac:dyDescent="0.25">
      <c r="C145" s="35" t="s">
        <v>1188</v>
      </c>
      <c r="D145" s="44">
        <f>SUMIFS(Sheet1!$O175:$O9057,Sheet1!$K175:$K9057,Sheet3!$C145,Sheet1!$G175:$G9057,Sheet3!D$3)/3/2/IF(RIGHT(TRIM(Sheet3!$C145),3)="250",250, IF(RIGHT(TRIM(Sheet3!$C145),2)="02",180,1))</f>
        <v>0</v>
      </c>
      <c r="E145" s="44">
        <f>SUMIFS(Sheet1!$O175:$O9057,Sheet1!$K175:$K9057,Sheet3!$C145,Sheet1!$G175:$G9057,Sheet3!E$3)/3/2/IF(RIGHT(TRIM(Sheet3!$C145),3)="250",250, IF(RIGHT(TRIM(Sheet3!$C145),2)="02",180,1))</f>
        <v>0</v>
      </c>
      <c r="F145" s="44">
        <f>SUMIFS(Sheet1!$O175:$O9057,Sheet1!$K175:$K9057,Sheet3!$C145,Sheet1!$G175:$G9057,Sheet3!F$3)/3/2/IF(RIGHT(TRIM(Sheet3!$C145),3)="250",250, IF(RIGHT(TRIM(Sheet3!$C145),2)="02",180,1))</f>
        <v>1</v>
      </c>
      <c r="G145" s="44">
        <f>SUMIFS(Sheet1!$O175:$O9057,Sheet1!$K175:$K9057,Sheet3!$C145,Sheet1!$G175:$G9057,Sheet3!G$3)/3/2/IF(RIGHT(TRIM(Sheet3!$C145),3)="250",250, IF(RIGHT(TRIM(Sheet3!$C145),2)="02",180,1))</f>
        <v>0.5</v>
      </c>
      <c r="H145" s="44">
        <f>SUMIFS(Sheet1!$O175:$O9057,Sheet1!$K175:$K9057,Sheet3!$C145,Sheet1!$G175:$G9057,Sheet3!H$3)/3/2/IF(RIGHT(TRIM(Sheet3!$C145),3)="250",250, IF(RIGHT(TRIM(Sheet3!$C145),2)="02",180,1))</f>
        <v>0.5</v>
      </c>
      <c r="I145" s="44">
        <f>SUMIFS(Sheet1!$O175:$O9057,Sheet1!$K175:$K9057,Sheet3!$C145,Sheet1!$G175:$G9057,Sheet3!I$3)/3/2/IF(RIGHT(TRIM(Sheet3!$C145),3)="250",250, IF(RIGHT(TRIM(Sheet3!$C145),2)="02",180,1))</f>
        <v>0.83333333333333337</v>
      </c>
      <c r="J145" s="44">
        <f>SUMIFS(Sheet1!$O175:$O9057,Sheet1!$K175:$K9057,Sheet3!$C145,Sheet1!$G175:$G9057,Sheet3!J$3)/3/2/IF(RIGHT(TRIM(Sheet3!$C145),3)="250",250, IF(RIGHT(TRIM(Sheet3!$C145),2)="02",180,1))</f>
        <v>0.5</v>
      </c>
      <c r="K145" s="44">
        <f>SUMIFS(Sheet1!$O175:$O9057,Sheet1!$K175:$K9057,Sheet3!$C145,Sheet1!$G175:$G9057,Sheet3!K$3)/3/2/IF(RIGHT(TRIM(Sheet3!$C145),3)="250",250, IF(RIGHT(TRIM(Sheet3!$C145),2)="02",180,1))</f>
        <v>0.16666666666666666</v>
      </c>
      <c r="L145" s="44">
        <f>SUMIFS(Sheet1!$O175:$O9057,Sheet1!$K175:$K9057,Sheet3!$C145,Sheet1!$G175:$G9057,Sheet3!L$3)/3/2/IF(RIGHT(TRIM(Sheet3!$C145),3)="250",250, IF(RIGHT(TRIM(Sheet3!$C145),2)="02",180,1))</f>
        <v>0.16666666666666666</v>
      </c>
      <c r="M145" s="44">
        <f>SUMIFS(Sheet1!$O175:$O9057,Sheet1!$K175:$K9057,Sheet3!$C145,Sheet1!$G175:$G9057,Sheet3!M$3)/3/2/IF(RIGHT(TRIM(Sheet3!$C145),3)="250",250, IF(RIGHT(TRIM(Sheet3!$C145),2)="02",180,1))</f>
        <v>0.16666666666666666</v>
      </c>
      <c r="N145" s="44">
        <f>SUMIFS(Sheet1!$O175:$O9057,Sheet1!$K175:$K9057,Sheet3!$C145,Sheet1!$G175:$G9057,Sheet3!N$3)/3/2/IF(RIGHT(TRIM(Sheet3!$C145),3)="250",250, IF(RIGHT(TRIM(Sheet3!$C145),2)="02",180,1))</f>
        <v>0</v>
      </c>
      <c r="O145" s="44">
        <f>SUMIFS(Sheet1!$O175:$O9057,Sheet1!$K175:$K9057,Sheet3!$C145,Sheet1!$G175:$G9057,Sheet3!O$3)/3/2/IF(RIGHT(TRIM(Sheet3!$C145),3)="250",250, IF(RIGHT(TRIM(Sheet3!$C145),2)="02",180,1))</f>
        <v>0</v>
      </c>
    </row>
    <row r="146" spans="3:15" x14ac:dyDescent="0.25">
      <c r="C146" s="35" t="s">
        <v>25</v>
      </c>
      <c r="D146" s="44">
        <f>SUMIFS(Sheet1!$O176:$O9058,Sheet1!$K176:$K9058,Sheet3!$C146,Sheet1!$G176:$G9058,Sheet3!D$3)/3/2/IF(RIGHT(TRIM(Sheet3!$C146),3)="250",250, IF(RIGHT(TRIM(Sheet3!$C146),2)="02",180,1))</f>
        <v>1.7407407407407407</v>
      </c>
      <c r="E146" s="44">
        <f>SUMIFS(Sheet1!$O176:$O9058,Sheet1!$K176:$K9058,Sheet3!$C146,Sheet1!$G176:$G9058,Sheet3!E$3)/3/2/IF(RIGHT(TRIM(Sheet3!$C146),3)="250",250, IF(RIGHT(TRIM(Sheet3!$C146),2)="02",180,1))</f>
        <v>2.0787037037037037</v>
      </c>
      <c r="F146" s="44">
        <f>SUMIFS(Sheet1!$O176:$O9058,Sheet1!$K176:$K9058,Sheet3!$C146,Sheet1!$G176:$G9058,Sheet3!F$3)/3/2/IF(RIGHT(TRIM(Sheet3!$C146),3)="250",250, IF(RIGHT(TRIM(Sheet3!$C146),2)="02",180,1))</f>
        <v>3.6134259259259256</v>
      </c>
      <c r="G146" s="44">
        <f>SUMIFS(Sheet1!$O176:$O9058,Sheet1!$K176:$K9058,Sheet3!$C146,Sheet1!$G176:$G9058,Sheet3!G$3)/3/2/IF(RIGHT(TRIM(Sheet3!$C146),3)="250",250, IF(RIGHT(TRIM(Sheet3!$C146),2)="02",180,1))</f>
        <v>4.5138888888888893</v>
      </c>
      <c r="H146" s="44">
        <f>SUMIFS(Sheet1!$O176:$O9058,Sheet1!$K176:$K9058,Sheet3!$C146,Sheet1!$G176:$G9058,Sheet3!H$3)/3/2/IF(RIGHT(TRIM(Sheet3!$C146),3)="250",250, IF(RIGHT(TRIM(Sheet3!$C146),2)="02",180,1))</f>
        <v>10.833333333333334</v>
      </c>
      <c r="I146" s="44">
        <f>SUMIFS(Sheet1!$O176:$O9058,Sheet1!$K176:$K9058,Sheet3!$C146,Sheet1!$G176:$G9058,Sheet3!I$3)/3/2/IF(RIGHT(TRIM(Sheet3!$C146),3)="250",250, IF(RIGHT(TRIM(Sheet3!$C146),2)="02",180,1))</f>
        <v>4.7337962962962967</v>
      </c>
      <c r="J146" s="44">
        <f>SUMIFS(Sheet1!$O176:$O9058,Sheet1!$K176:$K9058,Sheet3!$C146,Sheet1!$G176:$G9058,Sheet3!J$3)/3/2/IF(RIGHT(TRIM(Sheet3!$C146),3)="250",250, IF(RIGHT(TRIM(Sheet3!$C146),2)="02",180,1))</f>
        <v>4.1111111111111107</v>
      </c>
      <c r="K146" s="44">
        <f>SUMIFS(Sheet1!$O176:$O9058,Sheet1!$K176:$K9058,Sheet3!$C146,Sheet1!$G176:$G9058,Sheet3!K$3)/3/2/IF(RIGHT(TRIM(Sheet3!$C146),3)="250",250, IF(RIGHT(TRIM(Sheet3!$C146),2)="02",180,1))</f>
        <v>1.675925925925926</v>
      </c>
      <c r="L146" s="44">
        <f>SUMIFS(Sheet1!$O176:$O9058,Sheet1!$K176:$K9058,Sheet3!$C146,Sheet1!$G176:$G9058,Sheet3!L$3)/3/2/IF(RIGHT(TRIM(Sheet3!$C146),3)="250",250, IF(RIGHT(TRIM(Sheet3!$C146),2)="02",180,1))</f>
        <v>0.88657407407407418</v>
      </c>
      <c r="M146" s="44">
        <f>SUMIFS(Sheet1!$O176:$O9058,Sheet1!$K176:$K9058,Sheet3!$C146,Sheet1!$G176:$G9058,Sheet3!M$3)/3/2/IF(RIGHT(TRIM(Sheet3!$C146),3)="250",250, IF(RIGHT(TRIM(Sheet3!$C146),2)="02",180,1))</f>
        <v>0.99537037037037035</v>
      </c>
      <c r="N146" s="44">
        <f>SUMIFS(Sheet1!$O176:$O9058,Sheet1!$K176:$K9058,Sheet3!$C146,Sheet1!$G176:$G9058,Sheet3!N$3)/3/2/IF(RIGHT(TRIM(Sheet3!$C146),3)="250",250, IF(RIGHT(TRIM(Sheet3!$C146),2)="02",180,1))</f>
        <v>0.92824074074074081</v>
      </c>
      <c r="O146" s="44">
        <f>SUMIFS(Sheet1!$O176:$O9058,Sheet1!$K176:$K9058,Sheet3!$C146,Sheet1!$G176:$G9058,Sheet3!O$3)/3/2/IF(RIGHT(TRIM(Sheet3!$C146),3)="250",250, IF(RIGHT(TRIM(Sheet3!$C146),2)="02",180,1))</f>
        <v>1.1851851851851853</v>
      </c>
    </row>
    <row r="147" spans="3:15" x14ac:dyDescent="0.25">
      <c r="C147" s="54" t="s">
        <v>26</v>
      </c>
      <c r="D147" s="44">
        <f>SUMIFS(Sheet1!$O177:$O9059,Sheet1!$K177:$K9059,Sheet3!$C147,Sheet1!$G177:$G9059,Sheet3!D$3)/3/2/IF(RIGHT(TRIM(Sheet3!$C147),3)="250",250, IF(RIGHT(TRIM(Sheet3!$C147),2)="02",180,1))</f>
        <v>0</v>
      </c>
      <c r="E147" s="44">
        <f>SUMIFS(Sheet1!$O177:$O9059,Sheet1!$K177:$K9059,Sheet3!$C147,Sheet1!$G177:$G9059,Sheet3!E$3)/3/2/IF(RIGHT(TRIM(Sheet3!$C147),3)="250",250, IF(RIGHT(TRIM(Sheet3!$C147),2)="02",180,1))</f>
        <v>0</v>
      </c>
      <c r="F147" s="44">
        <f>SUMIFS(Sheet1!$O177:$O9059,Sheet1!$K177:$K9059,Sheet3!$C147,Sheet1!$G177:$G9059,Sheet3!F$3)/3/2/IF(RIGHT(TRIM(Sheet3!$C147),3)="250",250, IF(RIGHT(TRIM(Sheet3!$C147),2)="02",180,1))</f>
        <v>0</v>
      </c>
      <c r="G147" s="44">
        <f>SUMIFS(Sheet1!$O177:$O9059,Sheet1!$K177:$K9059,Sheet3!$C147,Sheet1!$G177:$G9059,Sheet3!G$3)/3/2/IF(RIGHT(TRIM(Sheet3!$C147),3)="250",250, IF(RIGHT(TRIM(Sheet3!$C147),2)="02",180,1))</f>
        <v>0</v>
      </c>
      <c r="H147" s="44">
        <f>SUMIFS(Sheet1!$O177:$O9059,Sheet1!$K177:$K9059,Sheet3!$C147,Sheet1!$G177:$G9059,Sheet3!H$3)/3/2/IF(RIGHT(TRIM(Sheet3!$C147),3)="250",250, IF(RIGHT(TRIM(Sheet3!$C147),2)="02",180,1))</f>
        <v>0</v>
      </c>
      <c r="I147" s="44">
        <f>SUMIFS(Sheet1!$O177:$O9059,Sheet1!$K177:$K9059,Sheet3!$C147,Sheet1!$G177:$G9059,Sheet3!I$3)/3/2/IF(RIGHT(TRIM(Sheet3!$C147),3)="250",250, IF(RIGHT(TRIM(Sheet3!$C147),2)="02",180,1))</f>
        <v>0</v>
      </c>
      <c r="J147" s="44">
        <f>SUMIFS(Sheet1!$O177:$O9059,Sheet1!$K177:$K9059,Sheet3!$C147,Sheet1!$G177:$G9059,Sheet3!J$3)/3/2/IF(RIGHT(TRIM(Sheet3!$C147),3)="250",250, IF(RIGHT(TRIM(Sheet3!$C147),2)="02",180,1))</f>
        <v>0</v>
      </c>
      <c r="K147" s="44">
        <f>SUMIFS(Sheet1!$O177:$O9059,Sheet1!$K177:$K9059,Sheet3!$C147,Sheet1!$G177:$G9059,Sheet3!K$3)/3/2/IF(RIGHT(TRIM(Sheet3!$C147),3)="250",250, IF(RIGHT(TRIM(Sheet3!$C147),2)="02",180,1))</f>
        <v>0</v>
      </c>
      <c r="L147" s="44">
        <f>SUMIFS(Sheet1!$O177:$O9059,Sheet1!$K177:$K9059,Sheet3!$C147,Sheet1!$G177:$G9059,Sheet3!L$3)/3/2/IF(RIGHT(TRIM(Sheet3!$C147),3)="250",250, IF(RIGHT(TRIM(Sheet3!$C147),2)="02",180,1))</f>
        <v>0</v>
      </c>
      <c r="M147" s="44">
        <f>SUMIFS(Sheet1!$O177:$O9059,Sheet1!$K177:$K9059,Sheet3!$C147,Sheet1!$G177:$G9059,Sheet3!M$3)/3/2/IF(RIGHT(TRIM(Sheet3!$C147),3)="250",250, IF(RIGHT(TRIM(Sheet3!$C147),2)="02",180,1))</f>
        <v>0</v>
      </c>
      <c r="N147" s="44">
        <f>SUMIFS(Sheet1!$O177:$O9059,Sheet1!$K177:$K9059,Sheet3!$C147,Sheet1!$G177:$G9059,Sheet3!N$3)/3/2/IF(RIGHT(TRIM(Sheet3!$C147),3)="250",250, IF(RIGHT(TRIM(Sheet3!$C147),2)="02",180,1))</f>
        <v>0</v>
      </c>
      <c r="O147" s="44">
        <f>SUMIFS(Sheet1!$O177:$O9059,Sheet1!$K177:$K9059,Sheet3!$C147,Sheet1!$G177:$G9059,Sheet3!O$3)/3/2/IF(RIGHT(TRIM(Sheet3!$C147),3)="250",250, IF(RIGHT(TRIM(Sheet3!$C147),2)="02",180,1))</f>
        <v>0</v>
      </c>
    </row>
    <row r="148" spans="3:15" x14ac:dyDescent="0.25">
      <c r="C148" s="35" t="s">
        <v>25</v>
      </c>
      <c r="D148" s="44">
        <f>SUMIFS(Sheet1!$O179:$O9061,Sheet1!$K179:$K9061,Sheet3!$C148,Sheet1!$G179:$G9061,Sheet3!D$3)/3/2/IF(RIGHT(TRIM(Sheet3!$C148),3)="250",250, IF(RIGHT(TRIM(Sheet3!$C148),2)="02",180,1))</f>
        <v>1.7407407407407407</v>
      </c>
      <c r="E148" s="44">
        <f>SUMIFS(Sheet1!$O179:$O9061,Sheet1!$K179:$K9061,Sheet3!$C148,Sheet1!$G179:$G9061,Sheet3!E$3)/3/2/IF(RIGHT(TRIM(Sheet3!$C148),3)="250",250, IF(RIGHT(TRIM(Sheet3!$C148),2)="02",180,1))</f>
        <v>2.0787037037037037</v>
      </c>
      <c r="F148" s="44">
        <f>SUMIFS(Sheet1!$O179:$O9061,Sheet1!$K179:$K9061,Sheet3!$C148,Sheet1!$G179:$G9061,Sheet3!F$3)/3/2/IF(RIGHT(TRIM(Sheet3!$C148),3)="250",250, IF(RIGHT(TRIM(Sheet3!$C148),2)="02",180,1))</f>
        <v>3.6134259259259256</v>
      </c>
      <c r="G148" s="44">
        <f>SUMIFS(Sheet1!$O179:$O9061,Sheet1!$K179:$K9061,Sheet3!$C148,Sheet1!$G179:$G9061,Sheet3!G$3)/3/2/IF(RIGHT(TRIM(Sheet3!$C148),3)="250",250, IF(RIGHT(TRIM(Sheet3!$C148),2)="02",180,1))</f>
        <v>4.5138888888888893</v>
      </c>
      <c r="H148" s="44">
        <f>SUMIFS(Sheet1!$O179:$O9061,Sheet1!$K179:$K9061,Sheet3!$C148,Sheet1!$G179:$G9061,Sheet3!H$3)/3/2/IF(RIGHT(TRIM(Sheet3!$C148),3)="250",250, IF(RIGHT(TRIM(Sheet3!$C148),2)="02",180,1))</f>
        <v>10.833333333333334</v>
      </c>
      <c r="I148" s="44">
        <f>SUMIFS(Sheet1!$O179:$O9061,Sheet1!$K179:$K9061,Sheet3!$C148,Sheet1!$G179:$G9061,Sheet3!I$3)/3/2/IF(RIGHT(TRIM(Sheet3!$C148),3)="250",250, IF(RIGHT(TRIM(Sheet3!$C148),2)="02",180,1))</f>
        <v>4.7337962962962967</v>
      </c>
      <c r="J148" s="44">
        <f>SUMIFS(Sheet1!$O179:$O9061,Sheet1!$K179:$K9061,Sheet3!$C148,Sheet1!$G179:$G9061,Sheet3!J$3)/3/2/IF(RIGHT(TRIM(Sheet3!$C148),3)="250",250, IF(RIGHT(TRIM(Sheet3!$C148),2)="02",180,1))</f>
        <v>4.1111111111111107</v>
      </c>
      <c r="K148" s="44">
        <f>SUMIFS(Sheet1!$O179:$O9061,Sheet1!$K179:$K9061,Sheet3!$C148,Sheet1!$G179:$G9061,Sheet3!K$3)/3/2/IF(RIGHT(TRIM(Sheet3!$C148),3)="250",250, IF(RIGHT(TRIM(Sheet3!$C148),2)="02",180,1))</f>
        <v>1.675925925925926</v>
      </c>
      <c r="L148" s="44">
        <f>SUMIFS(Sheet1!$O179:$O9061,Sheet1!$K179:$K9061,Sheet3!$C148,Sheet1!$G179:$G9061,Sheet3!L$3)/3/2/IF(RIGHT(TRIM(Sheet3!$C148),3)="250",250, IF(RIGHT(TRIM(Sheet3!$C148),2)="02",180,1))</f>
        <v>0.88657407407407418</v>
      </c>
      <c r="M148" s="44">
        <f>SUMIFS(Sheet1!$O179:$O9061,Sheet1!$K179:$K9061,Sheet3!$C148,Sheet1!$G179:$G9061,Sheet3!M$3)/3/2/IF(RIGHT(TRIM(Sheet3!$C148),3)="250",250, IF(RIGHT(TRIM(Sheet3!$C148),2)="02",180,1))</f>
        <v>0.99537037037037035</v>
      </c>
      <c r="N148" s="44">
        <f>SUMIFS(Sheet1!$O179:$O9061,Sheet1!$K179:$K9061,Sheet3!$C148,Sheet1!$G179:$G9061,Sheet3!N$3)/3/2/IF(RIGHT(TRIM(Sheet3!$C148),3)="250",250, IF(RIGHT(TRIM(Sheet3!$C148),2)="02",180,1))</f>
        <v>0.92824074074074081</v>
      </c>
      <c r="O148" s="44">
        <f>SUMIFS(Sheet1!$O179:$O9061,Sheet1!$K179:$K9061,Sheet3!$C148,Sheet1!$G179:$G9061,Sheet3!O$3)/3/2/IF(RIGHT(TRIM(Sheet3!$C148),3)="250",250, IF(RIGHT(TRIM(Sheet3!$C148),2)="02",180,1))</f>
        <v>1.1851851851851853</v>
      </c>
    </row>
    <row r="149" spans="3:15" x14ac:dyDescent="0.25">
      <c r="C149" s="55" t="s">
        <v>20</v>
      </c>
      <c r="D149" s="44">
        <f>SUMIFS(Sheet1!$O180:$O9062,Sheet1!$K180:$K9062,Sheet3!$C149,Sheet1!$G180:$G9062,Sheet3!D$3)/3/2/IF(RIGHT(TRIM(Sheet3!$C149),3)="250",250, IF(RIGHT(TRIM(Sheet3!$C149),2)="02",180,1))</f>
        <v>0</v>
      </c>
      <c r="E149" s="44">
        <f>SUMIFS(Sheet1!$O180:$O9062,Sheet1!$K180:$K9062,Sheet3!$C149,Sheet1!$G180:$G9062,Sheet3!E$3)/3/2/IF(RIGHT(TRIM(Sheet3!$C149),3)="250",250, IF(RIGHT(TRIM(Sheet3!$C149),2)="02",180,1))</f>
        <v>0</v>
      </c>
      <c r="F149" s="44">
        <f>SUMIFS(Sheet1!$O180:$O9062,Sheet1!$K180:$K9062,Sheet3!$C149,Sheet1!$G180:$G9062,Sheet3!F$3)/3/2/IF(RIGHT(TRIM(Sheet3!$C149),3)="250",250, IF(RIGHT(TRIM(Sheet3!$C149),2)="02",180,1))</f>
        <v>0</v>
      </c>
      <c r="G149" s="44">
        <f>SUMIFS(Sheet1!$O180:$O9062,Sheet1!$K180:$K9062,Sheet3!$C149,Sheet1!$G180:$G9062,Sheet3!G$3)/3/2/IF(RIGHT(TRIM(Sheet3!$C149),3)="250",250, IF(RIGHT(TRIM(Sheet3!$C149),2)="02",180,1))</f>
        <v>0</v>
      </c>
      <c r="H149" s="44">
        <f>SUMIFS(Sheet1!$O180:$O9062,Sheet1!$K180:$K9062,Sheet3!$C149,Sheet1!$G180:$G9062,Sheet3!H$3)/3/2/IF(RIGHT(TRIM(Sheet3!$C149),3)="250",250, IF(RIGHT(TRIM(Sheet3!$C149),2)="02",180,1))</f>
        <v>0</v>
      </c>
      <c r="I149" s="44">
        <f>SUMIFS(Sheet1!$O180:$O9062,Sheet1!$K180:$K9062,Sheet3!$C149,Sheet1!$G180:$G9062,Sheet3!I$3)/3/2/IF(RIGHT(TRIM(Sheet3!$C149),3)="250",250, IF(RIGHT(TRIM(Sheet3!$C149),2)="02",180,1))</f>
        <v>0</v>
      </c>
      <c r="J149" s="44">
        <f>SUMIFS(Sheet1!$O180:$O9062,Sheet1!$K180:$K9062,Sheet3!$C149,Sheet1!$G180:$G9062,Sheet3!J$3)/3/2/IF(RIGHT(TRIM(Sheet3!$C149),3)="250",250, IF(RIGHT(TRIM(Sheet3!$C149),2)="02",180,1))</f>
        <v>0</v>
      </c>
      <c r="K149" s="44">
        <f>SUMIFS(Sheet1!$O180:$O9062,Sheet1!$K180:$K9062,Sheet3!$C149,Sheet1!$G180:$G9062,Sheet3!K$3)/3/2/IF(RIGHT(TRIM(Sheet3!$C149),3)="250",250, IF(RIGHT(TRIM(Sheet3!$C149),2)="02",180,1))</f>
        <v>0</v>
      </c>
      <c r="L149" s="44">
        <f>SUMIFS(Sheet1!$O180:$O9062,Sheet1!$K180:$K9062,Sheet3!$C149,Sheet1!$G180:$G9062,Sheet3!L$3)/3/2/IF(RIGHT(TRIM(Sheet3!$C149),3)="250",250, IF(RIGHT(TRIM(Sheet3!$C149),2)="02",180,1))</f>
        <v>0</v>
      </c>
      <c r="M149" s="44">
        <f>SUMIFS(Sheet1!$O180:$O9062,Sheet1!$K180:$K9062,Sheet3!$C149,Sheet1!$G180:$G9062,Sheet3!M$3)/3/2/IF(RIGHT(TRIM(Sheet3!$C149),3)="250",250, IF(RIGHT(TRIM(Sheet3!$C149),2)="02",180,1))</f>
        <v>0</v>
      </c>
      <c r="N149" s="44">
        <f>SUMIFS(Sheet1!$O180:$O9062,Sheet1!$K180:$K9062,Sheet3!$C149,Sheet1!$G180:$G9062,Sheet3!N$3)/3/2/IF(RIGHT(TRIM(Sheet3!$C149),3)="250",250, IF(RIGHT(TRIM(Sheet3!$C149),2)="02",180,1))</f>
        <v>0</v>
      </c>
      <c r="O149" s="44">
        <f>SUMIFS(Sheet1!$O180:$O9062,Sheet1!$K180:$K9062,Sheet3!$C149,Sheet1!$G180:$G9062,Sheet3!O$3)/3/2/IF(RIGHT(TRIM(Sheet3!$C149),3)="250",250, IF(RIGHT(TRIM(Sheet3!$C149),2)="02",180,1))</f>
        <v>0</v>
      </c>
    </row>
    <row r="150" spans="3:15" x14ac:dyDescent="0.25">
      <c r="C150" s="35" t="s">
        <v>19</v>
      </c>
      <c r="D150" s="44">
        <f>SUMIFS(Sheet1!$O183:$O9065,Sheet1!$K183:$K9065,Sheet3!$C150,Sheet1!$G183:$G9065,Sheet3!D$3)/3/2/IF(RIGHT(TRIM(Sheet3!$C150),3)="250",250, IF(RIGHT(TRIM(Sheet3!$C150),2)="02",180,1))</f>
        <v>0.62037037037037035</v>
      </c>
      <c r="E150" s="44">
        <f>SUMIFS(Sheet1!$O183:$O9065,Sheet1!$K183:$K9065,Sheet3!$C150,Sheet1!$G183:$G9065,Sheet3!E$3)/3/2/IF(RIGHT(TRIM(Sheet3!$C150),3)="250",250, IF(RIGHT(TRIM(Sheet3!$C150),2)="02",180,1))</f>
        <v>1.0046296296296298</v>
      </c>
      <c r="F150" s="44">
        <f>SUMIFS(Sheet1!$O183:$O9065,Sheet1!$K183:$K9065,Sheet3!$C150,Sheet1!$G183:$G9065,Sheet3!F$3)/3/2/IF(RIGHT(TRIM(Sheet3!$C150),3)="250",250, IF(RIGHT(TRIM(Sheet3!$C150),2)="02",180,1))</f>
        <v>0.6342592592592593</v>
      </c>
      <c r="G150" s="44">
        <f>SUMIFS(Sheet1!$O183:$O9065,Sheet1!$K183:$K9065,Sheet3!$C150,Sheet1!$G183:$G9065,Sheet3!G$3)/3/2/IF(RIGHT(TRIM(Sheet3!$C150),3)="250",250, IF(RIGHT(TRIM(Sheet3!$C150),2)="02",180,1))</f>
        <v>1.4421296296296295</v>
      </c>
      <c r="H150" s="44">
        <f>SUMIFS(Sheet1!$O183:$O9065,Sheet1!$K183:$K9065,Sheet3!$C150,Sheet1!$G183:$G9065,Sheet3!H$3)/3/2/IF(RIGHT(TRIM(Sheet3!$C150),3)="250",250, IF(RIGHT(TRIM(Sheet3!$C150),2)="02",180,1))</f>
        <v>1.3657407407407407</v>
      </c>
      <c r="I150" s="44">
        <f>SUMIFS(Sheet1!$O183:$O9065,Sheet1!$K183:$K9065,Sheet3!$C150,Sheet1!$G183:$G9065,Sheet3!I$3)/3/2/IF(RIGHT(TRIM(Sheet3!$C150),3)="250",250, IF(RIGHT(TRIM(Sheet3!$C150),2)="02",180,1))</f>
        <v>0.75925925925925919</v>
      </c>
      <c r="J150" s="44">
        <f>SUMIFS(Sheet1!$O183:$O9065,Sheet1!$K183:$K9065,Sheet3!$C150,Sheet1!$G183:$G9065,Sheet3!J$3)/3/2/IF(RIGHT(TRIM(Sheet3!$C150),3)="250",250, IF(RIGHT(TRIM(Sheet3!$C150),2)="02",180,1))</f>
        <v>0.57407407407407407</v>
      </c>
      <c r="K150" s="44">
        <f>SUMIFS(Sheet1!$O183:$O9065,Sheet1!$K183:$K9065,Sheet3!$C150,Sheet1!$G183:$G9065,Sheet3!K$3)/3/2/IF(RIGHT(TRIM(Sheet3!$C150),3)="250",250, IF(RIGHT(TRIM(Sheet3!$C150),2)="02",180,1))</f>
        <v>1.2314814814814814</v>
      </c>
      <c r="L150" s="44">
        <f>SUMIFS(Sheet1!$O183:$O9065,Sheet1!$K183:$K9065,Sheet3!$C150,Sheet1!$G183:$G9065,Sheet3!L$3)/3/2/IF(RIGHT(TRIM(Sheet3!$C150),3)="250",250, IF(RIGHT(TRIM(Sheet3!$C150),2)="02",180,1))</f>
        <v>0.63888888888888884</v>
      </c>
      <c r="M150" s="44">
        <f>SUMIFS(Sheet1!$O183:$O9065,Sheet1!$K183:$K9065,Sheet3!$C150,Sheet1!$G183:$G9065,Sheet3!M$3)/3/2/IF(RIGHT(TRIM(Sheet3!$C150),3)="250",250, IF(RIGHT(TRIM(Sheet3!$C150),2)="02",180,1))</f>
        <v>0.59259259259259267</v>
      </c>
      <c r="N150" s="44">
        <f>SUMIFS(Sheet1!$O183:$O9065,Sheet1!$K183:$K9065,Sheet3!$C150,Sheet1!$G183:$G9065,Sheet3!N$3)/3/2/IF(RIGHT(TRIM(Sheet3!$C150),3)="250",250, IF(RIGHT(TRIM(Sheet3!$C150),2)="02",180,1))</f>
        <v>2.7129629629629628</v>
      </c>
      <c r="O150" s="44">
        <f>SUMIFS(Sheet1!$O183:$O9065,Sheet1!$K183:$K9065,Sheet3!$C150,Sheet1!$G183:$G9065,Sheet3!O$3)/3/2/IF(RIGHT(TRIM(Sheet3!$C150),3)="250",250, IF(RIGHT(TRIM(Sheet3!$C150),2)="02",180,1))</f>
        <v>0.81018518518518523</v>
      </c>
    </row>
    <row r="151" spans="3:15" x14ac:dyDescent="0.25">
      <c r="C151" s="55" t="s">
        <v>565</v>
      </c>
      <c r="D151" s="44">
        <f>SUMIFS(Sheet1!$O184:$O9066,Sheet1!$K184:$K9066,Sheet3!$C151,Sheet1!$G184:$G9066,Sheet3!D$3)/3/2/IF(RIGHT(TRIM(Sheet3!$C151),3)="250",250, IF(RIGHT(TRIM(Sheet3!$C151),2)="02",180,1))</f>
        <v>0</v>
      </c>
      <c r="E151" s="44">
        <f>SUMIFS(Sheet1!$O184:$O9066,Sheet1!$K184:$K9066,Sheet3!$C151,Sheet1!$G184:$G9066,Sheet3!E$3)/3/2/IF(RIGHT(TRIM(Sheet3!$C151),3)="250",250, IF(RIGHT(TRIM(Sheet3!$C151),2)="02",180,1))</f>
        <v>0</v>
      </c>
      <c r="F151" s="44">
        <f>SUMIFS(Sheet1!$O184:$O9066,Sheet1!$K184:$K9066,Sheet3!$C151,Sheet1!$G184:$G9066,Sheet3!F$3)/3/2/IF(RIGHT(TRIM(Sheet3!$C151),3)="250",250, IF(RIGHT(TRIM(Sheet3!$C151),2)="02",180,1))</f>
        <v>0</v>
      </c>
      <c r="G151" s="44">
        <f>SUMIFS(Sheet1!$O184:$O9066,Sheet1!$K184:$K9066,Sheet3!$C151,Sheet1!$G184:$G9066,Sheet3!G$3)/3/2/IF(RIGHT(TRIM(Sheet3!$C151),3)="250",250, IF(RIGHT(TRIM(Sheet3!$C151),2)="02",180,1))</f>
        <v>0</v>
      </c>
      <c r="H151" s="44">
        <f>SUMIFS(Sheet1!$O184:$O9066,Sheet1!$K184:$K9066,Sheet3!$C151,Sheet1!$G184:$G9066,Sheet3!H$3)/3/2/IF(RIGHT(TRIM(Sheet3!$C151),3)="250",250, IF(RIGHT(TRIM(Sheet3!$C151),2)="02",180,1))</f>
        <v>0</v>
      </c>
      <c r="I151" s="44">
        <f>SUMIFS(Sheet1!$O184:$O9066,Sheet1!$K184:$K9066,Sheet3!$C151,Sheet1!$G184:$G9066,Sheet3!I$3)/3/2/IF(RIGHT(TRIM(Sheet3!$C151),3)="250",250, IF(RIGHT(TRIM(Sheet3!$C151),2)="02",180,1))</f>
        <v>0</v>
      </c>
      <c r="J151" s="44">
        <f>SUMIFS(Sheet1!$O184:$O9066,Sheet1!$K184:$K9066,Sheet3!$C151,Sheet1!$G184:$G9066,Sheet3!J$3)/3/2/IF(RIGHT(TRIM(Sheet3!$C151),3)="250",250, IF(RIGHT(TRIM(Sheet3!$C151),2)="02",180,1))</f>
        <v>0</v>
      </c>
      <c r="K151" s="44">
        <f>SUMIFS(Sheet1!$O184:$O9066,Sheet1!$K184:$K9066,Sheet3!$C151,Sheet1!$G184:$G9066,Sheet3!K$3)/3/2/IF(RIGHT(TRIM(Sheet3!$C151),3)="250",250, IF(RIGHT(TRIM(Sheet3!$C151),2)="02",180,1))</f>
        <v>0</v>
      </c>
      <c r="L151" s="44">
        <f>SUMIFS(Sheet1!$O184:$O9066,Sheet1!$K184:$K9066,Sheet3!$C151,Sheet1!$G184:$G9066,Sheet3!L$3)/3/2/IF(RIGHT(TRIM(Sheet3!$C151),3)="250",250, IF(RIGHT(TRIM(Sheet3!$C151),2)="02",180,1))</f>
        <v>0</v>
      </c>
      <c r="M151" s="44">
        <f>SUMIFS(Sheet1!$O184:$O9066,Sheet1!$K184:$K9066,Sheet3!$C151,Sheet1!$G184:$G9066,Sheet3!M$3)/3/2/IF(RIGHT(TRIM(Sheet3!$C151),3)="250",250, IF(RIGHT(TRIM(Sheet3!$C151),2)="02",180,1))</f>
        <v>0</v>
      </c>
      <c r="N151" s="44">
        <f>SUMIFS(Sheet1!$O184:$O9066,Sheet1!$K184:$K9066,Sheet3!$C151,Sheet1!$G184:$G9066,Sheet3!N$3)/3/2/IF(RIGHT(TRIM(Sheet3!$C151),3)="250",250, IF(RIGHT(TRIM(Sheet3!$C151),2)="02",180,1))</f>
        <v>0</v>
      </c>
      <c r="O151" s="44">
        <f>SUMIFS(Sheet1!$O184:$O9066,Sheet1!$K184:$K9066,Sheet3!$C151,Sheet1!$G184:$G9066,Sheet3!O$3)/3/2/IF(RIGHT(TRIM(Sheet3!$C151),3)="250",250, IF(RIGHT(TRIM(Sheet3!$C151),2)="02",180,1))</f>
        <v>0</v>
      </c>
    </row>
    <row r="152" spans="3:15" x14ac:dyDescent="0.25">
      <c r="C152" s="35" t="s">
        <v>19</v>
      </c>
      <c r="D152" s="44">
        <f>SUMIFS(Sheet1!$O188:$O9070,Sheet1!$K188:$K9070,Sheet3!$C152,Sheet1!$G188:$G9070,Sheet3!D$3)/3/2/IF(RIGHT(TRIM(Sheet3!$C152),3)="250",250, IF(RIGHT(TRIM(Sheet3!$C152),2)="02",180,1))</f>
        <v>0.62037037037037035</v>
      </c>
      <c r="E152" s="44">
        <f>SUMIFS(Sheet1!$O188:$O9070,Sheet1!$K188:$K9070,Sheet3!$C152,Sheet1!$G188:$G9070,Sheet3!E$3)/3/2/IF(RIGHT(TRIM(Sheet3!$C152),3)="250",250, IF(RIGHT(TRIM(Sheet3!$C152),2)="02",180,1))</f>
        <v>1.0046296296296298</v>
      </c>
      <c r="F152" s="44">
        <f>SUMIFS(Sheet1!$O188:$O9070,Sheet1!$K188:$K9070,Sheet3!$C152,Sheet1!$G188:$G9070,Sheet3!F$3)/3/2/IF(RIGHT(TRIM(Sheet3!$C152),3)="250",250, IF(RIGHT(TRIM(Sheet3!$C152),2)="02",180,1))</f>
        <v>0.6342592592592593</v>
      </c>
      <c r="G152" s="44">
        <f>SUMIFS(Sheet1!$O188:$O9070,Sheet1!$K188:$K9070,Sheet3!$C152,Sheet1!$G188:$G9070,Sheet3!G$3)/3/2/IF(RIGHT(TRIM(Sheet3!$C152),3)="250",250, IF(RIGHT(TRIM(Sheet3!$C152),2)="02",180,1))</f>
        <v>1.4421296296296295</v>
      </c>
      <c r="H152" s="44">
        <f>SUMIFS(Sheet1!$O188:$O9070,Sheet1!$K188:$K9070,Sheet3!$C152,Sheet1!$G188:$G9070,Sheet3!H$3)/3/2/IF(RIGHT(TRIM(Sheet3!$C152),3)="250",250, IF(RIGHT(TRIM(Sheet3!$C152),2)="02",180,1))</f>
        <v>1.3657407407407407</v>
      </c>
      <c r="I152" s="44">
        <f>SUMIFS(Sheet1!$O188:$O9070,Sheet1!$K188:$K9070,Sheet3!$C152,Sheet1!$G188:$G9070,Sheet3!I$3)/3/2/IF(RIGHT(TRIM(Sheet3!$C152),3)="250",250, IF(RIGHT(TRIM(Sheet3!$C152),2)="02",180,1))</f>
        <v>0.75925925925925919</v>
      </c>
      <c r="J152" s="44">
        <f>SUMIFS(Sheet1!$O188:$O9070,Sheet1!$K188:$K9070,Sheet3!$C152,Sheet1!$G188:$G9070,Sheet3!J$3)/3/2/IF(RIGHT(TRIM(Sheet3!$C152),3)="250",250, IF(RIGHT(TRIM(Sheet3!$C152),2)="02",180,1))</f>
        <v>0.57407407407407407</v>
      </c>
      <c r="K152" s="44">
        <f>SUMIFS(Sheet1!$O188:$O9070,Sheet1!$K188:$K9070,Sheet3!$C152,Sheet1!$G188:$G9070,Sheet3!K$3)/3/2/IF(RIGHT(TRIM(Sheet3!$C152),3)="250",250, IF(RIGHT(TRIM(Sheet3!$C152),2)="02",180,1))</f>
        <v>1.2314814814814814</v>
      </c>
      <c r="L152" s="44">
        <f>SUMIFS(Sheet1!$O188:$O9070,Sheet1!$K188:$K9070,Sheet3!$C152,Sheet1!$G188:$G9070,Sheet3!L$3)/3/2/IF(RIGHT(TRIM(Sheet3!$C152),3)="250",250, IF(RIGHT(TRIM(Sheet3!$C152),2)="02",180,1))</f>
        <v>0.63888888888888884</v>
      </c>
      <c r="M152" s="44">
        <f>SUMIFS(Sheet1!$O188:$O9070,Sheet1!$K188:$K9070,Sheet3!$C152,Sheet1!$G188:$G9070,Sheet3!M$3)/3/2/IF(RIGHT(TRIM(Sheet3!$C152),3)="250",250, IF(RIGHT(TRIM(Sheet3!$C152),2)="02",180,1))</f>
        <v>0.59259259259259267</v>
      </c>
      <c r="N152" s="44">
        <f>SUMIFS(Sheet1!$O188:$O9070,Sheet1!$K188:$K9070,Sheet3!$C152,Sheet1!$G188:$G9070,Sheet3!N$3)/3/2/IF(RIGHT(TRIM(Sheet3!$C152),3)="250",250, IF(RIGHT(TRIM(Sheet3!$C152),2)="02",180,1))</f>
        <v>2.7129629629629628</v>
      </c>
      <c r="O152" s="44">
        <f>SUMIFS(Sheet1!$O188:$O9070,Sheet1!$K188:$K9070,Sheet3!$C152,Sheet1!$G188:$G9070,Sheet3!O$3)/3/2/IF(RIGHT(TRIM(Sheet3!$C152),3)="250",250, IF(RIGHT(TRIM(Sheet3!$C152),2)="02",180,1))</f>
        <v>0.81018518518518523</v>
      </c>
    </row>
    <row r="153" spans="3:15" x14ac:dyDescent="0.25">
      <c r="C153" s="35" t="s">
        <v>822</v>
      </c>
      <c r="D153" s="44">
        <f>SUMIFS(Sheet1!$O189:$O9071,Sheet1!$K189:$K9071,Sheet3!$C153,Sheet1!$G189:$G9071,Sheet3!D$3)/3/2/IF(RIGHT(TRIM(Sheet3!$C153),3)="250",250, IF(RIGHT(TRIM(Sheet3!$C153),2)="02",180,1))</f>
        <v>2.1166666666666667</v>
      </c>
      <c r="E153" s="44">
        <f>SUMIFS(Sheet1!$O189:$O9071,Sheet1!$K189:$K9071,Sheet3!$C153,Sheet1!$G189:$G9071,Sheet3!E$3)/3/2/IF(RIGHT(TRIM(Sheet3!$C153),3)="250",250, IF(RIGHT(TRIM(Sheet3!$C153),2)="02",180,1))</f>
        <v>2.5</v>
      </c>
      <c r="F153" s="44">
        <f>SUMIFS(Sheet1!$O189:$O9071,Sheet1!$K189:$K9071,Sheet3!$C153,Sheet1!$G189:$G9071,Sheet3!F$3)/3/2/IF(RIGHT(TRIM(Sheet3!$C153),3)="250",250, IF(RIGHT(TRIM(Sheet3!$C153),2)="02",180,1))</f>
        <v>1.1666666666666667</v>
      </c>
      <c r="G153" s="44">
        <f>SUMIFS(Sheet1!$O189:$O9071,Sheet1!$K189:$K9071,Sheet3!$C153,Sheet1!$G189:$G9071,Sheet3!G$3)/3/2/IF(RIGHT(TRIM(Sheet3!$C153),3)="250",250, IF(RIGHT(TRIM(Sheet3!$C153),2)="02",180,1))</f>
        <v>0.66666666666666663</v>
      </c>
      <c r="H153" s="44">
        <f>SUMIFS(Sheet1!$O189:$O9071,Sheet1!$K189:$K9071,Sheet3!$C153,Sheet1!$G189:$G9071,Sheet3!H$3)/3/2/IF(RIGHT(TRIM(Sheet3!$C153),3)="250",250, IF(RIGHT(TRIM(Sheet3!$C153),2)="02",180,1))</f>
        <v>1.5786666666666667</v>
      </c>
      <c r="I153" s="44">
        <f>SUMIFS(Sheet1!$O189:$O9071,Sheet1!$K189:$K9071,Sheet3!$C153,Sheet1!$G189:$G9071,Sheet3!I$3)/3/2/IF(RIGHT(TRIM(Sheet3!$C153),3)="250",250, IF(RIGHT(TRIM(Sheet3!$C153),2)="02",180,1))</f>
        <v>0.16666666666666666</v>
      </c>
      <c r="J153" s="44">
        <f>SUMIFS(Sheet1!$O189:$O9071,Sheet1!$K189:$K9071,Sheet3!$C153,Sheet1!$G189:$G9071,Sheet3!J$3)/3/2/IF(RIGHT(TRIM(Sheet3!$C153),3)="250",250, IF(RIGHT(TRIM(Sheet3!$C153),2)="02",180,1))</f>
        <v>0.66666666666666663</v>
      </c>
      <c r="K153" s="44">
        <f>SUMIFS(Sheet1!$O189:$O9071,Sheet1!$K189:$K9071,Sheet3!$C153,Sheet1!$G189:$G9071,Sheet3!K$3)/3/2/IF(RIGHT(TRIM(Sheet3!$C153),3)="250",250, IF(RIGHT(TRIM(Sheet3!$C153),2)="02",180,1))</f>
        <v>3.6666666666666665</v>
      </c>
      <c r="L153" s="44">
        <f>SUMIFS(Sheet1!$O189:$O9071,Sheet1!$K189:$K9071,Sheet3!$C153,Sheet1!$G189:$G9071,Sheet3!L$3)/3/2/IF(RIGHT(TRIM(Sheet3!$C153),3)="250",250, IF(RIGHT(TRIM(Sheet3!$C153),2)="02",180,1))</f>
        <v>3.9833333333333334</v>
      </c>
      <c r="M153" s="44">
        <f>SUMIFS(Sheet1!$O189:$O9071,Sheet1!$K189:$K9071,Sheet3!$C153,Sheet1!$G189:$G9071,Sheet3!M$3)/3/2/IF(RIGHT(TRIM(Sheet3!$C153),3)="250",250, IF(RIGHT(TRIM(Sheet3!$C153),2)="02",180,1))</f>
        <v>0</v>
      </c>
      <c r="N153" s="44">
        <f>SUMIFS(Sheet1!$O189:$O9071,Sheet1!$K189:$K9071,Sheet3!$C153,Sheet1!$G189:$G9071,Sheet3!N$3)/3/2/IF(RIGHT(TRIM(Sheet3!$C153),3)="250",250, IF(RIGHT(TRIM(Sheet3!$C153),2)="02",180,1))</f>
        <v>0.18333333333333335</v>
      </c>
      <c r="O153" s="44">
        <f>SUMIFS(Sheet1!$O189:$O9071,Sheet1!$K189:$K9071,Sheet3!$C153,Sheet1!$G189:$G9071,Sheet3!O$3)/3/2/IF(RIGHT(TRIM(Sheet3!$C153),3)="250",250, IF(RIGHT(TRIM(Sheet3!$C153),2)="02",180,1))</f>
        <v>0.91666666666666663</v>
      </c>
    </row>
    <row r="154" spans="3:15" x14ac:dyDescent="0.25">
      <c r="C154" s="57" t="s">
        <v>3102</v>
      </c>
    </row>
    <row r="155" spans="3:15" x14ac:dyDescent="0.25">
      <c r="C155" t="s">
        <v>3101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10.5</v>
      </c>
      <c r="L155">
        <v>0</v>
      </c>
      <c r="M155">
        <v>0</v>
      </c>
      <c r="N155">
        <v>0</v>
      </c>
      <c r="O155">
        <v>0</v>
      </c>
    </row>
    <row r="156" spans="3:15" x14ac:dyDescent="0.25">
      <c r="C156" s="57" t="s">
        <v>111</v>
      </c>
    </row>
    <row r="157" spans="3:15" x14ac:dyDescent="0.25">
      <c r="C157" t="s">
        <v>642</v>
      </c>
      <c r="D157">
        <v>0.5</v>
      </c>
      <c r="E157">
        <v>0.71759259259259256</v>
      </c>
      <c r="F157">
        <v>1.4814814814814816</v>
      </c>
      <c r="G157">
        <v>0.61111111111111116</v>
      </c>
      <c r="H157">
        <v>1.2777777777777777</v>
      </c>
      <c r="I157">
        <v>0.83333333333333337</v>
      </c>
      <c r="J157">
        <v>0.94444444444444442</v>
      </c>
      <c r="K157">
        <v>0.22222222222222221</v>
      </c>
      <c r="L157">
        <v>0.16666666666666666</v>
      </c>
      <c r="M157">
        <v>0.17592592592592593</v>
      </c>
      <c r="N157">
        <v>0.16666666666666666</v>
      </c>
      <c r="O157">
        <v>2.7777777777777776E-2</v>
      </c>
    </row>
  </sheetData>
  <pageMargins left="0.25" right="0.25" top="0.75" bottom="0.75" header="0.3" footer="0.3"/>
  <pageSetup scale="54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6398B-9748-4CED-8092-AA29605F4459}">
  <sheetPr>
    <pageSetUpPr fitToPage="1"/>
  </sheetPr>
  <dimension ref="B3:O136"/>
  <sheetViews>
    <sheetView tabSelected="1" topLeftCell="A2" workbookViewId="0">
      <selection activeCell="C4" sqref="C4:O133"/>
    </sheetView>
  </sheetViews>
  <sheetFormatPr defaultRowHeight="15" x14ac:dyDescent="0.25"/>
  <cols>
    <col min="3" max="3" width="36.5703125" customWidth="1"/>
    <col min="4" max="4" width="5.7109375" customWidth="1"/>
    <col min="5" max="5" width="8.85546875" customWidth="1"/>
    <col min="6" max="7" width="10.5703125" customWidth="1"/>
    <col min="8" max="8" width="10.5703125" bestFit="1" customWidth="1"/>
    <col min="9" max="9" width="6.5703125" bestFit="1" customWidth="1"/>
    <col min="10" max="10" width="5.28515625" bestFit="1" customWidth="1"/>
    <col min="11" max="11" width="4.85546875" bestFit="1" customWidth="1"/>
    <col min="12" max="13" width="10.5703125" bestFit="1" customWidth="1"/>
    <col min="14" max="14" width="10.28515625" bestFit="1" customWidth="1"/>
    <col min="15" max="15" width="9.5703125" bestFit="1" customWidth="1"/>
  </cols>
  <sheetData>
    <row r="3" spans="2:15" x14ac:dyDescent="0.25"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</row>
    <row r="4" spans="2:15" x14ac:dyDescent="0.25">
      <c r="B4" s="64"/>
      <c r="C4" s="79"/>
      <c r="D4" s="62" t="s">
        <v>9323</v>
      </c>
      <c r="E4" s="68" t="s">
        <v>9311</v>
      </c>
      <c r="F4" s="76" t="s">
        <v>9312</v>
      </c>
      <c r="G4" s="75" t="s">
        <v>9313</v>
      </c>
      <c r="H4" s="75" t="s">
        <v>9314</v>
      </c>
      <c r="I4" s="75" t="s">
        <v>9315</v>
      </c>
      <c r="J4" s="75" t="s">
        <v>9316</v>
      </c>
      <c r="K4" s="75" t="s">
        <v>9317</v>
      </c>
      <c r="L4" s="75" t="s">
        <v>9318</v>
      </c>
      <c r="M4" s="75" t="s">
        <v>9319</v>
      </c>
      <c r="N4" s="75" t="s">
        <v>9320</v>
      </c>
      <c r="O4" s="62" t="s">
        <v>9321</v>
      </c>
    </row>
    <row r="5" spans="2:15" x14ac:dyDescent="0.25">
      <c r="B5" s="64"/>
      <c r="C5" s="70"/>
      <c r="D5" s="63">
        <v>10</v>
      </c>
      <c r="E5" s="69">
        <v>11</v>
      </c>
      <c r="F5" s="69">
        <v>12</v>
      </c>
      <c r="G5" s="63">
        <v>1</v>
      </c>
      <c r="H5" s="63">
        <v>2</v>
      </c>
      <c r="I5" s="63">
        <v>3</v>
      </c>
      <c r="J5" s="63">
        <v>4</v>
      </c>
      <c r="K5" s="63">
        <v>5</v>
      </c>
      <c r="L5" s="63">
        <v>6</v>
      </c>
      <c r="M5" s="63">
        <v>7</v>
      </c>
      <c r="N5" s="63">
        <v>8</v>
      </c>
      <c r="O5" s="63">
        <v>9</v>
      </c>
    </row>
    <row r="6" spans="2:15" x14ac:dyDescent="0.25">
      <c r="B6" s="64"/>
      <c r="C6" s="80" t="s">
        <v>1057</v>
      </c>
      <c r="D6" s="64"/>
      <c r="E6" s="70"/>
      <c r="F6" s="70"/>
      <c r="G6" s="64"/>
      <c r="H6" s="64"/>
      <c r="I6" s="64"/>
      <c r="J6" s="64"/>
      <c r="K6" s="64"/>
      <c r="L6" s="64"/>
      <c r="M6" s="64"/>
      <c r="N6" s="64"/>
      <c r="O6" s="64"/>
    </row>
    <row r="7" spans="2:15" x14ac:dyDescent="0.25">
      <c r="B7" s="64"/>
      <c r="C7" s="35" t="s">
        <v>1424</v>
      </c>
      <c r="D7" s="65"/>
      <c r="E7" s="65"/>
      <c r="F7" s="65">
        <v>3.4351851851851856</v>
      </c>
      <c r="G7" s="72">
        <v>13.333333333333334</v>
      </c>
      <c r="H7" s="72">
        <v>3</v>
      </c>
      <c r="I7" s="72">
        <v>2</v>
      </c>
      <c r="J7" s="72"/>
      <c r="K7" s="72"/>
      <c r="L7" s="72"/>
      <c r="M7" s="72"/>
      <c r="N7" s="72"/>
      <c r="O7" s="72"/>
    </row>
    <row r="8" spans="2:15" x14ac:dyDescent="0.25">
      <c r="B8" s="64"/>
      <c r="C8" s="35" t="s">
        <v>1056</v>
      </c>
      <c r="D8" s="65"/>
      <c r="E8" s="65">
        <v>4.9466666666666672</v>
      </c>
      <c r="F8" s="65">
        <v>19.786666666666669</v>
      </c>
      <c r="G8" s="72">
        <v>29.68</v>
      </c>
      <c r="H8" s="72">
        <v>7.42</v>
      </c>
      <c r="I8" s="72">
        <v>19.786666666666669</v>
      </c>
      <c r="J8" s="72">
        <v>7.42</v>
      </c>
      <c r="K8" s="72"/>
      <c r="L8" s="72"/>
      <c r="M8" s="72">
        <v>4.9466666666666672</v>
      </c>
      <c r="N8" s="72"/>
      <c r="O8" s="72"/>
    </row>
    <row r="9" spans="2:15" x14ac:dyDescent="0.25">
      <c r="B9" s="64"/>
      <c r="C9" s="36" t="s">
        <v>2527</v>
      </c>
      <c r="D9" s="65"/>
      <c r="E9" s="65"/>
      <c r="F9" s="65"/>
      <c r="G9" s="72"/>
      <c r="H9" s="72"/>
      <c r="I9" s="72"/>
      <c r="J9" s="72"/>
      <c r="K9" s="72"/>
      <c r="L9" s="72"/>
      <c r="M9" s="72"/>
      <c r="N9" s="72"/>
      <c r="O9" s="72"/>
    </row>
    <row r="10" spans="2:15" x14ac:dyDescent="0.25">
      <c r="B10" s="64"/>
      <c r="C10" s="35" t="s">
        <v>2526</v>
      </c>
      <c r="D10" s="65"/>
      <c r="E10" s="65"/>
      <c r="F10" s="65"/>
      <c r="G10" s="72"/>
      <c r="H10" s="72"/>
      <c r="I10" s="72">
        <v>9.3333333333333339</v>
      </c>
      <c r="J10" s="72">
        <v>31.333333333333332</v>
      </c>
      <c r="K10" s="72"/>
      <c r="L10" s="72"/>
      <c r="M10" s="72">
        <v>11</v>
      </c>
      <c r="N10" s="72"/>
      <c r="O10" s="72"/>
    </row>
    <row r="11" spans="2:15" x14ac:dyDescent="0.25">
      <c r="B11" s="64"/>
      <c r="C11" s="35" t="s">
        <v>2553</v>
      </c>
      <c r="D11" s="65"/>
      <c r="E11" s="65"/>
      <c r="F11" s="65"/>
      <c r="G11" s="72"/>
      <c r="H11" s="72"/>
      <c r="I11" s="72">
        <v>3.8333333333333335</v>
      </c>
      <c r="J11" s="72">
        <v>13.333333333333334</v>
      </c>
      <c r="K11" s="72">
        <v>16.333333333333336</v>
      </c>
      <c r="L11" s="72">
        <v>13.333333333333334</v>
      </c>
      <c r="M11" s="72">
        <v>18.666666666666668</v>
      </c>
      <c r="N11" s="72"/>
      <c r="O11" s="72"/>
    </row>
    <row r="12" spans="2:15" x14ac:dyDescent="0.25">
      <c r="B12" s="64"/>
      <c r="C12" s="36" t="s">
        <v>632</v>
      </c>
      <c r="D12" s="65"/>
      <c r="E12" s="65"/>
      <c r="F12" s="65"/>
      <c r="G12" s="72"/>
      <c r="H12" s="72"/>
      <c r="I12" s="72"/>
      <c r="J12" s="72"/>
      <c r="K12" s="72"/>
      <c r="L12" s="72"/>
      <c r="M12" s="72"/>
      <c r="N12" s="72"/>
      <c r="O12" s="72"/>
    </row>
    <row r="13" spans="2:15" x14ac:dyDescent="0.25">
      <c r="B13" s="64"/>
      <c r="C13" s="35" t="s">
        <v>631</v>
      </c>
      <c r="D13" s="65">
        <v>0.16666666666666699</v>
      </c>
      <c r="E13" s="65">
        <v>2</v>
      </c>
      <c r="F13" s="65">
        <v>0.5</v>
      </c>
      <c r="G13" s="72">
        <v>2.8333333333333335</v>
      </c>
      <c r="H13" s="72">
        <v>4.3333333333333002</v>
      </c>
      <c r="I13" s="72">
        <v>3.5333333333333337</v>
      </c>
      <c r="J13" s="72">
        <v>5.333333333333333</v>
      </c>
      <c r="K13" s="72">
        <v>4.5</v>
      </c>
      <c r="L13" s="72">
        <v>2.3333333333333335</v>
      </c>
      <c r="M13" s="72">
        <v>3.4</v>
      </c>
      <c r="N13" s="72">
        <v>2.1666666666666665</v>
      </c>
      <c r="O13" s="72">
        <v>0.5</v>
      </c>
    </row>
    <row r="14" spans="2:15" x14ac:dyDescent="0.25">
      <c r="B14" s="64"/>
      <c r="C14" s="36" t="s">
        <v>159</v>
      </c>
      <c r="D14" s="65"/>
      <c r="E14" s="65"/>
      <c r="F14" s="65"/>
      <c r="G14" s="72"/>
      <c r="H14" s="72"/>
      <c r="I14" s="72"/>
      <c r="J14" s="72"/>
      <c r="K14" s="72"/>
      <c r="L14" s="72"/>
      <c r="M14" s="72"/>
      <c r="N14" s="72"/>
      <c r="O14" s="72"/>
    </row>
    <row r="15" spans="2:15" x14ac:dyDescent="0.25">
      <c r="B15" s="64"/>
      <c r="C15" s="35" t="s">
        <v>1496</v>
      </c>
      <c r="D15" s="65"/>
      <c r="E15" s="65"/>
      <c r="F15" s="65">
        <v>0.16666666666666699</v>
      </c>
      <c r="G15" s="72">
        <v>3</v>
      </c>
      <c r="H15" s="72">
        <v>9.3333333333333339</v>
      </c>
      <c r="I15" s="72">
        <v>4.833333333333333</v>
      </c>
      <c r="J15" s="72">
        <v>1.8533333333333333</v>
      </c>
      <c r="K15" s="72">
        <v>1</v>
      </c>
      <c r="L15" s="72">
        <v>5</v>
      </c>
      <c r="M15" s="72">
        <v>1.5</v>
      </c>
      <c r="N15" s="72">
        <v>-0.66666666666666696</v>
      </c>
      <c r="O15" s="72"/>
    </row>
    <row r="16" spans="2:15" x14ac:dyDescent="0.25">
      <c r="B16" s="64"/>
      <c r="C16" s="35" t="s">
        <v>158</v>
      </c>
      <c r="D16" s="65">
        <v>2.1851851851851851</v>
      </c>
      <c r="E16" s="65">
        <v>3.4629629629629632</v>
      </c>
      <c r="F16" s="65">
        <v>5.1527777777777777</v>
      </c>
      <c r="G16" s="72">
        <v>8.2152777777777786</v>
      </c>
      <c r="H16" s="72">
        <v>9.3564814814814827</v>
      </c>
      <c r="I16" s="72">
        <v>9.8888888888888893</v>
      </c>
      <c r="J16" s="72">
        <v>9.5592592592592993</v>
      </c>
      <c r="K16" s="72">
        <v>1.6967592592592593</v>
      </c>
      <c r="L16" s="72">
        <v>3.375</v>
      </c>
      <c r="M16" s="72">
        <v>1.231481481481</v>
      </c>
      <c r="N16" s="72">
        <v>-0.21997474747000001</v>
      </c>
      <c r="O16" s="72">
        <v>2.6481481481481</v>
      </c>
    </row>
    <row r="17" spans="2:15" x14ac:dyDescent="0.25">
      <c r="B17" s="64"/>
      <c r="C17" s="36" t="s">
        <v>172</v>
      </c>
      <c r="D17" s="65"/>
      <c r="E17" s="65"/>
      <c r="F17" s="65"/>
      <c r="G17" s="72"/>
      <c r="H17" s="72"/>
      <c r="I17" s="72"/>
      <c r="J17" s="72"/>
      <c r="K17" s="72"/>
      <c r="L17" s="72"/>
      <c r="M17" s="72"/>
      <c r="N17" s="72"/>
      <c r="O17" s="72"/>
    </row>
    <row r="18" spans="2:15" x14ac:dyDescent="0.25">
      <c r="B18" s="64"/>
      <c r="C18" s="35" t="s">
        <v>1869</v>
      </c>
      <c r="D18" s="65"/>
      <c r="E18" s="65"/>
      <c r="F18" s="65"/>
      <c r="G18" s="72"/>
      <c r="H18" s="72">
        <v>1</v>
      </c>
      <c r="I18" s="72">
        <v>2.3333333333333335</v>
      </c>
      <c r="J18" s="72">
        <v>3</v>
      </c>
      <c r="K18" s="72">
        <v>3.1666666666666665</v>
      </c>
      <c r="L18" s="72">
        <v>1.3333333333333333</v>
      </c>
      <c r="M18" s="72">
        <v>3.8333333333333335</v>
      </c>
      <c r="N18" s="72">
        <v>0.33333333333333298</v>
      </c>
      <c r="O18" s="72">
        <v>0.33333333333333298</v>
      </c>
    </row>
    <row r="19" spans="2:15" x14ac:dyDescent="0.25">
      <c r="B19" s="64"/>
      <c r="C19" s="35" t="s">
        <v>171</v>
      </c>
      <c r="D19" s="65">
        <v>0.33333333333333298</v>
      </c>
      <c r="E19" s="65">
        <v>0.27777777777777801</v>
      </c>
      <c r="F19" s="65"/>
      <c r="G19" s="72">
        <v>0.194444444444444</v>
      </c>
      <c r="H19" s="72">
        <v>0.375</v>
      </c>
      <c r="I19" s="72">
        <v>4.2777777777777777</v>
      </c>
      <c r="J19" s="72">
        <v>6.333333333333333</v>
      </c>
      <c r="K19" s="72">
        <v>7.2129629629629628</v>
      </c>
      <c r="L19" s="72">
        <v>9</v>
      </c>
      <c r="M19" s="72">
        <v>7.6712962962962958</v>
      </c>
      <c r="N19" s="72">
        <v>2.6712962962962963</v>
      </c>
      <c r="O19" s="72">
        <v>0.38888888888888901</v>
      </c>
    </row>
    <row r="20" spans="2:15" x14ac:dyDescent="0.25">
      <c r="B20" s="64"/>
      <c r="C20" s="36" t="s">
        <v>538</v>
      </c>
      <c r="D20" s="65"/>
      <c r="E20" s="65"/>
      <c r="F20" s="65"/>
      <c r="G20" s="72"/>
      <c r="H20" s="72"/>
      <c r="I20" s="72"/>
      <c r="J20" s="72"/>
      <c r="K20" s="72"/>
      <c r="L20" s="72"/>
      <c r="M20" s="72"/>
      <c r="N20" s="72"/>
      <c r="O20" s="72"/>
    </row>
    <row r="21" spans="2:15" x14ac:dyDescent="0.25">
      <c r="B21" s="64"/>
      <c r="C21" s="35" t="s">
        <v>2477</v>
      </c>
      <c r="D21" s="65"/>
      <c r="E21" s="65"/>
      <c r="F21" s="65"/>
      <c r="G21" s="72">
        <v>0.46296296296296302</v>
      </c>
      <c r="H21" s="72"/>
      <c r="I21" s="72">
        <v>0.194444444444444</v>
      </c>
      <c r="J21" s="72">
        <v>0.46296296296296302</v>
      </c>
      <c r="K21" s="72">
        <v>0.46296296296296302</v>
      </c>
      <c r="L21" s="72"/>
      <c r="M21" s="72"/>
      <c r="N21" s="72"/>
      <c r="O21" s="72"/>
    </row>
    <row r="22" spans="2:15" x14ac:dyDescent="0.25">
      <c r="B22" s="64"/>
      <c r="C22" s="35" t="s">
        <v>649</v>
      </c>
      <c r="D22" s="65">
        <v>2</v>
      </c>
      <c r="E22" s="65">
        <v>7.5</v>
      </c>
      <c r="F22" s="65">
        <v>5.166666666666667</v>
      </c>
      <c r="G22" s="72">
        <v>6.166666666666667</v>
      </c>
      <c r="H22" s="72">
        <v>3.5</v>
      </c>
      <c r="I22" s="72">
        <v>1.5</v>
      </c>
      <c r="J22" s="72">
        <v>2</v>
      </c>
      <c r="K22" s="72">
        <v>0.33333333333333298</v>
      </c>
      <c r="L22" s="72">
        <v>0.16666666666666699</v>
      </c>
      <c r="M22" s="72"/>
      <c r="N22" s="72"/>
      <c r="O22" s="72">
        <v>5.5</v>
      </c>
    </row>
    <row r="23" spans="2:15" x14ac:dyDescent="0.25">
      <c r="B23" s="64"/>
      <c r="C23" s="36" t="s">
        <v>541</v>
      </c>
      <c r="D23" s="65"/>
      <c r="E23" s="65"/>
      <c r="F23" s="65"/>
      <c r="G23" s="72"/>
      <c r="H23" s="72"/>
      <c r="I23" s="72"/>
      <c r="J23" s="72"/>
      <c r="K23" s="72"/>
      <c r="L23" s="72"/>
      <c r="M23" s="72"/>
      <c r="N23" s="72"/>
      <c r="O23" s="72"/>
    </row>
    <row r="24" spans="2:15" x14ac:dyDescent="0.25">
      <c r="B24" s="64"/>
      <c r="C24" s="35" t="s">
        <v>1188</v>
      </c>
      <c r="D24" s="65"/>
      <c r="E24" s="65"/>
      <c r="F24" s="65">
        <v>1</v>
      </c>
      <c r="G24" s="72">
        <v>0.5</v>
      </c>
      <c r="H24" s="72">
        <v>0.5</v>
      </c>
      <c r="I24" s="72">
        <v>0.83333333333333304</v>
      </c>
      <c r="J24" s="72">
        <v>0.5</v>
      </c>
      <c r="K24" s="72">
        <v>0.16666666666666699</v>
      </c>
      <c r="L24" s="72">
        <v>0.16666666666666699</v>
      </c>
      <c r="M24" s="72">
        <v>0.16666666666666699</v>
      </c>
      <c r="N24" s="72"/>
      <c r="O24" s="72"/>
    </row>
    <row r="25" spans="2:15" x14ac:dyDescent="0.25">
      <c r="B25" s="64"/>
      <c r="C25" s="35" t="s">
        <v>25</v>
      </c>
      <c r="D25" s="65">
        <v>1.9166666666666667</v>
      </c>
      <c r="E25" s="65">
        <v>2.7873737369999998</v>
      </c>
      <c r="F25" s="65">
        <v>3.6134259259259256</v>
      </c>
      <c r="G25" s="72">
        <v>4.5138888888888893</v>
      </c>
      <c r="H25" s="72">
        <v>1.8333333333333</v>
      </c>
      <c r="I25" s="72">
        <v>4.7337962962962967</v>
      </c>
      <c r="J25" s="72">
        <v>4.1111111111111107</v>
      </c>
      <c r="K25" s="72">
        <v>1.675925925925926</v>
      </c>
      <c r="L25" s="72">
        <v>0.886574747474</v>
      </c>
      <c r="M25" s="72">
        <v>0.99537373737000001</v>
      </c>
      <c r="N25" s="72">
        <v>0.928247474741</v>
      </c>
      <c r="O25" s="72">
        <v>1.1851851851851853</v>
      </c>
    </row>
    <row r="26" spans="2:15" x14ac:dyDescent="0.25">
      <c r="B26" s="64"/>
      <c r="C26" s="36" t="s">
        <v>1405</v>
      </c>
      <c r="D26" s="65"/>
      <c r="E26" s="65"/>
      <c r="F26" s="65"/>
      <c r="G26" s="72"/>
      <c r="H26" s="72"/>
      <c r="I26" s="72"/>
      <c r="J26" s="72"/>
      <c r="K26" s="72"/>
      <c r="L26" s="72"/>
      <c r="M26" s="72"/>
      <c r="N26" s="72"/>
      <c r="O26" s="72"/>
    </row>
    <row r="27" spans="2:15" x14ac:dyDescent="0.25">
      <c r="B27" s="64"/>
      <c r="C27" s="35" t="s">
        <v>2081</v>
      </c>
      <c r="D27" s="65"/>
      <c r="E27" s="65"/>
      <c r="F27" s="65"/>
      <c r="G27" s="72">
        <v>1</v>
      </c>
      <c r="H27" s="72">
        <v>2.3333333333333335</v>
      </c>
      <c r="I27" s="72">
        <v>6.5</v>
      </c>
      <c r="J27" s="72">
        <v>1.1666666666666667</v>
      </c>
      <c r="K27" s="72"/>
      <c r="L27" s="72"/>
      <c r="M27" s="72"/>
      <c r="N27" s="72"/>
      <c r="O27" s="72"/>
    </row>
    <row r="28" spans="2:15" x14ac:dyDescent="0.25">
      <c r="B28" s="64"/>
      <c r="C28" s="36" t="s">
        <v>565</v>
      </c>
      <c r="D28" s="65"/>
      <c r="E28" s="65"/>
      <c r="F28" s="65"/>
      <c r="G28" s="72"/>
      <c r="H28" s="72"/>
      <c r="I28" s="72"/>
      <c r="J28" s="72"/>
      <c r="K28" s="72"/>
      <c r="L28" s="72"/>
      <c r="M28" s="72"/>
      <c r="N28" s="72"/>
      <c r="O28" s="72"/>
    </row>
    <row r="29" spans="2:15" x14ac:dyDescent="0.25">
      <c r="B29" s="64"/>
      <c r="C29" s="35" t="s">
        <v>822</v>
      </c>
      <c r="D29" s="65">
        <v>2.5633333333333335</v>
      </c>
      <c r="E29" s="65">
        <v>3.2233333333333336</v>
      </c>
      <c r="F29" s="65">
        <v>1.6233333333333335</v>
      </c>
      <c r="G29" s="72">
        <v>1.75</v>
      </c>
      <c r="H29" s="72">
        <v>2.5619999999999998</v>
      </c>
      <c r="I29" s="72">
        <v>0.71333333333333304</v>
      </c>
      <c r="J29" s="72">
        <v>1.8</v>
      </c>
      <c r="K29" s="72">
        <v>4.5533333333333328</v>
      </c>
      <c r="L29" s="72">
        <v>4.4433333333333334</v>
      </c>
      <c r="M29" s="72">
        <v>0.42666666666666703</v>
      </c>
      <c r="N29" s="72">
        <v>2.1366666666666667</v>
      </c>
      <c r="O29" s="72">
        <v>1.5</v>
      </c>
    </row>
    <row r="30" spans="2:15" x14ac:dyDescent="0.25">
      <c r="B30" s="64"/>
      <c r="C30" s="36" t="s">
        <v>511</v>
      </c>
      <c r="D30" s="65"/>
      <c r="E30" s="65"/>
      <c r="F30" s="65"/>
      <c r="G30" s="72"/>
      <c r="H30" s="72"/>
      <c r="I30" s="72"/>
      <c r="J30" s="72"/>
      <c r="K30" s="72"/>
      <c r="L30" s="72"/>
      <c r="M30" s="72"/>
      <c r="N30" s="72"/>
      <c r="O30" s="72"/>
    </row>
    <row r="31" spans="2:15" x14ac:dyDescent="0.25">
      <c r="B31" s="64"/>
      <c r="C31" s="35" t="s">
        <v>510</v>
      </c>
      <c r="D31" s="65">
        <f t="shared" ref="D31:O31" si="0">D3+(D29*18/25)</f>
        <v>1.8456000000000001</v>
      </c>
      <c r="E31" s="65">
        <f t="shared" si="0"/>
        <v>2.3208000000000002</v>
      </c>
      <c r="F31" s="65">
        <f t="shared" si="0"/>
        <v>1.1688000000000001</v>
      </c>
      <c r="G31" s="72">
        <f t="shared" si="0"/>
        <v>1.26</v>
      </c>
      <c r="H31" s="72">
        <f t="shared" si="0"/>
        <v>1.8446400000000001</v>
      </c>
      <c r="I31" s="72">
        <f t="shared" si="0"/>
        <v>0.51359999999999983</v>
      </c>
      <c r="J31" s="72">
        <f t="shared" si="0"/>
        <v>1.296</v>
      </c>
      <c r="K31" s="72">
        <f t="shared" si="0"/>
        <v>3.2783999999999995</v>
      </c>
      <c r="L31" s="72">
        <f t="shared" si="0"/>
        <v>3.1992000000000003</v>
      </c>
      <c r="M31" s="72">
        <f t="shared" si="0"/>
        <v>0.30720000000000025</v>
      </c>
      <c r="N31" s="72">
        <f t="shared" si="0"/>
        <v>1.5384</v>
      </c>
      <c r="O31" s="72">
        <f t="shared" si="0"/>
        <v>1.08</v>
      </c>
    </row>
    <row r="32" spans="2:15" x14ac:dyDescent="0.25">
      <c r="B32" s="64"/>
      <c r="C32" s="36" t="s">
        <v>518</v>
      </c>
      <c r="D32" s="65"/>
      <c r="E32" s="65"/>
      <c r="F32" s="65"/>
      <c r="G32" s="72"/>
      <c r="H32" s="72"/>
      <c r="I32" s="72"/>
      <c r="J32" s="72"/>
      <c r="K32" s="72"/>
      <c r="L32" s="72"/>
      <c r="M32" s="72"/>
      <c r="N32" s="72"/>
      <c r="O32" s="72"/>
    </row>
    <row r="33" spans="2:15" x14ac:dyDescent="0.25">
      <c r="B33" s="64"/>
      <c r="C33" s="35" t="s">
        <v>548</v>
      </c>
      <c r="D33" s="65">
        <v>2.46</v>
      </c>
      <c r="E33" s="65">
        <v>0.96</v>
      </c>
      <c r="F33" s="65">
        <v>0.43</v>
      </c>
      <c r="G33" s="72">
        <v>0.92666666666666697</v>
      </c>
      <c r="H33" s="72">
        <v>2.7333333333333001</v>
      </c>
      <c r="I33" s="72">
        <v>2.4650000000000003</v>
      </c>
      <c r="J33" s="72">
        <v>0.86333333333333295</v>
      </c>
      <c r="K33" s="72">
        <v>1.8166666666666667</v>
      </c>
      <c r="L33" s="72">
        <v>0.24666666666666701</v>
      </c>
      <c r="M33" s="72">
        <v>1.7</v>
      </c>
      <c r="N33" s="72">
        <v>0.86333333333333295</v>
      </c>
      <c r="O33" s="72">
        <v>2.4933333333333332</v>
      </c>
    </row>
    <row r="34" spans="2:15" x14ac:dyDescent="0.25">
      <c r="B34" s="64"/>
      <c r="C34" s="36" t="s">
        <v>2581</v>
      </c>
      <c r="D34" s="65"/>
      <c r="E34" s="65"/>
      <c r="F34" s="65"/>
      <c r="G34" s="72"/>
      <c r="H34" s="72"/>
      <c r="I34" s="72"/>
      <c r="J34" s="72"/>
      <c r="K34" s="72"/>
      <c r="L34" s="72"/>
      <c r="M34" s="72"/>
      <c r="N34" s="72"/>
      <c r="O34" s="72"/>
    </row>
    <row r="35" spans="2:15" x14ac:dyDescent="0.25">
      <c r="B35" s="64"/>
      <c r="C35" s="35" t="s">
        <v>1446</v>
      </c>
      <c r="D35" s="65">
        <v>1.6666666666666667</v>
      </c>
      <c r="E35" s="65">
        <v>1</v>
      </c>
      <c r="F35" s="65">
        <v>0.83333333333333304</v>
      </c>
      <c r="G35" s="72">
        <v>2.5</v>
      </c>
      <c r="H35" s="72">
        <v>0.83333333333333304</v>
      </c>
      <c r="I35" s="72">
        <v>2</v>
      </c>
      <c r="J35" s="72">
        <v>2</v>
      </c>
      <c r="K35" s="72">
        <v>1.8333333333333333</v>
      </c>
      <c r="L35" s="72">
        <v>1.6666666666666667</v>
      </c>
      <c r="M35" s="72">
        <v>1.6666666666666667</v>
      </c>
      <c r="N35" s="72">
        <v>1.5</v>
      </c>
      <c r="O35" s="72">
        <v>2</v>
      </c>
    </row>
    <row r="36" spans="2:15" x14ac:dyDescent="0.25">
      <c r="B36" s="64"/>
      <c r="C36" s="36" t="s">
        <v>165</v>
      </c>
      <c r="D36" s="65"/>
      <c r="E36" s="65"/>
      <c r="F36" s="65"/>
      <c r="G36" s="72"/>
      <c r="H36" s="72"/>
      <c r="I36" s="72"/>
      <c r="J36" s="72"/>
      <c r="K36" s="72"/>
      <c r="L36" s="72"/>
      <c r="M36" s="72"/>
      <c r="N36" s="72"/>
      <c r="O36" s="72"/>
    </row>
    <row r="37" spans="2:15" x14ac:dyDescent="0.25">
      <c r="B37" s="64"/>
      <c r="C37" s="35" t="s">
        <v>185</v>
      </c>
      <c r="D37" s="65">
        <v>0.33333333333333298</v>
      </c>
      <c r="E37" s="65">
        <v>0.5</v>
      </c>
      <c r="F37" s="65"/>
      <c r="G37" s="72"/>
      <c r="H37" s="72">
        <v>1.9233333333333333</v>
      </c>
      <c r="I37" s="72">
        <v>0.66666666666666696</v>
      </c>
      <c r="J37" s="72">
        <v>0.5</v>
      </c>
      <c r="K37" s="72">
        <v>1.1666666666666667</v>
      </c>
      <c r="L37" s="72"/>
      <c r="M37" s="72">
        <v>0.5</v>
      </c>
      <c r="N37" s="72">
        <v>0.33333333333333298</v>
      </c>
      <c r="O37" s="72">
        <v>0.5</v>
      </c>
    </row>
    <row r="38" spans="2:15" x14ac:dyDescent="0.25">
      <c r="B38" s="64"/>
      <c r="C38" s="35" t="s">
        <v>164</v>
      </c>
      <c r="D38" s="65">
        <v>0.75</v>
      </c>
      <c r="E38" s="65">
        <v>0.33333333333333298</v>
      </c>
      <c r="F38" s="65">
        <v>0.33333333333333298</v>
      </c>
      <c r="G38" s="72">
        <v>0.33333333333333298</v>
      </c>
      <c r="H38" s="72">
        <v>0.5</v>
      </c>
      <c r="I38" s="72">
        <v>0.83333333333333304</v>
      </c>
      <c r="J38" s="72">
        <v>1.212962962962963</v>
      </c>
      <c r="K38" s="72">
        <v>0.52777777777777801</v>
      </c>
      <c r="L38" s="72">
        <v>0.55555555555555602</v>
      </c>
      <c r="M38" s="72">
        <v>1.9259259259259001</v>
      </c>
      <c r="N38" s="72">
        <v>1.6435185185185184</v>
      </c>
      <c r="O38" s="72">
        <v>1.6666666666666667</v>
      </c>
    </row>
    <row r="39" spans="2:15" x14ac:dyDescent="0.25">
      <c r="B39" s="64"/>
      <c r="C39" s="36" t="s">
        <v>602</v>
      </c>
      <c r="D39" s="65"/>
      <c r="E39" s="65"/>
      <c r="F39" s="65"/>
      <c r="G39" s="72"/>
      <c r="H39" s="72"/>
      <c r="I39" s="72"/>
      <c r="J39" s="72"/>
      <c r="K39" s="72"/>
      <c r="L39" s="72"/>
      <c r="M39" s="72"/>
      <c r="N39" s="72"/>
      <c r="O39" s="72"/>
    </row>
    <row r="40" spans="2:15" x14ac:dyDescent="0.25">
      <c r="B40" s="64"/>
      <c r="C40" s="35" t="s">
        <v>1501</v>
      </c>
      <c r="D40" s="65">
        <v>0.13888888888888901</v>
      </c>
      <c r="E40" s="65"/>
      <c r="F40" s="65">
        <v>0.16666666666666699</v>
      </c>
      <c r="G40" s="72">
        <v>0.22222222222222199</v>
      </c>
      <c r="H40" s="72">
        <v>0.52777777777777801</v>
      </c>
      <c r="I40" s="72">
        <v>0.47222222222222199</v>
      </c>
      <c r="J40" s="72">
        <v>0.59259259259259001</v>
      </c>
      <c r="K40" s="72">
        <v>0.36111111111111099</v>
      </c>
      <c r="L40" s="72">
        <v>0.16666666666666699</v>
      </c>
      <c r="M40" s="72">
        <v>0.55555555555555602</v>
      </c>
      <c r="N40" s="72"/>
      <c r="O40" s="72">
        <v>0.97222222222222199</v>
      </c>
    </row>
    <row r="41" spans="2:15" x14ac:dyDescent="0.25">
      <c r="B41" s="64"/>
      <c r="C41" s="35" t="s">
        <v>560</v>
      </c>
      <c r="D41" s="65">
        <v>2.3333333333333335</v>
      </c>
      <c r="E41" s="65">
        <v>1</v>
      </c>
      <c r="F41" s="65"/>
      <c r="G41" s="72">
        <v>1.6666666666666667</v>
      </c>
      <c r="H41" s="72"/>
      <c r="I41" s="72">
        <v>0.33333333333333298</v>
      </c>
      <c r="J41" s="72">
        <v>1.5266666666666668</v>
      </c>
      <c r="K41" s="72">
        <v>5.5</v>
      </c>
      <c r="L41" s="72">
        <v>0.16666666666666699</v>
      </c>
      <c r="M41" s="72">
        <v>1.5</v>
      </c>
      <c r="N41" s="72"/>
      <c r="O41" s="72"/>
    </row>
    <row r="42" spans="2:15" x14ac:dyDescent="0.25">
      <c r="B42" s="64"/>
      <c r="C42" s="36" t="s">
        <v>201</v>
      </c>
      <c r="D42" s="65"/>
      <c r="E42" s="65"/>
      <c r="F42" s="65"/>
      <c r="G42" s="72"/>
      <c r="H42" s="72"/>
      <c r="I42" s="72"/>
      <c r="J42" s="72"/>
      <c r="K42" s="72"/>
      <c r="L42" s="72"/>
      <c r="M42" s="72"/>
      <c r="N42" s="72"/>
      <c r="O42" s="72"/>
    </row>
    <row r="43" spans="2:15" x14ac:dyDescent="0.25">
      <c r="B43" s="64"/>
      <c r="C43" s="35" t="s">
        <v>200</v>
      </c>
      <c r="D43" s="65">
        <v>0.23148148148148201</v>
      </c>
      <c r="E43" s="65">
        <v>0.92592592592592604</v>
      </c>
      <c r="F43" s="65">
        <v>0.64814814814814803</v>
      </c>
      <c r="G43" s="72">
        <v>0.74747474740999997</v>
      </c>
      <c r="H43" s="72">
        <v>0.78737373737000005</v>
      </c>
      <c r="I43" s="72">
        <v>0.92592592592592604</v>
      </c>
      <c r="J43" s="72">
        <v>0.16237373736999999</v>
      </c>
      <c r="K43" s="72">
        <v>0.69444444444444398</v>
      </c>
      <c r="L43" s="72"/>
      <c r="M43" s="72">
        <v>0.92592592592592604</v>
      </c>
      <c r="N43" s="72"/>
      <c r="O43" s="72"/>
    </row>
    <row r="44" spans="2:15" x14ac:dyDescent="0.25">
      <c r="B44" s="64"/>
      <c r="C44" s="35" t="s">
        <v>220</v>
      </c>
      <c r="D44" s="65">
        <v>0.5</v>
      </c>
      <c r="E44" s="65">
        <v>1.1666666666666667</v>
      </c>
      <c r="F44" s="65">
        <v>0.66666666666666696</v>
      </c>
      <c r="G44" s="72">
        <v>1.62</v>
      </c>
      <c r="H44" s="72">
        <v>1.6666666666666667</v>
      </c>
      <c r="I44" s="72">
        <v>0.5</v>
      </c>
      <c r="J44" s="72">
        <v>0.66666666666666696</v>
      </c>
      <c r="K44" s="72">
        <v>0.33333333333333298</v>
      </c>
      <c r="L44" s="72">
        <v>0.16666666666666699</v>
      </c>
      <c r="M44" s="72">
        <v>0.16666666666666699</v>
      </c>
      <c r="N44" s="72"/>
      <c r="O44" s="72">
        <v>0.5</v>
      </c>
    </row>
    <row r="45" spans="2:15" x14ac:dyDescent="0.25">
      <c r="B45" s="64"/>
      <c r="C45" s="36" t="s">
        <v>1815</v>
      </c>
      <c r="D45" s="65"/>
      <c r="E45" s="65"/>
      <c r="F45" s="65"/>
      <c r="G45" s="72"/>
      <c r="H45" s="72"/>
      <c r="I45" s="72"/>
      <c r="J45" s="72"/>
      <c r="K45" s="72"/>
      <c r="L45" s="72"/>
      <c r="M45" s="72"/>
      <c r="N45" s="72"/>
      <c r="O45" s="72"/>
    </row>
    <row r="46" spans="2:15" x14ac:dyDescent="0.25">
      <c r="B46" s="64"/>
      <c r="C46" s="35" t="s">
        <v>1820</v>
      </c>
      <c r="D46" s="65"/>
      <c r="E46" s="65"/>
      <c r="F46" s="65"/>
      <c r="G46" s="72"/>
      <c r="H46" s="72">
        <v>0.33333333333333298</v>
      </c>
      <c r="I46" s="72">
        <v>0.16666666666666699</v>
      </c>
      <c r="J46" s="72">
        <v>0.33333333333333298</v>
      </c>
      <c r="K46" s="72">
        <v>0.16666666666666699</v>
      </c>
      <c r="L46" s="72">
        <v>0.83333333333333304</v>
      </c>
      <c r="M46" s="72">
        <v>1</v>
      </c>
      <c r="N46" s="72"/>
      <c r="O46" s="72">
        <v>0.16666666666666699</v>
      </c>
    </row>
    <row r="47" spans="2:15" x14ac:dyDescent="0.25">
      <c r="B47" s="64"/>
      <c r="C47" s="35" t="s">
        <v>1814</v>
      </c>
      <c r="D47" s="65">
        <v>0.16666666666666699</v>
      </c>
      <c r="E47" s="65">
        <v>0.5</v>
      </c>
      <c r="F47" s="65"/>
      <c r="G47" s="72">
        <v>1</v>
      </c>
      <c r="H47" s="72">
        <v>1.4444444444444444</v>
      </c>
      <c r="I47" s="72">
        <v>0.5</v>
      </c>
      <c r="J47" s="72">
        <v>1.5</v>
      </c>
      <c r="K47" s="72">
        <v>1.1712962962962963</v>
      </c>
      <c r="L47" s="72">
        <v>2.3333333333333335</v>
      </c>
      <c r="M47" s="72"/>
      <c r="N47" s="72">
        <v>1</v>
      </c>
      <c r="O47" s="72">
        <v>1.3333333333333333</v>
      </c>
    </row>
    <row r="48" spans="2:15" x14ac:dyDescent="0.25">
      <c r="B48" s="64"/>
      <c r="C48" s="36" t="s">
        <v>1023</v>
      </c>
      <c r="D48" s="65"/>
      <c r="E48" s="65"/>
      <c r="F48" s="65"/>
      <c r="G48" s="72"/>
      <c r="H48" s="72"/>
      <c r="I48" s="72"/>
      <c r="J48" s="72"/>
      <c r="K48" s="72"/>
      <c r="L48" s="72"/>
      <c r="M48" s="72"/>
      <c r="N48" s="72"/>
      <c r="O48" s="72"/>
    </row>
    <row r="49" spans="2:15" x14ac:dyDescent="0.25">
      <c r="B49" s="64"/>
      <c r="C49" s="35" t="s">
        <v>1022</v>
      </c>
      <c r="D49" s="65">
        <v>0.16666666666666699</v>
      </c>
      <c r="E49" s="65">
        <v>0.33333333333333298</v>
      </c>
      <c r="F49" s="65"/>
      <c r="G49" s="72"/>
      <c r="H49" s="72"/>
      <c r="I49" s="72"/>
      <c r="J49" s="72"/>
      <c r="K49" s="72"/>
      <c r="L49" s="72">
        <v>0.16666666666666699</v>
      </c>
      <c r="M49" s="72"/>
      <c r="N49" s="72"/>
      <c r="O49" s="72"/>
    </row>
    <row r="50" spans="2:15" x14ac:dyDescent="0.25">
      <c r="B50" s="64"/>
      <c r="C50" s="35" t="s">
        <v>1119</v>
      </c>
      <c r="D50" s="65">
        <v>0.77777777777777801</v>
      </c>
      <c r="E50" s="65">
        <v>0.51851851851851805</v>
      </c>
      <c r="F50" s="65">
        <v>0.49537373737000001</v>
      </c>
      <c r="G50" s="72">
        <v>0.18518518518518501</v>
      </c>
      <c r="H50" s="72">
        <v>1.863425925925926</v>
      </c>
      <c r="I50" s="72">
        <v>1.1666666666666667</v>
      </c>
      <c r="J50" s="72">
        <v>1.7314814814814816</v>
      </c>
      <c r="K50" s="72">
        <v>1.9747474741</v>
      </c>
      <c r="L50" s="72">
        <v>2.1185185185185</v>
      </c>
      <c r="M50" s="72">
        <v>0.41666666666666702</v>
      </c>
      <c r="N50" s="72">
        <v>1.289259259259</v>
      </c>
      <c r="O50" s="72">
        <v>1.5648148148148149</v>
      </c>
    </row>
    <row r="51" spans="2:15" x14ac:dyDescent="0.25">
      <c r="B51" s="64"/>
      <c r="C51" s="36" t="s">
        <v>190</v>
      </c>
      <c r="D51" s="65"/>
      <c r="E51" s="65"/>
      <c r="F51" s="65"/>
      <c r="G51" s="72"/>
      <c r="H51" s="72"/>
      <c r="I51" s="72"/>
      <c r="J51" s="72"/>
      <c r="K51" s="72"/>
      <c r="L51" s="72"/>
      <c r="M51" s="72"/>
      <c r="N51" s="72"/>
      <c r="O51" s="72"/>
    </row>
    <row r="52" spans="2:15" x14ac:dyDescent="0.25">
      <c r="B52" s="64"/>
      <c r="C52" s="35" t="s">
        <v>5212</v>
      </c>
      <c r="D52" s="65"/>
      <c r="E52" s="65"/>
      <c r="F52" s="65"/>
      <c r="G52" s="72"/>
      <c r="H52" s="72"/>
      <c r="I52" s="72">
        <v>0.5</v>
      </c>
      <c r="J52" s="72">
        <v>0.33333333333333298</v>
      </c>
      <c r="K52" s="72">
        <v>1</v>
      </c>
      <c r="L52" s="72"/>
      <c r="M52" s="72">
        <v>0.16666666666666699</v>
      </c>
      <c r="N52" s="72"/>
      <c r="O52" s="72"/>
    </row>
    <row r="53" spans="2:15" x14ac:dyDescent="0.25">
      <c r="B53" s="64"/>
      <c r="C53" s="35" t="s">
        <v>189</v>
      </c>
      <c r="D53" s="65">
        <v>0.842592592592593</v>
      </c>
      <c r="E53" s="65">
        <v>1.2314814814815001</v>
      </c>
      <c r="F53" s="65">
        <v>1.337962962962963</v>
      </c>
      <c r="G53" s="72">
        <v>1.5555555555556</v>
      </c>
      <c r="H53" s="72">
        <v>1.3518518518518519</v>
      </c>
      <c r="I53" s="72">
        <v>1.3842592592592593</v>
      </c>
      <c r="J53" s="72">
        <v>0.82873737374000001</v>
      </c>
      <c r="K53" s="72">
        <v>1.1666666666666667</v>
      </c>
      <c r="L53" s="72"/>
      <c r="M53" s="72">
        <v>0.16666666666666699</v>
      </c>
      <c r="N53" s="72">
        <v>0.18518518518518501</v>
      </c>
      <c r="O53" s="72">
        <v>0.83333333333333304</v>
      </c>
    </row>
    <row r="54" spans="2:15" x14ac:dyDescent="0.25">
      <c r="B54" s="64"/>
      <c r="C54" s="36" t="s">
        <v>610</v>
      </c>
      <c r="D54" s="65"/>
      <c r="E54" s="65"/>
      <c r="F54" s="65"/>
      <c r="G54" s="72"/>
      <c r="H54" s="72"/>
      <c r="I54" s="72"/>
      <c r="J54" s="72"/>
      <c r="K54" s="72"/>
      <c r="L54" s="72"/>
      <c r="M54" s="72"/>
      <c r="N54" s="72"/>
      <c r="O54" s="72"/>
    </row>
    <row r="55" spans="2:15" x14ac:dyDescent="0.25">
      <c r="B55" s="64"/>
      <c r="C55" s="35" t="s">
        <v>609</v>
      </c>
      <c r="D55" s="65">
        <v>0.27777777777777801</v>
      </c>
      <c r="E55" s="65">
        <v>0.99747474740999997</v>
      </c>
      <c r="F55" s="65">
        <v>1</v>
      </c>
      <c r="G55" s="72">
        <v>1.8333333333333333</v>
      </c>
      <c r="H55" s="72">
        <v>3.5231481481481479</v>
      </c>
      <c r="I55" s="72">
        <v>2.1111111111111112</v>
      </c>
      <c r="J55" s="72">
        <v>0.66666666666666696</v>
      </c>
      <c r="K55" s="72">
        <v>0.77777777777777801</v>
      </c>
      <c r="L55" s="72">
        <v>0.28333333333333</v>
      </c>
      <c r="M55" s="72">
        <v>0.66666666666666696</v>
      </c>
      <c r="N55" s="72">
        <v>0.54629629629630005</v>
      </c>
      <c r="O55" s="72">
        <v>0.22222222222222199</v>
      </c>
    </row>
    <row r="56" spans="2:15" x14ac:dyDescent="0.25">
      <c r="B56" s="64"/>
      <c r="C56" s="36" t="s">
        <v>3437</v>
      </c>
      <c r="D56" s="65"/>
      <c r="E56" s="65"/>
      <c r="F56" s="65"/>
      <c r="G56" s="72"/>
      <c r="H56" s="72"/>
      <c r="I56" s="72"/>
      <c r="J56" s="72"/>
      <c r="K56" s="72"/>
      <c r="L56" s="72"/>
      <c r="M56" s="72"/>
      <c r="N56" s="72"/>
      <c r="O56" s="72"/>
    </row>
    <row r="57" spans="2:15" x14ac:dyDescent="0.25">
      <c r="B57" s="64"/>
      <c r="C57" s="35" t="s">
        <v>3436</v>
      </c>
      <c r="D57" s="65">
        <v>0.33333333333333298</v>
      </c>
      <c r="E57" s="65">
        <v>0.5</v>
      </c>
      <c r="F57" s="65"/>
      <c r="G57" s="72">
        <v>0.5</v>
      </c>
      <c r="H57" s="72">
        <v>0.176666666666667</v>
      </c>
      <c r="I57" s="72">
        <v>0.83333333333333304</v>
      </c>
      <c r="J57" s="72">
        <v>1</v>
      </c>
      <c r="K57" s="72">
        <v>0.66666666666666696</v>
      </c>
      <c r="L57" s="72">
        <v>1</v>
      </c>
      <c r="M57" s="72">
        <v>0.83333333333333304</v>
      </c>
      <c r="N57" s="72">
        <v>1.5</v>
      </c>
      <c r="O57" s="72">
        <v>1</v>
      </c>
    </row>
    <row r="58" spans="2:15" x14ac:dyDescent="0.25">
      <c r="B58" s="64"/>
      <c r="C58" s="36" t="s">
        <v>3250</v>
      </c>
      <c r="D58" s="65"/>
      <c r="E58" s="65"/>
      <c r="F58" s="65"/>
      <c r="G58" s="72"/>
      <c r="H58" s="72"/>
      <c r="I58" s="72"/>
      <c r="J58" s="72"/>
      <c r="K58" s="72"/>
      <c r="L58" s="72"/>
      <c r="M58" s="72"/>
      <c r="N58" s="72"/>
      <c r="O58" s="72"/>
    </row>
    <row r="59" spans="2:15" x14ac:dyDescent="0.25">
      <c r="B59" s="64"/>
      <c r="C59" s="35" t="s">
        <v>3249</v>
      </c>
      <c r="D59" s="65"/>
      <c r="E59" s="65"/>
      <c r="F59" s="65">
        <v>0.83333333333333304</v>
      </c>
      <c r="G59" s="72">
        <v>0.83333333333333304</v>
      </c>
      <c r="H59" s="72"/>
      <c r="I59" s="72">
        <v>0.38888888888888901</v>
      </c>
      <c r="J59" s="72"/>
      <c r="K59" s="72">
        <v>0.83333333333333304</v>
      </c>
      <c r="L59" s="72">
        <v>0.58333333333333304</v>
      </c>
      <c r="M59" s="72">
        <v>0.11851851851851999</v>
      </c>
      <c r="N59" s="72">
        <v>0.33333333333333298</v>
      </c>
      <c r="O59" s="72">
        <v>0.11111111111111099</v>
      </c>
    </row>
    <row r="60" spans="2:15" x14ac:dyDescent="0.25">
      <c r="B60" s="64"/>
      <c r="C60" s="35" t="s">
        <v>3390</v>
      </c>
      <c r="D60" s="65"/>
      <c r="E60" s="65">
        <v>0.16666666666666699</v>
      </c>
      <c r="F60" s="65">
        <v>0.33333333333333298</v>
      </c>
      <c r="G60" s="72">
        <v>0.18333333333333299</v>
      </c>
      <c r="H60" s="72">
        <v>1.4166666666666667</v>
      </c>
      <c r="I60" s="72"/>
      <c r="J60" s="72">
        <v>1.2</v>
      </c>
      <c r="K60" s="72"/>
      <c r="L60" s="72"/>
      <c r="M60" s="72">
        <v>2.3733333333333335</v>
      </c>
      <c r="N60" s="72">
        <v>0.16666666666666699</v>
      </c>
      <c r="O60" s="72">
        <v>0.83333333333333304</v>
      </c>
    </row>
    <row r="61" spans="2:15" x14ac:dyDescent="0.25">
      <c r="B61" s="64"/>
      <c r="C61" s="36" t="s">
        <v>1854</v>
      </c>
      <c r="D61" s="65"/>
      <c r="E61" s="65"/>
      <c r="F61" s="65"/>
      <c r="G61" s="72"/>
      <c r="H61" s="72"/>
      <c r="I61" s="72"/>
      <c r="J61" s="72"/>
      <c r="K61" s="72"/>
      <c r="L61" s="72"/>
      <c r="M61" s="72"/>
      <c r="N61" s="72"/>
      <c r="O61" s="72"/>
    </row>
    <row r="62" spans="2:15" x14ac:dyDescent="0.25">
      <c r="B62" s="64"/>
      <c r="C62" s="35" t="s">
        <v>8348</v>
      </c>
      <c r="D62" s="65"/>
      <c r="E62" s="65"/>
      <c r="F62" s="65"/>
      <c r="G62" s="72"/>
      <c r="H62" s="72"/>
      <c r="I62" s="72"/>
      <c r="J62" s="72">
        <v>0.5</v>
      </c>
      <c r="K62" s="72">
        <v>0.5</v>
      </c>
      <c r="L62" s="72">
        <v>0.83333333333333304</v>
      </c>
      <c r="M62" s="72">
        <v>0.16666666666666699</v>
      </c>
      <c r="N62" s="72">
        <v>1.1666666666666667</v>
      </c>
      <c r="O62" s="72">
        <v>0.16666666666666699</v>
      </c>
    </row>
    <row r="63" spans="2:15" x14ac:dyDescent="0.25">
      <c r="B63" s="64"/>
      <c r="C63" s="35" t="s">
        <v>1853</v>
      </c>
      <c r="D63" s="65"/>
      <c r="E63" s="65">
        <v>0.46296296296296302</v>
      </c>
      <c r="F63" s="65">
        <v>0.33333333333333298</v>
      </c>
      <c r="G63" s="72">
        <v>0.33333333333333298</v>
      </c>
      <c r="H63" s="72">
        <v>0.66666666666666696</v>
      </c>
      <c r="I63" s="72">
        <v>0.83333333333333304</v>
      </c>
      <c r="J63" s="72">
        <v>0.39814814814814797</v>
      </c>
      <c r="K63" s="72">
        <v>0.33564814814814797</v>
      </c>
      <c r="L63" s="72">
        <v>0.33333333333333298</v>
      </c>
      <c r="M63" s="72">
        <v>0.61111111111111105</v>
      </c>
      <c r="N63" s="72">
        <v>0.33333333333333298</v>
      </c>
      <c r="O63" s="72">
        <v>0.66666666666666696</v>
      </c>
    </row>
    <row r="64" spans="2:15" x14ac:dyDescent="0.25">
      <c r="B64" s="64"/>
      <c r="C64" s="36" t="s">
        <v>7</v>
      </c>
      <c r="D64" s="65"/>
      <c r="E64" s="65"/>
      <c r="F64" s="65"/>
      <c r="G64" s="72"/>
      <c r="H64" s="72"/>
      <c r="I64" s="72"/>
      <c r="J64" s="72"/>
      <c r="K64" s="72"/>
      <c r="L64" s="72"/>
      <c r="M64" s="72"/>
      <c r="N64" s="72"/>
      <c r="O64" s="72"/>
    </row>
    <row r="65" spans="2:15" x14ac:dyDescent="0.25">
      <c r="B65" s="64"/>
      <c r="C65" s="35" t="s">
        <v>16</v>
      </c>
      <c r="D65" s="65">
        <v>0.57873737374000001</v>
      </c>
      <c r="E65" s="65">
        <v>0.67592592592592604</v>
      </c>
      <c r="F65" s="65">
        <v>0.78247474747000001</v>
      </c>
      <c r="G65" s="72">
        <v>0.98148148148148096</v>
      </c>
      <c r="H65" s="72">
        <v>0.45373737374000001</v>
      </c>
      <c r="I65" s="72">
        <v>0.865747474741</v>
      </c>
      <c r="J65" s="72">
        <v>0.82873737374000001</v>
      </c>
      <c r="K65" s="72">
        <v>0.57873737374000001</v>
      </c>
      <c r="L65" s="72">
        <v>0.29166666666666702</v>
      </c>
      <c r="M65" s="72">
        <v>0.45833333333333298</v>
      </c>
      <c r="N65" s="72">
        <v>0.86111111111111105</v>
      </c>
      <c r="O65" s="72">
        <v>0.62373737370000004</v>
      </c>
    </row>
    <row r="66" spans="2:15" x14ac:dyDescent="0.25">
      <c r="B66" s="64"/>
      <c r="C66" s="36" t="s">
        <v>776</v>
      </c>
      <c r="D66" s="65"/>
      <c r="E66" s="65"/>
      <c r="F66" s="65"/>
      <c r="G66" s="72"/>
      <c r="H66" s="72"/>
      <c r="I66" s="72"/>
      <c r="J66" s="72"/>
      <c r="K66" s="72"/>
      <c r="L66" s="72"/>
      <c r="M66" s="72"/>
      <c r="N66" s="72"/>
      <c r="O66" s="72"/>
    </row>
    <row r="67" spans="2:15" x14ac:dyDescent="0.25">
      <c r="B67" s="64"/>
      <c r="C67" s="35" t="s">
        <v>823</v>
      </c>
      <c r="D67" s="65"/>
      <c r="E67" s="65">
        <v>1.5</v>
      </c>
      <c r="F67" s="65">
        <v>0.5</v>
      </c>
      <c r="G67" s="72">
        <v>1.6666666666666667</v>
      </c>
      <c r="H67" s="72">
        <v>2</v>
      </c>
      <c r="I67" s="72">
        <v>0.5</v>
      </c>
      <c r="J67" s="72">
        <v>1.1666666666666667</v>
      </c>
      <c r="K67" s="72">
        <v>0.16666666666666699</v>
      </c>
      <c r="L67" s="72"/>
      <c r="M67" s="72"/>
      <c r="N67" s="72"/>
      <c r="O67" s="72"/>
    </row>
    <row r="68" spans="2:15" x14ac:dyDescent="0.25">
      <c r="B68" s="64"/>
      <c r="C68" s="36" t="s">
        <v>3400</v>
      </c>
      <c r="D68" s="65"/>
      <c r="E68" s="65"/>
      <c r="F68" s="65"/>
      <c r="G68" s="72"/>
      <c r="H68" s="72"/>
      <c r="I68" s="72"/>
      <c r="J68" s="72"/>
      <c r="K68" s="72"/>
      <c r="L68" s="72"/>
      <c r="M68" s="72"/>
      <c r="N68" s="72"/>
      <c r="O68" s="72"/>
    </row>
    <row r="69" spans="2:15" x14ac:dyDescent="0.25">
      <c r="B69" s="64"/>
      <c r="C69" s="35" t="s">
        <v>3510</v>
      </c>
      <c r="D69" s="65"/>
      <c r="E69" s="65"/>
      <c r="F69" s="65"/>
      <c r="G69" s="72">
        <v>0.83333333333333304</v>
      </c>
      <c r="H69" s="72">
        <v>0.46296296296296302</v>
      </c>
      <c r="I69" s="72">
        <v>0.37373737369999999</v>
      </c>
      <c r="J69" s="72">
        <v>0.37373737369999999</v>
      </c>
      <c r="K69" s="72">
        <v>0.55555555555555602</v>
      </c>
      <c r="L69" s="72">
        <v>0.38888888888888901</v>
      </c>
      <c r="M69" s="72">
        <v>0.55555555555555602</v>
      </c>
      <c r="N69" s="72">
        <v>0.16666666666666699</v>
      </c>
      <c r="O69" s="72"/>
    </row>
    <row r="70" spans="2:15" x14ac:dyDescent="0.25">
      <c r="B70" s="64"/>
      <c r="C70" s="35" t="s">
        <v>3399</v>
      </c>
      <c r="D70" s="65">
        <v>0.5</v>
      </c>
      <c r="E70" s="65">
        <v>0.16666666666666699</v>
      </c>
      <c r="F70" s="65">
        <v>0.5</v>
      </c>
      <c r="G70" s="72">
        <v>0.5</v>
      </c>
      <c r="H70" s="72">
        <v>0.33333333333333298</v>
      </c>
      <c r="I70" s="72">
        <v>0.16666666666666699</v>
      </c>
      <c r="J70" s="72">
        <v>0.33333333333333298</v>
      </c>
      <c r="K70" s="72">
        <v>1.3333333333333</v>
      </c>
      <c r="L70" s="72">
        <v>0.16666666666666699</v>
      </c>
      <c r="M70" s="72">
        <v>0.83333333333333304</v>
      </c>
      <c r="N70" s="72">
        <v>0.33333333333333298</v>
      </c>
      <c r="O70" s="72">
        <v>0.51666666666666705</v>
      </c>
    </row>
    <row r="71" spans="2:15" x14ac:dyDescent="0.25">
      <c r="B71" s="64"/>
      <c r="C71" s="36" t="s">
        <v>182</v>
      </c>
      <c r="D71" s="65"/>
      <c r="E71" s="65"/>
      <c r="F71" s="65"/>
      <c r="G71" s="72"/>
      <c r="H71" s="72"/>
      <c r="I71" s="72"/>
      <c r="J71" s="72"/>
      <c r="K71" s="72"/>
      <c r="L71" s="72"/>
      <c r="M71" s="72"/>
      <c r="N71" s="72"/>
      <c r="O71" s="72"/>
    </row>
    <row r="72" spans="2:15" x14ac:dyDescent="0.25">
      <c r="B72" s="64"/>
      <c r="C72" s="35" t="s">
        <v>244</v>
      </c>
      <c r="D72" s="65">
        <v>0.35648148148148201</v>
      </c>
      <c r="E72" s="65">
        <v>0.16666666666666699</v>
      </c>
      <c r="F72" s="65">
        <v>0.592592592592593</v>
      </c>
      <c r="G72" s="72"/>
      <c r="H72" s="72">
        <v>0.68518518518518501</v>
      </c>
      <c r="I72" s="72">
        <v>0.61111111111111105</v>
      </c>
      <c r="J72" s="72">
        <v>0.67592592592592604</v>
      </c>
      <c r="K72" s="72">
        <v>0.46296296296296302</v>
      </c>
      <c r="L72" s="72">
        <v>0.69444444444444398</v>
      </c>
      <c r="M72" s="72">
        <v>0.18981481481481499</v>
      </c>
      <c r="N72" s="72">
        <v>0.33333333333333298</v>
      </c>
      <c r="O72" s="72">
        <v>0.16481481481481</v>
      </c>
    </row>
    <row r="73" spans="2:15" x14ac:dyDescent="0.25">
      <c r="B73" s="64"/>
      <c r="C73" s="35" t="s">
        <v>1505</v>
      </c>
      <c r="D73" s="65"/>
      <c r="E73" s="65"/>
      <c r="F73" s="65"/>
      <c r="G73" s="72">
        <v>0.5</v>
      </c>
      <c r="H73" s="72"/>
      <c r="I73" s="72">
        <v>0.83333333333333304</v>
      </c>
      <c r="J73" s="72">
        <v>0.83333333333333304</v>
      </c>
      <c r="K73" s="72"/>
      <c r="L73" s="72">
        <v>0.5</v>
      </c>
      <c r="M73" s="72">
        <v>0.66666666666666696</v>
      </c>
      <c r="N73" s="72">
        <v>0.16666666666666699</v>
      </c>
      <c r="O73" s="72">
        <v>0.33333333333333298</v>
      </c>
    </row>
    <row r="74" spans="2:15" x14ac:dyDescent="0.25">
      <c r="B74" s="64"/>
      <c r="C74" s="36" t="s">
        <v>3396</v>
      </c>
      <c r="D74" s="65"/>
      <c r="E74" s="65"/>
      <c r="F74" s="65"/>
      <c r="G74" s="72"/>
      <c r="H74" s="72"/>
      <c r="I74" s="72"/>
      <c r="J74" s="72"/>
      <c r="K74" s="72"/>
      <c r="L74" s="72"/>
      <c r="M74" s="72"/>
      <c r="N74" s="72"/>
      <c r="O74" s="72"/>
    </row>
    <row r="75" spans="2:15" x14ac:dyDescent="0.25">
      <c r="B75" s="64"/>
      <c r="C75" s="35" t="s">
        <v>6516</v>
      </c>
      <c r="D75" s="65"/>
      <c r="E75" s="65"/>
      <c r="F75" s="65">
        <v>0.55555555555555602</v>
      </c>
      <c r="G75" s="72">
        <v>0.55555555555555602</v>
      </c>
      <c r="H75" s="72">
        <v>0.55555555555555602</v>
      </c>
      <c r="I75" s="72">
        <v>0.83333333333333304</v>
      </c>
      <c r="J75" s="72">
        <v>0.37373737369999999</v>
      </c>
      <c r="K75" s="72"/>
      <c r="L75" s="72">
        <v>0.37373737369999999</v>
      </c>
      <c r="M75" s="72">
        <v>0.55555555555555602</v>
      </c>
      <c r="N75" s="72"/>
      <c r="O75" s="72">
        <v>0.74747474740999997</v>
      </c>
    </row>
    <row r="76" spans="2:15" x14ac:dyDescent="0.25">
      <c r="B76" s="64"/>
      <c r="C76" s="35" t="s">
        <v>3395</v>
      </c>
      <c r="D76" s="65">
        <v>0.7</v>
      </c>
      <c r="E76" s="65">
        <v>0.18333333333333299</v>
      </c>
      <c r="F76" s="65">
        <v>0.73333333333333295</v>
      </c>
      <c r="G76" s="72">
        <v>0.53333333333333299</v>
      </c>
      <c r="H76" s="72">
        <v>0.53333333333333299</v>
      </c>
      <c r="I76" s="72">
        <v>0.16666666666666699</v>
      </c>
      <c r="J76" s="72">
        <v>0.53333333333333299</v>
      </c>
      <c r="K76" s="72">
        <v>0.33333333333333298</v>
      </c>
      <c r="L76" s="72"/>
      <c r="M76" s="72">
        <v>0.9</v>
      </c>
      <c r="N76" s="72">
        <v>0.55000000000000004</v>
      </c>
      <c r="O76" s="72"/>
    </row>
    <row r="77" spans="2:15" x14ac:dyDescent="0.25">
      <c r="B77" s="64"/>
      <c r="C77" s="35"/>
      <c r="D77" s="65"/>
      <c r="E77" s="65"/>
      <c r="F77" s="65"/>
      <c r="G77" s="72"/>
      <c r="H77" s="72"/>
      <c r="I77" s="72"/>
      <c r="J77" s="72"/>
      <c r="K77" s="72"/>
      <c r="L77" s="72"/>
      <c r="M77" s="72"/>
      <c r="N77" s="72"/>
      <c r="O77" s="72"/>
    </row>
    <row r="78" spans="2:15" x14ac:dyDescent="0.25">
      <c r="B78" s="64"/>
      <c r="C78" s="35"/>
      <c r="D78" s="65"/>
      <c r="E78" s="65"/>
      <c r="F78" s="65"/>
      <c r="G78" s="72"/>
      <c r="H78" s="72"/>
      <c r="I78" s="72"/>
      <c r="J78" s="72"/>
      <c r="K78" s="72"/>
      <c r="L78" s="72"/>
      <c r="M78" s="72"/>
      <c r="N78" s="72"/>
      <c r="O78" s="72"/>
    </row>
    <row r="79" spans="2:15" x14ac:dyDescent="0.25">
      <c r="B79" s="64"/>
      <c r="C79" s="35"/>
      <c r="D79" s="65"/>
      <c r="E79" s="65"/>
      <c r="F79" s="65"/>
      <c r="G79" s="72"/>
      <c r="H79" s="72"/>
      <c r="I79" s="72"/>
      <c r="J79" s="72"/>
      <c r="K79" s="72"/>
      <c r="L79" s="72"/>
      <c r="M79" s="72"/>
      <c r="N79" s="72"/>
      <c r="O79" s="72"/>
    </row>
    <row r="80" spans="2:15" x14ac:dyDescent="0.25">
      <c r="B80" s="64"/>
      <c r="C80" s="77"/>
      <c r="D80" s="71"/>
      <c r="E80" s="71"/>
      <c r="F80" s="71"/>
      <c r="G80" s="74"/>
      <c r="H80" s="74"/>
      <c r="I80" s="74"/>
      <c r="J80" s="74"/>
      <c r="K80" s="74"/>
      <c r="L80" s="74"/>
      <c r="M80" s="74"/>
      <c r="N80" s="74"/>
      <c r="O80" s="74"/>
    </row>
    <row r="81" spans="2:15" x14ac:dyDescent="0.25">
      <c r="B81" s="64"/>
      <c r="C81" s="35"/>
      <c r="D81" s="66" t="str">
        <f>D4</f>
        <v>Oct</v>
      </c>
      <c r="E81" s="66" t="str">
        <f t="shared" ref="E81:O81" si="1">E4</f>
        <v>Nov</v>
      </c>
      <c r="F81" s="66" t="str">
        <f t="shared" si="1"/>
        <v>Dec</v>
      </c>
      <c r="G81" s="73" t="str">
        <f t="shared" si="1"/>
        <v>Jan</v>
      </c>
      <c r="H81" s="73" t="str">
        <f t="shared" si="1"/>
        <v>Feb</v>
      </c>
      <c r="I81" s="73" t="str">
        <f t="shared" si="1"/>
        <v>March</v>
      </c>
      <c r="J81" s="73" t="str">
        <f t="shared" si="1"/>
        <v>April</v>
      </c>
      <c r="K81" s="73" t="str">
        <f t="shared" si="1"/>
        <v>May</v>
      </c>
      <c r="L81" s="73" t="str">
        <f t="shared" si="1"/>
        <v>June</v>
      </c>
      <c r="M81" s="73" t="str">
        <f t="shared" si="1"/>
        <v>July</v>
      </c>
      <c r="N81" s="73" t="str">
        <f t="shared" si="1"/>
        <v>Aug</v>
      </c>
      <c r="O81" s="73" t="str">
        <f t="shared" si="1"/>
        <v>Sep</v>
      </c>
    </row>
    <row r="82" spans="2:15" x14ac:dyDescent="0.25">
      <c r="B82" s="64"/>
      <c r="C82" s="36" t="s">
        <v>4258</v>
      </c>
      <c r="D82" s="65"/>
      <c r="E82" s="65"/>
      <c r="F82" s="65"/>
      <c r="G82" s="72"/>
      <c r="H82" s="72"/>
      <c r="I82" s="72"/>
      <c r="J82" s="72"/>
      <c r="K82" s="72"/>
      <c r="L82" s="72"/>
      <c r="M82" s="72"/>
      <c r="N82" s="72"/>
      <c r="O82" s="72"/>
    </row>
    <row r="83" spans="2:15" x14ac:dyDescent="0.25">
      <c r="B83" s="64"/>
      <c r="C83" s="35" t="s">
        <v>5998</v>
      </c>
      <c r="D83" s="65"/>
      <c r="E83" s="65"/>
      <c r="F83" s="65"/>
      <c r="G83" s="72"/>
      <c r="H83" s="72"/>
      <c r="I83" s="72"/>
      <c r="J83" s="72"/>
      <c r="K83" s="72">
        <v>0.74747474740999997</v>
      </c>
      <c r="L83" s="72">
        <v>0.89814814814814803</v>
      </c>
      <c r="M83" s="72">
        <v>1.4444444444444444</v>
      </c>
      <c r="N83" s="72"/>
      <c r="O83" s="72"/>
    </row>
    <row r="84" spans="2:15" x14ac:dyDescent="0.25">
      <c r="B84" s="64"/>
      <c r="C84" s="35" t="s">
        <v>4257</v>
      </c>
      <c r="D84" s="65"/>
      <c r="E84" s="65">
        <v>0.33333333333333298</v>
      </c>
      <c r="F84" s="65">
        <v>2.5333333333333337</v>
      </c>
      <c r="G84" s="72">
        <v>0.33333333333333298</v>
      </c>
      <c r="H84" s="72"/>
      <c r="I84" s="72"/>
      <c r="J84" s="72">
        <v>0.16666666666666699</v>
      </c>
      <c r="K84" s="72">
        <v>0.55000000000000004</v>
      </c>
      <c r="L84" s="72">
        <v>0.53333333333333299</v>
      </c>
      <c r="M84" s="72"/>
      <c r="N84" s="72"/>
      <c r="O84" s="72"/>
    </row>
    <row r="85" spans="2:15" x14ac:dyDescent="0.25">
      <c r="B85" s="64"/>
      <c r="C85" s="36" t="s">
        <v>1396</v>
      </c>
      <c r="D85" s="65"/>
      <c r="E85" s="65"/>
      <c r="F85" s="65"/>
      <c r="G85" s="72"/>
      <c r="H85" s="72"/>
      <c r="I85" s="72"/>
      <c r="J85" s="72"/>
      <c r="K85" s="72"/>
      <c r="L85" s="72"/>
      <c r="M85" s="72"/>
      <c r="N85" s="72"/>
      <c r="O85" s="72"/>
    </row>
    <row r="86" spans="2:15" x14ac:dyDescent="0.25">
      <c r="B86" s="64"/>
      <c r="C86" s="35" t="s">
        <v>1395</v>
      </c>
      <c r="D86" s="65"/>
      <c r="E86" s="65"/>
      <c r="F86" s="65">
        <v>0.33333333333333298</v>
      </c>
      <c r="G86" s="72">
        <v>0.16666666666666699</v>
      </c>
      <c r="H86" s="72">
        <v>0.16666666666666699</v>
      </c>
      <c r="I86" s="72">
        <v>0.33333333333333298</v>
      </c>
      <c r="J86" s="72">
        <v>0.16666666666666699</v>
      </c>
      <c r="K86" s="72">
        <v>0.16666666666666699</v>
      </c>
      <c r="L86" s="72">
        <v>0.52314814814815003</v>
      </c>
      <c r="M86" s="72">
        <v>0.33333333333333298</v>
      </c>
      <c r="N86" s="72">
        <v>0.66666666666666696</v>
      </c>
      <c r="O86" s="72"/>
    </row>
    <row r="87" spans="2:15" x14ac:dyDescent="0.25">
      <c r="B87" s="64"/>
      <c r="C87" s="35" t="s">
        <v>1400</v>
      </c>
      <c r="D87" s="65"/>
      <c r="E87" s="65"/>
      <c r="F87" s="65">
        <v>1</v>
      </c>
      <c r="G87" s="72">
        <v>1.6666666666666667</v>
      </c>
      <c r="H87" s="72">
        <v>1.1666666666666667</v>
      </c>
      <c r="I87" s="72">
        <v>0.66666666666666696</v>
      </c>
      <c r="J87" s="72"/>
      <c r="K87" s="72"/>
      <c r="L87" s="72"/>
      <c r="M87" s="72"/>
      <c r="N87" s="72"/>
      <c r="O87" s="72"/>
    </row>
    <row r="88" spans="2:15" x14ac:dyDescent="0.25">
      <c r="B88" s="64"/>
      <c r="C88" s="36" t="s">
        <v>3498</v>
      </c>
      <c r="D88" s="65"/>
      <c r="E88" s="65"/>
      <c r="F88" s="65"/>
      <c r="G88" s="72"/>
      <c r="H88" s="72"/>
      <c r="I88" s="72"/>
      <c r="J88" s="72"/>
      <c r="K88" s="72"/>
      <c r="L88" s="72"/>
      <c r="M88" s="72"/>
      <c r="N88" s="72"/>
      <c r="O88" s="72"/>
    </row>
    <row r="89" spans="2:15" x14ac:dyDescent="0.25">
      <c r="B89" s="64"/>
      <c r="C89" s="35" t="s">
        <v>3521</v>
      </c>
      <c r="D89" s="65"/>
      <c r="E89" s="65"/>
      <c r="F89" s="65">
        <v>0.55555555555555602</v>
      </c>
      <c r="G89" s="72">
        <v>0.55555555555555602</v>
      </c>
      <c r="H89" s="72"/>
      <c r="I89" s="72">
        <v>0.15747474747000001</v>
      </c>
      <c r="J89" s="72"/>
      <c r="K89" s="72"/>
      <c r="L89" s="72"/>
      <c r="M89" s="72"/>
      <c r="N89" s="72">
        <v>0.38888888888888901</v>
      </c>
      <c r="O89" s="72"/>
    </row>
    <row r="90" spans="2:15" x14ac:dyDescent="0.25">
      <c r="B90" s="64"/>
      <c r="C90" s="35" t="s">
        <v>3497</v>
      </c>
      <c r="D90" s="65">
        <v>0.66666666666666696</v>
      </c>
      <c r="E90" s="65"/>
      <c r="F90" s="65">
        <v>0.33333333333333298</v>
      </c>
      <c r="G90" s="72">
        <v>0.16666666666666699</v>
      </c>
      <c r="H90" s="72"/>
      <c r="I90" s="72"/>
      <c r="J90" s="72">
        <v>0.6</v>
      </c>
      <c r="K90" s="72">
        <v>1.3333333333333333</v>
      </c>
      <c r="L90" s="72">
        <v>0.5</v>
      </c>
      <c r="M90" s="72"/>
      <c r="N90" s="72">
        <v>1.5</v>
      </c>
      <c r="O90" s="72"/>
    </row>
    <row r="91" spans="2:15" x14ac:dyDescent="0.25">
      <c r="B91" s="64"/>
      <c r="C91" s="36" t="s">
        <v>2148</v>
      </c>
      <c r="D91" s="65"/>
      <c r="E91" s="65"/>
      <c r="F91" s="65"/>
      <c r="G91" s="72"/>
      <c r="H91" s="72"/>
      <c r="I91" s="72"/>
      <c r="J91" s="72"/>
      <c r="K91" s="72"/>
      <c r="L91" s="72"/>
      <c r="M91" s="72"/>
      <c r="N91" s="72"/>
      <c r="O91" s="72"/>
    </row>
    <row r="92" spans="2:15" x14ac:dyDescent="0.25">
      <c r="B92" s="64"/>
      <c r="C92" s="35" t="s">
        <v>2836</v>
      </c>
      <c r="D92" s="65"/>
      <c r="E92" s="65"/>
      <c r="F92" s="65"/>
      <c r="G92" s="72"/>
      <c r="H92" s="72"/>
      <c r="I92" s="72"/>
      <c r="J92" s="72">
        <v>0.33333333333333298</v>
      </c>
      <c r="K92" s="72">
        <v>0.16666666666666699</v>
      </c>
      <c r="L92" s="72"/>
      <c r="M92" s="72">
        <v>0.16666666666666699</v>
      </c>
      <c r="N92" s="72">
        <v>0.16666666666666699</v>
      </c>
      <c r="O92" s="72"/>
    </row>
    <row r="93" spans="2:15" x14ac:dyDescent="0.25">
      <c r="B93" s="64"/>
      <c r="C93" s="35" t="s">
        <v>2147</v>
      </c>
      <c r="D93" s="65"/>
      <c r="E93" s="65"/>
      <c r="F93" s="65"/>
      <c r="G93" s="72"/>
      <c r="H93" s="72">
        <v>0.66666666666666696</v>
      </c>
      <c r="I93" s="72">
        <v>1.2777777777777777</v>
      </c>
      <c r="J93" s="72">
        <v>0.94444444444444398</v>
      </c>
      <c r="K93" s="72">
        <v>2.6666666666666665</v>
      </c>
      <c r="L93" s="72">
        <v>0.33333333333333298</v>
      </c>
      <c r="M93" s="72"/>
      <c r="N93" s="72"/>
      <c r="O93" s="72"/>
    </row>
    <row r="94" spans="2:15" x14ac:dyDescent="0.25">
      <c r="B94" s="64"/>
      <c r="C94" s="36" t="s">
        <v>550</v>
      </c>
      <c r="D94" s="65"/>
      <c r="E94" s="65"/>
      <c r="F94" s="65"/>
      <c r="G94" s="72"/>
      <c r="H94" s="72"/>
      <c r="I94" s="72"/>
      <c r="J94" s="72"/>
      <c r="K94" s="72"/>
      <c r="L94" s="72"/>
      <c r="M94" s="72"/>
      <c r="N94" s="72"/>
      <c r="O94" s="72"/>
    </row>
    <row r="95" spans="2:15" x14ac:dyDescent="0.25">
      <c r="B95" s="64"/>
      <c r="C95" s="35" t="s">
        <v>50</v>
      </c>
      <c r="D95" s="65"/>
      <c r="E95" s="65">
        <v>0.38888888888888901</v>
      </c>
      <c r="F95" s="65">
        <v>0.64814814814814803</v>
      </c>
      <c r="G95" s="72">
        <v>0.32474747473999999</v>
      </c>
      <c r="H95" s="72">
        <v>0.18518518518518501</v>
      </c>
      <c r="I95" s="72">
        <v>0.29166666666666702</v>
      </c>
      <c r="J95" s="72">
        <v>0.296296296296296</v>
      </c>
      <c r="K95" s="72">
        <v>0.24747474741</v>
      </c>
      <c r="L95" s="72"/>
      <c r="M95" s="72">
        <v>0.35555555555556001</v>
      </c>
      <c r="N95" s="72">
        <v>0.36111111111111099</v>
      </c>
      <c r="O95" s="72"/>
    </row>
    <row r="96" spans="2:15" x14ac:dyDescent="0.25">
      <c r="B96" s="64"/>
      <c r="C96" s="35" t="s">
        <v>2519</v>
      </c>
      <c r="D96" s="65"/>
      <c r="E96" s="65"/>
      <c r="F96" s="65">
        <v>0.16666666666666699</v>
      </c>
      <c r="G96" s="72"/>
      <c r="H96" s="72"/>
      <c r="I96" s="72">
        <v>2.5</v>
      </c>
      <c r="J96" s="72"/>
      <c r="K96" s="72">
        <v>0.5</v>
      </c>
      <c r="L96" s="72">
        <v>0.5</v>
      </c>
      <c r="M96" s="72"/>
      <c r="N96" s="72">
        <v>0.16666666666666699</v>
      </c>
      <c r="O96" s="72"/>
    </row>
    <row r="97" spans="2:15" x14ac:dyDescent="0.25">
      <c r="B97" s="64"/>
      <c r="C97" s="36" t="s">
        <v>3526</v>
      </c>
      <c r="D97" s="65"/>
      <c r="E97" s="65"/>
      <c r="F97" s="65"/>
      <c r="G97" s="72"/>
      <c r="H97" s="72"/>
      <c r="I97" s="72"/>
      <c r="J97" s="72"/>
      <c r="K97" s="72"/>
      <c r="L97" s="72"/>
      <c r="M97" s="72"/>
      <c r="N97" s="72"/>
      <c r="O97" s="72"/>
    </row>
    <row r="98" spans="2:15" x14ac:dyDescent="0.25">
      <c r="B98" s="64"/>
      <c r="C98" s="35" t="s">
        <v>1085</v>
      </c>
      <c r="D98" s="65">
        <v>0.27777777777777801</v>
      </c>
      <c r="E98" s="65"/>
      <c r="F98" s="65">
        <v>0.78737373737000005</v>
      </c>
      <c r="G98" s="72">
        <v>0.55555555555555602</v>
      </c>
      <c r="H98" s="72"/>
      <c r="I98" s="72"/>
      <c r="J98" s="72">
        <v>0.148148148148148</v>
      </c>
      <c r="K98" s="72"/>
      <c r="L98" s="72">
        <v>0.46296296296296302</v>
      </c>
      <c r="M98" s="72">
        <v>0.55555555555555602</v>
      </c>
      <c r="N98" s="72"/>
      <c r="O98" s="72">
        <v>0.14351851851851899</v>
      </c>
    </row>
    <row r="99" spans="2:15" x14ac:dyDescent="0.25">
      <c r="B99" s="64"/>
      <c r="C99" s="35" t="s">
        <v>998</v>
      </c>
      <c r="D99" s="65">
        <v>0.16666666666666699</v>
      </c>
      <c r="E99" s="65">
        <v>0.33333333333333298</v>
      </c>
      <c r="F99" s="65"/>
      <c r="G99" s="72">
        <v>1</v>
      </c>
      <c r="H99" s="72">
        <v>0.33333333333333298</v>
      </c>
      <c r="I99" s="72">
        <v>0.33333333333333298</v>
      </c>
      <c r="J99" s="72">
        <v>0.38333333333333303</v>
      </c>
      <c r="K99" s="72">
        <v>0.43333333333333302</v>
      </c>
      <c r="L99" s="72">
        <v>0.83333333333333304</v>
      </c>
      <c r="M99" s="72">
        <v>0.33333333333333298</v>
      </c>
      <c r="N99" s="72">
        <v>0.83333333333333304</v>
      </c>
      <c r="O99" s="72">
        <v>0.66666666666666696</v>
      </c>
    </row>
    <row r="100" spans="2:15" x14ac:dyDescent="0.25">
      <c r="B100" s="64"/>
      <c r="C100" s="36" t="s">
        <v>3915</v>
      </c>
      <c r="D100" s="65"/>
      <c r="E100" s="65"/>
      <c r="F100" s="65"/>
      <c r="G100" s="72"/>
      <c r="H100" s="72"/>
      <c r="I100" s="72"/>
      <c r="J100" s="72"/>
      <c r="K100" s="72"/>
      <c r="L100" s="72"/>
      <c r="M100" s="72"/>
      <c r="N100" s="72"/>
      <c r="O100" s="72"/>
    </row>
    <row r="101" spans="2:15" x14ac:dyDescent="0.25">
      <c r="B101" s="64"/>
      <c r="C101" s="35" t="s">
        <v>3914</v>
      </c>
      <c r="D101" s="65">
        <v>0.33333333333333298</v>
      </c>
      <c r="E101" s="65">
        <v>0.55555555555555602</v>
      </c>
      <c r="F101" s="65">
        <v>0.22222222222222199</v>
      </c>
      <c r="G101" s="72">
        <v>0.16666666666666699</v>
      </c>
      <c r="H101" s="72">
        <v>0.11111111111111099</v>
      </c>
      <c r="I101" s="72">
        <v>0.16666666666666699</v>
      </c>
      <c r="J101" s="72">
        <v>0.16666666666666699</v>
      </c>
      <c r="K101" s="72">
        <v>0.83333333333333304</v>
      </c>
      <c r="L101" s="72">
        <v>0.16666666666666699</v>
      </c>
      <c r="M101" s="72"/>
      <c r="N101" s="72">
        <v>0.55555555555555602</v>
      </c>
      <c r="O101" s="72"/>
    </row>
    <row r="102" spans="2:15" x14ac:dyDescent="0.25">
      <c r="B102" s="64"/>
      <c r="C102" s="35" t="s">
        <v>5976</v>
      </c>
      <c r="D102" s="65"/>
      <c r="E102" s="65"/>
      <c r="F102" s="65">
        <v>0.16666666666666699</v>
      </c>
      <c r="G102" s="72">
        <v>0.18333333333333299</v>
      </c>
      <c r="H102" s="72">
        <v>0.18333333333333299</v>
      </c>
      <c r="I102" s="72"/>
      <c r="J102" s="72">
        <v>1.35</v>
      </c>
      <c r="K102" s="72">
        <v>0.35</v>
      </c>
      <c r="L102" s="72"/>
      <c r="M102" s="72">
        <v>0.18333333333333299</v>
      </c>
      <c r="N102" s="72"/>
      <c r="O102" s="72">
        <v>0.35</v>
      </c>
    </row>
    <row r="103" spans="2:15" x14ac:dyDescent="0.25">
      <c r="B103" s="64"/>
      <c r="C103" s="36" t="s">
        <v>29</v>
      </c>
      <c r="D103" s="65"/>
      <c r="E103" s="65"/>
      <c r="F103" s="65"/>
      <c r="G103" s="72"/>
      <c r="H103" s="72"/>
      <c r="I103" s="72"/>
      <c r="J103" s="72"/>
      <c r="K103" s="72"/>
      <c r="L103" s="72"/>
      <c r="M103" s="72"/>
      <c r="N103" s="72"/>
      <c r="O103" s="72"/>
    </row>
    <row r="104" spans="2:15" x14ac:dyDescent="0.25">
      <c r="B104" s="64"/>
      <c r="C104" s="35" t="s">
        <v>28</v>
      </c>
      <c r="D104" s="65">
        <v>0.39814814814814797</v>
      </c>
      <c r="E104" s="65">
        <v>0.54166666666666696</v>
      </c>
      <c r="F104" s="65">
        <v>0.52777777777777801</v>
      </c>
      <c r="G104" s="72">
        <v>0.57474747473999999</v>
      </c>
      <c r="H104" s="72">
        <v>0.61851851851852002</v>
      </c>
      <c r="I104" s="72">
        <v>0.74747474740999997</v>
      </c>
      <c r="J104" s="72">
        <v>0.47474747470000001</v>
      </c>
      <c r="K104" s="72">
        <v>0.56944444444444398</v>
      </c>
      <c r="L104" s="72">
        <v>0.25925925925925902</v>
      </c>
      <c r="M104" s="72">
        <v>0.51851851851851805</v>
      </c>
      <c r="N104" s="72">
        <v>0.68555555555556003</v>
      </c>
      <c r="O104" s="72">
        <v>0.44974747473999999</v>
      </c>
    </row>
    <row r="105" spans="2:15" x14ac:dyDescent="0.25">
      <c r="B105" s="64"/>
      <c r="C105" s="36" t="s">
        <v>3654</v>
      </c>
      <c r="D105" s="65"/>
      <c r="E105" s="65"/>
      <c r="F105" s="65"/>
      <c r="G105" s="72"/>
      <c r="H105" s="72"/>
      <c r="I105" s="72"/>
      <c r="J105" s="72"/>
      <c r="K105" s="72"/>
      <c r="L105" s="72"/>
      <c r="M105" s="72"/>
      <c r="N105" s="72"/>
      <c r="O105" s="72"/>
    </row>
    <row r="106" spans="2:15" x14ac:dyDescent="0.25">
      <c r="B106" s="64"/>
      <c r="C106" s="35" t="s">
        <v>5129</v>
      </c>
      <c r="D106" s="65"/>
      <c r="E106" s="65"/>
      <c r="F106" s="65"/>
      <c r="G106" s="72"/>
      <c r="H106" s="72">
        <v>0.46296296296296302</v>
      </c>
      <c r="I106" s="72"/>
      <c r="J106" s="72"/>
      <c r="K106" s="72">
        <v>0.23148148148148201</v>
      </c>
      <c r="L106" s="72">
        <v>0.32474747473999999</v>
      </c>
      <c r="M106" s="72"/>
      <c r="N106" s="72">
        <v>0.74747474740999997</v>
      </c>
      <c r="O106" s="72">
        <v>0.64814814814814803</v>
      </c>
    </row>
    <row r="107" spans="2:15" x14ac:dyDescent="0.25">
      <c r="B107" s="64"/>
      <c r="C107" s="35" t="s">
        <v>3653</v>
      </c>
      <c r="D107" s="65"/>
      <c r="E107" s="65"/>
      <c r="F107" s="65"/>
      <c r="G107" s="72"/>
      <c r="H107" s="72">
        <v>2.6666666666666998</v>
      </c>
      <c r="I107" s="72">
        <v>0.33333333333333298</v>
      </c>
      <c r="J107" s="72">
        <v>0.51666666666666705</v>
      </c>
      <c r="K107" s="72">
        <v>0.16666666666666699</v>
      </c>
      <c r="L107" s="72">
        <v>0.5</v>
      </c>
      <c r="M107" s="72">
        <v>0.16666666666666699</v>
      </c>
      <c r="N107" s="72">
        <v>0.16666666666666699</v>
      </c>
      <c r="O107" s="72">
        <v>0.16666666666666699</v>
      </c>
    </row>
    <row r="108" spans="2:15" x14ac:dyDescent="0.25">
      <c r="B108" s="64"/>
      <c r="C108" s="36" t="s">
        <v>193</v>
      </c>
      <c r="D108" s="65"/>
      <c r="E108" s="65"/>
      <c r="F108" s="65"/>
      <c r="G108" s="72"/>
      <c r="H108" s="72"/>
      <c r="I108" s="72"/>
      <c r="J108" s="72"/>
      <c r="K108" s="72"/>
      <c r="L108" s="72"/>
      <c r="M108" s="72"/>
      <c r="N108" s="72"/>
      <c r="O108" s="72"/>
    </row>
    <row r="109" spans="2:15" x14ac:dyDescent="0.25">
      <c r="B109" s="64"/>
      <c r="C109" s="35" t="s">
        <v>1499</v>
      </c>
      <c r="D109" s="65"/>
      <c r="E109" s="65"/>
      <c r="F109" s="65"/>
      <c r="G109" s="72">
        <v>0.16666666666666699</v>
      </c>
      <c r="H109" s="72"/>
      <c r="I109" s="72"/>
      <c r="J109" s="72"/>
      <c r="K109" s="72"/>
      <c r="L109" s="72"/>
      <c r="M109" s="72"/>
      <c r="N109" s="72"/>
      <c r="O109" s="72">
        <v>0.23148148148148201</v>
      </c>
    </row>
    <row r="110" spans="2:15" x14ac:dyDescent="0.25">
      <c r="B110" s="64"/>
      <c r="C110" s="35" t="s">
        <v>192</v>
      </c>
      <c r="D110" s="65"/>
      <c r="E110" s="65">
        <v>1.3333333333333333</v>
      </c>
      <c r="F110" s="65">
        <v>0.66666666666666696</v>
      </c>
      <c r="G110" s="72">
        <v>1</v>
      </c>
      <c r="H110" s="72">
        <v>1.3333333333333333</v>
      </c>
      <c r="I110" s="72">
        <v>0.16666666666666699</v>
      </c>
      <c r="J110" s="72"/>
      <c r="K110" s="72"/>
      <c r="L110" s="72"/>
      <c r="M110" s="72"/>
      <c r="N110" s="72"/>
      <c r="O110" s="72"/>
    </row>
    <row r="111" spans="2:15" x14ac:dyDescent="0.25">
      <c r="B111" s="64"/>
      <c r="C111" s="36" t="s">
        <v>3911</v>
      </c>
      <c r="D111" s="65"/>
      <c r="E111" s="65"/>
      <c r="F111" s="65"/>
      <c r="G111" s="72"/>
      <c r="H111" s="72"/>
      <c r="I111" s="72"/>
      <c r="J111" s="72"/>
      <c r="K111" s="72"/>
      <c r="L111" s="72"/>
      <c r="M111" s="72"/>
      <c r="N111" s="72"/>
      <c r="O111" s="72"/>
    </row>
    <row r="112" spans="2:15" x14ac:dyDescent="0.25">
      <c r="B112" s="64"/>
      <c r="C112" s="35" t="s">
        <v>3941</v>
      </c>
      <c r="D112" s="65">
        <v>0.64814814814814803</v>
      </c>
      <c r="E112" s="65">
        <v>0.55555555555555602</v>
      </c>
      <c r="F112" s="65">
        <v>0.55555555555555602</v>
      </c>
      <c r="G112" s="72">
        <v>0.55555555555555602</v>
      </c>
      <c r="H112" s="72"/>
      <c r="I112" s="72">
        <v>0.83333333333333304</v>
      </c>
      <c r="J112" s="72">
        <v>0.17592592592592601</v>
      </c>
      <c r="K112" s="72">
        <v>0.11111111111111099</v>
      </c>
      <c r="L112" s="72">
        <v>0.55555555555555602</v>
      </c>
      <c r="M112" s="72"/>
      <c r="N112" s="72">
        <v>0.13888888888888901</v>
      </c>
      <c r="O112" s="72">
        <v>0.194444444444444</v>
      </c>
    </row>
    <row r="113" spans="2:15" x14ac:dyDescent="0.25">
      <c r="B113" s="64"/>
      <c r="C113" s="35" t="s">
        <v>3910</v>
      </c>
      <c r="D113" s="65">
        <v>0.33333333333333298</v>
      </c>
      <c r="E113" s="65">
        <v>0.16666666666666699</v>
      </c>
      <c r="F113" s="65">
        <v>0.16666666666666699</v>
      </c>
      <c r="G113" s="72">
        <v>0.66666666666666696</v>
      </c>
      <c r="H113" s="72">
        <v>0.33333333333333298</v>
      </c>
      <c r="I113" s="72">
        <v>0.51666666666666705</v>
      </c>
      <c r="J113" s="72"/>
      <c r="K113" s="72"/>
      <c r="L113" s="72"/>
      <c r="M113" s="72">
        <v>0.16666666666666699</v>
      </c>
      <c r="N113" s="72"/>
      <c r="O113" s="72">
        <v>0.33333333333333298</v>
      </c>
    </row>
    <row r="114" spans="2:15" x14ac:dyDescent="0.25">
      <c r="B114" s="64"/>
      <c r="C114" s="36" t="s">
        <v>3405</v>
      </c>
      <c r="D114" s="65"/>
      <c r="E114" s="65"/>
      <c r="F114" s="65"/>
      <c r="G114" s="72"/>
      <c r="H114" s="72"/>
      <c r="I114" s="72"/>
      <c r="J114" s="72"/>
      <c r="K114" s="72"/>
      <c r="L114" s="72"/>
      <c r="M114" s="72"/>
      <c r="N114" s="72"/>
      <c r="O114" s="72"/>
    </row>
    <row r="115" spans="2:15" x14ac:dyDescent="0.25">
      <c r="B115" s="64"/>
      <c r="C115" s="35" t="s">
        <v>3943</v>
      </c>
      <c r="D115" s="65">
        <v>0.92592592592592604</v>
      </c>
      <c r="E115" s="65"/>
      <c r="F115" s="65">
        <v>0.55555555555555602</v>
      </c>
      <c r="G115" s="72"/>
      <c r="H115" s="72"/>
      <c r="I115" s="72"/>
      <c r="J115" s="72"/>
      <c r="K115" s="72"/>
      <c r="L115" s="72"/>
      <c r="M115" s="72"/>
      <c r="N115" s="72">
        <v>0.83333333333333304</v>
      </c>
      <c r="O115" s="72">
        <v>0.55555555555555602</v>
      </c>
    </row>
    <row r="116" spans="2:15" x14ac:dyDescent="0.25">
      <c r="B116" s="64"/>
      <c r="C116" s="35" t="s">
        <v>3404</v>
      </c>
      <c r="D116" s="65">
        <v>0.16666666666666699</v>
      </c>
      <c r="E116" s="65">
        <v>0.33333333333333298</v>
      </c>
      <c r="F116" s="65">
        <v>0.33333333333333298</v>
      </c>
      <c r="G116" s="72">
        <v>0.5</v>
      </c>
      <c r="H116" s="72">
        <v>0.5</v>
      </c>
      <c r="I116" s="72">
        <v>0.33333333333333298</v>
      </c>
      <c r="J116" s="72"/>
      <c r="K116" s="72"/>
      <c r="L116" s="72"/>
      <c r="M116" s="72">
        <v>0.33333333333333298</v>
      </c>
      <c r="N116" s="72">
        <v>0.33333333333333298</v>
      </c>
      <c r="O116" s="72">
        <v>0.5</v>
      </c>
    </row>
    <row r="117" spans="2:15" x14ac:dyDescent="0.25">
      <c r="B117" s="64"/>
      <c r="C117" s="36" t="s">
        <v>843</v>
      </c>
      <c r="D117" s="65"/>
      <c r="E117" s="65"/>
      <c r="F117" s="65"/>
      <c r="G117" s="72"/>
      <c r="H117" s="72"/>
      <c r="I117" s="72"/>
      <c r="J117" s="72"/>
      <c r="K117" s="72"/>
      <c r="L117" s="72"/>
      <c r="M117" s="72"/>
      <c r="N117" s="72"/>
      <c r="O117" s="72"/>
    </row>
    <row r="118" spans="2:15" x14ac:dyDescent="0.25">
      <c r="B118" s="64"/>
      <c r="C118" s="35" t="s">
        <v>842</v>
      </c>
      <c r="D118" s="65">
        <v>0.16666666666666699</v>
      </c>
      <c r="E118" s="65">
        <v>0.16666666666666699</v>
      </c>
      <c r="F118" s="65">
        <v>0.16666666666666699</v>
      </c>
      <c r="G118" s="72"/>
      <c r="H118" s="72">
        <v>0.33333333333333298</v>
      </c>
      <c r="I118" s="72">
        <v>0.16666666666666699</v>
      </c>
      <c r="J118" s="72">
        <v>1.3333333333333</v>
      </c>
      <c r="K118" s="72"/>
      <c r="L118" s="72"/>
      <c r="M118" s="72"/>
      <c r="N118" s="72">
        <v>1.3333333333333333</v>
      </c>
      <c r="O118" s="72">
        <v>0.16666666666666699</v>
      </c>
    </row>
    <row r="119" spans="2:15" x14ac:dyDescent="0.25">
      <c r="B119" s="64"/>
      <c r="C119" s="36" t="s">
        <v>1267</v>
      </c>
      <c r="D119" s="65"/>
      <c r="E119" s="65"/>
      <c r="F119" s="65"/>
      <c r="G119" s="72"/>
      <c r="H119" s="72"/>
      <c r="I119" s="72"/>
      <c r="J119" s="72"/>
      <c r="K119" s="72"/>
      <c r="L119" s="72"/>
      <c r="M119" s="72"/>
      <c r="N119" s="72"/>
      <c r="O119" s="72"/>
    </row>
    <row r="120" spans="2:15" x14ac:dyDescent="0.25">
      <c r="B120" s="64"/>
      <c r="C120" s="35" t="s">
        <v>1266</v>
      </c>
      <c r="D120" s="65">
        <v>0.17592592592592601</v>
      </c>
      <c r="E120" s="65"/>
      <c r="F120" s="65">
        <v>0.17592592592592601</v>
      </c>
      <c r="G120" s="72">
        <v>0.27777777777777801</v>
      </c>
      <c r="H120" s="72">
        <v>0.33333333333333298</v>
      </c>
      <c r="I120" s="72">
        <v>0.194444444444444</v>
      </c>
      <c r="J120" s="72">
        <v>0.16666666666666699</v>
      </c>
      <c r="K120" s="72">
        <v>0.194444444444444</v>
      </c>
      <c r="L120" s="72">
        <v>0.16666666666666699</v>
      </c>
      <c r="M120" s="72">
        <v>0.16666666666666699</v>
      </c>
      <c r="N120" s="72">
        <v>0.27777777777777801</v>
      </c>
      <c r="O120" s="72">
        <v>0.16666666666666699</v>
      </c>
    </row>
    <row r="121" spans="2:15" x14ac:dyDescent="0.25">
      <c r="B121" s="64"/>
      <c r="C121" s="35" t="s">
        <v>8349</v>
      </c>
      <c r="D121" s="65"/>
      <c r="E121" s="65"/>
      <c r="F121" s="65"/>
      <c r="G121" s="72"/>
      <c r="H121" s="72"/>
      <c r="I121" s="72"/>
      <c r="J121" s="72">
        <v>0.5</v>
      </c>
      <c r="K121" s="72"/>
      <c r="L121" s="72">
        <v>0.16666666666666699</v>
      </c>
      <c r="M121" s="72"/>
      <c r="N121" s="72">
        <v>0.83333333333333304</v>
      </c>
      <c r="O121" s="72">
        <v>0.16666666666666699</v>
      </c>
    </row>
    <row r="122" spans="2:15" x14ac:dyDescent="0.25">
      <c r="B122" s="64"/>
      <c r="C122" s="36" t="s">
        <v>3525</v>
      </c>
      <c r="D122" s="65"/>
      <c r="E122" s="65"/>
      <c r="F122" s="65"/>
      <c r="G122" s="72"/>
      <c r="H122" s="72"/>
      <c r="I122" s="72"/>
      <c r="J122" s="72"/>
      <c r="K122" s="72"/>
      <c r="L122" s="72"/>
      <c r="M122" s="72"/>
      <c r="N122" s="72"/>
      <c r="O122" s="72"/>
    </row>
    <row r="123" spans="2:15" x14ac:dyDescent="0.25">
      <c r="B123" s="64"/>
      <c r="C123" s="35" t="s">
        <v>3917</v>
      </c>
      <c r="D123" s="65">
        <v>0.27777777777777801</v>
      </c>
      <c r="E123" s="65">
        <v>0.55555555555555602</v>
      </c>
      <c r="F123" s="65">
        <v>0.55555555555555602</v>
      </c>
      <c r="G123" s="72">
        <v>0.55555555555555602</v>
      </c>
      <c r="H123" s="72">
        <v>0.55555555555555602</v>
      </c>
      <c r="I123" s="72">
        <v>0.55555555555555602</v>
      </c>
      <c r="J123" s="72"/>
      <c r="K123" s="72">
        <v>0.13888888888888901</v>
      </c>
      <c r="L123" s="72"/>
      <c r="M123" s="72">
        <v>0.11111111111111099</v>
      </c>
      <c r="N123" s="72"/>
      <c r="O123" s="72">
        <v>0.11111111111111099</v>
      </c>
    </row>
    <row r="124" spans="2:15" x14ac:dyDescent="0.25">
      <c r="B124" s="64"/>
      <c r="C124" s="35" t="s">
        <v>3524</v>
      </c>
      <c r="D124" s="65">
        <v>0.16666666666666699</v>
      </c>
      <c r="E124" s="65"/>
      <c r="F124" s="65">
        <v>0.16666666666666699</v>
      </c>
      <c r="G124" s="72"/>
      <c r="H124" s="72">
        <v>0.91666666666666696</v>
      </c>
      <c r="I124" s="72">
        <v>0.33333333333333298</v>
      </c>
      <c r="J124" s="72">
        <v>0.16666666666666699</v>
      </c>
      <c r="K124" s="72"/>
      <c r="L124" s="72"/>
      <c r="M124" s="72"/>
      <c r="N124" s="72">
        <v>0.35</v>
      </c>
      <c r="O124" s="72">
        <v>0.18333333333333299</v>
      </c>
    </row>
    <row r="125" spans="2:15" x14ac:dyDescent="0.25">
      <c r="B125" s="64"/>
      <c r="C125" s="36" t="s">
        <v>2139</v>
      </c>
      <c r="D125" s="65"/>
      <c r="E125" s="65"/>
      <c r="F125" s="65"/>
      <c r="G125" s="72"/>
      <c r="H125" s="72"/>
      <c r="I125" s="72"/>
      <c r="J125" s="72"/>
      <c r="K125" s="72"/>
      <c r="L125" s="72"/>
      <c r="M125" s="72"/>
      <c r="N125" s="72"/>
      <c r="O125" s="72"/>
    </row>
    <row r="126" spans="2:15" x14ac:dyDescent="0.25">
      <c r="B126" s="64"/>
      <c r="C126" s="35" t="s">
        <v>5443</v>
      </c>
      <c r="D126" s="65"/>
      <c r="E126" s="65"/>
      <c r="F126" s="65"/>
      <c r="G126" s="72"/>
      <c r="H126" s="72"/>
      <c r="I126" s="72">
        <v>0.69444444444444398</v>
      </c>
      <c r="J126" s="72">
        <v>0.92592592592592604</v>
      </c>
      <c r="K126" s="72">
        <v>0.115747474741</v>
      </c>
      <c r="L126" s="72"/>
      <c r="M126" s="72"/>
      <c r="N126" s="72">
        <v>0.115747474741</v>
      </c>
      <c r="O126" s="72"/>
    </row>
    <row r="127" spans="2:15" x14ac:dyDescent="0.25">
      <c r="B127" s="64"/>
      <c r="C127" s="35" t="s">
        <v>2138</v>
      </c>
      <c r="D127" s="65"/>
      <c r="E127" s="65"/>
      <c r="F127" s="65"/>
      <c r="G127" s="72"/>
      <c r="H127" s="72">
        <v>0.16666666666666699</v>
      </c>
      <c r="I127" s="72">
        <v>0.83333333333333304</v>
      </c>
      <c r="J127" s="72"/>
      <c r="K127" s="72">
        <v>0.83333333333333304</v>
      </c>
      <c r="L127" s="72"/>
      <c r="M127" s="72">
        <v>0.33333333333333298</v>
      </c>
      <c r="N127" s="72">
        <v>0.16666666666666699</v>
      </c>
      <c r="O127" s="72"/>
    </row>
    <row r="128" spans="2:15" x14ac:dyDescent="0.25">
      <c r="B128" s="64"/>
      <c r="C128" s="59" t="s">
        <v>9322</v>
      </c>
      <c r="D128" s="65"/>
      <c r="E128" s="65"/>
      <c r="F128" s="65"/>
      <c r="G128" s="72"/>
      <c r="H128" s="72"/>
      <c r="I128" s="72"/>
      <c r="J128" s="72"/>
      <c r="K128" s="72"/>
      <c r="L128" s="72"/>
      <c r="M128" s="72"/>
      <c r="N128" s="72"/>
      <c r="O128" s="72"/>
    </row>
    <row r="129" spans="2:15" x14ac:dyDescent="0.25">
      <c r="B129" s="64"/>
      <c r="C129" t="s">
        <v>2544</v>
      </c>
      <c r="D129" s="65">
        <f>Sheet3!D139+Sheet3!D142</f>
        <v>0.16666666666666666</v>
      </c>
      <c r="E129" s="65"/>
      <c r="F129" s="65"/>
      <c r="G129" s="72"/>
      <c r="H129" s="72"/>
      <c r="I129" s="72">
        <f>Sheet3!I139+Sheet3!I142</f>
        <v>0.83333333333333326</v>
      </c>
      <c r="J129" s="72">
        <f>Sheet3!J139+Sheet3!J142</f>
        <v>0.33333333333333331</v>
      </c>
      <c r="K129" s="72">
        <f>Sheet3!K139+Sheet3!K142</f>
        <v>0.33333333333333331</v>
      </c>
      <c r="L129" s="72"/>
      <c r="M129" s="72"/>
      <c r="N129" s="72"/>
      <c r="O129" s="72"/>
    </row>
    <row r="130" spans="2:15" x14ac:dyDescent="0.25">
      <c r="B130" s="64"/>
      <c r="C130" t="s">
        <v>2447</v>
      </c>
      <c r="D130" s="65"/>
      <c r="E130" s="65"/>
      <c r="F130" s="65">
        <f>Sheet3!F14+Sheet3!F143</f>
        <v>0.16666666666666666</v>
      </c>
      <c r="G130" s="72">
        <f>Sheet3!G14+Sheet3!G143</f>
        <v>3</v>
      </c>
      <c r="H130" s="72">
        <f>Sheet3!H14+Sheet3!H143</f>
        <v>10.12962962962963</v>
      </c>
      <c r="I130" s="72">
        <f>Sheet3!I14+Sheet3!I143</f>
        <v>5.1018518518518512</v>
      </c>
      <c r="J130" s="72">
        <f>Sheet3!J14+Sheet3!J143</f>
        <v>2.2977777777777777</v>
      </c>
      <c r="K130" s="72">
        <f>Sheet3!K14+Sheet3!K143</f>
        <v>1.0046296296296295</v>
      </c>
      <c r="L130" s="72">
        <f>Sheet3!L14+Sheet3!L143</f>
        <v>5.0023148148148149</v>
      </c>
      <c r="M130" s="72">
        <f>Sheet3!M14+Sheet3!M143</f>
        <v>1.5</v>
      </c>
      <c r="N130" s="72">
        <f>Sheet3!N14+Sheet3!N143</f>
        <v>-0.5</v>
      </c>
      <c r="O130" s="72">
        <f>Sheet3!O14+Sheet3!O143</f>
        <v>0.16666666666666666</v>
      </c>
    </row>
    <row r="131" spans="2:15" x14ac:dyDescent="0.25">
      <c r="B131" s="64"/>
      <c r="C131" s="59" t="s">
        <v>541</v>
      </c>
      <c r="D131" s="65"/>
      <c r="E131" s="65"/>
      <c r="F131" s="65"/>
      <c r="G131" s="72"/>
      <c r="H131" s="72"/>
      <c r="I131" s="72"/>
      <c r="J131" s="72"/>
      <c r="K131" s="72"/>
      <c r="L131" s="72"/>
      <c r="M131" s="72"/>
      <c r="N131" s="72"/>
      <c r="O131" s="72"/>
    </row>
    <row r="132" spans="2:15" x14ac:dyDescent="0.25">
      <c r="B132" s="64"/>
      <c r="C132" t="s">
        <v>1188</v>
      </c>
      <c r="D132" s="65"/>
      <c r="E132" s="65"/>
      <c r="F132" s="65">
        <v>1</v>
      </c>
      <c r="G132" s="72">
        <v>0.5</v>
      </c>
      <c r="H132" s="72">
        <v>0.5</v>
      </c>
      <c r="I132" s="72">
        <v>0.83333333333333304</v>
      </c>
      <c r="J132" s="72">
        <v>0.5</v>
      </c>
      <c r="K132" s="72">
        <v>0.16666666666666699</v>
      </c>
      <c r="L132" s="72">
        <v>0.16666666666666699</v>
      </c>
      <c r="M132" s="72">
        <v>0.16666666666666699</v>
      </c>
      <c r="N132" s="72"/>
      <c r="O132" s="72"/>
    </row>
    <row r="133" spans="2:15" x14ac:dyDescent="0.25">
      <c r="B133" s="64"/>
      <c r="C133" s="78" t="s">
        <v>25</v>
      </c>
      <c r="D133" s="71">
        <v>1.7474747474000001</v>
      </c>
      <c r="E133" s="71">
        <v>2.7873737369999998</v>
      </c>
      <c r="F133" s="71">
        <v>3.6134259259259256</v>
      </c>
      <c r="G133" s="74">
        <v>4.5138888888888893</v>
      </c>
      <c r="H133" s="74">
        <v>1.8333333333333</v>
      </c>
      <c r="I133" s="74">
        <v>4.7337962962962967</v>
      </c>
      <c r="J133" s="74">
        <v>4.1111111111111107</v>
      </c>
      <c r="K133" s="74">
        <v>1.675925925925926</v>
      </c>
      <c r="L133" s="74">
        <v>0.886574747474</v>
      </c>
      <c r="M133" s="74">
        <v>0.99537373737000001</v>
      </c>
      <c r="N133" s="74">
        <v>0.928247474741</v>
      </c>
      <c r="O133" s="74">
        <v>1.1851851851851853</v>
      </c>
    </row>
    <row r="134" spans="2:15" x14ac:dyDescent="0.25">
      <c r="C134" s="59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</row>
    <row r="135" spans="2:15" x14ac:dyDescent="0.25">
      <c r="C135" s="60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</row>
    <row r="136" spans="2:15" x14ac:dyDescent="0.25">
      <c r="C136" s="58"/>
    </row>
  </sheetData>
  <pageMargins left="0.25" right="0.25" top="0.75" bottom="0.75" header="0.3" footer="0.3"/>
  <pageSetup scale="64" fitToHeight="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E1A0D-6B5C-4EC2-A628-6FFF951BB47C}">
  <dimension ref="A1:C739"/>
  <sheetViews>
    <sheetView workbookViewId="0">
      <selection activeCell="D2" sqref="D2"/>
    </sheetView>
  </sheetViews>
  <sheetFormatPr defaultRowHeight="15" x14ac:dyDescent="0.25"/>
  <cols>
    <col min="1" max="1" width="19.42578125" customWidth="1"/>
    <col min="2" max="2" width="60.42578125" customWidth="1"/>
    <col min="3" max="3" width="10.42578125" customWidth="1"/>
  </cols>
  <sheetData>
    <row r="1" spans="1:3" x14ac:dyDescent="0.25">
      <c r="A1" t="s">
        <v>9301</v>
      </c>
      <c r="B1" t="s">
        <v>9302</v>
      </c>
      <c r="C1" t="s">
        <v>9303</v>
      </c>
    </row>
    <row r="2" spans="1:3" x14ac:dyDescent="0.25">
      <c r="A2" t="s">
        <v>126</v>
      </c>
      <c r="B2" t="s">
        <v>127</v>
      </c>
      <c r="C2">
        <v>97420</v>
      </c>
    </row>
    <row r="3" spans="1:3" x14ac:dyDescent="0.25">
      <c r="A3" t="s">
        <v>126</v>
      </c>
      <c r="B3" t="s">
        <v>127</v>
      </c>
      <c r="C3">
        <v>97420</v>
      </c>
    </row>
    <row r="4" spans="1:3" x14ac:dyDescent="0.25">
      <c r="A4" t="s">
        <v>1028</v>
      </c>
      <c r="B4" t="s">
        <v>1029</v>
      </c>
      <c r="C4">
        <v>22239</v>
      </c>
    </row>
    <row r="5" spans="1:3" x14ac:dyDescent="0.25">
      <c r="A5" t="s">
        <v>104</v>
      </c>
      <c r="B5" t="s">
        <v>105</v>
      </c>
      <c r="C5">
        <v>16500</v>
      </c>
    </row>
    <row r="6" spans="1:3" x14ac:dyDescent="0.25">
      <c r="A6" t="s">
        <v>104</v>
      </c>
      <c r="B6" t="s">
        <v>105</v>
      </c>
      <c r="C6">
        <v>16500</v>
      </c>
    </row>
    <row r="7" spans="1:3" x14ac:dyDescent="0.25">
      <c r="A7" t="s">
        <v>104</v>
      </c>
      <c r="B7" t="s">
        <v>105</v>
      </c>
      <c r="C7">
        <v>16500</v>
      </c>
    </row>
    <row r="8" spans="1:3" x14ac:dyDescent="0.25">
      <c r="A8" t="s">
        <v>104</v>
      </c>
      <c r="B8" t="s">
        <v>105</v>
      </c>
      <c r="C8">
        <v>16500</v>
      </c>
    </row>
    <row r="9" spans="1:3" x14ac:dyDescent="0.25">
      <c r="A9" t="s">
        <v>98</v>
      </c>
      <c r="B9" t="s">
        <v>99</v>
      </c>
      <c r="C9">
        <v>14997</v>
      </c>
    </row>
    <row r="10" spans="1:3" x14ac:dyDescent="0.25">
      <c r="A10" t="s">
        <v>98</v>
      </c>
      <c r="B10" t="s">
        <v>99</v>
      </c>
      <c r="C10">
        <v>14997</v>
      </c>
    </row>
    <row r="11" spans="1:3" x14ac:dyDescent="0.25">
      <c r="A11" t="s">
        <v>98</v>
      </c>
      <c r="B11" t="s">
        <v>99</v>
      </c>
      <c r="C11">
        <v>14997</v>
      </c>
    </row>
    <row r="12" spans="1:3" x14ac:dyDescent="0.25">
      <c r="A12" t="s">
        <v>98</v>
      </c>
      <c r="B12" t="s">
        <v>99</v>
      </c>
      <c r="C12">
        <v>14997</v>
      </c>
    </row>
    <row r="13" spans="1:3" x14ac:dyDescent="0.25">
      <c r="A13" t="s">
        <v>569</v>
      </c>
      <c r="B13" t="s">
        <v>570</v>
      </c>
      <c r="C13">
        <v>7500</v>
      </c>
    </row>
    <row r="14" spans="1:3" x14ac:dyDescent="0.25">
      <c r="A14" t="s">
        <v>569</v>
      </c>
      <c r="B14" t="s">
        <v>570</v>
      </c>
      <c r="C14">
        <v>7500</v>
      </c>
    </row>
    <row r="15" spans="1:3" x14ac:dyDescent="0.25">
      <c r="A15" t="s">
        <v>569</v>
      </c>
      <c r="B15" t="s">
        <v>570</v>
      </c>
      <c r="C15">
        <v>7500</v>
      </c>
    </row>
    <row r="16" spans="1:3" x14ac:dyDescent="0.25">
      <c r="A16" t="s">
        <v>1056</v>
      </c>
      <c r="B16" t="s">
        <v>1057</v>
      </c>
      <c r="C16">
        <v>7420</v>
      </c>
    </row>
    <row r="17" spans="1:3" x14ac:dyDescent="0.25">
      <c r="A17" t="s">
        <v>1056</v>
      </c>
      <c r="B17" t="s">
        <v>1057</v>
      </c>
      <c r="C17">
        <v>7420</v>
      </c>
    </row>
    <row r="18" spans="1:3" x14ac:dyDescent="0.25">
      <c r="A18" t="s">
        <v>537</v>
      </c>
      <c r="B18" t="s">
        <v>538</v>
      </c>
      <c r="C18">
        <v>4610</v>
      </c>
    </row>
    <row r="19" spans="1:3" x14ac:dyDescent="0.25">
      <c r="A19" t="s">
        <v>649</v>
      </c>
      <c r="B19" t="s">
        <v>538</v>
      </c>
      <c r="C19">
        <v>4610</v>
      </c>
    </row>
    <row r="20" spans="1:3" x14ac:dyDescent="0.25">
      <c r="A20" t="s">
        <v>649</v>
      </c>
      <c r="B20" t="s">
        <v>538</v>
      </c>
      <c r="C20">
        <v>4610</v>
      </c>
    </row>
    <row r="21" spans="1:3" x14ac:dyDescent="0.25">
      <c r="A21" t="s">
        <v>649</v>
      </c>
      <c r="B21" t="s">
        <v>538</v>
      </c>
      <c r="C21">
        <v>4610</v>
      </c>
    </row>
    <row r="22" spans="1:3" x14ac:dyDescent="0.25">
      <c r="A22" t="s">
        <v>1078</v>
      </c>
      <c r="B22" t="s">
        <v>1079</v>
      </c>
      <c r="C22">
        <v>3927.92</v>
      </c>
    </row>
    <row r="23" spans="1:3" x14ac:dyDescent="0.25">
      <c r="A23" t="s">
        <v>1078</v>
      </c>
      <c r="B23" t="s">
        <v>1079</v>
      </c>
      <c r="C23">
        <v>3927.92</v>
      </c>
    </row>
    <row r="24" spans="1:3" x14ac:dyDescent="0.25">
      <c r="A24" t="s">
        <v>1078</v>
      </c>
      <c r="B24" t="s">
        <v>1079</v>
      </c>
      <c r="C24">
        <v>3927.92</v>
      </c>
    </row>
    <row r="25" spans="1:3" x14ac:dyDescent="0.25">
      <c r="A25" t="s">
        <v>19</v>
      </c>
      <c r="B25" t="s">
        <v>565</v>
      </c>
      <c r="C25">
        <v>3780</v>
      </c>
    </row>
    <row r="26" spans="1:3" x14ac:dyDescent="0.25">
      <c r="A26" t="s">
        <v>566</v>
      </c>
      <c r="B26" t="s">
        <v>565</v>
      </c>
      <c r="C26">
        <v>3780</v>
      </c>
    </row>
    <row r="27" spans="1:3" x14ac:dyDescent="0.25">
      <c r="A27" t="s">
        <v>19</v>
      </c>
      <c r="B27" t="s">
        <v>565</v>
      </c>
      <c r="C27">
        <v>3780</v>
      </c>
    </row>
    <row r="28" spans="1:3" x14ac:dyDescent="0.25">
      <c r="A28" t="s">
        <v>69</v>
      </c>
      <c r="B28" t="s">
        <v>565</v>
      </c>
      <c r="C28">
        <v>3780</v>
      </c>
    </row>
    <row r="29" spans="1:3" x14ac:dyDescent="0.25">
      <c r="A29" t="s">
        <v>822</v>
      </c>
      <c r="B29" t="s">
        <v>565</v>
      </c>
      <c r="C29">
        <v>3780</v>
      </c>
    </row>
    <row r="30" spans="1:3" x14ac:dyDescent="0.25">
      <c r="A30" t="s">
        <v>822</v>
      </c>
      <c r="B30" t="s">
        <v>565</v>
      </c>
      <c r="C30">
        <v>3780</v>
      </c>
    </row>
    <row r="31" spans="1:3" x14ac:dyDescent="0.25">
      <c r="A31" t="s">
        <v>822</v>
      </c>
      <c r="B31" t="s">
        <v>565</v>
      </c>
      <c r="C31">
        <v>3780</v>
      </c>
    </row>
    <row r="32" spans="1:3" x14ac:dyDescent="0.25">
      <c r="A32" t="s">
        <v>822</v>
      </c>
      <c r="B32" t="s">
        <v>565</v>
      </c>
      <c r="C32">
        <v>3780</v>
      </c>
    </row>
    <row r="33" spans="1:3" x14ac:dyDescent="0.25">
      <c r="A33" t="s">
        <v>822</v>
      </c>
      <c r="B33" t="s">
        <v>565</v>
      </c>
      <c r="C33">
        <v>3780</v>
      </c>
    </row>
    <row r="34" spans="1:3" x14ac:dyDescent="0.25">
      <c r="A34" t="s">
        <v>822</v>
      </c>
      <c r="B34" t="s">
        <v>565</v>
      </c>
      <c r="C34">
        <v>3780</v>
      </c>
    </row>
    <row r="35" spans="1:3" x14ac:dyDescent="0.25">
      <c r="A35" t="s">
        <v>631</v>
      </c>
      <c r="B35" t="s">
        <v>632</v>
      </c>
      <c r="C35">
        <v>3672.84</v>
      </c>
    </row>
    <row r="36" spans="1:3" x14ac:dyDescent="0.25">
      <c r="A36" t="s">
        <v>1098</v>
      </c>
      <c r="B36" t="s">
        <v>632</v>
      </c>
      <c r="C36">
        <v>3672.84</v>
      </c>
    </row>
    <row r="37" spans="1:3" x14ac:dyDescent="0.25">
      <c r="A37" t="s">
        <v>1130</v>
      </c>
      <c r="B37" t="s">
        <v>632</v>
      </c>
      <c r="C37">
        <v>3672.84</v>
      </c>
    </row>
    <row r="38" spans="1:3" x14ac:dyDescent="0.25">
      <c r="A38" t="s">
        <v>560</v>
      </c>
      <c r="B38" t="s">
        <v>561</v>
      </c>
      <c r="C38">
        <v>3500</v>
      </c>
    </row>
    <row r="39" spans="1:3" x14ac:dyDescent="0.25">
      <c r="A39" t="s">
        <v>164</v>
      </c>
      <c r="B39" t="s">
        <v>165</v>
      </c>
      <c r="C39">
        <v>2780</v>
      </c>
    </row>
    <row r="40" spans="1:3" x14ac:dyDescent="0.25">
      <c r="A40" t="s">
        <v>164</v>
      </c>
      <c r="B40" t="s">
        <v>165</v>
      </c>
      <c r="C40">
        <v>2780</v>
      </c>
    </row>
    <row r="41" spans="1:3" x14ac:dyDescent="0.25">
      <c r="A41" t="s">
        <v>164</v>
      </c>
      <c r="B41" t="s">
        <v>165</v>
      </c>
      <c r="C41">
        <v>2780</v>
      </c>
    </row>
    <row r="42" spans="1:3" x14ac:dyDescent="0.25">
      <c r="A42" t="s">
        <v>164</v>
      </c>
      <c r="B42" t="s">
        <v>165</v>
      </c>
      <c r="C42">
        <v>2780</v>
      </c>
    </row>
    <row r="43" spans="1:3" x14ac:dyDescent="0.25">
      <c r="A43" t="s">
        <v>185</v>
      </c>
      <c r="B43" t="s">
        <v>165</v>
      </c>
      <c r="C43">
        <v>2780</v>
      </c>
    </row>
    <row r="44" spans="1:3" x14ac:dyDescent="0.25">
      <c r="A44" t="s">
        <v>185</v>
      </c>
      <c r="B44" t="s">
        <v>165</v>
      </c>
      <c r="C44">
        <v>2780</v>
      </c>
    </row>
    <row r="45" spans="1:3" x14ac:dyDescent="0.25">
      <c r="A45" t="s">
        <v>164</v>
      </c>
      <c r="B45" t="s">
        <v>165</v>
      </c>
      <c r="C45">
        <v>2780</v>
      </c>
    </row>
    <row r="46" spans="1:3" x14ac:dyDescent="0.25">
      <c r="A46" t="s">
        <v>185</v>
      </c>
      <c r="B46" t="s">
        <v>165</v>
      </c>
      <c r="C46">
        <v>2780</v>
      </c>
    </row>
    <row r="47" spans="1:3" x14ac:dyDescent="0.25">
      <c r="A47" t="s">
        <v>185</v>
      </c>
      <c r="B47" t="s">
        <v>165</v>
      </c>
      <c r="C47">
        <v>2780</v>
      </c>
    </row>
    <row r="48" spans="1:3" x14ac:dyDescent="0.25">
      <c r="A48" t="s">
        <v>164</v>
      </c>
      <c r="B48" t="s">
        <v>165</v>
      </c>
      <c r="C48">
        <v>2780</v>
      </c>
    </row>
    <row r="49" spans="1:3" x14ac:dyDescent="0.25">
      <c r="A49" t="s">
        <v>164</v>
      </c>
      <c r="B49" t="s">
        <v>165</v>
      </c>
      <c r="C49">
        <v>2780</v>
      </c>
    </row>
    <row r="50" spans="1:3" x14ac:dyDescent="0.25">
      <c r="A50" t="s">
        <v>164</v>
      </c>
      <c r="B50" t="s">
        <v>165</v>
      </c>
      <c r="C50">
        <v>2780</v>
      </c>
    </row>
    <row r="51" spans="1:3" x14ac:dyDescent="0.25">
      <c r="A51" t="s">
        <v>164</v>
      </c>
      <c r="B51" t="s">
        <v>165</v>
      </c>
      <c r="C51">
        <v>2780</v>
      </c>
    </row>
    <row r="52" spans="1:3" x14ac:dyDescent="0.25">
      <c r="A52" t="s">
        <v>606</v>
      </c>
      <c r="B52" t="s">
        <v>607</v>
      </c>
      <c r="C52">
        <v>2647.5</v>
      </c>
    </row>
    <row r="53" spans="1:3" x14ac:dyDescent="0.25">
      <c r="A53" t="s">
        <v>158</v>
      </c>
      <c r="B53" t="s">
        <v>159</v>
      </c>
      <c r="C53">
        <v>2195</v>
      </c>
    </row>
    <row r="54" spans="1:3" x14ac:dyDescent="0.25">
      <c r="A54" t="s">
        <v>158</v>
      </c>
      <c r="B54" t="s">
        <v>159</v>
      </c>
      <c r="C54">
        <v>2195</v>
      </c>
    </row>
    <row r="55" spans="1:3" x14ac:dyDescent="0.25">
      <c r="A55" t="s">
        <v>158</v>
      </c>
      <c r="B55" t="s">
        <v>159</v>
      </c>
      <c r="C55">
        <v>2195</v>
      </c>
    </row>
    <row r="56" spans="1:3" x14ac:dyDescent="0.25">
      <c r="A56" t="s">
        <v>158</v>
      </c>
      <c r="B56" t="s">
        <v>159</v>
      </c>
      <c r="C56">
        <v>2195</v>
      </c>
    </row>
    <row r="57" spans="1:3" x14ac:dyDescent="0.25">
      <c r="A57" t="s">
        <v>158</v>
      </c>
      <c r="B57" t="s">
        <v>159</v>
      </c>
      <c r="C57">
        <v>2195</v>
      </c>
    </row>
    <row r="58" spans="1:3" x14ac:dyDescent="0.25">
      <c r="A58" t="s">
        <v>158</v>
      </c>
      <c r="B58" t="s">
        <v>159</v>
      </c>
      <c r="C58">
        <v>2195</v>
      </c>
    </row>
    <row r="59" spans="1:3" x14ac:dyDescent="0.25">
      <c r="A59" t="s">
        <v>158</v>
      </c>
      <c r="B59" t="s">
        <v>159</v>
      </c>
      <c r="C59">
        <v>2195</v>
      </c>
    </row>
    <row r="60" spans="1:3" x14ac:dyDescent="0.25">
      <c r="A60" t="s">
        <v>158</v>
      </c>
      <c r="B60" t="s">
        <v>159</v>
      </c>
      <c r="C60">
        <v>2195</v>
      </c>
    </row>
    <row r="61" spans="1:3" x14ac:dyDescent="0.25">
      <c r="A61" t="s">
        <v>158</v>
      </c>
      <c r="B61" t="s">
        <v>159</v>
      </c>
      <c r="C61">
        <v>2195</v>
      </c>
    </row>
    <row r="62" spans="1:3" x14ac:dyDescent="0.25">
      <c r="A62" t="s">
        <v>158</v>
      </c>
      <c r="B62" t="s">
        <v>159</v>
      </c>
      <c r="C62">
        <v>2195</v>
      </c>
    </row>
    <row r="63" spans="1:3" x14ac:dyDescent="0.25">
      <c r="A63" t="s">
        <v>83</v>
      </c>
      <c r="B63" t="s">
        <v>518</v>
      </c>
      <c r="C63">
        <v>2090</v>
      </c>
    </row>
    <row r="64" spans="1:3" x14ac:dyDescent="0.25">
      <c r="A64" t="s">
        <v>548</v>
      </c>
      <c r="B64" t="s">
        <v>518</v>
      </c>
      <c r="C64">
        <v>2090</v>
      </c>
    </row>
    <row r="65" spans="1:3" x14ac:dyDescent="0.25">
      <c r="A65" t="s">
        <v>83</v>
      </c>
      <c r="B65" t="s">
        <v>518</v>
      </c>
      <c r="C65">
        <v>2090</v>
      </c>
    </row>
    <row r="66" spans="1:3" x14ac:dyDescent="0.25">
      <c r="A66" t="s">
        <v>83</v>
      </c>
      <c r="B66" t="s">
        <v>518</v>
      </c>
      <c r="C66">
        <v>2090</v>
      </c>
    </row>
    <row r="67" spans="1:3" x14ac:dyDescent="0.25">
      <c r="A67" t="s">
        <v>110</v>
      </c>
      <c r="B67" t="s">
        <v>111</v>
      </c>
      <c r="C67">
        <v>1685</v>
      </c>
    </row>
    <row r="68" spans="1:3" x14ac:dyDescent="0.25">
      <c r="A68" t="s">
        <v>110</v>
      </c>
      <c r="B68" t="s">
        <v>111</v>
      </c>
      <c r="C68">
        <v>1685</v>
      </c>
    </row>
    <row r="69" spans="1:3" x14ac:dyDescent="0.25">
      <c r="A69" t="s">
        <v>642</v>
      </c>
      <c r="B69" t="s">
        <v>111</v>
      </c>
      <c r="C69">
        <v>1685</v>
      </c>
    </row>
    <row r="70" spans="1:3" x14ac:dyDescent="0.25">
      <c r="A70" t="s">
        <v>642</v>
      </c>
      <c r="B70" t="s">
        <v>111</v>
      </c>
      <c r="C70">
        <v>1685</v>
      </c>
    </row>
    <row r="71" spans="1:3" x14ac:dyDescent="0.25">
      <c r="A71" t="s">
        <v>642</v>
      </c>
      <c r="B71" t="s">
        <v>111</v>
      </c>
      <c r="C71">
        <v>1685</v>
      </c>
    </row>
    <row r="72" spans="1:3" x14ac:dyDescent="0.25">
      <c r="A72" t="s">
        <v>642</v>
      </c>
      <c r="B72" t="s">
        <v>111</v>
      </c>
      <c r="C72">
        <v>1685</v>
      </c>
    </row>
    <row r="73" spans="1:3" x14ac:dyDescent="0.25">
      <c r="A73" t="s">
        <v>192</v>
      </c>
      <c r="B73" t="s">
        <v>193</v>
      </c>
      <c r="C73">
        <v>1500</v>
      </c>
    </row>
    <row r="74" spans="1:3" x14ac:dyDescent="0.25">
      <c r="A74" t="s">
        <v>560</v>
      </c>
      <c r="B74" t="s">
        <v>602</v>
      </c>
      <c r="C74">
        <v>1500</v>
      </c>
    </row>
    <row r="75" spans="1:3" x14ac:dyDescent="0.25">
      <c r="A75" t="s">
        <v>192</v>
      </c>
      <c r="B75" t="s">
        <v>193</v>
      </c>
      <c r="C75">
        <v>1500</v>
      </c>
    </row>
    <row r="76" spans="1:3" x14ac:dyDescent="0.25">
      <c r="A76" t="s">
        <v>1106</v>
      </c>
      <c r="B76" t="s">
        <v>1107</v>
      </c>
      <c r="C76">
        <v>1500</v>
      </c>
    </row>
    <row r="77" spans="1:3" x14ac:dyDescent="0.25">
      <c r="A77" t="s">
        <v>192</v>
      </c>
      <c r="B77" t="s">
        <v>193</v>
      </c>
      <c r="C77">
        <v>1500</v>
      </c>
    </row>
    <row r="78" spans="1:3" x14ac:dyDescent="0.25">
      <c r="A78" t="s">
        <v>540</v>
      </c>
      <c r="B78" t="s">
        <v>541</v>
      </c>
      <c r="C78">
        <v>1280</v>
      </c>
    </row>
    <row r="79" spans="1:3" x14ac:dyDescent="0.25">
      <c r="A79" t="s">
        <v>25</v>
      </c>
      <c r="B79" t="s">
        <v>541</v>
      </c>
      <c r="C79">
        <v>1280</v>
      </c>
    </row>
    <row r="80" spans="1:3" x14ac:dyDescent="0.25">
      <c r="A80" t="s">
        <v>775</v>
      </c>
      <c r="B80" t="s">
        <v>776</v>
      </c>
      <c r="C80">
        <v>1280</v>
      </c>
    </row>
    <row r="81" spans="1:3" x14ac:dyDescent="0.25">
      <c r="A81" t="s">
        <v>25</v>
      </c>
      <c r="B81" t="s">
        <v>541</v>
      </c>
      <c r="C81">
        <v>1280</v>
      </c>
    </row>
    <row r="82" spans="1:3" x14ac:dyDescent="0.25">
      <c r="A82" t="s">
        <v>823</v>
      </c>
      <c r="B82" t="s">
        <v>776</v>
      </c>
      <c r="C82">
        <v>1280</v>
      </c>
    </row>
    <row r="83" spans="1:3" x14ac:dyDescent="0.25">
      <c r="A83" t="s">
        <v>823</v>
      </c>
      <c r="B83" t="s">
        <v>776</v>
      </c>
      <c r="C83">
        <v>1280</v>
      </c>
    </row>
    <row r="84" spans="1:3" x14ac:dyDescent="0.25">
      <c r="A84" t="s">
        <v>25</v>
      </c>
      <c r="B84" t="s">
        <v>541</v>
      </c>
      <c r="C84">
        <v>1280</v>
      </c>
    </row>
    <row r="85" spans="1:3" x14ac:dyDescent="0.25">
      <c r="A85" t="s">
        <v>25</v>
      </c>
      <c r="B85" t="s">
        <v>541</v>
      </c>
      <c r="C85">
        <v>1280</v>
      </c>
    </row>
    <row r="86" spans="1:3" x14ac:dyDescent="0.25">
      <c r="A86" t="s">
        <v>25</v>
      </c>
      <c r="B86" t="s">
        <v>541</v>
      </c>
      <c r="C86">
        <v>1280</v>
      </c>
    </row>
    <row r="87" spans="1:3" x14ac:dyDescent="0.25">
      <c r="A87" t="s">
        <v>25</v>
      </c>
      <c r="B87" t="s">
        <v>541</v>
      </c>
      <c r="C87">
        <v>1280</v>
      </c>
    </row>
    <row r="88" spans="1:3" x14ac:dyDescent="0.25">
      <c r="A88" t="s">
        <v>25</v>
      </c>
      <c r="B88" t="s">
        <v>541</v>
      </c>
      <c r="C88">
        <v>1280</v>
      </c>
    </row>
    <row r="89" spans="1:3" x14ac:dyDescent="0.25">
      <c r="A89" t="s">
        <v>1188</v>
      </c>
      <c r="B89" t="s">
        <v>541</v>
      </c>
      <c r="C89">
        <v>1280</v>
      </c>
    </row>
    <row r="90" spans="1:3" x14ac:dyDescent="0.25">
      <c r="A90" t="s">
        <v>823</v>
      </c>
      <c r="B90" t="s">
        <v>776</v>
      </c>
      <c r="C90">
        <v>1280</v>
      </c>
    </row>
    <row r="91" spans="1:3" x14ac:dyDescent="0.25">
      <c r="A91" t="s">
        <v>823</v>
      </c>
      <c r="B91" t="s">
        <v>776</v>
      </c>
      <c r="C91">
        <v>1280</v>
      </c>
    </row>
    <row r="92" spans="1:3" x14ac:dyDescent="0.25">
      <c r="A92" t="s">
        <v>6</v>
      </c>
      <c r="B92" t="s">
        <v>7</v>
      </c>
      <c r="C92">
        <v>1060</v>
      </c>
    </row>
    <row r="93" spans="1:3" x14ac:dyDescent="0.25">
      <c r="A93" t="s">
        <v>16</v>
      </c>
      <c r="B93" t="s">
        <v>7</v>
      </c>
      <c r="C93">
        <v>1060</v>
      </c>
    </row>
    <row r="94" spans="1:3" x14ac:dyDescent="0.25">
      <c r="A94" t="s">
        <v>16</v>
      </c>
      <c r="B94" t="s">
        <v>7</v>
      </c>
      <c r="C94">
        <v>1060</v>
      </c>
    </row>
    <row r="95" spans="1:3" x14ac:dyDescent="0.25">
      <c r="A95" t="s">
        <v>16</v>
      </c>
      <c r="B95" t="s">
        <v>7</v>
      </c>
      <c r="C95">
        <v>1060</v>
      </c>
    </row>
    <row r="96" spans="1:3" x14ac:dyDescent="0.25">
      <c r="A96" t="s">
        <v>16</v>
      </c>
      <c r="B96" t="s">
        <v>7</v>
      </c>
      <c r="C96">
        <v>1060</v>
      </c>
    </row>
    <row r="97" spans="1:3" x14ac:dyDescent="0.25">
      <c r="A97" t="s">
        <v>16</v>
      </c>
      <c r="B97" t="s">
        <v>7</v>
      </c>
      <c r="C97">
        <v>1060</v>
      </c>
    </row>
    <row r="98" spans="1:3" x14ac:dyDescent="0.25">
      <c r="A98" t="s">
        <v>77</v>
      </c>
      <c r="B98" t="s">
        <v>7</v>
      </c>
      <c r="C98">
        <v>1060</v>
      </c>
    </row>
    <row r="99" spans="1:3" x14ac:dyDescent="0.25">
      <c r="A99" t="s">
        <v>16</v>
      </c>
      <c r="B99" t="s">
        <v>7</v>
      </c>
      <c r="C99">
        <v>1060</v>
      </c>
    </row>
    <row r="100" spans="1:3" x14ac:dyDescent="0.25">
      <c r="A100" t="s">
        <v>16</v>
      </c>
      <c r="B100" t="s">
        <v>7</v>
      </c>
      <c r="C100">
        <v>1060</v>
      </c>
    </row>
    <row r="101" spans="1:3" x14ac:dyDescent="0.25">
      <c r="A101" t="s">
        <v>16</v>
      </c>
      <c r="B101" t="s">
        <v>7</v>
      </c>
      <c r="C101">
        <v>1060</v>
      </c>
    </row>
    <row r="102" spans="1:3" x14ac:dyDescent="0.25">
      <c r="A102" t="s">
        <v>16</v>
      </c>
      <c r="B102" t="s">
        <v>7</v>
      </c>
      <c r="C102">
        <v>1060</v>
      </c>
    </row>
    <row r="103" spans="1:3" x14ac:dyDescent="0.25">
      <c r="A103" t="s">
        <v>6</v>
      </c>
      <c r="B103" t="s">
        <v>7</v>
      </c>
      <c r="C103">
        <v>1060</v>
      </c>
    </row>
    <row r="104" spans="1:3" x14ac:dyDescent="0.25">
      <c r="A104" t="s">
        <v>16</v>
      </c>
      <c r="B104" t="s">
        <v>7</v>
      </c>
      <c r="C104">
        <v>1060</v>
      </c>
    </row>
    <row r="105" spans="1:3" x14ac:dyDescent="0.25">
      <c r="A105" t="s">
        <v>77</v>
      </c>
      <c r="B105" t="s">
        <v>7</v>
      </c>
      <c r="C105">
        <v>1060</v>
      </c>
    </row>
    <row r="106" spans="1:3" x14ac:dyDescent="0.25">
      <c r="A106" t="s">
        <v>16</v>
      </c>
      <c r="B106" t="s">
        <v>7</v>
      </c>
      <c r="C106">
        <v>1060</v>
      </c>
    </row>
    <row r="107" spans="1:3" x14ac:dyDescent="0.25">
      <c r="A107" t="s">
        <v>6</v>
      </c>
      <c r="B107" t="s">
        <v>7</v>
      </c>
      <c r="C107">
        <v>1060</v>
      </c>
    </row>
    <row r="108" spans="1:3" x14ac:dyDescent="0.25">
      <c r="A108" t="s">
        <v>16</v>
      </c>
      <c r="B108" t="s">
        <v>7</v>
      </c>
      <c r="C108">
        <v>1060</v>
      </c>
    </row>
    <row r="109" spans="1:3" x14ac:dyDescent="0.25">
      <c r="A109" t="s">
        <v>1041</v>
      </c>
      <c r="B109" t="s">
        <v>1042</v>
      </c>
      <c r="C109">
        <v>1000</v>
      </c>
    </row>
    <row r="110" spans="1:3" x14ac:dyDescent="0.25">
      <c r="A110" t="s">
        <v>200</v>
      </c>
      <c r="B110" t="s">
        <v>201</v>
      </c>
      <c r="C110">
        <v>965</v>
      </c>
    </row>
    <row r="111" spans="1:3" x14ac:dyDescent="0.25">
      <c r="A111" t="s">
        <v>220</v>
      </c>
      <c r="B111" t="s">
        <v>201</v>
      </c>
      <c r="C111">
        <v>965</v>
      </c>
    </row>
    <row r="112" spans="1:3" x14ac:dyDescent="0.25">
      <c r="A112" t="s">
        <v>200</v>
      </c>
      <c r="B112" t="s">
        <v>201</v>
      </c>
      <c r="C112">
        <v>965</v>
      </c>
    </row>
    <row r="113" spans="1:3" x14ac:dyDescent="0.25">
      <c r="A113" t="s">
        <v>200</v>
      </c>
      <c r="B113" t="s">
        <v>201</v>
      </c>
      <c r="C113">
        <v>965</v>
      </c>
    </row>
    <row r="114" spans="1:3" x14ac:dyDescent="0.25">
      <c r="A114" t="s">
        <v>531</v>
      </c>
      <c r="B114" t="s">
        <v>201</v>
      </c>
      <c r="C114">
        <v>965</v>
      </c>
    </row>
    <row r="115" spans="1:3" x14ac:dyDescent="0.25">
      <c r="A115" t="s">
        <v>531</v>
      </c>
      <c r="B115" t="s">
        <v>201</v>
      </c>
      <c r="C115">
        <v>965</v>
      </c>
    </row>
    <row r="116" spans="1:3" x14ac:dyDescent="0.25">
      <c r="A116" t="s">
        <v>200</v>
      </c>
      <c r="B116" t="s">
        <v>201</v>
      </c>
      <c r="C116">
        <v>965</v>
      </c>
    </row>
    <row r="117" spans="1:3" x14ac:dyDescent="0.25">
      <c r="A117" t="s">
        <v>531</v>
      </c>
      <c r="B117" t="s">
        <v>201</v>
      </c>
      <c r="C117">
        <v>965</v>
      </c>
    </row>
    <row r="118" spans="1:3" x14ac:dyDescent="0.25">
      <c r="A118" t="s">
        <v>220</v>
      </c>
      <c r="B118" t="s">
        <v>201</v>
      </c>
      <c r="C118">
        <v>965</v>
      </c>
    </row>
    <row r="119" spans="1:3" x14ac:dyDescent="0.25">
      <c r="A119" t="s">
        <v>531</v>
      </c>
      <c r="B119" t="s">
        <v>201</v>
      </c>
      <c r="C119">
        <v>965</v>
      </c>
    </row>
    <row r="120" spans="1:3" x14ac:dyDescent="0.25">
      <c r="A120" t="s">
        <v>220</v>
      </c>
      <c r="B120" t="s">
        <v>201</v>
      </c>
      <c r="C120">
        <v>965</v>
      </c>
    </row>
    <row r="121" spans="1:3" x14ac:dyDescent="0.25">
      <c r="A121" t="s">
        <v>1150</v>
      </c>
      <c r="B121" t="s">
        <v>1151</v>
      </c>
      <c r="C121">
        <v>810</v>
      </c>
    </row>
    <row r="122" spans="1:3" x14ac:dyDescent="0.25">
      <c r="A122" t="s">
        <v>1204</v>
      </c>
      <c r="B122" t="s">
        <v>1151</v>
      </c>
      <c r="C122">
        <v>810</v>
      </c>
    </row>
    <row r="123" spans="1:3" x14ac:dyDescent="0.25">
      <c r="A123" t="s">
        <v>1204</v>
      </c>
      <c r="B123" t="s">
        <v>1151</v>
      </c>
      <c r="C123">
        <v>810</v>
      </c>
    </row>
    <row r="124" spans="1:3" x14ac:dyDescent="0.25">
      <c r="A124" t="s">
        <v>143</v>
      </c>
      <c r="B124" t="s">
        <v>926</v>
      </c>
      <c r="C124">
        <v>800</v>
      </c>
    </row>
    <row r="125" spans="1:3" x14ac:dyDescent="0.25">
      <c r="A125" t="s">
        <v>143</v>
      </c>
      <c r="B125" t="s">
        <v>926</v>
      </c>
      <c r="C125">
        <v>800</v>
      </c>
    </row>
    <row r="126" spans="1:3" x14ac:dyDescent="0.25">
      <c r="A126" t="s">
        <v>19</v>
      </c>
      <c r="B126" t="s">
        <v>20</v>
      </c>
      <c r="C126">
        <v>690</v>
      </c>
    </row>
    <row r="127" spans="1:3" x14ac:dyDescent="0.25">
      <c r="A127" t="s">
        <v>19</v>
      </c>
      <c r="B127" t="s">
        <v>20</v>
      </c>
      <c r="C127">
        <v>690</v>
      </c>
    </row>
    <row r="128" spans="1:3" x14ac:dyDescent="0.25">
      <c r="A128" t="s">
        <v>19</v>
      </c>
      <c r="B128" t="s">
        <v>20</v>
      </c>
      <c r="C128">
        <v>690</v>
      </c>
    </row>
    <row r="129" spans="1:3" x14ac:dyDescent="0.25">
      <c r="A129" t="s">
        <v>19</v>
      </c>
      <c r="B129" t="s">
        <v>20</v>
      </c>
      <c r="C129">
        <v>690</v>
      </c>
    </row>
    <row r="130" spans="1:3" x14ac:dyDescent="0.25">
      <c r="A130" t="s">
        <v>69</v>
      </c>
      <c r="B130" t="s">
        <v>20</v>
      </c>
      <c r="C130">
        <v>690</v>
      </c>
    </row>
    <row r="131" spans="1:3" x14ac:dyDescent="0.25">
      <c r="A131" t="s">
        <v>19</v>
      </c>
      <c r="B131" t="s">
        <v>20</v>
      </c>
      <c r="C131">
        <v>690</v>
      </c>
    </row>
    <row r="132" spans="1:3" x14ac:dyDescent="0.25">
      <c r="A132" t="s">
        <v>566</v>
      </c>
      <c r="B132" t="s">
        <v>20</v>
      </c>
      <c r="C132">
        <v>690</v>
      </c>
    </row>
    <row r="133" spans="1:3" x14ac:dyDescent="0.25">
      <c r="A133" t="s">
        <v>19</v>
      </c>
      <c r="B133" t="s">
        <v>20</v>
      </c>
      <c r="C133">
        <v>690</v>
      </c>
    </row>
    <row r="134" spans="1:3" x14ac:dyDescent="0.25">
      <c r="A134" t="s">
        <v>19</v>
      </c>
      <c r="B134" t="s">
        <v>20</v>
      </c>
      <c r="C134">
        <v>690</v>
      </c>
    </row>
    <row r="135" spans="1:3" x14ac:dyDescent="0.25">
      <c r="A135" t="s">
        <v>69</v>
      </c>
      <c r="B135" t="s">
        <v>20</v>
      </c>
      <c r="C135">
        <v>690</v>
      </c>
    </row>
    <row r="136" spans="1:3" x14ac:dyDescent="0.25">
      <c r="A136" t="s">
        <v>566</v>
      </c>
      <c r="B136" t="s">
        <v>20</v>
      </c>
      <c r="C136">
        <v>690</v>
      </c>
    </row>
    <row r="137" spans="1:3" x14ac:dyDescent="0.25">
      <c r="A137" t="s">
        <v>19</v>
      </c>
      <c r="B137" t="s">
        <v>20</v>
      </c>
      <c r="C137">
        <v>690</v>
      </c>
    </row>
    <row r="138" spans="1:3" x14ac:dyDescent="0.25">
      <c r="A138" t="s">
        <v>19</v>
      </c>
      <c r="B138" t="s">
        <v>20</v>
      </c>
      <c r="C138">
        <v>690</v>
      </c>
    </row>
    <row r="139" spans="1:3" x14ac:dyDescent="0.25">
      <c r="A139" t="s">
        <v>1022</v>
      </c>
      <c r="B139" t="s">
        <v>1023</v>
      </c>
      <c r="C139">
        <v>625</v>
      </c>
    </row>
    <row r="140" spans="1:3" x14ac:dyDescent="0.25">
      <c r="A140" t="s">
        <v>1119</v>
      </c>
      <c r="B140" t="s">
        <v>1023</v>
      </c>
      <c r="C140">
        <v>625</v>
      </c>
    </row>
    <row r="141" spans="1:3" x14ac:dyDescent="0.25">
      <c r="A141" t="s">
        <v>510</v>
      </c>
      <c r="B141" t="s">
        <v>511</v>
      </c>
      <c r="C141">
        <v>575</v>
      </c>
    </row>
    <row r="142" spans="1:3" x14ac:dyDescent="0.25">
      <c r="A142" t="s">
        <v>36</v>
      </c>
      <c r="B142" t="s">
        <v>511</v>
      </c>
      <c r="C142">
        <v>575</v>
      </c>
    </row>
    <row r="143" spans="1:3" x14ac:dyDescent="0.25">
      <c r="A143" t="s">
        <v>36</v>
      </c>
      <c r="B143" t="s">
        <v>511</v>
      </c>
      <c r="C143">
        <v>575</v>
      </c>
    </row>
    <row r="144" spans="1:3" x14ac:dyDescent="0.25">
      <c r="A144" t="s">
        <v>609</v>
      </c>
      <c r="B144" t="s">
        <v>610</v>
      </c>
      <c r="C144">
        <v>560</v>
      </c>
    </row>
    <row r="145" spans="1:3" x14ac:dyDescent="0.25">
      <c r="A145" t="s">
        <v>609</v>
      </c>
      <c r="B145" t="s">
        <v>610</v>
      </c>
      <c r="C145">
        <v>560</v>
      </c>
    </row>
    <row r="146" spans="1:3" x14ac:dyDescent="0.25">
      <c r="A146" t="s">
        <v>609</v>
      </c>
      <c r="B146" t="s">
        <v>610</v>
      </c>
      <c r="C146">
        <v>560</v>
      </c>
    </row>
    <row r="147" spans="1:3" x14ac:dyDescent="0.25">
      <c r="A147" t="s">
        <v>609</v>
      </c>
      <c r="B147" t="s">
        <v>610</v>
      </c>
      <c r="C147">
        <v>560</v>
      </c>
    </row>
    <row r="148" spans="1:3" x14ac:dyDescent="0.25">
      <c r="A148" t="s">
        <v>609</v>
      </c>
      <c r="B148" t="s">
        <v>610</v>
      </c>
      <c r="C148">
        <v>560</v>
      </c>
    </row>
    <row r="149" spans="1:3" x14ac:dyDescent="0.25">
      <c r="A149" t="s">
        <v>998</v>
      </c>
      <c r="B149" t="s">
        <v>999</v>
      </c>
      <c r="C149">
        <v>525</v>
      </c>
    </row>
    <row r="150" spans="1:3" x14ac:dyDescent="0.25">
      <c r="A150" t="s">
        <v>998</v>
      </c>
      <c r="B150" t="s">
        <v>999</v>
      </c>
      <c r="C150">
        <v>525</v>
      </c>
    </row>
    <row r="151" spans="1:3" x14ac:dyDescent="0.25">
      <c r="A151" t="s">
        <v>1085</v>
      </c>
      <c r="B151" t="s">
        <v>999</v>
      </c>
      <c r="C151">
        <v>525</v>
      </c>
    </row>
    <row r="152" spans="1:3" x14ac:dyDescent="0.25">
      <c r="A152" t="s">
        <v>117</v>
      </c>
      <c r="B152" t="s">
        <v>118</v>
      </c>
      <c r="C152">
        <v>517.73950000000002</v>
      </c>
    </row>
    <row r="153" spans="1:3" x14ac:dyDescent="0.25">
      <c r="A153" t="s">
        <v>117</v>
      </c>
      <c r="B153" t="s">
        <v>118</v>
      </c>
      <c r="C153">
        <v>517.73950000000002</v>
      </c>
    </row>
    <row r="154" spans="1:3" x14ac:dyDescent="0.25">
      <c r="A154" t="s">
        <v>117</v>
      </c>
      <c r="B154" t="s">
        <v>118</v>
      </c>
      <c r="C154">
        <v>517.73950000000002</v>
      </c>
    </row>
    <row r="155" spans="1:3" x14ac:dyDescent="0.25">
      <c r="A155" t="s">
        <v>117</v>
      </c>
      <c r="B155" t="s">
        <v>118</v>
      </c>
      <c r="C155">
        <v>517.73950000000002</v>
      </c>
    </row>
    <row r="156" spans="1:3" x14ac:dyDescent="0.25">
      <c r="A156" t="s">
        <v>117</v>
      </c>
      <c r="B156" t="s">
        <v>118</v>
      </c>
      <c r="C156">
        <v>517.73950000000002</v>
      </c>
    </row>
    <row r="157" spans="1:3" x14ac:dyDescent="0.25">
      <c r="A157" t="s">
        <v>117</v>
      </c>
      <c r="B157" t="s">
        <v>118</v>
      </c>
      <c r="C157">
        <v>517.73950000000002</v>
      </c>
    </row>
    <row r="158" spans="1:3" x14ac:dyDescent="0.25">
      <c r="A158" t="s">
        <v>117</v>
      </c>
      <c r="B158" t="s">
        <v>118</v>
      </c>
      <c r="C158">
        <v>517.73950000000002</v>
      </c>
    </row>
    <row r="159" spans="1:3" x14ac:dyDescent="0.25">
      <c r="A159" t="s">
        <v>117</v>
      </c>
      <c r="B159" t="s">
        <v>118</v>
      </c>
      <c r="C159">
        <v>517.73950000000002</v>
      </c>
    </row>
    <row r="160" spans="1:3" x14ac:dyDescent="0.25">
      <c r="A160" t="s">
        <v>117</v>
      </c>
      <c r="B160" t="s">
        <v>118</v>
      </c>
      <c r="C160">
        <v>517.73950000000002</v>
      </c>
    </row>
    <row r="161" spans="1:3" x14ac:dyDescent="0.25">
      <c r="A161" t="s">
        <v>117</v>
      </c>
      <c r="B161" t="s">
        <v>118</v>
      </c>
      <c r="C161">
        <v>517.73950000000002</v>
      </c>
    </row>
    <row r="162" spans="1:3" x14ac:dyDescent="0.25">
      <c r="A162" t="s">
        <v>117</v>
      </c>
      <c r="B162" t="s">
        <v>118</v>
      </c>
      <c r="C162">
        <v>517.73950000000002</v>
      </c>
    </row>
    <row r="163" spans="1:3" x14ac:dyDescent="0.25">
      <c r="A163" t="s">
        <v>117</v>
      </c>
      <c r="B163" t="s">
        <v>118</v>
      </c>
      <c r="C163">
        <v>517.73950000000002</v>
      </c>
    </row>
    <row r="164" spans="1:3" x14ac:dyDescent="0.25">
      <c r="A164" t="s">
        <v>117</v>
      </c>
      <c r="B164" t="s">
        <v>118</v>
      </c>
      <c r="C164">
        <v>517.73950000000002</v>
      </c>
    </row>
    <row r="165" spans="1:3" x14ac:dyDescent="0.25">
      <c r="A165" t="s">
        <v>117</v>
      </c>
      <c r="B165" t="s">
        <v>118</v>
      </c>
      <c r="C165">
        <v>517.73950000000002</v>
      </c>
    </row>
    <row r="166" spans="1:3" x14ac:dyDescent="0.25">
      <c r="A166" t="s">
        <v>117</v>
      </c>
      <c r="B166" t="s">
        <v>118</v>
      </c>
      <c r="C166">
        <v>517.73950000000002</v>
      </c>
    </row>
    <row r="167" spans="1:3" x14ac:dyDescent="0.25">
      <c r="A167" t="s">
        <v>117</v>
      </c>
      <c r="B167" t="s">
        <v>118</v>
      </c>
      <c r="C167">
        <v>517.73950000000002</v>
      </c>
    </row>
    <row r="168" spans="1:3" x14ac:dyDescent="0.25">
      <c r="A168" t="s">
        <v>117</v>
      </c>
      <c r="B168" t="s">
        <v>118</v>
      </c>
      <c r="C168">
        <v>517.73950000000002</v>
      </c>
    </row>
    <row r="169" spans="1:3" x14ac:dyDescent="0.25">
      <c r="A169" t="s">
        <v>117</v>
      </c>
      <c r="B169" t="s">
        <v>118</v>
      </c>
      <c r="C169">
        <v>517.73950000000002</v>
      </c>
    </row>
    <row r="170" spans="1:3" x14ac:dyDescent="0.25">
      <c r="A170" t="s">
        <v>117</v>
      </c>
      <c r="B170" t="s">
        <v>118</v>
      </c>
      <c r="C170">
        <v>517.73950000000002</v>
      </c>
    </row>
    <row r="171" spans="1:3" x14ac:dyDescent="0.25">
      <c r="A171" t="s">
        <v>117</v>
      </c>
      <c r="B171" t="s">
        <v>118</v>
      </c>
      <c r="C171">
        <v>517.73950000000002</v>
      </c>
    </row>
    <row r="172" spans="1:3" x14ac:dyDescent="0.25">
      <c r="A172" t="s">
        <v>117</v>
      </c>
      <c r="B172" t="s">
        <v>118</v>
      </c>
      <c r="C172">
        <v>517.73950000000002</v>
      </c>
    </row>
    <row r="173" spans="1:3" x14ac:dyDescent="0.25">
      <c r="A173" t="s">
        <v>117</v>
      </c>
      <c r="B173" t="s">
        <v>118</v>
      </c>
      <c r="C173">
        <v>517.73950000000002</v>
      </c>
    </row>
    <row r="174" spans="1:3" x14ac:dyDescent="0.25">
      <c r="A174" t="s">
        <v>117</v>
      </c>
      <c r="B174" t="s">
        <v>118</v>
      </c>
      <c r="C174">
        <v>517.73950000000002</v>
      </c>
    </row>
    <row r="175" spans="1:3" x14ac:dyDescent="0.25">
      <c r="A175" t="s">
        <v>117</v>
      </c>
      <c r="B175" t="s">
        <v>118</v>
      </c>
      <c r="C175">
        <v>517.73950000000002</v>
      </c>
    </row>
    <row r="176" spans="1:3" x14ac:dyDescent="0.25">
      <c r="A176" t="s">
        <v>117</v>
      </c>
      <c r="B176" t="s">
        <v>118</v>
      </c>
      <c r="C176">
        <v>517.73950000000002</v>
      </c>
    </row>
    <row r="177" spans="1:3" x14ac:dyDescent="0.25">
      <c r="A177" t="s">
        <v>117</v>
      </c>
      <c r="B177" t="s">
        <v>118</v>
      </c>
      <c r="C177">
        <v>517.73950000000002</v>
      </c>
    </row>
    <row r="178" spans="1:3" x14ac:dyDescent="0.25">
      <c r="A178" t="s">
        <v>117</v>
      </c>
      <c r="B178" t="s">
        <v>118</v>
      </c>
      <c r="C178">
        <v>517.73950000000002</v>
      </c>
    </row>
    <row r="179" spans="1:3" x14ac:dyDescent="0.25">
      <c r="A179" t="s">
        <v>117</v>
      </c>
      <c r="B179" t="s">
        <v>118</v>
      </c>
      <c r="C179">
        <v>517.73950000000002</v>
      </c>
    </row>
    <row r="180" spans="1:3" x14ac:dyDescent="0.25">
      <c r="A180" t="s">
        <v>117</v>
      </c>
      <c r="B180" t="s">
        <v>118</v>
      </c>
      <c r="C180">
        <v>517.73950000000002</v>
      </c>
    </row>
    <row r="181" spans="1:3" x14ac:dyDescent="0.25">
      <c r="A181" t="s">
        <v>117</v>
      </c>
      <c r="B181" t="s">
        <v>118</v>
      </c>
      <c r="C181">
        <v>517.73950000000002</v>
      </c>
    </row>
    <row r="182" spans="1:3" x14ac:dyDescent="0.25">
      <c r="A182" t="s">
        <v>117</v>
      </c>
      <c r="B182" t="s">
        <v>118</v>
      </c>
      <c r="C182">
        <v>517.73950000000002</v>
      </c>
    </row>
    <row r="183" spans="1:3" x14ac:dyDescent="0.25">
      <c r="A183" t="s">
        <v>117</v>
      </c>
      <c r="B183" t="s">
        <v>118</v>
      </c>
      <c r="C183">
        <v>517.73950000000002</v>
      </c>
    </row>
    <row r="184" spans="1:3" x14ac:dyDescent="0.25">
      <c r="A184" t="s">
        <v>117</v>
      </c>
      <c r="B184" t="s">
        <v>118</v>
      </c>
      <c r="C184">
        <v>517.73950000000002</v>
      </c>
    </row>
    <row r="185" spans="1:3" x14ac:dyDescent="0.25">
      <c r="A185" t="s">
        <v>117</v>
      </c>
      <c r="B185" t="s">
        <v>118</v>
      </c>
      <c r="C185">
        <v>517.73950000000002</v>
      </c>
    </row>
    <row r="186" spans="1:3" x14ac:dyDescent="0.25">
      <c r="A186" t="s">
        <v>117</v>
      </c>
      <c r="B186" t="s">
        <v>118</v>
      </c>
      <c r="C186">
        <v>517.73950000000002</v>
      </c>
    </row>
    <row r="187" spans="1:3" x14ac:dyDescent="0.25">
      <c r="A187" t="s">
        <v>117</v>
      </c>
      <c r="B187" t="s">
        <v>118</v>
      </c>
      <c r="C187">
        <v>517.73950000000002</v>
      </c>
    </row>
    <row r="188" spans="1:3" x14ac:dyDescent="0.25">
      <c r="A188" t="s">
        <v>117</v>
      </c>
      <c r="B188" t="s">
        <v>118</v>
      </c>
      <c r="C188">
        <v>517.73950000000002</v>
      </c>
    </row>
    <row r="189" spans="1:3" x14ac:dyDescent="0.25">
      <c r="A189" t="s">
        <v>117</v>
      </c>
      <c r="B189" t="s">
        <v>118</v>
      </c>
      <c r="C189">
        <v>517.73950000000002</v>
      </c>
    </row>
    <row r="190" spans="1:3" x14ac:dyDescent="0.25">
      <c r="A190" t="s">
        <v>117</v>
      </c>
      <c r="B190" t="s">
        <v>118</v>
      </c>
      <c r="C190">
        <v>517.73950000000002</v>
      </c>
    </row>
    <row r="191" spans="1:3" x14ac:dyDescent="0.25">
      <c r="A191" t="s">
        <v>117</v>
      </c>
      <c r="B191" t="s">
        <v>118</v>
      </c>
      <c r="C191">
        <v>517.73950000000002</v>
      </c>
    </row>
    <row r="192" spans="1:3" x14ac:dyDescent="0.25">
      <c r="A192" t="s">
        <v>117</v>
      </c>
      <c r="B192" t="s">
        <v>118</v>
      </c>
      <c r="C192">
        <v>517.73950000000002</v>
      </c>
    </row>
    <row r="193" spans="1:3" x14ac:dyDescent="0.25">
      <c r="A193" t="s">
        <v>117</v>
      </c>
      <c r="B193" t="s">
        <v>118</v>
      </c>
      <c r="C193">
        <v>517.73950000000002</v>
      </c>
    </row>
    <row r="194" spans="1:3" x14ac:dyDescent="0.25">
      <c r="A194" t="s">
        <v>117</v>
      </c>
      <c r="B194" t="s">
        <v>118</v>
      </c>
      <c r="C194">
        <v>517.73950000000002</v>
      </c>
    </row>
    <row r="195" spans="1:3" x14ac:dyDescent="0.25">
      <c r="A195" t="s">
        <v>117</v>
      </c>
      <c r="B195" t="s">
        <v>118</v>
      </c>
      <c r="C195">
        <v>517.73950000000002</v>
      </c>
    </row>
    <row r="196" spans="1:3" x14ac:dyDescent="0.25">
      <c r="A196" t="s">
        <v>117</v>
      </c>
      <c r="B196" t="s">
        <v>118</v>
      </c>
      <c r="C196">
        <v>517.73950000000002</v>
      </c>
    </row>
    <row r="197" spans="1:3" x14ac:dyDescent="0.25">
      <c r="A197" t="s">
        <v>117</v>
      </c>
      <c r="B197" t="s">
        <v>118</v>
      </c>
      <c r="C197">
        <v>517.73950000000002</v>
      </c>
    </row>
    <row r="198" spans="1:3" x14ac:dyDescent="0.25">
      <c r="A198" t="s">
        <v>117</v>
      </c>
      <c r="B198" t="s">
        <v>118</v>
      </c>
      <c r="C198">
        <v>517.73950000000002</v>
      </c>
    </row>
    <row r="199" spans="1:3" x14ac:dyDescent="0.25">
      <c r="A199" t="s">
        <v>117</v>
      </c>
      <c r="B199" t="s">
        <v>118</v>
      </c>
      <c r="C199">
        <v>517.73950000000002</v>
      </c>
    </row>
    <row r="200" spans="1:3" x14ac:dyDescent="0.25">
      <c r="A200" t="s">
        <v>117</v>
      </c>
      <c r="B200" t="s">
        <v>118</v>
      </c>
      <c r="C200">
        <v>517.73950000000002</v>
      </c>
    </row>
    <row r="201" spans="1:3" x14ac:dyDescent="0.25">
      <c r="A201" t="s">
        <v>117</v>
      </c>
      <c r="B201" t="s">
        <v>118</v>
      </c>
      <c r="C201">
        <v>517.73950000000002</v>
      </c>
    </row>
    <row r="202" spans="1:3" x14ac:dyDescent="0.25">
      <c r="A202" t="s">
        <v>117</v>
      </c>
      <c r="B202" t="s">
        <v>118</v>
      </c>
      <c r="C202">
        <v>517.73950000000002</v>
      </c>
    </row>
    <row r="203" spans="1:3" x14ac:dyDescent="0.25">
      <c r="A203" t="s">
        <v>117</v>
      </c>
      <c r="B203" t="s">
        <v>118</v>
      </c>
      <c r="C203">
        <v>517.73950000000002</v>
      </c>
    </row>
    <row r="204" spans="1:3" x14ac:dyDescent="0.25">
      <c r="A204" t="s">
        <v>117</v>
      </c>
      <c r="B204" t="s">
        <v>118</v>
      </c>
      <c r="C204">
        <v>517.73950000000002</v>
      </c>
    </row>
    <row r="205" spans="1:3" x14ac:dyDescent="0.25">
      <c r="A205" t="s">
        <v>117</v>
      </c>
      <c r="B205" t="s">
        <v>118</v>
      </c>
      <c r="C205">
        <v>517.73950000000002</v>
      </c>
    </row>
    <row r="206" spans="1:3" x14ac:dyDescent="0.25">
      <c r="A206" t="s">
        <v>117</v>
      </c>
      <c r="B206" t="s">
        <v>118</v>
      </c>
      <c r="C206">
        <v>517.73950000000002</v>
      </c>
    </row>
    <row r="207" spans="1:3" x14ac:dyDescent="0.25">
      <c r="A207" t="s">
        <v>117</v>
      </c>
      <c r="B207" t="s">
        <v>118</v>
      </c>
      <c r="C207">
        <v>517.73950000000002</v>
      </c>
    </row>
    <row r="208" spans="1:3" x14ac:dyDescent="0.25">
      <c r="A208" t="s">
        <v>117</v>
      </c>
      <c r="B208" t="s">
        <v>118</v>
      </c>
      <c r="C208">
        <v>517.73950000000002</v>
      </c>
    </row>
    <row r="209" spans="1:3" x14ac:dyDescent="0.25">
      <c r="A209" t="s">
        <v>117</v>
      </c>
      <c r="B209" t="s">
        <v>118</v>
      </c>
      <c r="C209">
        <v>517.73950000000002</v>
      </c>
    </row>
    <row r="210" spans="1:3" x14ac:dyDescent="0.25">
      <c r="A210" t="s">
        <v>117</v>
      </c>
      <c r="B210" t="s">
        <v>118</v>
      </c>
      <c r="C210">
        <v>517.73950000000002</v>
      </c>
    </row>
    <row r="211" spans="1:3" x14ac:dyDescent="0.25">
      <c r="A211" t="s">
        <v>117</v>
      </c>
      <c r="B211" t="s">
        <v>118</v>
      </c>
      <c r="C211">
        <v>517.73950000000002</v>
      </c>
    </row>
    <row r="212" spans="1:3" x14ac:dyDescent="0.25">
      <c r="A212" t="s">
        <v>117</v>
      </c>
      <c r="B212" t="s">
        <v>118</v>
      </c>
      <c r="C212">
        <v>517.73950000000002</v>
      </c>
    </row>
    <row r="213" spans="1:3" x14ac:dyDescent="0.25">
      <c r="A213" t="s">
        <v>117</v>
      </c>
      <c r="B213" t="s">
        <v>118</v>
      </c>
      <c r="C213">
        <v>517.73950000000002</v>
      </c>
    </row>
    <row r="214" spans="1:3" x14ac:dyDescent="0.25">
      <c r="A214" t="s">
        <v>117</v>
      </c>
      <c r="B214" t="s">
        <v>118</v>
      </c>
      <c r="C214">
        <v>517.73950000000002</v>
      </c>
    </row>
    <row r="215" spans="1:3" x14ac:dyDescent="0.25">
      <c r="A215" t="s">
        <v>117</v>
      </c>
      <c r="B215" t="s">
        <v>118</v>
      </c>
      <c r="C215">
        <v>517.73950000000002</v>
      </c>
    </row>
    <row r="216" spans="1:3" x14ac:dyDescent="0.25">
      <c r="A216" t="s">
        <v>28</v>
      </c>
      <c r="B216" t="s">
        <v>29</v>
      </c>
      <c r="C216">
        <v>510</v>
      </c>
    </row>
    <row r="217" spans="1:3" x14ac:dyDescent="0.25">
      <c r="A217" t="s">
        <v>28</v>
      </c>
      <c r="B217" t="s">
        <v>29</v>
      </c>
      <c r="C217">
        <v>510</v>
      </c>
    </row>
    <row r="218" spans="1:3" x14ac:dyDescent="0.25">
      <c r="A218" t="s">
        <v>28</v>
      </c>
      <c r="B218" t="s">
        <v>29</v>
      </c>
      <c r="C218">
        <v>510</v>
      </c>
    </row>
    <row r="219" spans="1:3" x14ac:dyDescent="0.25">
      <c r="A219" t="s">
        <v>28</v>
      </c>
      <c r="B219" t="s">
        <v>29</v>
      </c>
      <c r="C219">
        <v>510</v>
      </c>
    </row>
    <row r="220" spans="1:3" x14ac:dyDescent="0.25">
      <c r="A220" t="s">
        <v>415</v>
      </c>
      <c r="B220" t="s">
        <v>416</v>
      </c>
      <c r="C220">
        <v>510</v>
      </c>
    </row>
    <row r="221" spans="1:3" x14ac:dyDescent="0.25">
      <c r="A221" t="s">
        <v>28</v>
      </c>
      <c r="B221" t="s">
        <v>29</v>
      </c>
      <c r="C221">
        <v>510</v>
      </c>
    </row>
    <row r="222" spans="1:3" x14ac:dyDescent="0.25">
      <c r="A222" t="s">
        <v>28</v>
      </c>
      <c r="B222" t="s">
        <v>29</v>
      </c>
      <c r="C222">
        <v>510</v>
      </c>
    </row>
    <row r="223" spans="1:3" x14ac:dyDescent="0.25">
      <c r="A223" t="s">
        <v>415</v>
      </c>
      <c r="B223" t="s">
        <v>416</v>
      </c>
      <c r="C223">
        <v>510</v>
      </c>
    </row>
    <row r="224" spans="1:3" x14ac:dyDescent="0.25">
      <c r="A224" t="s">
        <v>820</v>
      </c>
      <c r="B224" t="s">
        <v>416</v>
      </c>
      <c r="C224">
        <v>510</v>
      </c>
    </row>
    <row r="225" spans="1:3" x14ac:dyDescent="0.25">
      <c r="A225" t="s">
        <v>415</v>
      </c>
      <c r="B225" t="s">
        <v>416</v>
      </c>
      <c r="C225">
        <v>510</v>
      </c>
    </row>
    <row r="226" spans="1:3" x14ac:dyDescent="0.25">
      <c r="A226" t="s">
        <v>415</v>
      </c>
      <c r="B226" t="s">
        <v>416</v>
      </c>
      <c r="C226">
        <v>510</v>
      </c>
    </row>
    <row r="227" spans="1:3" x14ac:dyDescent="0.25">
      <c r="A227" t="s">
        <v>28</v>
      </c>
      <c r="B227" t="s">
        <v>29</v>
      </c>
      <c r="C227">
        <v>510</v>
      </c>
    </row>
    <row r="228" spans="1:3" x14ac:dyDescent="0.25">
      <c r="A228" t="s">
        <v>28</v>
      </c>
      <c r="B228" t="s">
        <v>29</v>
      </c>
      <c r="C228">
        <v>510</v>
      </c>
    </row>
    <row r="229" spans="1:3" x14ac:dyDescent="0.25">
      <c r="A229" t="s">
        <v>606</v>
      </c>
      <c r="B229" t="s">
        <v>1063</v>
      </c>
      <c r="C229">
        <v>500</v>
      </c>
    </row>
    <row r="230" spans="1:3" x14ac:dyDescent="0.25">
      <c r="A230" t="s">
        <v>25</v>
      </c>
      <c r="B230" t="s">
        <v>26</v>
      </c>
      <c r="C230">
        <v>470</v>
      </c>
    </row>
    <row r="231" spans="1:3" x14ac:dyDescent="0.25">
      <c r="A231" t="s">
        <v>25</v>
      </c>
      <c r="B231" t="s">
        <v>26</v>
      </c>
      <c r="C231">
        <v>470</v>
      </c>
    </row>
    <row r="232" spans="1:3" x14ac:dyDescent="0.25">
      <c r="A232" t="s">
        <v>25</v>
      </c>
      <c r="B232" t="s">
        <v>26</v>
      </c>
      <c r="C232">
        <v>470</v>
      </c>
    </row>
    <row r="233" spans="1:3" x14ac:dyDescent="0.25">
      <c r="A233" t="s">
        <v>25</v>
      </c>
      <c r="B233" t="s">
        <v>26</v>
      </c>
      <c r="C233">
        <v>470</v>
      </c>
    </row>
    <row r="234" spans="1:3" x14ac:dyDescent="0.25">
      <c r="A234" t="s">
        <v>25</v>
      </c>
      <c r="B234" t="s">
        <v>26</v>
      </c>
      <c r="C234">
        <v>470</v>
      </c>
    </row>
    <row r="235" spans="1:3" x14ac:dyDescent="0.25">
      <c r="A235" t="s">
        <v>25</v>
      </c>
      <c r="B235" t="s">
        <v>26</v>
      </c>
      <c r="C235">
        <v>470</v>
      </c>
    </row>
    <row r="236" spans="1:3" x14ac:dyDescent="0.25">
      <c r="A236" t="s">
        <v>25</v>
      </c>
      <c r="B236" t="s">
        <v>26</v>
      </c>
      <c r="C236">
        <v>470</v>
      </c>
    </row>
    <row r="237" spans="1:3" x14ac:dyDescent="0.25">
      <c r="A237" t="s">
        <v>11</v>
      </c>
      <c r="B237" t="s">
        <v>12</v>
      </c>
      <c r="C237">
        <v>440</v>
      </c>
    </row>
    <row r="238" spans="1:3" x14ac:dyDescent="0.25">
      <c r="A238" t="s">
        <v>11</v>
      </c>
      <c r="B238" t="s">
        <v>12</v>
      </c>
      <c r="C238">
        <v>440</v>
      </c>
    </row>
    <row r="239" spans="1:3" x14ac:dyDescent="0.25">
      <c r="A239" t="s">
        <v>11</v>
      </c>
      <c r="B239" t="s">
        <v>12</v>
      </c>
      <c r="C239">
        <v>440</v>
      </c>
    </row>
    <row r="240" spans="1:3" x14ac:dyDescent="0.25">
      <c r="A240" t="s">
        <v>11</v>
      </c>
      <c r="B240" t="s">
        <v>12</v>
      </c>
      <c r="C240">
        <v>440</v>
      </c>
    </row>
    <row r="241" spans="1:3" x14ac:dyDescent="0.25">
      <c r="A241" t="s">
        <v>11</v>
      </c>
      <c r="B241" t="s">
        <v>12</v>
      </c>
      <c r="C241">
        <v>440</v>
      </c>
    </row>
    <row r="242" spans="1:3" x14ac:dyDescent="0.25">
      <c r="A242" t="s">
        <v>390</v>
      </c>
      <c r="B242" t="s">
        <v>391</v>
      </c>
      <c r="C242">
        <v>415.88999999999976</v>
      </c>
    </row>
    <row r="243" spans="1:3" x14ac:dyDescent="0.25">
      <c r="A243" t="s">
        <v>390</v>
      </c>
      <c r="B243" t="s">
        <v>391</v>
      </c>
      <c r="C243">
        <v>415.88999999999976</v>
      </c>
    </row>
    <row r="244" spans="1:3" x14ac:dyDescent="0.25">
      <c r="A244" t="s">
        <v>390</v>
      </c>
      <c r="B244" t="s">
        <v>391</v>
      </c>
      <c r="C244">
        <v>415.88999999999976</v>
      </c>
    </row>
    <row r="245" spans="1:3" x14ac:dyDescent="0.25">
      <c r="A245" t="s">
        <v>390</v>
      </c>
      <c r="B245" t="s">
        <v>391</v>
      </c>
      <c r="C245">
        <v>415.88999999999976</v>
      </c>
    </row>
    <row r="246" spans="1:3" x14ac:dyDescent="0.25">
      <c r="A246" t="s">
        <v>390</v>
      </c>
      <c r="B246" t="s">
        <v>391</v>
      </c>
      <c r="C246">
        <v>415.88999999999976</v>
      </c>
    </row>
    <row r="247" spans="1:3" x14ac:dyDescent="0.25">
      <c r="A247" t="s">
        <v>390</v>
      </c>
      <c r="B247" t="s">
        <v>391</v>
      </c>
      <c r="C247">
        <v>415.88999999999976</v>
      </c>
    </row>
    <row r="248" spans="1:3" x14ac:dyDescent="0.25">
      <c r="A248" t="s">
        <v>390</v>
      </c>
      <c r="B248" t="s">
        <v>391</v>
      </c>
      <c r="C248">
        <v>415.88999999999976</v>
      </c>
    </row>
    <row r="249" spans="1:3" x14ac:dyDescent="0.25">
      <c r="A249" t="s">
        <v>390</v>
      </c>
      <c r="B249" t="s">
        <v>391</v>
      </c>
      <c r="C249">
        <v>415.88999999999976</v>
      </c>
    </row>
    <row r="250" spans="1:3" x14ac:dyDescent="0.25">
      <c r="A250" t="s">
        <v>390</v>
      </c>
      <c r="B250" t="s">
        <v>391</v>
      </c>
      <c r="C250">
        <v>415.88999999999976</v>
      </c>
    </row>
    <row r="251" spans="1:3" x14ac:dyDescent="0.25">
      <c r="A251" t="s">
        <v>390</v>
      </c>
      <c r="B251" t="s">
        <v>391</v>
      </c>
      <c r="C251">
        <v>415.88999999999976</v>
      </c>
    </row>
    <row r="252" spans="1:3" x14ac:dyDescent="0.25">
      <c r="A252" t="s">
        <v>390</v>
      </c>
      <c r="B252" t="s">
        <v>391</v>
      </c>
      <c r="C252">
        <v>415.88999999999976</v>
      </c>
    </row>
    <row r="253" spans="1:3" x14ac:dyDescent="0.25">
      <c r="A253" t="s">
        <v>390</v>
      </c>
      <c r="B253" t="s">
        <v>391</v>
      </c>
      <c r="C253">
        <v>415.88999999999976</v>
      </c>
    </row>
    <row r="254" spans="1:3" x14ac:dyDescent="0.25">
      <c r="A254" t="s">
        <v>390</v>
      </c>
      <c r="B254" t="s">
        <v>391</v>
      </c>
      <c r="C254">
        <v>415.88999999999976</v>
      </c>
    </row>
    <row r="255" spans="1:3" x14ac:dyDescent="0.25">
      <c r="A255" t="s">
        <v>390</v>
      </c>
      <c r="B255" t="s">
        <v>391</v>
      </c>
      <c r="C255">
        <v>415.88999999999976</v>
      </c>
    </row>
    <row r="256" spans="1:3" x14ac:dyDescent="0.25">
      <c r="A256" t="s">
        <v>390</v>
      </c>
      <c r="B256" t="s">
        <v>391</v>
      </c>
      <c r="C256">
        <v>415.88999999999976</v>
      </c>
    </row>
    <row r="257" spans="1:3" x14ac:dyDescent="0.25">
      <c r="A257" t="s">
        <v>390</v>
      </c>
      <c r="B257" t="s">
        <v>391</v>
      </c>
      <c r="C257">
        <v>415.88999999999976</v>
      </c>
    </row>
    <row r="258" spans="1:3" x14ac:dyDescent="0.25">
      <c r="A258" t="s">
        <v>390</v>
      </c>
      <c r="B258" t="s">
        <v>391</v>
      </c>
      <c r="C258">
        <v>415.88999999999976</v>
      </c>
    </row>
    <row r="259" spans="1:3" x14ac:dyDescent="0.25">
      <c r="A259" t="s">
        <v>390</v>
      </c>
      <c r="B259" t="s">
        <v>391</v>
      </c>
      <c r="C259">
        <v>415.88999999999976</v>
      </c>
    </row>
    <row r="260" spans="1:3" x14ac:dyDescent="0.25">
      <c r="A260" t="s">
        <v>390</v>
      </c>
      <c r="B260" t="s">
        <v>391</v>
      </c>
      <c r="C260">
        <v>415.88999999999976</v>
      </c>
    </row>
    <row r="261" spans="1:3" x14ac:dyDescent="0.25">
      <c r="A261" t="s">
        <v>390</v>
      </c>
      <c r="B261" t="s">
        <v>391</v>
      </c>
      <c r="C261">
        <v>415.88999999999976</v>
      </c>
    </row>
    <row r="262" spans="1:3" x14ac:dyDescent="0.25">
      <c r="A262" t="s">
        <v>390</v>
      </c>
      <c r="B262" t="s">
        <v>391</v>
      </c>
      <c r="C262">
        <v>415.88999999999976</v>
      </c>
    </row>
    <row r="263" spans="1:3" x14ac:dyDescent="0.25">
      <c r="A263" t="s">
        <v>390</v>
      </c>
      <c r="B263" t="s">
        <v>391</v>
      </c>
      <c r="C263">
        <v>415.88999999999976</v>
      </c>
    </row>
    <row r="264" spans="1:3" x14ac:dyDescent="0.25">
      <c r="A264" t="s">
        <v>390</v>
      </c>
      <c r="B264" t="s">
        <v>391</v>
      </c>
      <c r="C264">
        <v>415.88999999999976</v>
      </c>
    </row>
    <row r="265" spans="1:3" x14ac:dyDescent="0.25">
      <c r="A265" t="s">
        <v>390</v>
      </c>
      <c r="B265" t="s">
        <v>391</v>
      </c>
      <c r="C265">
        <v>415.88999999999976</v>
      </c>
    </row>
    <row r="266" spans="1:3" x14ac:dyDescent="0.25">
      <c r="A266" t="s">
        <v>390</v>
      </c>
      <c r="B266" t="s">
        <v>391</v>
      </c>
      <c r="C266">
        <v>415.88999999999976</v>
      </c>
    </row>
    <row r="267" spans="1:3" x14ac:dyDescent="0.25">
      <c r="A267" t="s">
        <v>390</v>
      </c>
      <c r="B267" t="s">
        <v>391</v>
      </c>
      <c r="C267">
        <v>415.88999999999976</v>
      </c>
    </row>
    <row r="268" spans="1:3" x14ac:dyDescent="0.25">
      <c r="A268" t="s">
        <v>390</v>
      </c>
      <c r="B268" t="s">
        <v>391</v>
      </c>
      <c r="C268">
        <v>415.88999999999976</v>
      </c>
    </row>
    <row r="269" spans="1:3" x14ac:dyDescent="0.25">
      <c r="A269" t="s">
        <v>390</v>
      </c>
      <c r="B269" t="s">
        <v>391</v>
      </c>
      <c r="C269">
        <v>415.88999999999976</v>
      </c>
    </row>
    <row r="270" spans="1:3" x14ac:dyDescent="0.25">
      <c r="A270" t="s">
        <v>390</v>
      </c>
      <c r="B270" t="s">
        <v>391</v>
      </c>
      <c r="C270">
        <v>415.88999999999976</v>
      </c>
    </row>
    <row r="271" spans="1:3" x14ac:dyDescent="0.25">
      <c r="A271" t="s">
        <v>390</v>
      </c>
      <c r="B271" t="s">
        <v>391</v>
      </c>
      <c r="C271">
        <v>415.88999999999976</v>
      </c>
    </row>
    <row r="272" spans="1:3" x14ac:dyDescent="0.25">
      <c r="A272" t="s">
        <v>390</v>
      </c>
      <c r="B272" t="s">
        <v>391</v>
      </c>
      <c r="C272">
        <v>415.88999999999976</v>
      </c>
    </row>
    <row r="273" spans="1:3" x14ac:dyDescent="0.25">
      <c r="A273" t="s">
        <v>390</v>
      </c>
      <c r="B273" t="s">
        <v>391</v>
      </c>
      <c r="C273">
        <v>415.88999999999976</v>
      </c>
    </row>
    <row r="274" spans="1:3" x14ac:dyDescent="0.25">
      <c r="A274" t="s">
        <v>390</v>
      </c>
      <c r="B274" t="s">
        <v>391</v>
      </c>
      <c r="C274">
        <v>415.88999999999976</v>
      </c>
    </row>
    <row r="275" spans="1:3" x14ac:dyDescent="0.25">
      <c r="A275" t="s">
        <v>390</v>
      </c>
      <c r="B275" t="s">
        <v>391</v>
      </c>
      <c r="C275">
        <v>415.88999999999976</v>
      </c>
    </row>
    <row r="276" spans="1:3" x14ac:dyDescent="0.25">
      <c r="A276" t="s">
        <v>390</v>
      </c>
      <c r="B276" t="s">
        <v>391</v>
      </c>
      <c r="C276">
        <v>415.88999999999976</v>
      </c>
    </row>
    <row r="277" spans="1:3" x14ac:dyDescent="0.25">
      <c r="A277" t="s">
        <v>390</v>
      </c>
      <c r="B277" t="s">
        <v>391</v>
      </c>
      <c r="C277">
        <v>415.88999999999976</v>
      </c>
    </row>
    <row r="278" spans="1:3" x14ac:dyDescent="0.25">
      <c r="A278" t="s">
        <v>390</v>
      </c>
      <c r="B278" t="s">
        <v>391</v>
      </c>
      <c r="C278">
        <v>415.88999999999976</v>
      </c>
    </row>
    <row r="279" spans="1:3" x14ac:dyDescent="0.25">
      <c r="A279" t="s">
        <v>390</v>
      </c>
      <c r="B279" t="s">
        <v>391</v>
      </c>
      <c r="C279">
        <v>415.88999999999976</v>
      </c>
    </row>
    <row r="280" spans="1:3" x14ac:dyDescent="0.25">
      <c r="A280" t="s">
        <v>390</v>
      </c>
      <c r="B280" t="s">
        <v>391</v>
      </c>
      <c r="C280">
        <v>415.88999999999976</v>
      </c>
    </row>
    <row r="281" spans="1:3" x14ac:dyDescent="0.25">
      <c r="A281" t="s">
        <v>390</v>
      </c>
      <c r="B281" t="s">
        <v>391</v>
      </c>
      <c r="C281">
        <v>415.88999999999976</v>
      </c>
    </row>
    <row r="282" spans="1:3" x14ac:dyDescent="0.25">
      <c r="A282" t="s">
        <v>390</v>
      </c>
      <c r="B282" t="s">
        <v>391</v>
      </c>
      <c r="C282">
        <v>415.88999999999976</v>
      </c>
    </row>
    <row r="283" spans="1:3" x14ac:dyDescent="0.25">
      <c r="A283" t="s">
        <v>390</v>
      </c>
      <c r="B283" t="s">
        <v>391</v>
      </c>
      <c r="C283">
        <v>415.88999999999976</v>
      </c>
    </row>
    <row r="284" spans="1:3" x14ac:dyDescent="0.25">
      <c r="A284" t="s">
        <v>390</v>
      </c>
      <c r="B284" t="s">
        <v>391</v>
      </c>
      <c r="C284">
        <v>415.88999999999976</v>
      </c>
    </row>
    <row r="285" spans="1:3" x14ac:dyDescent="0.25">
      <c r="A285" t="s">
        <v>390</v>
      </c>
      <c r="B285" t="s">
        <v>391</v>
      </c>
      <c r="C285">
        <v>415.88999999999976</v>
      </c>
    </row>
    <row r="286" spans="1:3" x14ac:dyDescent="0.25">
      <c r="A286" t="s">
        <v>390</v>
      </c>
      <c r="B286" t="s">
        <v>391</v>
      </c>
      <c r="C286">
        <v>415.88999999999976</v>
      </c>
    </row>
    <row r="287" spans="1:3" x14ac:dyDescent="0.25">
      <c r="A287" t="s">
        <v>842</v>
      </c>
      <c r="B287" t="s">
        <v>843</v>
      </c>
      <c r="C287">
        <v>415</v>
      </c>
    </row>
    <row r="288" spans="1:3" x14ac:dyDescent="0.25">
      <c r="A288" t="s">
        <v>845</v>
      </c>
      <c r="B288" t="s">
        <v>843</v>
      </c>
      <c r="C288">
        <v>415</v>
      </c>
    </row>
    <row r="289" spans="1:3" x14ac:dyDescent="0.25">
      <c r="A289" t="s">
        <v>845</v>
      </c>
      <c r="B289" t="s">
        <v>843</v>
      </c>
      <c r="C289">
        <v>415</v>
      </c>
    </row>
    <row r="290" spans="1:3" x14ac:dyDescent="0.25">
      <c r="A290" t="s">
        <v>122</v>
      </c>
      <c r="B290" t="s">
        <v>123</v>
      </c>
      <c r="C290">
        <v>395.40750000000003</v>
      </c>
    </row>
    <row r="291" spans="1:3" x14ac:dyDescent="0.25">
      <c r="A291" t="s">
        <v>122</v>
      </c>
      <c r="B291" t="s">
        <v>123</v>
      </c>
      <c r="C291">
        <v>395.40750000000003</v>
      </c>
    </row>
    <row r="292" spans="1:3" x14ac:dyDescent="0.25">
      <c r="A292" t="s">
        <v>122</v>
      </c>
      <c r="B292" t="s">
        <v>123</v>
      </c>
      <c r="C292">
        <v>395.40750000000003</v>
      </c>
    </row>
    <row r="293" spans="1:3" x14ac:dyDescent="0.25">
      <c r="A293" t="s">
        <v>122</v>
      </c>
      <c r="B293" t="s">
        <v>123</v>
      </c>
      <c r="C293">
        <v>395.40750000000003</v>
      </c>
    </row>
    <row r="294" spans="1:3" x14ac:dyDescent="0.25">
      <c r="A294" t="s">
        <v>122</v>
      </c>
      <c r="B294" t="s">
        <v>123</v>
      </c>
      <c r="C294">
        <v>395.40750000000003</v>
      </c>
    </row>
    <row r="295" spans="1:3" x14ac:dyDescent="0.25">
      <c r="A295" t="s">
        <v>122</v>
      </c>
      <c r="B295" t="s">
        <v>123</v>
      </c>
      <c r="C295">
        <v>395.40750000000003</v>
      </c>
    </row>
    <row r="296" spans="1:3" x14ac:dyDescent="0.25">
      <c r="A296" t="s">
        <v>122</v>
      </c>
      <c r="B296" t="s">
        <v>123</v>
      </c>
      <c r="C296">
        <v>395.40750000000003</v>
      </c>
    </row>
    <row r="297" spans="1:3" x14ac:dyDescent="0.25">
      <c r="A297" t="s">
        <v>122</v>
      </c>
      <c r="B297" t="s">
        <v>123</v>
      </c>
      <c r="C297">
        <v>395.40750000000003</v>
      </c>
    </row>
    <row r="298" spans="1:3" x14ac:dyDescent="0.25">
      <c r="A298" t="s">
        <v>122</v>
      </c>
      <c r="B298" t="s">
        <v>123</v>
      </c>
      <c r="C298">
        <v>395.40750000000003</v>
      </c>
    </row>
    <row r="299" spans="1:3" x14ac:dyDescent="0.25">
      <c r="A299" t="s">
        <v>122</v>
      </c>
      <c r="B299" t="s">
        <v>123</v>
      </c>
      <c r="C299">
        <v>395.40750000000003</v>
      </c>
    </row>
    <row r="300" spans="1:3" x14ac:dyDescent="0.25">
      <c r="A300" t="s">
        <v>122</v>
      </c>
      <c r="B300" t="s">
        <v>123</v>
      </c>
      <c r="C300">
        <v>395.40750000000003</v>
      </c>
    </row>
    <row r="301" spans="1:3" x14ac:dyDescent="0.25">
      <c r="A301" t="s">
        <v>122</v>
      </c>
      <c r="B301" t="s">
        <v>123</v>
      </c>
      <c r="C301">
        <v>395.40750000000003</v>
      </c>
    </row>
    <row r="302" spans="1:3" x14ac:dyDescent="0.25">
      <c r="A302" t="s">
        <v>122</v>
      </c>
      <c r="B302" t="s">
        <v>123</v>
      </c>
      <c r="C302">
        <v>395.40750000000003</v>
      </c>
    </row>
    <row r="303" spans="1:3" x14ac:dyDescent="0.25">
      <c r="A303" t="s">
        <v>122</v>
      </c>
      <c r="B303" t="s">
        <v>123</v>
      </c>
      <c r="C303">
        <v>395.40750000000003</v>
      </c>
    </row>
    <row r="304" spans="1:3" x14ac:dyDescent="0.25">
      <c r="A304" t="s">
        <v>122</v>
      </c>
      <c r="B304" t="s">
        <v>123</v>
      </c>
      <c r="C304">
        <v>395.40750000000003</v>
      </c>
    </row>
    <row r="305" spans="1:3" x14ac:dyDescent="0.25">
      <c r="A305" t="s">
        <v>122</v>
      </c>
      <c r="B305" t="s">
        <v>123</v>
      </c>
      <c r="C305">
        <v>395.40750000000003</v>
      </c>
    </row>
    <row r="306" spans="1:3" x14ac:dyDescent="0.25">
      <c r="A306" t="s">
        <v>122</v>
      </c>
      <c r="B306" t="s">
        <v>123</v>
      </c>
      <c r="C306">
        <v>395.40750000000003</v>
      </c>
    </row>
    <row r="307" spans="1:3" x14ac:dyDescent="0.25">
      <c r="A307" t="s">
        <v>122</v>
      </c>
      <c r="B307" t="s">
        <v>123</v>
      </c>
      <c r="C307">
        <v>395.40750000000003</v>
      </c>
    </row>
    <row r="308" spans="1:3" x14ac:dyDescent="0.25">
      <c r="A308" t="s">
        <v>122</v>
      </c>
      <c r="B308" t="s">
        <v>123</v>
      </c>
      <c r="C308">
        <v>395.40750000000003</v>
      </c>
    </row>
    <row r="309" spans="1:3" x14ac:dyDescent="0.25">
      <c r="A309" t="s">
        <v>122</v>
      </c>
      <c r="B309" t="s">
        <v>123</v>
      </c>
      <c r="C309">
        <v>395.40750000000003</v>
      </c>
    </row>
    <row r="310" spans="1:3" x14ac:dyDescent="0.25">
      <c r="A310" t="s">
        <v>122</v>
      </c>
      <c r="B310" t="s">
        <v>123</v>
      </c>
      <c r="C310">
        <v>395.40750000000003</v>
      </c>
    </row>
    <row r="311" spans="1:3" x14ac:dyDescent="0.25">
      <c r="A311" t="s">
        <v>122</v>
      </c>
      <c r="B311" t="s">
        <v>123</v>
      </c>
      <c r="C311">
        <v>395.40750000000003</v>
      </c>
    </row>
    <row r="312" spans="1:3" x14ac:dyDescent="0.25">
      <c r="A312" t="s">
        <v>122</v>
      </c>
      <c r="B312" t="s">
        <v>123</v>
      </c>
      <c r="C312">
        <v>395.40750000000003</v>
      </c>
    </row>
    <row r="313" spans="1:3" x14ac:dyDescent="0.25">
      <c r="A313" t="s">
        <v>122</v>
      </c>
      <c r="B313" t="s">
        <v>123</v>
      </c>
      <c r="C313">
        <v>395.40750000000003</v>
      </c>
    </row>
    <row r="314" spans="1:3" x14ac:dyDescent="0.25">
      <c r="A314" t="s">
        <v>122</v>
      </c>
      <c r="B314" t="s">
        <v>123</v>
      </c>
      <c r="C314">
        <v>395.40750000000003</v>
      </c>
    </row>
    <row r="315" spans="1:3" x14ac:dyDescent="0.25">
      <c r="A315" t="s">
        <v>122</v>
      </c>
      <c r="B315" t="s">
        <v>123</v>
      </c>
      <c r="C315">
        <v>395.40750000000003</v>
      </c>
    </row>
    <row r="316" spans="1:3" x14ac:dyDescent="0.25">
      <c r="A316" t="s">
        <v>122</v>
      </c>
      <c r="B316" t="s">
        <v>123</v>
      </c>
      <c r="C316">
        <v>395.40750000000003</v>
      </c>
    </row>
    <row r="317" spans="1:3" x14ac:dyDescent="0.25">
      <c r="A317" t="s">
        <v>122</v>
      </c>
      <c r="B317" t="s">
        <v>123</v>
      </c>
      <c r="C317">
        <v>395.40750000000003</v>
      </c>
    </row>
    <row r="318" spans="1:3" x14ac:dyDescent="0.25">
      <c r="A318" t="s">
        <v>122</v>
      </c>
      <c r="B318" t="s">
        <v>123</v>
      </c>
      <c r="C318">
        <v>395.40750000000003</v>
      </c>
    </row>
    <row r="319" spans="1:3" x14ac:dyDescent="0.25">
      <c r="A319" t="s">
        <v>122</v>
      </c>
      <c r="B319" t="s">
        <v>123</v>
      </c>
      <c r="C319">
        <v>395.40750000000003</v>
      </c>
    </row>
    <row r="320" spans="1:3" x14ac:dyDescent="0.25">
      <c r="A320" t="s">
        <v>122</v>
      </c>
      <c r="B320" t="s">
        <v>123</v>
      </c>
      <c r="C320">
        <v>395.40750000000003</v>
      </c>
    </row>
    <row r="321" spans="1:3" x14ac:dyDescent="0.25">
      <c r="A321" t="s">
        <v>122</v>
      </c>
      <c r="B321" t="s">
        <v>123</v>
      </c>
      <c r="C321">
        <v>395.40750000000003</v>
      </c>
    </row>
    <row r="322" spans="1:3" x14ac:dyDescent="0.25">
      <c r="A322" t="s">
        <v>122</v>
      </c>
      <c r="B322" t="s">
        <v>123</v>
      </c>
      <c r="C322">
        <v>395.40750000000003</v>
      </c>
    </row>
    <row r="323" spans="1:3" x14ac:dyDescent="0.25">
      <c r="A323" t="s">
        <v>122</v>
      </c>
      <c r="B323" t="s">
        <v>123</v>
      </c>
      <c r="C323">
        <v>395.40750000000003</v>
      </c>
    </row>
    <row r="324" spans="1:3" x14ac:dyDescent="0.25">
      <c r="A324" t="s">
        <v>122</v>
      </c>
      <c r="B324" t="s">
        <v>123</v>
      </c>
      <c r="C324">
        <v>395.40750000000003</v>
      </c>
    </row>
    <row r="325" spans="1:3" x14ac:dyDescent="0.25">
      <c r="A325" t="s">
        <v>122</v>
      </c>
      <c r="B325" t="s">
        <v>123</v>
      </c>
      <c r="C325">
        <v>395.40750000000003</v>
      </c>
    </row>
    <row r="326" spans="1:3" x14ac:dyDescent="0.25">
      <c r="A326" t="s">
        <v>122</v>
      </c>
      <c r="B326" t="s">
        <v>123</v>
      </c>
      <c r="C326">
        <v>395.40750000000003</v>
      </c>
    </row>
    <row r="327" spans="1:3" x14ac:dyDescent="0.25">
      <c r="A327" t="s">
        <v>122</v>
      </c>
      <c r="B327" t="s">
        <v>123</v>
      </c>
      <c r="C327">
        <v>395.40750000000003</v>
      </c>
    </row>
    <row r="328" spans="1:3" x14ac:dyDescent="0.25">
      <c r="A328" t="s">
        <v>122</v>
      </c>
      <c r="B328" t="s">
        <v>123</v>
      </c>
      <c r="C328">
        <v>395.40750000000003</v>
      </c>
    </row>
    <row r="329" spans="1:3" x14ac:dyDescent="0.25">
      <c r="A329" t="s">
        <v>122</v>
      </c>
      <c r="B329" t="s">
        <v>123</v>
      </c>
      <c r="C329">
        <v>395.40750000000003</v>
      </c>
    </row>
    <row r="330" spans="1:3" x14ac:dyDescent="0.25">
      <c r="A330" t="s">
        <v>122</v>
      </c>
      <c r="B330" t="s">
        <v>123</v>
      </c>
      <c r="C330">
        <v>395.40750000000003</v>
      </c>
    </row>
    <row r="331" spans="1:3" x14ac:dyDescent="0.25">
      <c r="A331" t="s">
        <v>122</v>
      </c>
      <c r="B331" t="s">
        <v>123</v>
      </c>
      <c r="C331">
        <v>395.40750000000003</v>
      </c>
    </row>
    <row r="332" spans="1:3" x14ac:dyDescent="0.25">
      <c r="A332" t="s">
        <v>122</v>
      </c>
      <c r="B332" t="s">
        <v>123</v>
      </c>
      <c r="C332">
        <v>395.40750000000003</v>
      </c>
    </row>
    <row r="333" spans="1:3" x14ac:dyDescent="0.25">
      <c r="A333" t="s">
        <v>122</v>
      </c>
      <c r="B333" t="s">
        <v>123</v>
      </c>
      <c r="C333">
        <v>395.40750000000003</v>
      </c>
    </row>
    <row r="334" spans="1:3" x14ac:dyDescent="0.25">
      <c r="A334" t="s">
        <v>122</v>
      </c>
      <c r="B334" t="s">
        <v>123</v>
      </c>
      <c r="C334">
        <v>395.40750000000003</v>
      </c>
    </row>
    <row r="335" spans="1:3" x14ac:dyDescent="0.25">
      <c r="A335" t="s">
        <v>122</v>
      </c>
      <c r="B335" t="s">
        <v>123</v>
      </c>
      <c r="C335">
        <v>395.40750000000003</v>
      </c>
    </row>
    <row r="336" spans="1:3" x14ac:dyDescent="0.25">
      <c r="A336" t="s">
        <v>122</v>
      </c>
      <c r="B336" t="s">
        <v>123</v>
      </c>
      <c r="C336">
        <v>395.40750000000003</v>
      </c>
    </row>
    <row r="337" spans="1:3" x14ac:dyDescent="0.25">
      <c r="A337" t="s">
        <v>122</v>
      </c>
      <c r="B337" t="s">
        <v>123</v>
      </c>
      <c r="C337">
        <v>395.40750000000003</v>
      </c>
    </row>
    <row r="338" spans="1:3" x14ac:dyDescent="0.25">
      <c r="A338" t="s">
        <v>122</v>
      </c>
      <c r="B338" t="s">
        <v>123</v>
      </c>
      <c r="C338">
        <v>395.40750000000003</v>
      </c>
    </row>
    <row r="339" spans="1:3" x14ac:dyDescent="0.25">
      <c r="A339" t="s">
        <v>122</v>
      </c>
      <c r="B339" t="s">
        <v>123</v>
      </c>
      <c r="C339">
        <v>395.40750000000003</v>
      </c>
    </row>
    <row r="340" spans="1:3" x14ac:dyDescent="0.25">
      <c r="A340" t="s">
        <v>122</v>
      </c>
      <c r="B340" t="s">
        <v>123</v>
      </c>
      <c r="C340">
        <v>395.40750000000003</v>
      </c>
    </row>
    <row r="341" spans="1:3" x14ac:dyDescent="0.25">
      <c r="A341" t="s">
        <v>122</v>
      </c>
      <c r="B341" t="s">
        <v>123</v>
      </c>
      <c r="C341">
        <v>395.40750000000003</v>
      </c>
    </row>
    <row r="342" spans="1:3" x14ac:dyDescent="0.25">
      <c r="A342" t="s">
        <v>122</v>
      </c>
      <c r="B342" t="s">
        <v>123</v>
      </c>
      <c r="C342">
        <v>395.40750000000003</v>
      </c>
    </row>
    <row r="343" spans="1:3" x14ac:dyDescent="0.25">
      <c r="A343" t="s">
        <v>122</v>
      </c>
      <c r="B343" t="s">
        <v>123</v>
      </c>
      <c r="C343">
        <v>395.40750000000003</v>
      </c>
    </row>
    <row r="344" spans="1:3" x14ac:dyDescent="0.25">
      <c r="A344" t="s">
        <v>122</v>
      </c>
      <c r="B344" t="s">
        <v>123</v>
      </c>
      <c r="C344">
        <v>395.40750000000003</v>
      </c>
    </row>
    <row r="345" spans="1:3" x14ac:dyDescent="0.25">
      <c r="A345" t="s">
        <v>122</v>
      </c>
      <c r="B345" t="s">
        <v>123</v>
      </c>
      <c r="C345">
        <v>395.40750000000003</v>
      </c>
    </row>
    <row r="346" spans="1:3" x14ac:dyDescent="0.25">
      <c r="A346" t="s">
        <v>122</v>
      </c>
      <c r="B346" t="s">
        <v>123</v>
      </c>
      <c r="C346">
        <v>395.40750000000003</v>
      </c>
    </row>
    <row r="347" spans="1:3" x14ac:dyDescent="0.25">
      <c r="A347" t="s">
        <v>122</v>
      </c>
      <c r="B347" t="s">
        <v>123</v>
      </c>
      <c r="C347">
        <v>395.40750000000003</v>
      </c>
    </row>
    <row r="348" spans="1:3" x14ac:dyDescent="0.25">
      <c r="A348" t="s">
        <v>122</v>
      </c>
      <c r="B348" t="s">
        <v>123</v>
      </c>
      <c r="C348">
        <v>395.40750000000003</v>
      </c>
    </row>
    <row r="349" spans="1:3" x14ac:dyDescent="0.25">
      <c r="A349" t="s">
        <v>122</v>
      </c>
      <c r="B349" t="s">
        <v>123</v>
      </c>
      <c r="C349">
        <v>395.40750000000003</v>
      </c>
    </row>
    <row r="350" spans="1:3" x14ac:dyDescent="0.25">
      <c r="A350" t="s">
        <v>122</v>
      </c>
      <c r="B350" t="s">
        <v>123</v>
      </c>
      <c r="C350">
        <v>395.40750000000003</v>
      </c>
    </row>
    <row r="351" spans="1:3" x14ac:dyDescent="0.25">
      <c r="A351" t="s">
        <v>122</v>
      </c>
      <c r="B351" t="s">
        <v>123</v>
      </c>
      <c r="C351">
        <v>395.40750000000003</v>
      </c>
    </row>
    <row r="352" spans="1:3" x14ac:dyDescent="0.25">
      <c r="A352" t="s">
        <v>122</v>
      </c>
      <c r="B352" t="s">
        <v>123</v>
      </c>
      <c r="C352">
        <v>395.40750000000003</v>
      </c>
    </row>
    <row r="353" spans="1:3" x14ac:dyDescent="0.25">
      <c r="A353" t="s">
        <v>122</v>
      </c>
      <c r="B353" t="s">
        <v>123</v>
      </c>
      <c r="C353">
        <v>395.40750000000003</v>
      </c>
    </row>
    <row r="354" spans="1:3" x14ac:dyDescent="0.25">
      <c r="A354" t="s">
        <v>189</v>
      </c>
      <c r="B354" t="s">
        <v>190</v>
      </c>
      <c r="C354">
        <v>360</v>
      </c>
    </row>
    <row r="355" spans="1:3" x14ac:dyDescent="0.25">
      <c r="A355" t="s">
        <v>619</v>
      </c>
      <c r="B355" t="s">
        <v>620</v>
      </c>
      <c r="C355">
        <v>360</v>
      </c>
    </row>
    <row r="356" spans="1:3" x14ac:dyDescent="0.25">
      <c r="A356" t="s">
        <v>189</v>
      </c>
      <c r="B356" t="s">
        <v>190</v>
      </c>
      <c r="C356">
        <v>360</v>
      </c>
    </row>
    <row r="357" spans="1:3" x14ac:dyDescent="0.25">
      <c r="A357" t="s">
        <v>149</v>
      </c>
      <c r="B357" t="s">
        <v>150</v>
      </c>
      <c r="C357">
        <v>325</v>
      </c>
    </row>
    <row r="358" spans="1:3" x14ac:dyDescent="0.25">
      <c r="A358" t="s">
        <v>149</v>
      </c>
      <c r="B358" t="s">
        <v>150</v>
      </c>
      <c r="C358">
        <v>325</v>
      </c>
    </row>
    <row r="359" spans="1:3" x14ac:dyDescent="0.25">
      <c r="A359" t="s">
        <v>149</v>
      </c>
      <c r="B359" t="s">
        <v>150</v>
      </c>
      <c r="C359">
        <v>325</v>
      </c>
    </row>
    <row r="360" spans="1:3" x14ac:dyDescent="0.25">
      <c r="A360" t="s">
        <v>149</v>
      </c>
      <c r="B360" t="s">
        <v>150</v>
      </c>
      <c r="C360">
        <v>325</v>
      </c>
    </row>
    <row r="361" spans="1:3" x14ac:dyDescent="0.25">
      <c r="A361" t="s">
        <v>149</v>
      </c>
      <c r="B361" t="s">
        <v>150</v>
      </c>
      <c r="C361">
        <v>325</v>
      </c>
    </row>
    <row r="362" spans="1:3" x14ac:dyDescent="0.25">
      <c r="A362" t="s">
        <v>471</v>
      </c>
      <c r="B362" t="s">
        <v>472</v>
      </c>
      <c r="C362">
        <v>305</v>
      </c>
    </row>
    <row r="363" spans="1:3" x14ac:dyDescent="0.25">
      <c r="A363" t="s">
        <v>1014</v>
      </c>
      <c r="B363" t="s">
        <v>472</v>
      </c>
      <c r="C363">
        <v>305</v>
      </c>
    </row>
    <row r="364" spans="1:3" x14ac:dyDescent="0.25">
      <c r="A364" t="s">
        <v>1014</v>
      </c>
      <c r="B364" t="s">
        <v>472</v>
      </c>
      <c r="C364">
        <v>305</v>
      </c>
    </row>
    <row r="365" spans="1:3" x14ac:dyDescent="0.25">
      <c r="A365" t="s">
        <v>181</v>
      </c>
      <c r="B365" t="s">
        <v>182</v>
      </c>
      <c r="C365">
        <v>295</v>
      </c>
    </row>
    <row r="366" spans="1:3" x14ac:dyDescent="0.25">
      <c r="A366" t="s">
        <v>244</v>
      </c>
      <c r="B366" t="s">
        <v>182</v>
      </c>
      <c r="C366">
        <v>295</v>
      </c>
    </row>
    <row r="367" spans="1:3" x14ac:dyDescent="0.25">
      <c r="A367" t="s">
        <v>244</v>
      </c>
      <c r="B367" t="s">
        <v>182</v>
      </c>
      <c r="C367">
        <v>295</v>
      </c>
    </row>
    <row r="368" spans="1:3" x14ac:dyDescent="0.25">
      <c r="A368" t="s">
        <v>244</v>
      </c>
      <c r="B368" t="s">
        <v>182</v>
      </c>
      <c r="C368">
        <v>295</v>
      </c>
    </row>
    <row r="369" spans="1:3" x14ac:dyDescent="0.25">
      <c r="A369" t="s">
        <v>22</v>
      </c>
      <c r="B369" t="s">
        <v>176</v>
      </c>
      <c r="C369">
        <v>290</v>
      </c>
    </row>
    <row r="370" spans="1:3" x14ac:dyDescent="0.25">
      <c r="A370" t="s">
        <v>22</v>
      </c>
      <c r="B370" t="s">
        <v>176</v>
      </c>
      <c r="C370">
        <v>290</v>
      </c>
    </row>
    <row r="371" spans="1:3" x14ac:dyDescent="0.25">
      <c r="A371" t="s">
        <v>205</v>
      </c>
      <c r="B371" t="s">
        <v>206</v>
      </c>
      <c r="C371">
        <v>284.6674999999999</v>
      </c>
    </row>
    <row r="372" spans="1:3" x14ac:dyDescent="0.25">
      <c r="A372" t="s">
        <v>205</v>
      </c>
      <c r="B372" t="s">
        <v>206</v>
      </c>
      <c r="C372">
        <v>284.6674999999999</v>
      </c>
    </row>
    <row r="373" spans="1:3" x14ac:dyDescent="0.25">
      <c r="A373" t="s">
        <v>205</v>
      </c>
      <c r="B373" t="s">
        <v>206</v>
      </c>
      <c r="C373">
        <v>284.6674999999999</v>
      </c>
    </row>
    <row r="374" spans="1:3" x14ac:dyDescent="0.25">
      <c r="A374" t="s">
        <v>205</v>
      </c>
      <c r="B374" t="s">
        <v>206</v>
      </c>
      <c r="C374">
        <v>284.6674999999999</v>
      </c>
    </row>
    <row r="375" spans="1:3" x14ac:dyDescent="0.25">
      <c r="A375" t="s">
        <v>205</v>
      </c>
      <c r="B375" t="s">
        <v>206</v>
      </c>
      <c r="C375">
        <v>284.6674999999999</v>
      </c>
    </row>
    <row r="376" spans="1:3" x14ac:dyDescent="0.25">
      <c r="A376" t="s">
        <v>205</v>
      </c>
      <c r="B376" t="s">
        <v>206</v>
      </c>
      <c r="C376">
        <v>284.6674999999999</v>
      </c>
    </row>
    <row r="377" spans="1:3" x14ac:dyDescent="0.25">
      <c r="A377" t="s">
        <v>205</v>
      </c>
      <c r="B377" t="s">
        <v>206</v>
      </c>
      <c r="C377">
        <v>284.6674999999999</v>
      </c>
    </row>
    <row r="378" spans="1:3" x14ac:dyDescent="0.25">
      <c r="A378" t="s">
        <v>205</v>
      </c>
      <c r="B378" t="s">
        <v>206</v>
      </c>
      <c r="C378">
        <v>284.6674999999999</v>
      </c>
    </row>
    <row r="379" spans="1:3" x14ac:dyDescent="0.25">
      <c r="A379" t="s">
        <v>205</v>
      </c>
      <c r="B379" t="s">
        <v>206</v>
      </c>
      <c r="C379">
        <v>284.6674999999999</v>
      </c>
    </row>
    <row r="380" spans="1:3" x14ac:dyDescent="0.25">
      <c r="A380" t="s">
        <v>205</v>
      </c>
      <c r="B380" t="s">
        <v>206</v>
      </c>
      <c r="C380">
        <v>284.6674999999999</v>
      </c>
    </row>
    <row r="381" spans="1:3" x14ac:dyDescent="0.25">
      <c r="A381" t="s">
        <v>205</v>
      </c>
      <c r="B381" t="s">
        <v>206</v>
      </c>
      <c r="C381">
        <v>284.6674999999999</v>
      </c>
    </row>
    <row r="382" spans="1:3" x14ac:dyDescent="0.25">
      <c r="A382" t="s">
        <v>205</v>
      </c>
      <c r="B382" t="s">
        <v>206</v>
      </c>
      <c r="C382">
        <v>284.6674999999999</v>
      </c>
    </row>
    <row r="383" spans="1:3" x14ac:dyDescent="0.25">
      <c r="A383" t="s">
        <v>205</v>
      </c>
      <c r="B383" t="s">
        <v>206</v>
      </c>
      <c r="C383">
        <v>284.6674999999999</v>
      </c>
    </row>
    <row r="384" spans="1:3" x14ac:dyDescent="0.25">
      <c r="A384" t="s">
        <v>205</v>
      </c>
      <c r="B384" t="s">
        <v>206</v>
      </c>
      <c r="C384">
        <v>284.6674999999999</v>
      </c>
    </row>
    <row r="385" spans="1:3" x14ac:dyDescent="0.25">
      <c r="A385" t="s">
        <v>205</v>
      </c>
      <c r="B385" t="s">
        <v>206</v>
      </c>
      <c r="C385">
        <v>284.6674999999999</v>
      </c>
    </row>
    <row r="386" spans="1:3" x14ac:dyDescent="0.25">
      <c r="A386" t="s">
        <v>205</v>
      </c>
      <c r="B386" t="s">
        <v>206</v>
      </c>
      <c r="C386">
        <v>284.6674999999999</v>
      </c>
    </row>
    <row r="387" spans="1:3" x14ac:dyDescent="0.25">
      <c r="A387" t="s">
        <v>205</v>
      </c>
      <c r="B387" t="s">
        <v>206</v>
      </c>
      <c r="C387">
        <v>284.6674999999999</v>
      </c>
    </row>
    <row r="388" spans="1:3" x14ac:dyDescent="0.25">
      <c r="A388" t="s">
        <v>205</v>
      </c>
      <c r="B388" t="s">
        <v>206</v>
      </c>
      <c r="C388">
        <v>284.6674999999999</v>
      </c>
    </row>
    <row r="389" spans="1:3" x14ac:dyDescent="0.25">
      <c r="A389" t="s">
        <v>205</v>
      </c>
      <c r="B389" t="s">
        <v>206</v>
      </c>
      <c r="C389">
        <v>284.6674999999999</v>
      </c>
    </row>
    <row r="390" spans="1:3" x14ac:dyDescent="0.25">
      <c r="A390" t="s">
        <v>205</v>
      </c>
      <c r="B390" t="s">
        <v>206</v>
      </c>
      <c r="C390">
        <v>284.6674999999999</v>
      </c>
    </row>
    <row r="391" spans="1:3" x14ac:dyDescent="0.25">
      <c r="A391" t="s">
        <v>205</v>
      </c>
      <c r="B391" t="s">
        <v>206</v>
      </c>
      <c r="C391">
        <v>284.6674999999999</v>
      </c>
    </row>
    <row r="392" spans="1:3" x14ac:dyDescent="0.25">
      <c r="A392" t="s">
        <v>205</v>
      </c>
      <c r="B392" t="s">
        <v>206</v>
      </c>
      <c r="C392">
        <v>284.6674999999999</v>
      </c>
    </row>
    <row r="393" spans="1:3" x14ac:dyDescent="0.25">
      <c r="A393" t="s">
        <v>205</v>
      </c>
      <c r="B393" t="s">
        <v>206</v>
      </c>
      <c r="C393">
        <v>284.6674999999999</v>
      </c>
    </row>
    <row r="394" spans="1:3" x14ac:dyDescent="0.25">
      <c r="A394" t="s">
        <v>205</v>
      </c>
      <c r="B394" t="s">
        <v>206</v>
      </c>
      <c r="C394">
        <v>284.6674999999999</v>
      </c>
    </row>
    <row r="395" spans="1:3" x14ac:dyDescent="0.25">
      <c r="A395" t="s">
        <v>205</v>
      </c>
      <c r="B395" t="s">
        <v>206</v>
      </c>
      <c r="C395">
        <v>284.6674999999999</v>
      </c>
    </row>
    <row r="396" spans="1:3" x14ac:dyDescent="0.25">
      <c r="A396" t="s">
        <v>205</v>
      </c>
      <c r="B396" t="s">
        <v>206</v>
      </c>
      <c r="C396">
        <v>284.6674999999999</v>
      </c>
    </row>
    <row r="397" spans="1:3" x14ac:dyDescent="0.25">
      <c r="A397" t="s">
        <v>205</v>
      </c>
      <c r="B397" t="s">
        <v>206</v>
      </c>
      <c r="C397">
        <v>284.6674999999999</v>
      </c>
    </row>
    <row r="398" spans="1:3" x14ac:dyDescent="0.25">
      <c r="A398" t="s">
        <v>205</v>
      </c>
      <c r="B398" t="s">
        <v>206</v>
      </c>
      <c r="C398">
        <v>284.6674999999999</v>
      </c>
    </row>
    <row r="399" spans="1:3" x14ac:dyDescent="0.25">
      <c r="A399" t="s">
        <v>205</v>
      </c>
      <c r="B399" t="s">
        <v>206</v>
      </c>
      <c r="C399">
        <v>284.6674999999999</v>
      </c>
    </row>
    <row r="400" spans="1:3" x14ac:dyDescent="0.25">
      <c r="A400" t="s">
        <v>205</v>
      </c>
      <c r="B400" t="s">
        <v>206</v>
      </c>
      <c r="C400">
        <v>284.6674999999999</v>
      </c>
    </row>
    <row r="401" spans="1:3" x14ac:dyDescent="0.25">
      <c r="A401" t="s">
        <v>205</v>
      </c>
      <c r="B401" t="s">
        <v>206</v>
      </c>
      <c r="C401">
        <v>284.6674999999999</v>
      </c>
    </row>
    <row r="402" spans="1:3" x14ac:dyDescent="0.25">
      <c r="A402" t="s">
        <v>205</v>
      </c>
      <c r="B402" t="s">
        <v>206</v>
      </c>
      <c r="C402">
        <v>284.6674999999999</v>
      </c>
    </row>
    <row r="403" spans="1:3" x14ac:dyDescent="0.25">
      <c r="A403" t="s">
        <v>205</v>
      </c>
      <c r="B403" t="s">
        <v>206</v>
      </c>
      <c r="C403">
        <v>284.6674999999999</v>
      </c>
    </row>
    <row r="404" spans="1:3" x14ac:dyDescent="0.25">
      <c r="A404" t="s">
        <v>205</v>
      </c>
      <c r="B404" t="s">
        <v>206</v>
      </c>
      <c r="C404">
        <v>284.6674999999999</v>
      </c>
    </row>
    <row r="405" spans="1:3" x14ac:dyDescent="0.25">
      <c r="A405" t="s">
        <v>205</v>
      </c>
      <c r="B405" t="s">
        <v>206</v>
      </c>
      <c r="C405">
        <v>284.6674999999999</v>
      </c>
    </row>
    <row r="406" spans="1:3" x14ac:dyDescent="0.25">
      <c r="A406" t="s">
        <v>205</v>
      </c>
      <c r="B406" t="s">
        <v>206</v>
      </c>
      <c r="C406">
        <v>284.6674999999999</v>
      </c>
    </row>
    <row r="407" spans="1:3" x14ac:dyDescent="0.25">
      <c r="A407" t="s">
        <v>205</v>
      </c>
      <c r="B407" t="s">
        <v>206</v>
      </c>
      <c r="C407">
        <v>284.6674999999999</v>
      </c>
    </row>
    <row r="408" spans="1:3" x14ac:dyDescent="0.25">
      <c r="A408" t="s">
        <v>205</v>
      </c>
      <c r="B408" t="s">
        <v>206</v>
      </c>
      <c r="C408">
        <v>284.6674999999999</v>
      </c>
    </row>
    <row r="409" spans="1:3" x14ac:dyDescent="0.25">
      <c r="A409" t="s">
        <v>205</v>
      </c>
      <c r="B409" t="s">
        <v>206</v>
      </c>
      <c r="C409">
        <v>284.6674999999999</v>
      </c>
    </row>
    <row r="410" spans="1:3" x14ac:dyDescent="0.25">
      <c r="A410" t="s">
        <v>205</v>
      </c>
      <c r="B410" t="s">
        <v>206</v>
      </c>
      <c r="C410">
        <v>284.6674999999999</v>
      </c>
    </row>
    <row r="411" spans="1:3" x14ac:dyDescent="0.25">
      <c r="A411" t="s">
        <v>205</v>
      </c>
      <c r="B411" t="s">
        <v>206</v>
      </c>
      <c r="C411">
        <v>284.6674999999999</v>
      </c>
    </row>
    <row r="412" spans="1:3" x14ac:dyDescent="0.25">
      <c r="A412" t="s">
        <v>205</v>
      </c>
      <c r="B412" t="s">
        <v>206</v>
      </c>
      <c r="C412">
        <v>284.6674999999999</v>
      </c>
    </row>
    <row r="413" spans="1:3" x14ac:dyDescent="0.25">
      <c r="A413" t="s">
        <v>205</v>
      </c>
      <c r="B413" t="s">
        <v>206</v>
      </c>
      <c r="C413">
        <v>284.6674999999999</v>
      </c>
    </row>
    <row r="414" spans="1:3" x14ac:dyDescent="0.25">
      <c r="A414" t="s">
        <v>205</v>
      </c>
      <c r="B414" t="s">
        <v>206</v>
      </c>
      <c r="C414">
        <v>284.6674999999999</v>
      </c>
    </row>
    <row r="415" spans="1:3" x14ac:dyDescent="0.25">
      <c r="A415" t="s">
        <v>205</v>
      </c>
      <c r="B415" t="s">
        <v>206</v>
      </c>
      <c r="C415">
        <v>284.6674999999999</v>
      </c>
    </row>
    <row r="416" spans="1:3" x14ac:dyDescent="0.25">
      <c r="A416" t="s">
        <v>205</v>
      </c>
      <c r="B416" t="s">
        <v>206</v>
      </c>
      <c r="C416">
        <v>284.6674999999999</v>
      </c>
    </row>
    <row r="417" spans="1:3" x14ac:dyDescent="0.25">
      <c r="A417" t="s">
        <v>205</v>
      </c>
      <c r="B417" t="s">
        <v>206</v>
      </c>
      <c r="C417">
        <v>284.6674999999999</v>
      </c>
    </row>
    <row r="418" spans="1:3" x14ac:dyDescent="0.25">
      <c r="A418" t="s">
        <v>205</v>
      </c>
      <c r="B418" t="s">
        <v>206</v>
      </c>
      <c r="C418">
        <v>284.6674999999999</v>
      </c>
    </row>
    <row r="419" spans="1:3" x14ac:dyDescent="0.25">
      <c r="A419" t="s">
        <v>205</v>
      </c>
      <c r="B419" t="s">
        <v>206</v>
      </c>
      <c r="C419">
        <v>284.6674999999999</v>
      </c>
    </row>
    <row r="420" spans="1:3" x14ac:dyDescent="0.25">
      <c r="A420" t="s">
        <v>205</v>
      </c>
      <c r="B420" t="s">
        <v>206</v>
      </c>
      <c r="C420">
        <v>284.6674999999999</v>
      </c>
    </row>
    <row r="421" spans="1:3" x14ac:dyDescent="0.25">
      <c r="A421" t="s">
        <v>205</v>
      </c>
      <c r="B421" t="s">
        <v>206</v>
      </c>
      <c r="C421">
        <v>284.6674999999999</v>
      </c>
    </row>
    <row r="422" spans="1:3" x14ac:dyDescent="0.25">
      <c r="A422" t="s">
        <v>205</v>
      </c>
      <c r="B422" t="s">
        <v>206</v>
      </c>
      <c r="C422">
        <v>284.6674999999999</v>
      </c>
    </row>
    <row r="423" spans="1:3" x14ac:dyDescent="0.25">
      <c r="A423" t="s">
        <v>205</v>
      </c>
      <c r="B423" t="s">
        <v>206</v>
      </c>
      <c r="C423">
        <v>284.6674999999999</v>
      </c>
    </row>
    <row r="424" spans="1:3" x14ac:dyDescent="0.25">
      <c r="A424" t="s">
        <v>205</v>
      </c>
      <c r="B424" t="s">
        <v>206</v>
      </c>
      <c r="C424">
        <v>284.6674999999999</v>
      </c>
    </row>
    <row r="425" spans="1:3" x14ac:dyDescent="0.25">
      <c r="A425" t="s">
        <v>205</v>
      </c>
      <c r="B425" t="s">
        <v>206</v>
      </c>
      <c r="C425">
        <v>284.6674999999999</v>
      </c>
    </row>
    <row r="426" spans="1:3" x14ac:dyDescent="0.25">
      <c r="A426" t="s">
        <v>205</v>
      </c>
      <c r="B426" t="s">
        <v>206</v>
      </c>
      <c r="C426">
        <v>284.6674999999999</v>
      </c>
    </row>
    <row r="427" spans="1:3" x14ac:dyDescent="0.25">
      <c r="A427" t="s">
        <v>205</v>
      </c>
      <c r="B427" t="s">
        <v>206</v>
      </c>
      <c r="C427">
        <v>284.6674999999999</v>
      </c>
    </row>
    <row r="428" spans="1:3" x14ac:dyDescent="0.25">
      <c r="A428" t="s">
        <v>205</v>
      </c>
      <c r="B428" t="s">
        <v>206</v>
      </c>
      <c r="C428">
        <v>284.6674999999999</v>
      </c>
    </row>
    <row r="429" spans="1:3" x14ac:dyDescent="0.25">
      <c r="A429" t="s">
        <v>205</v>
      </c>
      <c r="B429" t="s">
        <v>206</v>
      </c>
      <c r="C429">
        <v>284.6674999999999</v>
      </c>
    </row>
    <row r="430" spans="1:3" x14ac:dyDescent="0.25">
      <c r="A430" t="s">
        <v>205</v>
      </c>
      <c r="B430" t="s">
        <v>206</v>
      </c>
      <c r="C430">
        <v>284.6674999999999</v>
      </c>
    </row>
    <row r="431" spans="1:3" x14ac:dyDescent="0.25">
      <c r="A431" t="s">
        <v>205</v>
      </c>
      <c r="B431" t="s">
        <v>206</v>
      </c>
      <c r="C431">
        <v>284.6674999999999</v>
      </c>
    </row>
    <row r="432" spans="1:3" x14ac:dyDescent="0.25">
      <c r="A432" t="s">
        <v>205</v>
      </c>
      <c r="B432" t="s">
        <v>206</v>
      </c>
      <c r="C432">
        <v>284.6674999999999</v>
      </c>
    </row>
    <row r="433" spans="1:3" x14ac:dyDescent="0.25">
      <c r="A433" t="s">
        <v>205</v>
      </c>
      <c r="B433" t="s">
        <v>206</v>
      </c>
      <c r="C433">
        <v>284.6674999999999</v>
      </c>
    </row>
    <row r="434" spans="1:3" x14ac:dyDescent="0.25">
      <c r="A434" t="s">
        <v>1219</v>
      </c>
      <c r="B434" t="s">
        <v>1220</v>
      </c>
      <c r="C434">
        <v>280</v>
      </c>
    </row>
    <row r="435" spans="1:3" x14ac:dyDescent="0.25">
      <c r="A435" t="s">
        <v>1222</v>
      </c>
      <c r="B435" t="s">
        <v>1220</v>
      </c>
      <c r="C435">
        <v>280</v>
      </c>
    </row>
    <row r="436" spans="1:3" x14ac:dyDescent="0.25">
      <c r="A436" t="s">
        <v>36</v>
      </c>
      <c r="B436" t="s">
        <v>37</v>
      </c>
      <c r="C436">
        <v>260</v>
      </c>
    </row>
    <row r="437" spans="1:3" x14ac:dyDescent="0.25">
      <c r="A437" t="s">
        <v>36</v>
      </c>
      <c r="B437" t="s">
        <v>37</v>
      </c>
      <c r="C437">
        <v>260</v>
      </c>
    </row>
    <row r="438" spans="1:3" x14ac:dyDescent="0.25">
      <c r="A438" t="s">
        <v>36</v>
      </c>
      <c r="B438" t="s">
        <v>37</v>
      </c>
      <c r="C438">
        <v>260</v>
      </c>
    </row>
    <row r="439" spans="1:3" x14ac:dyDescent="0.25">
      <c r="A439" t="s">
        <v>36</v>
      </c>
      <c r="B439" t="s">
        <v>37</v>
      </c>
      <c r="C439">
        <v>260</v>
      </c>
    </row>
    <row r="440" spans="1:3" x14ac:dyDescent="0.25">
      <c r="A440" t="s">
        <v>143</v>
      </c>
      <c r="B440" t="s">
        <v>144</v>
      </c>
      <c r="C440">
        <v>255</v>
      </c>
    </row>
    <row r="441" spans="1:3" x14ac:dyDescent="0.25">
      <c r="A441" t="s">
        <v>129</v>
      </c>
      <c r="B441" t="s">
        <v>130</v>
      </c>
      <c r="C441">
        <v>250</v>
      </c>
    </row>
    <row r="442" spans="1:3" x14ac:dyDescent="0.25">
      <c r="A442" t="s">
        <v>554</v>
      </c>
      <c r="B442" t="s">
        <v>555</v>
      </c>
      <c r="C442">
        <v>250</v>
      </c>
    </row>
    <row r="443" spans="1:3" x14ac:dyDescent="0.25">
      <c r="A443" t="s">
        <v>614</v>
      </c>
      <c r="B443" t="s">
        <v>615</v>
      </c>
      <c r="C443">
        <v>250</v>
      </c>
    </row>
    <row r="444" spans="1:3" x14ac:dyDescent="0.25">
      <c r="A444" t="s">
        <v>1189</v>
      </c>
      <c r="B444" t="s">
        <v>1190</v>
      </c>
      <c r="C444">
        <v>250</v>
      </c>
    </row>
    <row r="445" spans="1:3" x14ac:dyDescent="0.25">
      <c r="A445" t="s">
        <v>329</v>
      </c>
      <c r="B445" t="s">
        <v>330</v>
      </c>
      <c r="C445">
        <v>247.51499999999996</v>
      </c>
    </row>
    <row r="446" spans="1:3" x14ac:dyDescent="0.25">
      <c r="A446" t="s">
        <v>329</v>
      </c>
      <c r="B446" t="s">
        <v>330</v>
      </c>
      <c r="C446">
        <v>247.51499999999996</v>
      </c>
    </row>
    <row r="447" spans="1:3" x14ac:dyDescent="0.25">
      <c r="A447" t="s">
        <v>329</v>
      </c>
      <c r="B447" t="s">
        <v>330</v>
      </c>
      <c r="C447">
        <v>247.51499999999996</v>
      </c>
    </row>
    <row r="448" spans="1:3" x14ac:dyDescent="0.25">
      <c r="A448" t="s">
        <v>329</v>
      </c>
      <c r="B448" t="s">
        <v>330</v>
      </c>
      <c r="C448">
        <v>247.51499999999996</v>
      </c>
    </row>
    <row r="449" spans="1:3" x14ac:dyDescent="0.25">
      <c r="A449" t="s">
        <v>329</v>
      </c>
      <c r="B449" t="s">
        <v>330</v>
      </c>
      <c r="C449">
        <v>247.51499999999996</v>
      </c>
    </row>
    <row r="450" spans="1:3" x14ac:dyDescent="0.25">
      <c r="A450" t="s">
        <v>329</v>
      </c>
      <c r="B450" t="s">
        <v>330</v>
      </c>
      <c r="C450">
        <v>247.51499999999996</v>
      </c>
    </row>
    <row r="451" spans="1:3" x14ac:dyDescent="0.25">
      <c r="A451" t="s">
        <v>329</v>
      </c>
      <c r="B451" t="s">
        <v>330</v>
      </c>
      <c r="C451">
        <v>247.51499999999996</v>
      </c>
    </row>
    <row r="452" spans="1:3" x14ac:dyDescent="0.25">
      <c r="A452" t="s">
        <v>329</v>
      </c>
      <c r="B452" t="s">
        <v>330</v>
      </c>
      <c r="C452">
        <v>247.51499999999996</v>
      </c>
    </row>
    <row r="453" spans="1:3" x14ac:dyDescent="0.25">
      <c r="A453" t="s">
        <v>329</v>
      </c>
      <c r="B453" t="s">
        <v>330</v>
      </c>
      <c r="C453">
        <v>247.51499999999996</v>
      </c>
    </row>
    <row r="454" spans="1:3" x14ac:dyDescent="0.25">
      <c r="A454" t="s">
        <v>329</v>
      </c>
      <c r="B454" t="s">
        <v>330</v>
      </c>
      <c r="C454">
        <v>247.51499999999996</v>
      </c>
    </row>
    <row r="455" spans="1:3" x14ac:dyDescent="0.25">
      <c r="A455" t="s">
        <v>329</v>
      </c>
      <c r="B455" t="s">
        <v>330</v>
      </c>
      <c r="C455">
        <v>247.51499999999996</v>
      </c>
    </row>
    <row r="456" spans="1:3" x14ac:dyDescent="0.25">
      <c r="A456" t="s">
        <v>329</v>
      </c>
      <c r="B456" t="s">
        <v>330</v>
      </c>
      <c r="C456">
        <v>247.51499999999996</v>
      </c>
    </row>
    <row r="457" spans="1:3" x14ac:dyDescent="0.25">
      <c r="A457" t="s">
        <v>329</v>
      </c>
      <c r="B457" t="s">
        <v>330</v>
      </c>
      <c r="C457">
        <v>247.51499999999996</v>
      </c>
    </row>
    <row r="458" spans="1:3" x14ac:dyDescent="0.25">
      <c r="A458" t="s">
        <v>329</v>
      </c>
      <c r="B458" t="s">
        <v>330</v>
      </c>
      <c r="C458">
        <v>247.51499999999996</v>
      </c>
    </row>
    <row r="459" spans="1:3" x14ac:dyDescent="0.25">
      <c r="A459" t="s">
        <v>329</v>
      </c>
      <c r="B459" t="s">
        <v>330</v>
      </c>
      <c r="C459">
        <v>247.51499999999996</v>
      </c>
    </row>
    <row r="460" spans="1:3" x14ac:dyDescent="0.25">
      <c r="A460" t="s">
        <v>329</v>
      </c>
      <c r="B460" t="s">
        <v>330</v>
      </c>
      <c r="C460">
        <v>247.51499999999996</v>
      </c>
    </row>
    <row r="461" spans="1:3" x14ac:dyDescent="0.25">
      <c r="A461" t="s">
        <v>329</v>
      </c>
      <c r="B461" t="s">
        <v>330</v>
      </c>
      <c r="C461">
        <v>247.51499999999996</v>
      </c>
    </row>
    <row r="462" spans="1:3" x14ac:dyDescent="0.25">
      <c r="A462" t="s">
        <v>329</v>
      </c>
      <c r="B462" t="s">
        <v>330</v>
      </c>
      <c r="C462">
        <v>247.51499999999996</v>
      </c>
    </row>
    <row r="463" spans="1:3" x14ac:dyDescent="0.25">
      <c r="A463" t="s">
        <v>329</v>
      </c>
      <c r="B463" t="s">
        <v>330</v>
      </c>
      <c r="C463">
        <v>247.51499999999996</v>
      </c>
    </row>
    <row r="464" spans="1:3" x14ac:dyDescent="0.25">
      <c r="A464" t="s">
        <v>329</v>
      </c>
      <c r="B464" t="s">
        <v>330</v>
      </c>
      <c r="C464">
        <v>247.51499999999996</v>
      </c>
    </row>
    <row r="465" spans="1:3" x14ac:dyDescent="0.25">
      <c r="A465" t="s">
        <v>329</v>
      </c>
      <c r="B465" t="s">
        <v>330</v>
      </c>
      <c r="C465">
        <v>247.51499999999996</v>
      </c>
    </row>
    <row r="466" spans="1:3" x14ac:dyDescent="0.25">
      <c r="A466" t="s">
        <v>329</v>
      </c>
      <c r="B466" t="s">
        <v>330</v>
      </c>
      <c r="C466">
        <v>247.51499999999996</v>
      </c>
    </row>
    <row r="467" spans="1:3" x14ac:dyDescent="0.25">
      <c r="A467" t="s">
        <v>329</v>
      </c>
      <c r="B467" t="s">
        <v>330</v>
      </c>
      <c r="C467">
        <v>247.51499999999996</v>
      </c>
    </row>
    <row r="468" spans="1:3" x14ac:dyDescent="0.25">
      <c r="A468" t="s">
        <v>329</v>
      </c>
      <c r="B468" t="s">
        <v>330</v>
      </c>
      <c r="C468">
        <v>247.51499999999996</v>
      </c>
    </row>
    <row r="469" spans="1:3" x14ac:dyDescent="0.25">
      <c r="A469" t="s">
        <v>329</v>
      </c>
      <c r="B469" t="s">
        <v>330</v>
      </c>
      <c r="C469">
        <v>247.51499999999996</v>
      </c>
    </row>
    <row r="470" spans="1:3" x14ac:dyDescent="0.25">
      <c r="A470" t="s">
        <v>329</v>
      </c>
      <c r="B470" t="s">
        <v>330</v>
      </c>
      <c r="C470">
        <v>247.51499999999996</v>
      </c>
    </row>
    <row r="471" spans="1:3" x14ac:dyDescent="0.25">
      <c r="A471" t="s">
        <v>329</v>
      </c>
      <c r="B471" t="s">
        <v>330</v>
      </c>
      <c r="C471">
        <v>247.51499999999996</v>
      </c>
    </row>
    <row r="472" spans="1:3" x14ac:dyDescent="0.25">
      <c r="A472" t="s">
        <v>329</v>
      </c>
      <c r="B472" t="s">
        <v>330</v>
      </c>
      <c r="C472">
        <v>247.51499999999996</v>
      </c>
    </row>
    <row r="473" spans="1:3" x14ac:dyDescent="0.25">
      <c r="A473" t="s">
        <v>329</v>
      </c>
      <c r="B473" t="s">
        <v>330</v>
      </c>
      <c r="C473">
        <v>247.51499999999996</v>
      </c>
    </row>
    <row r="474" spans="1:3" x14ac:dyDescent="0.25">
      <c r="A474" t="s">
        <v>329</v>
      </c>
      <c r="B474" t="s">
        <v>330</v>
      </c>
      <c r="C474">
        <v>247.51499999999996</v>
      </c>
    </row>
    <row r="475" spans="1:3" x14ac:dyDescent="0.25">
      <c r="A475" t="s">
        <v>329</v>
      </c>
      <c r="B475" t="s">
        <v>330</v>
      </c>
      <c r="C475">
        <v>247.51499999999996</v>
      </c>
    </row>
    <row r="476" spans="1:3" x14ac:dyDescent="0.25">
      <c r="A476" t="s">
        <v>329</v>
      </c>
      <c r="B476" t="s">
        <v>330</v>
      </c>
      <c r="C476">
        <v>247.51499999999996</v>
      </c>
    </row>
    <row r="477" spans="1:3" x14ac:dyDescent="0.25">
      <c r="A477" t="s">
        <v>329</v>
      </c>
      <c r="B477" t="s">
        <v>330</v>
      </c>
      <c r="C477">
        <v>247.51499999999996</v>
      </c>
    </row>
    <row r="478" spans="1:3" x14ac:dyDescent="0.25">
      <c r="A478" t="s">
        <v>329</v>
      </c>
      <c r="B478" t="s">
        <v>330</v>
      </c>
      <c r="C478">
        <v>247.51499999999996</v>
      </c>
    </row>
    <row r="479" spans="1:3" x14ac:dyDescent="0.25">
      <c r="A479" t="s">
        <v>329</v>
      </c>
      <c r="B479" t="s">
        <v>330</v>
      </c>
      <c r="C479">
        <v>247.51499999999996</v>
      </c>
    </row>
    <row r="480" spans="1:3" x14ac:dyDescent="0.25">
      <c r="A480" t="s">
        <v>329</v>
      </c>
      <c r="B480" t="s">
        <v>330</v>
      </c>
      <c r="C480">
        <v>247.51499999999996</v>
      </c>
    </row>
    <row r="481" spans="1:3" x14ac:dyDescent="0.25">
      <c r="A481" t="s">
        <v>329</v>
      </c>
      <c r="B481" t="s">
        <v>330</v>
      </c>
      <c r="C481">
        <v>247.51499999999996</v>
      </c>
    </row>
    <row r="482" spans="1:3" x14ac:dyDescent="0.25">
      <c r="A482" t="s">
        <v>329</v>
      </c>
      <c r="B482" t="s">
        <v>330</v>
      </c>
      <c r="C482">
        <v>247.51499999999996</v>
      </c>
    </row>
    <row r="483" spans="1:3" x14ac:dyDescent="0.25">
      <c r="A483" t="s">
        <v>329</v>
      </c>
      <c r="B483" t="s">
        <v>330</v>
      </c>
      <c r="C483">
        <v>247.51499999999996</v>
      </c>
    </row>
    <row r="484" spans="1:3" x14ac:dyDescent="0.25">
      <c r="A484" t="s">
        <v>329</v>
      </c>
      <c r="B484" t="s">
        <v>330</v>
      </c>
      <c r="C484">
        <v>247.51499999999996</v>
      </c>
    </row>
    <row r="485" spans="1:3" x14ac:dyDescent="0.25">
      <c r="A485" t="s">
        <v>329</v>
      </c>
      <c r="B485" t="s">
        <v>330</v>
      </c>
      <c r="C485">
        <v>247.51499999999996</v>
      </c>
    </row>
    <row r="486" spans="1:3" x14ac:dyDescent="0.25">
      <c r="A486" t="s">
        <v>329</v>
      </c>
      <c r="B486" t="s">
        <v>330</v>
      </c>
      <c r="C486">
        <v>247.51499999999996</v>
      </c>
    </row>
    <row r="487" spans="1:3" x14ac:dyDescent="0.25">
      <c r="A487" t="s">
        <v>329</v>
      </c>
      <c r="B487" t="s">
        <v>330</v>
      </c>
      <c r="C487">
        <v>247.51499999999996</v>
      </c>
    </row>
    <row r="488" spans="1:3" x14ac:dyDescent="0.25">
      <c r="A488" t="s">
        <v>329</v>
      </c>
      <c r="B488" t="s">
        <v>330</v>
      </c>
      <c r="C488">
        <v>247.51499999999996</v>
      </c>
    </row>
    <row r="489" spans="1:3" x14ac:dyDescent="0.25">
      <c r="A489" t="s">
        <v>329</v>
      </c>
      <c r="B489" t="s">
        <v>330</v>
      </c>
      <c r="C489">
        <v>247.51499999999996</v>
      </c>
    </row>
    <row r="490" spans="1:3" x14ac:dyDescent="0.25">
      <c r="A490" t="s">
        <v>329</v>
      </c>
      <c r="B490" t="s">
        <v>330</v>
      </c>
      <c r="C490">
        <v>247.51499999999996</v>
      </c>
    </row>
    <row r="491" spans="1:3" x14ac:dyDescent="0.25">
      <c r="A491" t="s">
        <v>329</v>
      </c>
      <c r="B491" t="s">
        <v>330</v>
      </c>
      <c r="C491">
        <v>247.51499999999996</v>
      </c>
    </row>
    <row r="492" spans="1:3" x14ac:dyDescent="0.25">
      <c r="A492" t="s">
        <v>329</v>
      </c>
      <c r="B492" t="s">
        <v>330</v>
      </c>
      <c r="C492">
        <v>247.51499999999996</v>
      </c>
    </row>
    <row r="493" spans="1:3" x14ac:dyDescent="0.25">
      <c r="A493" t="s">
        <v>329</v>
      </c>
      <c r="B493" t="s">
        <v>330</v>
      </c>
      <c r="C493">
        <v>247.51499999999996</v>
      </c>
    </row>
    <row r="494" spans="1:3" x14ac:dyDescent="0.25">
      <c r="A494" t="s">
        <v>329</v>
      </c>
      <c r="B494" t="s">
        <v>330</v>
      </c>
      <c r="C494">
        <v>247.51499999999996</v>
      </c>
    </row>
    <row r="495" spans="1:3" x14ac:dyDescent="0.25">
      <c r="A495" t="s">
        <v>329</v>
      </c>
      <c r="B495" t="s">
        <v>330</v>
      </c>
      <c r="C495">
        <v>247.51499999999996</v>
      </c>
    </row>
    <row r="496" spans="1:3" x14ac:dyDescent="0.25">
      <c r="A496" t="s">
        <v>329</v>
      </c>
      <c r="B496" t="s">
        <v>330</v>
      </c>
      <c r="C496">
        <v>247.51499999999996</v>
      </c>
    </row>
    <row r="497" spans="1:3" x14ac:dyDescent="0.25">
      <c r="A497" t="s">
        <v>329</v>
      </c>
      <c r="B497" t="s">
        <v>330</v>
      </c>
      <c r="C497">
        <v>247.51499999999996</v>
      </c>
    </row>
    <row r="498" spans="1:3" x14ac:dyDescent="0.25">
      <c r="A498" t="s">
        <v>329</v>
      </c>
      <c r="B498" t="s">
        <v>330</v>
      </c>
      <c r="C498">
        <v>247.51499999999996</v>
      </c>
    </row>
    <row r="499" spans="1:3" x14ac:dyDescent="0.25">
      <c r="A499" t="s">
        <v>329</v>
      </c>
      <c r="B499" t="s">
        <v>330</v>
      </c>
      <c r="C499">
        <v>247.51499999999996</v>
      </c>
    </row>
    <row r="500" spans="1:3" x14ac:dyDescent="0.25">
      <c r="A500" t="s">
        <v>329</v>
      </c>
      <c r="B500" t="s">
        <v>330</v>
      </c>
      <c r="C500">
        <v>247.51499999999996</v>
      </c>
    </row>
    <row r="501" spans="1:3" x14ac:dyDescent="0.25">
      <c r="A501" t="s">
        <v>329</v>
      </c>
      <c r="B501" t="s">
        <v>330</v>
      </c>
      <c r="C501">
        <v>247.51499999999996</v>
      </c>
    </row>
    <row r="502" spans="1:3" x14ac:dyDescent="0.25">
      <c r="A502" t="s">
        <v>329</v>
      </c>
      <c r="B502" t="s">
        <v>330</v>
      </c>
      <c r="C502">
        <v>247.51499999999996</v>
      </c>
    </row>
    <row r="503" spans="1:3" x14ac:dyDescent="0.25">
      <c r="A503" t="s">
        <v>171</v>
      </c>
      <c r="B503" t="s">
        <v>172</v>
      </c>
      <c r="C503">
        <v>210</v>
      </c>
    </row>
    <row r="504" spans="1:3" x14ac:dyDescent="0.25">
      <c r="A504" t="s">
        <v>143</v>
      </c>
      <c r="B504" t="s">
        <v>589</v>
      </c>
      <c r="C504">
        <v>210</v>
      </c>
    </row>
    <row r="505" spans="1:3" x14ac:dyDescent="0.25">
      <c r="A505" t="s">
        <v>171</v>
      </c>
      <c r="B505" t="s">
        <v>172</v>
      </c>
      <c r="C505">
        <v>210</v>
      </c>
    </row>
    <row r="506" spans="1:3" x14ac:dyDescent="0.25">
      <c r="A506" t="s">
        <v>65</v>
      </c>
      <c r="B506" t="s">
        <v>66</v>
      </c>
      <c r="C506">
        <v>185</v>
      </c>
    </row>
    <row r="507" spans="1:3" x14ac:dyDescent="0.25">
      <c r="A507" t="s">
        <v>574</v>
      </c>
      <c r="B507" t="s">
        <v>66</v>
      </c>
      <c r="C507">
        <v>185</v>
      </c>
    </row>
    <row r="508" spans="1:3" x14ac:dyDescent="0.25">
      <c r="A508" t="s">
        <v>65</v>
      </c>
      <c r="B508" t="s">
        <v>66</v>
      </c>
      <c r="C508">
        <v>185</v>
      </c>
    </row>
    <row r="509" spans="1:3" x14ac:dyDescent="0.25">
      <c r="A509" t="s">
        <v>574</v>
      </c>
      <c r="B509" t="s">
        <v>66</v>
      </c>
      <c r="C509">
        <v>185</v>
      </c>
    </row>
    <row r="510" spans="1:3" x14ac:dyDescent="0.25">
      <c r="A510" t="s">
        <v>22</v>
      </c>
      <c r="B510" t="s">
        <v>23</v>
      </c>
      <c r="C510">
        <v>180</v>
      </c>
    </row>
    <row r="511" spans="1:3" x14ac:dyDescent="0.25">
      <c r="A511" t="s">
        <v>22</v>
      </c>
      <c r="B511" t="s">
        <v>23</v>
      </c>
      <c r="C511">
        <v>180</v>
      </c>
    </row>
    <row r="512" spans="1:3" x14ac:dyDescent="0.25">
      <c r="A512" t="s">
        <v>50</v>
      </c>
      <c r="B512" t="s">
        <v>51</v>
      </c>
      <c r="C512">
        <v>180</v>
      </c>
    </row>
    <row r="513" spans="1:3" x14ac:dyDescent="0.25">
      <c r="A513" t="s">
        <v>22</v>
      </c>
      <c r="B513" t="s">
        <v>23</v>
      </c>
      <c r="C513">
        <v>180</v>
      </c>
    </row>
    <row r="514" spans="1:3" x14ac:dyDescent="0.25">
      <c r="A514" t="s">
        <v>80</v>
      </c>
      <c r="B514" t="s">
        <v>81</v>
      </c>
      <c r="C514">
        <v>180</v>
      </c>
    </row>
    <row r="515" spans="1:3" x14ac:dyDescent="0.25">
      <c r="A515" t="s">
        <v>83</v>
      </c>
      <c r="B515" t="s">
        <v>84</v>
      </c>
      <c r="C515">
        <v>180</v>
      </c>
    </row>
    <row r="516" spans="1:3" x14ac:dyDescent="0.25">
      <c r="A516" t="s">
        <v>582</v>
      </c>
      <c r="B516" t="s">
        <v>583</v>
      </c>
      <c r="C516">
        <v>180</v>
      </c>
    </row>
    <row r="517" spans="1:3" x14ac:dyDescent="0.25">
      <c r="A517" t="s">
        <v>1009</v>
      </c>
      <c r="B517" t="s">
        <v>1010</v>
      </c>
      <c r="C517">
        <v>180</v>
      </c>
    </row>
    <row r="518" spans="1:3" x14ac:dyDescent="0.25">
      <c r="A518" t="s">
        <v>83</v>
      </c>
      <c r="B518" t="s">
        <v>84</v>
      </c>
      <c r="C518">
        <v>180</v>
      </c>
    </row>
    <row r="519" spans="1:3" x14ac:dyDescent="0.25">
      <c r="A519" t="s">
        <v>50</v>
      </c>
      <c r="B519" t="s">
        <v>51</v>
      </c>
      <c r="C519">
        <v>180</v>
      </c>
    </row>
    <row r="520" spans="1:3" x14ac:dyDescent="0.25">
      <c r="A520" t="s">
        <v>22</v>
      </c>
      <c r="B520" t="s">
        <v>23</v>
      </c>
      <c r="C520">
        <v>180</v>
      </c>
    </row>
    <row r="521" spans="1:3" x14ac:dyDescent="0.25">
      <c r="A521" t="s">
        <v>80</v>
      </c>
      <c r="B521" t="s">
        <v>81</v>
      </c>
      <c r="C521">
        <v>180</v>
      </c>
    </row>
    <row r="522" spans="1:3" x14ac:dyDescent="0.25">
      <c r="A522" t="s">
        <v>1120</v>
      </c>
      <c r="B522" t="s">
        <v>1121</v>
      </c>
      <c r="C522">
        <v>180</v>
      </c>
    </row>
    <row r="523" spans="1:3" x14ac:dyDescent="0.25">
      <c r="A523" t="s">
        <v>58</v>
      </c>
      <c r="B523" t="s">
        <v>59</v>
      </c>
      <c r="C523">
        <v>165</v>
      </c>
    </row>
    <row r="524" spans="1:3" x14ac:dyDescent="0.25">
      <c r="A524" t="s">
        <v>551</v>
      </c>
      <c r="B524" t="s">
        <v>552</v>
      </c>
      <c r="C524">
        <v>165</v>
      </c>
    </row>
    <row r="525" spans="1:3" x14ac:dyDescent="0.25">
      <c r="A525" t="s">
        <v>626</v>
      </c>
      <c r="B525" t="s">
        <v>627</v>
      </c>
      <c r="C525">
        <v>150.05249999999998</v>
      </c>
    </row>
    <row r="526" spans="1:3" x14ac:dyDescent="0.25">
      <c r="A526" t="s">
        <v>626</v>
      </c>
      <c r="B526" t="s">
        <v>627</v>
      </c>
      <c r="C526">
        <v>150.05249999999998</v>
      </c>
    </row>
    <row r="527" spans="1:3" x14ac:dyDescent="0.25">
      <c r="A527" t="s">
        <v>626</v>
      </c>
      <c r="B527" t="s">
        <v>627</v>
      </c>
      <c r="C527">
        <v>150.05249999999998</v>
      </c>
    </row>
    <row r="528" spans="1:3" x14ac:dyDescent="0.25">
      <c r="A528" t="s">
        <v>626</v>
      </c>
      <c r="B528" t="s">
        <v>627</v>
      </c>
      <c r="C528">
        <v>150.05249999999998</v>
      </c>
    </row>
    <row r="529" spans="1:3" x14ac:dyDescent="0.25">
      <c r="A529" t="s">
        <v>626</v>
      </c>
      <c r="B529" t="s">
        <v>627</v>
      </c>
      <c r="C529">
        <v>150.05249999999998</v>
      </c>
    </row>
    <row r="530" spans="1:3" x14ac:dyDescent="0.25">
      <c r="A530" t="s">
        <v>626</v>
      </c>
      <c r="B530" t="s">
        <v>627</v>
      </c>
      <c r="C530">
        <v>150.05249999999998</v>
      </c>
    </row>
    <row r="531" spans="1:3" x14ac:dyDescent="0.25">
      <c r="A531" t="s">
        <v>626</v>
      </c>
      <c r="B531" t="s">
        <v>627</v>
      </c>
      <c r="C531">
        <v>150.05249999999998</v>
      </c>
    </row>
    <row r="532" spans="1:3" x14ac:dyDescent="0.25">
      <c r="A532" t="s">
        <v>626</v>
      </c>
      <c r="B532" t="s">
        <v>627</v>
      </c>
      <c r="C532">
        <v>150.05249999999998</v>
      </c>
    </row>
    <row r="533" spans="1:3" x14ac:dyDescent="0.25">
      <c r="A533" t="s">
        <v>626</v>
      </c>
      <c r="B533" t="s">
        <v>627</v>
      </c>
      <c r="C533">
        <v>150.05249999999998</v>
      </c>
    </row>
    <row r="534" spans="1:3" x14ac:dyDescent="0.25">
      <c r="A534" t="s">
        <v>626</v>
      </c>
      <c r="B534" t="s">
        <v>627</v>
      </c>
      <c r="C534">
        <v>150.05249999999998</v>
      </c>
    </row>
    <row r="535" spans="1:3" x14ac:dyDescent="0.25">
      <c r="A535" t="s">
        <v>47</v>
      </c>
      <c r="B535" t="s">
        <v>48</v>
      </c>
      <c r="C535">
        <v>150</v>
      </c>
    </row>
    <row r="536" spans="1:3" x14ac:dyDescent="0.25">
      <c r="A536" t="s">
        <v>70</v>
      </c>
      <c r="B536" t="s">
        <v>48</v>
      </c>
      <c r="C536">
        <v>150</v>
      </c>
    </row>
    <row r="537" spans="1:3" x14ac:dyDescent="0.25">
      <c r="A537" t="s">
        <v>47</v>
      </c>
      <c r="B537" t="s">
        <v>48</v>
      </c>
      <c r="C537">
        <v>150</v>
      </c>
    </row>
    <row r="538" spans="1:3" x14ac:dyDescent="0.25">
      <c r="A538" t="s">
        <v>70</v>
      </c>
      <c r="B538" t="s">
        <v>48</v>
      </c>
      <c r="C538">
        <v>150</v>
      </c>
    </row>
    <row r="539" spans="1:3" x14ac:dyDescent="0.25">
      <c r="A539" t="s">
        <v>33</v>
      </c>
      <c r="B539" t="s">
        <v>34</v>
      </c>
      <c r="C539">
        <v>140</v>
      </c>
    </row>
    <row r="540" spans="1:3" x14ac:dyDescent="0.25">
      <c r="A540" t="s">
        <v>68</v>
      </c>
      <c r="B540" t="s">
        <v>34</v>
      </c>
      <c r="C540">
        <v>140</v>
      </c>
    </row>
    <row r="541" spans="1:3" x14ac:dyDescent="0.25">
      <c r="A541" t="s">
        <v>33</v>
      </c>
      <c r="B541" t="s">
        <v>34</v>
      </c>
      <c r="C541">
        <v>140</v>
      </c>
    </row>
    <row r="542" spans="1:3" x14ac:dyDescent="0.25">
      <c r="A542" t="s">
        <v>68</v>
      </c>
      <c r="B542" t="s">
        <v>34</v>
      </c>
      <c r="C542">
        <v>140</v>
      </c>
    </row>
    <row r="543" spans="1:3" x14ac:dyDescent="0.25">
      <c r="A543" t="s">
        <v>143</v>
      </c>
      <c r="B543" t="s">
        <v>590</v>
      </c>
      <c r="C543">
        <v>135</v>
      </c>
    </row>
    <row r="544" spans="1:3" x14ac:dyDescent="0.25">
      <c r="A544" t="s">
        <v>93</v>
      </c>
      <c r="B544" t="s">
        <v>94</v>
      </c>
      <c r="C544">
        <v>125</v>
      </c>
    </row>
    <row r="545" spans="1:3" x14ac:dyDescent="0.25">
      <c r="A545" t="s">
        <v>549</v>
      </c>
      <c r="B545" t="s">
        <v>550</v>
      </c>
      <c r="C545">
        <v>120</v>
      </c>
    </row>
    <row r="546" spans="1:3" x14ac:dyDescent="0.25">
      <c r="A546" t="s">
        <v>50</v>
      </c>
      <c r="B546" t="s">
        <v>550</v>
      </c>
      <c r="C546">
        <v>120</v>
      </c>
    </row>
    <row r="547" spans="1:3" x14ac:dyDescent="0.25">
      <c r="A547" t="s">
        <v>544</v>
      </c>
      <c r="B547" t="s">
        <v>545</v>
      </c>
      <c r="C547">
        <v>115</v>
      </c>
    </row>
    <row r="548" spans="1:3" x14ac:dyDescent="0.25">
      <c r="A548" t="s">
        <v>816</v>
      </c>
      <c r="B548" t="s">
        <v>545</v>
      </c>
      <c r="C548">
        <v>115</v>
      </c>
    </row>
    <row r="549" spans="1:3" x14ac:dyDescent="0.25">
      <c r="A549" t="s">
        <v>447</v>
      </c>
      <c r="B549" t="s">
        <v>448</v>
      </c>
      <c r="C549">
        <v>113.6925</v>
      </c>
    </row>
    <row r="550" spans="1:3" x14ac:dyDescent="0.25">
      <c r="A550" t="s">
        <v>447</v>
      </c>
      <c r="B550" t="s">
        <v>448</v>
      </c>
      <c r="C550">
        <v>113.6925</v>
      </c>
    </row>
    <row r="551" spans="1:3" x14ac:dyDescent="0.25">
      <c r="A551" t="s">
        <v>447</v>
      </c>
      <c r="B551" t="s">
        <v>448</v>
      </c>
      <c r="C551">
        <v>113.6925</v>
      </c>
    </row>
    <row r="552" spans="1:3" x14ac:dyDescent="0.25">
      <c r="A552" t="s">
        <v>447</v>
      </c>
      <c r="B552" t="s">
        <v>448</v>
      </c>
      <c r="C552">
        <v>113.6925</v>
      </c>
    </row>
    <row r="553" spans="1:3" x14ac:dyDescent="0.25">
      <c r="A553" t="s">
        <v>447</v>
      </c>
      <c r="B553" t="s">
        <v>448</v>
      </c>
      <c r="C553">
        <v>113.6925</v>
      </c>
    </row>
    <row r="554" spans="1:3" x14ac:dyDescent="0.25">
      <c r="A554" t="s">
        <v>447</v>
      </c>
      <c r="B554" t="s">
        <v>448</v>
      </c>
      <c r="C554">
        <v>113.6925</v>
      </c>
    </row>
    <row r="555" spans="1:3" x14ac:dyDescent="0.25">
      <c r="A555" t="s">
        <v>447</v>
      </c>
      <c r="B555" t="s">
        <v>448</v>
      </c>
      <c r="C555">
        <v>113.6925</v>
      </c>
    </row>
    <row r="556" spans="1:3" x14ac:dyDescent="0.25">
      <c r="A556" t="s">
        <v>447</v>
      </c>
      <c r="B556" t="s">
        <v>448</v>
      </c>
      <c r="C556">
        <v>113.6925</v>
      </c>
    </row>
    <row r="557" spans="1:3" x14ac:dyDescent="0.25">
      <c r="A557" t="s">
        <v>447</v>
      </c>
      <c r="B557" t="s">
        <v>448</v>
      </c>
      <c r="C557">
        <v>113.6925</v>
      </c>
    </row>
    <row r="558" spans="1:3" x14ac:dyDescent="0.25">
      <c r="A558" t="s">
        <v>447</v>
      </c>
      <c r="B558" t="s">
        <v>448</v>
      </c>
      <c r="C558">
        <v>113.6925</v>
      </c>
    </row>
    <row r="559" spans="1:3" x14ac:dyDescent="0.25">
      <c r="A559" t="s">
        <v>447</v>
      </c>
      <c r="B559" t="s">
        <v>448</v>
      </c>
      <c r="C559">
        <v>113.6925</v>
      </c>
    </row>
    <row r="560" spans="1:3" x14ac:dyDescent="0.25">
      <c r="A560" t="s">
        <v>447</v>
      </c>
      <c r="B560" t="s">
        <v>448</v>
      </c>
      <c r="C560">
        <v>113.6925</v>
      </c>
    </row>
    <row r="561" spans="1:3" x14ac:dyDescent="0.25">
      <c r="A561" t="s">
        <v>447</v>
      </c>
      <c r="B561" t="s">
        <v>448</v>
      </c>
      <c r="C561">
        <v>113.6925</v>
      </c>
    </row>
    <row r="562" spans="1:3" x14ac:dyDescent="0.25">
      <c r="A562" t="s">
        <v>447</v>
      </c>
      <c r="B562" t="s">
        <v>448</v>
      </c>
      <c r="C562">
        <v>113.6925</v>
      </c>
    </row>
    <row r="563" spans="1:3" x14ac:dyDescent="0.25">
      <c r="A563" t="s">
        <v>447</v>
      </c>
      <c r="B563" t="s">
        <v>448</v>
      </c>
      <c r="C563">
        <v>113.6925</v>
      </c>
    </row>
    <row r="564" spans="1:3" x14ac:dyDescent="0.25">
      <c r="A564" t="s">
        <v>447</v>
      </c>
      <c r="B564" t="s">
        <v>448</v>
      </c>
      <c r="C564">
        <v>113.6925</v>
      </c>
    </row>
    <row r="565" spans="1:3" x14ac:dyDescent="0.25">
      <c r="A565" t="s">
        <v>447</v>
      </c>
      <c r="B565" t="s">
        <v>448</v>
      </c>
      <c r="C565">
        <v>113.6925</v>
      </c>
    </row>
    <row r="566" spans="1:3" x14ac:dyDescent="0.25">
      <c r="A566" t="s">
        <v>447</v>
      </c>
      <c r="B566" t="s">
        <v>448</v>
      </c>
      <c r="C566">
        <v>113.6925</v>
      </c>
    </row>
    <row r="567" spans="1:3" x14ac:dyDescent="0.25">
      <c r="A567" t="s">
        <v>447</v>
      </c>
      <c r="B567" t="s">
        <v>448</v>
      </c>
      <c r="C567">
        <v>113.6925</v>
      </c>
    </row>
    <row r="568" spans="1:3" x14ac:dyDescent="0.25">
      <c r="A568" t="s">
        <v>71</v>
      </c>
      <c r="B568" t="s">
        <v>72</v>
      </c>
      <c r="C568">
        <v>110</v>
      </c>
    </row>
    <row r="569" spans="1:3" x14ac:dyDescent="0.25">
      <c r="A569" t="s">
        <v>546</v>
      </c>
      <c r="B569" t="s">
        <v>547</v>
      </c>
      <c r="C569">
        <v>110</v>
      </c>
    </row>
    <row r="570" spans="1:3" x14ac:dyDescent="0.25">
      <c r="A570" t="s">
        <v>578</v>
      </c>
      <c r="B570" t="s">
        <v>72</v>
      </c>
      <c r="C570">
        <v>110</v>
      </c>
    </row>
    <row r="571" spans="1:3" x14ac:dyDescent="0.25">
      <c r="A571" t="s">
        <v>578</v>
      </c>
      <c r="B571" t="s">
        <v>72</v>
      </c>
      <c r="C571">
        <v>110</v>
      </c>
    </row>
    <row r="572" spans="1:3" x14ac:dyDescent="0.25">
      <c r="A572" t="s">
        <v>71</v>
      </c>
      <c r="B572" t="s">
        <v>72</v>
      </c>
      <c r="C572">
        <v>110</v>
      </c>
    </row>
    <row r="573" spans="1:3" x14ac:dyDescent="0.25">
      <c r="A573" t="s">
        <v>324</v>
      </c>
      <c r="B573" t="s">
        <v>325</v>
      </c>
      <c r="C573">
        <v>99.21250000000002</v>
      </c>
    </row>
    <row r="574" spans="1:3" x14ac:dyDescent="0.25">
      <c r="A574" t="s">
        <v>324</v>
      </c>
      <c r="B574" t="s">
        <v>325</v>
      </c>
      <c r="C574">
        <v>99.21250000000002</v>
      </c>
    </row>
    <row r="575" spans="1:3" x14ac:dyDescent="0.25">
      <c r="A575" t="s">
        <v>324</v>
      </c>
      <c r="B575" t="s">
        <v>325</v>
      </c>
      <c r="C575">
        <v>99.21250000000002</v>
      </c>
    </row>
    <row r="576" spans="1:3" x14ac:dyDescent="0.25">
      <c r="A576" t="s">
        <v>324</v>
      </c>
      <c r="B576" t="s">
        <v>325</v>
      </c>
      <c r="C576">
        <v>99.21250000000002</v>
      </c>
    </row>
    <row r="577" spans="1:3" x14ac:dyDescent="0.25">
      <c r="A577" t="s">
        <v>324</v>
      </c>
      <c r="B577" t="s">
        <v>325</v>
      </c>
      <c r="C577">
        <v>99.21250000000002</v>
      </c>
    </row>
    <row r="578" spans="1:3" x14ac:dyDescent="0.25">
      <c r="A578" t="s">
        <v>324</v>
      </c>
      <c r="B578" t="s">
        <v>325</v>
      </c>
      <c r="C578">
        <v>99.21250000000002</v>
      </c>
    </row>
    <row r="579" spans="1:3" x14ac:dyDescent="0.25">
      <c r="A579" t="s">
        <v>324</v>
      </c>
      <c r="B579" t="s">
        <v>325</v>
      </c>
      <c r="C579">
        <v>99.21250000000002</v>
      </c>
    </row>
    <row r="580" spans="1:3" x14ac:dyDescent="0.25">
      <c r="A580" t="s">
        <v>324</v>
      </c>
      <c r="B580" t="s">
        <v>325</v>
      </c>
      <c r="C580">
        <v>99.21250000000002</v>
      </c>
    </row>
    <row r="581" spans="1:3" x14ac:dyDescent="0.25">
      <c r="A581" t="s">
        <v>324</v>
      </c>
      <c r="B581" t="s">
        <v>325</v>
      </c>
      <c r="C581">
        <v>99.21250000000002</v>
      </c>
    </row>
    <row r="582" spans="1:3" x14ac:dyDescent="0.25">
      <c r="A582" t="s">
        <v>324</v>
      </c>
      <c r="B582" t="s">
        <v>325</v>
      </c>
      <c r="C582">
        <v>99.21250000000002</v>
      </c>
    </row>
    <row r="583" spans="1:3" x14ac:dyDescent="0.25">
      <c r="A583" t="s">
        <v>324</v>
      </c>
      <c r="B583" t="s">
        <v>325</v>
      </c>
      <c r="C583">
        <v>99.21250000000002</v>
      </c>
    </row>
    <row r="584" spans="1:3" x14ac:dyDescent="0.25">
      <c r="A584" t="s">
        <v>324</v>
      </c>
      <c r="B584" t="s">
        <v>325</v>
      </c>
      <c r="C584">
        <v>99.21250000000002</v>
      </c>
    </row>
    <row r="585" spans="1:3" x14ac:dyDescent="0.25">
      <c r="A585" t="s">
        <v>324</v>
      </c>
      <c r="B585" t="s">
        <v>325</v>
      </c>
      <c r="C585">
        <v>99.21250000000002</v>
      </c>
    </row>
    <row r="586" spans="1:3" x14ac:dyDescent="0.25">
      <c r="A586" t="s">
        <v>324</v>
      </c>
      <c r="B586" t="s">
        <v>325</v>
      </c>
      <c r="C586">
        <v>99.21250000000002</v>
      </c>
    </row>
    <row r="587" spans="1:3" x14ac:dyDescent="0.25">
      <c r="A587" t="s">
        <v>324</v>
      </c>
      <c r="B587" t="s">
        <v>325</v>
      </c>
      <c r="C587">
        <v>99.21250000000002</v>
      </c>
    </row>
    <row r="588" spans="1:3" x14ac:dyDescent="0.25">
      <c r="A588" t="s">
        <v>915</v>
      </c>
      <c r="B588" t="s">
        <v>916</v>
      </c>
      <c r="C588">
        <v>95</v>
      </c>
    </row>
    <row r="589" spans="1:3" x14ac:dyDescent="0.25">
      <c r="A589" t="s">
        <v>1239</v>
      </c>
      <c r="B589" t="s">
        <v>916</v>
      </c>
      <c r="C589">
        <v>95</v>
      </c>
    </row>
    <row r="590" spans="1:3" x14ac:dyDescent="0.25">
      <c r="A590" t="s">
        <v>915</v>
      </c>
      <c r="B590" t="s">
        <v>916</v>
      </c>
      <c r="C590">
        <v>95</v>
      </c>
    </row>
    <row r="591" spans="1:3" x14ac:dyDescent="0.25">
      <c r="A591" t="s">
        <v>83</v>
      </c>
      <c r="B591" t="s">
        <v>584</v>
      </c>
      <c r="C591">
        <v>90</v>
      </c>
    </row>
    <row r="592" spans="1:3" x14ac:dyDescent="0.25">
      <c r="A592" t="s">
        <v>585</v>
      </c>
      <c r="B592" t="s">
        <v>586</v>
      </c>
      <c r="C592">
        <v>90</v>
      </c>
    </row>
    <row r="593" spans="1:3" x14ac:dyDescent="0.25">
      <c r="A593" t="s">
        <v>292</v>
      </c>
      <c r="B593" t="s">
        <v>293</v>
      </c>
      <c r="C593">
        <v>78.175000000000011</v>
      </c>
    </row>
    <row r="594" spans="1:3" x14ac:dyDescent="0.25">
      <c r="A594" t="s">
        <v>292</v>
      </c>
      <c r="B594" t="s">
        <v>293</v>
      </c>
      <c r="C594">
        <v>78.175000000000011</v>
      </c>
    </row>
    <row r="595" spans="1:3" x14ac:dyDescent="0.25">
      <c r="A595" t="s">
        <v>292</v>
      </c>
      <c r="B595" t="s">
        <v>293</v>
      </c>
      <c r="C595">
        <v>78.175000000000011</v>
      </c>
    </row>
    <row r="596" spans="1:3" x14ac:dyDescent="0.25">
      <c r="A596" t="s">
        <v>292</v>
      </c>
      <c r="B596" t="s">
        <v>293</v>
      </c>
      <c r="C596">
        <v>78.175000000000011</v>
      </c>
    </row>
    <row r="597" spans="1:3" x14ac:dyDescent="0.25">
      <c r="A597" t="s">
        <v>292</v>
      </c>
      <c r="B597" t="s">
        <v>293</v>
      </c>
      <c r="C597">
        <v>78.175000000000011</v>
      </c>
    </row>
    <row r="598" spans="1:3" x14ac:dyDescent="0.25">
      <c r="A598" t="s">
        <v>292</v>
      </c>
      <c r="B598" t="s">
        <v>293</v>
      </c>
      <c r="C598">
        <v>78.175000000000011</v>
      </c>
    </row>
    <row r="599" spans="1:3" x14ac:dyDescent="0.25">
      <c r="A599" t="s">
        <v>292</v>
      </c>
      <c r="B599" t="s">
        <v>293</v>
      </c>
      <c r="C599">
        <v>78.175000000000011</v>
      </c>
    </row>
    <row r="600" spans="1:3" x14ac:dyDescent="0.25">
      <c r="A600" t="s">
        <v>292</v>
      </c>
      <c r="B600" t="s">
        <v>293</v>
      </c>
      <c r="C600">
        <v>78.175000000000011</v>
      </c>
    </row>
    <row r="601" spans="1:3" x14ac:dyDescent="0.25">
      <c r="A601" t="s">
        <v>292</v>
      </c>
      <c r="B601" t="s">
        <v>293</v>
      </c>
      <c r="C601">
        <v>78.175000000000011</v>
      </c>
    </row>
    <row r="602" spans="1:3" x14ac:dyDescent="0.25">
      <c r="A602" t="s">
        <v>292</v>
      </c>
      <c r="B602" t="s">
        <v>293</v>
      </c>
      <c r="C602">
        <v>78.175000000000011</v>
      </c>
    </row>
    <row r="603" spans="1:3" x14ac:dyDescent="0.25">
      <c r="A603" t="s">
        <v>292</v>
      </c>
      <c r="B603" t="s">
        <v>293</v>
      </c>
      <c r="C603">
        <v>78.175000000000011</v>
      </c>
    </row>
    <row r="604" spans="1:3" x14ac:dyDescent="0.25">
      <c r="A604" t="s">
        <v>292</v>
      </c>
      <c r="B604" t="s">
        <v>293</v>
      </c>
      <c r="C604">
        <v>78.175000000000011</v>
      </c>
    </row>
    <row r="605" spans="1:3" x14ac:dyDescent="0.25">
      <c r="A605" t="s">
        <v>292</v>
      </c>
      <c r="B605" t="s">
        <v>293</v>
      </c>
      <c r="C605">
        <v>78.175000000000011</v>
      </c>
    </row>
    <row r="606" spans="1:3" x14ac:dyDescent="0.25">
      <c r="A606" t="s">
        <v>292</v>
      </c>
      <c r="B606" t="s">
        <v>293</v>
      </c>
      <c r="C606">
        <v>78.175000000000011</v>
      </c>
    </row>
    <row r="607" spans="1:3" x14ac:dyDescent="0.25">
      <c r="A607" t="s">
        <v>292</v>
      </c>
      <c r="B607" t="s">
        <v>293</v>
      </c>
      <c r="C607">
        <v>78.175000000000011</v>
      </c>
    </row>
    <row r="608" spans="1:3" x14ac:dyDescent="0.25">
      <c r="A608" t="s">
        <v>292</v>
      </c>
      <c r="B608" t="s">
        <v>293</v>
      </c>
      <c r="C608">
        <v>78.175000000000011</v>
      </c>
    </row>
    <row r="609" spans="1:3" x14ac:dyDescent="0.25">
      <c r="A609" t="s">
        <v>292</v>
      </c>
      <c r="B609" t="s">
        <v>293</v>
      </c>
      <c r="C609">
        <v>78.175000000000011</v>
      </c>
    </row>
    <row r="610" spans="1:3" x14ac:dyDescent="0.25">
      <c r="A610" t="s">
        <v>292</v>
      </c>
      <c r="B610" t="s">
        <v>293</v>
      </c>
      <c r="C610">
        <v>78.175000000000011</v>
      </c>
    </row>
    <row r="611" spans="1:3" x14ac:dyDescent="0.25">
      <c r="A611" t="s">
        <v>187</v>
      </c>
      <c r="B611" t="s">
        <v>188</v>
      </c>
      <c r="C611">
        <v>75</v>
      </c>
    </row>
    <row r="612" spans="1:3" x14ac:dyDescent="0.25">
      <c r="A612" t="s">
        <v>74</v>
      </c>
      <c r="B612" t="s">
        <v>75</v>
      </c>
      <c r="C612">
        <v>70</v>
      </c>
    </row>
    <row r="613" spans="1:3" x14ac:dyDescent="0.25">
      <c r="A613" t="s">
        <v>74</v>
      </c>
      <c r="B613" t="s">
        <v>75</v>
      </c>
      <c r="C613">
        <v>70</v>
      </c>
    </row>
    <row r="614" spans="1:3" x14ac:dyDescent="0.25">
      <c r="A614" t="s">
        <v>1072</v>
      </c>
      <c r="B614" t="s">
        <v>75</v>
      </c>
      <c r="C614">
        <v>70</v>
      </c>
    </row>
    <row r="615" spans="1:3" x14ac:dyDescent="0.25">
      <c r="A615" t="s">
        <v>334</v>
      </c>
      <c r="B615" t="s">
        <v>335</v>
      </c>
      <c r="C615">
        <v>68.62</v>
      </c>
    </row>
    <row r="616" spans="1:3" x14ac:dyDescent="0.25">
      <c r="A616" t="s">
        <v>334</v>
      </c>
      <c r="B616" t="s">
        <v>335</v>
      </c>
      <c r="C616">
        <v>68.62</v>
      </c>
    </row>
    <row r="617" spans="1:3" x14ac:dyDescent="0.25">
      <c r="A617" t="s">
        <v>334</v>
      </c>
      <c r="B617" t="s">
        <v>335</v>
      </c>
      <c r="C617">
        <v>68.62</v>
      </c>
    </row>
    <row r="618" spans="1:3" x14ac:dyDescent="0.25">
      <c r="A618" t="s">
        <v>334</v>
      </c>
      <c r="B618" t="s">
        <v>335</v>
      </c>
      <c r="C618">
        <v>68.62</v>
      </c>
    </row>
    <row r="619" spans="1:3" x14ac:dyDescent="0.25">
      <c r="A619" t="s">
        <v>334</v>
      </c>
      <c r="B619" t="s">
        <v>335</v>
      </c>
      <c r="C619">
        <v>68.62</v>
      </c>
    </row>
    <row r="620" spans="1:3" x14ac:dyDescent="0.25">
      <c r="A620" t="s">
        <v>334</v>
      </c>
      <c r="B620" t="s">
        <v>335</v>
      </c>
      <c r="C620">
        <v>68.62</v>
      </c>
    </row>
    <row r="621" spans="1:3" x14ac:dyDescent="0.25">
      <c r="A621" t="s">
        <v>334</v>
      </c>
      <c r="B621" t="s">
        <v>335</v>
      </c>
      <c r="C621">
        <v>68.62</v>
      </c>
    </row>
    <row r="622" spans="1:3" x14ac:dyDescent="0.25">
      <c r="A622" t="s">
        <v>334</v>
      </c>
      <c r="B622" t="s">
        <v>335</v>
      </c>
      <c r="C622">
        <v>68.62</v>
      </c>
    </row>
    <row r="623" spans="1:3" x14ac:dyDescent="0.25">
      <c r="A623" t="s">
        <v>334</v>
      </c>
      <c r="B623" t="s">
        <v>335</v>
      </c>
      <c r="C623">
        <v>68.62</v>
      </c>
    </row>
    <row r="624" spans="1:3" x14ac:dyDescent="0.25">
      <c r="A624" t="s">
        <v>334</v>
      </c>
      <c r="B624" t="s">
        <v>335</v>
      </c>
      <c r="C624">
        <v>68.62</v>
      </c>
    </row>
    <row r="625" spans="1:3" x14ac:dyDescent="0.25">
      <c r="A625" t="s">
        <v>334</v>
      </c>
      <c r="B625" t="s">
        <v>335</v>
      </c>
      <c r="C625">
        <v>68.62</v>
      </c>
    </row>
    <row r="626" spans="1:3" x14ac:dyDescent="0.25">
      <c r="A626" t="s">
        <v>44</v>
      </c>
      <c r="B626" t="s">
        <v>45</v>
      </c>
      <c r="C626">
        <v>60</v>
      </c>
    </row>
    <row r="627" spans="1:3" x14ac:dyDescent="0.25">
      <c r="A627" t="s">
        <v>986</v>
      </c>
      <c r="B627" t="s">
        <v>987</v>
      </c>
      <c r="C627">
        <v>60</v>
      </c>
    </row>
    <row r="628" spans="1:3" x14ac:dyDescent="0.25">
      <c r="A628" t="s">
        <v>1044</v>
      </c>
      <c r="B628" t="s">
        <v>1045</v>
      </c>
      <c r="C628">
        <v>60</v>
      </c>
    </row>
    <row r="629" spans="1:3" x14ac:dyDescent="0.25">
      <c r="A629" t="s">
        <v>44</v>
      </c>
      <c r="B629" t="s">
        <v>45</v>
      </c>
      <c r="C629">
        <v>60</v>
      </c>
    </row>
    <row r="630" spans="1:3" x14ac:dyDescent="0.25">
      <c r="A630" t="s">
        <v>339</v>
      </c>
      <c r="B630" t="s">
        <v>340</v>
      </c>
      <c r="C630">
        <v>58.015000000000001</v>
      </c>
    </row>
    <row r="631" spans="1:3" x14ac:dyDescent="0.25">
      <c r="A631" t="s">
        <v>339</v>
      </c>
      <c r="B631" t="s">
        <v>340</v>
      </c>
      <c r="C631">
        <v>58.015000000000001</v>
      </c>
    </row>
    <row r="632" spans="1:3" x14ac:dyDescent="0.25">
      <c r="A632" t="s">
        <v>339</v>
      </c>
      <c r="B632" t="s">
        <v>340</v>
      </c>
      <c r="C632">
        <v>58.015000000000001</v>
      </c>
    </row>
    <row r="633" spans="1:3" x14ac:dyDescent="0.25">
      <c r="A633" t="s">
        <v>339</v>
      </c>
      <c r="B633" t="s">
        <v>340</v>
      </c>
      <c r="C633">
        <v>58.015000000000001</v>
      </c>
    </row>
    <row r="634" spans="1:3" x14ac:dyDescent="0.25">
      <c r="A634" t="s">
        <v>542</v>
      </c>
      <c r="B634" t="s">
        <v>543</v>
      </c>
      <c r="C634">
        <v>55</v>
      </c>
    </row>
    <row r="635" spans="1:3" x14ac:dyDescent="0.25">
      <c r="A635" t="s">
        <v>394</v>
      </c>
      <c r="B635" t="s">
        <v>395</v>
      </c>
      <c r="C635">
        <v>51.2575</v>
      </c>
    </row>
    <row r="636" spans="1:3" x14ac:dyDescent="0.25">
      <c r="A636" t="s">
        <v>394</v>
      </c>
      <c r="B636" t="s">
        <v>395</v>
      </c>
      <c r="C636">
        <v>51.2575</v>
      </c>
    </row>
    <row r="637" spans="1:3" x14ac:dyDescent="0.25">
      <c r="A637" t="s">
        <v>394</v>
      </c>
      <c r="B637" t="s">
        <v>395</v>
      </c>
      <c r="C637">
        <v>51.2575</v>
      </c>
    </row>
    <row r="638" spans="1:3" x14ac:dyDescent="0.25">
      <c r="A638" t="s">
        <v>394</v>
      </c>
      <c r="B638" t="s">
        <v>395</v>
      </c>
      <c r="C638">
        <v>51.2575</v>
      </c>
    </row>
    <row r="639" spans="1:3" x14ac:dyDescent="0.25">
      <c r="A639" t="s">
        <v>394</v>
      </c>
      <c r="B639" t="s">
        <v>395</v>
      </c>
      <c r="C639">
        <v>51.2575</v>
      </c>
    </row>
    <row r="640" spans="1:3" x14ac:dyDescent="0.25">
      <c r="A640" t="s">
        <v>394</v>
      </c>
      <c r="B640" t="s">
        <v>395</v>
      </c>
      <c r="C640">
        <v>51.2575</v>
      </c>
    </row>
    <row r="641" spans="1:3" x14ac:dyDescent="0.25">
      <c r="A641" t="s">
        <v>394</v>
      </c>
      <c r="B641" t="s">
        <v>395</v>
      </c>
      <c r="C641">
        <v>51.2575</v>
      </c>
    </row>
    <row r="642" spans="1:3" x14ac:dyDescent="0.25">
      <c r="A642" t="s">
        <v>394</v>
      </c>
      <c r="B642" t="s">
        <v>395</v>
      </c>
      <c r="C642">
        <v>51.2575</v>
      </c>
    </row>
    <row r="643" spans="1:3" x14ac:dyDescent="0.25">
      <c r="A643" t="s">
        <v>394</v>
      </c>
      <c r="B643" t="s">
        <v>395</v>
      </c>
      <c r="C643">
        <v>51.2575</v>
      </c>
    </row>
    <row r="644" spans="1:3" x14ac:dyDescent="0.25">
      <c r="A644" t="s">
        <v>137</v>
      </c>
      <c r="B644" t="s">
        <v>138</v>
      </c>
      <c r="C644">
        <v>50</v>
      </c>
    </row>
    <row r="645" spans="1:3" x14ac:dyDescent="0.25">
      <c r="A645" t="s">
        <v>344</v>
      </c>
      <c r="B645" t="s">
        <v>345</v>
      </c>
      <c r="C645">
        <v>50</v>
      </c>
    </row>
    <row r="646" spans="1:3" x14ac:dyDescent="0.25">
      <c r="A646" t="s">
        <v>489</v>
      </c>
      <c r="B646" t="s">
        <v>490</v>
      </c>
      <c r="C646">
        <v>40.067499999999995</v>
      </c>
    </row>
    <row r="647" spans="1:3" x14ac:dyDescent="0.25">
      <c r="A647" t="s">
        <v>489</v>
      </c>
      <c r="B647" t="s">
        <v>490</v>
      </c>
      <c r="C647">
        <v>40.067499999999995</v>
      </c>
    </row>
    <row r="648" spans="1:3" x14ac:dyDescent="0.25">
      <c r="A648" t="s">
        <v>489</v>
      </c>
      <c r="B648" t="s">
        <v>490</v>
      </c>
      <c r="C648">
        <v>40.067499999999995</v>
      </c>
    </row>
    <row r="649" spans="1:3" x14ac:dyDescent="0.25">
      <c r="A649" t="s">
        <v>422</v>
      </c>
      <c r="B649" t="s">
        <v>423</v>
      </c>
      <c r="C649">
        <v>35.25</v>
      </c>
    </row>
    <row r="650" spans="1:3" x14ac:dyDescent="0.25">
      <c r="A650" t="s">
        <v>422</v>
      </c>
      <c r="B650" t="s">
        <v>423</v>
      </c>
      <c r="C650">
        <v>35.25</v>
      </c>
    </row>
    <row r="651" spans="1:3" x14ac:dyDescent="0.25">
      <c r="A651" t="s">
        <v>422</v>
      </c>
      <c r="B651" t="s">
        <v>423</v>
      </c>
      <c r="C651">
        <v>35.25</v>
      </c>
    </row>
    <row r="652" spans="1:3" x14ac:dyDescent="0.25">
      <c r="A652" t="s">
        <v>422</v>
      </c>
      <c r="B652" t="s">
        <v>423</v>
      </c>
      <c r="C652">
        <v>35.25</v>
      </c>
    </row>
    <row r="653" spans="1:3" x14ac:dyDescent="0.25">
      <c r="A653" t="s">
        <v>422</v>
      </c>
      <c r="B653" t="s">
        <v>423</v>
      </c>
      <c r="C653">
        <v>35.25</v>
      </c>
    </row>
    <row r="654" spans="1:3" x14ac:dyDescent="0.25">
      <c r="A654" t="s">
        <v>422</v>
      </c>
      <c r="B654" t="s">
        <v>423</v>
      </c>
      <c r="C654">
        <v>35.25</v>
      </c>
    </row>
    <row r="655" spans="1:3" x14ac:dyDescent="0.25">
      <c r="A655" t="s">
        <v>422</v>
      </c>
      <c r="B655" t="s">
        <v>423</v>
      </c>
      <c r="C655">
        <v>35.25</v>
      </c>
    </row>
    <row r="656" spans="1:3" x14ac:dyDescent="0.25">
      <c r="A656" t="s">
        <v>422</v>
      </c>
      <c r="B656" t="s">
        <v>423</v>
      </c>
      <c r="C656">
        <v>35.25</v>
      </c>
    </row>
    <row r="657" spans="1:3" x14ac:dyDescent="0.25">
      <c r="A657" t="s">
        <v>251</v>
      </c>
      <c r="B657" t="s">
        <v>252</v>
      </c>
      <c r="C657">
        <v>30.005000000000003</v>
      </c>
    </row>
    <row r="658" spans="1:3" x14ac:dyDescent="0.25">
      <c r="A658" t="s">
        <v>251</v>
      </c>
      <c r="B658" t="s">
        <v>252</v>
      </c>
      <c r="C658">
        <v>30.005000000000003</v>
      </c>
    </row>
    <row r="659" spans="1:3" x14ac:dyDescent="0.25">
      <c r="A659" t="s">
        <v>213</v>
      </c>
      <c r="B659" t="s">
        <v>214</v>
      </c>
      <c r="C659">
        <v>30</v>
      </c>
    </row>
    <row r="660" spans="1:3" x14ac:dyDescent="0.25">
      <c r="A660" t="s">
        <v>213</v>
      </c>
      <c r="B660" t="s">
        <v>214</v>
      </c>
      <c r="C660">
        <v>30</v>
      </c>
    </row>
    <row r="661" spans="1:3" x14ac:dyDescent="0.25">
      <c r="A661" t="s">
        <v>675</v>
      </c>
      <c r="B661" t="s">
        <v>676</v>
      </c>
      <c r="C661">
        <v>29.517499999999998</v>
      </c>
    </row>
    <row r="662" spans="1:3" x14ac:dyDescent="0.25">
      <c r="A662" t="s">
        <v>675</v>
      </c>
      <c r="B662" t="s">
        <v>676</v>
      </c>
      <c r="C662">
        <v>29.517499999999998</v>
      </c>
    </row>
    <row r="663" spans="1:3" x14ac:dyDescent="0.25">
      <c r="A663" t="s">
        <v>675</v>
      </c>
      <c r="B663" t="s">
        <v>676</v>
      </c>
      <c r="C663">
        <v>29.517499999999998</v>
      </c>
    </row>
    <row r="664" spans="1:3" x14ac:dyDescent="0.25">
      <c r="A664" t="s">
        <v>675</v>
      </c>
      <c r="B664" t="s">
        <v>676</v>
      </c>
      <c r="C664">
        <v>29.517499999999998</v>
      </c>
    </row>
    <row r="665" spans="1:3" x14ac:dyDescent="0.25">
      <c r="A665" t="s">
        <v>675</v>
      </c>
      <c r="B665" t="s">
        <v>676</v>
      </c>
      <c r="C665">
        <v>29.517499999999998</v>
      </c>
    </row>
    <row r="666" spans="1:3" x14ac:dyDescent="0.25">
      <c r="A666" t="s">
        <v>675</v>
      </c>
      <c r="B666" t="s">
        <v>676</v>
      </c>
      <c r="C666">
        <v>29.517499999999998</v>
      </c>
    </row>
    <row r="667" spans="1:3" x14ac:dyDescent="0.25">
      <c r="A667" t="s">
        <v>675</v>
      </c>
      <c r="B667" t="s">
        <v>676</v>
      </c>
      <c r="C667">
        <v>29.517499999999998</v>
      </c>
    </row>
    <row r="668" spans="1:3" x14ac:dyDescent="0.25">
      <c r="A668" t="s">
        <v>478</v>
      </c>
      <c r="B668" t="s">
        <v>479</v>
      </c>
      <c r="C668">
        <v>25.032499999999999</v>
      </c>
    </row>
    <row r="669" spans="1:3" x14ac:dyDescent="0.25">
      <c r="A669" t="s">
        <v>478</v>
      </c>
      <c r="B669" t="s">
        <v>479</v>
      </c>
      <c r="C669">
        <v>25.032499999999999</v>
      </c>
    </row>
    <row r="670" spans="1:3" x14ac:dyDescent="0.25">
      <c r="A670" t="s">
        <v>478</v>
      </c>
      <c r="B670" t="s">
        <v>479</v>
      </c>
      <c r="C670">
        <v>25.032499999999999</v>
      </c>
    </row>
    <row r="671" spans="1:3" x14ac:dyDescent="0.25">
      <c r="A671" t="s">
        <v>478</v>
      </c>
      <c r="B671" t="s">
        <v>479</v>
      </c>
      <c r="C671">
        <v>25.032499999999999</v>
      </c>
    </row>
    <row r="672" spans="1:3" x14ac:dyDescent="0.25">
      <c r="A672" t="s">
        <v>871</v>
      </c>
      <c r="B672" t="s">
        <v>872</v>
      </c>
      <c r="C672">
        <v>20.02</v>
      </c>
    </row>
    <row r="673" spans="1:3" x14ac:dyDescent="0.25">
      <c r="A673" t="s">
        <v>871</v>
      </c>
      <c r="B673" t="s">
        <v>872</v>
      </c>
      <c r="C673">
        <v>20.02</v>
      </c>
    </row>
    <row r="674" spans="1:3" x14ac:dyDescent="0.25">
      <c r="A674" t="s">
        <v>307</v>
      </c>
      <c r="B674" t="s">
        <v>308</v>
      </c>
      <c r="C674">
        <v>19.502500000000001</v>
      </c>
    </row>
    <row r="675" spans="1:3" x14ac:dyDescent="0.25">
      <c r="A675" t="s">
        <v>307</v>
      </c>
      <c r="B675" t="s">
        <v>308</v>
      </c>
      <c r="C675">
        <v>19.502500000000001</v>
      </c>
    </row>
    <row r="676" spans="1:3" x14ac:dyDescent="0.25">
      <c r="A676" t="s">
        <v>307</v>
      </c>
      <c r="B676" t="s">
        <v>308</v>
      </c>
      <c r="C676">
        <v>19.502500000000001</v>
      </c>
    </row>
    <row r="677" spans="1:3" x14ac:dyDescent="0.25">
      <c r="A677" t="s">
        <v>307</v>
      </c>
      <c r="B677" t="s">
        <v>308</v>
      </c>
      <c r="C677">
        <v>19.502500000000001</v>
      </c>
    </row>
    <row r="678" spans="1:3" x14ac:dyDescent="0.25">
      <c r="A678" t="s">
        <v>307</v>
      </c>
      <c r="B678" t="s">
        <v>308</v>
      </c>
      <c r="C678">
        <v>19.502500000000001</v>
      </c>
    </row>
    <row r="679" spans="1:3" x14ac:dyDescent="0.25">
      <c r="A679" t="s">
        <v>236</v>
      </c>
      <c r="B679" t="s">
        <v>237</v>
      </c>
      <c r="C679">
        <v>14.877500000000001</v>
      </c>
    </row>
    <row r="680" spans="1:3" x14ac:dyDescent="0.25">
      <c r="A680" t="s">
        <v>236</v>
      </c>
      <c r="B680" t="s">
        <v>237</v>
      </c>
      <c r="C680">
        <v>14.877500000000001</v>
      </c>
    </row>
    <row r="681" spans="1:3" x14ac:dyDescent="0.25">
      <c r="A681" t="s">
        <v>236</v>
      </c>
      <c r="B681" t="s">
        <v>237</v>
      </c>
      <c r="C681">
        <v>14.877500000000001</v>
      </c>
    </row>
    <row r="682" spans="1:3" x14ac:dyDescent="0.25">
      <c r="A682" t="s">
        <v>236</v>
      </c>
      <c r="B682" t="s">
        <v>237</v>
      </c>
      <c r="C682">
        <v>14.877500000000001</v>
      </c>
    </row>
    <row r="683" spans="1:3" x14ac:dyDescent="0.25">
      <c r="A683" t="s">
        <v>236</v>
      </c>
      <c r="B683" t="s">
        <v>237</v>
      </c>
      <c r="C683">
        <v>14.877500000000001</v>
      </c>
    </row>
    <row r="684" spans="1:3" x14ac:dyDescent="0.25">
      <c r="A684" t="s">
        <v>1031</v>
      </c>
      <c r="B684" t="s">
        <v>1032</v>
      </c>
      <c r="C684">
        <v>12</v>
      </c>
    </row>
    <row r="685" spans="1:3" x14ac:dyDescent="0.25">
      <c r="A685" t="s">
        <v>260</v>
      </c>
      <c r="B685" t="s">
        <v>261</v>
      </c>
      <c r="C685">
        <v>11.317500000000001</v>
      </c>
    </row>
    <row r="686" spans="1:3" x14ac:dyDescent="0.25">
      <c r="A686" t="s">
        <v>260</v>
      </c>
      <c r="B686" t="s">
        <v>261</v>
      </c>
      <c r="C686">
        <v>11.317500000000001</v>
      </c>
    </row>
    <row r="687" spans="1:3" x14ac:dyDescent="0.25">
      <c r="A687" t="s">
        <v>260</v>
      </c>
      <c r="B687" t="s">
        <v>261</v>
      </c>
      <c r="C687">
        <v>11.317500000000001</v>
      </c>
    </row>
    <row r="688" spans="1:3" x14ac:dyDescent="0.25">
      <c r="A688" t="s">
        <v>260</v>
      </c>
      <c r="B688" t="s">
        <v>261</v>
      </c>
      <c r="C688">
        <v>11.317500000000001</v>
      </c>
    </row>
    <row r="689" spans="1:3" x14ac:dyDescent="0.25">
      <c r="A689" t="s">
        <v>260</v>
      </c>
      <c r="B689" t="s">
        <v>261</v>
      </c>
      <c r="C689">
        <v>11.317500000000001</v>
      </c>
    </row>
    <row r="690" spans="1:3" x14ac:dyDescent="0.25">
      <c r="A690" t="s">
        <v>260</v>
      </c>
      <c r="B690" t="s">
        <v>261</v>
      </c>
      <c r="C690">
        <v>11.317500000000001</v>
      </c>
    </row>
    <row r="691" spans="1:3" x14ac:dyDescent="0.25">
      <c r="A691" t="s">
        <v>39</v>
      </c>
      <c r="B691" t="s">
        <v>40</v>
      </c>
      <c r="C691">
        <v>10</v>
      </c>
    </row>
    <row r="692" spans="1:3" x14ac:dyDescent="0.25">
      <c r="A692" t="s">
        <v>1266</v>
      </c>
      <c r="B692" t="s">
        <v>1267</v>
      </c>
      <c r="C692">
        <v>10</v>
      </c>
    </row>
    <row r="693" spans="1:3" x14ac:dyDescent="0.25">
      <c r="A693" t="s">
        <v>1232</v>
      </c>
      <c r="B693" t="s">
        <v>1233</v>
      </c>
      <c r="C693">
        <v>7.5149999999999997</v>
      </c>
    </row>
    <row r="694" spans="1:3" x14ac:dyDescent="0.25">
      <c r="A694" t="s">
        <v>351</v>
      </c>
      <c r="B694" t="s">
        <v>352</v>
      </c>
      <c r="C694">
        <v>6.25</v>
      </c>
    </row>
    <row r="695" spans="1:3" x14ac:dyDescent="0.25">
      <c r="A695" t="s">
        <v>351</v>
      </c>
      <c r="B695" t="s">
        <v>352</v>
      </c>
      <c r="C695">
        <v>6.25</v>
      </c>
    </row>
    <row r="696" spans="1:3" x14ac:dyDescent="0.25">
      <c r="A696" t="s">
        <v>230</v>
      </c>
      <c r="B696" t="s">
        <v>231</v>
      </c>
      <c r="C696">
        <v>5.5250000000000004</v>
      </c>
    </row>
    <row r="697" spans="1:3" x14ac:dyDescent="0.25">
      <c r="A697" t="s">
        <v>230</v>
      </c>
      <c r="B697" t="s">
        <v>231</v>
      </c>
      <c r="C697">
        <v>5.5250000000000004</v>
      </c>
    </row>
    <row r="698" spans="1:3" x14ac:dyDescent="0.25">
      <c r="A698" t="s">
        <v>230</v>
      </c>
      <c r="B698" t="s">
        <v>231</v>
      </c>
      <c r="C698">
        <v>5.5250000000000004</v>
      </c>
    </row>
    <row r="699" spans="1:3" x14ac:dyDescent="0.25">
      <c r="A699" t="s">
        <v>428</v>
      </c>
      <c r="B699" t="s">
        <v>429</v>
      </c>
      <c r="C699">
        <v>5.0125000000000002</v>
      </c>
    </row>
    <row r="700" spans="1:3" x14ac:dyDescent="0.25">
      <c r="A700" t="s">
        <v>428</v>
      </c>
      <c r="B700" t="s">
        <v>429</v>
      </c>
      <c r="C700">
        <v>5.0125000000000002</v>
      </c>
    </row>
    <row r="701" spans="1:3" x14ac:dyDescent="0.25">
      <c r="A701" t="s">
        <v>1263</v>
      </c>
      <c r="B701" t="s">
        <v>1264</v>
      </c>
      <c r="C701">
        <v>5.0025000000000004</v>
      </c>
    </row>
    <row r="702" spans="1:3" x14ac:dyDescent="0.25">
      <c r="A702" t="s">
        <v>256</v>
      </c>
      <c r="B702" t="s">
        <v>257</v>
      </c>
      <c r="C702">
        <v>5</v>
      </c>
    </row>
    <row r="703" spans="1:3" x14ac:dyDescent="0.25">
      <c r="A703" t="s">
        <v>287</v>
      </c>
      <c r="B703" t="s">
        <v>288</v>
      </c>
      <c r="C703">
        <v>5</v>
      </c>
    </row>
    <row r="704" spans="1:3" x14ac:dyDescent="0.25">
      <c r="A704" t="s">
        <v>499</v>
      </c>
      <c r="B704" t="s">
        <v>500</v>
      </c>
      <c r="C704">
        <v>5</v>
      </c>
    </row>
    <row r="705" spans="1:3" x14ac:dyDescent="0.25">
      <c r="A705" t="s">
        <v>597</v>
      </c>
      <c r="B705" t="s">
        <v>598</v>
      </c>
      <c r="C705">
        <v>5</v>
      </c>
    </row>
    <row r="706" spans="1:3" x14ac:dyDescent="0.25">
      <c r="A706" t="s">
        <v>256</v>
      </c>
      <c r="B706" t="s">
        <v>257</v>
      </c>
      <c r="C706">
        <v>5</v>
      </c>
    </row>
    <row r="707" spans="1:3" x14ac:dyDescent="0.25">
      <c r="A707" t="s">
        <v>817</v>
      </c>
      <c r="B707" t="s">
        <v>818</v>
      </c>
      <c r="C707">
        <v>5</v>
      </c>
    </row>
    <row r="708" spans="1:3" x14ac:dyDescent="0.25">
      <c r="A708" t="s">
        <v>39</v>
      </c>
      <c r="B708" t="s">
        <v>932</v>
      </c>
      <c r="C708">
        <v>5</v>
      </c>
    </row>
    <row r="709" spans="1:3" x14ac:dyDescent="0.25">
      <c r="A709" t="s">
        <v>1034</v>
      </c>
      <c r="B709" t="s">
        <v>1035</v>
      </c>
      <c r="C709">
        <v>5</v>
      </c>
    </row>
    <row r="710" spans="1:3" x14ac:dyDescent="0.25">
      <c r="A710" t="s">
        <v>1069</v>
      </c>
      <c r="B710" t="s">
        <v>1070</v>
      </c>
      <c r="C710">
        <v>5</v>
      </c>
    </row>
    <row r="711" spans="1:3" x14ac:dyDescent="0.25">
      <c r="A711" t="s">
        <v>25</v>
      </c>
      <c r="B711" t="s">
        <v>1311</v>
      </c>
      <c r="C711">
        <v>5</v>
      </c>
    </row>
    <row r="712" spans="1:3" x14ac:dyDescent="0.25">
      <c r="A712" t="s">
        <v>924</v>
      </c>
      <c r="B712" t="s">
        <v>925</v>
      </c>
      <c r="C712">
        <v>4.0075000000000003</v>
      </c>
    </row>
    <row r="713" spans="1:3" x14ac:dyDescent="0.25">
      <c r="A713" t="s">
        <v>924</v>
      </c>
      <c r="B713" t="s">
        <v>925</v>
      </c>
      <c r="C713">
        <v>4.0075000000000003</v>
      </c>
    </row>
    <row r="714" spans="1:3" x14ac:dyDescent="0.25">
      <c r="A714" t="s">
        <v>1301</v>
      </c>
      <c r="B714" t="s">
        <v>1302</v>
      </c>
      <c r="C714">
        <v>4</v>
      </c>
    </row>
    <row r="715" spans="1:3" x14ac:dyDescent="0.25">
      <c r="A715" t="s">
        <v>384</v>
      </c>
      <c r="B715" t="s">
        <v>385</v>
      </c>
      <c r="C715">
        <v>3.75</v>
      </c>
    </row>
    <row r="716" spans="1:3" x14ac:dyDescent="0.25">
      <c r="A716" t="s">
        <v>384</v>
      </c>
      <c r="B716" t="s">
        <v>385</v>
      </c>
      <c r="C716">
        <v>3.75</v>
      </c>
    </row>
    <row r="717" spans="1:3" x14ac:dyDescent="0.25">
      <c r="A717" t="s">
        <v>834</v>
      </c>
      <c r="B717" t="s">
        <v>835</v>
      </c>
      <c r="C717">
        <v>3.75</v>
      </c>
    </row>
    <row r="718" spans="1:3" x14ac:dyDescent="0.25">
      <c r="A718" t="s">
        <v>834</v>
      </c>
      <c r="B718" t="s">
        <v>835</v>
      </c>
      <c r="C718">
        <v>3.75</v>
      </c>
    </row>
    <row r="719" spans="1:3" x14ac:dyDescent="0.25">
      <c r="A719" t="s">
        <v>834</v>
      </c>
      <c r="B719" t="s">
        <v>835</v>
      </c>
      <c r="C719">
        <v>3.75</v>
      </c>
    </row>
    <row r="720" spans="1:3" x14ac:dyDescent="0.25">
      <c r="A720" t="s">
        <v>865</v>
      </c>
      <c r="B720" t="s">
        <v>866</v>
      </c>
      <c r="C720">
        <v>3.25</v>
      </c>
    </row>
    <row r="721" spans="1:3" x14ac:dyDescent="0.25">
      <c r="A721" t="s">
        <v>865</v>
      </c>
      <c r="B721" t="s">
        <v>866</v>
      </c>
      <c r="C721">
        <v>3.25</v>
      </c>
    </row>
    <row r="722" spans="1:3" x14ac:dyDescent="0.25">
      <c r="A722" t="s">
        <v>865</v>
      </c>
      <c r="B722" t="s">
        <v>866</v>
      </c>
      <c r="C722">
        <v>3.25</v>
      </c>
    </row>
    <row r="723" spans="1:3" x14ac:dyDescent="0.25">
      <c r="A723" t="s">
        <v>268</v>
      </c>
      <c r="B723" t="s">
        <v>269</v>
      </c>
      <c r="C723">
        <v>2.5249999999999995</v>
      </c>
    </row>
    <row r="724" spans="1:3" x14ac:dyDescent="0.25">
      <c r="A724" t="s">
        <v>268</v>
      </c>
      <c r="B724" t="s">
        <v>269</v>
      </c>
      <c r="C724">
        <v>2.5249999999999995</v>
      </c>
    </row>
    <row r="725" spans="1:3" x14ac:dyDescent="0.25">
      <c r="A725" t="s">
        <v>268</v>
      </c>
      <c r="B725" t="s">
        <v>269</v>
      </c>
      <c r="C725">
        <v>2.5249999999999995</v>
      </c>
    </row>
    <row r="726" spans="1:3" x14ac:dyDescent="0.25">
      <c r="A726" t="s">
        <v>268</v>
      </c>
      <c r="B726" t="s">
        <v>269</v>
      </c>
      <c r="C726">
        <v>2.5249999999999995</v>
      </c>
    </row>
    <row r="727" spans="1:3" x14ac:dyDescent="0.25">
      <c r="A727" t="s">
        <v>268</v>
      </c>
      <c r="B727" t="s">
        <v>269</v>
      </c>
      <c r="C727">
        <v>2.5249999999999995</v>
      </c>
    </row>
    <row r="728" spans="1:3" x14ac:dyDescent="0.25">
      <c r="A728" t="s">
        <v>268</v>
      </c>
      <c r="B728" t="s">
        <v>269</v>
      </c>
      <c r="C728">
        <v>2.5249999999999995</v>
      </c>
    </row>
    <row r="729" spans="1:3" x14ac:dyDescent="0.25">
      <c r="A729" t="s">
        <v>268</v>
      </c>
      <c r="B729" t="s">
        <v>269</v>
      </c>
      <c r="C729">
        <v>2.5249999999999995</v>
      </c>
    </row>
    <row r="730" spans="1:3" x14ac:dyDescent="0.25">
      <c r="A730" t="s">
        <v>268</v>
      </c>
      <c r="B730" t="s">
        <v>269</v>
      </c>
      <c r="C730">
        <v>2.5249999999999995</v>
      </c>
    </row>
    <row r="731" spans="1:3" x14ac:dyDescent="0.25">
      <c r="A731" t="s">
        <v>268</v>
      </c>
      <c r="B731" t="s">
        <v>269</v>
      </c>
      <c r="C731">
        <v>2.5249999999999995</v>
      </c>
    </row>
    <row r="732" spans="1:3" x14ac:dyDescent="0.25">
      <c r="A732" t="s">
        <v>268</v>
      </c>
      <c r="B732" t="s">
        <v>269</v>
      </c>
      <c r="C732">
        <v>2.5249999999999995</v>
      </c>
    </row>
    <row r="733" spans="1:3" x14ac:dyDescent="0.25">
      <c r="A733" t="s">
        <v>1291</v>
      </c>
      <c r="B733" t="s">
        <v>1292</v>
      </c>
      <c r="C733">
        <v>2.4975000000000001</v>
      </c>
    </row>
    <row r="734" spans="1:3" x14ac:dyDescent="0.25">
      <c r="A734" t="s">
        <v>513</v>
      </c>
      <c r="B734" t="s">
        <v>514</v>
      </c>
      <c r="C734">
        <v>1.25</v>
      </c>
    </row>
    <row r="735" spans="1:3" x14ac:dyDescent="0.25">
      <c r="A735" t="s">
        <v>528</v>
      </c>
      <c r="B735" t="s">
        <v>529</v>
      </c>
      <c r="C735">
        <v>1.25</v>
      </c>
    </row>
    <row r="736" spans="1:3" x14ac:dyDescent="0.25">
      <c r="A736" t="s">
        <v>246</v>
      </c>
      <c r="B736" t="s">
        <v>247</v>
      </c>
      <c r="C736">
        <v>0.32500000000000001</v>
      </c>
    </row>
    <row r="737" spans="1:3" x14ac:dyDescent="0.25">
      <c r="A737" t="s">
        <v>246</v>
      </c>
      <c r="B737" t="s">
        <v>247</v>
      </c>
      <c r="C737">
        <v>0.32500000000000001</v>
      </c>
    </row>
    <row r="738" spans="1:3" x14ac:dyDescent="0.25">
      <c r="A738" t="s">
        <v>658</v>
      </c>
      <c r="B738" t="s">
        <v>659</v>
      </c>
      <c r="C738">
        <v>0.15</v>
      </c>
    </row>
    <row r="739" spans="1:3" x14ac:dyDescent="0.25">
      <c r="A739" t="s">
        <v>934</v>
      </c>
      <c r="B739" t="s">
        <v>935</v>
      </c>
      <c r="C739">
        <v>0.05</v>
      </c>
    </row>
  </sheetData>
  <sortState xmlns:xlrd2="http://schemas.microsoft.com/office/spreadsheetml/2017/richdata2" ref="A2:C739">
    <sortCondition descending="1" ref="C2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d855413-0ea3-4114-9cd6-932849b12d9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0E5B65D2AD15429C2F08981396A9A8" ma:contentTypeVersion="5" ma:contentTypeDescription="Create a new document." ma:contentTypeScope="" ma:versionID="6dff2c9e2eca1228781b5b59eae9cc44">
  <xsd:schema xmlns:xsd="http://www.w3.org/2001/XMLSchema" xmlns:xs="http://www.w3.org/2001/XMLSchema" xmlns:p="http://schemas.microsoft.com/office/2006/metadata/properties" xmlns:ns3="1d855413-0ea3-4114-9cd6-932849b12d90" targetNamespace="http://schemas.microsoft.com/office/2006/metadata/properties" ma:root="true" ma:fieldsID="7e879abd033719ce08654f6d46e576a9" ns3:_="">
    <xsd:import namespace="1d855413-0ea3-4114-9cd6-932849b12d9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55413-0ea3-4114-9cd6-932849b12d9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644C2B-25C2-45BC-B13D-CBE155606C85}">
  <ds:schemaRefs>
    <ds:schemaRef ds:uri="http://schemas.microsoft.com/office/infopath/2007/PartnerControls"/>
    <ds:schemaRef ds:uri="1d855413-0ea3-4114-9cd6-932849b12d90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63AF781-BC36-429C-BBE3-428B727CB1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855413-0ea3-4114-9cd6-932849b12d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15B320-BD9E-4026-B769-E6228F4837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Sheet4</vt:lpstr>
      <vt:lpstr>Sheet1</vt:lpstr>
      <vt:lpstr>Sheet3</vt:lpstr>
      <vt:lpstr>Sheet5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Carson</dc:creator>
  <cp:lastModifiedBy>Alexander Haire</cp:lastModifiedBy>
  <cp:lastPrinted>2026-01-08T16:48:03Z</cp:lastPrinted>
  <dcterms:created xsi:type="dcterms:W3CDTF">2025-10-20T15:04:59Z</dcterms:created>
  <dcterms:modified xsi:type="dcterms:W3CDTF">2026-04-07T18:37:54Z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0x0101002E0E5B65D2AD15429C2F08981396A9A8</vt:lpwstr>
  </property>
</Properties>
</file>